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oogle Drive\PUS Program\Home4\Excel\"/>
    </mc:Choice>
  </mc:AlternateContent>
  <xr:revisionPtr revIDLastSave="0" documentId="13_ncr:1_{1ADD48B0-8D19-4A8C-B2B2-029A250CC67F}" xr6:coauthVersionLast="45" xr6:coauthVersionMax="45" xr10:uidLastSave="{00000000-0000-0000-0000-000000000000}"/>
  <bookViews>
    <workbookView xWindow="28680" yWindow="-120" windowWidth="29040" windowHeight="15840" firstSheet="6" activeTab="8" xr2:uid="{00000000-000D-0000-FFFF-FFFF00000000}"/>
  </bookViews>
  <sheets>
    <sheet name="Spec" sheetId="43" r:id="rId1"/>
    <sheet name="input" sheetId="10" r:id="rId2"/>
    <sheet name="MST" sheetId="21" r:id="rId3"/>
    <sheet name="Info" sheetId="22" r:id="rId4"/>
    <sheet name="Notation" sheetId="40" r:id="rId5"/>
    <sheet name="Section" sheetId="30" r:id="rId6"/>
    <sheet name="Stress" sheetId="31" r:id="rId7"/>
    <sheet name="Cons" sheetId="33" r:id="rId8"/>
    <sheet name="ULS" sheetId="35" r:id="rId9"/>
    <sheet name="SLS" sheetId="27" r:id="rId10"/>
    <sheet name="FLS" sheetId="32" r:id="rId11"/>
    <sheet name="SUM" sheetId="38" r:id="rId12"/>
    <sheet name="Flowchart" sheetId="41" r:id="rId13"/>
    <sheet name="D-Cons" sheetId="45" r:id="rId14"/>
    <sheet name="D-ULS" sheetId="46" r:id="rId15"/>
  </sheets>
  <definedNames>
    <definedName name="_xlnm._FilterDatabase" localSheetId="13" hidden="1">'D-Cons'!$AS$1:$AS$715</definedName>
    <definedName name="_xlnm._FilterDatabase" localSheetId="14" hidden="1">'D-ULS'!$AS$1:$AS$1280</definedName>
    <definedName name="DIM">input!$A$3:$BA$500</definedName>
    <definedName name="DIMex">input!$BI$3:$CH$500</definedName>
    <definedName name="Ec" localSheetId="0">#REF!</definedName>
    <definedName name="Ec">Info!$L$26</definedName>
    <definedName name="Ecb">Info!$L$26</definedName>
    <definedName name="Ecd">Info!$L$21</definedName>
    <definedName name="Es" localSheetId="0">#REF!</definedName>
    <definedName name="Es">Info!$L$15</definedName>
    <definedName name="Fck" localSheetId="0">#REF!</definedName>
    <definedName name="Fck">Info!$M$19</definedName>
    <definedName name="Fckb">Info!$M$24</definedName>
    <definedName name="Fy" localSheetId="0">#REF!</definedName>
    <definedName name="Fy">Info!#REF!</definedName>
    <definedName name="Fyf">Info!#REF!</definedName>
    <definedName name="Fyr" localSheetId="13">'D-Cons'!#REF!</definedName>
    <definedName name="Fyr" localSheetId="14">'D-ULS'!#REF!</definedName>
    <definedName name="Fyr">Cons!#REF!</definedName>
    <definedName name="Fys">Info!$L$29</definedName>
    <definedName name="Fyw">Info!#REF!</definedName>
    <definedName name="MST">MST!$B$4:$AI$500</definedName>
    <definedName name="_xlnm.Print_Area" localSheetId="7">Cons!$A$1:$O$1066</definedName>
    <definedName name="_xlnm.Print_Area" localSheetId="13">'D-Cons'!$A$1:$AR$726</definedName>
    <definedName name="_xlnm.Print_Area" localSheetId="14">'D-ULS'!$A$1:$AR$1291</definedName>
    <definedName name="_xlnm.Print_Area" localSheetId="12">Flowchart!$A$1:$O$561</definedName>
    <definedName name="_xlnm.Print_Area" localSheetId="10">FLS!$A$1:$M$201</definedName>
    <definedName name="_xlnm.Print_Area" localSheetId="3">Info!$A$1:$AA$49</definedName>
    <definedName name="_xlnm.Print_Area" localSheetId="5">Section!$A$1:$N$598</definedName>
    <definedName name="_xlnm.Print_Area" localSheetId="9">SLS!$A$1:$M$292</definedName>
    <definedName name="_xlnm.Print_Area" localSheetId="6">Stress!$A$1:$O$961</definedName>
    <definedName name="_xlnm.Print_Area" localSheetId="11">SUM!$A$79:$W$279</definedName>
    <definedName name="_xlnm.Print_Area" localSheetId="8">ULS!$A$1:$N$1481</definedName>
    <definedName name="SEC">input!$CJ$3:$EM$500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76" i="35" l="1"/>
  <c r="I1177" i="35"/>
  <c r="I1178" i="35"/>
  <c r="I1179" i="35"/>
  <c r="I1180" i="35"/>
  <c r="I1181" i="35"/>
  <c r="I1182" i="35"/>
  <c r="I1183" i="35"/>
  <c r="I1184" i="35"/>
  <c r="I1185" i="35"/>
  <c r="I1186" i="35"/>
  <c r="I1187" i="35"/>
  <c r="I1188" i="35"/>
  <c r="I1189" i="35"/>
  <c r="I1190" i="35"/>
  <c r="I1191" i="35"/>
  <c r="I1192" i="35"/>
  <c r="I1193" i="35"/>
  <c r="I1194" i="35"/>
  <c r="I1195" i="35"/>
  <c r="I1196" i="35"/>
  <c r="I1197" i="35"/>
  <c r="I1198" i="35"/>
  <c r="I1199" i="35"/>
  <c r="I1200" i="35"/>
  <c r="I1201" i="35"/>
  <c r="I1202" i="35"/>
  <c r="I1203" i="35"/>
  <c r="I1204" i="35"/>
  <c r="I1205" i="35"/>
  <c r="I1206" i="35"/>
  <c r="I1207" i="35"/>
  <c r="I1208" i="35"/>
  <c r="I1209" i="35"/>
  <c r="I1210" i="35"/>
  <c r="I1211" i="35"/>
  <c r="I1212" i="35"/>
  <c r="I1213" i="35"/>
  <c r="I1214" i="35"/>
  <c r="I1215" i="35"/>
  <c r="I1216" i="35"/>
  <c r="I1217" i="35"/>
  <c r="I1218" i="35"/>
  <c r="I1219" i="35"/>
  <c r="I1220" i="35"/>
  <c r="I1221" i="35"/>
  <c r="I1222" i="35"/>
  <c r="I1223" i="35"/>
  <c r="I1224" i="35"/>
  <c r="I1225" i="35"/>
  <c r="I1226" i="35"/>
  <c r="I1227" i="35"/>
  <c r="I1228" i="35"/>
  <c r="I1229" i="35"/>
  <c r="I1230" i="35"/>
  <c r="I1231" i="35"/>
  <c r="I1232" i="35"/>
  <c r="I1233" i="35"/>
  <c r="I1234" i="35"/>
  <c r="I1235" i="35"/>
  <c r="I1236" i="35"/>
  <c r="I1175" i="35"/>
  <c r="D1176" i="35"/>
  <c r="D1177" i="35"/>
  <c r="D1178" i="35"/>
  <c r="D1179" i="35"/>
  <c r="D1180" i="35"/>
  <c r="D1181" i="35"/>
  <c r="D1182" i="35"/>
  <c r="D1183" i="35"/>
  <c r="D1184" i="35"/>
  <c r="D1185" i="35"/>
  <c r="D1186" i="35"/>
  <c r="D1187" i="35"/>
  <c r="D1188" i="35"/>
  <c r="D1189" i="35"/>
  <c r="D1190" i="35"/>
  <c r="D1191" i="35"/>
  <c r="D1192" i="35"/>
  <c r="D1193" i="35"/>
  <c r="D1194" i="35"/>
  <c r="D1195" i="35"/>
  <c r="D1196" i="35"/>
  <c r="D1197" i="35"/>
  <c r="D1198" i="35"/>
  <c r="D1199" i="35"/>
  <c r="D1200" i="35"/>
  <c r="D1201" i="35"/>
  <c r="D1202" i="35"/>
  <c r="D1203" i="35"/>
  <c r="D1204" i="35"/>
  <c r="D1205" i="35"/>
  <c r="D1206" i="35"/>
  <c r="D1207" i="35"/>
  <c r="D1208" i="35"/>
  <c r="D1209" i="35"/>
  <c r="D1210" i="35"/>
  <c r="D1211" i="35"/>
  <c r="D1212" i="35"/>
  <c r="D1213" i="35"/>
  <c r="D1214" i="35"/>
  <c r="D1215" i="35"/>
  <c r="D1216" i="35"/>
  <c r="D1217" i="35"/>
  <c r="D1218" i="35"/>
  <c r="D1219" i="35"/>
  <c r="D1220" i="35"/>
  <c r="D1221" i="35"/>
  <c r="D1222" i="35"/>
  <c r="D1223" i="35"/>
  <c r="D1224" i="35"/>
  <c r="D1225" i="35"/>
  <c r="D1226" i="35"/>
  <c r="D1227" i="35"/>
  <c r="D1228" i="35"/>
  <c r="D1229" i="35"/>
  <c r="D1230" i="35"/>
  <c r="D1231" i="35"/>
  <c r="D1232" i="35"/>
  <c r="D1233" i="35"/>
  <c r="D1234" i="35"/>
  <c r="D1235" i="35"/>
  <c r="D1236" i="35"/>
  <c r="D1175" i="35"/>
  <c r="A1176" i="35"/>
  <c r="A1177" i="35"/>
  <c r="A1178" i="35"/>
  <c r="A1179" i="35"/>
  <c r="A1180" i="35"/>
  <c r="A1181" i="35"/>
  <c r="A1182" i="35"/>
  <c r="A1183" i="35"/>
  <c r="A1184" i="35"/>
  <c r="A1185" i="35"/>
  <c r="A1186" i="35"/>
  <c r="A1187" i="35"/>
  <c r="A1188" i="35"/>
  <c r="A1189" i="35"/>
  <c r="A1190" i="35"/>
  <c r="A1191" i="35"/>
  <c r="A1192" i="35"/>
  <c r="A1193" i="35"/>
  <c r="A1194" i="35"/>
  <c r="A1195" i="35"/>
  <c r="A1196" i="35"/>
  <c r="A1197" i="35"/>
  <c r="A1198" i="35"/>
  <c r="A1199" i="35"/>
  <c r="A1200" i="35"/>
  <c r="A1201" i="35"/>
  <c r="A1202" i="35"/>
  <c r="A1203" i="35"/>
  <c r="A1204" i="35"/>
  <c r="A1205" i="35"/>
  <c r="A1206" i="35"/>
  <c r="A1207" i="35"/>
  <c r="A1208" i="35"/>
  <c r="A1209" i="35"/>
  <c r="A1210" i="35"/>
  <c r="A1211" i="35"/>
  <c r="A1212" i="35"/>
  <c r="A1213" i="35"/>
  <c r="A1214" i="35"/>
  <c r="A1215" i="35"/>
  <c r="A1216" i="35"/>
  <c r="A1217" i="35"/>
  <c r="A1218" i="35"/>
  <c r="A1219" i="35"/>
  <c r="A1220" i="35"/>
  <c r="A1221" i="35"/>
  <c r="A1222" i="35"/>
  <c r="A1223" i="35"/>
  <c r="A1224" i="35"/>
  <c r="A1225" i="35"/>
  <c r="A1226" i="35"/>
  <c r="A1227" i="35"/>
  <c r="A1228" i="35"/>
  <c r="A1229" i="35"/>
  <c r="A1230" i="35"/>
  <c r="A1231" i="35"/>
  <c r="A1232" i="35"/>
  <c r="A1233" i="35"/>
  <c r="A1234" i="35"/>
  <c r="A1235" i="35"/>
  <c r="A1236" i="35"/>
  <c r="A1175" i="35"/>
  <c r="O905" i="33" l="1"/>
  <c r="O906" i="33"/>
  <c r="O907" i="33"/>
  <c r="O908" i="33"/>
  <c r="O909" i="33"/>
  <c r="O910" i="33"/>
  <c r="O911" i="33"/>
  <c r="O912" i="33"/>
  <c r="O913" i="33"/>
  <c r="O914" i="33"/>
  <c r="O915" i="33"/>
  <c r="O916" i="33"/>
  <c r="O917" i="33"/>
  <c r="O918" i="33"/>
  <c r="O919" i="33"/>
  <c r="O920" i="33"/>
  <c r="O921" i="33"/>
  <c r="O922" i="33"/>
  <c r="O923" i="33"/>
  <c r="O924" i="33"/>
  <c r="O925" i="33"/>
  <c r="O926" i="33"/>
  <c r="O927" i="33"/>
  <c r="O928" i="33"/>
  <c r="O929" i="33"/>
  <c r="O930" i="33"/>
  <c r="O931" i="33"/>
  <c r="O932" i="33"/>
  <c r="O933" i="33"/>
  <c r="O934" i="33"/>
  <c r="O935" i="33"/>
  <c r="O936" i="33"/>
  <c r="O937" i="33"/>
  <c r="O938" i="33"/>
  <c r="O939" i="33"/>
  <c r="O940" i="33"/>
  <c r="O941" i="33"/>
  <c r="O942" i="33"/>
  <c r="O943" i="33"/>
  <c r="O944" i="33"/>
  <c r="O945" i="33"/>
  <c r="O946" i="33"/>
  <c r="O947" i="33"/>
  <c r="O948" i="33"/>
  <c r="O949" i="33"/>
  <c r="O950" i="33"/>
  <c r="O951" i="33"/>
  <c r="O952" i="33"/>
  <c r="O953" i="33"/>
  <c r="O954" i="33"/>
  <c r="O955" i="33"/>
  <c r="O956" i="33"/>
  <c r="O957" i="33"/>
  <c r="O958" i="33"/>
  <c r="O959" i="33"/>
  <c r="O960" i="33"/>
  <c r="O961" i="33"/>
  <c r="O962" i="33"/>
  <c r="O963" i="33"/>
  <c r="O964" i="33"/>
  <c r="O965" i="33"/>
  <c r="O904" i="33"/>
  <c r="N905" i="33"/>
  <c r="N906" i="33"/>
  <c r="N907" i="33"/>
  <c r="N908" i="33"/>
  <c r="N909" i="33"/>
  <c r="N910" i="33"/>
  <c r="N911" i="33"/>
  <c r="N912" i="33"/>
  <c r="N913" i="33"/>
  <c r="N914" i="33"/>
  <c r="N915" i="33"/>
  <c r="N916" i="33"/>
  <c r="N917" i="33"/>
  <c r="N918" i="33"/>
  <c r="N919" i="33"/>
  <c r="N920" i="33"/>
  <c r="N921" i="33"/>
  <c r="N922" i="33"/>
  <c r="N923" i="33"/>
  <c r="N924" i="33"/>
  <c r="N925" i="33"/>
  <c r="N926" i="33"/>
  <c r="N927" i="33"/>
  <c r="N928" i="33"/>
  <c r="N929" i="33"/>
  <c r="N930" i="33"/>
  <c r="N931" i="33"/>
  <c r="N932" i="33"/>
  <c r="N933" i="33"/>
  <c r="N934" i="33"/>
  <c r="N935" i="33"/>
  <c r="N936" i="33"/>
  <c r="N937" i="33"/>
  <c r="N938" i="33"/>
  <c r="N939" i="33"/>
  <c r="N940" i="33"/>
  <c r="N941" i="33"/>
  <c r="N942" i="33"/>
  <c r="N943" i="33"/>
  <c r="N944" i="33"/>
  <c r="N945" i="33"/>
  <c r="N946" i="33"/>
  <c r="N947" i="33"/>
  <c r="N948" i="33"/>
  <c r="N949" i="33"/>
  <c r="N950" i="33"/>
  <c r="N951" i="33"/>
  <c r="N952" i="33"/>
  <c r="N953" i="33"/>
  <c r="N954" i="33"/>
  <c r="N955" i="33"/>
  <c r="N956" i="33"/>
  <c r="N957" i="33"/>
  <c r="N958" i="33"/>
  <c r="N959" i="33"/>
  <c r="N960" i="33"/>
  <c r="N961" i="33"/>
  <c r="N962" i="33"/>
  <c r="N963" i="33"/>
  <c r="N964" i="33"/>
  <c r="N965" i="33"/>
  <c r="N904" i="33"/>
  <c r="M905" i="33"/>
  <c r="M906" i="33"/>
  <c r="M907" i="33"/>
  <c r="M908" i="33"/>
  <c r="M909" i="33"/>
  <c r="M910" i="33"/>
  <c r="M911" i="33"/>
  <c r="M912" i="33"/>
  <c r="M913" i="33"/>
  <c r="M914" i="33"/>
  <c r="M915" i="33"/>
  <c r="M916" i="33"/>
  <c r="M917" i="33"/>
  <c r="M918" i="33"/>
  <c r="M919" i="33"/>
  <c r="M920" i="33"/>
  <c r="M921" i="33"/>
  <c r="M922" i="33"/>
  <c r="M923" i="33"/>
  <c r="M924" i="33"/>
  <c r="M925" i="33"/>
  <c r="M926" i="33"/>
  <c r="M927" i="33"/>
  <c r="M928" i="33"/>
  <c r="M929" i="33"/>
  <c r="M930" i="33"/>
  <c r="M931" i="33"/>
  <c r="M932" i="33"/>
  <c r="M933" i="33"/>
  <c r="M934" i="33"/>
  <c r="M935" i="33"/>
  <c r="M936" i="33"/>
  <c r="M937" i="33"/>
  <c r="M938" i="33"/>
  <c r="M939" i="33"/>
  <c r="M940" i="33"/>
  <c r="M941" i="33"/>
  <c r="M942" i="33"/>
  <c r="M943" i="33"/>
  <c r="M944" i="33"/>
  <c r="M945" i="33"/>
  <c r="M946" i="33"/>
  <c r="M947" i="33"/>
  <c r="M948" i="33"/>
  <c r="M949" i="33"/>
  <c r="M950" i="33"/>
  <c r="M951" i="33"/>
  <c r="M952" i="33"/>
  <c r="M953" i="33"/>
  <c r="M954" i="33"/>
  <c r="M955" i="33"/>
  <c r="M956" i="33"/>
  <c r="M957" i="33"/>
  <c r="M958" i="33"/>
  <c r="M959" i="33"/>
  <c r="M960" i="33"/>
  <c r="M961" i="33"/>
  <c r="M962" i="33"/>
  <c r="M963" i="33"/>
  <c r="M964" i="33"/>
  <c r="M965" i="33"/>
  <c r="M904" i="33"/>
  <c r="L905" i="33"/>
  <c r="L906" i="33"/>
  <c r="L907" i="33"/>
  <c r="L908" i="33"/>
  <c r="L909" i="33"/>
  <c r="L910" i="33"/>
  <c r="L911" i="33"/>
  <c r="L912" i="33"/>
  <c r="L913" i="33"/>
  <c r="L914" i="33"/>
  <c r="L915" i="33"/>
  <c r="L916" i="33"/>
  <c r="L917" i="33"/>
  <c r="L918" i="33"/>
  <c r="L919" i="33"/>
  <c r="L920" i="33"/>
  <c r="L921" i="33"/>
  <c r="L922" i="33"/>
  <c r="L923" i="33"/>
  <c r="L924" i="33"/>
  <c r="L925" i="33"/>
  <c r="L926" i="33"/>
  <c r="L927" i="33"/>
  <c r="L928" i="33"/>
  <c r="L929" i="33"/>
  <c r="L930" i="33"/>
  <c r="L931" i="33"/>
  <c r="L932" i="33"/>
  <c r="L933" i="33"/>
  <c r="L934" i="33"/>
  <c r="L935" i="33"/>
  <c r="L936" i="33"/>
  <c r="L937" i="33"/>
  <c r="L938" i="33"/>
  <c r="L939" i="33"/>
  <c r="L940" i="33"/>
  <c r="L941" i="33"/>
  <c r="L942" i="33"/>
  <c r="L943" i="33"/>
  <c r="L944" i="33"/>
  <c r="L945" i="33"/>
  <c r="L946" i="33"/>
  <c r="L947" i="33"/>
  <c r="L948" i="33"/>
  <c r="L949" i="33"/>
  <c r="L950" i="33"/>
  <c r="L951" i="33"/>
  <c r="L952" i="33"/>
  <c r="L953" i="33"/>
  <c r="L954" i="33"/>
  <c r="L955" i="33"/>
  <c r="L956" i="33"/>
  <c r="L957" i="33"/>
  <c r="L958" i="33"/>
  <c r="L959" i="33"/>
  <c r="L960" i="33"/>
  <c r="L961" i="33"/>
  <c r="L962" i="33"/>
  <c r="L963" i="33"/>
  <c r="L964" i="33"/>
  <c r="L965" i="33"/>
  <c r="L904" i="33"/>
  <c r="AE495" i="46" l="1" a="1"/>
  <c r="AE495" i="46" s="1"/>
  <c r="AE494" i="46" a="1"/>
  <c r="AE494" i="46" s="1"/>
  <c r="AE493" i="46" a="1"/>
  <c r="AE493" i="46" s="1"/>
  <c r="AE492" i="46" a="1"/>
  <c r="AE492" i="46" s="1"/>
  <c r="I705" i="45" l="1"/>
  <c r="AE512" i="46" l="1"/>
  <c r="U528" i="46" l="1"/>
  <c r="U530" i="46"/>
  <c r="U529" i="46"/>
  <c r="AE514" i="46" l="1"/>
  <c r="AE513" i="46"/>
  <c r="X525" i="46" l="1"/>
  <c r="X531" i="46"/>
  <c r="T889" i="46"/>
  <c r="AE504" i="46"/>
  <c r="AE441" i="46"/>
  <c r="AA441" i="46" s="1"/>
  <c r="AE488" i="46" l="1" a="1"/>
  <c r="AE488" i="46" s="1"/>
  <c r="AE487" i="46" a="1"/>
  <c r="AE487" i="46" s="1"/>
  <c r="AE486" i="46" a="1"/>
  <c r="AE486" i="46" s="1"/>
  <c r="AE485" i="46" a="1"/>
  <c r="AE485" i="46" s="1"/>
  <c r="AE463" i="46" a="1"/>
  <c r="AE463" i="46" s="1"/>
  <c r="X792" i="46" s="1"/>
  <c r="AE481" i="46" a="1"/>
  <c r="AE481" i="46" s="1"/>
  <c r="AE480" i="46" a="1"/>
  <c r="AE480" i="46" s="1"/>
  <c r="AE479" i="46" a="1"/>
  <c r="AE479" i="46" s="1"/>
  <c r="AE478" i="46" a="1"/>
  <c r="AE478" i="46" s="1"/>
  <c r="P919" i="46"/>
  <c r="W923" i="46" s="1"/>
  <c r="AE466" i="46" a="1"/>
  <c r="AE466" i="46" s="1"/>
  <c r="AE449" i="46" a="1"/>
  <c r="AE449" i="46" s="1"/>
  <c r="AE448" i="46" a="1"/>
  <c r="AE448" i="46" s="1"/>
  <c r="AE791" i="46" s="1"/>
  <c r="AE465" i="46" a="1"/>
  <c r="AE465" i="46" s="1"/>
  <c r="AB531" i="46" s="1"/>
  <c r="AK531" i="46" s="1"/>
  <c r="T799" i="46" s="1"/>
  <c r="AE464" i="46" a="1"/>
  <c r="AE464" i="46" s="1"/>
  <c r="AE447" i="46" a="1"/>
  <c r="AE447" i="46" s="1"/>
  <c r="Y529" i="46" s="1"/>
  <c r="AK529" i="46" s="1"/>
  <c r="AF799" i="46" s="1"/>
  <c r="AE446" i="46" a="1"/>
  <c r="AE446" i="46" s="1"/>
  <c r="Y528" i="46" s="1"/>
  <c r="AK528" i="46" s="1"/>
  <c r="AE460" i="46" a="1"/>
  <c r="AE460" i="46" s="1"/>
  <c r="AE506" i="46" a="1"/>
  <c r="AE506" i="46" s="1"/>
  <c r="AE505" i="46" a="1"/>
  <c r="AE505" i="46" s="1"/>
  <c r="AE522" i="46" s="1"/>
  <c r="AE507" i="46" a="1"/>
  <c r="AE507" i="46" s="1"/>
  <c r="AE508" i="46" a="1"/>
  <c r="AE508" i="46" s="1"/>
  <c r="AE498" i="46" a="1"/>
  <c r="AE498" i="46" s="1"/>
  <c r="AE496" i="46" a="1"/>
  <c r="AE496" i="46" s="1"/>
  <c r="AE490" i="46" a="1"/>
  <c r="AE490" i="46" s="1"/>
  <c r="AE484" i="46" a="1"/>
  <c r="AE484" i="46" s="1"/>
  <c r="AF1229" i="46" s="1"/>
  <c r="AE482" i="46" a="1"/>
  <c r="AE482" i="46" s="1"/>
  <c r="X1229" i="46" s="1"/>
  <c r="AE476" i="46" a="1"/>
  <c r="AE476" i="46" s="1"/>
  <c r="AE474" i="46" a="1"/>
  <c r="AE474" i="46" s="1"/>
  <c r="AE471" i="46" a="1"/>
  <c r="AE471" i="46" s="1"/>
  <c r="AA809" i="46" s="1"/>
  <c r="AE467" i="46" a="1"/>
  <c r="AE467" i="46" s="1"/>
  <c r="AE462" i="46" a="1"/>
  <c r="AE462" i="46" s="1"/>
  <c r="AE458" i="46" a="1"/>
  <c r="AE458" i="46" s="1"/>
  <c r="AE456" i="46" a="1"/>
  <c r="AE456" i="46" s="1"/>
  <c r="AA807" i="46" s="1"/>
  <c r="AE454" i="46" a="1"/>
  <c r="AE454" i="46" s="1"/>
  <c r="AE452" i="46" a="1"/>
  <c r="AE452" i="46" s="1"/>
  <c r="AE450" i="46" a="1"/>
  <c r="AE450" i="46" s="1"/>
  <c r="U522" i="46" s="1"/>
  <c r="AE444" i="46" a="1"/>
  <c r="AE444" i="46" s="1"/>
  <c r="AE511" i="46" a="1"/>
  <c r="AE511" i="46" s="1"/>
  <c r="AE472" i="46" a="1"/>
  <c r="AE472" i="46" s="1"/>
  <c r="AE468" i="46" a="1"/>
  <c r="AE468" i="46" s="1"/>
  <c r="AB790" i="46" s="1"/>
  <c r="AE483" i="46" a="1"/>
  <c r="AE483" i="46" s="1"/>
  <c r="AB1229" i="46" s="1"/>
  <c r="AE475" i="46" a="1"/>
  <c r="AE475" i="46" s="1"/>
  <c r="AE469" i="46" a="1"/>
  <c r="AE469" i="46" s="1"/>
  <c r="AE461" i="46" a="1"/>
  <c r="AE461" i="46" s="1"/>
  <c r="AE457" i="46" a="1"/>
  <c r="AE457" i="46" s="1"/>
  <c r="W524" i="46" s="1"/>
  <c r="AE455" i="46" a="1"/>
  <c r="AE455" i="46" s="1"/>
  <c r="AA1055" i="46" s="1"/>
  <c r="AE451" i="46" a="1"/>
  <c r="AE451" i="46" s="1"/>
  <c r="X522" i="46" s="1"/>
  <c r="AE445" i="46" a="1"/>
  <c r="AE445" i="46" s="1"/>
  <c r="AE499" i="46" a="1"/>
  <c r="AE499" i="46" s="1"/>
  <c r="AE497" i="46" a="1"/>
  <c r="AE497" i="46" s="1"/>
  <c r="AE491" i="46" a="1"/>
  <c r="AE491" i="46" s="1"/>
  <c r="AE489" i="46" a="1"/>
  <c r="AE489" i="46" s="1"/>
  <c r="AE477" i="46" a="1"/>
  <c r="AE477" i="46" s="1"/>
  <c r="AE473" i="46" a="1"/>
  <c r="AE473" i="46" s="1"/>
  <c r="AE459" i="46" a="1"/>
  <c r="AE459" i="46" s="1"/>
  <c r="AE453" i="46" a="1"/>
  <c r="AE453" i="46" s="1"/>
  <c r="AE470" i="46" a="1"/>
  <c r="AE470" i="46" s="1"/>
  <c r="M1263" i="46"/>
  <c r="K1210" i="46"/>
  <c r="M1161" i="46"/>
  <c r="R1078" i="46"/>
  <c r="W1067" i="46"/>
  <c r="S1027" i="46"/>
  <c r="U1003" i="46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1015" i="33"/>
  <c r="F1016" i="33"/>
  <c r="F1017" i="33"/>
  <c r="F1018" i="33"/>
  <c r="F1019" i="33"/>
  <c r="F1020" i="33"/>
  <c r="F1021" i="33"/>
  <c r="F1022" i="33"/>
  <c r="F1023" i="33"/>
  <c r="F1024" i="33"/>
  <c r="F1025" i="33"/>
  <c r="F1026" i="33"/>
  <c r="F1027" i="33"/>
  <c r="F1028" i="33"/>
  <c r="F1029" i="33"/>
  <c r="F1030" i="33"/>
  <c r="F1031" i="33"/>
  <c r="F1032" i="33"/>
  <c r="F1033" i="33"/>
  <c r="F1034" i="33"/>
  <c r="F1035" i="33"/>
  <c r="F1036" i="33"/>
  <c r="F1037" i="33"/>
  <c r="F1038" i="33"/>
  <c r="F1039" i="33"/>
  <c r="F1040" i="33"/>
  <c r="F1041" i="33"/>
  <c r="F1042" i="33"/>
  <c r="F1043" i="33"/>
  <c r="F1044" i="33"/>
  <c r="F1045" i="33"/>
  <c r="F1046" i="33"/>
  <c r="F1047" i="33"/>
  <c r="F1048" i="33"/>
  <c r="F1049" i="33"/>
  <c r="F1050" i="33"/>
  <c r="F1051" i="33"/>
  <c r="F1052" i="33"/>
  <c r="F1053" i="33"/>
  <c r="F1054" i="33"/>
  <c r="F1055" i="33"/>
  <c r="F1056" i="33"/>
  <c r="F1057" i="33"/>
  <c r="F1058" i="33"/>
  <c r="F1059" i="33"/>
  <c r="F1060" i="33"/>
  <c r="F1061" i="33"/>
  <c r="F1062" i="33"/>
  <c r="F1063" i="33"/>
  <c r="F1002" i="33"/>
  <c r="W644" i="46" l="1"/>
  <c r="X729" i="46"/>
  <c r="X730" i="46" s="1"/>
  <c r="W572" i="46"/>
  <c r="X771" i="46"/>
  <c r="W592" i="46"/>
  <c r="Z612" i="46"/>
  <c r="W626" i="46"/>
  <c r="W702" i="46"/>
  <c r="X770" i="46"/>
  <c r="W571" i="46"/>
  <c r="W593" i="46"/>
  <c r="W609" i="46"/>
  <c r="W682" i="46"/>
  <c r="X750" i="46"/>
  <c r="X791" i="46"/>
  <c r="W568" i="46"/>
  <c r="W589" i="46"/>
  <c r="Z613" i="46"/>
  <c r="W664" i="46"/>
  <c r="X751" i="46"/>
  <c r="X785" i="46"/>
  <c r="T809" i="46"/>
  <c r="T807" i="46"/>
  <c r="AO799" i="46"/>
  <c r="AN779" i="46"/>
  <c r="AJ799" i="46"/>
  <c r="T794" i="46"/>
  <c r="T793" i="46"/>
  <c r="T790" i="46"/>
  <c r="AD780" i="46"/>
  <c r="T786" i="46"/>
  <c r="T780" i="46"/>
  <c r="AH789" i="46"/>
  <c r="T758" i="46"/>
  <c r="T779" i="46"/>
  <c r="AA792" i="46"/>
  <c r="AA791" i="46"/>
  <c r="AJ758" i="46"/>
  <c r="AJ779" i="46"/>
  <c r="AE771" i="46"/>
  <c r="AE792" i="46"/>
  <c r="AB765" i="46"/>
  <c r="AB786" i="46"/>
  <c r="AB793" i="46"/>
  <c r="AB794" i="46"/>
  <c r="T773" i="46"/>
  <c r="AO758" i="46"/>
  <c r="T772" i="46"/>
  <c r="T769" i="46"/>
  <c r="T765" i="46"/>
  <c r="X748" i="46"/>
  <c r="X768" i="46"/>
  <c r="AB749" i="46"/>
  <c r="AB769" i="46"/>
  <c r="AN696" i="46"/>
  <c r="AF758" i="46"/>
  <c r="AE750" i="46"/>
  <c r="AE770" i="46"/>
  <c r="X744" i="46"/>
  <c r="X764" i="46"/>
  <c r="AA771" i="46"/>
  <c r="AA770" i="46"/>
  <c r="AB772" i="46"/>
  <c r="AB773" i="46"/>
  <c r="AA729" i="46"/>
  <c r="AA730" i="46" s="1"/>
  <c r="AA750" i="46"/>
  <c r="AA751" i="46"/>
  <c r="AE730" i="46"/>
  <c r="AE751" i="46"/>
  <c r="AB724" i="46"/>
  <c r="AB745" i="46"/>
  <c r="AD753" i="46"/>
  <c r="AB752" i="46"/>
  <c r="T752" i="46"/>
  <c r="T749" i="46"/>
  <c r="T753" i="46"/>
  <c r="T745" i="46"/>
  <c r="T708" i="46"/>
  <c r="AE729" i="46"/>
  <c r="Z610" i="46"/>
  <c r="X727" i="46"/>
  <c r="AD702" i="46"/>
  <c r="X723" i="46"/>
  <c r="T731" i="46"/>
  <c r="T732" i="46"/>
  <c r="T724" i="46"/>
  <c r="AB731" i="46"/>
  <c r="AD732" i="46"/>
  <c r="AJ696" i="46"/>
  <c r="AK550" i="46"/>
  <c r="H696" i="46"/>
  <c r="Z705" i="46"/>
  <c r="S702" i="46"/>
  <c r="T689" i="46"/>
  <c r="T709" i="46"/>
  <c r="AB525" i="46"/>
  <c r="AN658" i="46"/>
  <c r="AO688" i="46"/>
  <c r="X650" i="46"/>
  <c r="H678" i="46"/>
  <c r="X689" i="46" s="1"/>
  <c r="AD664" i="46"/>
  <c r="AD682" i="46"/>
  <c r="S682" i="46"/>
  <c r="Z685" i="46"/>
  <c r="AB523" i="46"/>
  <c r="H658" i="46"/>
  <c r="S664" i="46"/>
  <c r="Z667" i="46"/>
  <c r="AO651" i="46"/>
  <c r="AJ658" i="46"/>
  <c r="H640" i="46"/>
  <c r="T648" i="46" s="1"/>
  <c r="T671" i="46"/>
  <c r="X670" i="46"/>
  <c r="AD626" i="46"/>
  <c r="AD644" i="46"/>
  <c r="S644" i="46"/>
  <c r="Z647" i="46"/>
  <c r="AD524" i="46"/>
  <c r="Z629" i="46"/>
  <c r="H620" i="46"/>
  <c r="S626" i="46"/>
  <c r="AI600" i="46"/>
  <c r="AJ620" i="46"/>
  <c r="W613" i="46"/>
  <c r="X633" i="46"/>
  <c r="AM600" i="46"/>
  <c r="AN620" i="46"/>
  <c r="W612" i="46"/>
  <c r="X632" i="46"/>
  <c r="AA587" i="46"/>
  <c r="AD607" i="46"/>
  <c r="AA595" i="46"/>
  <c r="AD615" i="46"/>
  <c r="Z608" i="46"/>
  <c r="Z611" i="46" s="1"/>
  <c r="Z615" i="46" s="1"/>
  <c r="V607" i="46"/>
  <c r="AD611" i="46"/>
  <c r="AO1058" i="46"/>
  <c r="S608" i="46"/>
  <c r="S607" i="46"/>
  <c r="AE609" i="46"/>
  <c r="S612" i="46"/>
  <c r="Z609" i="46"/>
  <c r="W586" i="46"/>
  <c r="H600" i="46"/>
  <c r="AH590" i="46"/>
  <c r="AA591" i="46"/>
  <c r="AD572" i="46"/>
  <c r="AD593" i="46"/>
  <c r="AJ580" i="46"/>
  <c r="Z589" i="46"/>
  <c r="Z593" i="46"/>
  <c r="Z592" i="46"/>
  <c r="S595" i="46"/>
  <c r="S587" i="46"/>
  <c r="S591" i="46"/>
  <c r="AN580" i="46"/>
  <c r="AD571" i="46"/>
  <c r="AD592" i="46"/>
  <c r="T581" i="46"/>
  <c r="W569" i="46"/>
  <c r="AD581" i="46"/>
  <c r="AE526" i="46"/>
  <c r="AK1058" i="46"/>
  <c r="AE527" i="46"/>
  <c r="AN559" i="46"/>
  <c r="AJ559" i="46"/>
  <c r="AA574" i="46"/>
  <c r="Y530" i="46"/>
  <c r="AK530" i="46" s="1"/>
  <c r="AG1058" i="46"/>
  <c r="R1055" i="46"/>
  <c r="AA570" i="46"/>
  <c r="I1256" i="46"/>
  <c r="T1260" i="46" s="1"/>
  <c r="L873" i="46"/>
  <c r="S574" i="46"/>
  <c r="Z572" i="46"/>
  <c r="Z571" i="46"/>
  <c r="Z568" i="46"/>
  <c r="AB522" i="46"/>
  <c r="AK522" i="46" s="1"/>
  <c r="W565" i="46"/>
  <c r="Y523" i="46"/>
  <c r="AA566" i="46"/>
  <c r="H559" i="46"/>
  <c r="S566" i="46"/>
  <c r="S570" i="46"/>
  <c r="S873" i="46"/>
  <c r="V873" i="46"/>
  <c r="AS472" i="46"/>
  <c r="AB526" i="46"/>
  <c r="AS471" i="46"/>
  <c r="X526" i="46"/>
  <c r="AS470" i="46"/>
  <c r="U526" i="46"/>
  <c r="AS468" i="46"/>
  <c r="X527" i="46"/>
  <c r="AS467" i="46"/>
  <c r="U527" i="46"/>
  <c r="AS469" i="46"/>
  <c r="AB527" i="46"/>
  <c r="Q883" i="46"/>
  <c r="AF525" i="46"/>
  <c r="V1055" i="46"/>
  <c r="U523" i="46"/>
  <c r="Z524" i="46"/>
  <c r="AK524" i="46" s="1"/>
  <c r="AB799" i="46" s="1"/>
  <c r="U1005" i="46"/>
  <c r="I1258" i="46"/>
  <c r="J1164" i="46"/>
  <c r="L961" i="46"/>
  <c r="O966" i="46" s="1"/>
  <c r="L960" i="46"/>
  <c r="O963" i="46" s="1"/>
  <c r="K901" i="46"/>
  <c r="AI906" i="46" s="1"/>
  <c r="K899" i="46"/>
  <c r="N884" i="46"/>
  <c r="F936" i="46"/>
  <c r="K912" i="46"/>
  <c r="K897" i="46"/>
  <c r="O891" i="46"/>
  <c r="S875" i="46"/>
  <c r="AF978" i="46"/>
  <c r="AF1055" i="46"/>
  <c r="I1230" i="46"/>
  <c r="AF962" i="46"/>
  <c r="AF965" i="46"/>
  <c r="AC896" i="46"/>
  <c r="Q1001" i="46"/>
  <c r="U903" i="46"/>
  <c r="I1167" i="46"/>
  <c r="T1166" i="46" s="1"/>
  <c r="O1193" i="46"/>
  <c r="S1193" i="46" s="1"/>
  <c r="N1176" i="46"/>
  <c r="R1176" i="46" s="1"/>
  <c r="X1260" i="46"/>
  <c r="I1175" i="46"/>
  <c r="AI1055" i="46"/>
  <c r="Q881" i="46"/>
  <c r="K900" i="46"/>
  <c r="W1069" i="46"/>
  <c r="T1267" i="46"/>
  <c r="L1269" i="46" s="1"/>
  <c r="M1264" i="46"/>
  <c r="S965" i="46"/>
  <c r="S962" i="46"/>
  <c r="U896" i="46"/>
  <c r="AE509" i="46"/>
  <c r="AE510" i="46"/>
  <c r="AE442" i="46"/>
  <c r="H519" i="46" s="1"/>
  <c r="K865" i="46"/>
  <c r="P1209" i="46"/>
  <c r="Z1159" i="46"/>
  <c r="AF1231" i="46" s="1"/>
  <c r="W915" i="46"/>
  <c r="O875" i="46"/>
  <c r="Y882" i="46"/>
  <c r="P1096" i="46"/>
  <c r="U883" i="46"/>
  <c r="Q882" i="46"/>
  <c r="Z1236" i="46"/>
  <c r="O1211" i="46"/>
  <c r="M1262" i="46" s="1"/>
  <c r="P1267" i="46" s="1"/>
  <c r="AD1269" i="46" s="1"/>
  <c r="O1160" i="46"/>
  <c r="W980" i="46"/>
  <c r="AC917" i="46"/>
  <c r="X1212" i="46"/>
  <c r="V1263" i="46"/>
  <c r="R1236" i="46"/>
  <c r="T976" i="46"/>
  <c r="W1001" i="46"/>
  <c r="Y978" i="46"/>
  <c r="AO1055" i="46"/>
  <c r="R903" i="46"/>
  <c r="W962" i="46"/>
  <c r="W965" i="46"/>
  <c r="Y896" i="46"/>
  <c r="T977" i="46"/>
  <c r="T943" i="46"/>
  <c r="U919" i="46"/>
  <c r="AB936" i="46"/>
  <c r="AE247" i="45"/>
  <c r="AA247" i="45" s="1"/>
  <c r="P779" i="46" l="1"/>
  <c r="P799" i="46"/>
  <c r="AF779" i="46"/>
  <c r="V800" i="46"/>
  <c r="AB779" i="46"/>
  <c r="Z780" i="46"/>
  <c r="T696" i="46"/>
  <c r="P758" i="46"/>
  <c r="P739" i="46"/>
  <c r="T759" i="46"/>
  <c r="AK549" i="46"/>
  <c r="AB758" i="46"/>
  <c r="O519" i="46"/>
  <c r="AK525" i="46"/>
  <c r="Z682" i="46"/>
  <c r="AH683" i="46" s="1"/>
  <c r="T683" i="46"/>
  <c r="AH689" i="46"/>
  <c r="AO689" i="46" s="1"/>
  <c r="T653" i="46"/>
  <c r="T687" i="46"/>
  <c r="T685" i="46"/>
  <c r="AH685" i="46" s="1"/>
  <c r="AO685" i="46" s="1"/>
  <c r="T686" i="46"/>
  <c r="T691" i="46"/>
  <c r="X658" i="46"/>
  <c r="X696" i="46"/>
  <c r="AF658" i="46"/>
  <c r="AF696" i="46"/>
  <c r="T649" i="46"/>
  <c r="T684" i="46"/>
  <c r="Y659" i="46"/>
  <c r="Y697" i="46"/>
  <c r="T645" i="46"/>
  <c r="T646" i="46"/>
  <c r="T620" i="46"/>
  <c r="T658" i="46"/>
  <c r="R1059" i="46"/>
  <c r="Y1060" i="46" s="1"/>
  <c r="AE600" i="46"/>
  <c r="Y621" i="46"/>
  <c r="T650" i="46"/>
  <c r="AH650" i="46" s="1"/>
  <c r="AO650" i="46" s="1"/>
  <c r="T647" i="46"/>
  <c r="AH647" i="46" s="1"/>
  <c r="AO647" i="46" s="1"/>
  <c r="Z644" i="46"/>
  <c r="AH645" i="46" s="1"/>
  <c r="W600" i="46"/>
  <c r="X620" i="46"/>
  <c r="X601" i="46"/>
  <c r="AF620" i="46"/>
  <c r="P580" i="46"/>
  <c r="S600" i="46"/>
  <c r="S610" i="46"/>
  <c r="S613" i="46"/>
  <c r="P581" i="46"/>
  <c r="T580" i="46"/>
  <c r="AB580" i="46"/>
  <c r="AF580" i="46"/>
  <c r="U1138" i="46"/>
  <c r="U1143" i="46" s="1"/>
  <c r="T559" i="46"/>
  <c r="AK523" i="46"/>
  <c r="H799" i="46" s="1"/>
  <c r="Y560" i="46"/>
  <c r="AB559" i="46"/>
  <c r="AK542" i="46"/>
  <c r="AF559" i="46"/>
  <c r="AK536" i="46"/>
  <c r="AK541" i="46"/>
  <c r="AK539" i="46"/>
  <c r="AK540" i="46"/>
  <c r="AK538" i="46"/>
  <c r="K874" i="46"/>
  <c r="K875" i="46" s="1"/>
  <c r="AK537" i="46"/>
  <c r="AD883" i="46"/>
  <c r="V880" i="46" s="1"/>
  <c r="AK527" i="46"/>
  <c r="AK526" i="46"/>
  <c r="X799" i="46" s="1"/>
  <c r="K1002" i="46"/>
  <c r="V1010" i="46" s="1"/>
  <c r="R1056" i="46"/>
  <c r="AE1060" i="46" s="1"/>
  <c r="K904" i="46"/>
  <c r="V907" i="46" s="1"/>
  <c r="I1261" i="46"/>
  <c r="AS944" i="46"/>
  <c r="AS940" i="46"/>
  <c r="AS937" i="46"/>
  <c r="AS935" i="46"/>
  <c r="AS931" i="46"/>
  <c r="AS927" i="46"/>
  <c r="AS919" i="46"/>
  <c r="AS916" i="46"/>
  <c r="AS911" i="46"/>
  <c r="AS907" i="46"/>
  <c r="AS905" i="46"/>
  <c r="AS896" i="46"/>
  <c r="AS892" i="46"/>
  <c r="AS886" i="46"/>
  <c r="AS876" i="46"/>
  <c r="AS873" i="46"/>
  <c r="AS872" i="46"/>
  <c r="AS868" i="46"/>
  <c r="AS942" i="46"/>
  <c r="AS939" i="46"/>
  <c r="AS936" i="46"/>
  <c r="AS934" i="46"/>
  <c r="AS930" i="46"/>
  <c r="AS926" i="46"/>
  <c r="AS922" i="46"/>
  <c r="AS918" i="46"/>
  <c r="AS913" i="46"/>
  <c r="AS910" i="46"/>
  <c r="AS904" i="46"/>
  <c r="AS900" i="46"/>
  <c r="AS898" i="46"/>
  <c r="AS895" i="46"/>
  <c r="AS890" i="46"/>
  <c r="AS885" i="46"/>
  <c r="AS880" i="46"/>
  <c r="AS879" i="46"/>
  <c r="AS871" i="46"/>
  <c r="AS867" i="46"/>
  <c r="AS938" i="46"/>
  <c r="AS933" i="46"/>
  <c r="AS929" i="46"/>
  <c r="AS925" i="46"/>
  <c r="AS923" i="46"/>
  <c r="AS921" i="46"/>
  <c r="AS915" i="46"/>
  <c r="AS912" i="46"/>
  <c r="AS909" i="46"/>
  <c r="AS906" i="46"/>
  <c r="AS902" i="46"/>
  <c r="AS897" i="46"/>
  <c r="AS894" i="46"/>
  <c r="AS891" i="46"/>
  <c r="AS889" i="46"/>
  <c r="AS888" i="46"/>
  <c r="AS883" i="46"/>
  <c r="AS882" i="46"/>
  <c r="AS881" i="46"/>
  <c r="AS878" i="46"/>
  <c r="AS875" i="46"/>
  <c r="AS874" i="46"/>
  <c r="AS870" i="46"/>
  <c r="AS866" i="46"/>
  <c r="AS943" i="46"/>
  <c r="AS941" i="46"/>
  <c r="AS932" i="46"/>
  <c r="AS928" i="46"/>
  <c r="AS924" i="46"/>
  <c r="AS920" i="46"/>
  <c r="AS917" i="46"/>
  <c r="AS914" i="46"/>
  <c r="AS908" i="46"/>
  <c r="AS903" i="46"/>
  <c r="AS901" i="46"/>
  <c r="AS899" i="46"/>
  <c r="AS893" i="46"/>
  <c r="AS887" i="46"/>
  <c r="AS884" i="46"/>
  <c r="AS877" i="46"/>
  <c r="AS869" i="46"/>
  <c r="AS865" i="46"/>
  <c r="U882" i="46"/>
  <c r="AD881" i="46" s="1"/>
  <c r="R1161" i="46"/>
  <c r="W1161" i="46" s="1"/>
  <c r="T1212" i="46"/>
  <c r="U1123" i="46"/>
  <c r="Y1003" i="46"/>
  <c r="Y1062" i="46"/>
  <c r="Z1000" i="46"/>
  <c r="M1197" i="46"/>
  <c r="P1199" i="46"/>
  <c r="U1231" i="46"/>
  <c r="I1232" i="46"/>
  <c r="Q1277" i="46" s="1"/>
  <c r="V1264" i="46"/>
  <c r="AC1267" i="46"/>
  <c r="U1269" i="46" s="1"/>
  <c r="AG896" i="46"/>
  <c r="AG1179" i="46"/>
  <c r="P1179" i="46"/>
  <c r="U1182" i="46"/>
  <c r="I1209" i="46"/>
  <c r="U1209" i="46" s="1"/>
  <c r="Q1182" i="46"/>
  <c r="L1179" i="46"/>
  <c r="I1177" i="46"/>
  <c r="I1257" i="46"/>
  <c r="S1257" i="46" s="1"/>
  <c r="E1257" i="46"/>
  <c r="K876" i="46"/>
  <c r="N906" i="46" s="1"/>
  <c r="P1098" i="46"/>
  <c r="I1157" i="46"/>
  <c r="M1158" i="46"/>
  <c r="AB1045" i="46"/>
  <c r="X1045" i="46"/>
  <c r="R1046" i="46"/>
  <c r="U1045" i="46"/>
  <c r="K914" i="46"/>
  <c r="U916" i="46"/>
  <c r="P915" i="46"/>
  <c r="AL917" i="46" s="1"/>
  <c r="L915" i="46"/>
  <c r="AE443" i="46"/>
  <c r="K1015" i="46"/>
  <c r="R924" i="46"/>
  <c r="AS1203" i="46"/>
  <c r="AS1190" i="46"/>
  <c r="AS1186" i="46"/>
  <c r="AS1183" i="46"/>
  <c r="AS1174" i="46"/>
  <c r="AS1170" i="46"/>
  <c r="AS1195" i="46"/>
  <c r="AS1189" i="46"/>
  <c r="AS1185" i="46"/>
  <c r="AS1179" i="46"/>
  <c r="AS1178" i="46"/>
  <c r="AS1173" i="46"/>
  <c r="AS1169" i="46"/>
  <c r="AS1166" i="46"/>
  <c r="AS1165" i="46"/>
  <c r="AS1194" i="46"/>
  <c r="AS1192" i="46"/>
  <c r="AS1188" i="46"/>
  <c r="AS1184" i="46"/>
  <c r="AS1182" i="46"/>
  <c r="AS1181" i="46"/>
  <c r="AS1177" i="46"/>
  <c r="AS1175" i="46"/>
  <c r="AS1172" i="46"/>
  <c r="AS1168" i="46"/>
  <c r="AS1187" i="46"/>
  <c r="AS1171" i="46"/>
  <c r="AS1193" i="46"/>
  <c r="AS1167" i="46"/>
  <c r="AS1191" i="46"/>
  <c r="AS1180" i="46"/>
  <c r="AS1176" i="46"/>
  <c r="X1017" i="46"/>
  <c r="AE286" i="45" a="1"/>
  <c r="AE286" i="45" s="1"/>
  <c r="AE282" i="45" a="1"/>
  <c r="AE282" i="45" s="1"/>
  <c r="AO493" i="45" s="1"/>
  <c r="AE278" i="45" a="1"/>
  <c r="AE278" i="45" s="1"/>
  <c r="AB664" i="45" s="1"/>
  <c r="AE274" i="45" a="1"/>
  <c r="AE274" i="45" s="1"/>
  <c r="AE270" i="45" a="1"/>
  <c r="AE270" i="45" s="1"/>
  <c r="AS270" i="45" s="1"/>
  <c r="AE266" i="45" a="1"/>
  <c r="AE266" i="45" s="1"/>
  <c r="AS266" i="45" s="1"/>
  <c r="AE262" i="45" a="1"/>
  <c r="AE262" i="45" s="1"/>
  <c r="AE258" i="45" a="1"/>
  <c r="AE258" i="45" s="1"/>
  <c r="AE254" i="45" a="1"/>
  <c r="AE254" i="45" s="1"/>
  <c r="AE251" i="45" a="1"/>
  <c r="AE251" i="45" s="1"/>
  <c r="K336" i="45" s="1"/>
  <c r="AI341" i="45" s="1"/>
  <c r="AE296" i="45" a="1"/>
  <c r="AE296" i="45" s="1"/>
  <c r="AE285" i="45" a="1"/>
  <c r="AE285" i="45" s="1"/>
  <c r="AE277" i="45" a="1"/>
  <c r="AE277" i="45" s="1"/>
  <c r="X664" i="45" s="1"/>
  <c r="AE273" i="45" a="1"/>
  <c r="AE273" i="45" s="1"/>
  <c r="I691" i="45" s="1"/>
  <c r="AE269" i="45" a="1"/>
  <c r="AE269" i="45" s="1"/>
  <c r="AS269" i="45" s="1"/>
  <c r="AE265" i="45" a="1"/>
  <c r="AE265" i="45" s="1"/>
  <c r="AE261" i="45" a="1"/>
  <c r="AE261" i="45" s="1"/>
  <c r="Z671" i="45" s="1"/>
  <c r="AE257" i="45" a="1"/>
  <c r="AE257" i="45" s="1"/>
  <c r="AE253" i="45" a="1"/>
  <c r="AE253" i="45" s="1"/>
  <c r="AE250" i="45" a="1"/>
  <c r="AE250" i="45" s="1"/>
  <c r="AE293" i="45" a="1"/>
  <c r="AE293" i="45" s="1"/>
  <c r="AE284" i="45" a="1"/>
  <c r="AE284" i="45" s="1"/>
  <c r="AE280" i="45" a="1"/>
  <c r="AE280" i="45" s="1"/>
  <c r="AG493" i="45" s="1"/>
  <c r="AE276" i="45" a="1"/>
  <c r="AE276" i="45" s="1"/>
  <c r="AC331" i="45" s="1"/>
  <c r="AE272" i="45" a="1"/>
  <c r="AE272" i="45" s="1"/>
  <c r="I693" i="45" s="1"/>
  <c r="AE268" i="45" a="1"/>
  <c r="AE268" i="45" s="1"/>
  <c r="AS268" i="45" s="1"/>
  <c r="AE264" i="45" a="1"/>
  <c r="AE264" i="45" s="1"/>
  <c r="AE260" i="45" a="1"/>
  <c r="AE260" i="45" s="1"/>
  <c r="AE256" i="45" a="1"/>
  <c r="AE256" i="45" s="1"/>
  <c r="R338" i="45" s="1"/>
  <c r="AE252" i="45" a="1"/>
  <c r="AE252" i="45" s="1"/>
  <c r="AE283" i="45" a="1"/>
  <c r="AE283" i="45" s="1"/>
  <c r="L308" i="45" s="1"/>
  <c r="AE279" i="45" a="1"/>
  <c r="AE279" i="45" s="1"/>
  <c r="AF664" i="45" s="1"/>
  <c r="AE271" i="45" a="1"/>
  <c r="AE271" i="45" s="1"/>
  <c r="AS271" i="45" s="1"/>
  <c r="AE259" i="45" a="1"/>
  <c r="AE259" i="45" s="1"/>
  <c r="AE281" i="45" a="1"/>
  <c r="AE281" i="45" s="1"/>
  <c r="AK493" i="45" s="1"/>
  <c r="AE292" i="45" a="1"/>
  <c r="AE292" i="45" s="1"/>
  <c r="AE275" i="45" a="1"/>
  <c r="AE275" i="45" s="1"/>
  <c r="Y331" i="45" s="1"/>
  <c r="AE267" i="45" a="1"/>
  <c r="AE267" i="45" s="1"/>
  <c r="AS267" i="45" s="1"/>
  <c r="AE255" i="45" a="1"/>
  <c r="AE255" i="45" s="1"/>
  <c r="U338" i="45" s="1"/>
  <c r="AE263" i="45" a="1"/>
  <c r="AE263" i="45" s="1"/>
  <c r="J599" i="45"/>
  <c r="AS626" i="45" s="1"/>
  <c r="K300" i="45"/>
  <c r="AS302" i="45" s="1"/>
  <c r="L779" i="46" l="1"/>
  <c r="L799" i="46"/>
  <c r="H801" i="46" s="1"/>
  <c r="H758" i="46"/>
  <c r="H779" i="46"/>
  <c r="P780" i="46"/>
  <c r="X779" i="46"/>
  <c r="AO789" i="46"/>
  <c r="AK546" i="46"/>
  <c r="X758" i="46"/>
  <c r="L718" i="46"/>
  <c r="L758" i="46"/>
  <c r="H740" i="46"/>
  <c r="H738" i="46"/>
  <c r="AH687" i="46"/>
  <c r="AO687" i="46" s="1"/>
  <c r="AH686" i="46"/>
  <c r="AO686" i="46" s="1"/>
  <c r="AH691" i="46"/>
  <c r="AO691" i="46" s="1"/>
  <c r="H719" i="46"/>
  <c r="G717" i="46"/>
  <c r="AH684" i="46"/>
  <c r="AO684" i="46" s="1"/>
  <c r="AF550" i="46"/>
  <c r="AF548" i="46"/>
  <c r="AF546" i="46"/>
  <c r="AF549" i="46"/>
  <c r="AF547" i="46"/>
  <c r="AB696" i="46"/>
  <c r="AK548" i="46"/>
  <c r="AK547" i="46"/>
  <c r="AO683" i="46"/>
  <c r="P658" i="46"/>
  <c r="P696" i="46"/>
  <c r="L658" i="46"/>
  <c r="L696" i="46"/>
  <c r="AH649" i="46"/>
  <c r="AO649" i="46" s="1"/>
  <c r="AB620" i="46"/>
  <c r="AB658" i="46"/>
  <c r="AO645" i="46"/>
  <c r="AH653" i="46"/>
  <c r="AO653" i="46" s="1"/>
  <c r="AH648" i="46"/>
  <c r="AO648" i="46" s="1"/>
  <c r="AH644" i="46"/>
  <c r="AO644" i="46" s="1"/>
  <c r="AH646" i="46"/>
  <c r="AO646" i="46" s="1"/>
  <c r="O600" i="46"/>
  <c r="P620" i="46"/>
  <c r="K600" i="46"/>
  <c r="L620" i="46"/>
  <c r="S611" i="46"/>
  <c r="AO590" i="46"/>
  <c r="AA600" i="46"/>
  <c r="H580" i="46"/>
  <c r="L580" i="46"/>
  <c r="X580" i="46"/>
  <c r="Z581" i="46"/>
  <c r="X559" i="46"/>
  <c r="L559" i="46"/>
  <c r="P559" i="46"/>
  <c r="AF539" i="46"/>
  <c r="AJ539" i="46" s="1"/>
  <c r="AF537" i="46"/>
  <c r="AJ537" i="46" s="1"/>
  <c r="AF535" i="46"/>
  <c r="AF542" i="46"/>
  <c r="AJ542" i="46" s="1"/>
  <c r="A542" i="46" s="1"/>
  <c r="AF538" i="46"/>
  <c r="AJ538" i="46" s="1"/>
  <c r="AF536" i="46"/>
  <c r="AJ536" i="46" s="1"/>
  <c r="AF540" i="46"/>
  <c r="AJ540" i="46" s="1"/>
  <c r="AF541" i="46"/>
  <c r="AJ541" i="46" s="1"/>
  <c r="AK535" i="46"/>
  <c r="AC915" i="46"/>
  <c r="Y917" i="46" s="1"/>
  <c r="Q1023" i="46"/>
  <c r="Y1005" i="46"/>
  <c r="O1010" i="46"/>
  <c r="W889" i="46"/>
  <c r="Z889" i="46" s="1"/>
  <c r="K891" i="46" s="1"/>
  <c r="K892" i="46" s="1"/>
  <c r="AB906" i="46" s="1"/>
  <c r="Y880" i="46"/>
  <c r="AD880" i="46" s="1"/>
  <c r="K884" i="46" s="1"/>
  <c r="K885" i="46" s="1"/>
  <c r="U906" i="46" s="1"/>
  <c r="M1028" i="46"/>
  <c r="W1023" i="46"/>
  <c r="AS1261" i="46"/>
  <c r="AS1259" i="46"/>
  <c r="R1264" i="46"/>
  <c r="AA1264" i="46" s="1"/>
  <c r="AS1260" i="46"/>
  <c r="R1263" i="46"/>
  <c r="O1075" i="46"/>
  <c r="AM1067" i="46"/>
  <c r="AJ1069" i="46" s="1"/>
  <c r="V1072" i="46"/>
  <c r="Y1096" i="46" s="1"/>
  <c r="Y1098" i="46" s="1"/>
  <c r="X1101" i="46" s="1"/>
  <c r="AH917" i="46"/>
  <c r="V1091" i="46"/>
  <c r="S1065" i="46"/>
  <c r="AG1049" i="46"/>
  <c r="R1057" i="46"/>
  <c r="AI1060" i="46" s="1"/>
  <c r="R1061" i="46" s="1"/>
  <c r="Z1061" i="46" s="1"/>
  <c r="M1091" i="46"/>
  <c r="W1049" i="46"/>
  <c r="AB1103" i="46"/>
  <c r="W1105" i="46" s="1"/>
  <c r="K1211" i="46"/>
  <c r="I1262" i="46"/>
  <c r="T1024" i="46"/>
  <c r="AK1023" i="46"/>
  <c r="AJ1010" i="46"/>
  <c r="R1011" i="46"/>
  <c r="W1007" i="46"/>
  <c r="W1020" i="46" s="1"/>
  <c r="K1004" i="46"/>
  <c r="R1047" i="46"/>
  <c r="Q1044" i="46"/>
  <c r="P1040" i="46"/>
  <c r="I1065" i="46" s="1"/>
  <c r="J1040" i="46"/>
  <c r="T1125" i="46"/>
  <c r="T1135" i="46"/>
  <c r="T1140" i="46"/>
  <c r="M986" i="46"/>
  <c r="T1120" i="46"/>
  <c r="T1130" i="46"/>
  <c r="U1179" i="46"/>
  <c r="T695" i="45"/>
  <c r="I692" i="45"/>
  <c r="S692" i="45" s="1"/>
  <c r="E692" i="45"/>
  <c r="X695" i="45"/>
  <c r="AS379" i="45"/>
  <c r="AS375" i="45"/>
  <c r="AS371" i="45"/>
  <c r="AS367" i="45"/>
  <c r="AS363" i="45"/>
  <c r="AS359" i="45"/>
  <c r="AS355" i="45"/>
  <c r="AS351" i="45"/>
  <c r="AS347" i="45"/>
  <c r="AS343" i="45"/>
  <c r="AS339" i="45"/>
  <c r="AS335" i="45"/>
  <c r="AS331" i="45"/>
  <c r="AS327" i="45"/>
  <c r="AS323" i="45"/>
  <c r="AS319" i="45"/>
  <c r="AS315" i="45"/>
  <c r="AS311" i="45"/>
  <c r="AS307" i="45"/>
  <c r="AS303" i="45"/>
  <c r="AS378" i="45"/>
  <c r="AS374" i="45"/>
  <c r="AS370" i="45"/>
  <c r="AS366" i="45"/>
  <c r="AS362" i="45"/>
  <c r="AS358" i="45"/>
  <c r="AS354" i="45"/>
  <c r="AS350" i="45"/>
  <c r="AS346" i="45"/>
  <c r="AS342" i="45"/>
  <c r="AS338" i="45"/>
  <c r="AS334" i="45"/>
  <c r="AS330" i="45"/>
  <c r="AS326" i="45"/>
  <c r="AS322" i="45"/>
  <c r="AS318" i="45"/>
  <c r="AS314" i="45"/>
  <c r="AS310" i="45"/>
  <c r="AS306" i="45"/>
  <c r="AS377" i="45"/>
  <c r="AS373" i="45"/>
  <c r="AS369" i="45"/>
  <c r="AS365" i="45"/>
  <c r="AS361" i="45"/>
  <c r="AS357" i="45"/>
  <c r="AS353" i="45"/>
  <c r="AS349" i="45"/>
  <c r="AS345" i="45"/>
  <c r="AS341" i="45"/>
  <c r="AS337" i="45"/>
  <c r="AS333" i="45"/>
  <c r="AS329" i="45"/>
  <c r="AS325" i="45"/>
  <c r="AS321" i="45"/>
  <c r="AS317" i="45"/>
  <c r="AS313" i="45"/>
  <c r="AS309" i="45"/>
  <c r="AS305" i="45"/>
  <c r="AS301" i="45"/>
  <c r="AS376" i="45"/>
  <c r="AS372" i="45"/>
  <c r="AS368" i="45"/>
  <c r="AS364" i="45"/>
  <c r="AS360" i="45"/>
  <c r="AS356" i="45"/>
  <c r="AS352" i="45"/>
  <c r="AS348" i="45"/>
  <c r="AS344" i="45"/>
  <c r="AS340" i="45"/>
  <c r="AS336" i="45"/>
  <c r="AS332" i="45"/>
  <c r="AS328" i="45"/>
  <c r="AS324" i="45"/>
  <c r="AS320" i="45"/>
  <c r="AS316" i="45"/>
  <c r="AS312" i="45"/>
  <c r="AS308" i="45"/>
  <c r="AS304" i="45"/>
  <c r="AS300" i="45"/>
  <c r="AS630" i="45"/>
  <c r="AS638" i="45"/>
  <c r="AS629" i="45"/>
  <c r="AS625" i="45"/>
  <c r="AS621" i="45"/>
  <c r="AS617" i="45"/>
  <c r="AS613" i="45"/>
  <c r="AS609" i="45"/>
  <c r="AS605" i="45"/>
  <c r="AS601" i="45"/>
  <c r="AS619" i="45"/>
  <c r="AS607" i="45"/>
  <c r="AS618" i="45"/>
  <c r="AS610" i="45"/>
  <c r="AS628" i="45"/>
  <c r="AS624" i="45"/>
  <c r="AS620" i="45"/>
  <c r="AS616" i="45"/>
  <c r="AS612" i="45"/>
  <c r="AS608" i="45"/>
  <c r="AS604" i="45"/>
  <c r="AS600" i="45"/>
  <c r="AS623" i="45"/>
  <c r="AS615" i="45"/>
  <c r="AS603" i="45"/>
  <c r="AS602" i="45"/>
  <c r="AS627" i="45"/>
  <c r="AS611" i="45"/>
  <c r="AS622" i="45"/>
  <c r="AS614" i="45"/>
  <c r="AS606" i="45"/>
  <c r="V698" i="45"/>
  <c r="V699" i="45" s="1"/>
  <c r="R671" i="45"/>
  <c r="O628" i="45"/>
  <c r="S628" i="45" s="1"/>
  <c r="P634" i="45" s="1"/>
  <c r="I665" i="45"/>
  <c r="U666" i="45" s="1"/>
  <c r="T411" i="45"/>
  <c r="X647" i="45"/>
  <c r="Z594" i="45"/>
  <c r="AF666" i="45" s="1"/>
  <c r="P644" i="45"/>
  <c r="O595" i="45"/>
  <c r="O646" i="45"/>
  <c r="M697" i="45" s="1"/>
  <c r="P702" i="45" s="1"/>
  <c r="AD704" i="45" s="1"/>
  <c r="I602" i="45"/>
  <c r="T601" i="45" s="1"/>
  <c r="I610" i="45"/>
  <c r="I644" i="45" s="1"/>
  <c r="K335" i="45"/>
  <c r="N611" i="45"/>
  <c r="R611" i="45" s="1"/>
  <c r="Q617" i="45" s="1"/>
  <c r="K332" i="45"/>
  <c r="F371" i="45"/>
  <c r="AE248" i="45"/>
  <c r="K349" i="45" s="1"/>
  <c r="U331" i="45"/>
  <c r="AG331" i="45" s="1"/>
  <c r="K334" i="45"/>
  <c r="R494" i="45"/>
  <c r="Y495" i="45" s="1"/>
  <c r="W809" i="46" l="1"/>
  <c r="AH809" i="46" s="1"/>
  <c r="AO809" i="46" s="1"/>
  <c r="W807" i="46"/>
  <c r="AH807" i="46" s="1"/>
  <c r="AO807" i="46" s="1"/>
  <c r="T805" i="46"/>
  <c r="AH805" i="46"/>
  <c r="AO805" i="46" s="1"/>
  <c r="AH812" i="46"/>
  <c r="AO812" i="46" s="1"/>
  <c r="T814" i="46"/>
  <c r="AH813" i="46"/>
  <c r="AO813" i="46" s="1"/>
  <c r="T811" i="46"/>
  <c r="AH814" i="46"/>
  <c r="AO814" i="46" s="1"/>
  <c r="T810" i="46"/>
  <c r="AH806" i="46"/>
  <c r="AO806" i="46" s="1"/>
  <c r="T812" i="46"/>
  <c r="AH810" i="46"/>
  <c r="AO810" i="46" s="1"/>
  <c r="T813" i="46"/>
  <c r="AH811" i="46"/>
  <c r="AO811" i="46" s="1"/>
  <c r="T806" i="46"/>
  <c r="H781" i="46"/>
  <c r="H760" i="46"/>
  <c r="T766" i="46" s="1"/>
  <c r="X749" i="46"/>
  <c r="AH749" i="46" s="1"/>
  <c r="AO749" i="46" s="1"/>
  <c r="AH746" i="46"/>
  <c r="AO746" i="46" s="1"/>
  <c r="T746" i="46"/>
  <c r="T727" i="46"/>
  <c r="AH727" i="46" s="1"/>
  <c r="AO727" i="46" s="1"/>
  <c r="X732" i="46"/>
  <c r="AH732" i="46" s="1"/>
  <c r="AO732" i="46" s="1"/>
  <c r="T729" i="46"/>
  <c r="X731" i="46"/>
  <c r="AH731" i="46" s="1"/>
  <c r="AO731" i="46" s="1"/>
  <c r="AH725" i="46"/>
  <c r="AO725" i="46" s="1"/>
  <c r="X724" i="46"/>
  <c r="AH724" i="46" s="1"/>
  <c r="AO724" i="46" s="1"/>
  <c r="T723" i="46"/>
  <c r="AH723" i="46" s="1"/>
  <c r="AO723" i="46" s="1"/>
  <c r="T725" i="46"/>
  <c r="AH728" i="46"/>
  <c r="AO728" i="46" s="1"/>
  <c r="H660" i="46"/>
  <c r="X671" i="46" s="1"/>
  <c r="AH671" i="46" s="1"/>
  <c r="AO671" i="46" s="1"/>
  <c r="AJ546" i="46"/>
  <c r="AJ548" i="46"/>
  <c r="H698" i="46"/>
  <c r="AJ550" i="46"/>
  <c r="AJ549" i="46"/>
  <c r="AJ547" i="46"/>
  <c r="AO654" i="46"/>
  <c r="T673" i="46"/>
  <c r="H622" i="46"/>
  <c r="Z626" i="46" s="1"/>
  <c r="H602" i="46"/>
  <c r="S606" i="46" s="1"/>
  <c r="S615" i="46"/>
  <c r="H582" i="46"/>
  <c r="S593" i="46" s="1"/>
  <c r="H561" i="46"/>
  <c r="S569" i="46" s="1"/>
  <c r="AH569" i="46" s="1"/>
  <c r="AO569" i="46" s="1"/>
  <c r="AJ535" i="46"/>
  <c r="A535" i="46" s="1"/>
  <c r="A539" i="46"/>
  <c r="A538" i="46"/>
  <c r="A540" i="46"/>
  <c r="A537" i="46"/>
  <c r="A536" i="46"/>
  <c r="A541" i="46"/>
  <c r="K918" i="46"/>
  <c r="V924" i="46" s="1"/>
  <c r="AC923" i="46" s="1"/>
  <c r="AN906" i="46"/>
  <c r="AS1110" i="46"/>
  <c r="AS1098" i="46"/>
  <c r="AS1096" i="46"/>
  <c r="AS1095" i="46"/>
  <c r="AS1100" i="46"/>
  <c r="AS1097" i="46"/>
  <c r="AS1109" i="46"/>
  <c r="AS1108" i="46"/>
  <c r="AS1099" i="46"/>
  <c r="AS1094" i="46"/>
  <c r="AS1089" i="46"/>
  <c r="AS1086" i="46"/>
  <c r="AS1082" i="46"/>
  <c r="AS1070" i="46"/>
  <c r="AS1107" i="46"/>
  <c r="AS1092" i="46"/>
  <c r="AS1090" i="46"/>
  <c r="AS1084" i="46"/>
  <c r="AS1067" i="46"/>
  <c r="AS1063" i="46"/>
  <c r="AS1060" i="46"/>
  <c r="AS1059" i="46"/>
  <c r="AS1056" i="46"/>
  <c r="AS1051" i="46"/>
  <c r="AS1047" i="46"/>
  <c r="AS1045" i="46"/>
  <c r="AS1044" i="46"/>
  <c r="AS1041" i="46"/>
  <c r="AS1039" i="46"/>
  <c r="AS1035" i="46"/>
  <c r="AS1030" i="46"/>
  <c r="AS1018" i="46"/>
  <c r="AS1014" i="46"/>
  <c r="AS1003" i="46"/>
  <c r="AS1002" i="46"/>
  <c r="AS999" i="46"/>
  <c r="AS995" i="46"/>
  <c r="AS991" i="46"/>
  <c r="AS1091" i="46"/>
  <c r="AS1088" i="46"/>
  <c r="AS1083" i="46"/>
  <c r="AS1066" i="46"/>
  <c r="AS1062" i="46"/>
  <c r="AS1061" i="46"/>
  <c r="AS1054" i="46"/>
  <c r="AS1050" i="46"/>
  <c r="AS1049" i="46"/>
  <c r="AS1040" i="46"/>
  <c r="AS1038" i="46"/>
  <c r="AS1034" i="46"/>
  <c r="AS1031" i="46"/>
  <c r="AS1006" i="46"/>
  <c r="AS998" i="46"/>
  <c r="AS994" i="46"/>
  <c r="AS990" i="46"/>
  <c r="AS1087" i="46"/>
  <c r="AS1081" i="46"/>
  <c r="AS1058" i="46"/>
  <c r="AS1057" i="46"/>
  <c r="AS1055" i="46"/>
  <c r="AS1053" i="46"/>
  <c r="AS1048" i="46"/>
  <c r="AS1046" i="46"/>
  <c r="AS1043" i="46"/>
  <c r="AS1037" i="46"/>
  <c r="AS1033" i="46"/>
  <c r="AS1017" i="46"/>
  <c r="AS1015" i="46"/>
  <c r="AS1004" i="46"/>
  <c r="AS1000" i="46"/>
  <c r="AS997" i="46"/>
  <c r="AS993" i="46"/>
  <c r="AS989" i="46"/>
  <c r="AS1093" i="46"/>
  <c r="AS1085" i="46"/>
  <c r="AS1080" i="46"/>
  <c r="AS1071" i="46"/>
  <c r="AS1069" i="46"/>
  <c r="AS1068" i="46"/>
  <c r="AS1065" i="46"/>
  <c r="AS1064" i="46"/>
  <c r="AS1052" i="46"/>
  <c r="AS1042" i="46"/>
  <c r="AS1036" i="46"/>
  <c r="AS1032" i="46"/>
  <c r="AS1019" i="46"/>
  <c r="AS1016" i="46"/>
  <c r="AS1005" i="46"/>
  <c r="AS1001" i="46"/>
  <c r="AS996" i="46"/>
  <c r="AS992" i="46"/>
  <c r="L987" i="46"/>
  <c r="M1088" i="46"/>
  <c r="S1049" i="46"/>
  <c r="R1048" i="46"/>
  <c r="AA1262" i="46"/>
  <c r="V1236" i="46"/>
  <c r="I1237" i="46" s="1"/>
  <c r="M1272" i="46" s="1"/>
  <c r="L1267" i="46"/>
  <c r="Z1269" i="46" s="1"/>
  <c r="AS1143" i="46"/>
  <c r="AS1141" i="46"/>
  <c r="AS1142" i="46"/>
  <c r="AS1140" i="46"/>
  <c r="O1065" i="46"/>
  <c r="I1066" i="46" s="1"/>
  <c r="R1091" i="46"/>
  <c r="AC1049" i="46"/>
  <c r="X1103" i="46"/>
  <c r="M1102" i="46"/>
  <c r="AS1132" i="46"/>
  <c r="AS1130" i="46"/>
  <c r="AS1133" i="46"/>
  <c r="AS1131" i="46"/>
  <c r="AS1135" i="46"/>
  <c r="AS1138" i="46"/>
  <c r="AS1137" i="46"/>
  <c r="AS1136" i="46"/>
  <c r="Z1010" i="46"/>
  <c r="Z1011" i="46"/>
  <c r="AG1003" i="46"/>
  <c r="AS1008" i="46" s="1"/>
  <c r="AG1002" i="46"/>
  <c r="Y1267" i="46"/>
  <c r="Q1269" i="46" s="1"/>
  <c r="AA1263" i="46"/>
  <c r="AS1121" i="46"/>
  <c r="AS1120" i="46"/>
  <c r="AS1122" i="46"/>
  <c r="AS1123" i="46"/>
  <c r="AS1125" i="46"/>
  <c r="AS1127" i="46"/>
  <c r="AS1128" i="46"/>
  <c r="AS1126" i="46"/>
  <c r="AD1109" i="46"/>
  <c r="U1062" i="46"/>
  <c r="AH1062" i="46" s="1"/>
  <c r="AC1017" i="46"/>
  <c r="K1006" i="46"/>
  <c r="V1011" i="46" s="1"/>
  <c r="I696" i="45"/>
  <c r="R698" i="45" s="1"/>
  <c r="Y702" i="45" s="1"/>
  <c r="Q704" i="45" s="1"/>
  <c r="AS694" i="45"/>
  <c r="AS696" i="45"/>
  <c r="AS695" i="45"/>
  <c r="AC702" i="45"/>
  <c r="U704" i="45" s="1"/>
  <c r="M632" i="45"/>
  <c r="I667" i="45"/>
  <c r="Q712" i="45" s="1"/>
  <c r="U644" i="45"/>
  <c r="U617" i="45"/>
  <c r="AG614" i="45"/>
  <c r="P614" i="45"/>
  <c r="I612" i="45"/>
  <c r="L614" i="45"/>
  <c r="I592" i="45"/>
  <c r="M593" i="45"/>
  <c r="I593" i="45"/>
  <c r="AB480" i="45"/>
  <c r="M526" i="45" s="1"/>
  <c r="AB413" i="45"/>
  <c r="U480" i="45"/>
  <c r="U413" i="45"/>
  <c r="X480" i="45"/>
  <c r="R481" i="45"/>
  <c r="V526" i="45" s="1"/>
  <c r="X773" i="46" l="1"/>
  <c r="AH773" i="46" s="1"/>
  <c r="AO773" i="46" s="1"/>
  <c r="AH766" i="46"/>
  <c r="AO766" i="46" s="1"/>
  <c r="AH787" i="46"/>
  <c r="AO787" i="46" s="1"/>
  <c r="T789" i="46"/>
  <c r="T787" i="46"/>
  <c r="T791" i="46"/>
  <c r="AH791" i="46" s="1"/>
  <c r="AO791" i="46" s="1"/>
  <c r="X786" i="46"/>
  <c r="AH786" i="46" s="1"/>
  <c r="AO786" i="46" s="1"/>
  <c r="X793" i="46"/>
  <c r="AH793" i="46" s="1"/>
  <c r="AO793" i="46" s="1"/>
  <c r="T785" i="46"/>
  <c r="AH785" i="46" s="1"/>
  <c r="AO785" i="46" s="1"/>
  <c r="X790" i="46"/>
  <c r="AH790" i="46" s="1"/>
  <c r="AO790" i="46" s="1"/>
  <c r="X794" i="46"/>
  <c r="AH794" i="46" s="1"/>
  <c r="AO794" i="46" s="1"/>
  <c r="T792" i="46"/>
  <c r="AH792" i="46" s="1"/>
  <c r="AO792" i="46" s="1"/>
  <c r="T764" i="46"/>
  <c r="AH764" i="46" s="1"/>
  <c r="AO764" i="46" s="1"/>
  <c r="X772" i="46"/>
  <c r="AH772" i="46" s="1"/>
  <c r="AO772" i="46" s="1"/>
  <c r="T768" i="46"/>
  <c r="AH768" i="46" s="1"/>
  <c r="AO768" i="46" s="1"/>
  <c r="T770" i="46"/>
  <c r="X769" i="46"/>
  <c r="X765" i="46"/>
  <c r="AH765" i="46" s="1"/>
  <c r="AO765" i="46" s="1"/>
  <c r="T730" i="46"/>
  <c r="AH730" i="46" s="1"/>
  <c r="AO730" i="46" s="1"/>
  <c r="AH729" i="46"/>
  <c r="AO729" i="46" s="1"/>
  <c r="T670" i="46"/>
  <c r="AH670" i="46" s="1"/>
  <c r="AO670" i="46" s="1"/>
  <c r="Z664" i="46"/>
  <c r="AH669" i="46" s="1"/>
  <c r="AO669" i="46" s="1"/>
  <c r="T667" i="46"/>
  <c r="AH667" i="46" s="1"/>
  <c r="AO667" i="46" s="1"/>
  <c r="T668" i="46"/>
  <c r="T669" i="46"/>
  <c r="T666" i="46"/>
  <c r="T665" i="46"/>
  <c r="AH606" i="46"/>
  <c r="AO606" i="46" s="1"/>
  <c r="T635" i="46"/>
  <c r="S609" i="46"/>
  <c r="AH609" i="46" s="1"/>
  <c r="AO609" i="46" s="1"/>
  <c r="V608" i="46"/>
  <c r="AH608" i="46" s="1"/>
  <c r="AO608" i="46" s="1"/>
  <c r="T628" i="46"/>
  <c r="I1268" i="46"/>
  <c r="AB612" i="46"/>
  <c r="V610" i="46"/>
  <c r="AH610" i="46" s="1"/>
  <c r="AO610" i="46" s="1"/>
  <c r="A546" i="46"/>
  <c r="A550" i="46"/>
  <c r="AH612" i="46"/>
  <c r="AO612" i="46" s="1"/>
  <c r="Z607" i="46"/>
  <c r="AH607" i="46" s="1"/>
  <c r="AO607" i="46" s="1"/>
  <c r="V611" i="46"/>
  <c r="AH611" i="46" s="1"/>
  <c r="AO611" i="46" s="1"/>
  <c r="A547" i="46"/>
  <c r="X708" i="46"/>
  <c r="AH708" i="46" s="1"/>
  <c r="AO708" i="46" s="1"/>
  <c r="X709" i="46"/>
  <c r="AH709" i="46" s="1"/>
  <c r="AO709" i="46" s="1"/>
  <c r="Z702" i="46"/>
  <c r="T705" i="46"/>
  <c r="AH705" i="46" s="1"/>
  <c r="AO705" i="46" s="1"/>
  <c r="T706" i="46"/>
  <c r="T711" i="46"/>
  <c r="T707" i="46"/>
  <c r="T704" i="46"/>
  <c r="T703" i="46"/>
  <c r="A549" i="46"/>
  <c r="A548" i="46"/>
  <c r="T631" i="46"/>
  <c r="AH666" i="46"/>
  <c r="AO666" i="46" s="1"/>
  <c r="AH668" i="46"/>
  <c r="AO668" i="46" s="1"/>
  <c r="AH665" i="46"/>
  <c r="AO665" i="46" s="1"/>
  <c r="AH673" i="46"/>
  <c r="AO673" i="46" s="1"/>
  <c r="AH613" i="46"/>
  <c r="AO613" i="46" s="1"/>
  <c r="AB613" i="46"/>
  <c r="V615" i="46"/>
  <c r="AH615" i="46" s="1"/>
  <c r="AO615" i="46" s="1"/>
  <c r="T630" i="46"/>
  <c r="T633" i="46"/>
  <c r="AH633" i="46" s="1"/>
  <c r="AO633" i="46" s="1"/>
  <c r="T627" i="46"/>
  <c r="T629" i="46"/>
  <c r="AH629" i="46" s="1"/>
  <c r="AO629" i="46" s="1"/>
  <c r="T632" i="46"/>
  <c r="AH632" i="46" s="1"/>
  <c r="AO632" i="46" s="1"/>
  <c r="AH630" i="46"/>
  <c r="AO630" i="46" s="1"/>
  <c r="AH631" i="46"/>
  <c r="AO631" i="46" s="1"/>
  <c r="AH626" i="46"/>
  <c r="AO626" i="46" s="1"/>
  <c r="AH628" i="46"/>
  <c r="AO628" i="46" s="1"/>
  <c r="AH627" i="46"/>
  <c r="AO627" i="46" s="1"/>
  <c r="AH635" i="46"/>
  <c r="AO635" i="46" s="1"/>
  <c r="W570" i="46"/>
  <c r="AH570" i="46" s="1"/>
  <c r="AO570" i="46" s="1"/>
  <c r="W595" i="46"/>
  <c r="AH595" i="46" s="1"/>
  <c r="AO595" i="46" s="1"/>
  <c r="W587" i="46"/>
  <c r="S589" i="46"/>
  <c r="S586" i="46"/>
  <c r="S565" i="46"/>
  <c r="AH565" i="46" s="1"/>
  <c r="AO565" i="46" s="1"/>
  <c r="S588" i="46"/>
  <c r="AH588" i="46"/>
  <c r="AO588" i="46" s="1"/>
  <c r="S592" i="46"/>
  <c r="S590" i="46"/>
  <c r="W591" i="46"/>
  <c r="AH567" i="46"/>
  <c r="S567" i="46"/>
  <c r="W574" i="46"/>
  <c r="AH574" i="46" s="1"/>
  <c r="AO574" i="46" s="1"/>
  <c r="S568" i="46"/>
  <c r="AH568" i="46" s="1"/>
  <c r="S572" i="46"/>
  <c r="AH572" i="46" s="1"/>
  <c r="W566" i="46"/>
  <c r="AH566" i="46" s="1"/>
  <c r="AO566" i="46" s="1"/>
  <c r="S571" i="46"/>
  <c r="AH571" i="46" s="1"/>
  <c r="AO571" i="46" s="1"/>
  <c r="AP541" i="46"/>
  <c r="AP537" i="46"/>
  <c r="AP540" i="46"/>
  <c r="AP535" i="46"/>
  <c r="AP539" i="46"/>
  <c r="AP538" i="46"/>
  <c r="AP536" i="46"/>
  <c r="AP542" i="46"/>
  <c r="Q1028" i="46"/>
  <c r="K919" i="46"/>
  <c r="AA919" i="46" s="1"/>
  <c r="O936" i="46" s="1"/>
  <c r="S1017" i="46"/>
  <c r="K1018" i="46" s="1"/>
  <c r="W1024" i="46" s="1"/>
  <c r="R1050" i="46"/>
  <c r="AG1050" i="46" s="1"/>
  <c r="AS1010" i="46"/>
  <c r="AS1012" i="46"/>
  <c r="AS1011" i="46"/>
  <c r="S1075" i="46"/>
  <c r="Y1143" i="46"/>
  <c r="W1075" i="46"/>
  <c r="AG1067" i="46"/>
  <c r="AF1069" i="46" s="1"/>
  <c r="AA1075" i="46"/>
  <c r="I1270" i="46"/>
  <c r="I1272" i="46" s="1"/>
  <c r="I1273" i="46" s="1"/>
  <c r="Q1278" i="46" s="1"/>
  <c r="P1092" i="46"/>
  <c r="AC1091" i="46" s="1"/>
  <c r="AF1091" i="46" s="1"/>
  <c r="AS1007" i="46"/>
  <c r="AS1013" i="46"/>
  <c r="AH1263" i="46"/>
  <c r="M1095" i="46"/>
  <c r="AC1078" i="46"/>
  <c r="AH1075" i="46"/>
  <c r="AS1009" i="46"/>
  <c r="R699" i="45"/>
  <c r="K646" i="45"/>
  <c r="I697" i="45"/>
  <c r="V671" i="45" s="1"/>
  <c r="U614" i="45"/>
  <c r="Q593" i="45"/>
  <c r="AG484" i="45"/>
  <c r="R492" i="45"/>
  <c r="AI495" i="45" s="1"/>
  <c r="W484" i="45"/>
  <c r="S500" i="45"/>
  <c r="R490" i="45"/>
  <c r="T771" i="46" l="1"/>
  <c r="AH771" i="46" s="1"/>
  <c r="AO771" i="46" s="1"/>
  <c r="AH770" i="46"/>
  <c r="AO770" i="46" s="1"/>
  <c r="AP546" i="46"/>
  <c r="AP547" i="46"/>
  <c r="K1016" i="46"/>
  <c r="AJ1017" i="46" s="1"/>
  <c r="H1093" i="46"/>
  <c r="AG1103" i="46" s="1"/>
  <c r="Y1078" i="46"/>
  <c r="I1079" i="46" s="1"/>
  <c r="AB1067" i="46"/>
  <c r="AB1069" i="46" s="1"/>
  <c r="I1070" i="46" s="1"/>
  <c r="AP548" i="46"/>
  <c r="AP549" i="46"/>
  <c r="AP550" i="46"/>
  <c r="AH711" i="46"/>
  <c r="AO711" i="46" s="1"/>
  <c r="AH707" i="46"/>
  <c r="AO707" i="46" s="1"/>
  <c r="AH703" i="46"/>
  <c r="AO703" i="46" s="1"/>
  <c r="AH706" i="46"/>
  <c r="AO706" i="46" s="1"/>
  <c r="AH704" i="46"/>
  <c r="AO704" i="46" s="1"/>
  <c r="AO572" i="46"/>
  <c r="AO567" i="46"/>
  <c r="AO568" i="46"/>
  <c r="I1068" i="46"/>
  <c r="AH1076" i="46" s="1"/>
  <c r="W1050" i="46"/>
  <c r="AK1103" i="46"/>
  <c r="AG1105" i="46"/>
  <c r="AJ1277" i="46"/>
  <c r="AJ1276" i="46"/>
  <c r="AS1269" i="46"/>
  <c r="AS1267" i="46"/>
  <c r="AS1270" i="46"/>
  <c r="AS1268" i="46"/>
  <c r="AS1266" i="46"/>
  <c r="I672" i="45"/>
  <c r="M707" i="45" s="1"/>
  <c r="AA697" i="45"/>
  <c r="L702" i="45"/>
  <c r="Z704" i="45" s="1"/>
  <c r="AE594" i="45"/>
  <c r="K595" i="45" s="1"/>
  <c r="W595" i="45" s="1"/>
  <c r="S594" i="45"/>
  <c r="L634" i="45"/>
  <c r="Q632" i="45"/>
  <c r="I631" i="45"/>
  <c r="M631" i="45" s="1"/>
  <c r="M617" i="45"/>
  <c r="I618" i="45" s="1"/>
  <c r="AC614" i="45"/>
  <c r="AL614" i="45" s="1"/>
  <c r="M612" i="45"/>
  <c r="R612" i="45" s="1"/>
  <c r="AA601" i="45"/>
  <c r="P601" i="45"/>
  <c r="AE291" i="45"/>
  <c r="AA1023" i="46" l="1"/>
  <c r="U1096" i="46"/>
  <c r="U1098" i="46" s="1"/>
  <c r="M1099" i="46" s="1"/>
  <c r="AJ1016" i="46"/>
  <c r="L552" i="46"/>
  <c r="U552" i="46"/>
  <c r="AB1105" i="46"/>
  <c r="AA1024" i="46"/>
  <c r="AA1071" i="46"/>
  <c r="AS1074" i="46" s="1"/>
  <c r="I1071" i="46"/>
  <c r="AO575" i="46"/>
  <c r="AL1075" i="46"/>
  <c r="AL1076" i="46"/>
  <c r="M1097" i="46"/>
  <c r="M1104" i="46"/>
  <c r="AS1020" i="46"/>
  <c r="AS1024" i="46"/>
  <c r="AS1027" i="46"/>
  <c r="AS1022" i="46"/>
  <c r="AS1023" i="46"/>
  <c r="AS1028" i="46"/>
  <c r="AS1029" i="46"/>
  <c r="AS1021" i="46"/>
  <c r="AS1025" i="46"/>
  <c r="AS1026" i="46"/>
  <c r="M1106" i="46"/>
  <c r="K645" i="45"/>
  <c r="M698" i="45"/>
  <c r="T702" i="45" s="1"/>
  <c r="L704" i="45" s="1"/>
  <c r="U612" i="45"/>
  <c r="R513" i="45"/>
  <c r="P531" i="45" s="1"/>
  <c r="P533" i="45" s="1"/>
  <c r="AB538" i="45" s="1"/>
  <c r="W540" i="45" s="1"/>
  <c r="M596" i="45"/>
  <c r="Y614" i="45"/>
  <c r="I615" i="45"/>
  <c r="I619" i="45" s="1"/>
  <c r="S462" i="45"/>
  <c r="W502" i="45"/>
  <c r="P354" i="45"/>
  <c r="U438" i="45"/>
  <c r="U440" i="45" s="1"/>
  <c r="X452" i="45" s="1"/>
  <c r="U354" i="45"/>
  <c r="T412" i="45"/>
  <c r="T378" i="45"/>
  <c r="AB371" i="45"/>
  <c r="J816" i="46" l="1"/>
  <c r="AS1077" i="46"/>
  <c r="AS1079" i="46"/>
  <c r="AS1076" i="46"/>
  <c r="AS1078" i="46"/>
  <c r="AS1073" i="46"/>
  <c r="AS1072" i="46"/>
  <c r="AS1075" i="46"/>
  <c r="AG1098" i="46"/>
  <c r="AH1109" i="46"/>
  <c r="AG1097" i="46"/>
  <c r="AA698" i="45"/>
  <c r="M699" i="45"/>
  <c r="W504" i="45"/>
  <c r="V308" i="45"/>
  <c r="Q318" i="45"/>
  <c r="U318" i="45"/>
  <c r="AA490" i="45"/>
  <c r="V490" i="45"/>
  <c r="AO490" i="45"/>
  <c r="Q436" i="45"/>
  <c r="AS1104" i="46" l="1"/>
  <c r="AS1106" i="46"/>
  <c r="AS1101" i="46"/>
  <c r="AS1103" i="46"/>
  <c r="AS1102" i="46"/>
  <c r="AS1105" i="46"/>
  <c r="I703" i="45"/>
  <c r="AA699" i="45"/>
  <c r="AH698" i="45" s="1"/>
  <c r="S308" i="45"/>
  <c r="Q316" i="45"/>
  <c r="AI490" i="45"/>
  <c r="AF413" i="45"/>
  <c r="AF490" i="45"/>
  <c r="Y413" i="45"/>
  <c r="W436" i="45"/>
  <c r="K437" i="45" s="1"/>
  <c r="AE295" i="45"/>
  <c r="U573" i="45" s="1"/>
  <c r="U578" i="45" s="1"/>
  <c r="AE294" i="45"/>
  <c r="S397" i="45"/>
  <c r="S400" i="45"/>
  <c r="W397" i="45"/>
  <c r="W400" i="45"/>
  <c r="AF400" i="45"/>
  <c r="AF397" i="45"/>
  <c r="Q317" i="45"/>
  <c r="W350" i="45"/>
  <c r="AE249" i="45"/>
  <c r="Q479" i="45" l="1"/>
  <c r="M523" i="45" s="1"/>
  <c r="P527" i="45" s="1"/>
  <c r="T570" i="45"/>
  <c r="T575" i="45"/>
  <c r="AS705" i="45"/>
  <c r="AS701" i="45"/>
  <c r="AS702" i="45"/>
  <c r="AS704" i="45"/>
  <c r="AS703" i="45"/>
  <c r="I707" i="45"/>
  <c r="R596" i="45"/>
  <c r="W596" i="45" s="1"/>
  <c r="AC595" i="45" s="1"/>
  <c r="T647" i="45"/>
  <c r="T560" i="45"/>
  <c r="T565" i="45"/>
  <c r="U558" i="45"/>
  <c r="Y497" i="45"/>
  <c r="R482" i="45"/>
  <c r="R526" i="45" s="1"/>
  <c r="P475" i="45"/>
  <c r="I500" i="45" s="1"/>
  <c r="T555" i="45"/>
  <c r="J475" i="45"/>
  <c r="M421" i="45"/>
  <c r="AS490" i="45" s="1"/>
  <c r="Y438" i="45"/>
  <c r="Z435" i="45"/>
  <c r="AC352" i="45"/>
  <c r="W415" i="45"/>
  <c r="P350" i="45"/>
  <c r="AL352" i="45" s="1"/>
  <c r="U351" i="45"/>
  <c r="AH352" i="45" s="1"/>
  <c r="K347" i="45"/>
  <c r="K450" i="45" s="1"/>
  <c r="O326" i="45"/>
  <c r="N319" i="45"/>
  <c r="S310" i="45"/>
  <c r="O310" i="45"/>
  <c r="Y317" i="45"/>
  <c r="AS578" i="45" l="1"/>
  <c r="AS576" i="45"/>
  <c r="AS575" i="45"/>
  <c r="AS577" i="45"/>
  <c r="AS573" i="45"/>
  <c r="AS571" i="45"/>
  <c r="AS572" i="45"/>
  <c r="AS570" i="45"/>
  <c r="I708" i="45"/>
  <c r="Q713" i="45" s="1"/>
  <c r="AJ711" i="45" s="1"/>
  <c r="AS652" i="45"/>
  <c r="AS656" i="45"/>
  <c r="AS651" i="45"/>
  <c r="AS655" i="45"/>
  <c r="AS650" i="45"/>
  <c r="AS653" i="45"/>
  <c r="AS566" i="45"/>
  <c r="AS565" i="45"/>
  <c r="AS568" i="45"/>
  <c r="AS567" i="45"/>
  <c r="AS561" i="45"/>
  <c r="AS562" i="45"/>
  <c r="AS560" i="45"/>
  <c r="AS563" i="45"/>
  <c r="AS556" i="45"/>
  <c r="AS555" i="45"/>
  <c r="AS558" i="45"/>
  <c r="AS557" i="45"/>
  <c r="AS484" i="45"/>
  <c r="AS480" i="45"/>
  <c r="AS482" i="45"/>
  <c r="AS478" i="45"/>
  <c r="AS481" i="45"/>
  <c r="AS483" i="45"/>
  <c r="AS479" i="45"/>
  <c r="AS485" i="45"/>
  <c r="AS545" i="45"/>
  <c r="AS533" i="45"/>
  <c r="AS529" i="45"/>
  <c r="AS525" i="45"/>
  <c r="AS521" i="45"/>
  <c r="AS517" i="45"/>
  <c r="AS506" i="45"/>
  <c r="AS502" i="45"/>
  <c r="AS498" i="45"/>
  <c r="AS494" i="45"/>
  <c r="AS486" i="45"/>
  <c r="AS477" i="45"/>
  <c r="AS473" i="45"/>
  <c r="AS469" i="45"/>
  <c r="AS465" i="45"/>
  <c r="AS453" i="45"/>
  <c r="AS449" i="45"/>
  <c r="AS441" i="45"/>
  <c r="AS437" i="45"/>
  <c r="AS433" i="45"/>
  <c r="AS429" i="45"/>
  <c r="AS425" i="45"/>
  <c r="AS528" i="45"/>
  <c r="AS524" i="45"/>
  <c r="AS516" i="45"/>
  <c r="AS501" i="45"/>
  <c r="AS493" i="45"/>
  <c r="AS472" i="45"/>
  <c r="AS468" i="45"/>
  <c r="AS452" i="45"/>
  <c r="AS440" i="45"/>
  <c r="AS432" i="45"/>
  <c r="AS428" i="45"/>
  <c r="AS470" i="45"/>
  <c r="AS450" i="45"/>
  <c r="AS438" i="45"/>
  <c r="AS426" i="45"/>
  <c r="AS544" i="45"/>
  <c r="AS532" i="45"/>
  <c r="AS520" i="45"/>
  <c r="AS505" i="45"/>
  <c r="AS497" i="45"/>
  <c r="AS489" i="45"/>
  <c r="AS476" i="45"/>
  <c r="AS436" i="45"/>
  <c r="AS424" i="45"/>
  <c r="AS474" i="45"/>
  <c r="AS434" i="45"/>
  <c r="AS543" i="45"/>
  <c r="AS535" i="45"/>
  <c r="AS531" i="45"/>
  <c r="AS527" i="45"/>
  <c r="AS523" i="45"/>
  <c r="AS519" i="45"/>
  <c r="AS515" i="45"/>
  <c r="AS504" i="45"/>
  <c r="AS500" i="45"/>
  <c r="AS496" i="45"/>
  <c r="AS492" i="45"/>
  <c r="AS488" i="45"/>
  <c r="AS475" i="45"/>
  <c r="AS471" i="45"/>
  <c r="AS467" i="45"/>
  <c r="AS451" i="45"/>
  <c r="AS439" i="45"/>
  <c r="AS435" i="45"/>
  <c r="AS431" i="45"/>
  <c r="AS427" i="45"/>
  <c r="AS542" i="45"/>
  <c r="AS534" i="45"/>
  <c r="AS530" i="45"/>
  <c r="AS526" i="45"/>
  <c r="AS522" i="45"/>
  <c r="AS518" i="45"/>
  <c r="AS503" i="45"/>
  <c r="AS499" i="45"/>
  <c r="AS495" i="45"/>
  <c r="AS491" i="45"/>
  <c r="AS487" i="45"/>
  <c r="AS466" i="45"/>
  <c r="AS454" i="45"/>
  <c r="AS430" i="45"/>
  <c r="W442" i="45"/>
  <c r="W455" i="45" s="1"/>
  <c r="L422" i="45"/>
  <c r="AC526" i="45"/>
  <c r="AC484" i="45"/>
  <c r="O500" i="45"/>
  <c r="I501" i="45" s="1"/>
  <c r="R483" i="45"/>
  <c r="O510" i="45"/>
  <c r="V507" i="45"/>
  <c r="Y531" i="45" s="1"/>
  <c r="Y533" i="45" s="1"/>
  <c r="X536" i="45" s="1"/>
  <c r="AM502" i="45"/>
  <c r="AJ504" i="45" s="1"/>
  <c r="S484" i="45"/>
  <c r="Y440" i="45"/>
  <c r="O445" i="45"/>
  <c r="AJ445" i="45"/>
  <c r="R446" i="45"/>
  <c r="AJ712" i="45" l="1"/>
  <c r="R485" i="45"/>
  <c r="W485" i="45" s="1"/>
  <c r="K441" i="45"/>
  <c r="V446" i="45" s="1"/>
  <c r="AC452" i="45"/>
  <c r="M530" i="45"/>
  <c r="AK538" i="45" s="1"/>
  <c r="X538" i="45"/>
  <c r="M537" i="45"/>
  <c r="AC513" i="45"/>
  <c r="H528" i="45"/>
  <c r="AF526" i="45"/>
  <c r="AH510" i="45"/>
  <c r="R491" i="45"/>
  <c r="AG485" i="45" l="1"/>
  <c r="AG540" i="45"/>
  <c r="U531" i="45"/>
  <c r="U533" i="45" s="1"/>
  <c r="M534" i="45" s="1"/>
  <c r="AB540" i="45"/>
  <c r="AG538" i="45"/>
  <c r="M539" i="45" s="1"/>
  <c r="AE495" i="45"/>
  <c r="R496" i="45" s="1"/>
  <c r="Z496" i="45" s="1"/>
  <c r="T324" i="45"/>
  <c r="U317" i="45"/>
  <c r="M463" i="45"/>
  <c r="AB502" i="45" l="1"/>
  <c r="AB504" i="45" s="1"/>
  <c r="Y513" i="45"/>
  <c r="I514" i="45" s="1"/>
  <c r="M532" i="45"/>
  <c r="AH544" i="45" s="1"/>
  <c r="M541" i="45"/>
  <c r="U497" i="45"/>
  <c r="AH497" i="45" s="1"/>
  <c r="AD544" i="45"/>
  <c r="W458" i="45"/>
  <c r="AD318" i="45"/>
  <c r="V315" i="45" s="1"/>
  <c r="R359" i="45"/>
  <c r="W358" i="45"/>
  <c r="AA510" i="45" l="1"/>
  <c r="Y578" i="45"/>
  <c r="AG533" i="45"/>
  <c r="AG532" i="45"/>
  <c r="S510" i="45"/>
  <c r="AG502" i="45"/>
  <c r="AF504" i="45" s="1"/>
  <c r="I505" i="45" s="1"/>
  <c r="W510" i="45"/>
  <c r="V445" i="45"/>
  <c r="K339" i="45"/>
  <c r="V342" i="45" s="1"/>
  <c r="AS541" i="45" l="1"/>
  <c r="AS539" i="45"/>
  <c r="AS540" i="45"/>
  <c r="AS538" i="45"/>
  <c r="AS537" i="45"/>
  <c r="AS536" i="45"/>
  <c r="I503" i="45"/>
  <c r="AH511" i="45" s="1"/>
  <c r="AL511" i="45"/>
  <c r="AL510" i="45"/>
  <c r="G904" i="33"/>
  <c r="BR3" i="10"/>
  <c r="AA506" i="45" l="1"/>
  <c r="I506" i="45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I152" i="30"/>
  <c r="I153" i="30"/>
  <c r="I154" i="30"/>
  <c r="I155" i="30"/>
  <c r="I156" i="30"/>
  <c r="I157" i="30"/>
  <c r="I158" i="30"/>
  <c r="I159" i="30"/>
  <c r="I160" i="30"/>
  <c r="I161" i="30"/>
  <c r="I162" i="30"/>
  <c r="I163" i="30"/>
  <c r="I164" i="30"/>
  <c r="I165" i="30"/>
  <c r="I166" i="30"/>
  <c r="I167" i="30"/>
  <c r="I168" i="30"/>
  <c r="I169" i="30"/>
  <c r="I170" i="30"/>
  <c r="I171" i="30"/>
  <c r="I172" i="30"/>
  <c r="I173" i="30"/>
  <c r="I174" i="30"/>
  <c r="I175" i="30"/>
  <c r="I176" i="30"/>
  <c r="I177" i="30"/>
  <c r="I178" i="30"/>
  <c r="I179" i="30"/>
  <c r="I180" i="30"/>
  <c r="I181" i="30"/>
  <c r="I182" i="30"/>
  <c r="I183" i="30"/>
  <c r="I184" i="30"/>
  <c r="I185" i="30"/>
  <c r="I186" i="30"/>
  <c r="I187" i="30"/>
  <c r="I64" i="30"/>
  <c r="H187" i="30"/>
  <c r="G187" i="30"/>
  <c r="F187" i="30"/>
  <c r="E187" i="30"/>
  <c r="D187" i="30"/>
  <c r="C187" i="30"/>
  <c r="H186" i="30"/>
  <c r="G186" i="30"/>
  <c r="F186" i="30"/>
  <c r="E186" i="30"/>
  <c r="D186" i="30"/>
  <c r="C186" i="30"/>
  <c r="H185" i="30"/>
  <c r="G185" i="30"/>
  <c r="F185" i="30"/>
  <c r="E185" i="30"/>
  <c r="D185" i="30"/>
  <c r="C185" i="30"/>
  <c r="K185" i="30" s="1"/>
  <c r="H184" i="30"/>
  <c r="G184" i="30"/>
  <c r="F184" i="30"/>
  <c r="E184" i="30"/>
  <c r="D184" i="30"/>
  <c r="C184" i="30"/>
  <c r="H183" i="30"/>
  <c r="G183" i="30"/>
  <c r="F183" i="30"/>
  <c r="E183" i="30"/>
  <c r="D183" i="30"/>
  <c r="C183" i="30"/>
  <c r="H182" i="30"/>
  <c r="G182" i="30"/>
  <c r="F182" i="30"/>
  <c r="E182" i="30"/>
  <c r="D182" i="30"/>
  <c r="C182" i="30"/>
  <c r="H181" i="30"/>
  <c r="G181" i="30"/>
  <c r="F181" i="30"/>
  <c r="E181" i="30"/>
  <c r="D181" i="30"/>
  <c r="C181" i="30"/>
  <c r="H180" i="30"/>
  <c r="G180" i="30"/>
  <c r="F180" i="30"/>
  <c r="E180" i="30"/>
  <c r="D180" i="30"/>
  <c r="C180" i="30"/>
  <c r="H179" i="30"/>
  <c r="G179" i="30"/>
  <c r="F179" i="30"/>
  <c r="E179" i="30"/>
  <c r="D179" i="30"/>
  <c r="C179" i="30"/>
  <c r="H178" i="30"/>
  <c r="G178" i="30"/>
  <c r="F178" i="30"/>
  <c r="E178" i="30"/>
  <c r="D178" i="30"/>
  <c r="C178" i="30"/>
  <c r="H177" i="30"/>
  <c r="G177" i="30"/>
  <c r="F177" i="30"/>
  <c r="E177" i="30"/>
  <c r="D177" i="30"/>
  <c r="C177" i="30"/>
  <c r="K177" i="30" s="1"/>
  <c r="H176" i="30"/>
  <c r="G176" i="30"/>
  <c r="F176" i="30"/>
  <c r="E176" i="30"/>
  <c r="D176" i="30"/>
  <c r="C176" i="30"/>
  <c r="H175" i="30"/>
  <c r="G175" i="30"/>
  <c r="F175" i="30"/>
  <c r="E175" i="30"/>
  <c r="D175" i="30"/>
  <c r="C175" i="30"/>
  <c r="H174" i="30"/>
  <c r="G174" i="30"/>
  <c r="F174" i="30"/>
  <c r="E174" i="30"/>
  <c r="D174" i="30"/>
  <c r="C174" i="30"/>
  <c r="H173" i="30"/>
  <c r="G173" i="30"/>
  <c r="F173" i="30"/>
  <c r="E173" i="30"/>
  <c r="D173" i="30"/>
  <c r="C173" i="30"/>
  <c r="K173" i="30" s="1"/>
  <c r="H172" i="30"/>
  <c r="G172" i="30"/>
  <c r="F172" i="30"/>
  <c r="E172" i="30"/>
  <c r="D172" i="30"/>
  <c r="C172" i="30"/>
  <c r="H171" i="30"/>
  <c r="G171" i="30"/>
  <c r="F171" i="30"/>
  <c r="E171" i="30"/>
  <c r="D171" i="30"/>
  <c r="C171" i="30"/>
  <c r="H170" i="30"/>
  <c r="G170" i="30"/>
  <c r="F170" i="30"/>
  <c r="E170" i="30"/>
  <c r="D170" i="30"/>
  <c r="C170" i="30"/>
  <c r="H169" i="30"/>
  <c r="G169" i="30"/>
  <c r="F169" i="30"/>
  <c r="E169" i="30"/>
  <c r="D169" i="30"/>
  <c r="C169" i="30"/>
  <c r="K169" i="30" s="1"/>
  <c r="H168" i="30"/>
  <c r="G168" i="30"/>
  <c r="F168" i="30"/>
  <c r="E168" i="30"/>
  <c r="D168" i="30"/>
  <c r="C168" i="30"/>
  <c r="H167" i="30"/>
  <c r="G167" i="30"/>
  <c r="F167" i="30"/>
  <c r="E167" i="30"/>
  <c r="D167" i="30"/>
  <c r="C167" i="30"/>
  <c r="H166" i="30"/>
  <c r="G166" i="30"/>
  <c r="F166" i="30"/>
  <c r="E166" i="30"/>
  <c r="D166" i="30"/>
  <c r="C166" i="30"/>
  <c r="H165" i="30"/>
  <c r="G165" i="30"/>
  <c r="F165" i="30"/>
  <c r="E165" i="30"/>
  <c r="D165" i="30"/>
  <c r="C165" i="30"/>
  <c r="H164" i="30"/>
  <c r="G164" i="30"/>
  <c r="F164" i="30"/>
  <c r="E164" i="30"/>
  <c r="D164" i="30"/>
  <c r="C164" i="30"/>
  <c r="H163" i="30"/>
  <c r="G163" i="30"/>
  <c r="F163" i="30"/>
  <c r="E163" i="30"/>
  <c r="D163" i="30"/>
  <c r="C163" i="30"/>
  <c r="H162" i="30"/>
  <c r="G162" i="30"/>
  <c r="F162" i="30"/>
  <c r="E162" i="30"/>
  <c r="D162" i="30"/>
  <c r="C162" i="30"/>
  <c r="H161" i="30"/>
  <c r="G161" i="30"/>
  <c r="F161" i="30"/>
  <c r="E161" i="30"/>
  <c r="D161" i="30"/>
  <c r="C161" i="30"/>
  <c r="K161" i="30" s="1"/>
  <c r="H160" i="30"/>
  <c r="G160" i="30"/>
  <c r="F160" i="30"/>
  <c r="E160" i="30"/>
  <c r="D160" i="30"/>
  <c r="C160" i="30"/>
  <c r="H159" i="30"/>
  <c r="G159" i="30"/>
  <c r="F159" i="30"/>
  <c r="E159" i="30"/>
  <c r="D159" i="30"/>
  <c r="C159" i="30"/>
  <c r="H158" i="30"/>
  <c r="G158" i="30"/>
  <c r="F158" i="30"/>
  <c r="E158" i="30"/>
  <c r="D158" i="30"/>
  <c r="C158" i="30"/>
  <c r="H157" i="30"/>
  <c r="G157" i="30"/>
  <c r="F157" i="30"/>
  <c r="E157" i="30"/>
  <c r="D157" i="30"/>
  <c r="C157" i="30"/>
  <c r="K157" i="30" s="1"/>
  <c r="H156" i="30"/>
  <c r="G156" i="30"/>
  <c r="F156" i="30"/>
  <c r="E156" i="30"/>
  <c r="D156" i="30"/>
  <c r="C156" i="30"/>
  <c r="H155" i="30"/>
  <c r="G155" i="30"/>
  <c r="F155" i="30"/>
  <c r="E155" i="30"/>
  <c r="D155" i="30"/>
  <c r="C155" i="30"/>
  <c r="H154" i="30"/>
  <c r="G154" i="30"/>
  <c r="F154" i="30"/>
  <c r="E154" i="30"/>
  <c r="D154" i="30"/>
  <c r="C154" i="30"/>
  <c r="H153" i="30"/>
  <c r="G153" i="30"/>
  <c r="F153" i="30"/>
  <c r="E153" i="30"/>
  <c r="D153" i="30"/>
  <c r="C153" i="30"/>
  <c r="H152" i="30"/>
  <c r="G152" i="30"/>
  <c r="F152" i="30"/>
  <c r="E152" i="30"/>
  <c r="D152" i="30"/>
  <c r="C152" i="30"/>
  <c r="H151" i="30"/>
  <c r="G151" i="30"/>
  <c r="F151" i="30"/>
  <c r="E151" i="30"/>
  <c r="D151" i="30"/>
  <c r="C151" i="30"/>
  <c r="H150" i="30"/>
  <c r="G150" i="30"/>
  <c r="F150" i="30"/>
  <c r="E150" i="30"/>
  <c r="D150" i="30"/>
  <c r="C150" i="30"/>
  <c r="H149" i="30"/>
  <c r="G149" i="30"/>
  <c r="F149" i="30"/>
  <c r="E149" i="30"/>
  <c r="D149" i="30"/>
  <c r="C149" i="30"/>
  <c r="H148" i="30"/>
  <c r="G148" i="30"/>
  <c r="F148" i="30"/>
  <c r="E148" i="30"/>
  <c r="D148" i="30"/>
  <c r="C148" i="30"/>
  <c r="H147" i="30"/>
  <c r="G147" i="30"/>
  <c r="F147" i="30"/>
  <c r="E147" i="30"/>
  <c r="D147" i="30"/>
  <c r="C147" i="30"/>
  <c r="H146" i="30"/>
  <c r="G146" i="30"/>
  <c r="F146" i="30"/>
  <c r="E146" i="30"/>
  <c r="D146" i="30"/>
  <c r="C146" i="30"/>
  <c r="H145" i="30"/>
  <c r="G145" i="30"/>
  <c r="F145" i="30"/>
  <c r="E145" i="30"/>
  <c r="D145" i="30"/>
  <c r="C145" i="30"/>
  <c r="K145" i="30" s="1"/>
  <c r="H144" i="30"/>
  <c r="G144" i="30"/>
  <c r="F144" i="30"/>
  <c r="E144" i="30"/>
  <c r="D144" i="30"/>
  <c r="C144" i="30"/>
  <c r="H143" i="30"/>
  <c r="G143" i="30"/>
  <c r="F143" i="30"/>
  <c r="E143" i="30"/>
  <c r="D143" i="30"/>
  <c r="C143" i="30"/>
  <c r="H142" i="30"/>
  <c r="G142" i="30"/>
  <c r="F142" i="30"/>
  <c r="E142" i="30"/>
  <c r="D142" i="30"/>
  <c r="C142" i="30"/>
  <c r="H141" i="30"/>
  <c r="G141" i="30"/>
  <c r="F141" i="30"/>
  <c r="E141" i="30"/>
  <c r="D141" i="30"/>
  <c r="C141" i="30"/>
  <c r="K141" i="30" s="1"/>
  <c r="H140" i="30"/>
  <c r="G140" i="30"/>
  <c r="F140" i="30"/>
  <c r="E140" i="30"/>
  <c r="D140" i="30"/>
  <c r="C140" i="30"/>
  <c r="H139" i="30"/>
  <c r="G139" i="30"/>
  <c r="F139" i="30"/>
  <c r="E139" i="30"/>
  <c r="D139" i="30"/>
  <c r="C139" i="30"/>
  <c r="H138" i="30"/>
  <c r="G138" i="30"/>
  <c r="F138" i="30"/>
  <c r="E138" i="30"/>
  <c r="D138" i="30"/>
  <c r="C138" i="30"/>
  <c r="H137" i="30"/>
  <c r="G137" i="30"/>
  <c r="F137" i="30"/>
  <c r="E137" i="30"/>
  <c r="D137" i="30"/>
  <c r="C137" i="30"/>
  <c r="H136" i="30"/>
  <c r="G136" i="30"/>
  <c r="F136" i="30"/>
  <c r="E136" i="30"/>
  <c r="D136" i="30"/>
  <c r="C136" i="30"/>
  <c r="H135" i="30"/>
  <c r="G135" i="30"/>
  <c r="F135" i="30"/>
  <c r="E135" i="30"/>
  <c r="D135" i="30"/>
  <c r="C135" i="30"/>
  <c r="H134" i="30"/>
  <c r="G134" i="30"/>
  <c r="F134" i="30"/>
  <c r="E134" i="30"/>
  <c r="D134" i="30"/>
  <c r="C134" i="30"/>
  <c r="H133" i="30"/>
  <c r="G133" i="30"/>
  <c r="F133" i="30"/>
  <c r="E133" i="30"/>
  <c r="D133" i="30"/>
  <c r="C133" i="30"/>
  <c r="H132" i="30"/>
  <c r="G132" i="30"/>
  <c r="F132" i="30"/>
  <c r="E132" i="30"/>
  <c r="D132" i="30"/>
  <c r="C132" i="30"/>
  <c r="H131" i="30"/>
  <c r="G131" i="30"/>
  <c r="F131" i="30"/>
  <c r="E131" i="30"/>
  <c r="D131" i="30"/>
  <c r="C131" i="30"/>
  <c r="H130" i="30"/>
  <c r="G130" i="30"/>
  <c r="F130" i="30"/>
  <c r="E130" i="30"/>
  <c r="D130" i="30"/>
  <c r="C130" i="30"/>
  <c r="H129" i="30"/>
  <c r="G129" i="30"/>
  <c r="F129" i="30"/>
  <c r="E129" i="30"/>
  <c r="D129" i="30"/>
  <c r="C129" i="30"/>
  <c r="K129" i="30" s="1"/>
  <c r="H128" i="30"/>
  <c r="G128" i="30"/>
  <c r="F128" i="30"/>
  <c r="E128" i="30"/>
  <c r="D128" i="30"/>
  <c r="C128" i="30"/>
  <c r="H127" i="30"/>
  <c r="G127" i="30"/>
  <c r="F127" i="30"/>
  <c r="E127" i="30"/>
  <c r="D127" i="30"/>
  <c r="C127" i="30"/>
  <c r="B127" i="30"/>
  <c r="H126" i="30"/>
  <c r="G126" i="30"/>
  <c r="F126" i="30"/>
  <c r="E126" i="30"/>
  <c r="D126" i="30"/>
  <c r="C126" i="30"/>
  <c r="B126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07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93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64" i="30"/>
  <c r="AS514" i="45" l="1"/>
  <c r="AS512" i="45"/>
  <c r="AS511" i="45"/>
  <c r="AS509" i="45"/>
  <c r="AS510" i="45"/>
  <c r="AS513" i="45"/>
  <c r="AS508" i="45"/>
  <c r="AS507" i="45"/>
  <c r="K132" i="30"/>
  <c r="K140" i="30"/>
  <c r="K148" i="30"/>
  <c r="K156" i="30"/>
  <c r="K160" i="30"/>
  <c r="K164" i="30"/>
  <c r="K168" i="30"/>
  <c r="K172" i="30"/>
  <c r="K176" i="30"/>
  <c r="K180" i="30"/>
  <c r="K184" i="30"/>
  <c r="K159" i="30"/>
  <c r="J159" i="30" s="1"/>
  <c r="L159" i="30" s="1"/>
  <c r="K163" i="30"/>
  <c r="K167" i="30"/>
  <c r="K171" i="30"/>
  <c r="K175" i="30"/>
  <c r="J175" i="30" s="1"/>
  <c r="L175" i="30" s="1"/>
  <c r="K179" i="30"/>
  <c r="K183" i="30"/>
  <c r="K187" i="30"/>
  <c r="K158" i="30"/>
  <c r="J158" i="30" s="1"/>
  <c r="L158" i="30" s="1"/>
  <c r="K162" i="30"/>
  <c r="K166" i="30"/>
  <c r="K170" i="30"/>
  <c r="K174" i="30"/>
  <c r="J174" i="30" s="1"/>
  <c r="L174" i="30" s="1"/>
  <c r="K178" i="30"/>
  <c r="K182" i="30"/>
  <c r="K186" i="30"/>
  <c r="J177" i="30"/>
  <c r="L177" i="30" s="1"/>
  <c r="J161" i="30"/>
  <c r="L161" i="30" s="1"/>
  <c r="J145" i="30"/>
  <c r="L145" i="30" s="1"/>
  <c r="J129" i="30"/>
  <c r="L129" i="30" s="1"/>
  <c r="K128" i="30"/>
  <c r="J132" i="30"/>
  <c r="L132" i="30" s="1"/>
  <c r="J140" i="30"/>
  <c r="L140" i="30" s="1"/>
  <c r="J148" i="30"/>
  <c r="L148" i="30" s="1"/>
  <c r="J156" i="30"/>
  <c r="L156" i="30" s="1"/>
  <c r="J160" i="30"/>
  <c r="L160" i="30" s="1"/>
  <c r="J164" i="30"/>
  <c r="L164" i="30" s="1"/>
  <c r="J168" i="30"/>
  <c r="L168" i="30" s="1"/>
  <c r="J172" i="30"/>
  <c r="L172" i="30" s="1"/>
  <c r="J176" i="30"/>
  <c r="L176" i="30" s="1"/>
  <c r="J180" i="30"/>
  <c r="L180" i="30" s="1"/>
  <c r="J184" i="30"/>
  <c r="L184" i="30" s="1"/>
  <c r="K153" i="30"/>
  <c r="K137" i="30"/>
  <c r="J173" i="30"/>
  <c r="L173" i="30" s="1"/>
  <c r="J157" i="30"/>
  <c r="L157" i="30" s="1"/>
  <c r="J141" i="30"/>
  <c r="L141" i="30" s="1"/>
  <c r="K127" i="30"/>
  <c r="J127" i="30" s="1"/>
  <c r="K131" i="30"/>
  <c r="J131" i="30" s="1"/>
  <c r="J135" i="30"/>
  <c r="K135" i="30"/>
  <c r="K139" i="30"/>
  <c r="J139" i="30" s="1"/>
  <c r="K143" i="30"/>
  <c r="J143" i="30" s="1"/>
  <c r="K147" i="30"/>
  <c r="J147" i="30" s="1"/>
  <c r="J151" i="30"/>
  <c r="K151" i="30"/>
  <c r="K155" i="30"/>
  <c r="J155" i="30" s="1"/>
  <c r="J163" i="30"/>
  <c r="L163" i="30" s="1"/>
  <c r="J167" i="30"/>
  <c r="L167" i="30" s="1"/>
  <c r="J171" i="30"/>
  <c r="L171" i="30" s="1"/>
  <c r="J179" i="30"/>
  <c r="L179" i="30" s="1"/>
  <c r="J183" i="30"/>
  <c r="L183" i="30" s="1"/>
  <c r="J187" i="30"/>
  <c r="L187" i="30" s="1"/>
  <c r="K152" i="30"/>
  <c r="K144" i="30"/>
  <c r="J144" i="30" s="1"/>
  <c r="K136" i="30"/>
  <c r="J185" i="30"/>
  <c r="L185" i="30" s="1"/>
  <c r="J169" i="30"/>
  <c r="L169" i="30" s="1"/>
  <c r="K126" i="30"/>
  <c r="K130" i="30"/>
  <c r="K134" i="30"/>
  <c r="K138" i="30"/>
  <c r="K142" i="30"/>
  <c r="K146" i="30"/>
  <c r="K150" i="30"/>
  <c r="K154" i="30"/>
  <c r="J162" i="30"/>
  <c r="L162" i="30" s="1"/>
  <c r="J166" i="30"/>
  <c r="L166" i="30" s="1"/>
  <c r="J170" i="30"/>
  <c r="L170" i="30" s="1"/>
  <c r="J178" i="30"/>
  <c r="L178" i="30" s="1"/>
  <c r="J182" i="30"/>
  <c r="L182" i="30" s="1"/>
  <c r="J186" i="30"/>
  <c r="L186" i="30" s="1"/>
  <c r="K181" i="30"/>
  <c r="J181" i="30" s="1"/>
  <c r="K165" i="30"/>
  <c r="J165" i="30" s="1"/>
  <c r="K149" i="30"/>
  <c r="J149" i="30" s="1"/>
  <c r="K133" i="30"/>
  <c r="J137" i="30" l="1"/>
  <c r="L137" i="30" s="1"/>
  <c r="L165" i="30"/>
  <c r="L181" i="30"/>
  <c r="L154" i="30"/>
  <c r="L149" i="30"/>
  <c r="J154" i="30"/>
  <c r="J146" i="30"/>
  <c r="L146" i="30" s="1"/>
  <c r="J138" i="30"/>
  <c r="L138" i="30" s="1"/>
  <c r="J130" i="30"/>
  <c r="L130" i="30" s="1"/>
  <c r="L144" i="30"/>
  <c r="L151" i="30"/>
  <c r="L143" i="30"/>
  <c r="L135" i="30"/>
  <c r="L127" i="30"/>
  <c r="J128" i="30"/>
  <c r="L128" i="30" s="1"/>
  <c r="J152" i="30"/>
  <c r="L152" i="30" s="1"/>
  <c r="J136" i="30"/>
  <c r="L136" i="30" s="1"/>
  <c r="J150" i="30"/>
  <c r="L150" i="30" s="1"/>
  <c r="J142" i="30"/>
  <c r="L142" i="30" s="1"/>
  <c r="J134" i="30"/>
  <c r="L134" i="30" s="1"/>
  <c r="J126" i="30"/>
  <c r="L126" i="30" s="1"/>
  <c r="L155" i="30"/>
  <c r="L147" i="30"/>
  <c r="L139" i="30"/>
  <c r="L131" i="30"/>
  <c r="J133" i="30"/>
  <c r="L133" i="30" s="1"/>
  <c r="J153" i="30"/>
  <c r="L153" i="30" s="1"/>
  <c r="J52" i="32" l="1"/>
  <c r="A138" i="27"/>
  <c r="U201" i="35" l="1"/>
  <c r="U202" i="35"/>
  <c r="U203" i="35"/>
  <c r="U204" i="35"/>
  <c r="U205" i="35"/>
  <c r="U206" i="35"/>
  <c r="U207" i="35"/>
  <c r="U208" i="35"/>
  <c r="U209" i="35"/>
  <c r="U210" i="35"/>
  <c r="U211" i="35"/>
  <c r="U212" i="35"/>
  <c r="U213" i="35"/>
  <c r="U214" i="35"/>
  <c r="U215" i="35"/>
  <c r="U216" i="35"/>
  <c r="U217" i="35"/>
  <c r="U218" i="35"/>
  <c r="U219" i="35"/>
  <c r="U220" i="35"/>
  <c r="U221" i="35"/>
  <c r="U222" i="35"/>
  <c r="U223" i="35"/>
  <c r="U224" i="35"/>
  <c r="U225" i="35"/>
  <c r="U226" i="35"/>
  <c r="U227" i="35"/>
  <c r="U228" i="35"/>
  <c r="U229" i="35"/>
  <c r="U230" i="35"/>
  <c r="U231" i="35"/>
  <c r="U232" i="35"/>
  <c r="U233" i="35"/>
  <c r="U234" i="35"/>
  <c r="U235" i="35"/>
  <c r="U236" i="35"/>
  <c r="U237" i="35"/>
  <c r="U238" i="35"/>
  <c r="U239" i="35"/>
  <c r="U240" i="35"/>
  <c r="U241" i="35"/>
  <c r="U242" i="35"/>
  <c r="U243" i="35"/>
  <c r="U244" i="35"/>
  <c r="U245" i="35"/>
  <c r="U246" i="35"/>
  <c r="U247" i="35"/>
  <c r="U248" i="35"/>
  <c r="U249" i="35"/>
  <c r="U250" i="35"/>
  <c r="U251" i="35"/>
  <c r="U252" i="35"/>
  <c r="U253" i="35"/>
  <c r="U254" i="35"/>
  <c r="U255" i="35"/>
  <c r="U256" i="35"/>
  <c r="U257" i="35"/>
  <c r="U258" i="35"/>
  <c r="U259" i="35"/>
  <c r="U260" i="35"/>
  <c r="U261" i="35"/>
  <c r="U200" i="35"/>
  <c r="BG3" i="10" l="1"/>
  <c r="CF3" i="10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38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12" i="43"/>
  <c r="BG4" i="10" l="1"/>
  <c r="BG5" i="10"/>
  <c r="BG6" i="10"/>
  <c r="BG7" i="10"/>
  <c r="BG8" i="10"/>
  <c r="BG9" i="10"/>
  <c r="BG10" i="10"/>
  <c r="BG11" i="10"/>
  <c r="BG12" i="10"/>
  <c r="BG13" i="10"/>
  <c r="BG14" i="10"/>
  <c r="BG15" i="10"/>
  <c r="BG16" i="10"/>
  <c r="BG17" i="10"/>
  <c r="BG18" i="10"/>
  <c r="BG19" i="10"/>
  <c r="BG20" i="10"/>
  <c r="BG21" i="10"/>
  <c r="BG22" i="10"/>
  <c r="BG23" i="10"/>
  <c r="BG24" i="10"/>
  <c r="BG25" i="10"/>
  <c r="BG26" i="10"/>
  <c r="BG27" i="10"/>
  <c r="BG28" i="10"/>
  <c r="BG29" i="10"/>
  <c r="BG30" i="10"/>
  <c r="BG31" i="10"/>
  <c r="BG32" i="10"/>
  <c r="BG33" i="10"/>
  <c r="BG34" i="10"/>
  <c r="BG35" i="10"/>
  <c r="BG36" i="10"/>
  <c r="BG37" i="10"/>
  <c r="BG38" i="10"/>
  <c r="BG39" i="10"/>
  <c r="BG40" i="10"/>
  <c r="BG41" i="10"/>
  <c r="BG42" i="10"/>
  <c r="BG43" i="10"/>
  <c r="BG44" i="10"/>
  <c r="BG45" i="10"/>
  <c r="BG46" i="10"/>
  <c r="BG47" i="10"/>
  <c r="BG48" i="10"/>
  <c r="BG49" i="10"/>
  <c r="BG50" i="10"/>
  <c r="BG51" i="10"/>
  <c r="BG52" i="10"/>
  <c r="BG53" i="10"/>
  <c r="BG54" i="10"/>
  <c r="BG55" i="10"/>
  <c r="BG56" i="10"/>
  <c r="BG57" i="10"/>
  <c r="BG58" i="10"/>
  <c r="BG59" i="10"/>
  <c r="BG60" i="10"/>
  <c r="BG61" i="10"/>
  <c r="BG62" i="10"/>
  <c r="BG63" i="10"/>
  <c r="BG64" i="10"/>
  <c r="BG65" i="10"/>
  <c r="BG66" i="10"/>
  <c r="BG67" i="10"/>
  <c r="BG68" i="10"/>
  <c r="BG69" i="10"/>
  <c r="BG70" i="10"/>
  <c r="BG71" i="10"/>
  <c r="BG72" i="10"/>
  <c r="BG73" i="10"/>
  <c r="BG74" i="10"/>
  <c r="BG75" i="10"/>
  <c r="BG76" i="10"/>
  <c r="BG77" i="10"/>
  <c r="BG78" i="10"/>
  <c r="BG79" i="10"/>
  <c r="BG80" i="10"/>
  <c r="BG81" i="10"/>
  <c r="BG82" i="10"/>
  <c r="BG83" i="10"/>
  <c r="BG84" i="10"/>
  <c r="BG85" i="10"/>
  <c r="BG86" i="10"/>
  <c r="BG87" i="10"/>
  <c r="BG88" i="10"/>
  <c r="BG89" i="10"/>
  <c r="BG90" i="10"/>
  <c r="BG91" i="10"/>
  <c r="BG92" i="10"/>
  <c r="BG93" i="10"/>
  <c r="BG94" i="10"/>
  <c r="BG95" i="10"/>
  <c r="BG96" i="10"/>
  <c r="BG97" i="10"/>
  <c r="BG98" i="10"/>
  <c r="BG99" i="10"/>
  <c r="BG100" i="10"/>
  <c r="BG101" i="10"/>
  <c r="BG102" i="10"/>
  <c r="BG103" i="10"/>
  <c r="BG104" i="10"/>
  <c r="BG105" i="10"/>
  <c r="BG106" i="10"/>
  <c r="BG107" i="10"/>
  <c r="BG108" i="10"/>
  <c r="BG109" i="10"/>
  <c r="BG110" i="10"/>
  <c r="BG111" i="10"/>
  <c r="BG112" i="10"/>
  <c r="BG113" i="10"/>
  <c r="BG114" i="10"/>
  <c r="BG115" i="10"/>
  <c r="BG116" i="10"/>
  <c r="BG117" i="10"/>
  <c r="BG118" i="10"/>
  <c r="BG119" i="10"/>
  <c r="BG120" i="10"/>
  <c r="BG121" i="10"/>
  <c r="BG122" i="10"/>
  <c r="BG123" i="10"/>
  <c r="BG124" i="10"/>
  <c r="BG125" i="10"/>
  <c r="BG126" i="10"/>
  <c r="BF37" i="10"/>
  <c r="BF38" i="10"/>
  <c r="BF39" i="10"/>
  <c r="BF40" i="10"/>
  <c r="BF41" i="10"/>
  <c r="BF42" i="10"/>
  <c r="BF43" i="10"/>
  <c r="BF44" i="10"/>
  <c r="BF99" i="10"/>
  <c r="BF100" i="10"/>
  <c r="BF101" i="10"/>
  <c r="BF102" i="10"/>
  <c r="BF103" i="10"/>
  <c r="BF104" i="10"/>
  <c r="BF105" i="10"/>
  <c r="BF106" i="10"/>
  <c r="BE4" i="10"/>
  <c r="BE5" i="10"/>
  <c r="BE6" i="10"/>
  <c r="BE7" i="10"/>
  <c r="BE8" i="10"/>
  <c r="BE9" i="10"/>
  <c r="BE10" i="10"/>
  <c r="BE11" i="10"/>
  <c r="BE12" i="10"/>
  <c r="BE13" i="10"/>
  <c r="BE14" i="10"/>
  <c r="BE15" i="10"/>
  <c r="BE16" i="10"/>
  <c r="BE17" i="10"/>
  <c r="BE18" i="10"/>
  <c r="BE19" i="10"/>
  <c r="BE20" i="10"/>
  <c r="BE21" i="10"/>
  <c r="BE22" i="10"/>
  <c r="BE23" i="10"/>
  <c r="BE24" i="10"/>
  <c r="BE25" i="10"/>
  <c r="BE26" i="10"/>
  <c r="BE27" i="10"/>
  <c r="BE28" i="10"/>
  <c r="BE29" i="10"/>
  <c r="BE30" i="10"/>
  <c r="BE31" i="10"/>
  <c r="BE32" i="10"/>
  <c r="BE33" i="10"/>
  <c r="BE34" i="10"/>
  <c r="BE35" i="10"/>
  <c r="BE36" i="10"/>
  <c r="BE37" i="10"/>
  <c r="BE38" i="10"/>
  <c r="BE39" i="10"/>
  <c r="BE40" i="10"/>
  <c r="BE41" i="10"/>
  <c r="BE42" i="10"/>
  <c r="BE43" i="10"/>
  <c r="BE44" i="10"/>
  <c r="BE45" i="10"/>
  <c r="BE46" i="10"/>
  <c r="BE47" i="10"/>
  <c r="BE48" i="10"/>
  <c r="BE49" i="10"/>
  <c r="BE50" i="10"/>
  <c r="BE51" i="10"/>
  <c r="BE52" i="10"/>
  <c r="BE53" i="10"/>
  <c r="BE54" i="10"/>
  <c r="BE55" i="10"/>
  <c r="BE56" i="10"/>
  <c r="BE57" i="10"/>
  <c r="BE58" i="10"/>
  <c r="BE59" i="10"/>
  <c r="BE60" i="10"/>
  <c r="BE61" i="10"/>
  <c r="BE62" i="10"/>
  <c r="BE63" i="10"/>
  <c r="BE64" i="10"/>
  <c r="BE65" i="10"/>
  <c r="BE66" i="10"/>
  <c r="BE67" i="10"/>
  <c r="BE68" i="10"/>
  <c r="BE69" i="10"/>
  <c r="BE70" i="10"/>
  <c r="BE71" i="10"/>
  <c r="BE72" i="10"/>
  <c r="BE73" i="10"/>
  <c r="BE74" i="10"/>
  <c r="BE75" i="10"/>
  <c r="BE76" i="10"/>
  <c r="BE77" i="10"/>
  <c r="BE78" i="10"/>
  <c r="BE79" i="10"/>
  <c r="BE80" i="10"/>
  <c r="BE81" i="10"/>
  <c r="BE82" i="10"/>
  <c r="BE83" i="10"/>
  <c r="BE84" i="10"/>
  <c r="BE85" i="10"/>
  <c r="BE86" i="10"/>
  <c r="BE87" i="10"/>
  <c r="BE88" i="10"/>
  <c r="BE89" i="10"/>
  <c r="BE90" i="10"/>
  <c r="BE91" i="10"/>
  <c r="BE92" i="10"/>
  <c r="BE93" i="10"/>
  <c r="BE94" i="10"/>
  <c r="BE95" i="10"/>
  <c r="BE96" i="10"/>
  <c r="BE97" i="10"/>
  <c r="BE98" i="10"/>
  <c r="BE99" i="10"/>
  <c r="BE100" i="10"/>
  <c r="BE101" i="10"/>
  <c r="BE102" i="10"/>
  <c r="BE103" i="10"/>
  <c r="BE104" i="10"/>
  <c r="BE105" i="10"/>
  <c r="BE106" i="10"/>
  <c r="BE107" i="10"/>
  <c r="BE108" i="10"/>
  <c r="BE109" i="10"/>
  <c r="BE110" i="10"/>
  <c r="BE111" i="10"/>
  <c r="BE112" i="10"/>
  <c r="BE113" i="10"/>
  <c r="BE114" i="10"/>
  <c r="BE115" i="10"/>
  <c r="BE116" i="10"/>
  <c r="BE117" i="10"/>
  <c r="BE118" i="10"/>
  <c r="BE119" i="10"/>
  <c r="BE120" i="10"/>
  <c r="BE121" i="10"/>
  <c r="BE122" i="10"/>
  <c r="BE123" i="10"/>
  <c r="BE124" i="10"/>
  <c r="BE125" i="10"/>
  <c r="BE126" i="10"/>
  <c r="BE3" i="10"/>
  <c r="BD4" i="10"/>
  <c r="BD5" i="10"/>
  <c r="BD6" i="10"/>
  <c r="BD7" i="10"/>
  <c r="BD8" i="10"/>
  <c r="BD9" i="10"/>
  <c r="BD10" i="10"/>
  <c r="BD11" i="10"/>
  <c r="BD12" i="10"/>
  <c r="BD13" i="10"/>
  <c r="BD14" i="10"/>
  <c r="BD15" i="10"/>
  <c r="BD16" i="10"/>
  <c r="BD17" i="10"/>
  <c r="BD18" i="10"/>
  <c r="BD19" i="10"/>
  <c r="BD20" i="10"/>
  <c r="BD21" i="10"/>
  <c r="BD22" i="10"/>
  <c r="BD23" i="10"/>
  <c r="BD24" i="10"/>
  <c r="BD25" i="10"/>
  <c r="BD26" i="10"/>
  <c r="BD27" i="10"/>
  <c r="BD28" i="10"/>
  <c r="BD29" i="10"/>
  <c r="BD30" i="10"/>
  <c r="BD31" i="10"/>
  <c r="BD32" i="10"/>
  <c r="BD33" i="10"/>
  <c r="BD34" i="10"/>
  <c r="BD35" i="10"/>
  <c r="BD36" i="10"/>
  <c r="BD37" i="10"/>
  <c r="BD38" i="10"/>
  <c r="BD39" i="10"/>
  <c r="BD40" i="10"/>
  <c r="BD41" i="10"/>
  <c r="BD42" i="10"/>
  <c r="BD43" i="10"/>
  <c r="BD44" i="10"/>
  <c r="BD45" i="10"/>
  <c r="BD46" i="10"/>
  <c r="BD47" i="10"/>
  <c r="BD48" i="10"/>
  <c r="BD49" i="10"/>
  <c r="BD50" i="10"/>
  <c r="BD51" i="10"/>
  <c r="BD52" i="10"/>
  <c r="BD53" i="10"/>
  <c r="BD54" i="10"/>
  <c r="BD55" i="10"/>
  <c r="BD56" i="10"/>
  <c r="BD57" i="10"/>
  <c r="BD58" i="10"/>
  <c r="BD59" i="10"/>
  <c r="BD60" i="10"/>
  <c r="BD61" i="10"/>
  <c r="BD62" i="10"/>
  <c r="BD63" i="10"/>
  <c r="BD64" i="10"/>
  <c r="BD65" i="10"/>
  <c r="BD66" i="10"/>
  <c r="BD67" i="10"/>
  <c r="BD68" i="10"/>
  <c r="BD69" i="10"/>
  <c r="BD70" i="10"/>
  <c r="BD71" i="10"/>
  <c r="BD72" i="10"/>
  <c r="BD73" i="10"/>
  <c r="BD74" i="10"/>
  <c r="BD75" i="10"/>
  <c r="BD76" i="10"/>
  <c r="BD77" i="10"/>
  <c r="BD78" i="10"/>
  <c r="BD79" i="10"/>
  <c r="BD80" i="10"/>
  <c r="BD81" i="10"/>
  <c r="BD82" i="10"/>
  <c r="BD83" i="10"/>
  <c r="BD84" i="10"/>
  <c r="BD85" i="10"/>
  <c r="BD86" i="10"/>
  <c r="BD87" i="10"/>
  <c r="BD88" i="10"/>
  <c r="BD89" i="10"/>
  <c r="BD90" i="10"/>
  <c r="BD91" i="10"/>
  <c r="BD92" i="10"/>
  <c r="BD93" i="10"/>
  <c r="BD94" i="10"/>
  <c r="BD95" i="10"/>
  <c r="BD96" i="10"/>
  <c r="BD97" i="10"/>
  <c r="BD98" i="10"/>
  <c r="BD99" i="10"/>
  <c r="BD100" i="10"/>
  <c r="BD101" i="10"/>
  <c r="BD102" i="10"/>
  <c r="BD103" i="10"/>
  <c r="BD104" i="10"/>
  <c r="BD105" i="10"/>
  <c r="BD106" i="10"/>
  <c r="BD107" i="10"/>
  <c r="BD108" i="10"/>
  <c r="BD109" i="10"/>
  <c r="BD110" i="10"/>
  <c r="BD111" i="10"/>
  <c r="BD112" i="10"/>
  <c r="BD113" i="10"/>
  <c r="BD114" i="10"/>
  <c r="BD115" i="10"/>
  <c r="BD116" i="10"/>
  <c r="BD117" i="10"/>
  <c r="BD118" i="10"/>
  <c r="BD119" i="10"/>
  <c r="BD120" i="10"/>
  <c r="BD121" i="10"/>
  <c r="BD122" i="10"/>
  <c r="BD123" i="10"/>
  <c r="BD124" i="10"/>
  <c r="BD125" i="10"/>
  <c r="BD126" i="10"/>
  <c r="BD3" i="10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38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12" i="43"/>
  <c r="CH65" i="10" l="1"/>
  <c r="CH66" i="10"/>
  <c r="CH67" i="10"/>
  <c r="CH68" i="10"/>
  <c r="CH69" i="10"/>
  <c r="CH70" i="10"/>
  <c r="CH71" i="10"/>
  <c r="CH72" i="10"/>
  <c r="CH73" i="10"/>
  <c r="CH74" i="10"/>
  <c r="CH75" i="10"/>
  <c r="CH76" i="10"/>
  <c r="CH77" i="10"/>
  <c r="CH78" i="10"/>
  <c r="CH79" i="10"/>
  <c r="CH80" i="10"/>
  <c r="CH81" i="10"/>
  <c r="CH82" i="10"/>
  <c r="CH83" i="10"/>
  <c r="CH84" i="10"/>
  <c r="CH85" i="10"/>
  <c r="CH86" i="10"/>
  <c r="CH87" i="10"/>
  <c r="CH88" i="10"/>
  <c r="CH89" i="10"/>
  <c r="CH90" i="10"/>
  <c r="CH91" i="10"/>
  <c r="CH92" i="10"/>
  <c r="CH93" i="10"/>
  <c r="CH94" i="10"/>
  <c r="CH95" i="10"/>
  <c r="CH96" i="10"/>
  <c r="CH97" i="10"/>
  <c r="CH98" i="10"/>
  <c r="CH99" i="10"/>
  <c r="CH100" i="10"/>
  <c r="CH101" i="10"/>
  <c r="CH102" i="10"/>
  <c r="CH103" i="10"/>
  <c r="CH104" i="10"/>
  <c r="CH105" i="10"/>
  <c r="CH106" i="10"/>
  <c r="CH107" i="10"/>
  <c r="CH108" i="10"/>
  <c r="CH109" i="10"/>
  <c r="CH110" i="10"/>
  <c r="CH111" i="10"/>
  <c r="CH112" i="10"/>
  <c r="CH113" i="10"/>
  <c r="CH114" i="10"/>
  <c r="CH115" i="10"/>
  <c r="CH116" i="10"/>
  <c r="CH117" i="10"/>
  <c r="CH118" i="10"/>
  <c r="CH119" i="10"/>
  <c r="CH120" i="10"/>
  <c r="CH121" i="10"/>
  <c r="CH122" i="10"/>
  <c r="CH123" i="10"/>
  <c r="CH124" i="10"/>
  <c r="CH125" i="10"/>
  <c r="CH126" i="10"/>
  <c r="CF4" i="10"/>
  <c r="CF5" i="10"/>
  <c r="CF6" i="10"/>
  <c r="CF7" i="10"/>
  <c r="CF8" i="10"/>
  <c r="CF9" i="10"/>
  <c r="CF10" i="10"/>
  <c r="CF11" i="10"/>
  <c r="CF12" i="10"/>
  <c r="CF13" i="10"/>
  <c r="CF14" i="10"/>
  <c r="CF15" i="10"/>
  <c r="CF16" i="10"/>
  <c r="CF17" i="10"/>
  <c r="CF18" i="10"/>
  <c r="CF19" i="10"/>
  <c r="CF20" i="10"/>
  <c r="CF21" i="10"/>
  <c r="CF22" i="10"/>
  <c r="CF23" i="10"/>
  <c r="CF24" i="10"/>
  <c r="CF25" i="10"/>
  <c r="CF26" i="10"/>
  <c r="CF27" i="10"/>
  <c r="CF28" i="10"/>
  <c r="CF29" i="10"/>
  <c r="CF30" i="10"/>
  <c r="CF31" i="10"/>
  <c r="CF32" i="10"/>
  <c r="CF33" i="10"/>
  <c r="CF34" i="10"/>
  <c r="CF35" i="10"/>
  <c r="CF36" i="10"/>
  <c r="CF37" i="10"/>
  <c r="CF38" i="10"/>
  <c r="CF39" i="10"/>
  <c r="CF40" i="10"/>
  <c r="CF41" i="10"/>
  <c r="CF42" i="10"/>
  <c r="CF43" i="10"/>
  <c r="CF44" i="10"/>
  <c r="CF45" i="10"/>
  <c r="CF46" i="10"/>
  <c r="CF47" i="10"/>
  <c r="CF48" i="10"/>
  <c r="CF49" i="10"/>
  <c r="CF50" i="10"/>
  <c r="CF51" i="10"/>
  <c r="CF52" i="10"/>
  <c r="CF53" i="10"/>
  <c r="CF54" i="10"/>
  <c r="CF55" i="10"/>
  <c r="CF56" i="10"/>
  <c r="CF57" i="10"/>
  <c r="CF58" i="10"/>
  <c r="CF59" i="10"/>
  <c r="CF60" i="10"/>
  <c r="CF61" i="10"/>
  <c r="CF62" i="10"/>
  <c r="CF63" i="10"/>
  <c r="CF64" i="10"/>
  <c r="CF65" i="10"/>
  <c r="CF66" i="10"/>
  <c r="CF67" i="10"/>
  <c r="CF68" i="10"/>
  <c r="CF69" i="10"/>
  <c r="CF70" i="10"/>
  <c r="CF71" i="10"/>
  <c r="CF72" i="10"/>
  <c r="CF73" i="10"/>
  <c r="CF74" i="10"/>
  <c r="CF75" i="10"/>
  <c r="CF76" i="10"/>
  <c r="CF77" i="10"/>
  <c r="CF78" i="10"/>
  <c r="CF79" i="10"/>
  <c r="CF80" i="10"/>
  <c r="CF81" i="10"/>
  <c r="CF82" i="10"/>
  <c r="CF83" i="10"/>
  <c r="CF84" i="10"/>
  <c r="CF85" i="10"/>
  <c r="CF86" i="10"/>
  <c r="CF87" i="10"/>
  <c r="CF88" i="10"/>
  <c r="CF89" i="10"/>
  <c r="CF90" i="10"/>
  <c r="CF91" i="10"/>
  <c r="CF92" i="10"/>
  <c r="CF93" i="10"/>
  <c r="CF94" i="10"/>
  <c r="CF95" i="10"/>
  <c r="CF96" i="10"/>
  <c r="CF97" i="10"/>
  <c r="CF98" i="10"/>
  <c r="CF99" i="10"/>
  <c r="CF100" i="10"/>
  <c r="CF101" i="10"/>
  <c r="CF102" i="10"/>
  <c r="CF103" i="10"/>
  <c r="CF104" i="10"/>
  <c r="CF105" i="10"/>
  <c r="CF106" i="10"/>
  <c r="CF107" i="10"/>
  <c r="CF108" i="10"/>
  <c r="CF109" i="10"/>
  <c r="CF110" i="10"/>
  <c r="CF111" i="10"/>
  <c r="CF112" i="10"/>
  <c r="CF113" i="10"/>
  <c r="CF114" i="10"/>
  <c r="CF115" i="10"/>
  <c r="CF116" i="10"/>
  <c r="CF117" i="10"/>
  <c r="CF118" i="10"/>
  <c r="CF119" i="10"/>
  <c r="CF120" i="10"/>
  <c r="CF121" i="10"/>
  <c r="CF122" i="10"/>
  <c r="CF123" i="10"/>
  <c r="CF124" i="10"/>
  <c r="CF125" i="10"/>
  <c r="CF126" i="10"/>
  <c r="I152" i="27" l="1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151" i="27"/>
  <c r="H905" i="33"/>
  <c r="H906" i="33"/>
  <c r="H907" i="33"/>
  <c r="H908" i="33"/>
  <c r="H909" i="33"/>
  <c r="H910" i="33"/>
  <c r="H911" i="33"/>
  <c r="H912" i="33"/>
  <c r="H913" i="33"/>
  <c r="H914" i="33"/>
  <c r="H915" i="33"/>
  <c r="H916" i="33"/>
  <c r="H917" i="33"/>
  <c r="H918" i="33"/>
  <c r="H919" i="33"/>
  <c r="H920" i="33"/>
  <c r="H921" i="33"/>
  <c r="H922" i="33"/>
  <c r="H923" i="33"/>
  <c r="H924" i="33"/>
  <c r="H925" i="33"/>
  <c r="H926" i="33"/>
  <c r="H927" i="33"/>
  <c r="H928" i="33"/>
  <c r="H929" i="33"/>
  <c r="H930" i="33"/>
  <c r="H931" i="33"/>
  <c r="H932" i="33"/>
  <c r="H933" i="33"/>
  <c r="H934" i="33"/>
  <c r="H935" i="33"/>
  <c r="H936" i="33"/>
  <c r="H937" i="33"/>
  <c r="H938" i="33"/>
  <c r="H939" i="33"/>
  <c r="H940" i="33"/>
  <c r="H941" i="33"/>
  <c r="H942" i="33"/>
  <c r="H943" i="33"/>
  <c r="H944" i="33"/>
  <c r="H945" i="33"/>
  <c r="H946" i="33"/>
  <c r="H947" i="33"/>
  <c r="H948" i="33"/>
  <c r="H949" i="33"/>
  <c r="H950" i="33"/>
  <c r="H951" i="33"/>
  <c r="H952" i="33"/>
  <c r="H953" i="33"/>
  <c r="H954" i="33"/>
  <c r="H955" i="33"/>
  <c r="H956" i="33"/>
  <c r="H957" i="33"/>
  <c r="H958" i="33"/>
  <c r="H959" i="33"/>
  <c r="H960" i="33"/>
  <c r="H961" i="33"/>
  <c r="H962" i="33"/>
  <c r="H963" i="33"/>
  <c r="H964" i="33"/>
  <c r="H965" i="33"/>
  <c r="H904" i="33"/>
  <c r="G905" i="33"/>
  <c r="G906" i="33"/>
  <c r="G907" i="33"/>
  <c r="G908" i="33"/>
  <c r="G909" i="33"/>
  <c r="G910" i="33"/>
  <c r="G911" i="33"/>
  <c r="G912" i="33"/>
  <c r="G913" i="33"/>
  <c r="G914" i="33"/>
  <c r="G915" i="33"/>
  <c r="G916" i="33"/>
  <c r="G917" i="33"/>
  <c r="G918" i="33"/>
  <c r="G919" i="33"/>
  <c r="G920" i="33"/>
  <c r="G921" i="33"/>
  <c r="G922" i="33"/>
  <c r="G923" i="33"/>
  <c r="G924" i="33"/>
  <c r="G925" i="33"/>
  <c r="G926" i="33"/>
  <c r="G927" i="33"/>
  <c r="G928" i="33"/>
  <c r="G929" i="33"/>
  <c r="G930" i="33"/>
  <c r="G931" i="33"/>
  <c r="G932" i="33"/>
  <c r="G933" i="33"/>
  <c r="G934" i="33"/>
  <c r="G935" i="33"/>
  <c r="G936" i="33"/>
  <c r="G937" i="33"/>
  <c r="G938" i="33"/>
  <c r="G939" i="33"/>
  <c r="G940" i="33"/>
  <c r="G941" i="33"/>
  <c r="G942" i="33"/>
  <c r="G943" i="33"/>
  <c r="G944" i="33"/>
  <c r="G945" i="33"/>
  <c r="G946" i="33"/>
  <c r="G947" i="33"/>
  <c r="G948" i="33"/>
  <c r="G949" i="33"/>
  <c r="G950" i="33"/>
  <c r="G951" i="33"/>
  <c r="G952" i="33"/>
  <c r="G953" i="33"/>
  <c r="G954" i="33"/>
  <c r="G955" i="33"/>
  <c r="G956" i="33"/>
  <c r="G957" i="33"/>
  <c r="G958" i="33"/>
  <c r="G959" i="33"/>
  <c r="G960" i="33"/>
  <c r="G961" i="33"/>
  <c r="G962" i="33"/>
  <c r="G963" i="33"/>
  <c r="G964" i="33"/>
  <c r="G965" i="33"/>
  <c r="BM4" i="10" a="1"/>
  <c r="BM4" i="10" s="1"/>
  <c r="G201" i="35" s="1"/>
  <c r="BN4" i="10" a="1"/>
  <c r="BN4" i="10" s="1"/>
  <c r="F201" i="35" s="1"/>
  <c r="BM5" i="10" a="1"/>
  <c r="BM5" i="10" s="1"/>
  <c r="G202" i="35" s="1"/>
  <c r="BN5" i="10" a="1"/>
  <c r="BN5" i="10" s="1"/>
  <c r="F202" i="35" s="1"/>
  <c r="BM6" i="10" a="1"/>
  <c r="BM6" i="10" s="1"/>
  <c r="G203" i="35" s="1"/>
  <c r="BN6" i="10" a="1"/>
  <c r="BN6" i="10" s="1"/>
  <c r="F203" i="35" s="1"/>
  <c r="BM7" i="10" a="1"/>
  <c r="BM7" i="10" s="1"/>
  <c r="G204" i="35" s="1"/>
  <c r="BN7" i="10" a="1"/>
  <c r="BN7" i="10" s="1"/>
  <c r="F204" i="35" s="1"/>
  <c r="BM8" i="10" a="1"/>
  <c r="BM8" i="10" s="1"/>
  <c r="G205" i="35" s="1"/>
  <c r="BN8" i="10" a="1"/>
  <c r="BN8" i="10" s="1"/>
  <c r="F205" i="35" s="1"/>
  <c r="BM9" i="10" a="1"/>
  <c r="BM9" i="10" s="1"/>
  <c r="G206" i="35" s="1"/>
  <c r="BN9" i="10" a="1"/>
  <c r="BN9" i="10" s="1"/>
  <c r="F206" i="35" s="1"/>
  <c r="BM10" i="10" a="1"/>
  <c r="BM10" i="10" s="1"/>
  <c r="G207" i="35" s="1"/>
  <c r="BN10" i="10" a="1"/>
  <c r="BN10" i="10" s="1"/>
  <c r="F207" i="35" s="1"/>
  <c r="BM11" i="10" a="1"/>
  <c r="BM11" i="10" s="1"/>
  <c r="G208" i="35" s="1"/>
  <c r="BN11" i="10" a="1"/>
  <c r="BN11" i="10" s="1"/>
  <c r="F208" i="35" s="1"/>
  <c r="BM12" i="10" a="1"/>
  <c r="BM12" i="10" s="1"/>
  <c r="G209" i="35" s="1"/>
  <c r="BN12" i="10" a="1"/>
  <c r="BN12" i="10" s="1"/>
  <c r="F209" i="35" s="1"/>
  <c r="BM13" i="10" a="1"/>
  <c r="BM13" i="10" s="1"/>
  <c r="G210" i="35" s="1"/>
  <c r="BN13" i="10" a="1"/>
  <c r="BN13" i="10" s="1"/>
  <c r="F210" i="35" s="1"/>
  <c r="BM14" i="10" a="1"/>
  <c r="BM14" i="10" s="1"/>
  <c r="G211" i="35" s="1"/>
  <c r="BN14" i="10" a="1"/>
  <c r="BN14" i="10" s="1"/>
  <c r="F211" i="35" s="1"/>
  <c r="BM15" i="10" a="1"/>
  <c r="BM15" i="10" s="1"/>
  <c r="G212" i="35" s="1"/>
  <c r="BN15" i="10" a="1"/>
  <c r="BN15" i="10" s="1"/>
  <c r="F212" i="35" s="1"/>
  <c r="BM16" i="10" a="1"/>
  <c r="BM16" i="10" s="1"/>
  <c r="G213" i="35" s="1"/>
  <c r="BN16" i="10" a="1"/>
  <c r="BN16" i="10" s="1"/>
  <c r="F213" i="35" s="1"/>
  <c r="BM17" i="10" a="1"/>
  <c r="BM17" i="10" s="1"/>
  <c r="G214" i="35" s="1"/>
  <c r="BN17" i="10" a="1"/>
  <c r="BN17" i="10" s="1"/>
  <c r="F214" i="35" s="1"/>
  <c r="BM18" i="10" a="1"/>
  <c r="BM18" i="10" s="1"/>
  <c r="G215" i="35" s="1"/>
  <c r="BN18" i="10" a="1"/>
  <c r="BN18" i="10" s="1"/>
  <c r="F215" i="35" s="1"/>
  <c r="BM19" i="10" a="1"/>
  <c r="BM19" i="10" s="1"/>
  <c r="G216" i="35" s="1"/>
  <c r="BN19" i="10" a="1"/>
  <c r="BN19" i="10" s="1"/>
  <c r="F216" i="35" s="1"/>
  <c r="BM20" i="10" a="1"/>
  <c r="BM20" i="10" s="1"/>
  <c r="G217" i="35" s="1"/>
  <c r="BN20" i="10" a="1"/>
  <c r="BN20" i="10" s="1"/>
  <c r="F217" i="35" s="1"/>
  <c r="BM21" i="10" a="1"/>
  <c r="BM21" i="10" s="1"/>
  <c r="G218" i="35" s="1"/>
  <c r="BN21" i="10" a="1"/>
  <c r="BN21" i="10" s="1"/>
  <c r="F218" i="35" s="1"/>
  <c r="BM22" i="10" a="1"/>
  <c r="BM22" i="10" s="1"/>
  <c r="G219" i="35" s="1"/>
  <c r="BN22" i="10" a="1"/>
  <c r="BN22" i="10" s="1"/>
  <c r="F219" i="35" s="1"/>
  <c r="BM23" i="10" a="1"/>
  <c r="BM23" i="10" s="1"/>
  <c r="G220" i="35" s="1"/>
  <c r="BN23" i="10" a="1"/>
  <c r="BN23" i="10" s="1"/>
  <c r="F220" i="35" s="1"/>
  <c r="BM24" i="10" a="1"/>
  <c r="BM24" i="10" s="1"/>
  <c r="G221" i="35" s="1"/>
  <c r="BN24" i="10" a="1"/>
  <c r="BN24" i="10" s="1"/>
  <c r="F221" i="35" s="1"/>
  <c r="BM25" i="10" a="1"/>
  <c r="BM25" i="10" s="1"/>
  <c r="G222" i="35" s="1"/>
  <c r="BN25" i="10" a="1"/>
  <c r="BN25" i="10" s="1"/>
  <c r="F222" i="35" s="1"/>
  <c r="BM26" i="10" a="1"/>
  <c r="BM26" i="10" s="1"/>
  <c r="G223" i="35" s="1"/>
  <c r="BN26" i="10" a="1"/>
  <c r="BN26" i="10" s="1"/>
  <c r="F223" i="35" s="1"/>
  <c r="BM27" i="10" a="1"/>
  <c r="BM27" i="10" s="1"/>
  <c r="G224" i="35" s="1"/>
  <c r="BN27" i="10" a="1"/>
  <c r="BN27" i="10" s="1"/>
  <c r="F224" i="35" s="1"/>
  <c r="BM28" i="10" a="1"/>
  <c r="BM28" i="10" s="1"/>
  <c r="G225" i="35" s="1"/>
  <c r="BN28" i="10" a="1"/>
  <c r="BN28" i="10" s="1"/>
  <c r="F225" i="35" s="1"/>
  <c r="BM29" i="10" a="1"/>
  <c r="BM29" i="10" s="1"/>
  <c r="G226" i="35" s="1"/>
  <c r="BN29" i="10" a="1"/>
  <c r="BN29" i="10" s="1"/>
  <c r="F226" i="35" s="1"/>
  <c r="BM30" i="10" a="1"/>
  <c r="BM30" i="10" s="1"/>
  <c r="G227" i="35" s="1"/>
  <c r="BN30" i="10" a="1"/>
  <c r="BN30" i="10" s="1"/>
  <c r="F227" i="35" s="1"/>
  <c r="BM31" i="10" a="1"/>
  <c r="BM31" i="10" s="1"/>
  <c r="G228" i="35" s="1"/>
  <c r="BN31" i="10" a="1"/>
  <c r="BN31" i="10" s="1"/>
  <c r="F228" i="35" s="1"/>
  <c r="BM32" i="10" a="1"/>
  <c r="BM32" i="10" s="1"/>
  <c r="G229" i="35" s="1"/>
  <c r="BN32" i="10" a="1"/>
  <c r="BN32" i="10" s="1"/>
  <c r="F229" i="35" s="1"/>
  <c r="BM33" i="10" a="1"/>
  <c r="BM33" i="10" s="1"/>
  <c r="G230" i="35" s="1"/>
  <c r="BN33" i="10" a="1"/>
  <c r="BN33" i="10" s="1"/>
  <c r="F230" i="35" s="1"/>
  <c r="BM34" i="10" a="1"/>
  <c r="BM34" i="10" s="1"/>
  <c r="G231" i="35" s="1"/>
  <c r="BN34" i="10" a="1"/>
  <c r="BN34" i="10" s="1"/>
  <c r="F231" i="35" s="1"/>
  <c r="BM35" i="10" a="1"/>
  <c r="BM35" i="10" s="1"/>
  <c r="G232" i="35" s="1"/>
  <c r="BN35" i="10" a="1"/>
  <c r="BN35" i="10" s="1"/>
  <c r="F232" i="35" s="1"/>
  <c r="BM36" i="10" a="1"/>
  <c r="BM36" i="10" s="1"/>
  <c r="G233" i="35" s="1"/>
  <c r="BN36" i="10" a="1"/>
  <c r="BN36" i="10" s="1"/>
  <c r="F233" i="35" s="1"/>
  <c r="BM37" i="10" a="1"/>
  <c r="BM37" i="10" s="1"/>
  <c r="G234" i="35" s="1"/>
  <c r="BN37" i="10" a="1"/>
  <c r="BN37" i="10" s="1"/>
  <c r="F234" i="35" s="1"/>
  <c r="BM38" i="10" a="1"/>
  <c r="BM38" i="10" s="1"/>
  <c r="G235" i="35" s="1"/>
  <c r="BN38" i="10" a="1"/>
  <c r="BN38" i="10" s="1"/>
  <c r="F235" i="35" s="1"/>
  <c r="BM39" i="10" a="1"/>
  <c r="BM39" i="10" s="1"/>
  <c r="G236" i="35" s="1"/>
  <c r="BN39" i="10" a="1"/>
  <c r="BN39" i="10" s="1"/>
  <c r="F236" i="35" s="1"/>
  <c r="BM40" i="10" a="1"/>
  <c r="BM40" i="10" s="1"/>
  <c r="G237" i="35" s="1"/>
  <c r="BN40" i="10" a="1"/>
  <c r="BN40" i="10" s="1"/>
  <c r="F237" i="35" s="1"/>
  <c r="BM41" i="10" a="1"/>
  <c r="BM41" i="10" s="1"/>
  <c r="G238" i="35" s="1"/>
  <c r="BN41" i="10" a="1"/>
  <c r="BN41" i="10" s="1"/>
  <c r="F238" i="35" s="1"/>
  <c r="BM42" i="10" a="1"/>
  <c r="BM42" i="10" s="1"/>
  <c r="G239" i="35" s="1"/>
  <c r="BN42" i="10" a="1"/>
  <c r="BN42" i="10" s="1"/>
  <c r="F239" i="35" s="1"/>
  <c r="BM43" i="10" a="1"/>
  <c r="BM43" i="10" s="1"/>
  <c r="G240" i="35" s="1"/>
  <c r="BN43" i="10" a="1"/>
  <c r="BN43" i="10" s="1"/>
  <c r="F240" i="35" s="1"/>
  <c r="BM44" i="10" a="1"/>
  <c r="BM44" i="10" s="1"/>
  <c r="G241" i="35" s="1"/>
  <c r="BN44" i="10" a="1"/>
  <c r="BN44" i="10" s="1"/>
  <c r="F241" i="35" s="1"/>
  <c r="BM45" i="10" a="1"/>
  <c r="BM45" i="10" s="1"/>
  <c r="G242" i="35" s="1"/>
  <c r="BN45" i="10" a="1"/>
  <c r="BN45" i="10" s="1"/>
  <c r="F242" i="35" s="1"/>
  <c r="BM46" i="10" a="1"/>
  <c r="BM46" i="10" s="1"/>
  <c r="G243" i="35" s="1"/>
  <c r="BN46" i="10" a="1"/>
  <c r="BN46" i="10" s="1"/>
  <c r="F243" i="35" s="1"/>
  <c r="BM47" i="10" a="1"/>
  <c r="BM47" i="10" s="1"/>
  <c r="G244" i="35" s="1"/>
  <c r="BN47" i="10" a="1"/>
  <c r="BN47" i="10" s="1"/>
  <c r="F244" i="35" s="1"/>
  <c r="BM48" i="10" a="1"/>
  <c r="BM48" i="10" s="1"/>
  <c r="G245" i="35" s="1"/>
  <c r="BN48" i="10" a="1"/>
  <c r="BN48" i="10" s="1"/>
  <c r="F245" i="35" s="1"/>
  <c r="BM49" i="10" a="1"/>
  <c r="BM49" i="10" s="1"/>
  <c r="G246" i="35" s="1"/>
  <c r="BN49" i="10" a="1"/>
  <c r="BN49" i="10" s="1"/>
  <c r="F246" i="35" s="1"/>
  <c r="BM50" i="10" a="1"/>
  <c r="BM50" i="10" s="1"/>
  <c r="G247" i="35" s="1"/>
  <c r="BN50" i="10" a="1"/>
  <c r="BN50" i="10" s="1"/>
  <c r="F247" i="35" s="1"/>
  <c r="BM51" i="10" a="1"/>
  <c r="BM51" i="10" s="1"/>
  <c r="G248" i="35" s="1"/>
  <c r="BN51" i="10" a="1"/>
  <c r="BN51" i="10" s="1"/>
  <c r="F248" i="35" s="1"/>
  <c r="BM52" i="10" a="1"/>
  <c r="BM52" i="10" s="1"/>
  <c r="G249" i="35" s="1"/>
  <c r="BN52" i="10" a="1"/>
  <c r="BN52" i="10" s="1"/>
  <c r="F249" i="35" s="1"/>
  <c r="BM53" i="10" a="1"/>
  <c r="BM53" i="10" s="1"/>
  <c r="G250" i="35" s="1"/>
  <c r="BN53" i="10" a="1"/>
  <c r="BN53" i="10" s="1"/>
  <c r="F250" i="35" s="1"/>
  <c r="BM54" i="10" a="1"/>
  <c r="BM54" i="10" s="1"/>
  <c r="G251" i="35" s="1"/>
  <c r="BN54" i="10" a="1"/>
  <c r="BN54" i="10" s="1"/>
  <c r="F251" i="35" s="1"/>
  <c r="BM55" i="10" a="1"/>
  <c r="BM55" i="10" s="1"/>
  <c r="G252" i="35" s="1"/>
  <c r="BN55" i="10" a="1"/>
  <c r="BN55" i="10" s="1"/>
  <c r="F252" i="35" s="1"/>
  <c r="BM56" i="10" a="1"/>
  <c r="BM56" i="10" s="1"/>
  <c r="G253" i="35" s="1"/>
  <c r="BN56" i="10" a="1"/>
  <c r="BN56" i="10" s="1"/>
  <c r="F253" i="35" s="1"/>
  <c r="BM57" i="10" a="1"/>
  <c r="BM57" i="10" s="1"/>
  <c r="G254" i="35" s="1"/>
  <c r="BN57" i="10" a="1"/>
  <c r="BN57" i="10" s="1"/>
  <c r="F254" i="35" s="1"/>
  <c r="BM58" i="10" a="1"/>
  <c r="BM58" i="10" s="1"/>
  <c r="G255" i="35" s="1"/>
  <c r="BN58" i="10" a="1"/>
  <c r="BN58" i="10" s="1"/>
  <c r="F255" i="35" s="1"/>
  <c r="BM59" i="10" a="1"/>
  <c r="BM59" i="10" s="1"/>
  <c r="G256" i="35" s="1"/>
  <c r="BN59" i="10" a="1"/>
  <c r="BN59" i="10" s="1"/>
  <c r="F256" i="35" s="1"/>
  <c r="BM60" i="10" a="1"/>
  <c r="BM60" i="10" s="1"/>
  <c r="G257" i="35" s="1"/>
  <c r="BN60" i="10" a="1"/>
  <c r="BN60" i="10" s="1"/>
  <c r="F257" i="35" s="1"/>
  <c r="BM61" i="10" a="1"/>
  <c r="BM61" i="10" s="1"/>
  <c r="G258" i="35" s="1"/>
  <c r="BN61" i="10" a="1"/>
  <c r="BN61" i="10" s="1"/>
  <c r="F258" i="35" s="1"/>
  <c r="BM62" i="10" a="1"/>
  <c r="BM62" i="10" s="1"/>
  <c r="G259" i="35" s="1"/>
  <c r="BN62" i="10" a="1"/>
  <c r="BN62" i="10" s="1"/>
  <c r="F259" i="35" s="1"/>
  <c r="BM63" i="10" a="1"/>
  <c r="BM63" i="10" s="1"/>
  <c r="G260" i="35" s="1"/>
  <c r="BN63" i="10" a="1"/>
  <c r="BN63" i="10" s="1"/>
  <c r="F260" i="35" s="1"/>
  <c r="BM64" i="10" a="1"/>
  <c r="BM64" i="10" s="1"/>
  <c r="G261" i="35" s="1"/>
  <c r="BN64" i="10" a="1"/>
  <c r="BN64" i="10" s="1"/>
  <c r="F261" i="35" s="1"/>
  <c r="BM65" i="10" a="1"/>
  <c r="BM65" i="10" s="1"/>
  <c r="BN65" i="10" a="1"/>
  <c r="BN65" i="10" s="1"/>
  <c r="BM66" i="10" a="1"/>
  <c r="BM66" i="10" s="1"/>
  <c r="BN66" i="10" a="1"/>
  <c r="BN66" i="10" s="1"/>
  <c r="BM67" i="10" a="1"/>
  <c r="BM67" i="10" s="1"/>
  <c r="BN67" i="10" a="1"/>
  <c r="BN67" i="10" s="1"/>
  <c r="BM68" i="10" a="1"/>
  <c r="BM68" i="10" s="1"/>
  <c r="BN68" i="10" a="1"/>
  <c r="BN68" i="10" s="1"/>
  <c r="BM69" i="10" a="1"/>
  <c r="BM69" i="10" s="1"/>
  <c r="BN69" i="10" a="1"/>
  <c r="BN69" i="10" s="1"/>
  <c r="BM70" i="10" a="1"/>
  <c r="BM70" i="10" s="1"/>
  <c r="BN70" i="10" a="1"/>
  <c r="BN70" i="10" s="1"/>
  <c r="BM71" i="10" a="1"/>
  <c r="BM71" i="10" s="1"/>
  <c r="BN71" i="10" a="1"/>
  <c r="BN71" i="10" s="1"/>
  <c r="BM72" i="10" a="1"/>
  <c r="BM72" i="10" s="1"/>
  <c r="BN72" i="10" a="1"/>
  <c r="BN72" i="10" s="1"/>
  <c r="BM73" i="10" a="1"/>
  <c r="BM73" i="10" s="1"/>
  <c r="BN73" i="10" a="1"/>
  <c r="BN73" i="10" s="1"/>
  <c r="BM74" i="10" a="1"/>
  <c r="BM74" i="10" s="1"/>
  <c r="BN74" i="10" a="1"/>
  <c r="BN74" i="10" s="1"/>
  <c r="BM75" i="10" a="1"/>
  <c r="BM75" i="10" s="1"/>
  <c r="BN75" i="10" a="1"/>
  <c r="BN75" i="10" s="1"/>
  <c r="BM76" i="10" a="1"/>
  <c r="BM76" i="10" s="1"/>
  <c r="BN76" i="10" a="1"/>
  <c r="BN76" i="10" s="1"/>
  <c r="BM77" i="10" a="1"/>
  <c r="BM77" i="10" s="1"/>
  <c r="BN77" i="10" a="1"/>
  <c r="BN77" i="10" s="1"/>
  <c r="BM78" i="10" a="1"/>
  <c r="BM78" i="10" s="1"/>
  <c r="BN78" i="10" a="1"/>
  <c r="BN78" i="10" s="1"/>
  <c r="BM79" i="10" a="1"/>
  <c r="BM79" i="10" s="1"/>
  <c r="BN79" i="10" a="1"/>
  <c r="BN79" i="10" s="1"/>
  <c r="BM80" i="10" a="1"/>
  <c r="BM80" i="10" s="1"/>
  <c r="BN80" i="10" a="1"/>
  <c r="BN80" i="10" s="1"/>
  <c r="BM81" i="10" a="1"/>
  <c r="BM81" i="10" s="1"/>
  <c r="BN81" i="10" a="1"/>
  <c r="BN81" i="10" s="1"/>
  <c r="BM82" i="10" a="1"/>
  <c r="BM82" i="10" s="1"/>
  <c r="BN82" i="10" a="1"/>
  <c r="BN82" i="10" s="1"/>
  <c r="BM83" i="10" a="1"/>
  <c r="BM83" i="10" s="1"/>
  <c r="BN83" i="10" a="1"/>
  <c r="BN83" i="10" s="1"/>
  <c r="BM84" i="10" a="1"/>
  <c r="BM84" i="10" s="1"/>
  <c r="BN84" i="10" a="1"/>
  <c r="BN84" i="10" s="1"/>
  <c r="BM85" i="10" a="1"/>
  <c r="BM85" i="10" s="1"/>
  <c r="BN85" i="10" a="1"/>
  <c r="BN85" i="10" s="1"/>
  <c r="BM86" i="10" a="1"/>
  <c r="BM86" i="10" s="1"/>
  <c r="BN86" i="10" a="1"/>
  <c r="BN86" i="10" s="1"/>
  <c r="BM87" i="10" a="1"/>
  <c r="BM87" i="10" s="1"/>
  <c r="BN87" i="10" a="1"/>
  <c r="BN87" i="10" s="1"/>
  <c r="BM88" i="10" a="1"/>
  <c r="BM88" i="10" s="1"/>
  <c r="BN88" i="10" a="1"/>
  <c r="BN88" i="10" s="1"/>
  <c r="BM89" i="10" a="1"/>
  <c r="BM89" i="10" s="1"/>
  <c r="BN89" i="10" a="1"/>
  <c r="BN89" i="10" s="1"/>
  <c r="BM90" i="10" a="1"/>
  <c r="BM90" i="10" s="1"/>
  <c r="BN90" i="10" a="1"/>
  <c r="BN90" i="10" s="1"/>
  <c r="BM91" i="10" a="1"/>
  <c r="BM91" i="10" s="1"/>
  <c r="BN91" i="10" a="1"/>
  <c r="BN91" i="10" s="1"/>
  <c r="BM92" i="10" a="1"/>
  <c r="BM92" i="10" s="1"/>
  <c r="BN92" i="10" a="1"/>
  <c r="BN92" i="10" s="1"/>
  <c r="BM93" i="10" a="1"/>
  <c r="BM93" i="10" s="1"/>
  <c r="BN93" i="10" a="1"/>
  <c r="BN93" i="10" s="1"/>
  <c r="BM94" i="10" a="1"/>
  <c r="BM94" i="10" s="1"/>
  <c r="BN94" i="10" a="1"/>
  <c r="BN94" i="10" s="1"/>
  <c r="BM95" i="10" a="1"/>
  <c r="BM95" i="10" s="1"/>
  <c r="BN95" i="10" a="1"/>
  <c r="BN95" i="10" s="1"/>
  <c r="BM96" i="10" a="1"/>
  <c r="BM96" i="10" s="1"/>
  <c r="BN96" i="10" a="1"/>
  <c r="BN96" i="10" s="1"/>
  <c r="BM97" i="10" a="1"/>
  <c r="BM97" i="10" s="1"/>
  <c r="BN97" i="10" a="1"/>
  <c r="BN97" i="10" s="1"/>
  <c r="BM98" i="10" a="1"/>
  <c r="BM98" i="10" s="1"/>
  <c r="BN98" i="10" a="1"/>
  <c r="BN98" i="10" s="1"/>
  <c r="BM99" i="10" a="1"/>
  <c r="BM99" i="10" s="1"/>
  <c r="BN99" i="10" a="1"/>
  <c r="BN99" i="10" s="1"/>
  <c r="BM100" i="10" a="1"/>
  <c r="BM100" i="10" s="1"/>
  <c r="BN100" i="10" a="1"/>
  <c r="BN100" i="10" s="1"/>
  <c r="BM101" i="10" a="1"/>
  <c r="BM101" i="10" s="1"/>
  <c r="BN101" i="10" a="1"/>
  <c r="BN101" i="10" s="1"/>
  <c r="BM102" i="10" a="1"/>
  <c r="BM102" i="10" s="1"/>
  <c r="BN102" i="10" a="1"/>
  <c r="BN102" i="10" s="1"/>
  <c r="BM103" i="10" a="1"/>
  <c r="BM103" i="10" s="1"/>
  <c r="BN103" i="10" a="1"/>
  <c r="BN103" i="10" s="1"/>
  <c r="BM104" i="10" a="1"/>
  <c r="BM104" i="10" s="1"/>
  <c r="BN104" i="10" a="1"/>
  <c r="BN104" i="10" s="1"/>
  <c r="BM105" i="10" a="1"/>
  <c r="BM105" i="10" s="1"/>
  <c r="BN105" i="10" a="1"/>
  <c r="BN105" i="10" s="1"/>
  <c r="BM106" i="10" a="1"/>
  <c r="BM106" i="10" s="1"/>
  <c r="BN106" i="10" a="1"/>
  <c r="BN106" i="10" s="1"/>
  <c r="BM107" i="10" a="1"/>
  <c r="BM107" i="10" s="1"/>
  <c r="BN107" i="10" a="1"/>
  <c r="BN107" i="10" s="1"/>
  <c r="BM108" i="10" a="1"/>
  <c r="BM108" i="10" s="1"/>
  <c r="BN108" i="10" a="1"/>
  <c r="BN108" i="10" s="1"/>
  <c r="BM109" i="10" a="1"/>
  <c r="BM109" i="10" s="1"/>
  <c r="BN109" i="10" a="1"/>
  <c r="BN109" i="10" s="1"/>
  <c r="BM110" i="10" a="1"/>
  <c r="BM110" i="10" s="1"/>
  <c r="BN110" i="10" a="1"/>
  <c r="BN110" i="10" s="1"/>
  <c r="BM111" i="10" a="1"/>
  <c r="BM111" i="10" s="1"/>
  <c r="BN111" i="10" a="1"/>
  <c r="BN111" i="10" s="1"/>
  <c r="BM112" i="10" a="1"/>
  <c r="BM112" i="10" s="1"/>
  <c r="BN112" i="10" a="1"/>
  <c r="BN112" i="10" s="1"/>
  <c r="BM113" i="10" a="1"/>
  <c r="BM113" i="10" s="1"/>
  <c r="BN113" i="10" a="1"/>
  <c r="BN113" i="10" s="1"/>
  <c r="BM114" i="10" a="1"/>
  <c r="BM114" i="10" s="1"/>
  <c r="BN114" i="10" a="1"/>
  <c r="BN114" i="10" s="1"/>
  <c r="BM115" i="10" a="1"/>
  <c r="BM115" i="10" s="1"/>
  <c r="BN115" i="10" a="1"/>
  <c r="BN115" i="10" s="1"/>
  <c r="BM116" i="10" a="1"/>
  <c r="BM116" i="10" s="1"/>
  <c r="BN116" i="10" a="1"/>
  <c r="BN116" i="10" s="1"/>
  <c r="BM117" i="10" a="1"/>
  <c r="BM117" i="10" s="1"/>
  <c r="BN117" i="10" a="1"/>
  <c r="BN117" i="10" s="1"/>
  <c r="BM118" i="10" a="1"/>
  <c r="BM118" i="10" s="1"/>
  <c r="BN118" i="10" a="1"/>
  <c r="BN118" i="10" s="1"/>
  <c r="BM119" i="10" a="1"/>
  <c r="BM119" i="10" s="1"/>
  <c r="BN119" i="10" a="1"/>
  <c r="BN119" i="10" s="1"/>
  <c r="BM120" i="10" a="1"/>
  <c r="BM120" i="10" s="1"/>
  <c r="BN120" i="10" a="1"/>
  <c r="BN120" i="10" s="1"/>
  <c r="BM121" i="10" a="1"/>
  <c r="BM121" i="10" s="1"/>
  <c r="BN121" i="10" a="1"/>
  <c r="BN121" i="10" s="1"/>
  <c r="BM122" i="10" a="1"/>
  <c r="BM122" i="10" s="1"/>
  <c r="BN122" i="10" a="1"/>
  <c r="BN122" i="10" s="1"/>
  <c r="BM123" i="10" a="1"/>
  <c r="BM123" i="10" s="1"/>
  <c r="BN123" i="10" a="1"/>
  <c r="BN123" i="10" s="1"/>
  <c r="BM124" i="10" a="1"/>
  <c r="BM124" i="10" s="1"/>
  <c r="BN124" i="10" a="1"/>
  <c r="BN124" i="10" s="1"/>
  <c r="BM125" i="10" a="1"/>
  <c r="BM125" i="10" s="1"/>
  <c r="BN125" i="10" a="1"/>
  <c r="BN125" i="10" s="1"/>
  <c r="BM126" i="10" a="1"/>
  <c r="BM126" i="10" s="1"/>
  <c r="BN126" i="10" a="1"/>
  <c r="BN126" i="10" s="1"/>
  <c r="BN3" i="10" a="1"/>
  <c r="BN3" i="10" s="1"/>
  <c r="F200" i="35" s="1"/>
  <c r="BM3" i="10" a="1"/>
  <c r="BM3" i="10" s="1"/>
  <c r="G200" i="35" s="1"/>
  <c r="BK21" i="10" a="1"/>
  <c r="BK21" i="10" s="1"/>
  <c r="BK22" i="10" a="1"/>
  <c r="BK22" i="10" s="1"/>
  <c r="BK23" i="10" a="1"/>
  <c r="BK23" i="10" s="1"/>
  <c r="BK24" i="10" a="1"/>
  <c r="BK24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K37" i="10" a="1"/>
  <c r="BK37" i="10" s="1"/>
  <c r="BK38" i="10" a="1"/>
  <c r="BK38" i="10" s="1"/>
  <c r="BK39" i="10" a="1"/>
  <c r="BK39" i="10" s="1"/>
  <c r="BK40" i="10" a="1"/>
  <c r="BK40" i="10" s="1"/>
  <c r="BK41" i="10" a="1"/>
  <c r="BK41" i="10" s="1"/>
  <c r="BK42" i="10" a="1"/>
  <c r="BK42" i="10" s="1"/>
  <c r="BK43" i="10" a="1"/>
  <c r="BK43" i="10" s="1"/>
  <c r="BK44" i="10" a="1"/>
  <c r="BK44" i="10" s="1"/>
  <c r="BK45" i="10" a="1"/>
  <c r="BK45" i="10" s="1"/>
  <c r="BK46" i="10" a="1"/>
  <c r="BK46" i="10" s="1"/>
  <c r="BK47" i="10" a="1"/>
  <c r="BK47" i="10" s="1"/>
  <c r="BK48" i="10" a="1"/>
  <c r="BK48" i="10" s="1"/>
  <c r="BK49" i="10" a="1"/>
  <c r="BK49" i="10" s="1"/>
  <c r="BK50" i="10" a="1"/>
  <c r="BK50" i="10" s="1"/>
  <c r="BK51" i="10" a="1"/>
  <c r="BK51" i="10" s="1"/>
  <c r="BK52" i="10" a="1"/>
  <c r="BK52" i="10" s="1"/>
  <c r="BK53" i="10" a="1"/>
  <c r="BK53" i="10" s="1"/>
  <c r="BK54" i="10" a="1"/>
  <c r="BK54" i="10" s="1"/>
  <c r="BK55" i="10" a="1"/>
  <c r="BK55" i="10" s="1"/>
  <c r="BK56" i="10" a="1"/>
  <c r="BK56" i="10" s="1"/>
  <c r="BK57" i="10" a="1"/>
  <c r="BK57" i="10" s="1"/>
  <c r="BK58" i="10" a="1"/>
  <c r="BK58" i="10" s="1"/>
  <c r="BK59" i="10" a="1"/>
  <c r="BK59" i="10" s="1"/>
  <c r="BK60" i="10" a="1"/>
  <c r="BK60" i="10" s="1"/>
  <c r="BK61" i="10" a="1"/>
  <c r="BK61" i="10" s="1"/>
  <c r="BK62" i="10" a="1"/>
  <c r="BK62" i="10" s="1"/>
  <c r="BK63" i="10" a="1"/>
  <c r="BK63" i="10" s="1"/>
  <c r="BK64" i="10" a="1"/>
  <c r="BK64" i="10" s="1"/>
  <c r="BK65" i="10" a="1"/>
  <c r="BK65" i="10" s="1"/>
  <c r="BK66" i="10" a="1"/>
  <c r="BK66" i="10" s="1"/>
  <c r="BK67" i="10" a="1"/>
  <c r="BK67" i="10" s="1"/>
  <c r="BK68" i="10" a="1"/>
  <c r="BK68" i="10" s="1"/>
  <c r="BK69" i="10" a="1"/>
  <c r="BK69" i="10" s="1"/>
  <c r="BK70" i="10" a="1"/>
  <c r="BK70" i="10" s="1"/>
  <c r="BK71" i="10" a="1"/>
  <c r="BK71" i="10" s="1"/>
  <c r="BK72" i="10" a="1"/>
  <c r="BK72" i="10" s="1"/>
  <c r="BK73" i="10" a="1"/>
  <c r="BK73" i="10" s="1"/>
  <c r="BK74" i="10" a="1"/>
  <c r="BK74" i="10" s="1"/>
  <c r="BK75" i="10" a="1"/>
  <c r="BK75" i="10" s="1"/>
  <c r="BK76" i="10" a="1"/>
  <c r="BK76" i="10" s="1"/>
  <c r="BK77" i="10" a="1"/>
  <c r="BK77" i="10" s="1"/>
  <c r="BK78" i="10" a="1"/>
  <c r="BK78" i="10" s="1"/>
  <c r="BK79" i="10" a="1"/>
  <c r="BK79" i="10" s="1"/>
  <c r="BK80" i="10" a="1"/>
  <c r="BK80" i="10" s="1"/>
  <c r="BK81" i="10" a="1"/>
  <c r="BK81" i="10" s="1"/>
  <c r="BK82" i="10" a="1"/>
  <c r="BK82" i="10" s="1"/>
  <c r="BK83" i="10" a="1"/>
  <c r="BK83" i="10" s="1"/>
  <c r="BK84" i="10" a="1"/>
  <c r="BK84" i="10" s="1"/>
  <c r="BK85" i="10" a="1"/>
  <c r="BK85" i="10" s="1"/>
  <c r="BK86" i="10" a="1"/>
  <c r="BK86" i="10" s="1"/>
  <c r="BK87" i="10" a="1"/>
  <c r="BK87" i="10" s="1"/>
  <c r="BK88" i="10" a="1"/>
  <c r="BK88" i="10" s="1"/>
  <c r="BK89" i="10" a="1"/>
  <c r="BK89" i="10" s="1"/>
  <c r="BK90" i="10" a="1"/>
  <c r="BK90" i="10" s="1"/>
  <c r="BK91" i="10" a="1"/>
  <c r="BK91" i="10" s="1"/>
  <c r="BK92" i="10" a="1"/>
  <c r="BK92" i="10" s="1"/>
  <c r="BK93" i="10" a="1"/>
  <c r="BK93" i="10" s="1"/>
  <c r="BK94" i="10" a="1"/>
  <c r="BK94" i="10" s="1"/>
  <c r="BK95" i="10" a="1"/>
  <c r="BK95" i="10" s="1"/>
  <c r="BK96" i="10" a="1"/>
  <c r="BK96" i="10" s="1"/>
  <c r="BK97" i="10" a="1"/>
  <c r="BK97" i="10" s="1"/>
  <c r="BK98" i="10" a="1"/>
  <c r="BK98" i="10" s="1"/>
  <c r="BK99" i="10" a="1"/>
  <c r="BK99" i="10" s="1"/>
  <c r="BK100" i="10" a="1"/>
  <c r="BK100" i="10" s="1"/>
  <c r="BK101" i="10" a="1"/>
  <c r="BK101" i="10" s="1"/>
  <c r="BK102" i="10" a="1"/>
  <c r="BK102" i="10" s="1"/>
  <c r="BK103" i="10" a="1"/>
  <c r="BK103" i="10" s="1"/>
  <c r="BK104" i="10" a="1"/>
  <c r="BK104" i="10" s="1"/>
  <c r="BK105" i="10" a="1"/>
  <c r="BK105" i="10" s="1"/>
  <c r="BK106" i="10" a="1"/>
  <c r="BK106" i="10" s="1"/>
  <c r="BK107" i="10" a="1"/>
  <c r="BK107" i="10" s="1"/>
  <c r="BK108" i="10" a="1"/>
  <c r="BK108" i="10" s="1"/>
  <c r="BK109" i="10" a="1"/>
  <c r="BK109" i="10" s="1"/>
  <c r="BK110" i="10" a="1"/>
  <c r="BK110" i="10" s="1"/>
  <c r="BK111" i="10" a="1"/>
  <c r="BK111" i="10" s="1"/>
  <c r="BK112" i="10" a="1"/>
  <c r="BK112" i="10" s="1"/>
  <c r="BK113" i="10" a="1"/>
  <c r="BK113" i="10" s="1"/>
  <c r="BK114" i="10" a="1"/>
  <c r="BK114" i="10" s="1"/>
  <c r="BK115" i="10" a="1"/>
  <c r="BK115" i="10" s="1"/>
  <c r="BK116" i="10" a="1"/>
  <c r="BK116" i="10" s="1"/>
  <c r="BK117" i="10" a="1"/>
  <c r="BK117" i="10" s="1"/>
  <c r="BK118" i="10" a="1"/>
  <c r="BK118" i="10" s="1"/>
  <c r="BK119" i="10" a="1"/>
  <c r="BK119" i="10" s="1"/>
  <c r="BK120" i="10" a="1"/>
  <c r="BK120" i="10" s="1"/>
  <c r="BK121" i="10" a="1"/>
  <c r="BK121" i="10" s="1"/>
  <c r="BK122" i="10" a="1"/>
  <c r="BK122" i="10" s="1"/>
  <c r="BK123" i="10" a="1"/>
  <c r="BK123" i="10" s="1"/>
  <c r="BK124" i="10" a="1"/>
  <c r="BK124" i="10" s="1"/>
  <c r="BK125" i="10" a="1"/>
  <c r="BK125" i="10" s="1"/>
  <c r="BK126" i="10" a="1"/>
  <c r="BK126" i="10" s="1"/>
  <c r="BK4" i="10" a="1"/>
  <c r="BK4" i="10" s="1"/>
  <c r="BK5" i="10" a="1"/>
  <c r="BK5" i="10" s="1"/>
  <c r="BK6" i="10" a="1"/>
  <c r="BK6" i="10" s="1"/>
  <c r="BK7" i="10" a="1"/>
  <c r="BK7" i="10" s="1"/>
  <c r="BK8" i="10" a="1"/>
  <c r="BK8" i="10" s="1"/>
  <c r="BK9" i="10" a="1"/>
  <c r="BK9" i="10" s="1"/>
  <c r="BK10" i="10" a="1"/>
  <c r="BK10" i="10" s="1"/>
  <c r="BK11" i="10" a="1"/>
  <c r="BK11" i="10" s="1"/>
  <c r="BK12" i="10" a="1"/>
  <c r="BK12" i="10" s="1"/>
  <c r="BK13" i="10" a="1"/>
  <c r="BK13" i="10" s="1"/>
  <c r="BK14" i="10" a="1"/>
  <c r="BK14" i="10" s="1"/>
  <c r="BK15" i="10" a="1"/>
  <c r="BK15" i="10" s="1"/>
  <c r="BK16" i="10" a="1"/>
  <c r="BK16" i="10" s="1"/>
  <c r="BK17" i="10" a="1"/>
  <c r="BK17" i="10" s="1"/>
  <c r="BK18" i="10" a="1"/>
  <c r="BK18" i="10" s="1"/>
  <c r="BK19" i="10" a="1"/>
  <c r="BK19" i="10" s="1"/>
  <c r="BK20" i="10" a="1"/>
  <c r="BK20" i="10" s="1"/>
  <c r="BK3" i="10" a="1"/>
  <c r="BK3" i="10" s="1"/>
  <c r="BJ4" i="10" a="1"/>
  <c r="BJ4" i="10" s="1"/>
  <c r="B201" i="35" s="1"/>
  <c r="BJ5" i="10" a="1"/>
  <c r="BJ5" i="10" s="1"/>
  <c r="B202" i="35" s="1"/>
  <c r="BJ6" i="10" a="1"/>
  <c r="BJ6" i="10" s="1"/>
  <c r="B203" i="35" s="1"/>
  <c r="BJ7" i="10" a="1"/>
  <c r="BJ7" i="10" s="1"/>
  <c r="B204" i="35" s="1"/>
  <c r="BJ8" i="10" a="1"/>
  <c r="BJ8" i="10" s="1"/>
  <c r="B205" i="35" s="1"/>
  <c r="BJ9" i="10" a="1"/>
  <c r="BJ9" i="10" s="1"/>
  <c r="B206" i="35" s="1"/>
  <c r="BJ10" i="10" a="1"/>
  <c r="BJ10" i="10" s="1"/>
  <c r="B207" i="35" s="1"/>
  <c r="BJ11" i="10" a="1"/>
  <c r="BJ11" i="10" s="1"/>
  <c r="B208" i="35" s="1"/>
  <c r="BJ12" i="10" a="1"/>
  <c r="BJ12" i="10" s="1"/>
  <c r="B209" i="35" s="1"/>
  <c r="BJ13" i="10" a="1"/>
  <c r="BJ13" i="10" s="1"/>
  <c r="B210" i="35" s="1"/>
  <c r="BJ14" i="10" a="1"/>
  <c r="BJ14" i="10" s="1"/>
  <c r="B211" i="35" s="1"/>
  <c r="BJ15" i="10" a="1"/>
  <c r="BJ15" i="10" s="1"/>
  <c r="B212" i="35" s="1"/>
  <c r="BJ16" i="10" a="1"/>
  <c r="BJ16" i="10" s="1"/>
  <c r="B213" i="35" s="1"/>
  <c r="BJ17" i="10" a="1"/>
  <c r="BJ17" i="10" s="1"/>
  <c r="B214" i="35" s="1"/>
  <c r="BJ18" i="10" a="1"/>
  <c r="BJ18" i="10" s="1"/>
  <c r="BJ19" i="10" a="1"/>
  <c r="BJ19" i="10" s="1"/>
  <c r="B216" i="35" s="1"/>
  <c r="BJ20" i="10" a="1"/>
  <c r="BJ20" i="10" s="1"/>
  <c r="B217" i="35" s="1"/>
  <c r="BJ21" i="10" a="1"/>
  <c r="BJ21" i="10" s="1"/>
  <c r="B218" i="35" s="1"/>
  <c r="BJ22" i="10" a="1"/>
  <c r="BJ22" i="10" s="1"/>
  <c r="B219" i="35" s="1"/>
  <c r="BJ23" i="10" a="1"/>
  <c r="BJ23" i="10" s="1"/>
  <c r="B220" i="35" s="1"/>
  <c r="BJ24" i="10" a="1"/>
  <c r="BJ24" i="10" s="1"/>
  <c r="B221" i="35" s="1"/>
  <c r="BJ25" i="10" a="1"/>
  <c r="BJ25" i="10" s="1"/>
  <c r="B222" i="35" s="1"/>
  <c r="BJ26" i="10" a="1"/>
  <c r="BJ26" i="10" s="1"/>
  <c r="B223" i="35" s="1"/>
  <c r="BJ27" i="10" a="1"/>
  <c r="BJ27" i="10" s="1"/>
  <c r="B224" i="35" s="1"/>
  <c r="BJ28" i="10" a="1"/>
  <c r="BJ28" i="10" s="1"/>
  <c r="B225" i="35" s="1"/>
  <c r="BJ29" i="10" a="1"/>
  <c r="BJ29" i="10" s="1"/>
  <c r="B226" i="35" s="1"/>
  <c r="BJ30" i="10" a="1"/>
  <c r="BJ30" i="10" s="1"/>
  <c r="B227" i="35" s="1"/>
  <c r="BJ31" i="10" a="1"/>
  <c r="BJ31" i="10" s="1"/>
  <c r="B228" i="35" s="1"/>
  <c r="BJ32" i="10" a="1"/>
  <c r="BJ32" i="10" s="1"/>
  <c r="B229" i="35" s="1"/>
  <c r="BJ33" i="10" a="1"/>
  <c r="BJ33" i="10" s="1"/>
  <c r="B230" i="35" s="1"/>
  <c r="BJ34" i="10" a="1"/>
  <c r="BJ34" i="10" s="1"/>
  <c r="B231" i="35" s="1"/>
  <c r="BJ35" i="10" a="1"/>
  <c r="BJ35" i="10" s="1"/>
  <c r="B232" i="35" s="1"/>
  <c r="BJ36" i="10" a="1"/>
  <c r="BJ36" i="10" s="1"/>
  <c r="B233" i="35" s="1"/>
  <c r="BJ37" i="10" a="1"/>
  <c r="BJ37" i="10" s="1"/>
  <c r="B234" i="35" s="1"/>
  <c r="BJ38" i="10" a="1"/>
  <c r="BJ38" i="10" s="1"/>
  <c r="B235" i="35" s="1"/>
  <c r="BJ39" i="10" a="1"/>
  <c r="BJ39" i="10" s="1"/>
  <c r="B236" i="35" s="1"/>
  <c r="BJ40" i="10" a="1"/>
  <c r="BJ40" i="10" s="1"/>
  <c r="B237" i="35" s="1"/>
  <c r="BJ41" i="10" a="1"/>
  <c r="BJ41" i="10" s="1"/>
  <c r="B238" i="35" s="1"/>
  <c r="BJ42" i="10" a="1"/>
  <c r="BJ42" i="10" s="1"/>
  <c r="B239" i="35" s="1"/>
  <c r="BJ43" i="10" a="1"/>
  <c r="BJ43" i="10" s="1"/>
  <c r="B240" i="35" s="1"/>
  <c r="BJ44" i="10" a="1"/>
  <c r="BJ44" i="10" s="1"/>
  <c r="B241" i="35" s="1"/>
  <c r="BJ45" i="10" a="1"/>
  <c r="BJ45" i="10" s="1"/>
  <c r="B242" i="35" s="1"/>
  <c r="BJ46" i="10" a="1"/>
  <c r="BJ46" i="10" s="1"/>
  <c r="B243" i="35" s="1"/>
  <c r="BJ47" i="10" a="1"/>
  <c r="BJ47" i="10" s="1"/>
  <c r="B244" i="35" s="1"/>
  <c r="BJ48" i="10" a="1"/>
  <c r="BJ48" i="10" s="1"/>
  <c r="B245" i="35" s="1"/>
  <c r="BJ49" i="10" a="1"/>
  <c r="BJ49" i="10" s="1"/>
  <c r="B246" i="35" s="1"/>
  <c r="BJ50" i="10" a="1"/>
  <c r="BJ50" i="10" s="1"/>
  <c r="B247" i="35" s="1"/>
  <c r="BJ51" i="10" a="1"/>
  <c r="BJ51" i="10" s="1"/>
  <c r="B248" i="35" s="1"/>
  <c r="BJ52" i="10" a="1"/>
  <c r="BJ52" i="10" s="1"/>
  <c r="B249" i="35" s="1"/>
  <c r="BJ53" i="10" a="1"/>
  <c r="BJ53" i="10" s="1"/>
  <c r="B250" i="35" s="1"/>
  <c r="BJ54" i="10" a="1"/>
  <c r="BJ54" i="10" s="1"/>
  <c r="B251" i="35" s="1"/>
  <c r="BJ55" i="10" a="1"/>
  <c r="BJ55" i="10" s="1"/>
  <c r="B252" i="35" s="1"/>
  <c r="BJ56" i="10" a="1"/>
  <c r="BJ56" i="10" s="1"/>
  <c r="B253" i="35" s="1"/>
  <c r="BJ57" i="10" a="1"/>
  <c r="BJ57" i="10" s="1"/>
  <c r="B254" i="35" s="1"/>
  <c r="BJ58" i="10" a="1"/>
  <c r="BJ58" i="10" s="1"/>
  <c r="B255" i="35" s="1"/>
  <c r="BJ59" i="10" a="1"/>
  <c r="BJ59" i="10" s="1"/>
  <c r="B256" i="35" s="1"/>
  <c r="BJ60" i="10" a="1"/>
  <c r="BJ60" i="10" s="1"/>
  <c r="B257" i="35" s="1"/>
  <c r="BJ61" i="10" a="1"/>
  <c r="BJ61" i="10" s="1"/>
  <c r="B258" i="35" s="1"/>
  <c r="BJ62" i="10" a="1"/>
  <c r="BJ62" i="10" s="1"/>
  <c r="B259" i="35" s="1"/>
  <c r="BJ63" i="10" a="1"/>
  <c r="BJ63" i="10" s="1"/>
  <c r="B260" i="35" s="1"/>
  <c r="BJ64" i="10" a="1"/>
  <c r="BJ64" i="10" s="1"/>
  <c r="B261" i="35" s="1"/>
  <c r="BJ65" i="10" a="1"/>
  <c r="BJ65" i="10" s="1"/>
  <c r="BJ66" i="10" a="1"/>
  <c r="BJ66" i="10" s="1"/>
  <c r="BJ67" i="10" a="1"/>
  <c r="BJ67" i="10" s="1"/>
  <c r="BJ68" i="10" a="1"/>
  <c r="BJ68" i="10" s="1"/>
  <c r="BJ69" i="10" a="1"/>
  <c r="BJ69" i="10" s="1"/>
  <c r="BJ70" i="10" a="1"/>
  <c r="BJ70" i="10" s="1"/>
  <c r="BJ71" i="10" a="1"/>
  <c r="BJ71" i="10" s="1"/>
  <c r="BJ72" i="10" a="1"/>
  <c r="BJ72" i="10" s="1"/>
  <c r="BJ73" i="10" a="1"/>
  <c r="BJ73" i="10" s="1"/>
  <c r="BJ74" i="10" a="1"/>
  <c r="BJ74" i="10" s="1"/>
  <c r="BJ75" i="10" a="1"/>
  <c r="BJ75" i="10" s="1"/>
  <c r="BJ76" i="10" a="1"/>
  <c r="BJ76" i="10" s="1"/>
  <c r="BJ77" i="10" a="1"/>
  <c r="BJ77" i="10" s="1"/>
  <c r="BJ78" i="10" a="1"/>
  <c r="BJ78" i="10" s="1"/>
  <c r="BJ79" i="10" a="1"/>
  <c r="BJ79" i="10" s="1"/>
  <c r="BJ80" i="10" a="1"/>
  <c r="BJ80" i="10" s="1"/>
  <c r="BJ81" i="10" a="1"/>
  <c r="BJ81" i="10" s="1"/>
  <c r="BJ82" i="10" a="1"/>
  <c r="BJ82" i="10" s="1"/>
  <c r="BJ83" i="10" a="1"/>
  <c r="BJ83" i="10" s="1"/>
  <c r="BJ84" i="10" a="1"/>
  <c r="BJ84" i="10" s="1"/>
  <c r="BJ85" i="10" a="1"/>
  <c r="BJ85" i="10" s="1"/>
  <c r="BJ86" i="10" a="1"/>
  <c r="BJ86" i="10" s="1"/>
  <c r="BJ87" i="10" a="1"/>
  <c r="BJ87" i="10" s="1"/>
  <c r="BJ88" i="10" a="1"/>
  <c r="BJ88" i="10" s="1"/>
  <c r="BJ89" i="10" a="1"/>
  <c r="BJ89" i="10" s="1"/>
  <c r="BJ90" i="10" a="1"/>
  <c r="BJ90" i="10" s="1"/>
  <c r="BJ91" i="10" a="1"/>
  <c r="BJ91" i="10" s="1"/>
  <c r="BJ92" i="10" a="1"/>
  <c r="BJ92" i="10" s="1"/>
  <c r="BJ93" i="10" a="1"/>
  <c r="BJ93" i="10" s="1"/>
  <c r="BJ94" i="10" a="1"/>
  <c r="BJ94" i="10" s="1"/>
  <c r="BJ95" i="10" a="1"/>
  <c r="BJ95" i="10" s="1"/>
  <c r="BJ96" i="10" a="1"/>
  <c r="BJ96" i="10" s="1"/>
  <c r="BJ97" i="10" a="1"/>
  <c r="BJ97" i="10" s="1"/>
  <c r="BJ98" i="10" a="1"/>
  <c r="BJ98" i="10" s="1"/>
  <c r="BJ99" i="10" a="1"/>
  <c r="BJ99" i="10" s="1"/>
  <c r="BJ100" i="10" a="1"/>
  <c r="BJ100" i="10" s="1"/>
  <c r="BJ101" i="10" a="1"/>
  <c r="BJ101" i="10" s="1"/>
  <c r="BJ102" i="10" a="1"/>
  <c r="BJ102" i="10" s="1"/>
  <c r="BJ103" i="10" a="1"/>
  <c r="BJ103" i="10" s="1"/>
  <c r="BJ104" i="10" a="1"/>
  <c r="BJ104" i="10" s="1"/>
  <c r="BJ105" i="10" a="1"/>
  <c r="BJ105" i="10" s="1"/>
  <c r="BJ106" i="10" a="1"/>
  <c r="BJ106" i="10" s="1"/>
  <c r="BJ107" i="10" a="1"/>
  <c r="BJ107" i="10" s="1"/>
  <c r="BJ108" i="10" a="1"/>
  <c r="BJ108" i="10" s="1"/>
  <c r="BJ109" i="10" a="1"/>
  <c r="BJ109" i="10" s="1"/>
  <c r="BJ110" i="10" a="1"/>
  <c r="BJ110" i="10" s="1"/>
  <c r="BJ111" i="10" a="1"/>
  <c r="BJ111" i="10" s="1"/>
  <c r="BJ112" i="10" a="1"/>
  <c r="BJ112" i="10" s="1"/>
  <c r="BJ113" i="10" a="1"/>
  <c r="BJ113" i="10" s="1"/>
  <c r="BJ114" i="10" a="1"/>
  <c r="BJ114" i="10" s="1"/>
  <c r="BJ115" i="10" a="1"/>
  <c r="BJ115" i="10" s="1"/>
  <c r="BJ116" i="10" a="1"/>
  <c r="BJ116" i="10" s="1"/>
  <c r="BJ117" i="10" a="1"/>
  <c r="BJ117" i="10" s="1"/>
  <c r="BJ118" i="10" a="1"/>
  <c r="BJ118" i="10" s="1"/>
  <c r="BJ119" i="10" a="1"/>
  <c r="BJ119" i="10" s="1"/>
  <c r="BJ120" i="10" a="1"/>
  <c r="BJ120" i="10" s="1"/>
  <c r="BJ121" i="10" a="1"/>
  <c r="BJ121" i="10" s="1"/>
  <c r="BJ122" i="10" a="1"/>
  <c r="BJ122" i="10" s="1"/>
  <c r="BJ123" i="10" a="1"/>
  <c r="BJ123" i="10" s="1"/>
  <c r="BJ124" i="10" a="1"/>
  <c r="BJ124" i="10" s="1"/>
  <c r="BJ125" i="10" a="1"/>
  <c r="BJ125" i="10" s="1"/>
  <c r="BJ126" i="10" a="1"/>
  <c r="BJ126" i="10" s="1"/>
  <c r="BJ3" i="10" a="1"/>
  <c r="BJ3" i="10" s="1"/>
  <c r="B200" i="35" s="1"/>
  <c r="BI21" i="10" a="1"/>
  <c r="BI21" i="10" s="1"/>
  <c r="BI22" i="10" a="1"/>
  <c r="BI22" i="10" s="1"/>
  <c r="BI23" i="10" a="1"/>
  <c r="BI23" i="10" s="1"/>
  <c r="L181" i="33" s="1"/>
  <c r="BI24" i="10" a="1"/>
  <c r="BI24" i="10" s="1"/>
  <c r="BI25" i="10" a="1"/>
  <c r="BI25" i="10" s="1"/>
  <c r="E404" i="33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E412" i="33" s="1"/>
  <c r="BI34" i="10" a="1"/>
  <c r="BI34" i="10" s="1"/>
  <c r="BI35" i="10" a="1"/>
  <c r="BI35" i="10" s="1"/>
  <c r="BI36" i="10" a="1"/>
  <c r="BI36" i="10" s="1"/>
  <c r="BI37" i="10" a="1"/>
  <c r="BI37" i="10" s="1"/>
  <c r="E416" i="33" s="1"/>
  <c r="BI38" i="10" a="1"/>
  <c r="BI38" i="10" s="1"/>
  <c r="BI39" i="10" a="1"/>
  <c r="BI39" i="10" s="1"/>
  <c r="L197" i="33" s="1"/>
  <c r="BI40" i="10" a="1"/>
  <c r="BI40" i="10" s="1"/>
  <c r="BI41" i="10" a="1"/>
  <c r="BI41" i="10" s="1"/>
  <c r="E420" i="33" s="1"/>
  <c r="BI42" i="10" a="1"/>
  <c r="BI42" i="10" s="1"/>
  <c r="BI43" i="10" a="1"/>
  <c r="BI43" i="10" s="1"/>
  <c r="BI44" i="10" a="1"/>
  <c r="BI44" i="10" s="1"/>
  <c r="BI45" i="10" a="1"/>
  <c r="BI45" i="10" s="1"/>
  <c r="E424" i="33" s="1"/>
  <c r="BI46" i="10" a="1"/>
  <c r="BI46" i="10" s="1"/>
  <c r="BI47" i="10" a="1"/>
  <c r="BI47" i="10" s="1"/>
  <c r="L205" i="33" s="1"/>
  <c r="BI48" i="10" a="1"/>
  <c r="BI48" i="10" s="1"/>
  <c r="BI49" i="10" a="1"/>
  <c r="BI49" i="10" s="1"/>
  <c r="E428" i="33" s="1"/>
  <c r="BI50" i="10" a="1"/>
  <c r="BI50" i="10" s="1"/>
  <c r="BI51" i="10" a="1"/>
  <c r="BI51" i="10" s="1"/>
  <c r="BI52" i="10" a="1"/>
  <c r="BI52" i="10" s="1"/>
  <c r="BI53" i="10" a="1"/>
  <c r="BI53" i="10" s="1"/>
  <c r="E432" i="33" s="1"/>
  <c r="BI54" i="10" a="1"/>
  <c r="BI54" i="10" s="1"/>
  <c r="BI55" i="10" a="1"/>
  <c r="BI55" i="10" s="1"/>
  <c r="L213" i="33" s="1"/>
  <c r="BI56" i="10" a="1"/>
  <c r="BI56" i="10" s="1"/>
  <c r="BI57" i="10" a="1"/>
  <c r="BI57" i="10" s="1"/>
  <c r="E436" i="33" s="1"/>
  <c r="BI58" i="10" a="1"/>
  <c r="BI58" i="10" s="1"/>
  <c r="BI59" i="10" a="1"/>
  <c r="BI59" i="10" s="1"/>
  <c r="BI60" i="10" a="1"/>
  <c r="BI60" i="10" s="1"/>
  <c r="BI61" i="10" a="1"/>
  <c r="BI61" i="10" s="1"/>
  <c r="E440" i="33" s="1"/>
  <c r="BI62" i="10" a="1"/>
  <c r="BI62" i="10" s="1"/>
  <c r="BI63" i="10" a="1"/>
  <c r="BI63" i="10" s="1"/>
  <c r="E442" i="33" s="1"/>
  <c r="BI64" i="10" a="1"/>
  <c r="BI64" i="10" s="1"/>
  <c r="BI65" i="10" a="1"/>
  <c r="BI65" i="10" s="1"/>
  <c r="BI66" i="10" a="1"/>
  <c r="BI66" i="10" s="1"/>
  <c r="BI67" i="10" a="1"/>
  <c r="BI67" i="10" s="1"/>
  <c r="BI68" i="10" a="1"/>
  <c r="BI68" i="10" s="1"/>
  <c r="BI69" i="10" a="1"/>
  <c r="BI69" i="10" s="1"/>
  <c r="BI70" i="10" a="1"/>
  <c r="BI70" i="10" s="1"/>
  <c r="BI71" i="10" a="1"/>
  <c r="BI71" i="10" s="1"/>
  <c r="BI72" i="10" a="1"/>
  <c r="BI72" i="10" s="1"/>
  <c r="BI73" i="10" a="1"/>
  <c r="BI73" i="10" s="1"/>
  <c r="BI74" i="10" a="1"/>
  <c r="BI74" i="10" s="1"/>
  <c r="BI75" i="10" a="1"/>
  <c r="BI75" i="10" s="1"/>
  <c r="BI76" i="10" a="1"/>
  <c r="BI76" i="10" s="1"/>
  <c r="BI77" i="10" a="1"/>
  <c r="BI77" i="10" s="1"/>
  <c r="BI78" i="10" a="1"/>
  <c r="BI78" i="10" s="1"/>
  <c r="BI79" i="10" a="1"/>
  <c r="BI79" i="10" s="1"/>
  <c r="BI80" i="10" a="1"/>
  <c r="BI80" i="10" s="1"/>
  <c r="BI81" i="10" a="1"/>
  <c r="BI81" i="10" s="1"/>
  <c r="BI82" i="10" a="1"/>
  <c r="BI82" i="10" s="1"/>
  <c r="BI83" i="10" a="1"/>
  <c r="BI83" i="10" s="1"/>
  <c r="BI84" i="10" a="1"/>
  <c r="BI84" i="10" s="1"/>
  <c r="BI85" i="10" a="1"/>
  <c r="BI85" i="10" s="1"/>
  <c r="BI86" i="10" a="1"/>
  <c r="BI86" i="10" s="1"/>
  <c r="BI87" i="10" a="1"/>
  <c r="BI87" i="10" s="1"/>
  <c r="BI88" i="10" a="1"/>
  <c r="BI88" i="10" s="1"/>
  <c r="BI89" i="10" a="1"/>
  <c r="BI89" i="10" s="1"/>
  <c r="BI90" i="10" a="1"/>
  <c r="BI90" i="10" s="1"/>
  <c r="BI91" i="10" a="1"/>
  <c r="BI91" i="10" s="1"/>
  <c r="BI92" i="10" a="1"/>
  <c r="BI92" i="10" s="1"/>
  <c r="BI93" i="10" a="1"/>
  <c r="BI93" i="10" s="1"/>
  <c r="BI94" i="10" a="1"/>
  <c r="BI94" i="10" s="1"/>
  <c r="BI95" i="10" a="1"/>
  <c r="BI95" i="10" s="1"/>
  <c r="BI96" i="10" a="1"/>
  <c r="BI96" i="10" s="1"/>
  <c r="BI97" i="10" a="1"/>
  <c r="BI97" i="10" s="1"/>
  <c r="BI98" i="10" a="1"/>
  <c r="BI98" i="10" s="1"/>
  <c r="BI99" i="10" a="1"/>
  <c r="BI99" i="10" s="1"/>
  <c r="BI100" i="10" a="1"/>
  <c r="BI100" i="10" s="1"/>
  <c r="BI101" i="10" a="1"/>
  <c r="BI101" i="10" s="1"/>
  <c r="BI102" i="10" a="1"/>
  <c r="BI102" i="10" s="1"/>
  <c r="BI103" i="10" a="1"/>
  <c r="BI103" i="10" s="1"/>
  <c r="BI104" i="10" a="1"/>
  <c r="BI104" i="10" s="1"/>
  <c r="BI105" i="10" a="1"/>
  <c r="BI105" i="10" s="1"/>
  <c r="BI106" i="10" a="1"/>
  <c r="BI106" i="10" s="1"/>
  <c r="BI107" i="10" a="1"/>
  <c r="BI107" i="10" s="1"/>
  <c r="BI108" i="10" a="1"/>
  <c r="BI108" i="10" s="1"/>
  <c r="BI109" i="10" a="1"/>
  <c r="BI109" i="10" s="1"/>
  <c r="BI110" i="10" a="1"/>
  <c r="BI110" i="10" s="1"/>
  <c r="BI111" i="10" a="1"/>
  <c r="BI111" i="10" s="1"/>
  <c r="BI112" i="10" a="1"/>
  <c r="BI112" i="10" s="1"/>
  <c r="BI113" i="10" a="1"/>
  <c r="BI113" i="10" s="1"/>
  <c r="BI114" i="10" a="1"/>
  <c r="BI114" i="10" s="1"/>
  <c r="BI115" i="10" a="1"/>
  <c r="BI115" i="10" s="1"/>
  <c r="BI116" i="10" a="1"/>
  <c r="BI116" i="10" s="1"/>
  <c r="BI117" i="10" a="1"/>
  <c r="BI117" i="10" s="1"/>
  <c r="BI118" i="10" a="1"/>
  <c r="BI118" i="10" s="1"/>
  <c r="BI119" i="10" a="1"/>
  <c r="BI119" i="10" s="1"/>
  <c r="BI120" i="10" a="1"/>
  <c r="BI120" i="10" s="1"/>
  <c r="BI121" i="10" a="1"/>
  <c r="BI121" i="10" s="1"/>
  <c r="BI122" i="10" a="1"/>
  <c r="BI122" i="10" s="1"/>
  <c r="BI123" i="10" a="1"/>
  <c r="BI123" i="10" s="1"/>
  <c r="BI124" i="10" a="1"/>
  <c r="BI124" i="10" s="1"/>
  <c r="BI125" i="10" a="1"/>
  <c r="BI125" i="10" s="1"/>
  <c r="BI126" i="10" a="1"/>
  <c r="BI126" i="10" s="1"/>
  <c r="BI4" i="10" a="1"/>
  <c r="BI4" i="10" s="1"/>
  <c r="BI5" i="10" a="1"/>
  <c r="BI5" i="10" s="1"/>
  <c r="E384" i="33" s="1"/>
  <c r="BI6" i="10" a="1"/>
  <c r="BI6" i="10" s="1"/>
  <c r="BI7" i="10" a="1"/>
  <c r="BI7" i="10" s="1"/>
  <c r="BI8" i="10" a="1"/>
  <c r="BI8" i="10" s="1"/>
  <c r="BI9" i="10" a="1"/>
  <c r="BI9" i="10" s="1"/>
  <c r="E388" i="33" s="1"/>
  <c r="BI10" i="10" a="1"/>
  <c r="BI10" i="10" s="1"/>
  <c r="BI11" i="10" a="1"/>
  <c r="BI11" i="10" s="1"/>
  <c r="BI12" i="10" a="1"/>
  <c r="BI12" i="10" s="1"/>
  <c r="BI13" i="10" a="1"/>
  <c r="BI13" i="10" s="1"/>
  <c r="E392" i="33" s="1"/>
  <c r="BI14" i="10" a="1"/>
  <c r="BI14" i="10" s="1"/>
  <c r="BI15" i="10" a="1"/>
  <c r="BI15" i="10" s="1"/>
  <c r="BI16" i="10" a="1"/>
  <c r="BI16" i="10" s="1"/>
  <c r="BI17" i="10" a="1"/>
  <c r="BI17" i="10" s="1"/>
  <c r="E396" i="33" s="1"/>
  <c r="BI18" i="10" a="1"/>
  <c r="BI18" i="10" s="1"/>
  <c r="BI19" i="10" a="1"/>
  <c r="BI19" i="10" s="1"/>
  <c r="L177" i="33" s="1"/>
  <c r="BI20" i="10" a="1"/>
  <c r="BI20" i="10" s="1"/>
  <c r="E399" i="33" s="1"/>
  <c r="BI3" i="10" a="1"/>
  <c r="BI3" i="10" s="1"/>
  <c r="B215" i="35" l="1"/>
  <c r="L221" i="33"/>
  <c r="L173" i="33"/>
  <c r="D212" i="35"/>
  <c r="E394" i="33"/>
  <c r="L176" i="33"/>
  <c r="D215" i="35"/>
  <c r="E397" i="33"/>
  <c r="L170" i="33"/>
  <c r="D209" i="35"/>
  <c r="L162" i="33"/>
  <c r="D201" i="35"/>
  <c r="L218" i="33"/>
  <c r="D257" i="35"/>
  <c r="L210" i="33"/>
  <c r="D249" i="35"/>
  <c r="L202" i="33"/>
  <c r="D241" i="35"/>
  <c r="L194" i="33"/>
  <c r="D233" i="35"/>
  <c r="L187" i="33"/>
  <c r="D226" i="35"/>
  <c r="L179" i="33"/>
  <c r="D218" i="35"/>
  <c r="E408" i="33"/>
  <c r="L161" i="33"/>
  <c r="D200" i="35"/>
  <c r="L172" i="33"/>
  <c r="D211" i="35"/>
  <c r="E393" i="33"/>
  <c r="L165" i="33"/>
  <c r="D204" i="35"/>
  <c r="E386" i="33"/>
  <c r="D256" i="35"/>
  <c r="E438" i="33"/>
  <c r="D248" i="35"/>
  <c r="E430" i="33"/>
  <c r="D240" i="35"/>
  <c r="E422" i="33"/>
  <c r="D232" i="35"/>
  <c r="E414" i="33"/>
  <c r="L186" i="33"/>
  <c r="D225" i="35"/>
  <c r="L201" i="33"/>
  <c r="E439" i="33"/>
  <c r="E423" i="33"/>
  <c r="E383" i="33"/>
  <c r="L178" i="33"/>
  <c r="D217" i="35"/>
  <c r="L168" i="33"/>
  <c r="D207" i="35"/>
  <c r="E389" i="33"/>
  <c r="L220" i="33"/>
  <c r="D259" i="35"/>
  <c r="E441" i="33"/>
  <c r="L216" i="33"/>
  <c r="D255" i="35"/>
  <c r="E437" i="33"/>
  <c r="L212" i="33"/>
  <c r="D251" i="35"/>
  <c r="E433" i="33"/>
  <c r="L208" i="33"/>
  <c r="D247" i="35"/>
  <c r="E429" i="33"/>
  <c r="L204" i="33"/>
  <c r="D243" i="35"/>
  <c r="E425" i="33"/>
  <c r="L200" i="33"/>
  <c r="D239" i="35"/>
  <c r="E421" i="33"/>
  <c r="L196" i="33"/>
  <c r="D235" i="35"/>
  <c r="E417" i="33"/>
  <c r="L192" i="33"/>
  <c r="D231" i="35"/>
  <c r="E413" i="33"/>
  <c r="L189" i="33"/>
  <c r="D228" i="35"/>
  <c r="E410" i="33"/>
  <c r="L185" i="33"/>
  <c r="D224" i="35"/>
  <c r="E406" i="33"/>
  <c r="D220" i="35"/>
  <c r="E402" i="33"/>
  <c r="E382" i="33"/>
  <c r="L166" i="33"/>
  <c r="D205" i="35"/>
  <c r="L222" i="33"/>
  <c r="D261" i="35"/>
  <c r="L214" i="33"/>
  <c r="D253" i="35"/>
  <c r="L206" i="33"/>
  <c r="D245" i="35"/>
  <c r="L198" i="33"/>
  <c r="D237" i="35"/>
  <c r="L191" i="33"/>
  <c r="D230" i="35"/>
  <c r="L183" i="33"/>
  <c r="D222" i="35"/>
  <c r="E400" i="33"/>
  <c r="L175" i="33"/>
  <c r="D214" i="35"/>
  <c r="L169" i="33"/>
  <c r="D208" i="35"/>
  <c r="E390" i="33"/>
  <c r="D252" i="35"/>
  <c r="E434" i="33"/>
  <c r="D244" i="35"/>
  <c r="E426" i="33"/>
  <c r="D236" i="35"/>
  <c r="E418" i="33"/>
  <c r="L190" i="33"/>
  <c r="D229" i="35"/>
  <c r="L182" i="33"/>
  <c r="D221" i="35"/>
  <c r="L217" i="33"/>
  <c r="E431" i="33"/>
  <c r="E415" i="33"/>
  <c r="E407" i="33"/>
  <c r="E391" i="33"/>
  <c r="L174" i="33"/>
  <c r="D213" i="35"/>
  <c r="L171" i="33"/>
  <c r="D210" i="35"/>
  <c r="L164" i="33"/>
  <c r="D203" i="35"/>
  <c r="E385" i="33"/>
  <c r="D216" i="35"/>
  <c r="E398" i="33"/>
  <c r="L167" i="33"/>
  <c r="D206" i="35"/>
  <c r="L163" i="33"/>
  <c r="D202" i="35"/>
  <c r="L219" i="33"/>
  <c r="D258" i="35"/>
  <c r="L215" i="33"/>
  <c r="D254" i="35"/>
  <c r="L211" i="33"/>
  <c r="D250" i="35"/>
  <c r="L207" i="33"/>
  <c r="D246" i="35"/>
  <c r="L203" i="33"/>
  <c r="D242" i="35"/>
  <c r="L199" i="33"/>
  <c r="D238" i="35"/>
  <c r="L195" i="33"/>
  <c r="D234" i="35"/>
  <c r="L188" i="33"/>
  <c r="D227" i="35"/>
  <c r="E409" i="33"/>
  <c r="L184" i="33"/>
  <c r="D223" i="35"/>
  <c r="E405" i="33"/>
  <c r="L180" i="33"/>
  <c r="D219" i="35"/>
  <c r="E401" i="33"/>
  <c r="L209" i="33"/>
  <c r="L193" i="33"/>
  <c r="E443" i="33"/>
  <c r="E435" i="33"/>
  <c r="E427" i="33"/>
  <c r="E419" i="33"/>
  <c r="E411" i="33"/>
  <c r="E403" i="33"/>
  <c r="E395" i="33"/>
  <c r="E387" i="33"/>
  <c r="D260" i="35"/>
  <c r="D1351" i="35" l="1"/>
  <c r="D1352" i="35"/>
  <c r="D1353" i="35"/>
  <c r="G154" i="27"/>
  <c r="D1355" i="35"/>
  <c r="D1356" i="35"/>
  <c r="D1357" i="35"/>
  <c r="G158" i="27"/>
  <c r="D1359" i="35"/>
  <c r="D1360" i="35"/>
  <c r="D1361" i="35"/>
  <c r="G162" i="27"/>
  <c r="D1363" i="35"/>
  <c r="D1364" i="35"/>
  <c r="D1365" i="35"/>
  <c r="G166" i="27"/>
  <c r="D1367" i="35"/>
  <c r="D1368" i="35"/>
  <c r="D1369" i="35"/>
  <c r="G170" i="27"/>
  <c r="D1371" i="35"/>
  <c r="D1372" i="35"/>
  <c r="D1373" i="35"/>
  <c r="G174" i="27"/>
  <c r="D1375" i="35"/>
  <c r="D1376" i="35"/>
  <c r="D1377" i="35"/>
  <c r="G178" i="27"/>
  <c r="D1379" i="35"/>
  <c r="D1380" i="35"/>
  <c r="D1381" i="35"/>
  <c r="G182" i="27"/>
  <c r="D1383" i="35"/>
  <c r="D1384" i="35"/>
  <c r="D1385" i="35"/>
  <c r="G186" i="27"/>
  <c r="D1387" i="35"/>
  <c r="D1388" i="35"/>
  <c r="D1389" i="35"/>
  <c r="G190" i="27"/>
  <c r="D1391" i="35"/>
  <c r="D1392" i="35"/>
  <c r="D1393" i="35"/>
  <c r="G194" i="27"/>
  <c r="D1395" i="35"/>
  <c r="D1396" i="35"/>
  <c r="D1397" i="35"/>
  <c r="G198" i="27"/>
  <c r="D1399" i="35"/>
  <c r="D1400" i="35"/>
  <c r="D1401" i="35"/>
  <c r="G202" i="27"/>
  <c r="D1403" i="35"/>
  <c r="D1404" i="35"/>
  <c r="D1405" i="35"/>
  <c r="G206" i="27"/>
  <c r="D1407" i="35"/>
  <c r="D1408" i="35"/>
  <c r="D1409" i="35"/>
  <c r="G210" i="27"/>
  <c r="D1411" i="35"/>
  <c r="D1412" i="35"/>
  <c r="K439" i="45" l="1"/>
  <c r="T459" i="45"/>
  <c r="AK458" i="45"/>
  <c r="D1354" i="35"/>
  <c r="D1402" i="35"/>
  <c r="D1386" i="35"/>
  <c r="D1370" i="35"/>
  <c r="D1155" i="35"/>
  <c r="D1107" i="35"/>
  <c r="G205" i="27"/>
  <c r="G157" i="27"/>
  <c r="D1151" i="35"/>
  <c r="D1135" i="35"/>
  <c r="D1119" i="35"/>
  <c r="D1103" i="35"/>
  <c r="D1398" i="35"/>
  <c r="D1382" i="35"/>
  <c r="D1366" i="35"/>
  <c r="G201" i="27"/>
  <c r="G185" i="27"/>
  <c r="G169" i="27"/>
  <c r="G153" i="27"/>
  <c r="D1123" i="35"/>
  <c r="G173" i="27"/>
  <c r="D1101" i="35"/>
  <c r="D1147" i="35"/>
  <c r="D1131" i="35"/>
  <c r="D1115" i="35"/>
  <c r="D1410" i="35"/>
  <c r="D1394" i="35"/>
  <c r="D1378" i="35"/>
  <c r="D1362" i="35"/>
  <c r="G151" i="27"/>
  <c r="G197" i="27"/>
  <c r="G181" i="27"/>
  <c r="G165" i="27"/>
  <c r="D1139" i="35"/>
  <c r="G189" i="27"/>
  <c r="D1159" i="35"/>
  <c r="D1143" i="35"/>
  <c r="D1127" i="35"/>
  <c r="D1111" i="35"/>
  <c r="D1406" i="35"/>
  <c r="D1390" i="35"/>
  <c r="D1374" i="35"/>
  <c r="D1358" i="35"/>
  <c r="G209" i="27"/>
  <c r="G193" i="27"/>
  <c r="G177" i="27"/>
  <c r="G161" i="27"/>
  <c r="D1162" i="35"/>
  <c r="D1158" i="35"/>
  <c r="D1154" i="35"/>
  <c r="D1150" i="35"/>
  <c r="D1146" i="35"/>
  <c r="D1142" i="35"/>
  <c r="D1138" i="35"/>
  <c r="D1134" i="35"/>
  <c r="D1130" i="35"/>
  <c r="D1126" i="35"/>
  <c r="D1122" i="35"/>
  <c r="D1118" i="35"/>
  <c r="D1114" i="35"/>
  <c r="D1110" i="35"/>
  <c r="D1106" i="35"/>
  <c r="D1102" i="35"/>
  <c r="G212" i="27"/>
  <c r="G208" i="27"/>
  <c r="G204" i="27"/>
  <c r="G200" i="27"/>
  <c r="G196" i="27"/>
  <c r="G192" i="27"/>
  <c r="G188" i="27"/>
  <c r="G184" i="27"/>
  <c r="G180" i="27"/>
  <c r="G176" i="27"/>
  <c r="G172" i="27"/>
  <c r="G168" i="27"/>
  <c r="G164" i="27"/>
  <c r="G160" i="27"/>
  <c r="G156" i="27"/>
  <c r="G152" i="27"/>
  <c r="D1161" i="35"/>
  <c r="D1157" i="35"/>
  <c r="D1153" i="35"/>
  <c r="D1149" i="35"/>
  <c r="D1145" i="35"/>
  <c r="D1141" i="35"/>
  <c r="D1137" i="35"/>
  <c r="D1133" i="35"/>
  <c r="D1129" i="35"/>
  <c r="D1125" i="35"/>
  <c r="D1121" i="35"/>
  <c r="D1117" i="35"/>
  <c r="D1113" i="35"/>
  <c r="D1109" i="35"/>
  <c r="D1105" i="35"/>
  <c r="G211" i="27"/>
  <c r="G207" i="27"/>
  <c r="G203" i="27"/>
  <c r="G199" i="27"/>
  <c r="G195" i="27"/>
  <c r="G191" i="27"/>
  <c r="G187" i="27"/>
  <c r="G183" i="27"/>
  <c r="G179" i="27"/>
  <c r="G175" i="27"/>
  <c r="G171" i="27"/>
  <c r="G167" i="27"/>
  <c r="G163" i="27"/>
  <c r="G159" i="27"/>
  <c r="G155" i="27"/>
  <c r="D1160" i="35"/>
  <c r="D1156" i="35"/>
  <c r="D1152" i="35"/>
  <c r="D1148" i="35"/>
  <c r="D1144" i="35"/>
  <c r="D1140" i="35"/>
  <c r="D1136" i="35"/>
  <c r="D1132" i="35"/>
  <c r="D1128" i="35"/>
  <c r="D1124" i="35"/>
  <c r="D1120" i="35"/>
  <c r="D1116" i="35"/>
  <c r="D1112" i="35"/>
  <c r="D1108" i="35"/>
  <c r="D1104" i="35"/>
  <c r="Q223" i="41"/>
  <c r="AG438" i="45" l="1"/>
  <c r="AG437" i="45"/>
  <c r="Z445" i="45"/>
  <c r="Z446" i="45"/>
  <c r="L38" i="32"/>
  <c r="AS446" i="45" l="1"/>
  <c r="AS442" i="45"/>
  <c r="AS444" i="45"/>
  <c r="AS447" i="45"/>
  <c r="AS445" i="45"/>
  <c r="AS443" i="45"/>
  <c r="AS448" i="45"/>
  <c r="C1352" i="35"/>
  <c r="C1353" i="35"/>
  <c r="C1354" i="35"/>
  <c r="C1355" i="35"/>
  <c r="C1356" i="35"/>
  <c r="C1357" i="35"/>
  <c r="C1358" i="35"/>
  <c r="C1359" i="35"/>
  <c r="C1360" i="35"/>
  <c r="C1361" i="35"/>
  <c r="C1362" i="35"/>
  <c r="C1363" i="35"/>
  <c r="C1364" i="35"/>
  <c r="C1365" i="35"/>
  <c r="C1366" i="35"/>
  <c r="C1367" i="35"/>
  <c r="C1368" i="35"/>
  <c r="C1369" i="35"/>
  <c r="C1370" i="35"/>
  <c r="C1371" i="35"/>
  <c r="C1372" i="35"/>
  <c r="C1373" i="35"/>
  <c r="C1374" i="35"/>
  <c r="C1375" i="35"/>
  <c r="C1376" i="35"/>
  <c r="C1377" i="35"/>
  <c r="C1378" i="35"/>
  <c r="C1379" i="35"/>
  <c r="C1380" i="35"/>
  <c r="C1381" i="35"/>
  <c r="C1382" i="35"/>
  <c r="C1383" i="35"/>
  <c r="C1384" i="35"/>
  <c r="C1385" i="35"/>
  <c r="C1386" i="35"/>
  <c r="C1387" i="35"/>
  <c r="C1388" i="35"/>
  <c r="C1389" i="35"/>
  <c r="C1390" i="35"/>
  <c r="C1391" i="35"/>
  <c r="C1392" i="35"/>
  <c r="C1393" i="35"/>
  <c r="C1394" i="35"/>
  <c r="C1395" i="35"/>
  <c r="C1396" i="35"/>
  <c r="C1397" i="35"/>
  <c r="C1398" i="35"/>
  <c r="C1399" i="35"/>
  <c r="C1400" i="35"/>
  <c r="C1401" i="35"/>
  <c r="C1402" i="35"/>
  <c r="C1403" i="35"/>
  <c r="C1404" i="35"/>
  <c r="C1405" i="35"/>
  <c r="C1406" i="35"/>
  <c r="C1407" i="35"/>
  <c r="C1408" i="35"/>
  <c r="C1409" i="35"/>
  <c r="C1410" i="35"/>
  <c r="C1411" i="35"/>
  <c r="C1412" i="35"/>
  <c r="C1351" i="35"/>
  <c r="K1102" i="35" l="1"/>
  <c r="K1103" i="35"/>
  <c r="K1104" i="35"/>
  <c r="K1105" i="35"/>
  <c r="K1106" i="35"/>
  <c r="K1107" i="35"/>
  <c r="K1108" i="35"/>
  <c r="K1109" i="35"/>
  <c r="K1110" i="35"/>
  <c r="K1111" i="35"/>
  <c r="K1112" i="35"/>
  <c r="K1113" i="35"/>
  <c r="K1114" i="35"/>
  <c r="K1115" i="35"/>
  <c r="K1116" i="35"/>
  <c r="K1117" i="35"/>
  <c r="K1118" i="35"/>
  <c r="K1119" i="35"/>
  <c r="K1120" i="35"/>
  <c r="K1121" i="35"/>
  <c r="K1122" i="35"/>
  <c r="K1123" i="35"/>
  <c r="K1124" i="35"/>
  <c r="K1125" i="35"/>
  <c r="K1126" i="35"/>
  <c r="K1127" i="35"/>
  <c r="K1128" i="35"/>
  <c r="K1129" i="35"/>
  <c r="K1130" i="35"/>
  <c r="K1131" i="35"/>
  <c r="K1132" i="35"/>
  <c r="K1133" i="35"/>
  <c r="K1134" i="35"/>
  <c r="K1135" i="35"/>
  <c r="K1136" i="35"/>
  <c r="K1137" i="35"/>
  <c r="K1138" i="35"/>
  <c r="K1139" i="35"/>
  <c r="K1140" i="35"/>
  <c r="K1141" i="35"/>
  <c r="K1142" i="35"/>
  <c r="K1143" i="35"/>
  <c r="K1144" i="35"/>
  <c r="K1145" i="35"/>
  <c r="K1146" i="35"/>
  <c r="K1147" i="35"/>
  <c r="K1148" i="35"/>
  <c r="K1149" i="35"/>
  <c r="K1150" i="35"/>
  <c r="K1151" i="35"/>
  <c r="K1152" i="35"/>
  <c r="K1153" i="35"/>
  <c r="K1154" i="35"/>
  <c r="K1155" i="35"/>
  <c r="K1156" i="35"/>
  <c r="K1157" i="35"/>
  <c r="K1158" i="35"/>
  <c r="K1159" i="35"/>
  <c r="K1160" i="35"/>
  <c r="K1161" i="35"/>
  <c r="K1162" i="35"/>
  <c r="K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01" i="35"/>
  <c r="B895" i="31" l="1"/>
  <c r="B894" i="31"/>
  <c r="A760" i="31"/>
  <c r="A759" i="31"/>
  <c r="A630" i="31"/>
  <c r="A629" i="31"/>
  <c r="A500" i="31"/>
  <c r="A499" i="31"/>
  <c r="M430" i="31"/>
  <c r="L430" i="31"/>
  <c r="K430" i="31"/>
  <c r="J430" i="31"/>
  <c r="I430" i="31"/>
  <c r="H430" i="31"/>
  <c r="G430" i="31"/>
  <c r="F430" i="31"/>
  <c r="E430" i="31"/>
  <c r="M429" i="31"/>
  <c r="L429" i="31"/>
  <c r="K429" i="31"/>
  <c r="J429" i="31"/>
  <c r="I429" i="31"/>
  <c r="H429" i="31"/>
  <c r="G429" i="31"/>
  <c r="F429" i="31"/>
  <c r="E429" i="31"/>
  <c r="M428" i="31"/>
  <c r="L428" i="31"/>
  <c r="K428" i="31"/>
  <c r="J428" i="31"/>
  <c r="I428" i="31"/>
  <c r="H428" i="31"/>
  <c r="G428" i="31"/>
  <c r="F428" i="31"/>
  <c r="E428" i="31"/>
  <c r="M427" i="31"/>
  <c r="L427" i="31"/>
  <c r="K427" i="31"/>
  <c r="J427" i="31"/>
  <c r="I427" i="31"/>
  <c r="H427" i="31"/>
  <c r="G427" i="31"/>
  <c r="F427" i="31"/>
  <c r="E427" i="31"/>
  <c r="M426" i="31"/>
  <c r="L426" i="31"/>
  <c r="K426" i="31"/>
  <c r="J426" i="31"/>
  <c r="I426" i="31"/>
  <c r="H426" i="31"/>
  <c r="G426" i="31"/>
  <c r="F426" i="31"/>
  <c r="E426" i="31"/>
  <c r="M425" i="31"/>
  <c r="L425" i="31"/>
  <c r="K425" i="31"/>
  <c r="J425" i="31"/>
  <c r="I425" i="31"/>
  <c r="H425" i="31"/>
  <c r="G425" i="31"/>
  <c r="F425" i="31"/>
  <c r="E425" i="31"/>
  <c r="M424" i="31"/>
  <c r="L424" i="31"/>
  <c r="K424" i="31"/>
  <c r="J424" i="31"/>
  <c r="I424" i="31"/>
  <c r="H424" i="31"/>
  <c r="G424" i="31"/>
  <c r="F424" i="31"/>
  <c r="E424" i="31"/>
  <c r="M423" i="31"/>
  <c r="L423" i="31"/>
  <c r="K423" i="31"/>
  <c r="J423" i="31"/>
  <c r="I423" i="31"/>
  <c r="H423" i="31"/>
  <c r="G423" i="31"/>
  <c r="F423" i="31"/>
  <c r="E423" i="31"/>
  <c r="M422" i="31"/>
  <c r="L422" i="31"/>
  <c r="K422" i="31"/>
  <c r="J422" i="31"/>
  <c r="I422" i="31"/>
  <c r="H422" i="31"/>
  <c r="G422" i="31"/>
  <c r="F422" i="31"/>
  <c r="E422" i="31"/>
  <c r="M421" i="31"/>
  <c r="L421" i="31"/>
  <c r="K421" i="31"/>
  <c r="J421" i="31"/>
  <c r="I421" i="31"/>
  <c r="H421" i="31"/>
  <c r="G421" i="31"/>
  <c r="F421" i="31"/>
  <c r="E421" i="31"/>
  <c r="M420" i="31"/>
  <c r="L420" i="31"/>
  <c r="K420" i="31"/>
  <c r="J420" i="31"/>
  <c r="I420" i="31"/>
  <c r="H420" i="31"/>
  <c r="G420" i="31"/>
  <c r="F420" i="31"/>
  <c r="E420" i="31"/>
  <c r="M419" i="31"/>
  <c r="L419" i="31"/>
  <c r="K419" i="31"/>
  <c r="J419" i="31"/>
  <c r="I419" i="31"/>
  <c r="H419" i="31"/>
  <c r="G419" i="31"/>
  <c r="F419" i="31"/>
  <c r="E419" i="31"/>
  <c r="M418" i="31"/>
  <c r="L418" i="31"/>
  <c r="K418" i="31"/>
  <c r="J418" i="31"/>
  <c r="I418" i="31"/>
  <c r="H418" i="31"/>
  <c r="G418" i="31"/>
  <c r="F418" i="31"/>
  <c r="E418" i="31"/>
  <c r="M417" i="31"/>
  <c r="L417" i="31"/>
  <c r="K417" i="31"/>
  <c r="J417" i="31"/>
  <c r="I417" i="31"/>
  <c r="H417" i="31"/>
  <c r="G417" i="31"/>
  <c r="F417" i="31"/>
  <c r="E417" i="31"/>
  <c r="M416" i="31"/>
  <c r="L416" i="31"/>
  <c r="K416" i="31"/>
  <c r="J416" i="31"/>
  <c r="I416" i="31"/>
  <c r="H416" i="31"/>
  <c r="G416" i="31"/>
  <c r="F416" i="31"/>
  <c r="E416" i="31"/>
  <c r="M415" i="31"/>
  <c r="L415" i="31"/>
  <c r="K415" i="31"/>
  <c r="J415" i="31"/>
  <c r="I415" i="31"/>
  <c r="H415" i="31"/>
  <c r="G415" i="31"/>
  <c r="F415" i="31"/>
  <c r="E415" i="31"/>
  <c r="M414" i="31"/>
  <c r="L414" i="31"/>
  <c r="K414" i="31"/>
  <c r="J414" i="31"/>
  <c r="I414" i="31"/>
  <c r="H414" i="31"/>
  <c r="G414" i="31"/>
  <c r="F414" i="31"/>
  <c r="E414" i="31"/>
  <c r="M413" i="31"/>
  <c r="L413" i="31"/>
  <c r="K413" i="31"/>
  <c r="J413" i="31"/>
  <c r="I413" i="31"/>
  <c r="H413" i="31"/>
  <c r="G413" i="31"/>
  <c r="F413" i="31"/>
  <c r="E413" i="31"/>
  <c r="M412" i="31"/>
  <c r="L412" i="31"/>
  <c r="K412" i="31"/>
  <c r="J412" i="31"/>
  <c r="I412" i="31"/>
  <c r="H412" i="31"/>
  <c r="G412" i="31"/>
  <c r="F412" i="31"/>
  <c r="E412" i="31"/>
  <c r="M411" i="31"/>
  <c r="L411" i="31"/>
  <c r="K411" i="31"/>
  <c r="J411" i="31"/>
  <c r="I411" i="31"/>
  <c r="H411" i="31"/>
  <c r="G411" i="31"/>
  <c r="F411" i="31"/>
  <c r="E411" i="31"/>
  <c r="M410" i="31"/>
  <c r="L410" i="31"/>
  <c r="K410" i="31"/>
  <c r="J410" i="31"/>
  <c r="I410" i="31"/>
  <c r="H410" i="31"/>
  <c r="G410" i="31"/>
  <c r="F410" i="31"/>
  <c r="E410" i="31"/>
  <c r="M409" i="31"/>
  <c r="L409" i="31"/>
  <c r="K409" i="31"/>
  <c r="J409" i="31"/>
  <c r="I409" i="31"/>
  <c r="H409" i="31"/>
  <c r="G409" i="31"/>
  <c r="F409" i="31"/>
  <c r="E409" i="31"/>
  <c r="M408" i="31"/>
  <c r="L408" i="31"/>
  <c r="K408" i="31"/>
  <c r="J408" i="31"/>
  <c r="I408" i="31"/>
  <c r="H408" i="31"/>
  <c r="G408" i="31"/>
  <c r="F408" i="31"/>
  <c r="E408" i="31"/>
  <c r="M407" i="31"/>
  <c r="L407" i="31"/>
  <c r="K407" i="31"/>
  <c r="J407" i="31"/>
  <c r="I407" i="31"/>
  <c r="H407" i="31"/>
  <c r="G407" i="31"/>
  <c r="F407" i="31"/>
  <c r="E407" i="31"/>
  <c r="M406" i="31"/>
  <c r="L406" i="31"/>
  <c r="K406" i="31"/>
  <c r="J406" i="31"/>
  <c r="I406" i="31"/>
  <c r="H406" i="31"/>
  <c r="G406" i="31"/>
  <c r="F406" i="31"/>
  <c r="E406" i="31"/>
  <c r="M405" i="31"/>
  <c r="L405" i="31"/>
  <c r="K405" i="31"/>
  <c r="J405" i="31"/>
  <c r="I405" i="31"/>
  <c r="H405" i="31"/>
  <c r="G405" i="31"/>
  <c r="F405" i="31"/>
  <c r="E405" i="31"/>
  <c r="M404" i="31"/>
  <c r="L404" i="31"/>
  <c r="K404" i="31"/>
  <c r="J404" i="31"/>
  <c r="I404" i="31"/>
  <c r="H404" i="31"/>
  <c r="G404" i="31"/>
  <c r="F404" i="31"/>
  <c r="E404" i="31"/>
  <c r="M403" i="31"/>
  <c r="L403" i="31"/>
  <c r="K403" i="31"/>
  <c r="J403" i="31"/>
  <c r="I403" i="31"/>
  <c r="H403" i="31"/>
  <c r="G403" i="31"/>
  <c r="F403" i="31"/>
  <c r="E403" i="31"/>
  <c r="M402" i="31"/>
  <c r="L402" i="31"/>
  <c r="K402" i="31"/>
  <c r="J402" i="31"/>
  <c r="I402" i="31"/>
  <c r="H402" i="31"/>
  <c r="G402" i="31"/>
  <c r="F402" i="31"/>
  <c r="E402" i="31"/>
  <c r="M401" i="31"/>
  <c r="L401" i="31"/>
  <c r="K401" i="31"/>
  <c r="J401" i="31"/>
  <c r="I401" i="31"/>
  <c r="H401" i="31"/>
  <c r="G401" i="31"/>
  <c r="F401" i="31"/>
  <c r="E401" i="31"/>
  <c r="M400" i="31"/>
  <c r="L400" i="31"/>
  <c r="K400" i="31"/>
  <c r="J400" i="31"/>
  <c r="I400" i="31"/>
  <c r="H400" i="31"/>
  <c r="G400" i="31"/>
  <c r="F400" i="31"/>
  <c r="E400" i="31"/>
  <c r="M399" i="31"/>
  <c r="L399" i="31"/>
  <c r="K399" i="31"/>
  <c r="J399" i="31"/>
  <c r="I399" i="31"/>
  <c r="H399" i="31"/>
  <c r="G399" i="31"/>
  <c r="F399" i="31"/>
  <c r="E399" i="31"/>
  <c r="M398" i="31"/>
  <c r="L398" i="31"/>
  <c r="K398" i="31"/>
  <c r="J398" i="31"/>
  <c r="I398" i="31"/>
  <c r="H398" i="31"/>
  <c r="G398" i="31"/>
  <c r="F398" i="31"/>
  <c r="E398" i="31"/>
  <c r="M397" i="31"/>
  <c r="L397" i="31"/>
  <c r="K397" i="31"/>
  <c r="J397" i="31"/>
  <c r="I397" i="31"/>
  <c r="H397" i="31"/>
  <c r="G397" i="31"/>
  <c r="F397" i="31"/>
  <c r="E397" i="31"/>
  <c r="M396" i="31"/>
  <c r="L396" i="31"/>
  <c r="K396" i="31"/>
  <c r="J396" i="31"/>
  <c r="I396" i="31"/>
  <c r="H396" i="31"/>
  <c r="G396" i="31"/>
  <c r="F396" i="31"/>
  <c r="E396" i="31"/>
  <c r="M395" i="31"/>
  <c r="L395" i="31"/>
  <c r="K395" i="31"/>
  <c r="J395" i="31"/>
  <c r="I395" i="31"/>
  <c r="H395" i="31"/>
  <c r="G395" i="31"/>
  <c r="F395" i="31"/>
  <c r="E395" i="31"/>
  <c r="M394" i="31"/>
  <c r="L394" i="31"/>
  <c r="K394" i="31"/>
  <c r="J394" i="31"/>
  <c r="I394" i="31"/>
  <c r="H394" i="31"/>
  <c r="G394" i="31"/>
  <c r="F394" i="31"/>
  <c r="E394" i="31"/>
  <c r="M393" i="31"/>
  <c r="L393" i="31"/>
  <c r="K393" i="31"/>
  <c r="J393" i="31"/>
  <c r="I393" i="31"/>
  <c r="H393" i="31"/>
  <c r="G393" i="31"/>
  <c r="F393" i="31"/>
  <c r="E393" i="31"/>
  <c r="M392" i="31"/>
  <c r="L392" i="31"/>
  <c r="K392" i="31"/>
  <c r="J392" i="31"/>
  <c r="I392" i="31"/>
  <c r="H392" i="31"/>
  <c r="G392" i="31"/>
  <c r="F392" i="31"/>
  <c r="E392" i="31"/>
  <c r="M391" i="31"/>
  <c r="L391" i="31"/>
  <c r="K391" i="31"/>
  <c r="J391" i="31"/>
  <c r="I391" i="31"/>
  <c r="H391" i="31"/>
  <c r="G391" i="31"/>
  <c r="F391" i="31"/>
  <c r="E391" i="31"/>
  <c r="M390" i="31"/>
  <c r="L390" i="31"/>
  <c r="K390" i="31"/>
  <c r="J390" i="31"/>
  <c r="I390" i="31"/>
  <c r="H390" i="31"/>
  <c r="G390" i="31"/>
  <c r="F390" i="31"/>
  <c r="E390" i="31"/>
  <c r="M389" i="31"/>
  <c r="L389" i="31"/>
  <c r="K389" i="31"/>
  <c r="J389" i="31"/>
  <c r="I389" i="31"/>
  <c r="H389" i="31"/>
  <c r="G389" i="31"/>
  <c r="F389" i="31"/>
  <c r="E389" i="31"/>
  <c r="M388" i="31"/>
  <c r="L388" i="31"/>
  <c r="K388" i="31"/>
  <c r="J388" i="31"/>
  <c r="I388" i="31"/>
  <c r="H388" i="31"/>
  <c r="G388" i="31"/>
  <c r="F388" i="31"/>
  <c r="E388" i="31"/>
  <c r="M387" i="31"/>
  <c r="L387" i="31"/>
  <c r="K387" i="31"/>
  <c r="J387" i="31"/>
  <c r="I387" i="31"/>
  <c r="H387" i="31"/>
  <c r="G387" i="31"/>
  <c r="F387" i="31"/>
  <c r="E387" i="31"/>
  <c r="M386" i="31"/>
  <c r="L386" i="31"/>
  <c r="K386" i="31"/>
  <c r="J386" i="31"/>
  <c r="I386" i="31"/>
  <c r="H386" i="31"/>
  <c r="G386" i="31"/>
  <c r="F386" i="31"/>
  <c r="E386" i="31"/>
  <c r="M385" i="31"/>
  <c r="L385" i="31"/>
  <c r="K385" i="31"/>
  <c r="J385" i="31"/>
  <c r="I385" i="31"/>
  <c r="H385" i="31"/>
  <c r="G385" i="31"/>
  <c r="F385" i="31"/>
  <c r="E385" i="31"/>
  <c r="M384" i="31"/>
  <c r="L384" i="31"/>
  <c r="K384" i="31"/>
  <c r="J384" i="31"/>
  <c r="I384" i="31"/>
  <c r="H384" i="31"/>
  <c r="G384" i="31"/>
  <c r="F384" i="31"/>
  <c r="E384" i="31"/>
  <c r="M383" i="31"/>
  <c r="L383" i="31"/>
  <c r="K383" i="31"/>
  <c r="J383" i="31"/>
  <c r="I383" i="31"/>
  <c r="H383" i="31"/>
  <c r="G383" i="31"/>
  <c r="F383" i="31"/>
  <c r="E383" i="31"/>
  <c r="M382" i="31"/>
  <c r="L382" i="31"/>
  <c r="K382" i="31"/>
  <c r="J382" i="31"/>
  <c r="I382" i="31"/>
  <c r="H382" i="31"/>
  <c r="G382" i="31"/>
  <c r="F382" i="31"/>
  <c r="E382" i="31"/>
  <c r="M381" i="31"/>
  <c r="L381" i="31"/>
  <c r="K381" i="31"/>
  <c r="J381" i="31"/>
  <c r="I381" i="31"/>
  <c r="H381" i="31"/>
  <c r="G381" i="31"/>
  <c r="F381" i="31"/>
  <c r="E381" i="31"/>
  <c r="M380" i="31"/>
  <c r="L380" i="31"/>
  <c r="K380" i="31"/>
  <c r="J380" i="31"/>
  <c r="I380" i="31"/>
  <c r="H380" i="31"/>
  <c r="G380" i="31"/>
  <c r="F380" i="31"/>
  <c r="E380" i="31"/>
  <c r="M379" i="31"/>
  <c r="L379" i="31"/>
  <c r="K379" i="31"/>
  <c r="J379" i="31"/>
  <c r="I379" i="31"/>
  <c r="H379" i="31"/>
  <c r="G379" i="31"/>
  <c r="F379" i="31"/>
  <c r="E379" i="31"/>
  <c r="M378" i="31"/>
  <c r="L378" i="31"/>
  <c r="K378" i="31"/>
  <c r="J378" i="31"/>
  <c r="I378" i="31"/>
  <c r="H378" i="31"/>
  <c r="G378" i="31"/>
  <c r="F378" i="31"/>
  <c r="E378" i="31"/>
  <c r="M377" i="31"/>
  <c r="L377" i="31"/>
  <c r="K377" i="31"/>
  <c r="J377" i="31"/>
  <c r="I377" i="31"/>
  <c r="H377" i="31"/>
  <c r="G377" i="31"/>
  <c r="F377" i="31"/>
  <c r="E377" i="31"/>
  <c r="M376" i="31"/>
  <c r="L376" i="31"/>
  <c r="K376" i="31"/>
  <c r="J376" i="31"/>
  <c r="I376" i="31"/>
  <c r="H376" i="31"/>
  <c r="G376" i="31"/>
  <c r="F376" i="31"/>
  <c r="E376" i="31"/>
  <c r="M375" i="31"/>
  <c r="L375" i="31"/>
  <c r="K375" i="31"/>
  <c r="J375" i="31"/>
  <c r="I375" i="31"/>
  <c r="H375" i="31"/>
  <c r="G375" i="31"/>
  <c r="F375" i="31"/>
  <c r="E375" i="31"/>
  <c r="M374" i="31"/>
  <c r="L374" i="31"/>
  <c r="K374" i="31"/>
  <c r="J374" i="31"/>
  <c r="I374" i="31"/>
  <c r="H374" i="31"/>
  <c r="G374" i="31"/>
  <c r="F374" i="31"/>
  <c r="E374" i="31"/>
  <c r="M373" i="31"/>
  <c r="L373" i="31"/>
  <c r="K373" i="31"/>
  <c r="J373" i="31"/>
  <c r="I373" i="31"/>
  <c r="H373" i="31"/>
  <c r="G373" i="31"/>
  <c r="F373" i="31"/>
  <c r="E373" i="31"/>
  <c r="M372" i="31"/>
  <c r="L372" i="31"/>
  <c r="K372" i="31"/>
  <c r="J372" i="31"/>
  <c r="I372" i="31"/>
  <c r="H372" i="31"/>
  <c r="G372" i="31"/>
  <c r="F372" i="31"/>
  <c r="E372" i="31"/>
  <c r="M371" i="31"/>
  <c r="L371" i="31"/>
  <c r="K371" i="31"/>
  <c r="J371" i="31"/>
  <c r="I371" i="31"/>
  <c r="H371" i="31"/>
  <c r="G371" i="31"/>
  <c r="F371" i="31"/>
  <c r="E371" i="31"/>
  <c r="M370" i="31"/>
  <c r="L370" i="31"/>
  <c r="K370" i="31"/>
  <c r="J370" i="31"/>
  <c r="I370" i="31"/>
  <c r="H370" i="31"/>
  <c r="G370" i="31"/>
  <c r="F370" i="31"/>
  <c r="E370" i="31"/>
  <c r="D370" i="31"/>
  <c r="M369" i="31"/>
  <c r="L369" i="31"/>
  <c r="K369" i="31"/>
  <c r="J369" i="31"/>
  <c r="I369" i="31"/>
  <c r="H369" i="31"/>
  <c r="G369" i="31"/>
  <c r="F369" i="31"/>
  <c r="E369" i="31"/>
  <c r="D369" i="31"/>
  <c r="M301" i="31"/>
  <c r="L301" i="31"/>
  <c r="K301" i="31"/>
  <c r="J301" i="31"/>
  <c r="I301" i="31"/>
  <c r="H301" i="31"/>
  <c r="G301" i="31"/>
  <c r="F301" i="31"/>
  <c r="E301" i="31"/>
  <c r="M300" i="31"/>
  <c r="L300" i="31"/>
  <c r="K300" i="31"/>
  <c r="J300" i="31"/>
  <c r="I300" i="31"/>
  <c r="H300" i="31"/>
  <c r="G300" i="31"/>
  <c r="F300" i="31"/>
  <c r="E300" i="31"/>
  <c r="M299" i="31"/>
  <c r="L299" i="31"/>
  <c r="K299" i="31"/>
  <c r="J299" i="31"/>
  <c r="I299" i="31"/>
  <c r="H299" i="31"/>
  <c r="G299" i="31"/>
  <c r="F299" i="31"/>
  <c r="E299" i="31"/>
  <c r="M298" i="31"/>
  <c r="L298" i="31"/>
  <c r="K298" i="31"/>
  <c r="J298" i="31"/>
  <c r="I298" i="31"/>
  <c r="H298" i="31"/>
  <c r="G298" i="31"/>
  <c r="F298" i="31"/>
  <c r="E298" i="31"/>
  <c r="M297" i="31"/>
  <c r="L297" i="31"/>
  <c r="K297" i="31"/>
  <c r="J297" i="31"/>
  <c r="I297" i="31"/>
  <c r="H297" i="31"/>
  <c r="G297" i="31"/>
  <c r="F297" i="31"/>
  <c r="E297" i="31"/>
  <c r="M296" i="31"/>
  <c r="L296" i="31"/>
  <c r="K296" i="31"/>
  <c r="J296" i="31"/>
  <c r="I296" i="31"/>
  <c r="H296" i="31"/>
  <c r="G296" i="31"/>
  <c r="F296" i="31"/>
  <c r="E296" i="31"/>
  <c r="M295" i="31"/>
  <c r="L295" i="31"/>
  <c r="K295" i="31"/>
  <c r="J295" i="31"/>
  <c r="I295" i="31"/>
  <c r="H295" i="31"/>
  <c r="G295" i="31"/>
  <c r="F295" i="31"/>
  <c r="E295" i="31"/>
  <c r="M294" i="31"/>
  <c r="L294" i="31"/>
  <c r="K294" i="31"/>
  <c r="J294" i="31"/>
  <c r="I294" i="31"/>
  <c r="H294" i="31"/>
  <c r="G294" i="31"/>
  <c r="F294" i="31"/>
  <c r="E294" i="31"/>
  <c r="M293" i="31"/>
  <c r="L293" i="31"/>
  <c r="K293" i="31"/>
  <c r="J293" i="31"/>
  <c r="I293" i="31"/>
  <c r="H293" i="31"/>
  <c r="G293" i="31"/>
  <c r="F293" i="31"/>
  <c r="E293" i="31"/>
  <c r="M292" i="31"/>
  <c r="L292" i="31"/>
  <c r="K292" i="31"/>
  <c r="J292" i="31"/>
  <c r="I292" i="31"/>
  <c r="H292" i="31"/>
  <c r="G292" i="31"/>
  <c r="F292" i="31"/>
  <c r="E292" i="31"/>
  <c r="M291" i="31"/>
  <c r="L291" i="31"/>
  <c r="K291" i="31"/>
  <c r="J291" i="31"/>
  <c r="I291" i="31"/>
  <c r="H291" i="31"/>
  <c r="G291" i="31"/>
  <c r="F291" i="31"/>
  <c r="E291" i="31"/>
  <c r="M290" i="31"/>
  <c r="L290" i="31"/>
  <c r="K290" i="31"/>
  <c r="J290" i="31"/>
  <c r="I290" i="31"/>
  <c r="H290" i="31"/>
  <c r="G290" i="31"/>
  <c r="F290" i="31"/>
  <c r="E290" i="31"/>
  <c r="M289" i="31"/>
  <c r="L289" i="31"/>
  <c r="K289" i="31"/>
  <c r="J289" i="31"/>
  <c r="I289" i="31"/>
  <c r="H289" i="31"/>
  <c r="G289" i="31"/>
  <c r="F289" i="31"/>
  <c r="E289" i="31"/>
  <c r="M288" i="31"/>
  <c r="L288" i="31"/>
  <c r="K288" i="31"/>
  <c r="J288" i="31"/>
  <c r="I288" i="31"/>
  <c r="H288" i="31"/>
  <c r="G288" i="31"/>
  <c r="F288" i="31"/>
  <c r="E288" i="31"/>
  <c r="M287" i="31"/>
  <c r="L287" i="31"/>
  <c r="K287" i="31"/>
  <c r="J287" i="31"/>
  <c r="I287" i="31"/>
  <c r="H287" i="31"/>
  <c r="G287" i="31"/>
  <c r="F287" i="31"/>
  <c r="E287" i="31"/>
  <c r="M286" i="31"/>
  <c r="L286" i="31"/>
  <c r="K286" i="31"/>
  <c r="J286" i="31"/>
  <c r="I286" i="31"/>
  <c r="H286" i="31"/>
  <c r="G286" i="31"/>
  <c r="F286" i="31"/>
  <c r="E286" i="31"/>
  <c r="M285" i="31"/>
  <c r="L285" i="31"/>
  <c r="K285" i="31"/>
  <c r="J285" i="31"/>
  <c r="I285" i="31"/>
  <c r="H285" i="31"/>
  <c r="G285" i="31"/>
  <c r="F285" i="31"/>
  <c r="E285" i="31"/>
  <c r="M284" i="31"/>
  <c r="L284" i="31"/>
  <c r="K284" i="31"/>
  <c r="J284" i="31"/>
  <c r="I284" i="31"/>
  <c r="H284" i="31"/>
  <c r="G284" i="31"/>
  <c r="F284" i="31"/>
  <c r="E284" i="31"/>
  <c r="M283" i="31"/>
  <c r="L283" i="31"/>
  <c r="K283" i="31"/>
  <c r="J283" i="31"/>
  <c r="I283" i="31"/>
  <c r="H283" i="31"/>
  <c r="G283" i="31"/>
  <c r="F283" i="31"/>
  <c r="E283" i="31"/>
  <c r="M282" i="31"/>
  <c r="L282" i="31"/>
  <c r="K282" i="31"/>
  <c r="J282" i="31"/>
  <c r="I282" i="31"/>
  <c r="H282" i="31"/>
  <c r="G282" i="31"/>
  <c r="F282" i="31"/>
  <c r="E282" i="31"/>
  <c r="M281" i="31"/>
  <c r="L281" i="31"/>
  <c r="K281" i="31"/>
  <c r="J281" i="31"/>
  <c r="I281" i="31"/>
  <c r="H281" i="31"/>
  <c r="G281" i="31"/>
  <c r="F281" i="31"/>
  <c r="E281" i="31"/>
  <c r="M280" i="31"/>
  <c r="L280" i="31"/>
  <c r="K280" i="31"/>
  <c r="J280" i="31"/>
  <c r="I280" i="31"/>
  <c r="H280" i="31"/>
  <c r="G280" i="31"/>
  <c r="F280" i="31"/>
  <c r="E280" i="31"/>
  <c r="M279" i="31"/>
  <c r="L279" i="31"/>
  <c r="K279" i="31"/>
  <c r="J279" i="31"/>
  <c r="I279" i="31"/>
  <c r="H279" i="31"/>
  <c r="G279" i="31"/>
  <c r="F279" i="31"/>
  <c r="E279" i="31"/>
  <c r="M278" i="31"/>
  <c r="L278" i="31"/>
  <c r="K278" i="31"/>
  <c r="J278" i="31"/>
  <c r="I278" i="31"/>
  <c r="H278" i="31"/>
  <c r="G278" i="31"/>
  <c r="F278" i="31"/>
  <c r="E278" i="31"/>
  <c r="M277" i="31"/>
  <c r="L277" i="31"/>
  <c r="K277" i="31"/>
  <c r="J277" i="31"/>
  <c r="I277" i="31"/>
  <c r="H277" i="31"/>
  <c r="G277" i="31"/>
  <c r="F277" i="31"/>
  <c r="E277" i="31"/>
  <c r="M276" i="31"/>
  <c r="L276" i="31"/>
  <c r="K276" i="31"/>
  <c r="J276" i="31"/>
  <c r="I276" i="31"/>
  <c r="H276" i="31"/>
  <c r="G276" i="31"/>
  <c r="F276" i="31"/>
  <c r="E276" i="31"/>
  <c r="M275" i="31"/>
  <c r="L275" i="31"/>
  <c r="K275" i="31"/>
  <c r="J275" i="31"/>
  <c r="I275" i="31"/>
  <c r="H275" i="31"/>
  <c r="G275" i="31"/>
  <c r="F275" i="31"/>
  <c r="E275" i="31"/>
  <c r="M274" i="31"/>
  <c r="L274" i="31"/>
  <c r="K274" i="31"/>
  <c r="J274" i="31"/>
  <c r="I274" i="31"/>
  <c r="H274" i="31"/>
  <c r="G274" i="31"/>
  <c r="F274" i="31"/>
  <c r="E274" i="31"/>
  <c r="M273" i="31"/>
  <c r="L273" i="31"/>
  <c r="K273" i="31"/>
  <c r="J273" i="31"/>
  <c r="I273" i="31"/>
  <c r="H273" i="31"/>
  <c r="G273" i="31"/>
  <c r="F273" i="31"/>
  <c r="E273" i="31"/>
  <c r="M272" i="31"/>
  <c r="L272" i="31"/>
  <c r="K272" i="31"/>
  <c r="J272" i="31"/>
  <c r="I272" i="31"/>
  <c r="H272" i="31"/>
  <c r="G272" i="31"/>
  <c r="F272" i="31"/>
  <c r="E272" i="31"/>
  <c r="M271" i="31"/>
  <c r="L271" i="31"/>
  <c r="K271" i="31"/>
  <c r="J271" i="31"/>
  <c r="I271" i="31"/>
  <c r="H271" i="31"/>
  <c r="G271" i="31"/>
  <c r="F271" i="31"/>
  <c r="E271" i="31"/>
  <c r="M270" i="31"/>
  <c r="L270" i="31"/>
  <c r="K270" i="31"/>
  <c r="J270" i="31"/>
  <c r="I270" i="31"/>
  <c r="H270" i="31"/>
  <c r="G270" i="31"/>
  <c r="F270" i="31"/>
  <c r="E270" i="31"/>
  <c r="M269" i="31"/>
  <c r="L269" i="31"/>
  <c r="K269" i="31"/>
  <c r="J269" i="31"/>
  <c r="I269" i="31"/>
  <c r="H269" i="31"/>
  <c r="G269" i="31"/>
  <c r="F269" i="31"/>
  <c r="E269" i="31"/>
  <c r="M268" i="31"/>
  <c r="L268" i="31"/>
  <c r="K268" i="31"/>
  <c r="J268" i="31"/>
  <c r="I268" i="31"/>
  <c r="H268" i="31"/>
  <c r="G268" i="31"/>
  <c r="F268" i="31"/>
  <c r="E268" i="31"/>
  <c r="M267" i="31"/>
  <c r="L267" i="31"/>
  <c r="K267" i="31"/>
  <c r="J267" i="31"/>
  <c r="I267" i="31"/>
  <c r="H267" i="31"/>
  <c r="G267" i="31"/>
  <c r="F267" i="31"/>
  <c r="E267" i="31"/>
  <c r="M266" i="31"/>
  <c r="L266" i="31"/>
  <c r="K266" i="31"/>
  <c r="J266" i="31"/>
  <c r="I266" i="31"/>
  <c r="H266" i="31"/>
  <c r="G266" i="31"/>
  <c r="F266" i="31"/>
  <c r="E266" i="31"/>
  <c r="M265" i="31"/>
  <c r="L265" i="31"/>
  <c r="K265" i="31"/>
  <c r="J265" i="31"/>
  <c r="I265" i="31"/>
  <c r="H265" i="31"/>
  <c r="G265" i="31"/>
  <c r="F265" i="31"/>
  <c r="E265" i="31"/>
  <c r="M264" i="31"/>
  <c r="L264" i="31"/>
  <c r="K264" i="31"/>
  <c r="J264" i="31"/>
  <c r="I264" i="31"/>
  <c r="H264" i="31"/>
  <c r="G264" i="31"/>
  <c r="F264" i="31"/>
  <c r="E264" i="31"/>
  <c r="M263" i="31"/>
  <c r="L263" i="31"/>
  <c r="K263" i="31"/>
  <c r="J263" i="31"/>
  <c r="I263" i="31"/>
  <c r="H263" i="31"/>
  <c r="G263" i="31"/>
  <c r="F263" i="31"/>
  <c r="E263" i="31"/>
  <c r="M262" i="31"/>
  <c r="L262" i="31"/>
  <c r="K262" i="31"/>
  <c r="J262" i="31"/>
  <c r="I262" i="31"/>
  <c r="H262" i="31"/>
  <c r="G262" i="31"/>
  <c r="F262" i="31"/>
  <c r="E262" i="31"/>
  <c r="M261" i="31"/>
  <c r="L261" i="31"/>
  <c r="K261" i="31"/>
  <c r="J261" i="31"/>
  <c r="I261" i="31"/>
  <c r="H261" i="31"/>
  <c r="G261" i="31"/>
  <c r="F261" i="31"/>
  <c r="E261" i="31"/>
  <c r="M260" i="31"/>
  <c r="L260" i="31"/>
  <c r="K260" i="31"/>
  <c r="J260" i="31"/>
  <c r="I260" i="31"/>
  <c r="H260" i="31"/>
  <c r="G260" i="31"/>
  <c r="F260" i="31"/>
  <c r="E260" i="31"/>
  <c r="M259" i="31"/>
  <c r="L259" i="31"/>
  <c r="K259" i="31"/>
  <c r="J259" i="31"/>
  <c r="I259" i="31"/>
  <c r="H259" i="31"/>
  <c r="G259" i="31"/>
  <c r="F259" i="31"/>
  <c r="E259" i="31"/>
  <c r="M258" i="31"/>
  <c r="L258" i="31"/>
  <c r="K258" i="31"/>
  <c r="J258" i="31"/>
  <c r="I258" i="31"/>
  <c r="H258" i="31"/>
  <c r="G258" i="31"/>
  <c r="F258" i="31"/>
  <c r="E258" i="31"/>
  <c r="M257" i="31"/>
  <c r="L257" i="31"/>
  <c r="K257" i="31"/>
  <c r="J257" i="31"/>
  <c r="I257" i="31"/>
  <c r="H257" i="31"/>
  <c r="G257" i="31"/>
  <c r="F257" i="31"/>
  <c r="E257" i="31"/>
  <c r="M256" i="31"/>
  <c r="L256" i="31"/>
  <c r="K256" i="31"/>
  <c r="J256" i="31"/>
  <c r="I256" i="31"/>
  <c r="H256" i="31"/>
  <c r="G256" i="31"/>
  <c r="F256" i="31"/>
  <c r="E256" i="31"/>
  <c r="M255" i="31"/>
  <c r="L255" i="31"/>
  <c r="K255" i="31"/>
  <c r="J255" i="31"/>
  <c r="I255" i="31"/>
  <c r="H255" i="31"/>
  <c r="G255" i="31"/>
  <c r="F255" i="31"/>
  <c r="E255" i="31"/>
  <c r="M254" i="31"/>
  <c r="L254" i="31"/>
  <c r="K254" i="31"/>
  <c r="J254" i="31"/>
  <c r="I254" i="31"/>
  <c r="H254" i="31"/>
  <c r="G254" i="31"/>
  <c r="F254" i="31"/>
  <c r="E254" i="31"/>
  <c r="M253" i="31"/>
  <c r="L253" i="31"/>
  <c r="K253" i="31"/>
  <c r="J253" i="31"/>
  <c r="I253" i="31"/>
  <c r="H253" i="31"/>
  <c r="G253" i="31"/>
  <c r="F253" i="31"/>
  <c r="E253" i="31"/>
  <c r="M252" i="31"/>
  <c r="L252" i="31"/>
  <c r="K252" i="31"/>
  <c r="J252" i="31"/>
  <c r="I252" i="31"/>
  <c r="H252" i="31"/>
  <c r="G252" i="31"/>
  <c r="F252" i="31"/>
  <c r="E252" i="31"/>
  <c r="M251" i="31"/>
  <c r="L251" i="31"/>
  <c r="K251" i="31"/>
  <c r="J251" i="31"/>
  <c r="I251" i="31"/>
  <c r="H251" i="31"/>
  <c r="G251" i="31"/>
  <c r="F251" i="31"/>
  <c r="E251" i="31"/>
  <c r="M250" i="31"/>
  <c r="L250" i="31"/>
  <c r="K250" i="31"/>
  <c r="J250" i="31"/>
  <c r="I250" i="31"/>
  <c r="H250" i="31"/>
  <c r="G250" i="31"/>
  <c r="F250" i="31"/>
  <c r="E250" i="31"/>
  <c r="M249" i="31"/>
  <c r="L249" i="31"/>
  <c r="K249" i="31"/>
  <c r="J249" i="31"/>
  <c r="I249" i="31"/>
  <c r="H249" i="31"/>
  <c r="G249" i="31"/>
  <c r="F249" i="31"/>
  <c r="E249" i="31"/>
  <c r="M248" i="31"/>
  <c r="L248" i="31"/>
  <c r="K248" i="31"/>
  <c r="J248" i="31"/>
  <c r="I248" i="31"/>
  <c r="H248" i="31"/>
  <c r="G248" i="31"/>
  <c r="F248" i="31"/>
  <c r="E248" i="31"/>
  <c r="M247" i="31"/>
  <c r="L247" i="31"/>
  <c r="K247" i="31"/>
  <c r="J247" i="31"/>
  <c r="I247" i="31"/>
  <c r="H247" i="31"/>
  <c r="G247" i="31"/>
  <c r="F247" i="31"/>
  <c r="E247" i="31"/>
  <c r="M246" i="31"/>
  <c r="L246" i="31"/>
  <c r="K246" i="31"/>
  <c r="J246" i="31"/>
  <c r="I246" i="31"/>
  <c r="H246" i="31"/>
  <c r="G246" i="31"/>
  <c r="F246" i="31"/>
  <c r="E246" i="31"/>
  <c r="M245" i="31"/>
  <c r="L245" i="31"/>
  <c r="K245" i="31"/>
  <c r="J245" i="31"/>
  <c r="I245" i="31"/>
  <c r="H245" i="31"/>
  <c r="G245" i="31"/>
  <c r="F245" i="31"/>
  <c r="E245" i="31"/>
  <c r="M244" i="31"/>
  <c r="L244" i="31"/>
  <c r="K244" i="31"/>
  <c r="J244" i="31"/>
  <c r="I244" i="31"/>
  <c r="H244" i="31"/>
  <c r="G244" i="31"/>
  <c r="F244" i="31"/>
  <c r="E244" i="31"/>
  <c r="M243" i="31"/>
  <c r="L243" i="31"/>
  <c r="K243" i="31"/>
  <c r="J243" i="31"/>
  <c r="I243" i="31"/>
  <c r="H243" i="31"/>
  <c r="G243" i="31"/>
  <c r="F243" i="31"/>
  <c r="E243" i="31"/>
  <c r="M242" i="31"/>
  <c r="L242" i="31"/>
  <c r="K242" i="31"/>
  <c r="J242" i="31"/>
  <c r="I242" i="31"/>
  <c r="H242" i="31"/>
  <c r="G242" i="31"/>
  <c r="F242" i="31"/>
  <c r="E242" i="31"/>
  <c r="M241" i="31"/>
  <c r="L241" i="31"/>
  <c r="K241" i="31"/>
  <c r="J241" i="31"/>
  <c r="I241" i="31"/>
  <c r="H241" i="31"/>
  <c r="G241" i="31"/>
  <c r="F241" i="31"/>
  <c r="E241" i="31"/>
  <c r="D241" i="31"/>
  <c r="M240" i="31"/>
  <c r="L240" i="31"/>
  <c r="K240" i="31"/>
  <c r="J240" i="31"/>
  <c r="I240" i="31"/>
  <c r="H240" i="31"/>
  <c r="G240" i="31"/>
  <c r="F240" i="31"/>
  <c r="E240" i="31"/>
  <c r="D240" i="31"/>
  <c r="M172" i="31"/>
  <c r="L172" i="31"/>
  <c r="K172" i="31"/>
  <c r="J172" i="31"/>
  <c r="I172" i="31"/>
  <c r="H172" i="31"/>
  <c r="G172" i="31"/>
  <c r="F172" i="31"/>
  <c r="E172" i="31"/>
  <c r="M171" i="31"/>
  <c r="L171" i="31"/>
  <c r="K171" i="31"/>
  <c r="J171" i="31"/>
  <c r="I171" i="31"/>
  <c r="H171" i="31"/>
  <c r="G171" i="31"/>
  <c r="F171" i="31"/>
  <c r="E171" i="31"/>
  <c r="M170" i="31"/>
  <c r="L170" i="31"/>
  <c r="K170" i="31"/>
  <c r="J170" i="31"/>
  <c r="I170" i="31"/>
  <c r="H170" i="31"/>
  <c r="G170" i="31"/>
  <c r="F170" i="31"/>
  <c r="E170" i="31"/>
  <c r="M169" i="31"/>
  <c r="L169" i="31"/>
  <c r="K169" i="31"/>
  <c r="J169" i="31"/>
  <c r="I169" i="31"/>
  <c r="H169" i="31"/>
  <c r="G169" i="31"/>
  <c r="F169" i="31"/>
  <c r="E169" i="31"/>
  <c r="M168" i="31"/>
  <c r="L168" i="31"/>
  <c r="K168" i="31"/>
  <c r="J168" i="31"/>
  <c r="I168" i="31"/>
  <c r="H168" i="31"/>
  <c r="G168" i="31"/>
  <c r="F168" i="31"/>
  <c r="E168" i="31"/>
  <c r="M167" i="31"/>
  <c r="L167" i="31"/>
  <c r="K167" i="31"/>
  <c r="J167" i="31"/>
  <c r="I167" i="31"/>
  <c r="H167" i="31"/>
  <c r="G167" i="31"/>
  <c r="F167" i="31"/>
  <c r="E167" i="31"/>
  <c r="M166" i="31"/>
  <c r="L166" i="31"/>
  <c r="K166" i="31"/>
  <c r="J166" i="31"/>
  <c r="I166" i="31"/>
  <c r="H166" i="31"/>
  <c r="G166" i="31"/>
  <c r="F166" i="31"/>
  <c r="E166" i="31"/>
  <c r="M165" i="31"/>
  <c r="L165" i="31"/>
  <c r="K165" i="31"/>
  <c r="J165" i="31"/>
  <c r="I165" i="31"/>
  <c r="H165" i="31"/>
  <c r="G165" i="31"/>
  <c r="F165" i="31"/>
  <c r="E165" i="31"/>
  <c r="M164" i="31"/>
  <c r="L164" i="31"/>
  <c r="K164" i="31"/>
  <c r="J164" i="31"/>
  <c r="I164" i="31"/>
  <c r="H164" i="31"/>
  <c r="G164" i="31"/>
  <c r="F164" i="31"/>
  <c r="E164" i="31"/>
  <c r="M163" i="31"/>
  <c r="L163" i="31"/>
  <c r="K163" i="31"/>
  <c r="J163" i="31"/>
  <c r="I163" i="31"/>
  <c r="H163" i="31"/>
  <c r="G163" i="31"/>
  <c r="F163" i="31"/>
  <c r="E163" i="31"/>
  <c r="M162" i="31"/>
  <c r="L162" i="31"/>
  <c r="K162" i="31"/>
  <c r="J162" i="31"/>
  <c r="I162" i="31"/>
  <c r="H162" i="31"/>
  <c r="G162" i="31"/>
  <c r="F162" i="31"/>
  <c r="E162" i="31"/>
  <c r="M161" i="31"/>
  <c r="L161" i="31"/>
  <c r="K161" i="31"/>
  <c r="J161" i="31"/>
  <c r="I161" i="31"/>
  <c r="H161" i="31"/>
  <c r="G161" i="31"/>
  <c r="F161" i="31"/>
  <c r="E161" i="31"/>
  <c r="M160" i="31"/>
  <c r="L160" i="31"/>
  <c r="K160" i="31"/>
  <c r="J160" i="31"/>
  <c r="I160" i="31"/>
  <c r="H160" i="31"/>
  <c r="G160" i="31"/>
  <c r="F160" i="31"/>
  <c r="E160" i="31"/>
  <c r="M159" i="31"/>
  <c r="L159" i="31"/>
  <c r="K159" i="31"/>
  <c r="J159" i="31"/>
  <c r="I159" i="31"/>
  <c r="H159" i="31"/>
  <c r="G159" i="31"/>
  <c r="F159" i="31"/>
  <c r="E159" i="31"/>
  <c r="M158" i="31"/>
  <c r="L158" i="31"/>
  <c r="K158" i="31"/>
  <c r="J158" i="31"/>
  <c r="I158" i="31"/>
  <c r="H158" i="31"/>
  <c r="G158" i="31"/>
  <c r="F158" i="31"/>
  <c r="E158" i="31"/>
  <c r="M157" i="31"/>
  <c r="L157" i="31"/>
  <c r="K157" i="31"/>
  <c r="J157" i="31"/>
  <c r="I157" i="31"/>
  <c r="H157" i="31"/>
  <c r="G157" i="31"/>
  <c r="F157" i="31"/>
  <c r="E157" i="31"/>
  <c r="M156" i="31"/>
  <c r="L156" i="31"/>
  <c r="K156" i="31"/>
  <c r="J156" i="31"/>
  <c r="I156" i="31"/>
  <c r="H156" i="31"/>
  <c r="G156" i="31"/>
  <c r="F156" i="31"/>
  <c r="E156" i="31"/>
  <c r="M155" i="31"/>
  <c r="L155" i="31"/>
  <c r="K155" i="31"/>
  <c r="J155" i="31"/>
  <c r="I155" i="31"/>
  <c r="H155" i="31"/>
  <c r="G155" i="31"/>
  <c r="F155" i="31"/>
  <c r="E155" i="31"/>
  <c r="M154" i="31"/>
  <c r="L154" i="31"/>
  <c r="K154" i="31"/>
  <c r="J154" i="31"/>
  <c r="I154" i="31"/>
  <c r="H154" i="31"/>
  <c r="G154" i="31"/>
  <c r="F154" i="31"/>
  <c r="E154" i="31"/>
  <c r="M153" i="31"/>
  <c r="L153" i="31"/>
  <c r="K153" i="31"/>
  <c r="J153" i="31"/>
  <c r="I153" i="31"/>
  <c r="H153" i="31"/>
  <c r="G153" i="31"/>
  <c r="F153" i="31"/>
  <c r="E153" i="31"/>
  <c r="M152" i="31"/>
  <c r="L152" i="31"/>
  <c r="K152" i="31"/>
  <c r="J152" i="31"/>
  <c r="I152" i="31"/>
  <c r="H152" i="31"/>
  <c r="G152" i="31"/>
  <c r="F152" i="31"/>
  <c r="E152" i="31"/>
  <c r="M151" i="31"/>
  <c r="L151" i="31"/>
  <c r="K151" i="31"/>
  <c r="J151" i="31"/>
  <c r="I151" i="31"/>
  <c r="H151" i="31"/>
  <c r="G151" i="31"/>
  <c r="F151" i="31"/>
  <c r="E151" i="31"/>
  <c r="M150" i="31"/>
  <c r="L150" i="31"/>
  <c r="K150" i="31"/>
  <c r="J150" i="31"/>
  <c r="I150" i="31"/>
  <c r="H150" i="31"/>
  <c r="G150" i="31"/>
  <c r="F150" i="31"/>
  <c r="E150" i="31"/>
  <c r="M149" i="31"/>
  <c r="L149" i="31"/>
  <c r="K149" i="31"/>
  <c r="J149" i="31"/>
  <c r="I149" i="31"/>
  <c r="H149" i="31"/>
  <c r="G149" i="31"/>
  <c r="F149" i="31"/>
  <c r="E149" i="31"/>
  <c r="M148" i="31"/>
  <c r="L148" i="31"/>
  <c r="K148" i="31"/>
  <c r="J148" i="31"/>
  <c r="I148" i="31"/>
  <c r="H148" i="31"/>
  <c r="G148" i="31"/>
  <c r="F148" i="31"/>
  <c r="E148" i="31"/>
  <c r="M147" i="31"/>
  <c r="L147" i="31"/>
  <c r="K147" i="31"/>
  <c r="J147" i="31"/>
  <c r="I147" i="31"/>
  <c r="H147" i="31"/>
  <c r="G147" i="31"/>
  <c r="F147" i="31"/>
  <c r="E147" i="31"/>
  <c r="M146" i="31"/>
  <c r="L146" i="31"/>
  <c r="K146" i="31"/>
  <c r="J146" i="31"/>
  <c r="I146" i="31"/>
  <c r="H146" i="31"/>
  <c r="G146" i="31"/>
  <c r="F146" i="31"/>
  <c r="E146" i="31"/>
  <c r="M145" i="31"/>
  <c r="L145" i="31"/>
  <c r="K145" i="31"/>
  <c r="J145" i="31"/>
  <c r="I145" i="31"/>
  <c r="H145" i="31"/>
  <c r="G145" i="31"/>
  <c r="F145" i="31"/>
  <c r="E145" i="31"/>
  <c r="M144" i="31"/>
  <c r="L144" i="31"/>
  <c r="K144" i="31"/>
  <c r="J144" i="31"/>
  <c r="I144" i="31"/>
  <c r="H144" i="31"/>
  <c r="G144" i="31"/>
  <c r="F144" i="31"/>
  <c r="E144" i="31"/>
  <c r="M143" i="31"/>
  <c r="L143" i="31"/>
  <c r="K143" i="31"/>
  <c r="J143" i="31"/>
  <c r="I143" i="31"/>
  <c r="H143" i="31"/>
  <c r="G143" i="31"/>
  <c r="F143" i="31"/>
  <c r="E143" i="31"/>
  <c r="M142" i="31"/>
  <c r="L142" i="31"/>
  <c r="K142" i="31"/>
  <c r="J142" i="31"/>
  <c r="I142" i="31"/>
  <c r="H142" i="31"/>
  <c r="G142" i="31"/>
  <c r="F142" i="31"/>
  <c r="E142" i="31"/>
  <c r="M141" i="31"/>
  <c r="L141" i="31"/>
  <c r="K141" i="31"/>
  <c r="J141" i="31"/>
  <c r="I141" i="31"/>
  <c r="H141" i="31"/>
  <c r="G141" i="31"/>
  <c r="F141" i="31"/>
  <c r="E141" i="31"/>
  <c r="M140" i="31"/>
  <c r="L140" i="31"/>
  <c r="K140" i="31"/>
  <c r="J140" i="31"/>
  <c r="I140" i="31"/>
  <c r="H140" i="31"/>
  <c r="G140" i="31"/>
  <c r="F140" i="31"/>
  <c r="E140" i="31"/>
  <c r="M139" i="31"/>
  <c r="L139" i="31"/>
  <c r="K139" i="31"/>
  <c r="J139" i="31"/>
  <c r="I139" i="31"/>
  <c r="H139" i="31"/>
  <c r="G139" i="31"/>
  <c r="F139" i="31"/>
  <c r="E139" i="31"/>
  <c r="M138" i="31"/>
  <c r="L138" i="31"/>
  <c r="K138" i="31"/>
  <c r="J138" i="31"/>
  <c r="I138" i="31"/>
  <c r="H138" i="31"/>
  <c r="G138" i="31"/>
  <c r="F138" i="31"/>
  <c r="E138" i="31"/>
  <c r="M137" i="31"/>
  <c r="L137" i="31"/>
  <c r="K137" i="31"/>
  <c r="J137" i="31"/>
  <c r="I137" i="31"/>
  <c r="H137" i="31"/>
  <c r="G137" i="31"/>
  <c r="F137" i="31"/>
  <c r="E137" i="31"/>
  <c r="M136" i="31"/>
  <c r="L136" i="31"/>
  <c r="K136" i="31"/>
  <c r="J136" i="31"/>
  <c r="I136" i="31"/>
  <c r="H136" i="31"/>
  <c r="G136" i="31"/>
  <c r="F136" i="31"/>
  <c r="E136" i="31"/>
  <c r="M135" i="31"/>
  <c r="L135" i="31"/>
  <c r="K135" i="31"/>
  <c r="J135" i="31"/>
  <c r="I135" i="31"/>
  <c r="H135" i="31"/>
  <c r="G135" i="31"/>
  <c r="F135" i="31"/>
  <c r="E135" i="31"/>
  <c r="M134" i="31"/>
  <c r="L134" i="31"/>
  <c r="K134" i="31"/>
  <c r="J134" i="31"/>
  <c r="I134" i="31"/>
  <c r="H134" i="31"/>
  <c r="G134" i="31"/>
  <c r="F134" i="31"/>
  <c r="E134" i="31"/>
  <c r="M133" i="31"/>
  <c r="L133" i="31"/>
  <c r="K133" i="31"/>
  <c r="J133" i="31"/>
  <c r="I133" i="31"/>
  <c r="H133" i="31"/>
  <c r="G133" i="31"/>
  <c r="F133" i="31"/>
  <c r="E133" i="31"/>
  <c r="M132" i="31"/>
  <c r="L132" i="31"/>
  <c r="K132" i="31"/>
  <c r="J132" i="31"/>
  <c r="I132" i="31"/>
  <c r="H132" i="31"/>
  <c r="G132" i="31"/>
  <c r="F132" i="31"/>
  <c r="E132" i="31"/>
  <c r="M131" i="31"/>
  <c r="L131" i="31"/>
  <c r="K131" i="31"/>
  <c r="J131" i="31"/>
  <c r="I131" i="31"/>
  <c r="H131" i="31"/>
  <c r="G131" i="31"/>
  <c r="F131" i="31"/>
  <c r="E131" i="31"/>
  <c r="M130" i="31"/>
  <c r="L130" i="31"/>
  <c r="K130" i="31"/>
  <c r="J130" i="31"/>
  <c r="I130" i="31"/>
  <c r="H130" i="31"/>
  <c r="G130" i="31"/>
  <c r="F130" i="31"/>
  <c r="E130" i="31"/>
  <c r="M129" i="31"/>
  <c r="L129" i="31"/>
  <c r="K129" i="31"/>
  <c r="J129" i="31"/>
  <c r="I129" i="31"/>
  <c r="H129" i="31"/>
  <c r="G129" i="31"/>
  <c r="F129" i="31"/>
  <c r="E129" i="31"/>
  <c r="M128" i="31"/>
  <c r="L128" i="31"/>
  <c r="K128" i="31"/>
  <c r="J128" i="31"/>
  <c r="I128" i="31"/>
  <c r="H128" i="31"/>
  <c r="G128" i="31"/>
  <c r="F128" i="31"/>
  <c r="E128" i="31"/>
  <c r="M127" i="31"/>
  <c r="L127" i="31"/>
  <c r="K127" i="31"/>
  <c r="J127" i="31"/>
  <c r="I127" i="31"/>
  <c r="H127" i="31"/>
  <c r="G127" i="31"/>
  <c r="F127" i="31"/>
  <c r="E127" i="31"/>
  <c r="M126" i="31"/>
  <c r="L126" i="31"/>
  <c r="K126" i="31"/>
  <c r="J126" i="31"/>
  <c r="I126" i="31"/>
  <c r="H126" i="31"/>
  <c r="G126" i="31"/>
  <c r="F126" i="31"/>
  <c r="E126" i="31"/>
  <c r="M125" i="31"/>
  <c r="L125" i="31"/>
  <c r="K125" i="31"/>
  <c r="J125" i="31"/>
  <c r="I125" i="31"/>
  <c r="H125" i="31"/>
  <c r="G125" i="31"/>
  <c r="F125" i="31"/>
  <c r="E125" i="31"/>
  <c r="M124" i="31"/>
  <c r="L124" i="31"/>
  <c r="K124" i="31"/>
  <c r="J124" i="31"/>
  <c r="I124" i="31"/>
  <c r="H124" i="31"/>
  <c r="G124" i="31"/>
  <c r="F124" i="31"/>
  <c r="E124" i="31"/>
  <c r="M123" i="31"/>
  <c r="L123" i="31"/>
  <c r="K123" i="31"/>
  <c r="J123" i="31"/>
  <c r="I123" i="31"/>
  <c r="H123" i="31"/>
  <c r="G123" i="31"/>
  <c r="F123" i="31"/>
  <c r="E123" i="31"/>
  <c r="M122" i="31"/>
  <c r="L122" i="31"/>
  <c r="K122" i="31"/>
  <c r="J122" i="31"/>
  <c r="I122" i="31"/>
  <c r="H122" i="31"/>
  <c r="G122" i="31"/>
  <c r="F122" i="31"/>
  <c r="E122" i="31"/>
  <c r="M121" i="31"/>
  <c r="L121" i="31"/>
  <c r="K121" i="31"/>
  <c r="J121" i="31"/>
  <c r="I121" i="31"/>
  <c r="H121" i="31"/>
  <c r="G121" i="31"/>
  <c r="F121" i="31"/>
  <c r="E121" i="31"/>
  <c r="M120" i="31"/>
  <c r="L120" i="31"/>
  <c r="K120" i="31"/>
  <c r="J120" i="31"/>
  <c r="I120" i="31"/>
  <c r="H120" i="31"/>
  <c r="G120" i="31"/>
  <c r="F120" i="31"/>
  <c r="E120" i="31"/>
  <c r="M119" i="31"/>
  <c r="L119" i="31"/>
  <c r="K119" i="31"/>
  <c r="J119" i="31"/>
  <c r="I119" i="31"/>
  <c r="H119" i="31"/>
  <c r="G119" i="31"/>
  <c r="F119" i="31"/>
  <c r="E119" i="31"/>
  <c r="M118" i="31"/>
  <c r="L118" i="31"/>
  <c r="K118" i="31"/>
  <c r="J118" i="31"/>
  <c r="I118" i="31"/>
  <c r="H118" i="31"/>
  <c r="G118" i="31"/>
  <c r="F118" i="31"/>
  <c r="E118" i="31"/>
  <c r="M117" i="31"/>
  <c r="L117" i="31"/>
  <c r="K117" i="31"/>
  <c r="J117" i="31"/>
  <c r="I117" i="31"/>
  <c r="H117" i="31"/>
  <c r="G117" i="31"/>
  <c r="F117" i="31"/>
  <c r="E117" i="31"/>
  <c r="M116" i="31"/>
  <c r="L116" i="31"/>
  <c r="K116" i="31"/>
  <c r="J116" i="31"/>
  <c r="I116" i="31"/>
  <c r="H116" i="31"/>
  <c r="G116" i="31"/>
  <c r="F116" i="31"/>
  <c r="E116" i="31"/>
  <c r="M115" i="31"/>
  <c r="L115" i="31"/>
  <c r="K115" i="31"/>
  <c r="J115" i="31"/>
  <c r="I115" i="31"/>
  <c r="H115" i="31"/>
  <c r="G115" i="31"/>
  <c r="F115" i="31"/>
  <c r="E115" i="31"/>
  <c r="M114" i="31"/>
  <c r="L114" i="31"/>
  <c r="K114" i="31"/>
  <c r="J114" i="31"/>
  <c r="I114" i="31"/>
  <c r="H114" i="31"/>
  <c r="G114" i="31"/>
  <c r="F114" i="31"/>
  <c r="E114" i="31"/>
  <c r="M113" i="31"/>
  <c r="L113" i="31"/>
  <c r="K113" i="31"/>
  <c r="J113" i="31"/>
  <c r="I113" i="31"/>
  <c r="H113" i="31"/>
  <c r="G113" i="31"/>
  <c r="F113" i="31"/>
  <c r="E113" i="31"/>
  <c r="M112" i="31"/>
  <c r="L112" i="31"/>
  <c r="K112" i="31"/>
  <c r="J112" i="31"/>
  <c r="I112" i="31"/>
  <c r="H112" i="31"/>
  <c r="G112" i="31"/>
  <c r="F112" i="31"/>
  <c r="E112" i="31"/>
  <c r="D112" i="31"/>
  <c r="M111" i="31"/>
  <c r="L111" i="31"/>
  <c r="K111" i="31"/>
  <c r="J111" i="31"/>
  <c r="I111" i="31"/>
  <c r="H111" i="31"/>
  <c r="G111" i="31"/>
  <c r="F111" i="31"/>
  <c r="E111" i="31"/>
  <c r="D111" i="31"/>
  <c r="M591" i="30"/>
  <c r="F591" i="30"/>
  <c r="E591" i="30"/>
  <c r="D591" i="30"/>
  <c r="M590" i="30"/>
  <c r="F590" i="30"/>
  <c r="E590" i="30"/>
  <c r="D590" i="30"/>
  <c r="M589" i="30"/>
  <c r="F589" i="30"/>
  <c r="E589" i="30"/>
  <c r="D589" i="30"/>
  <c r="M588" i="30"/>
  <c r="F588" i="30"/>
  <c r="E588" i="30"/>
  <c r="D588" i="30"/>
  <c r="M587" i="30"/>
  <c r="F587" i="30"/>
  <c r="E587" i="30"/>
  <c r="D587" i="30"/>
  <c r="M586" i="30"/>
  <c r="F586" i="30"/>
  <c r="E586" i="30"/>
  <c r="D586" i="30"/>
  <c r="M585" i="30"/>
  <c r="F585" i="30"/>
  <c r="E585" i="30"/>
  <c r="D585" i="30"/>
  <c r="M584" i="30"/>
  <c r="L584" i="30" s="1"/>
  <c r="F584" i="30"/>
  <c r="E584" i="30"/>
  <c r="D584" i="30"/>
  <c r="M583" i="30"/>
  <c r="L583" i="30" s="1"/>
  <c r="F583" i="30"/>
  <c r="E583" i="30"/>
  <c r="D583" i="30"/>
  <c r="M582" i="30"/>
  <c r="L582" i="30" s="1"/>
  <c r="F582" i="30"/>
  <c r="E582" i="30"/>
  <c r="D582" i="30"/>
  <c r="M581" i="30"/>
  <c r="F581" i="30"/>
  <c r="E581" i="30"/>
  <c r="D581" i="30"/>
  <c r="M580" i="30"/>
  <c r="F580" i="30"/>
  <c r="E580" i="30"/>
  <c r="D580" i="30"/>
  <c r="M579" i="30"/>
  <c r="F579" i="30"/>
  <c r="E579" i="30"/>
  <c r="D579" i="30"/>
  <c r="M578" i="30"/>
  <c r="F578" i="30"/>
  <c r="E578" i="30"/>
  <c r="D578" i="30"/>
  <c r="M577" i="30"/>
  <c r="F577" i="30"/>
  <c r="E577" i="30"/>
  <c r="D577" i="30"/>
  <c r="M576" i="30"/>
  <c r="F576" i="30"/>
  <c r="E576" i="30"/>
  <c r="D576" i="30"/>
  <c r="M575" i="30"/>
  <c r="F575" i="30"/>
  <c r="E575" i="30"/>
  <c r="D575" i="30"/>
  <c r="M574" i="30"/>
  <c r="F574" i="30"/>
  <c r="E574" i="30"/>
  <c r="D574" i="30"/>
  <c r="M573" i="30"/>
  <c r="F573" i="30"/>
  <c r="E573" i="30"/>
  <c r="D573" i="30"/>
  <c r="CA126" i="10"/>
  <c r="BZ126" i="10"/>
  <c r="BY126" i="10"/>
  <c r="BX126" i="10"/>
  <c r="BW126" i="10"/>
  <c r="BV126" i="10"/>
  <c r="BR126" i="10"/>
  <c r="BP126" i="10"/>
  <c r="CC126" i="10"/>
  <c r="BY125" i="10"/>
  <c r="BX125" i="10"/>
  <c r="BR125" i="10"/>
  <c r="BP125" i="10"/>
  <c r="CB125" i="10"/>
  <c r="BY124" i="10"/>
  <c r="BX124" i="10"/>
  <c r="BR124" i="10"/>
  <c r="BP124" i="10"/>
  <c r="CB124" i="10"/>
  <c r="BY123" i="10"/>
  <c r="BX123" i="10"/>
  <c r="BR123" i="10"/>
  <c r="BP123" i="10"/>
  <c r="CA123" i="10"/>
  <c r="CC122" i="10"/>
  <c r="CA122" i="10"/>
  <c r="BZ122" i="10"/>
  <c r="BY122" i="10"/>
  <c r="BX122" i="10"/>
  <c r="BW122" i="10"/>
  <c r="BV122" i="10"/>
  <c r="BR122" i="10"/>
  <c r="BP122" i="10"/>
  <c r="CB122" i="10"/>
  <c r="CC121" i="10"/>
  <c r="CA121" i="10"/>
  <c r="BZ121" i="10"/>
  <c r="BY121" i="10"/>
  <c r="BX121" i="10"/>
  <c r="BW121" i="10"/>
  <c r="BV121" i="10"/>
  <c r="BR121" i="10"/>
  <c r="BP121" i="10"/>
  <c r="CB121" i="10"/>
  <c r="CC120" i="10"/>
  <c r="CA120" i="10"/>
  <c r="BZ120" i="10"/>
  <c r="BY120" i="10"/>
  <c r="BX120" i="10"/>
  <c r="BW120" i="10"/>
  <c r="BV120" i="10"/>
  <c r="BR120" i="10"/>
  <c r="BP120" i="10"/>
  <c r="CB120" i="10"/>
  <c r="CC119" i="10"/>
  <c r="CA119" i="10"/>
  <c r="BZ119" i="10"/>
  <c r="BY119" i="10"/>
  <c r="BX119" i="10"/>
  <c r="BW119" i="10"/>
  <c r="BV119" i="10"/>
  <c r="BR119" i="10"/>
  <c r="BP119" i="10"/>
  <c r="CB119" i="10"/>
  <c r="CC118" i="10"/>
  <c r="CA118" i="10"/>
  <c r="BZ118" i="10"/>
  <c r="BY118" i="10"/>
  <c r="BX118" i="10"/>
  <c r="BW118" i="10"/>
  <c r="BV118" i="10"/>
  <c r="BR118" i="10"/>
  <c r="BP118" i="10"/>
  <c r="CB118" i="10"/>
  <c r="CC117" i="10"/>
  <c r="CA117" i="10"/>
  <c r="BZ117" i="10"/>
  <c r="BY117" i="10"/>
  <c r="BX117" i="10"/>
  <c r="BW117" i="10"/>
  <c r="BV117" i="10"/>
  <c r="BR117" i="10"/>
  <c r="BP117" i="10"/>
  <c r="CB117" i="10"/>
  <c r="CC116" i="10"/>
  <c r="CA116" i="10"/>
  <c r="BZ116" i="10"/>
  <c r="BY116" i="10"/>
  <c r="BX116" i="10"/>
  <c r="BW116" i="10"/>
  <c r="BV116" i="10"/>
  <c r="BR116" i="10"/>
  <c r="BP116" i="10"/>
  <c r="CB116" i="10"/>
  <c r="CC115" i="10"/>
  <c r="CA115" i="10"/>
  <c r="BZ115" i="10"/>
  <c r="BY115" i="10"/>
  <c r="BX115" i="10"/>
  <c r="BW115" i="10"/>
  <c r="BV115" i="10"/>
  <c r="BR115" i="10"/>
  <c r="BP115" i="10"/>
  <c r="CB115" i="10"/>
  <c r="CA114" i="10"/>
  <c r="BZ114" i="10"/>
  <c r="BY114" i="10"/>
  <c r="BX114" i="10"/>
  <c r="BW114" i="10"/>
  <c r="BV114" i="10"/>
  <c r="BR114" i="10"/>
  <c r="BP114" i="10"/>
  <c r="CC114" i="10"/>
  <c r="CA113" i="10"/>
  <c r="BZ113" i="10"/>
  <c r="BY113" i="10"/>
  <c r="BX113" i="10"/>
  <c r="BW113" i="10"/>
  <c r="BV113" i="10"/>
  <c r="BR113" i="10"/>
  <c r="BP113" i="10"/>
  <c r="CC113" i="10"/>
  <c r="CA112" i="10"/>
  <c r="BZ112" i="10"/>
  <c r="BY112" i="10"/>
  <c r="BX112" i="10"/>
  <c r="BW112" i="10"/>
  <c r="BV112" i="10"/>
  <c r="BR112" i="10"/>
  <c r="BP112" i="10"/>
  <c r="CC112" i="10"/>
  <c r="CA111" i="10"/>
  <c r="BY111" i="10"/>
  <c r="BX111" i="10"/>
  <c r="BW111" i="10"/>
  <c r="BR111" i="10"/>
  <c r="BP111" i="10"/>
  <c r="CC110" i="10"/>
  <c r="CA110" i="10"/>
  <c r="BY110" i="10"/>
  <c r="BX110" i="10"/>
  <c r="BW110" i="10"/>
  <c r="BR110" i="10"/>
  <c r="BP110" i="10"/>
  <c r="CB110" i="10"/>
  <c r="CC109" i="10"/>
  <c r="CA109" i="10"/>
  <c r="BY109" i="10"/>
  <c r="BX109" i="10"/>
  <c r="BW109" i="10"/>
  <c r="BR109" i="10"/>
  <c r="BP109" i="10"/>
  <c r="CB109" i="10"/>
  <c r="CC108" i="10"/>
  <c r="BY108" i="10"/>
  <c r="BX108" i="10"/>
  <c r="BR108" i="10"/>
  <c r="BP108" i="10"/>
  <c r="AC108" i="10"/>
  <c r="CB108" i="10"/>
  <c r="CC107" i="10"/>
  <c r="CB107" i="10"/>
  <c r="BZ107" i="10"/>
  <c r="BY107" i="10"/>
  <c r="BX107" i="10"/>
  <c r="BV107" i="10"/>
  <c r="BR107" i="10"/>
  <c r="BP107" i="10"/>
  <c r="AC107" i="10"/>
  <c r="CA107" i="10"/>
  <c r="BY106" i="10"/>
  <c r="BX106" i="10"/>
  <c r="BR106" i="10"/>
  <c r="BP106" i="10"/>
  <c r="AC106" i="10"/>
  <c r="CB105" i="10"/>
  <c r="BZ105" i="10"/>
  <c r="BY105" i="10"/>
  <c r="BX105" i="10"/>
  <c r="BV105" i="10"/>
  <c r="BR105" i="10"/>
  <c r="BP105" i="10"/>
  <c r="AC105" i="10"/>
  <c r="CA105" i="10"/>
  <c r="BY104" i="10"/>
  <c r="BX104" i="10"/>
  <c r="BR104" i="10"/>
  <c r="BP104" i="10"/>
  <c r="AC104" i="10"/>
  <c r="CA104" i="10"/>
  <c r="CC103" i="10"/>
  <c r="CB103" i="10"/>
  <c r="BZ103" i="10"/>
  <c r="BY103" i="10"/>
  <c r="BX103" i="10"/>
  <c r="BV103" i="10"/>
  <c r="BR103" i="10"/>
  <c r="BP103" i="10"/>
  <c r="AC103" i="10"/>
  <c r="CA103" i="10"/>
  <c r="BY102" i="10"/>
  <c r="BX102" i="10"/>
  <c r="BR102" i="10"/>
  <c r="BP102" i="10"/>
  <c r="AC102" i="10"/>
  <c r="CA101" i="10"/>
  <c r="BY101" i="10"/>
  <c r="BX101" i="10"/>
  <c r="BR101" i="10"/>
  <c r="BP101" i="10"/>
  <c r="AC101" i="10"/>
  <c r="CB100" i="10"/>
  <c r="BZ100" i="10"/>
  <c r="BY100" i="10"/>
  <c r="BX100" i="10"/>
  <c r="BV100" i="10"/>
  <c r="BR100" i="10"/>
  <c r="BP100" i="10"/>
  <c r="AC100" i="10"/>
  <c r="CA100" i="10"/>
  <c r="CC99" i="10"/>
  <c r="BY99" i="10"/>
  <c r="BX99" i="10"/>
  <c r="BR99" i="10"/>
  <c r="BP99" i="10"/>
  <c r="AC99" i="10"/>
  <c r="CB99" i="10"/>
  <c r="CC98" i="10"/>
  <c r="CB98" i="10"/>
  <c r="BZ98" i="10"/>
  <c r="BY98" i="10"/>
  <c r="BX98" i="10"/>
  <c r="BV98" i="10"/>
  <c r="BR98" i="10"/>
  <c r="BP98" i="10"/>
  <c r="AC98" i="10"/>
  <c r="CA98" i="10"/>
  <c r="BY97" i="10"/>
  <c r="BX97" i="10"/>
  <c r="BR97" i="10"/>
  <c r="BP97" i="10"/>
  <c r="AC97" i="10"/>
  <c r="CA97" i="10"/>
  <c r="BY96" i="10"/>
  <c r="BX96" i="10"/>
  <c r="BR96" i="10"/>
  <c r="BP96" i="10"/>
  <c r="BY95" i="10"/>
  <c r="BX95" i="10"/>
  <c r="BR95" i="10"/>
  <c r="BP95" i="10"/>
  <c r="CB95" i="10"/>
  <c r="CB94" i="10"/>
  <c r="CA94" i="10"/>
  <c r="BZ94" i="10"/>
  <c r="BY94" i="10"/>
  <c r="BX94" i="10"/>
  <c r="BW94" i="10"/>
  <c r="BV94" i="10"/>
  <c r="BR94" i="10"/>
  <c r="BP94" i="10"/>
  <c r="CC94" i="10"/>
  <c r="CB93" i="10"/>
  <c r="BY93" i="10"/>
  <c r="BX93" i="10"/>
  <c r="BR93" i="10"/>
  <c r="BP93" i="10"/>
  <c r="BY92" i="10"/>
  <c r="BX92" i="10"/>
  <c r="BR92" i="10"/>
  <c r="BP92" i="10"/>
  <c r="CB91" i="10"/>
  <c r="BY91" i="10"/>
  <c r="BX91" i="10"/>
  <c r="BR91" i="10"/>
  <c r="BP91" i="10"/>
  <c r="BY90" i="10"/>
  <c r="BX90" i="10"/>
  <c r="BR90" i="10"/>
  <c r="BP90" i="10"/>
  <c r="CB90" i="10"/>
  <c r="CB89" i="10"/>
  <c r="BY89" i="10"/>
  <c r="BX89" i="10"/>
  <c r="BR89" i="10"/>
  <c r="BP89" i="10"/>
  <c r="BY88" i="10"/>
  <c r="BX88" i="10"/>
  <c r="BR88" i="10"/>
  <c r="BP88" i="10"/>
  <c r="CB87" i="10"/>
  <c r="BY87" i="10"/>
  <c r="BX87" i="10"/>
  <c r="BR87" i="10"/>
  <c r="BP87" i="10"/>
  <c r="CB86" i="10"/>
  <c r="BY86" i="10"/>
  <c r="BX86" i="10"/>
  <c r="BW86" i="10"/>
  <c r="BR86" i="10"/>
  <c r="BP86" i="10"/>
  <c r="CB85" i="10"/>
  <c r="CA85" i="10"/>
  <c r="BZ85" i="10"/>
  <c r="BY85" i="10"/>
  <c r="BX85" i="10"/>
  <c r="BW85" i="10"/>
  <c r="BV85" i="10"/>
  <c r="BR85" i="10"/>
  <c r="BP85" i="10"/>
  <c r="CC85" i="10"/>
  <c r="CC84" i="10"/>
  <c r="CA84" i="10"/>
  <c r="BZ84" i="10"/>
  <c r="BY84" i="10"/>
  <c r="BX84" i="10"/>
  <c r="BW84" i="10"/>
  <c r="BV84" i="10"/>
  <c r="BR84" i="10"/>
  <c r="BP84" i="10"/>
  <c r="CB84" i="10"/>
  <c r="CC83" i="10"/>
  <c r="CA83" i="10"/>
  <c r="BZ83" i="10"/>
  <c r="BY83" i="10"/>
  <c r="BX83" i="10"/>
  <c r="BW83" i="10"/>
  <c r="BV83" i="10"/>
  <c r="BR83" i="10"/>
  <c r="BP83" i="10"/>
  <c r="CB83" i="10"/>
  <c r="CC82" i="10"/>
  <c r="CA82" i="10"/>
  <c r="BZ82" i="10"/>
  <c r="BY82" i="10"/>
  <c r="BX82" i="10"/>
  <c r="BW82" i="10"/>
  <c r="BV82" i="10"/>
  <c r="BR82" i="10"/>
  <c r="BP82" i="10"/>
  <c r="CB82" i="10"/>
  <c r="CC81" i="10"/>
  <c r="CA81" i="10"/>
  <c r="BZ81" i="10"/>
  <c r="BY81" i="10"/>
  <c r="BX81" i="10"/>
  <c r="BW81" i="10"/>
  <c r="BV81" i="10"/>
  <c r="BR81" i="10"/>
  <c r="BP81" i="10"/>
  <c r="CB81" i="10"/>
  <c r="CC80" i="10"/>
  <c r="CA80" i="10"/>
  <c r="BZ80" i="10"/>
  <c r="BY80" i="10"/>
  <c r="BX80" i="10"/>
  <c r="BW80" i="10"/>
  <c r="BV80" i="10"/>
  <c r="BR80" i="10"/>
  <c r="BP80" i="10"/>
  <c r="CB80" i="10"/>
  <c r="CC79" i="10"/>
  <c r="CA79" i="10"/>
  <c r="BZ79" i="10"/>
  <c r="BY79" i="10"/>
  <c r="BX79" i="10"/>
  <c r="BW79" i="10"/>
  <c r="BV79" i="10"/>
  <c r="BR79" i="10"/>
  <c r="BP79" i="10"/>
  <c r="CB79" i="10"/>
  <c r="CC78" i="10"/>
  <c r="CA78" i="10"/>
  <c r="BZ78" i="10"/>
  <c r="BY78" i="10"/>
  <c r="BX78" i="10"/>
  <c r="BW78" i="10"/>
  <c r="BV78" i="10"/>
  <c r="BR78" i="10"/>
  <c r="BP78" i="10"/>
  <c r="CB78" i="10"/>
  <c r="CC77" i="10"/>
  <c r="CA77" i="10"/>
  <c r="BZ77" i="10"/>
  <c r="BY77" i="10"/>
  <c r="BX77" i="10"/>
  <c r="BW77" i="10"/>
  <c r="BV77" i="10"/>
  <c r="BR77" i="10"/>
  <c r="BP77" i="10"/>
  <c r="CB77" i="10"/>
  <c r="CC76" i="10"/>
  <c r="CA76" i="10"/>
  <c r="BZ76" i="10"/>
  <c r="BY76" i="10"/>
  <c r="BX76" i="10"/>
  <c r="BW76" i="10"/>
  <c r="BV76" i="10"/>
  <c r="BR76" i="10"/>
  <c r="BP76" i="10"/>
  <c r="CB76" i="10"/>
  <c r="CC75" i="10"/>
  <c r="CA75" i="10"/>
  <c r="BZ75" i="10"/>
  <c r="BY75" i="10"/>
  <c r="BX75" i="10"/>
  <c r="BW75" i="10"/>
  <c r="BV75" i="10"/>
  <c r="BR75" i="10"/>
  <c r="BP75" i="10"/>
  <c r="CB75" i="10"/>
  <c r="CC74" i="10"/>
  <c r="CA74" i="10"/>
  <c r="BZ74" i="10"/>
  <c r="BY74" i="10"/>
  <c r="BX74" i="10"/>
  <c r="BW74" i="10"/>
  <c r="BV74" i="10"/>
  <c r="BR74" i="10"/>
  <c r="BP74" i="10"/>
  <c r="CB74" i="10"/>
  <c r="CC73" i="10"/>
  <c r="CA73" i="10"/>
  <c r="BZ73" i="10"/>
  <c r="BY73" i="10"/>
  <c r="BX73" i="10"/>
  <c r="BW73" i="10"/>
  <c r="BV73" i="10"/>
  <c r="BR73" i="10"/>
  <c r="BP73" i="10"/>
  <c r="CB73" i="10"/>
  <c r="CC72" i="10"/>
  <c r="CA72" i="10"/>
  <c r="BZ72" i="10"/>
  <c r="BY72" i="10"/>
  <c r="BX72" i="10"/>
  <c r="BW72" i="10"/>
  <c r="BV72" i="10"/>
  <c r="BR72" i="10"/>
  <c r="BP72" i="10"/>
  <c r="CB72" i="10"/>
  <c r="CC71" i="10"/>
  <c r="CA71" i="10"/>
  <c r="BZ71" i="10"/>
  <c r="BY71" i="10"/>
  <c r="BX71" i="10"/>
  <c r="BW71" i="10"/>
  <c r="BV71" i="10"/>
  <c r="BR71" i="10"/>
  <c r="BP71" i="10"/>
  <c r="CB71" i="10"/>
  <c r="CC70" i="10"/>
  <c r="CA70" i="10"/>
  <c r="BZ70" i="10"/>
  <c r="BY70" i="10"/>
  <c r="BX70" i="10"/>
  <c r="BW70" i="10"/>
  <c r="BV70" i="10"/>
  <c r="BR70" i="10"/>
  <c r="BP70" i="10"/>
  <c r="CB70" i="10"/>
  <c r="CC69" i="10"/>
  <c r="CA69" i="10"/>
  <c r="BZ69" i="10"/>
  <c r="BY69" i="10"/>
  <c r="BX69" i="10"/>
  <c r="BW69" i="10"/>
  <c r="BV69" i="10"/>
  <c r="BR69" i="10"/>
  <c r="BP69" i="10"/>
  <c r="CB69" i="10"/>
  <c r="CC68" i="10"/>
  <c r="CA68" i="10"/>
  <c r="BZ68" i="10"/>
  <c r="BY68" i="10"/>
  <c r="BX68" i="10"/>
  <c r="BW68" i="10"/>
  <c r="BV68" i="10"/>
  <c r="BR68" i="10"/>
  <c r="BP68" i="10"/>
  <c r="CB68" i="10"/>
  <c r="B68" i="10"/>
  <c r="B129" i="30" s="1"/>
  <c r="CC67" i="10"/>
  <c r="CA67" i="10"/>
  <c r="BZ67" i="10"/>
  <c r="BY67" i="10"/>
  <c r="BX67" i="10"/>
  <c r="BW67" i="10"/>
  <c r="BV67" i="10"/>
  <c r="BR67" i="10"/>
  <c r="BP67" i="10"/>
  <c r="CB67" i="10"/>
  <c r="B67" i="10"/>
  <c r="CC66" i="10"/>
  <c r="CA66" i="10"/>
  <c r="BZ66" i="10"/>
  <c r="BY66" i="10"/>
  <c r="BX66" i="10"/>
  <c r="BW66" i="10"/>
  <c r="BV66" i="10"/>
  <c r="BR66" i="10"/>
  <c r="BP66" i="10"/>
  <c r="CB66" i="10"/>
  <c r="CC65" i="10"/>
  <c r="CB65" i="10"/>
  <c r="BZ65" i="10"/>
  <c r="BY65" i="10"/>
  <c r="BX65" i="10"/>
  <c r="BV65" i="10"/>
  <c r="BR65" i="10"/>
  <c r="BP65" i="10"/>
  <c r="B896" i="31" l="1"/>
  <c r="B128" i="30"/>
  <c r="CE111" i="10"/>
  <c r="CP111" i="10" s="1"/>
  <c r="CG111" i="10"/>
  <c r="BU113" i="10"/>
  <c r="CE113" i="10"/>
  <c r="CP113" i="10" s="1"/>
  <c r="CG113" i="10"/>
  <c r="BU125" i="10"/>
  <c r="CE125" i="10"/>
  <c r="CP125" i="10" s="1"/>
  <c r="CG125" i="10"/>
  <c r="BU88" i="10"/>
  <c r="CE88" i="10"/>
  <c r="CP88" i="10" s="1"/>
  <c r="CG88" i="10"/>
  <c r="BU91" i="10"/>
  <c r="CE91" i="10"/>
  <c r="CP91" i="10" s="1"/>
  <c r="CG91" i="10"/>
  <c r="BU100" i="10"/>
  <c r="CE100" i="10"/>
  <c r="CP100" i="10" s="1"/>
  <c r="CG100" i="10"/>
  <c r="CE106" i="10"/>
  <c r="CP106" i="10" s="1"/>
  <c r="CG106" i="10"/>
  <c r="BU108" i="10"/>
  <c r="CE108" i="10"/>
  <c r="CP108" i="10" s="1"/>
  <c r="CG108" i="10"/>
  <c r="CE109" i="10"/>
  <c r="CP109" i="10" s="1"/>
  <c r="CG109" i="10"/>
  <c r="BU124" i="10"/>
  <c r="CE124" i="10"/>
  <c r="CP124" i="10" s="1"/>
  <c r="CG124" i="10"/>
  <c r="BU65" i="10"/>
  <c r="CE65" i="10"/>
  <c r="CP65" i="10" s="1"/>
  <c r="CG65" i="10"/>
  <c r="BU94" i="10"/>
  <c r="CE94" i="10"/>
  <c r="CP94" i="10" s="1"/>
  <c r="CG94" i="10"/>
  <c r="BU95" i="10"/>
  <c r="CE95" i="10"/>
  <c r="CP95" i="10" s="1"/>
  <c r="CG95" i="10"/>
  <c r="BU115" i="10"/>
  <c r="CE115" i="10"/>
  <c r="CP115" i="10" s="1"/>
  <c r="CG115" i="10"/>
  <c r="BU116" i="10"/>
  <c r="CE116" i="10"/>
  <c r="CP116" i="10" s="1"/>
  <c r="CG116" i="10"/>
  <c r="BU117" i="10"/>
  <c r="CE117" i="10"/>
  <c r="CP117" i="10" s="1"/>
  <c r="CG117" i="10"/>
  <c r="BU118" i="10"/>
  <c r="CE118" i="10"/>
  <c r="CP118" i="10" s="1"/>
  <c r="CG118" i="10"/>
  <c r="BU119" i="10"/>
  <c r="CE119" i="10"/>
  <c r="CP119" i="10" s="1"/>
  <c r="CG119" i="10"/>
  <c r="BU120" i="10"/>
  <c r="CE120" i="10"/>
  <c r="CP120" i="10" s="1"/>
  <c r="CG120" i="10"/>
  <c r="CE121" i="10"/>
  <c r="CP121" i="10" s="1"/>
  <c r="CG121" i="10"/>
  <c r="BU122" i="10"/>
  <c r="CE122" i="10"/>
  <c r="CP122" i="10" s="1"/>
  <c r="CG122" i="10"/>
  <c r="CE123" i="10"/>
  <c r="CP123" i="10" s="1"/>
  <c r="CG123" i="10"/>
  <c r="BU92" i="10"/>
  <c r="CE92" i="10"/>
  <c r="CP92" i="10" s="1"/>
  <c r="CG92" i="10"/>
  <c r="BU96" i="10"/>
  <c r="CE96" i="10"/>
  <c r="CP96" i="10" s="1"/>
  <c r="CG96" i="10"/>
  <c r="BU97" i="10"/>
  <c r="CE97" i="10"/>
  <c r="CP97" i="10" s="1"/>
  <c r="CG97" i="10"/>
  <c r="BU98" i="10"/>
  <c r="CE98" i="10"/>
  <c r="CP98" i="10" s="1"/>
  <c r="CG98" i="10"/>
  <c r="BU99" i="10"/>
  <c r="CE99" i="10"/>
  <c r="CP99" i="10" s="1"/>
  <c r="CG99" i="10"/>
  <c r="BU66" i="10"/>
  <c r="CE66" i="10"/>
  <c r="CP66" i="10" s="1"/>
  <c r="CG66" i="10"/>
  <c r="BU107" i="10"/>
  <c r="CE107" i="10"/>
  <c r="CP107" i="10" s="1"/>
  <c r="CG107" i="10"/>
  <c r="BU112" i="10"/>
  <c r="CE112" i="10"/>
  <c r="CP112" i="10" s="1"/>
  <c r="CG112" i="10"/>
  <c r="BU67" i="10"/>
  <c r="CE67" i="10"/>
  <c r="CP67" i="10" s="1"/>
  <c r="CG67" i="10"/>
  <c r="BU86" i="10"/>
  <c r="CE86" i="10"/>
  <c r="CP86" i="10" s="1"/>
  <c r="CG86" i="10"/>
  <c r="CE87" i="10"/>
  <c r="CP87" i="10" s="1"/>
  <c r="CG87" i="10"/>
  <c r="BU93" i="10"/>
  <c r="CE93" i="10"/>
  <c r="CP93" i="10" s="1"/>
  <c r="CG93" i="10"/>
  <c r="BU68" i="10"/>
  <c r="CE68" i="10"/>
  <c r="CP68" i="10" s="1"/>
  <c r="CG68" i="10"/>
  <c r="BU69" i="10"/>
  <c r="CE69" i="10"/>
  <c r="CP69" i="10" s="1"/>
  <c r="CG69" i="10"/>
  <c r="CE70" i="10"/>
  <c r="CP70" i="10" s="1"/>
  <c r="CG70" i="10"/>
  <c r="CE71" i="10"/>
  <c r="CP71" i="10" s="1"/>
  <c r="CG71" i="10"/>
  <c r="CE72" i="10"/>
  <c r="CP72" i="10" s="1"/>
  <c r="CG72" i="10"/>
  <c r="BU73" i="10"/>
  <c r="CE73" i="10"/>
  <c r="CP73" i="10" s="1"/>
  <c r="CG73" i="10"/>
  <c r="CE74" i="10"/>
  <c r="CP74" i="10" s="1"/>
  <c r="CG74" i="10"/>
  <c r="CE75" i="10"/>
  <c r="CP75" i="10" s="1"/>
  <c r="CG75" i="10"/>
  <c r="CE76" i="10"/>
  <c r="CP76" i="10" s="1"/>
  <c r="CG76" i="10"/>
  <c r="CE77" i="10"/>
  <c r="CP77" i="10" s="1"/>
  <c r="CG77" i="10"/>
  <c r="CE78" i="10"/>
  <c r="CP78" i="10" s="1"/>
  <c r="CG78" i="10"/>
  <c r="CE79" i="10"/>
  <c r="CP79" i="10" s="1"/>
  <c r="CG79" i="10"/>
  <c r="CE80" i="10"/>
  <c r="CP80" i="10" s="1"/>
  <c r="CG80" i="10"/>
  <c r="CE81" i="10"/>
  <c r="CP81" i="10" s="1"/>
  <c r="CG81" i="10"/>
  <c r="CE82" i="10"/>
  <c r="CP82" i="10" s="1"/>
  <c r="CG82" i="10"/>
  <c r="CE83" i="10"/>
  <c r="CP83" i="10" s="1"/>
  <c r="CG83" i="10"/>
  <c r="CE84" i="10"/>
  <c r="CP84" i="10" s="1"/>
  <c r="CG84" i="10"/>
  <c r="BU85" i="10"/>
  <c r="CE85" i="10"/>
  <c r="CP85" i="10" s="1"/>
  <c r="CG85" i="10"/>
  <c r="BU89" i="10"/>
  <c r="CE89" i="10"/>
  <c r="CP89" i="10" s="1"/>
  <c r="CG89" i="10"/>
  <c r="BU90" i="10"/>
  <c r="CE90" i="10"/>
  <c r="CP90" i="10" s="1"/>
  <c r="CG90" i="10"/>
  <c r="BU101" i="10"/>
  <c r="CE101" i="10"/>
  <c r="CP101" i="10" s="1"/>
  <c r="CG101" i="10"/>
  <c r="BU102" i="10"/>
  <c r="CE102" i="10"/>
  <c r="CP102" i="10" s="1"/>
  <c r="CG102" i="10"/>
  <c r="BU103" i="10"/>
  <c r="CE103" i="10"/>
  <c r="CP103" i="10" s="1"/>
  <c r="CG103" i="10"/>
  <c r="BU104" i="10"/>
  <c r="CE104" i="10"/>
  <c r="CP104" i="10" s="1"/>
  <c r="CG104" i="10"/>
  <c r="BU105" i="10"/>
  <c r="CE105" i="10"/>
  <c r="CP105" i="10" s="1"/>
  <c r="CG105" i="10"/>
  <c r="BU110" i="10"/>
  <c r="CE110" i="10"/>
  <c r="CP110" i="10" s="1"/>
  <c r="CG110" i="10"/>
  <c r="CE114" i="10"/>
  <c r="CP114" i="10" s="1"/>
  <c r="CG114" i="10"/>
  <c r="BU126" i="10"/>
  <c r="CE126" i="10"/>
  <c r="CP126" i="10" s="1"/>
  <c r="CG126" i="10"/>
  <c r="BQ87" i="10"/>
  <c r="BF87" i="10" s="1"/>
  <c r="CQ87" i="10" s="1"/>
  <c r="BU87" i="10"/>
  <c r="G590" i="30"/>
  <c r="H590" i="30" s="1"/>
  <c r="BU121" i="10"/>
  <c r="BU123" i="10"/>
  <c r="BQ70" i="10"/>
  <c r="DO70" i="10" s="1"/>
  <c r="BU70" i="10"/>
  <c r="BQ71" i="10"/>
  <c r="BF71" i="10" s="1"/>
  <c r="CQ71" i="10" s="1"/>
  <c r="BU71" i="10"/>
  <c r="BQ72" i="10"/>
  <c r="BF72" i="10" s="1"/>
  <c r="CQ72" i="10" s="1"/>
  <c r="BU72" i="10"/>
  <c r="BQ74" i="10"/>
  <c r="BF74" i="10" s="1"/>
  <c r="CQ74" i="10" s="1"/>
  <c r="BU74" i="10"/>
  <c r="BQ75" i="10"/>
  <c r="DO75" i="10" s="1"/>
  <c r="BU75" i="10"/>
  <c r="BQ76" i="10"/>
  <c r="BF76" i="10" s="1"/>
  <c r="CQ76" i="10" s="1"/>
  <c r="BU76" i="10"/>
  <c r="BQ77" i="10"/>
  <c r="BF77" i="10" s="1"/>
  <c r="CQ77" i="10" s="1"/>
  <c r="BU77" i="10"/>
  <c r="BQ78" i="10"/>
  <c r="BF78" i="10" s="1"/>
  <c r="CQ78" i="10" s="1"/>
  <c r="BU78" i="10"/>
  <c r="BQ79" i="10"/>
  <c r="BF79" i="10" s="1"/>
  <c r="CQ79" i="10" s="1"/>
  <c r="BU79" i="10"/>
  <c r="BQ80" i="10"/>
  <c r="BF80" i="10" s="1"/>
  <c r="CQ80" i="10" s="1"/>
  <c r="BU80" i="10"/>
  <c r="BQ81" i="10"/>
  <c r="DO81" i="10" s="1"/>
  <c r="BU81" i="10"/>
  <c r="BQ82" i="10"/>
  <c r="BF82" i="10" s="1"/>
  <c r="CQ82" i="10" s="1"/>
  <c r="BU82" i="10"/>
  <c r="BQ83" i="10"/>
  <c r="BF83" i="10" s="1"/>
  <c r="CQ83" i="10" s="1"/>
  <c r="BU83" i="10"/>
  <c r="BQ84" i="10"/>
  <c r="BF84" i="10" s="1"/>
  <c r="CQ84" i="10" s="1"/>
  <c r="BU84" i="10"/>
  <c r="BU114" i="10"/>
  <c r="BQ106" i="10"/>
  <c r="CQ106" i="10" s="1"/>
  <c r="BU106" i="10"/>
  <c r="G587" i="30"/>
  <c r="H587" i="30" s="1"/>
  <c r="BU111" i="10"/>
  <c r="G578" i="30"/>
  <c r="H578" i="30" s="1"/>
  <c r="G586" i="30"/>
  <c r="H586" i="30" s="1"/>
  <c r="BU109" i="10"/>
  <c r="BT95" i="10"/>
  <c r="G582" i="30"/>
  <c r="H582" i="30" s="1"/>
  <c r="BT91" i="10"/>
  <c r="BT123" i="10"/>
  <c r="BQ125" i="10"/>
  <c r="DO125" i="10" s="1"/>
  <c r="G574" i="30"/>
  <c r="H574" i="30" s="1"/>
  <c r="BQ97" i="10"/>
  <c r="BF97" i="10" s="1"/>
  <c r="CQ97" i="10" s="1"/>
  <c r="G581" i="30"/>
  <c r="H581" i="30" s="1"/>
  <c r="CJ125" i="10"/>
  <c r="D242" i="31"/>
  <c r="BT65" i="10"/>
  <c r="G573" i="30"/>
  <c r="H573" i="30" s="1"/>
  <c r="G589" i="30"/>
  <c r="H589" i="30" s="1"/>
  <c r="BQ88" i="10"/>
  <c r="BF88" i="10" s="1"/>
  <c r="CQ88" i="10" s="1"/>
  <c r="BQ94" i="10"/>
  <c r="BF94" i="10" s="1"/>
  <c r="CQ94" i="10" s="1"/>
  <c r="BQ98" i="10"/>
  <c r="BF98" i="10" s="1"/>
  <c r="CQ98" i="10" s="1"/>
  <c r="BQ112" i="10"/>
  <c r="BF112" i="10" s="1"/>
  <c r="CQ112" i="10" s="1"/>
  <c r="BQ113" i="10"/>
  <c r="DO113" i="10" s="1"/>
  <c r="BQ117" i="10"/>
  <c r="BF117" i="10" s="1"/>
  <c r="CQ117" i="10" s="1"/>
  <c r="BQ126" i="10"/>
  <c r="BF126" i="10" s="1"/>
  <c r="CQ126" i="10" s="1"/>
  <c r="B69" i="10"/>
  <c r="B130" i="30" s="1"/>
  <c r="A761" i="31"/>
  <c r="A501" i="31"/>
  <c r="BQ73" i="10"/>
  <c r="BF73" i="10" s="1"/>
  <c r="CQ73" i="10" s="1"/>
  <c r="G575" i="30"/>
  <c r="H575" i="30" s="1"/>
  <c r="CJ74" i="10"/>
  <c r="CJ78" i="10"/>
  <c r="BQ89" i="10"/>
  <c r="BF89" i="10" s="1"/>
  <c r="CQ89" i="10" s="1"/>
  <c r="BQ91" i="10"/>
  <c r="BF91" i="10" s="1"/>
  <c r="CQ91" i="10" s="1"/>
  <c r="G579" i="30"/>
  <c r="H579" i="30" s="1"/>
  <c r="BQ95" i="10"/>
  <c r="BF95" i="10" s="1"/>
  <c r="CQ95" i="10" s="1"/>
  <c r="BQ101" i="10"/>
  <c r="CQ101" i="10" s="1"/>
  <c r="G583" i="30"/>
  <c r="H583" i="30" s="1"/>
  <c r="G585" i="30"/>
  <c r="H585" i="30" s="1"/>
  <c r="BQ118" i="10"/>
  <c r="BF118" i="10" s="1"/>
  <c r="CQ118" i="10" s="1"/>
  <c r="BQ123" i="10"/>
  <c r="BF123" i="10" s="1"/>
  <c r="CQ123" i="10" s="1"/>
  <c r="G591" i="30"/>
  <c r="H591" i="30" s="1"/>
  <c r="G576" i="30"/>
  <c r="H576" i="30" s="1"/>
  <c r="G580" i="30"/>
  <c r="H580" i="30" s="1"/>
  <c r="G584" i="30"/>
  <c r="H584" i="30" s="1"/>
  <c r="G588" i="30"/>
  <c r="H588" i="30" s="1"/>
  <c r="D113" i="31"/>
  <c r="D371" i="31"/>
  <c r="B70" i="10"/>
  <c r="B131" i="30" s="1"/>
  <c r="A762" i="31"/>
  <c r="A502" i="31"/>
  <c r="D372" i="31"/>
  <c r="D243" i="31"/>
  <c r="D114" i="31"/>
  <c r="B897" i="31"/>
  <c r="A632" i="31"/>
  <c r="CJ82" i="10"/>
  <c r="CJ84" i="10"/>
  <c r="BQ86" i="10"/>
  <c r="BF86" i="10" s="1"/>
  <c r="CQ86" i="10" s="1"/>
  <c r="G577" i="30"/>
  <c r="H577" i="30" s="1"/>
  <c r="BT88" i="10"/>
  <c r="BQ90" i="10"/>
  <c r="BF90" i="10" s="1"/>
  <c r="CQ90" i="10" s="1"/>
  <c r="BQ93" i="10"/>
  <c r="BF93" i="10" s="1"/>
  <c r="CQ93" i="10" s="1"/>
  <c r="BQ96" i="10"/>
  <c r="BF96" i="10" s="1"/>
  <c r="CQ96" i="10" s="1"/>
  <c r="BQ100" i="10"/>
  <c r="CQ100" i="10" s="1"/>
  <c r="BQ103" i="10"/>
  <c r="CQ103" i="10" s="1"/>
  <c r="BQ107" i="10"/>
  <c r="BF107" i="10" s="1"/>
  <c r="CQ107" i="10" s="1"/>
  <c r="A631" i="31"/>
  <c r="J583" i="30"/>
  <c r="J584" i="30"/>
  <c r="I584" i="30"/>
  <c r="J579" i="30"/>
  <c r="L573" i="30"/>
  <c r="L577" i="30"/>
  <c r="J588" i="30"/>
  <c r="L580" i="30"/>
  <c r="L581" i="30"/>
  <c r="I582" i="30"/>
  <c r="K584" i="30"/>
  <c r="L588" i="30"/>
  <c r="L575" i="30"/>
  <c r="L576" i="30"/>
  <c r="J575" i="30"/>
  <c r="L589" i="30"/>
  <c r="J591" i="30"/>
  <c r="L586" i="30"/>
  <c r="L587" i="30"/>
  <c r="L574" i="30"/>
  <c r="L578" i="30"/>
  <c r="L579" i="30"/>
  <c r="J580" i="30"/>
  <c r="J576" i="30"/>
  <c r="I583" i="30"/>
  <c r="L585" i="30"/>
  <c r="J587" i="30"/>
  <c r="L590" i="30"/>
  <c r="L591" i="30"/>
  <c r="J574" i="30"/>
  <c r="J578" i="30"/>
  <c r="J582" i="30"/>
  <c r="K583" i="30"/>
  <c r="J586" i="30"/>
  <c r="J590" i="30"/>
  <c r="J573" i="30"/>
  <c r="J577" i="30"/>
  <c r="J581" i="30"/>
  <c r="K582" i="30"/>
  <c r="J585" i="30"/>
  <c r="J589" i="30"/>
  <c r="BQ85" i="10"/>
  <c r="BF85" i="10" s="1"/>
  <c r="CQ85" i="10" s="1"/>
  <c r="BT86" i="10"/>
  <c r="BT87" i="10"/>
  <c r="BQ92" i="10"/>
  <c r="BF92" i="10" s="1"/>
  <c r="CQ92" i="10" s="1"/>
  <c r="BT93" i="10"/>
  <c r="BT94" i="10"/>
  <c r="BT96" i="10"/>
  <c r="BT98" i="10"/>
  <c r="BT100" i="10"/>
  <c r="BQ105" i="10"/>
  <c r="CQ105" i="10" s="1"/>
  <c r="BT107" i="10"/>
  <c r="BQ114" i="10"/>
  <c r="BF114" i="10" s="1"/>
  <c r="CQ114" i="10" s="1"/>
  <c r="BQ115" i="10"/>
  <c r="BF115" i="10" s="1"/>
  <c r="CQ115" i="10" s="1"/>
  <c r="BT125" i="10"/>
  <c r="BT89" i="10"/>
  <c r="BT90" i="10"/>
  <c r="BT103" i="10"/>
  <c r="BT85" i="10"/>
  <c r="BT92" i="10"/>
  <c r="BT105" i="10"/>
  <c r="BQ65" i="10"/>
  <c r="BF65" i="10" s="1"/>
  <c r="CQ65" i="10" s="1"/>
  <c r="CA65" i="10"/>
  <c r="BW65" i="10"/>
  <c r="BQ67" i="10"/>
  <c r="BF67" i="10" s="1"/>
  <c r="CQ67" i="10" s="1"/>
  <c r="BT67" i="10"/>
  <c r="BT66" i="10"/>
  <c r="BQ66" i="10"/>
  <c r="BF66" i="10" s="1"/>
  <c r="CQ66" i="10" s="1"/>
  <c r="BQ68" i="10"/>
  <c r="BF68" i="10" s="1"/>
  <c r="CQ68" i="10" s="1"/>
  <c r="BT68" i="10"/>
  <c r="CA88" i="10"/>
  <c r="BW88" i="10"/>
  <c r="BZ88" i="10"/>
  <c r="BV88" i="10"/>
  <c r="CC88" i="10"/>
  <c r="CB88" i="10"/>
  <c r="BQ69" i="10"/>
  <c r="BF69" i="10" s="1"/>
  <c r="CQ69" i="10" s="1"/>
  <c r="BT69" i="10"/>
  <c r="CA92" i="10"/>
  <c r="BW92" i="10"/>
  <c r="BZ92" i="10"/>
  <c r="BV92" i="10"/>
  <c r="CC92" i="10"/>
  <c r="CB92" i="10"/>
  <c r="BT70" i="10"/>
  <c r="BT71" i="10"/>
  <c r="BT72" i="10"/>
  <c r="BT73" i="10"/>
  <c r="BT74" i="10"/>
  <c r="BT75" i="10"/>
  <c r="BT76" i="10"/>
  <c r="BT77" i="10"/>
  <c r="BT78" i="10"/>
  <c r="BT79" i="10"/>
  <c r="BT80" i="10"/>
  <c r="BT81" i="10"/>
  <c r="BT82" i="10"/>
  <c r="BT83" i="10"/>
  <c r="BT84" i="10"/>
  <c r="BZ86" i="10"/>
  <c r="BV86" i="10"/>
  <c r="CC86" i="10"/>
  <c r="CA86" i="10"/>
  <c r="CA87" i="10"/>
  <c r="BW87" i="10"/>
  <c r="BZ87" i="10"/>
  <c r="BV87" i="10"/>
  <c r="CC87" i="10"/>
  <c r="CA91" i="10"/>
  <c r="BW91" i="10"/>
  <c r="BZ91" i="10"/>
  <c r="BV91" i="10"/>
  <c r="CC91" i="10"/>
  <c r="CA96" i="10"/>
  <c r="BW96" i="10"/>
  <c r="BZ96" i="10"/>
  <c r="BV96" i="10"/>
  <c r="CC96" i="10"/>
  <c r="CB96" i="10"/>
  <c r="CB102" i="10"/>
  <c r="CA102" i="10"/>
  <c r="BW102" i="10"/>
  <c r="BZ102" i="10"/>
  <c r="BV102" i="10"/>
  <c r="CC102" i="10"/>
  <c r="CA90" i="10"/>
  <c r="BW90" i="10"/>
  <c r="BZ90" i="10"/>
  <c r="BV90" i="10"/>
  <c r="CC90" i="10"/>
  <c r="BT108" i="10"/>
  <c r="BQ108" i="10"/>
  <c r="BF108" i="10" s="1"/>
  <c r="CQ108" i="10" s="1"/>
  <c r="CA89" i="10"/>
  <c r="BW89" i="10"/>
  <c r="BZ89" i="10"/>
  <c r="BV89" i="10"/>
  <c r="CC89" i="10"/>
  <c r="CA93" i="10"/>
  <c r="BW93" i="10"/>
  <c r="BZ93" i="10"/>
  <c r="BV93" i="10"/>
  <c r="CC93" i="10"/>
  <c r="BT99" i="10"/>
  <c r="BQ99" i="10"/>
  <c r="CQ99" i="10" s="1"/>
  <c r="BZ101" i="10"/>
  <c r="BV101" i="10"/>
  <c r="CC101" i="10"/>
  <c r="CB101" i="10"/>
  <c r="BW101" i="10"/>
  <c r="BT111" i="10"/>
  <c r="BQ111" i="10"/>
  <c r="BF111" i="10" s="1"/>
  <c r="CQ111" i="10" s="1"/>
  <c r="CA95" i="10"/>
  <c r="BW95" i="10"/>
  <c r="BZ95" i="10"/>
  <c r="BV95" i="10"/>
  <c r="CC95" i="10"/>
  <c r="BZ97" i="10"/>
  <c r="BV97" i="10"/>
  <c r="CC97" i="10"/>
  <c r="CB97" i="10"/>
  <c r="BW97" i="10"/>
  <c r="BZ106" i="10"/>
  <c r="BV106" i="10"/>
  <c r="CC106" i="10"/>
  <c r="CB106" i="10"/>
  <c r="CA106" i="10"/>
  <c r="BW106" i="10"/>
  <c r="BT109" i="10"/>
  <c r="BQ109" i="10"/>
  <c r="BF109" i="10" s="1"/>
  <c r="CQ109" i="10" s="1"/>
  <c r="CB104" i="10"/>
  <c r="BZ104" i="10"/>
  <c r="BV104" i="10"/>
  <c r="CC104" i="10"/>
  <c r="BW104" i="10"/>
  <c r="BT97" i="10"/>
  <c r="BW98" i="10"/>
  <c r="BV99" i="10"/>
  <c r="BZ99" i="10"/>
  <c r="CC100" i="10"/>
  <c r="BT101" i="10"/>
  <c r="BW99" i="10"/>
  <c r="CA99" i="10"/>
  <c r="BT102" i="10"/>
  <c r="BT104" i="10"/>
  <c r="BQ104" i="10"/>
  <c r="CQ104" i="10" s="1"/>
  <c r="BT110" i="10"/>
  <c r="BQ110" i="10"/>
  <c r="BF110" i="10" s="1"/>
  <c r="CQ110" i="10" s="1"/>
  <c r="BW100" i="10"/>
  <c r="BQ102" i="10"/>
  <c r="CQ102" i="10" s="1"/>
  <c r="BW103" i="10"/>
  <c r="CC105" i="10"/>
  <c r="BT106" i="10"/>
  <c r="BW107" i="10"/>
  <c r="BV108" i="10"/>
  <c r="BZ108" i="10"/>
  <c r="BV109" i="10"/>
  <c r="BZ109" i="10"/>
  <c r="BV110" i="10"/>
  <c r="BZ110" i="10"/>
  <c r="BT119" i="10"/>
  <c r="BQ119" i="10"/>
  <c r="BF119" i="10" s="1"/>
  <c r="CQ119" i="10" s="1"/>
  <c r="BW108" i="10"/>
  <c r="CA108" i="10"/>
  <c r="BW105" i="10"/>
  <c r="CC111" i="10"/>
  <c r="CB111" i="10"/>
  <c r="BV111" i="10"/>
  <c r="BZ111" i="10"/>
  <c r="BT112" i="10"/>
  <c r="CB112" i="10"/>
  <c r="BT113" i="10"/>
  <c r="CB113" i="10"/>
  <c r="BT114" i="10"/>
  <c r="CB114" i="10"/>
  <c r="BT116" i="10"/>
  <c r="BQ116" i="10"/>
  <c r="BF116" i="10" s="1"/>
  <c r="CQ116" i="10" s="1"/>
  <c r="BT115" i="10"/>
  <c r="BT117" i="10"/>
  <c r="BT118" i="10"/>
  <c r="BT121" i="10"/>
  <c r="BQ121" i="10"/>
  <c r="BF121" i="10" s="1"/>
  <c r="CQ121" i="10" s="1"/>
  <c r="BQ124" i="10"/>
  <c r="BF124" i="10" s="1"/>
  <c r="CQ124" i="10" s="1"/>
  <c r="BT124" i="10"/>
  <c r="BT120" i="10"/>
  <c r="BT122" i="10"/>
  <c r="BQ120" i="10"/>
  <c r="BF120" i="10" s="1"/>
  <c r="CQ120" i="10" s="1"/>
  <c r="BQ122" i="10"/>
  <c r="BF122" i="10" s="1"/>
  <c r="CQ122" i="10" s="1"/>
  <c r="BZ123" i="10"/>
  <c r="BV123" i="10"/>
  <c r="CC123" i="10"/>
  <c r="CB123" i="10"/>
  <c r="BW123" i="10"/>
  <c r="CA124" i="10"/>
  <c r="BW124" i="10"/>
  <c r="BZ124" i="10"/>
  <c r="BV124" i="10"/>
  <c r="CC124" i="10"/>
  <c r="CC125" i="10"/>
  <c r="CA125" i="10"/>
  <c r="BW125" i="10"/>
  <c r="BZ125" i="10"/>
  <c r="BV125" i="10"/>
  <c r="BT126" i="10"/>
  <c r="CB126" i="10"/>
  <c r="A96" i="33"/>
  <c r="A791" i="33" s="1"/>
  <c r="A95" i="33"/>
  <c r="A790" i="33" s="1"/>
  <c r="D179" i="31"/>
  <c r="D178" i="31"/>
  <c r="B6" i="10"/>
  <c r="D181" i="31" s="1"/>
  <c r="B5" i="10"/>
  <c r="B7" i="10" s="1"/>
  <c r="A725" i="33" l="1"/>
  <c r="A650" i="33"/>
  <c r="A724" i="33"/>
  <c r="A649" i="33"/>
  <c r="CJ80" i="10"/>
  <c r="C577" i="30"/>
  <c r="K577" i="30" s="1"/>
  <c r="CJ87" i="10"/>
  <c r="DW125" i="10"/>
  <c r="EM125" i="10" s="1"/>
  <c r="EE125" i="10"/>
  <c r="DW81" i="10"/>
  <c r="EM81" i="10" s="1"/>
  <c r="EE81" i="10"/>
  <c r="DW75" i="10"/>
  <c r="EM75" i="10" s="1"/>
  <c r="EE75" i="10"/>
  <c r="DW70" i="10"/>
  <c r="EM70" i="10" s="1"/>
  <c r="EE70" i="10"/>
  <c r="DW113" i="10"/>
  <c r="EM113" i="10" s="1"/>
  <c r="EE113" i="10"/>
  <c r="DO120" i="10"/>
  <c r="DO111" i="10"/>
  <c r="DO86" i="10"/>
  <c r="DO106" i="10"/>
  <c r="DO100" i="10"/>
  <c r="DO83" i="10"/>
  <c r="DO123" i="10"/>
  <c r="DO115" i="10"/>
  <c r="DO93" i="10"/>
  <c r="DO65" i="10"/>
  <c r="DO109" i="10"/>
  <c r="DO91" i="10"/>
  <c r="DO80" i="10"/>
  <c r="DO72" i="10"/>
  <c r="DO118" i="10"/>
  <c r="DO99" i="10"/>
  <c r="DO124" i="10"/>
  <c r="DO105" i="10"/>
  <c r="DO89" i="10"/>
  <c r="DO73" i="10"/>
  <c r="DO121" i="10"/>
  <c r="DO98" i="10"/>
  <c r="DO92" i="10"/>
  <c r="DO126" i="10"/>
  <c r="DO107" i="10"/>
  <c r="DO90" i="10"/>
  <c r="DO78" i="10"/>
  <c r="DO116" i="10"/>
  <c r="DO97" i="10"/>
  <c r="DO112" i="10"/>
  <c r="DO103" i="10"/>
  <c r="DO88" i="10"/>
  <c r="DO79" i="10"/>
  <c r="DO71" i="10"/>
  <c r="DO119" i="10"/>
  <c r="DO96" i="10"/>
  <c r="DO87" i="10"/>
  <c r="DO114" i="10"/>
  <c r="DO104" i="10"/>
  <c r="DO84" i="10"/>
  <c r="DO76" i="10"/>
  <c r="DO68" i="10"/>
  <c r="DO122" i="10"/>
  <c r="DO94" i="10"/>
  <c r="DO108" i="10"/>
  <c r="DO101" i="10"/>
  <c r="DO85" i="10"/>
  <c r="DO77" i="10"/>
  <c r="DO69" i="10"/>
  <c r="DO117" i="10"/>
  <c r="DO95" i="10"/>
  <c r="DO67" i="10"/>
  <c r="DO110" i="10"/>
  <c r="DO102" i="10"/>
  <c r="DO82" i="10"/>
  <c r="DO74" i="10"/>
  <c r="DO66" i="10"/>
  <c r="CJ76" i="10"/>
  <c r="CM76" i="10" s="1"/>
  <c r="CL76" i="10" s="1"/>
  <c r="CK76" i="10" s="1"/>
  <c r="CJ106" i="10"/>
  <c r="CM106" i="10" s="1"/>
  <c r="CJ71" i="10"/>
  <c r="CM71" i="10" s="1"/>
  <c r="CL71" i="10" s="1"/>
  <c r="CK71" i="10" s="1"/>
  <c r="CY120" i="10"/>
  <c r="DG120" i="10"/>
  <c r="CY66" i="10"/>
  <c r="DG66" i="10"/>
  <c r="CY92" i="10"/>
  <c r="DG92" i="10"/>
  <c r="CY116" i="10"/>
  <c r="DG116" i="10"/>
  <c r="CY102" i="10"/>
  <c r="DG102" i="10"/>
  <c r="CY65" i="10"/>
  <c r="DG65" i="10"/>
  <c r="CY107" i="10"/>
  <c r="DG107" i="10"/>
  <c r="CY86" i="10"/>
  <c r="DG86" i="10"/>
  <c r="CY112" i="10"/>
  <c r="DG112" i="10"/>
  <c r="CY106" i="10"/>
  <c r="DG106" i="10"/>
  <c r="CY84" i="10"/>
  <c r="DG84" i="10"/>
  <c r="CY82" i="10"/>
  <c r="DG82" i="10"/>
  <c r="CY80" i="10"/>
  <c r="DG80" i="10"/>
  <c r="CY78" i="10"/>
  <c r="DG78" i="10"/>
  <c r="CY76" i="10"/>
  <c r="DG76" i="10"/>
  <c r="CY74" i="10"/>
  <c r="DG74" i="10"/>
  <c r="CY71" i="10"/>
  <c r="DG71" i="10"/>
  <c r="CY87" i="10"/>
  <c r="DG87" i="10"/>
  <c r="CY124" i="10"/>
  <c r="DG124" i="10"/>
  <c r="CY104" i="10"/>
  <c r="DG104" i="10"/>
  <c r="CY111" i="10"/>
  <c r="DG111" i="10"/>
  <c r="CY99" i="10"/>
  <c r="DG99" i="10"/>
  <c r="CY69" i="10"/>
  <c r="DG69" i="10"/>
  <c r="CY96" i="10"/>
  <c r="DG96" i="10"/>
  <c r="CY123" i="10"/>
  <c r="DG123" i="10"/>
  <c r="CY91" i="10"/>
  <c r="DG91" i="10"/>
  <c r="CY73" i="10"/>
  <c r="DG73" i="10"/>
  <c r="CY126" i="10"/>
  <c r="DG126" i="10"/>
  <c r="CY121" i="10"/>
  <c r="DG121" i="10"/>
  <c r="CY114" i="10"/>
  <c r="DG114" i="10"/>
  <c r="CY105" i="10"/>
  <c r="DG105" i="10"/>
  <c r="CY100" i="10"/>
  <c r="DG100" i="10"/>
  <c r="CY93" i="10"/>
  <c r="DG93" i="10"/>
  <c r="CY95" i="10"/>
  <c r="DG95" i="10"/>
  <c r="CY94" i="10"/>
  <c r="DG94" i="10"/>
  <c r="CY67" i="10"/>
  <c r="DG67" i="10"/>
  <c r="CY85" i="10"/>
  <c r="DG85" i="10"/>
  <c r="CY90" i="10"/>
  <c r="DG90" i="10"/>
  <c r="CY88" i="10"/>
  <c r="DG88" i="10"/>
  <c r="CY122" i="10"/>
  <c r="DG122" i="10"/>
  <c r="CY119" i="10"/>
  <c r="DG119" i="10"/>
  <c r="CY110" i="10"/>
  <c r="DG110" i="10"/>
  <c r="CY109" i="10"/>
  <c r="DG109" i="10"/>
  <c r="CY108" i="10"/>
  <c r="DG108" i="10"/>
  <c r="CY68" i="10"/>
  <c r="DG68" i="10"/>
  <c r="CY115" i="10"/>
  <c r="DG115" i="10"/>
  <c r="CY103" i="10"/>
  <c r="DG103" i="10"/>
  <c r="CY118" i="10"/>
  <c r="DG118" i="10"/>
  <c r="CY89" i="10"/>
  <c r="DG89" i="10"/>
  <c r="CY117" i="10"/>
  <c r="DG117" i="10"/>
  <c r="CY98" i="10"/>
  <c r="DG98" i="10"/>
  <c r="CY97" i="10"/>
  <c r="DG97" i="10"/>
  <c r="CY83" i="10"/>
  <c r="DG83" i="10"/>
  <c r="CY79" i="10"/>
  <c r="DG79" i="10"/>
  <c r="CY77" i="10"/>
  <c r="DG77" i="10"/>
  <c r="CY72" i="10"/>
  <c r="DG72" i="10"/>
  <c r="CY101" i="10"/>
  <c r="DG101" i="10"/>
  <c r="BF125" i="10"/>
  <c r="CQ125" i="10" s="1"/>
  <c r="BF113" i="10"/>
  <c r="CQ113" i="10" s="1"/>
  <c r="BF81" i="10"/>
  <c r="CQ81" i="10" s="1"/>
  <c r="CJ75" i="10"/>
  <c r="CM75" i="10" s="1"/>
  <c r="CL75" i="10" s="1"/>
  <c r="CK75" i="10" s="1"/>
  <c r="BF75" i="10"/>
  <c r="CQ75" i="10" s="1"/>
  <c r="CJ70" i="10"/>
  <c r="CM70" i="10" s="1"/>
  <c r="CL70" i="10" s="1"/>
  <c r="CK70" i="10" s="1"/>
  <c r="BF70" i="10"/>
  <c r="CQ70" i="10" s="1"/>
  <c r="CM80" i="10"/>
  <c r="CM84" i="10"/>
  <c r="CM78" i="10"/>
  <c r="CM74" i="10"/>
  <c r="CJ83" i="10"/>
  <c r="C576" i="30"/>
  <c r="K576" i="30" s="1"/>
  <c r="CM82" i="10"/>
  <c r="D403" i="30"/>
  <c r="CM125" i="10"/>
  <c r="CL125" i="10" s="1"/>
  <c r="CK125" i="10" s="1"/>
  <c r="CJ77" i="10"/>
  <c r="CM77" i="10" s="1"/>
  <c r="G402" i="30" s="1"/>
  <c r="CJ72" i="10"/>
  <c r="CJ81" i="10"/>
  <c r="CJ79" i="10"/>
  <c r="D180" i="31"/>
  <c r="CJ122" i="10"/>
  <c r="CJ124" i="10"/>
  <c r="CJ116" i="10"/>
  <c r="CJ110" i="10"/>
  <c r="CJ115" i="10"/>
  <c r="CJ85" i="10"/>
  <c r="CJ111" i="10"/>
  <c r="C587" i="30"/>
  <c r="K587" i="30" s="1"/>
  <c r="CJ68" i="10"/>
  <c r="CJ114" i="10"/>
  <c r="CJ105" i="10"/>
  <c r="C584" i="30"/>
  <c r="CJ92" i="10"/>
  <c r="CJ96" i="10"/>
  <c r="CJ86" i="10"/>
  <c r="B72" i="10"/>
  <c r="B133" i="30" s="1"/>
  <c r="B899" i="31"/>
  <c r="A634" i="31"/>
  <c r="D374" i="31"/>
  <c r="D245" i="31"/>
  <c r="D116" i="31"/>
  <c r="A764" i="31"/>
  <c r="A504" i="31"/>
  <c r="CJ91" i="10"/>
  <c r="B71" i="10"/>
  <c r="B132" i="30" s="1"/>
  <c r="B898" i="31"/>
  <c r="A633" i="31"/>
  <c r="D244" i="31"/>
  <c r="A503" i="31"/>
  <c r="D373" i="31"/>
  <c r="D115" i="31"/>
  <c r="A763" i="31"/>
  <c r="CJ112" i="10"/>
  <c r="CJ94" i="10"/>
  <c r="CJ107" i="10"/>
  <c r="C585" i="30"/>
  <c r="K585" i="30" s="1"/>
  <c r="CJ113" i="10"/>
  <c r="C588" i="30"/>
  <c r="K588" i="30" s="1"/>
  <c r="CJ98" i="10"/>
  <c r="CJ121" i="10"/>
  <c r="C590" i="30"/>
  <c r="K590" i="30" s="1"/>
  <c r="CJ102" i="10"/>
  <c r="CJ109" i="10"/>
  <c r="C586" i="30"/>
  <c r="K586" i="30" s="1"/>
  <c r="CJ99" i="10"/>
  <c r="C582" i="30"/>
  <c r="CJ66" i="10"/>
  <c r="CJ103" i="10"/>
  <c r="CJ95" i="10"/>
  <c r="C580" i="30"/>
  <c r="K580" i="30" s="1"/>
  <c r="CJ89" i="10"/>
  <c r="C578" i="30"/>
  <c r="K578" i="30" s="1"/>
  <c r="CJ126" i="10"/>
  <c r="CJ88" i="10"/>
  <c r="CJ97" i="10"/>
  <c r="C581" i="30"/>
  <c r="K581" i="30" s="1"/>
  <c r="CJ104" i="10"/>
  <c r="CJ108" i="10"/>
  <c r="CJ90" i="10"/>
  <c r="CJ118" i="10"/>
  <c r="CM118" i="10" s="1"/>
  <c r="CL118" i="10" s="1"/>
  <c r="CK118" i="10" s="1"/>
  <c r="CJ101" i="10"/>
  <c r="C583" i="30"/>
  <c r="CJ120" i="10"/>
  <c r="CJ119" i="10"/>
  <c r="CJ69" i="10"/>
  <c r="C574" i="30"/>
  <c r="K574" i="30" s="1"/>
  <c r="CJ67" i="10"/>
  <c r="CJ65" i="10"/>
  <c r="C573" i="30"/>
  <c r="K573" i="30" s="1"/>
  <c r="CJ100" i="10"/>
  <c r="CJ93" i="10"/>
  <c r="C579" i="30"/>
  <c r="K579" i="30" s="1"/>
  <c r="CJ123" i="10"/>
  <c r="C591" i="30"/>
  <c r="K591" i="30" s="1"/>
  <c r="CJ73" i="10"/>
  <c r="C575" i="30"/>
  <c r="K575" i="30" s="1"/>
  <c r="CJ117" i="10"/>
  <c r="C589" i="30"/>
  <c r="K589" i="30" s="1"/>
  <c r="CM87" i="10"/>
  <c r="G403" i="30" s="1"/>
  <c r="A99" i="33"/>
  <c r="A794" i="33" s="1"/>
  <c r="D182" i="31"/>
  <c r="B9" i="10"/>
  <c r="A98" i="33"/>
  <c r="A793" i="33" s="1"/>
  <c r="B8" i="10"/>
  <c r="A97" i="33"/>
  <c r="A792" i="33" s="1"/>
  <c r="CL82" i="10"/>
  <c r="CK82" i="10" s="1"/>
  <c r="J95" i="33"/>
  <c r="A727" i="33" l="1"/>
  <c r="A652" i="33"/>
  <c r="A728" i="33"/>
  <c r="A653" i="33"/>
  <c r="A726" i="33"/>
  <c r="A651" i="33"/>
  <c r="DW102" i="10"/>
  <c r="EM102" i="10" s="1"/>
  <c r="EE102" i="10"/>
  <c r="DW117" i="10"/>
  <c r="EM117" i="10" s="1"/>
  <c r="EE117" i="10"/>
  <c r="DW101" i="10"/>
  <c r="EM101" i="10" s="1"/>
  <c r="EE101" i="10"/>
  <c r="DW68" i="10"/>
  <c r="EM68" i="10" s="1"/>
  <c r="EE68" i="10"/>
  <c r="DW114" i="10"/>
  <c r="EM114" i="10" s="1"/>
  <c r="EE114" i="10"/>
  <c r="DW71" i="10"/>
  <c r="EM71" i="10" s="1"/>
  <c r="EE71" i="10"/>
  <c r="DW112" i="10"/>
  <c r="EM112" i="10" s="1"/>
  <c r="EE112" i="10"/>
  <c r="DW90" i="10"/>
  <c r="EM90" i="10" s="1"/>
  <c r="EE90" i="10"/>
  <c r="DW98" i="10"/>
  <c r="EM98" i="10" s="1"/>
  <c r="EE98" i="10"/>
  <c r="DW105" i="10"/>
  <c r="EM105" i="10" s="1"/>
  <c r="EE105" i="10"/>
  <c r="DW72" i="10"/>
  <c r="EM72" i="10" s="1"/>
  <c r="EE72" i="10"/>
  <c r="DW65" i="10"/>
  <c r="EM65" i="10" s="1"/>
  <c r="EE65" i="10"/>
  <c r="DW83" i="10"/>
  <c r="EM83" i="10" s="1"/>
  <c r="EE83" i="10"/>
  <c r="DW111" i="10"/>
  <c r="EM111" i="10" s="1"/>
  <c r="EE111" i="10"/>
  <c r="DW66" i="10"/>
  <c r="EM66" i="10" s="1"/>
  <c r="EE66" i="10"/>
  <c r="DW110" i="10"/>
  <c r="EM110" i="10" s="1"/>
  <c r="EE110" i="10"/>
  <c r="DW69" i="10"/>
  <c r="EM69" i="10" s="1"/>
  <c r="EE69" i="10"/>
  <c r="DW108" i="10"/>
  <c r="EM108" i="10" s="1"/>
  <c r="EE108" i="10"/>
  <c r="DW76" i="10"/>
  <c r="EM76" i="10" s="1"/>
  <c r="EE76" i="10"/>
  <c r="DW87" i="10"/>
  <c r="EM87" i="10" s="1"/>
  <c r="EE87" i="10"/>
  <c r="DW79" i="10"/>
  <c r="EM79" i="10" s="1"/>
  <c r="EE79" i="10"/>
  <c r="DW97" i="10"/>
  <c r="EM97" i="10" s="1"/>
  <c r="EE97" i="10"/>
  <c r="DW107" i="10"/>
  <c r="EM107" i="10" s="1"/>
  <c r="EE107" i="10"/>
  <c r="DW121" i="10"/>
  <c r="EM121" i="10" s="1"/>
  <c r="EE121" i="10"/>
  <c r="DW124" i="10"/>
  <c r="EM124" i="10" s="1"/>
  <c r="EE124" i="10"/>
  <c r="DW80" i="10"/>
  <c r="EM80" i="10" s="1"/>
  <c r="EE80" i="10"/>
  <c r="DW93" i="10"/>
  <c r="EM93" i="10" s="1"/>
  <c r="EE93" i="10"/>
  <c r="DW100" i="10"/>
  <c r="EM100" i="10" s="1"/>
  <c r="EE100" i="10"/>
  <c r="DW120" i="10"/>
  <c r="EM120" i="10" s="1"/>
  <c r="EE120" i="10"/>
  <c r="DW74" i="10"/>
  <c r="EM74" i="10" s="1"/>
  <c r="EE74" i="10"/>
  <c r="DW67" i="10"/>
  <c r="EM67" i="10" s="1"/>
  <c r="EE67" i="10"/>
  <c r="DW77" i="10"/>
  <c r="EM77" i="10" s="1"/>
  <c r="EE77" i="10"/>
  <c r="DW94" i="10"/>
  <c r="EM94" i="10" s="1"/>
  <c r="EE94" i="10"/>
  <c r="DW84" i="10"/>
  <c r="EM84" i="10" s="1"/>
  <c r="EE84" i="10"/>
  <c r="DW96" i="10"/>
  <c r="EM96" i="10" s="1"/>
  <c r="EE96" i="10"/>
  <c r="DW88" i="10"/>
  <c r="EM88" i="10" s="1"/>
  <c r="EE88" i="10"/>
  <c r="DW116" i="10"/>
  <c r="EM116" i="10" s="1"/>
  <c r="EE116" i="10"/>
  <c r="DW126" i="10"/>
  <c r="EM126" i="10" s="1"/>
  <c r="EE126" i="10"/>
  <c r="DW73" i="10"/>
  <c r="EM73" i="10" s="1"/>
  <c r="EE73" i="10"/>
  <c r="DW99" i="10"/>
  <c r="EM99" i="10" s="1"/>
  <c r="EE99" i="10"/>
  <c r="DW91" i="10"/>
  <c r="EM91" i="10" s="1"/>
  <c r="EE91" i="10"/>
  <c r="DW115" i="10"/>
  <c r="EM115" i="10" s="1"/>
  <c r="EE115" i="10"/>
  <c r="DW106" i="10"/>
  <c r="EM106" i="10" s="1"/>
  <c r="EE106" i="10"/>
  <c r="DW82" i="10"/>
  <c r="EM82" i="10" s="1"/>
  <c r="EE82" i="10"/>
  <c r="DW95" i="10"/>
  <c r="EM95" i="10" s="1"/>
  <c r="EE95" i="10"/>
  <c r="DW85" i="10"/>
  <c r="EM85" i="10" s="1"/>
  <c r="EE85" i="10"/>
  <c r="DW122" i="10"/>
  <c r="EM122" i="10" s="1"/>
  <c r="EE122" i="10"/>
  <c r="DW104" i="10"/>
  <c r="EM104" i="10" s="1"/>
  <c r="EE104" i="10"/>
  <c r="DW119" i="10"/>
  <c r="EM119" i="10" s="1"/>
  <c r="EE119" i="10"/>
  <c r="DW103" i="10"/>
  <c r="EM103" i="10" s="1"/>
  <c r="EE103" i="10"/>
  <c r="DW78" i="10"/>
  <c r="EM78" i="10" s="1"/>
  <c r="EE78" i="10"/>
  <c r="DW92" i="10"/>
  <c r="EM92" i="10" s="1"/>
  <c r="EE92" i="10"/>
  <c r="DW89" i="10"/>
  <c r="EM89" i="10" s="1"/>
  <c r="EE89" i="10"/>
  <c r="DW118" i="10"/>
  <c r="EM118" i="10" s="1"/>
  <c r="EE118" i="10"/>
  <c r="DW109" i="10"/>
  <c r="EM109" i="10" s="1"/>
  <c r="EE109" i="10"/>
  <c r="DW123" i="10"/>
  <c r="EM123" i="10" s="1"/>
  <c r="EE123" i="10"/>
  <c r="DW86" i="10"/>
  <c r="EM86" i="10" s="1"/>
  <c r="EE86" i="10"/>
  <c r="CY75" i="10"/>
  <c r="DG75" i="10"/>
  <c r="CY113" i="10"/>
  <c r="DG113" i="10"/>
  <c r="CY70" i="10"/>
  <c r="DG70" i="10"/>
  <c r="CY81" i="10"/>
  <c r="DG81" i="10"/>
  <c r="CY125" i="10"/>
  <c r="DG125" i="10"/>
  <c r="D401" i="30"/>
  <c r="D405" i="30"/>
  <c r="D399" i="30"/>
  <c r="CM119" i="10"/>
  <c r="D409" i="30"/>
  <c r="CM90" i="10"/>
  <c r="CL90" i="10" s="1"/>
  <c r="CK90" i="10" s="1"/>
  <c r="D407" i="30"/>
  <c r="D408" i="30"/>
  <c r="D410" i="30"/>
  <c r="D413" i="30"/>
  <c r="CM110" i="10"/>
  <c r="CM81" i="10"/>
  <c r="CL81" i="10" s="1"/>
  <c r="CK81" i="10" s="1"/>
  <c r="D402" i="30"/>
  <c r="D415" i="30"/>
  <c r="D417" i="30"/>
  <c r="CM100" i="10"/>
  <c r="CM67" i="10"/>
  <c r="CM108" i="10"/>
  <c r="CL108" i="10" s="1"/>
  <c r="CK108" i="10" s="1"/>
  <c r="CM88" i="10"/>
  <c r="CL88" i="10" s="1"/>
  <c r="CK88" i="10" s="1"/>
  <c r="D404" i="30"/>
  <c r="CM103" i="10"/>
  <c r="CL103" i="10" s="1"/>
  <c r="CK103" i="10" s="1"/>
  <c r="D414" i="30"/>
  <c r="CM94" i="10"/>
  <c r="CL94" i="10" s="1"/>
  <c r="CK94" i="10" s="1"/>
  <c r="CM91" i="10"/>
  <c r="CL91" i="10" s="1"/>
  <c r="CK91" i="10" s="1"/>
  <c r="CM92" i="10"/>
  <c r="CL92" i="10" s="1"/>
  <c r="CK92" i="10" s="1"/>
  <c r="CM68" i="10"/>
  <c r="CL68" i="10" s="1"/>
  <c r="CK68" i="10" s="1"/>
  <c r="CM85" i="10"/>
  <c r="CL85" i="10" s="1"/>
  <c r="CK85" i="10" s="1"/>
  <c r="CM116" i="10"/>
  <c r="CM79" i="10"/>
  <c r="CL79" i="10" s="1"/>
  <c r="CK79" i="10" s="1"/>
  <c r="CM83" i="10"/>
  <c r="CL83" i="10" s="1"/>
  <c r="CK83" i="10" s="1"/>
  <c r="CM120" i="10"/>
  <c r="CM104" i="10"/>
  <c r="CL104" i="10" s="1"/>
  <c r="CK104" i="10" s="1"/>
  <c r="CM126" i="10"/>
  <c r="CM66" i="10"/>
  <c r="D412" i="30"/>
  <c r="D416" i="30"/>
  <c r="CM112" i="10"/>
  <c r="CL112" i="10" s="1"/>
  <c r="CK112" i="10" s="1"/>
  <c r="CM86" i="10"/>
  <c r="CL86" i="10" s="1"/>
  <c r="CK86" i="10" s="1"/>
  <c r="CM114" i="10"/>
  <c r="CL114" i="10" s="1"/>
  <c r="CK114" i="10" s="1"/>
  <c r="CM124" i="10"/>
  <c r="CL124" i="10" s="1"/>
  <c r="CK124" i="10" s="1"/>
  <c r="CM72" i="10"/>
  <c r="CL72" i="10" s="1"/>
  <c r="CK72" i="10" s="1"/>
  <c r="D400" i="30"/>
  <c r="D406" i="30"/>
  <c r="CM102" i="10"/>
  <c r="CM98" i="10"/>
  <c r="D411" i="30"/>
  <c r="CM96" i="10"/>
  <c r="CL96" i="10" s="1"/>
  <c r="CK96" i="10" s="1"/>
  <c r="CM115" i="10"/>
  <c r="CL115" i="10" s="1"/>
  <c r="CK115" i="10" s="1"/>
  <c r="CM122" i="10"/>
  <c r="CM109" i="10"/>
  <c r="G412" i="30" s="1"/>
  <c r="CM113" i="10"/>
  <c r="CL87" i="10"/>
  <c r="CK87" i="10" s="1"/>
  <c r="CM93" i="10"/>
  <c r="G405" i="30" s="1"/>
  <c r="CM69" i="10"/>
  <c r="G400" i="30" s="1"/>
  <c r="CM65" i="10"/>
  <c r="G399" i="30" s="1"/>
  <c r="CM107" i="10"/>
  <c r="G411" i="30" s="1"/>
  <c r="CM111" i="10"/>
  <c r="G413" i="30" s="1"/>
  <c r="CM73" i="10"/>
  <c r="G401" i="30" s="1"/>
  <c r="CM101" i="10"/>
  <c r="G409" i="30" s="1"/>
  <c r="CM97" i="10"/>
  <c r="CM89" i="10"/>
  <c r="CM121" i="10"/>
  <c r="G416" i="30" s="1"/>
  <c r="CM117" i="10"/>
  <c r="G415" i="30" s="1"/>
  <c r="CM105" i="10"/>
  <c r="G410" i="30" s="1"/>
  <c r="CM123" i="10"/>
  <c r="CM95" i="10"/>
  <c r="G406" i="30" s="1"/>
  <c r="CM99" i="10"/>
  <c r="G408" i="30" s="1"/>
  <c r="B73" i="10"/>
  <c r="B134" i="30" s="1"/>
  <c r="A765" i="31"/>
  <c r="A505" i="31"/>
  <c r="B900" i="31"/>
  <c r="D246" i="31"/>
  <c r="A635" i="31"/>
  <c r="D375" i="31"/>
  <c r="D117" i="31"/>
  <c r="B74" i="10"/>
  <c r="B135" i="30" s="1"/>
  <c r="A766" i="31"/>
  <c r="A506" i="31"/>
  <c r="D376" i="31"/>
  <c r="D247" i="31"/>
  <c r="D118" i="31"/>
  <c r="B901" i="31"/>
  <c r="A636" i="31"/>
  <c r="B11" i="10"/>
  <c r="A101" i="33"/>
  <c r="A796" i="33" s="1"/>
  <c r="D184" i="31"/>
  <c r="A100" i="33"/>
  <c r="A795" i="33" s="1"/>
  <c r="B10" i="10"/>
  <c r="D183" i="31"/>
  <c r="CL106" i="10"/>
  <c r="CK106" i="10" s="1"/>
  <c r="CL78" i="10"/>
  <c r="CK78" i="10" s="1"/>
  <c r="CL100" i="10"/>
  <c r="CK100" i="10" s="1"/>
  <c r="CL110" i="10"/>
  <c r="CK110" i="10" s="1"/>
  <c r="E403" i="30"/>
  <c r="CL74" i="10"/>
  <c r="CK74" i="10" s="1"/>
  <c r="CL77" i="10"/>
  <c r="CK77" i="10" s="1"/>
  <c r="CL84" i="10"/>
  <c r="CK84" i="10" s="1"/>
  <c r="CL80" i="10"/>
  <c r="CK80" i="10" s="1"/>
  <c r="CL98" i="10"/>
  <c r="CK98" i="10" s="1"/>
  <c r="CL126" i="10"/>
  <c r="CK126" i="10" s="1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95" i="33"/>
  <c r="A730" i="33" l="1"/>
  <c r="A655" i="33"/>
  <c r="A729" i="33"/>
  <c r="A654" i="33"/>
  <c r="CL65" i="10"/>
  <c r="CK65" i="10" s="1"/>
  <c r="CL101" i="10"/>
  <c r="CK101" i="10" s="1"/>
  <c r="CL95" i="10"/>
  <c r="CK95" i="10" s="1"/>
  <c r="CL109" i="10"/>
  <c r="CK109" i="10" s="1"/>
  <c r="F403" i="30"/>
  <c r="CL111" i="10"/>
  <c r="CK111" i="10" s="1"/>
  <c r="E413" i="30" s="1"/>
  <c r="CL105" i="10"/>
  <c r="CK105" i="10" s="1"/>
  <c r="CL117" i="10"/>
  <c r="CK117" i="10" s="1"/>
  <c r="E415" i="30" s="1"/>
  <c r="CL93" i="10"/>
  <c r="CK93" i="10" s="1"/>
  <c r="E405" i="30" s="1"/>
  <c r="G414" i="30"/>
  <c r="CL113" i="10"/>
  <c r="CL107" i="10"/>
  <c r="CK107" i="10" s="1"/>
  <c r="E411" i="30" s="1"/>
  <c r="CL73" i="10"/>
  <c r="CK73" i="10" s="1"/>
  <c r="E401" i="30" s="1"/>
  <c r="B76" i="10"/>
  <c r="B137" i="30" s="1"/>
  <c r="B903" i="31"/>
  <c r="A638" i="31"/>
  <c r="D378" i="31"/>
  <c r="D249" i="31"/>
  <c r="D120" i="31"/>
  <c r="A768" i="31"/>
  <c r="A508" i="31"/>
  <c r="B75" i="10"/>
  <c r="B136" i="30" s="1"/>
  <c r="B902" i="31"/>
  <c r="A637" i="31"/>
  <c r="A507" i="31"/>
  <c r="D377" i="31"/>
  <c r="D119" i="31"/>
  <c r="A767" i="31"/>
  <c r="D248" i="31"/>
  <c r="G404" i="30"/>
  <c r="CL89" i="10"/>
  <c r="CK89" i="10" s="1"/>
  <c r="F409" i="30"/>
  <c r="E409" i="30"/>
  <c r="F402" i="30"/>
  <c r="E412" i="30"/>
  <c r="F399" i="30"/>
  <c r="CL97" i="10"/>
  <c r="CK97" i="10" s="1"/>
  <c r="G407" i="30"/>
  <c r="F406" i="30"/>
  <c r="E410" i="30"/>
  <c r="CL123" i="10"/>
  <c r="CK123" i="10" s="1"/>
  <c r="G417" i="30"/>
  <c r="B12" i="10"/>
  <c r="D185" i="31"/>
  <c r="A102" i="33"/>
  <c r="A797" i="33" s="1"/>
  <c r="B13" i="10"/>
  <c r="D186" i="31"/>
  <c r="A103" i="33"/>
  <c r="A798" i="33" s="1"/>
  <c r="CO94" i="10"/>
  <c r="CN94" i="10"/>
  <c r="E402" i="30"/>
  <c r="CN76" i="10"/>
  <c r="CO76" i="10"/>
  <c r="CO103" i="10"/>
  <c r="CN103" i="10"/>
  <c r="CN71" i="10"/>
  <c r="CO71" i="10"/>
  <c r="CL66" i="10"/>
  <c r="CK66" i="10" s="1"/>
  <c r="CL69" i="10"/>
  <c r="CK69" i="10" s="1"/>
  <c r="CL119" i="10"/>
  <c r="CK119" i="10" s="1"/>
  <c r="CN82" i="10"/>
  <c r="CO82" i="10"/>
  <c r="CO88" i="10"/>
  <c r="CN88" i="10"/>
  <c r="CO92" i="10"/>
  <c r="CN92" i="10"/>
  <c r="CN70" i="10"/>
  <c r="CO70" i="10"/>
  <c r="CL122" i="10"/>
  <c r="CK122" i="10" s="1"/>
  <c r="CO87" i="10"/>
  <c r="CN87" i="10"/>
  <c r="CO85" i="10"/>
  <c r="CN85" i="10"/>
  <c r="CN118" i="10"/>
  <c r="CO118" i="10"/>
  <c r="E406" i="30"/>
  <c r="CL67" i="10"/>
  <c r="CK67" i="10" s="1"/>
  <c r="E399" i="30"/>
  <c r="CL116" i="10"/>
  <c r="CK116" i="10" s="1"/>
  <c r="CN125" i="10"/>
  <c r="CO125" i="10"/>
  <c r="CL121" i="10"/>
  <c r="CK121" i="10" s="1"/>
  <c r="CN112" i="10"/>
  <c r="CO112" i="10"/>
  <c r="CN86" i="10"/>
  <c r="CO86" i="10"/>
  <c r="CL99" i="10"/>
  <c r="CK99" i="10" s="1"/>
  <c r="CL102" i="10"/>
  <c r="CK102" i="10" s="1"/>
  <c r="CN75" i="10"/>
  <c r="CO75" i="10"/>
  <c r="CO90" i="10"/>
  <c r="CN90" i="10"/>
  <c r="CO91" i="10"/>
  <c r="CN91" i="10"/>
  <c r="CN81" i="10"/>
  <c r="CO81" i="10"/>
  <c r="CL120" i="10"/>
  <c r="CK120" i="10" s="1"/>
  <c r="A732" i="33" l="1"/>
  <c r="A657" i="33"/>
  <c r="A731" i="33"/>
  <c r="A656" i="33"/>
  <c r="F412" i="30"/>
  <c r="F415" i="30"/>
  <c r="F411" i="30"/>
  <c r="F410" i="30"/>
  <c r="CN93" i="10"/>
  <c r="B527" i="31" s="1"/>
  <c r="F401" i="30"/>
  <c r="F413" i="30"/>
  <c r="F405" i="30"/>
  <c r="CK113" i="10"/>
  <c r="F414" i="30"/>
  <c r="F416" i="30"/>
  <c r="CO93" i="10"/>
  <c r="C527" i="31" s="1"/>
  <c r="F417" i="30"/>
  <c r="F407" i="30"/>
  <c r="B77" i="10"/>
  <c r="B138" i="30" s="1"/>
  <c r="A769" i="31"/>
  <c r="A509" i="31"/>
  <c r="B904" i="31"/>
  <c r="D379" i="31"/>
  <c r="D121" i="31"/>
  <c r="A639" i="31"/>
  <c r="D250" i="31"/>
  <c r="B78" i="10"/>
  <c r="B139" i="30" s="1"/>
  <c r="A770" i="31"/>
  <c r="A510" i="31"/>
  <c r="D380" i="31"/>
  <c r="D251" i="31"/>
  <c r="D122" i="31"/>
  <c r="B905" i="31"/>
  <c r="A640" i="31"/>
  <c r="F408" i="30"/>
  <c r="F400" i="30"/>
  <c r="F404" i="30"/>
  <c r="B552" i="31"/>
  <c r="B524" i="31"/>
  <c r="C515" i="31"/>
  <c r="C524" i="31"/>
  <c r="B509" i="31"/>
  <c r="B520" i="31"/>
  <c r="C552" i="31"/>
  <c r="C519" i="31"/>
  <c r="C521" i="31"/>
  <c r="I403" i="30"/>
  <c r="C526" i="31"/>
  <c r="C516" i="31"/>
  <c r="B505" i="31"/>
  <c r="C510" i="31"/>
  <c r="C528" i="31"/>
  <c r="B522" i="31"/>
  <c r="B516" i="31"/>
  <c r="B537" i="31"/>
  <c r="B510" i="31"/>
  <c r="B515" i="31"/>
  <c r="C525" i="31"/>
  <c r="B521" i="31"/>
  <c r="H403" i="30"/>
  <c r="C504" i="31"/>
  <c r="B526" i="31"/>
  <c r="C559" i="31"/>
  <c r="C546" i="31"/>
  <c r="B559" i="31"/>
  <c r="B525" i="31"/>
  <c r="C509" i="31"/>
  <c r="C520" i="31"/>
  <c r="B546" i="31"/>
  <c r="B519" i="31"/>
  <c r="B504" i="31"/>
  <c r="C522" i="31"/>
  <c r="C505" i="31"/>
  <c r="C537" i="31"/>
  <c r="B528" i="31"/>
  <c r="B15" i="10"/>
  <c r="D188" i="31"/>
  <c r="A105" i="33"/>
  <c r="A800" i="33" s="1"/>
  <c r="B14" i="10"/>
  <c r="A104" i="33"/>
  <c r="A799" i="33" s="1"/>
  <c r="D187" i="31"/>
  <c r="CO124" i="10"/>
  <c r="CN124" i="10"/>
  <c r="CN77" i="10"/>
  <c r="CO77" i="10"/>
  <c r="CN101" i="10"/>
  <c r="CO101" i="10"/>
  <c r="CO100" i="10"/>
  <c r="CN100" i="10"/>
  <c r="CO95" i="10"/>
  <c r="CN95" i="10"/>
  <c r="CN73" i="10"/>
  <c r="CO73" i="10"/>
  <c r="CN114" i="10"/>
  <c r="CO114" i="10"/>
  <c r="CO115" i="10"/>
  <c r="CN115" i="10"/>
  <c r="CO96" i="10"/>
  <c r="CN96" i="10"/>
  <c r="CO105" i="10"/>
  <c r="CN105" i="10"/>
  <c r="CN79" i="10"/>
  <c r="CO79" i="10"/>
  <c r="CO126" i="10"/>
  <c r="CN126" i="10"/>
  <c r="CO98" i="10"/>
  <c r="CN98" i="10"/>
  <c r="CN78" i="10"/>
  <c r="CO78" i="10"/>
  <c r="CO110" i="10"/>
  <c r="CN110" i="10"/>
  <c r="CN74" i="10"/>
  <c r="CO74" i="10"/>
  <c r="CO107" i="10"/>
  <c r="CN107" i="10"/>
  <c r="CN80" i="10"/>
  <c r="CO80" i="10"/>
  <c r="CO108" i="10"/>
  <c r="CN108" i="10"/>
  <c r="CO65" i="10"/>
  <c r="CN65" i="10"/>
  <c r="CN106" i="10"/>
  <c r="CO106" i="10"/>
  <c r="CO109" i="10"/>
  <c r="CN109" i="10"/>
  <c r="CN111" i="10"/>
  <c r="CO111" i="10"/>
  <c r="E400" i="30"/>
  <c r="CO117" i="10"/>
  <c r="CN117" i="10"/>
  <c r="E408" i="30"/>
  <c r="E416" i="30"/>
  <c r="CN83" i="10"/>
  <c r="CO83" i="10"/>
  <c r="CN104" i="10"/>
  <c r="CO104" i="10"/>
  <c r="CN68" i="10"/>
  <c r="CO68" i="10"/>
  <c r="CN72" i="10"/>
  <c r="CO72" i="10"/>
  <c r="CN84" i="10"/>
  <c r="CO84" i="10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203" i="33"/>
  <c r="G204" i="33"/>
  <c r="G205" i="33"/>
  <c r="G206" i="33"/>
  <c r="G207" i="33"/>
  <c r="G208" i="33"/>
  <c r="G209" i="33"/>
  <c r="G210" i="33"/>
  <c r="G211" i="33"/>
  <c r="G212" i="33"/>
  <c r="G213" i="33"/>
  <c r="G214" i="33"/>
  <c r="G215" i="33"/>
  <c r="G216" i="33"/>
  <c r="G217" i="33"/>
  <c r="G218" i="33"/>
  <c r="G219" i="33"/>
  <c r="G220" i="33"/>
  <c r="G221" i="33"/>
  <c r="G222" i="33"/>
  <c r="G161" i="33"/>
  <c r="A733" i="33" l="1"/>
  <c r="A658" i="33"/>
  <c r="A734" i="33"/>
  <c r="A659" i="33"/>
  <c r="H405" i="30"/>
  <c r="I405" i="30"/>
  <c r="E414" i="30"/>
  <c r="CN113" i="10"/>
  <c r="CO113" i="10"/>
  <c r="B80" i="10"/>
  <c r="B141" i="30" s="1"/>
  <c r="B907" i="31"/>
  <c r="A642" i="31"/>
  <c r="D382" i="31"/>
  <c r="D253" i="31"/>
  <c r="D124" i="31"/>
  <c r="A772" i="31"/>
  <c r="A512" i="31"/>
  <c r="B79" i="10"/>
  <c r="B140" i="30" s="1"/>
  <c r="B906" i="31"/>
  <c r="A641" i="31"/>
  <c r="D252" i="31"/>
  <c r="A771" i="31"/>
  <c r="D381" i="31"/>
  <c r="D123" i="31"/>
  <c r="A511" i="31"/>
  <c r="E407" i="30"/>
  <c r="CN97" i="10"/>
  <c r="CO97" i="10"/>
  <c r="E404" i="30"/>
  <c r="CN89" i="10"/>
  <c r="CO89" i="10"/>
  <c r="E417" i="30"/>
  <c r="CN123" i="10"/>
  <c r="CO123" i="10"/>
  <c r="C518" i="31"/>
  <c r="C517" i="31"/>
  <c r="C551" i="31"/>
  <c r="I415" i="30"/>
  <c r="C542" i="31"/>
  <c r="C530" i="31"/>
  <c r="B518" i="31"/>
  <c r="C538" i="31"/>
  <c r="B517" i="31"/>
  <c r="H412" i="30"/>
  <c r="B543" i="31"/>
  <c r="C499" i="31"/>
  <c r="I399" i="30"/>
  <c r="C514" i="31"/>
  <c r="B541" i="31"/>
  <c r="H411" i="30"/>
  <c r="C512" i="31"/>
  <c r="B532" i="31"/>
  <c r="B560" i="31"/>
  <c r="B513" i="31"/>
  <c r="C539" i="31"/>
  <c r="I410" i="30"/>
  <c r="B549" i="31"/>
  <c r="C534" i="31"/>
  <c r="C511" i="31"/>
  <c r="I402" i="30"/>
  <c r="B658" i="31"/>
  <c r="D658" i="31"/>
  <c r="F658" i="31"/>
  <c r="C635" i="31"/>
  <c r="E635" i="31"/>
  <c r="G635" i="31"/>
  <c r="F634" i="31"/>
  <c r="B634" i="31"/>
  <c r="D634" i="31"/>
  <c r="B657" i="31"/>
  <c r="F657" i="31"/>
  <c r="D657" i="31"/>
  <c r="C655" i="31"/>
  <c r="G655" i="31"/>
  <c r="E655" i="31"/>
  <c r="F635" i="31"/>
  <c r="B635" i="31"/>
  <c r="D635" i="31"/>
  <c r="C656" i="31"/>
  <c r="G656" i="31"/>
  <c r="E656" i="31"/>
  <c r="G654" i="31"/>
  <c r="C654" i="31"/>
  <c r="E654" i="31"/>
  <c r="B654" i="31"/>
  <c r="D654" i="31"/>
  <c r="F654" i="31"/>
  <c r="B506" i="31"/>
  <c r="B508" i="31"/>
  <c r="B507" i="31"/>
  <c r="H401" i="30"/>
  <c r="I406" i="30"/>
  <c r="C529" i="31"/>
  <c r="B558" i="31"/>
  <c r="C502" i="31"/>
  <c r="B538" i="31"/>
  <c r="C545" i="31"/>
  <c r="I413" i="30"/>
  <c r="C540" i="31"/>
  <c r="B542" i="31"/>
  <c r="B514" i="31"/>
  <c r="C541" i="31"/>
  <c r="I411" i="30"/>
  <c r="B544" i="31"/>
  <c r="B512" i="31"/>
  <c r="C532" i="31"/>
  <c r="C560" i="31"/>
  <c r="B530" i="31"/>
  <c r="C549" i="31"/>
  <c r="B548" i="31"/>
  <c r="B529" i="31"/>
  <c r="H406" i="30"/>
  <c r="C535" i="31"/>
  <c r="I409" i="30"/>
  <c r="H402" i="30"/>
  <c r="B511" i="31"/>
  <c r="C558" i="31"/>
  <c r="B649" i="31"/>
  <c r="D649" i="31"/>
  <c r="F649" i="31"/>
  <c r="G650" i="31"/>
  <c r="C650" i="31"/>
  <c r="E650" i="31"/>
  <c r="D655" i="31"/>
  <c r="B655" i="31"/>
  <c r="F655" i="31"/>
  <c r="G676" i="31"/>
  <c r="C676" i="31"/>
  <c r="E676" i="31"/>
  <c r="B667" i="31"/>
  <c r="F667" i="31"/>
  <c r="D667" i="31"/>
  <c r="F652" i="31"/>
  <c r="B652" i="31"/>
  <c r="D652" i="31"/>
  <c r="G658" i="31"/>
  <c r="C658" i="31"/>
  <c r="E658" i="31"/>
  <c r="C649" i="31"/>
  <c r="E649" i="31"/>
  <c r="G649" i="31"/>
  <c r="B650" i="31"/>
  <c r="D650" i="31"/>
  <c r="F650" i="31"/>
  <c r="C544" i="31"/>
  <c r="C513" i="31"/>
  <c r="C548" i="31"/>
  <c r="C506" i="31"/>
  <c r="B502" i="31"/>
  <c r="B551" i="31"/>
  <c r="H415" i="30"/>
  <c r="B545" i="31"/>
  <c r="H413" i="30"/>
  <c r="C543" i="31"/>
  <c r="I412" i="30"/>
  <c r="B540" i="31"/>
  <c r="B499" i="31"/>
  <c r="H399" i="30"/>
  <c r="C508" i="31"/>
  <c r="H410" i="30"/>
  <c r="B539" i="31"/>
  <c r="C507" i="31"/>
  <c r="I401" i="30"/>
  <c r="B534" i="31"/>
  <c r="B535" i="31"/>
  <c r="H409" i="30"/>
  <c r="E667" i="31"/>
  <c r="C667" i="31"/>
  <c r="G667" i="31"/>
  <c r="G652" i="31"/>
  <c r="C652" i="31"/>
  <c r="E652" i="31"/>
  <c r="C689" i="31"/>
  <c r="E689" i="31"/>
  <c r="G689" i="31"/>
  <c r="F656" i="31"/>
  <c r="B656" i="31"/>
  <c r="D656" i="31"/>
  <c r="B651" i="31"/>
  <c r="D651" i="31"/>
  <c r="F651" i="31"/>
  <c r="D645" i="31"/>
  <c r="F645" i="31"/>
  <c r="B645" i="31"/>
  <c r="E657" i="31"/>
  <c r="G657" i="31"/>
  <c r="C657" i="31"/>
  <c r="E646" i="31"/>
  <c r="G646" i="31"/>
  <c r="C646" i="31"/>
  <c r="F639" i="31"/>
  <c r="D639" i="31"/>
  <c r="B639" i="31"/>
  <c r="G645" i="31"/>
  <c r="C645" i="31"/>
  <c r="E645" i="31"/>
  <c r="B682" i="31"/>
  <c r="F682" i="31"/>
  <c r="D682" i="31"/>
  <c r="B676" i="31"/>
  <c r="F676" i="31"/>
  <c r="D676" i="31"/>
  <c r="E639" i="31"/>
  <c r="G639" i="31"/>
  <c r="C639" i="31"/>
  <c r="B689" i="31"/>
  <c r="D689" i="31"/>
  <c r="F689" i="31"/>
  <c r="C634" i="31"/>
  <c r="G634" i="31"/>
  <c r="E634" i="31"/>
  <c r="F640" i="31"/>
  <c r="D640" i="31"/>
  <c r="B640" i="31"/>
  <c r="B646" i="31"/>
  <c r="D646" i="31"/>
  <c r="F646" i="31"/>
  <c r="G640" i="31"/>
  <c r="E640" i="31"/>
  <c r="C640" i="31"/>
  <c r="G651" i="31"/>
  <c r="C651" i="31"/>
  <c r="E651" i="31"/>
  <c r="G682" i="31"/>
  <c r="C682" i="31"/>
  <c r="E682" i="31"/>
  <c r="B16" i="10"/>
  <c r="D189" i="31"/>
  <c r="A106" i="33"/>
  <c r="A801" i="33" s="1"/>
  <c r="B17" i="10"/>
  <c r="A107" i="33"/>
  <c r="A802" i="33" s="1"/>
  <c r="D190" i="31"/>
  <c r="CN122" i="10"/>
  <c r="CO122" i="10"/>
  <c r="CO66" i="10"/>
  <c r="CN66" i="10"/>
  <c r="CO120" i="10"/>
  <c r="CN120" i="10"/>
  <c r="CO121" i="10"/>
  <c r="CN121" i="10"/>
  <c r="CN116" i="10"/>
  <c r="CO116" i="10"/>
  <c r="CO99" i="10"/>
  <c r="CN99" i="10"/>
  <c r="CO102" i="10"/>
  <c r="CN102" i="10"/>
  <c r="CO119" i="10"/>
  <c r="CN119" i="10"/>
  <c r="CN69" i="10"/>
  <c r="CO69" i="10"/>
  <c r="CN67" i="10"/>
  <c r="CO67" i="10"/>
  <c r="A736" i="33" l="1"/>
  <c r="A661" i="33"/>
  <c r="A735" i="33"/>
  <c r="A660" i="33"/>
  <c r="H414" i="30"/>
  <c r="B547" i="31"/>
  <c r="C547" i="31"/>
  <c r="I414" i="30"/>
  <c r="H417" i="30"/>
  <c r="B557" i="31"/>
  <c r="C531" i="31"/>
  <c r="I407" i="30"/>
  <c r="C523" i="31"/>
  <c r="I404" i="30"/>
  <c r="H407" i="30"/>
  <c r="B531" i="31"/>
  <c r="C557" i="31"/>
  <c r="I417" i="30"/>
  <c r="H404" i="30"/>
  <c r="B523" i="31"/>
  <c r="B81" i="10"/>
  <c r="B142" i="30" s="1"/>
  <c r="A773" i="31"/>
  <c r="A513" i="31"/>
  <c r="A643" i="31"/>
  <c r="D254" i="31"/>
  <c r="B908" i="31"/>
  <c r="D383" i="31"/>
  <c r="D125" i="31"/>
  <c r="B82" i="10"/>
  <c r="B143" i="30" s="1"/>
  <c r="A774" i="31"/>
  <c r="A514" i="31"/>
  <c r="D384" i="31"/>
  <c r="D255" i="31"/>
  <c r="D126" i="31"/>
  <c r="B909" i="31"/>
  <c r="A644" i="31"/>
  <c r="C923" i="31"/>
  <c r="BL94" i="10" s="1"/>
  <c r="C954" i="31"/>
  <c r="BL125" i="10" s="1"/>
  <c r="D665" i="31"/>
  <c r="B665" i="31"/>
  <c r="F665" i="31"/>
  <c r="C536" i="31"/>
  <c r="I408" i="30"/>
  <c r="C533" i="31"/>
  <c r="C554" i="31"/>
  <c r="C911" i="31"/>
  <c r="C916" i="31"/>
  <c r="B669" i="31"/>
  <c r="F669" i="31"/>
  <c r="D669" i="31"/>
  <c r="B670" i="31"/>
  <c r="F670" i="31"/>
  <c r="D670" i="31"/>
  <c r="F641" i="31"/>
  <c r="B641" i="31"/>
  <c r="D641" i="31"/>
  <c r="C665" i="31"/>
  <c r="G665" i="31"/>
  <c r="E665" i="31"/>
  <c r="E671" i="31"/>
  <c r="G671" i="31"/>
  <c r="C671" i="31"/>
  <c r="B672" i="31"/>
  <c r="F672" i="31"/>
  <c r="D672" i="31"/>
  <c r="C900" i="31"/>
  <c r="B643" i="31"/>
  <c r="F643" i="31"/>
  <c r="D643" i="31"/>
  <c r="F662" i="31"/>
  <c r="B662" i="31"/>
  <c r="D662" i="31"/>
  <c r="B673" i="31"/>
  <c r="F673" i="31"/>
  <c r="D673" i="31"/>
  <c r="G647" i="31"/>
  <c r="E647" i="31"/>
  <c r="C647" i="31"/>
  <c r="B681" i="31"/>
  <c r="D681" i="31"/>
  <c r="F681" i="31"/>
  <c r="G636" i="31"/>
  <c r="E636" i="31"/>
  <c r="C636" i="31"/>
  <c r="E643" i="31"/>
  <c r="C643" i="31"/>
  <c r="G643" i="31"/>
  <c r="C914" i="31"/>
  <c r="B678" i="31"/>
  <c r="F678" i="31"/>
  <c r="D678" i="31"/>
  <c r="F660" i="31"/>
  <c r="B660" i="31"/>
  <c r="D660" i="31"/>
  <c r="G662" i="31"/>
  <c r="C662" i="31"/>
  <c r="E662" i="31"/>
  <c r="B674" i="31"/>
  <c r="F674" i="31"/>
  <c r="D674" i="31"/>
  <c r="C675" i="31"/>
  <c r="E675" i="31"/>
  <c r="G675" i="31"/>
  <c r="E632" i="31"/>
  <c r="C632" i="31"/>
  <c r="G632" i="31"/>
  <c r="E659" i="31"/>
  <c r="G659" i="31"/>
  <c r="C659" i="31"/>
  <c r="D637" i="31"/>
  <c r="F637" i="31"/>
  <c r="B637" i="31"/>
  <c r="F636" i="31"/>
  <c r="B636" i="31"/>
  <c r="D636" i="31"/>
  <c r="C919" i="31"/>
  <c r="C664" i="31"/>
  <c r="G664" i="31"/>
  <c r="E664" i="31"/>
  <c r="F671" i="31"/>
  <c r="B671" i="31"/>
  <c r="D671" i="31"/>
  <c r="G668" i="31"/>
  <c r="C668" i="31"/>
  <c r="E668" i="31"/>
  <c r="G660" i="31"/>
  <c r="C660" i="31"/>
  <c r="E660" i="31"/>
  <c r="H400" i="30"/>
  <c r="B503" i="31"/>
  <c r="G688" i="31"/>
  <c r="C688" i="31"/>
  <c r="E688" i="31"/>
  <c r="B644" i="31"/>
  <c r="F644" i="31"/>
  <c r="D644" i="31"/>
  <c r="G670" i="31"/>
  <c r="C670" i="31"/>
  <c r="E670" i="31"/>
  <c r="C922" i="31"/>
  <c r="C899" i="31"/>
  <c r="E900" i="31"/>
  <c r="E669" i="31"/>
  <c r="C669" i="31"/>
  <c r="G669" i="31"/>
  <c r="B690" i="31"/>
  <c r="F690" i="31"/>
  <c r="D690" i="31"/>
  <c r="G642" i="31"/>
  <c r="C642" i="31"/>
  <c r="E642" i="31"/>
  <c r="E629" i="31"/>
  <c r="G629" i="31"/>
  <c r="C629" i="31"/>
  <c r="E681" i="31"/>
  <c r="G681" i="31"/>
  <c r="C681" i="31"/>
  <c r="E648" i="31"/>
  <c r="C648" i="31"/>
  <c r="G648" i="31"/>
  <c r="C503" i="31"/>
  <c r="I400" i="30"/>
  <c r="B553" i="31"/>
  <c r="C550" i="31"/>
  <c r="H416" i="30"/>
  <c r="B555" i="31"/>
  <c r="C556" i="31"/>
  <c r="C905" i="31"/>
  <c r="C501" i="31"/>
  <c r="C553" i="31"/>
  <c r="B533" i="31"/>
  <c r="H408" i="30"/>
  <c r="C555" i="31"/>
  <c r="I416" i="30"/>
  <c r="B500" i="31"/>
  <c r="C947" i="31"/>
  <c r="C921" i="31"/>
  <c r="C637" i="31"/>
  <c r="G637" i="31"/>
  <c r="E637" i="31"/>
  <c r="B629" i="31"/>
  <c r="F629" i="31"/>
  <c r="D629" i="31"/>
  <c r="B675" i="31"/>
  <c r="F675" i="31"/>
  <c r="D675" i="31"/>
  <c r="C920" i="31"/>
  <c r="B501" i="31"/>
  <c r="B536" i="31"/>
  <c r="B550" i="31"/>
  <c r="B554" i="31"/>
  <c r="C500" i="31"/>
  <c r="B556" i="31"/>
  <c r="C941" i="31"/>
  <c r="BL112" i="10" s="1"/>
  <c r="C904" i="31"/>
  <c r="C910" i="31"/>
  <c r="F664" i="31"/>
  <c r="B664" i="31"/>
  <c r="D664" i="31"/>
  <c r="G638" i="31"/>
  <c r="C638" i="31"/>
  <c r="E638" i="31"/>
  <c r="C673" i="31"/>
  <c r="E673" i="31"/>
  <c r="G673" i="31"/>
  <c r="D632" i="31"/>
  <c r="B632" i="31"/>
  <c r="F632" i="31"/>
  <c r="G678" i="31"/>
  <c r="C678" i="31"/>
  <c r="E678" i="31"/>
  <c r="G674" i="31"/>
  <c r="C674" i="31"/>
  <c r="E674" i="31"/>
  <c r="C915" i="31"/>
  <c r="C917" i="31"/>
  <c r="C932" i="31"/>
  <c r="BL103" i="10" s="1"/>
  <c r="D659" i="31"/>
  <c r="F659" i="31"/>
  <c r="B659" i="31"/>
  <c r="C679" i="31"/>
  <c r="E679" i="31"/>
  <c r="G679" i="31"/>
  <c r="G690" i="31"/>
  <c r="C690" i="31"/>
  <c r="E690" i="31"/>
  <c r="B642" i="31"/>
  <c r="F642" i="31"/>
  <c r="D642" i="31"/>
  <c r="F668" i="31"/>
  <c r="B668" i="31"/>
  <c r="D668" i="31"/>
  <c r="F688" i="31"/>
  <c r="B688" i="31"/>
  <c r="D688" i="31"/>
  <c r="D638" i="31"/>
  <c r="B638" i="31"/>
  <c r="F638" i="31"/>
  <c r="E641" i="31"/>
  <c r="G641" i="31"/>
  <c r="C641" i="31"/>
  <c r="B679" i="31"/>
  <c r="F679" i="31"/>
  <c r="D679" i="31"/>
  <c r="G644" i="31"/>
  <c r="E644" i="31"/>
  <c r="C644" i="31"/>
  <c r="D647" i="31"/>
  <c r="B647" i="31"/>
  <c r="F647" i="31"/>
  <c r="F648" i="31"/>
  <c r="B648" i="31"/>
  <c r="D648" i="31"/>
  <c r="G672" i="31"/>
  <c r="C672" i="31"/>
  <c r="E672" i="31"/>
  <c r="B19" i="10"/>
  <c r="A109" i="33"/>
  <c r="A804" i="33" s="1"/>
  <c r="D192" i="31"/>
  <c r="B18" i="10"/>
  <c r="A108" i="33"/>
  <c r="A803" i="33" s="1"/>
  <c r="D191" i="31"/>
  <c r="B1352" i="35"/>
  <c r="E1352" i="35" s="1"/>
  <c r="J1352" i="35" s="1"/>
  <c r="B1353" i="35"/>
  <c r="E1353" i="35" s="1"/>
  <c r="J1353" i="35" s="1"/>
  <c r="B1354" i="35"/>
  <c r="E1354" i="35" s="1"/>
  <c r="J1354" i="35" s="1"/>
  <c r="B1355" i="35"/>
  <c r="E1355" i="35" s="1"/>
  <c r="J1355" i="35" s="1"/>
  <c r="B1356" i="35"/>
  <c r="E1356" i="35" s="1"/>
  <c r="J1356" i="35" s="1"/>
  <c r="B1357" i="35"/>
  <c r="E1357" i="35" s="1"/>
  <c r="J1357" i="35" s="1"/>
  <c r="B1358" i="35"/>
  <c r="E1358" i="35" s="1"/>
  <c r="J1358" i="35" s="1"/>
  <c r="B1359" i="35"/>
  <c r="E1359" i="35" s="1"/>
  <c r="J1359" i="35" s="1"/>
  <c r="B1360" i="35"/>
  <c r="E1360" i="35" s="1"/>
  <c r="J1360" i="35" s="1"/>
  <c r="B1361" i="35"/>
  <c r="E1361" i="35" s="1"/>
  <c r="J1361" i="35" s="1"/>
  <c r="B1362" i="35"/>
  <c r="E1362" i="35" s="1"/>
  <c r="J1362" i="35" s="1"/>
  <c r="B1363" i="35"/>
  <c r="E1363" i="35" s="1"/>
  <c r="J1363" i="35" s="1"/>
  <c r="B1364" i="35"/>
  <c r="E1364" i="35" s="1"/>
  <c r="J1364" i="35" s="1"/>
  <c r="B1365" i="35"/>
  <c r="E1365" i="35" s="1"/>
  <c r="J1365" i="35" s="1"/>
  <c r="B1366" i="35"/>
  <c r="E1366" i="35" s="1"/>
  <c r="J1366" i="35" s="1"/>
  <c r="B1367" i="35"/>
  <c r="E1367" i="35" s="1"/>
  <c r="J1367" i="35" s="1"/>
  <c r="B1368" i="35"/>
  <c r="E1368" i="35" s="1"/>
  <c r="J1368" i="35" s="1"/>
  <c r="B1369" i="35"/>
  <c r="E1369" i="35" s="1"/>
  <c r="J1369" i="35" s="1"/>
  <c r="B1370" i="35"/>
  <c r="E1370" i="35" s="1"/>
  <c r="J1370" i="35" s="1"/>
  <c r="B1371" i="35"/>
  <c r="E1371" i="35" s="1"/>
  <c r="J1371" i="35" s="1"/>
  <c r="B1372" i="35"/>
  <c r="E1372" i="35" s="1"/>
  <c r="J1372" i="35" s="1"/>
  <c r="B1373" i="35"/>
  <c r="E1373" i="35" s="1"/>
  <c r="J1373" i="35" s="1"/>
  <c r="B1374" i="35"/>
  <c r="E1374" i="35" s="1"/>
  <c r="J1374" i="35" s="1"/>
  <c r="B1375" i="35"/>
  <c r="E1375" i="35" s="1"/>
  <c r="J1375" i="35" s="1"/>
  <c r="B1376" i="35"/>
  <c r="E1376" i="35" s="1"/>
  <c r="J1376" i="35" s="1"/>
  <c r="B1377" i="35"/>
  <c r="E1377" i="35" s="1"/>
  <c r="J1377" i="35" s="1"/>
  <c r="B1378" i="35"/>
  <c r="E1378" i="35" s="1"/>
  <c r="J1378" i="35" s="1"/>
  <c r="B1379" i="35"/>
  <c r="E1379" i="35" s="1"/>
  <c r="J1379" i="35" s="1"/>
  <c r="B1380" i="35"/>
  <c r="E1380" i="35" s="1"/>
  <c r="J1380" i="35" s="1"/>
  <c r="B1381" i="35"/>
  <c r="E1381" i="35" s="1"/>
  <c r="J1381" i="35" s="1"/>
  <c r="B1382" i="35"/>
  <c r="E1382" i="35" s="1"/>
  <c r="J1382" i="35" s="1"/>
  <c r="B1383" i="35"/>
  <c r="E1383" i="35" s="1"/>
  <c r="J1383" i="35" s="1"/>
  <c r="B1384" i="35"/>
  <c r="E1384" i="35" s="1"/>
  <c r="J1384" i="35" s="1"/>
  <c r="B1385" i="35"/>
  <c r="E1385" i="35" s="1"/>
  <c r="J1385" i="35" s="1"/>
  <c r="B1386" i="35"/>
  <c r="E1386" i="35" s="1"/>
  <c r="J1386" i="35" s="1"/>
  <c r="B1387" i="35"/>
  <c r="E1387" i="35" s="1"/>
  <c r="J1387" i="35" s="1"/>
  <c r="B1388" i="35"/>
  <c r="E1388" i="35" s="1"/>
  <c r="J1388" i="35" s="1"/>
  <c r="B1389" i="35"/>
  <c r="E1389" i="35" s="1"/>
  <c r="J1389" i="35" s="1"/>
  <c r="B1390" i="35"/>
  <c r="E1390" i="35" s="1"/>
  <c r="J1390" i="35" s="1"/>
  <c r="B1391" i="35"/>
  <c r="E1391" i="35" s="1"/>
  <c r="J1391" i="35" s="1"/>
  <c r="B1392" i="35"/>
  <c r="E1392" i="35" s="1"/>
  <c r="J1392" i="35" s="1"/>
  <c r="B1393" i="35"/>
  <c r="E1393" i="35" s="1"/>
  <c r="J1393" i="35" s="1"/>
  <c r="B1394" i="35"/>
  <c r="E1394" i="35" s="1"/>
  <c r="J1394" i="35" s="1"/>
  <c r="B1395" i="35"/>
  <c r="E1395" i="35" s="1"/>
  <c r="J1395" i="35" s="1"/>
  <c r="B1396" i="35"/>
  <c r="E1396" i="35" s="1"/>
  <c r="J1396" i="35" s="1"/>
  <c r="B1397" i="35"/>
  <c r="E1397" i="35" s="1"/>
  <c r="J1397" i="35" s="1"/>
  <c r="B1398" i="35"/>
  <c r="E1398" i="35" s="1"/>
  <c r="J1398" i="35" s="1"/>
  <c r="B1399" i="35"/>
  <c r="E1399" i="35" s="1"/>
  <c r="J1399" i="35" s="1"/>
  <c r="B1400" i="35"/>
  <c r="E1400" i="35" s="1"/>
  <c r="J1400" i="35" s="1"/>
  <c r="B1401" i="35"/>
  <c r="E1401" i="35" s="1"/>
  <c r="J1401" i="35" s="1"/>
  <c r="B1402" i="35"/>
  <c r="E1402" i="35" s="1"/>
  <c r="J1402" i="35" s="1"/>
  <c r="B1403" i="35"/>
  <c r="E1403" i="35" s="1"/>
  <c r="J1403" i="35" s="1"/>
  <c r="B1404" i="35"/>
  <c r="E1404" i="35" s="1"/>
  <c r="J1404" i="35" s="1"/>
  <c r="B1405" i="35"/>
  <c r="E1405" i="35" s="1"/>
  <c r="J1405" i="35" s="1"/>
  <c r="B1406" i="35"/>
  <c r="E1406" i="35" s="1"/>
  <c r="J1406" i="35" s="1"/>
  <c r="B1407" i="35"/>
  <c r="E1407" i="35" s="1"/>
  <c r="J1407" i="35" s="1"/>
  <c r="B1408" i="35"/>
  <c r="E1408" i="35" s="1"/>
  <c r="J1408" i="35" s="1"/>
  <c r="B1409" i="35"/>
  <c r="E1409" i="35" s="1"/>
  <c r="J1409" i="35" s="1"/>
  <c r="B1410" i="35"/>
  <c r="E1410" i="35" s="1"/>
  <c r="J1410" i="35" s="1"/>
  <c r="B1411" i="35"/>
  <c r="E1411" i="35" s="1"/>
  <c r="J1411" i="35" s="1"/>
  <c r="B1412" i="35"/>
  <c r="E1412" i="35" s="1"/>
  <c r="J1412" i="35" s="1"/>
  <c r="B1351" i="35"/>
  <c r="E1351" i="35" s="1"/>
  <c r="J1351" i="35" s="1"/>
  <c r="A737" i="33" l="1"/>
  <c r="A662" i="33"/>
  <c r="A738" i="33"/>
  <c r="A663" i="33"/>
  <c r="E905" i="31"/>
  <c r="BL76" i="10"/>
  <c r="E922" i="31"/>
  <c r="BL93" i="10"/>
  <c r="E919" i="31"/>
  <c r="BL90" i="10"/>
  <c r="D914" i="31"/>
  <c r="BL85" i="10"/>
  <c r="E915" i="31"/>
  <c r="BL86" i="10"/>
  <c r="E904" i="31"/>
  <c r="BL75" i="10"/>
  <c r="E920" i="31"/>
  <c r="BL91" i="10"/>
  <c r="E916" i="31"/>
  <c r="BL87" i="10"/>
  <c r="D900" i="31"/>
  <c r="BL71" i="10"/>
  <c r="D911" i="31"/>
  <c r="BL82" i="10"/>
  <c r="E917" i="31"/>
  <c r="BL88" i="10"/>
  <c r="D910" i="31"/>
  <c r="BL81" i="10"/>
  <c r="D947" i="31"/>
  <c r="BL118" i="10"/>
  <c r="E921" i="31"/>
  <c r="BL92" i="10"/>
  <c r="D899" i="31"/>
  <c r="BL70" i="10"/>
  <c r="E677" i="31"/>
  <c r="G677" i="31"/>
  <c r="C677" i="31"/>
  <c r="B677" i="31"/>
  <c r="D677" i="31"/>
  <c r="F677" i="31"/>
  <c r="E911" i="31"/>
  <c r="C929" i="31"/>
  <c r="BL100" i="10" s="1"/>
  <c r="D653" i="31"/>
  <c r="F653" i="31"/>
  <c r="B653" i="31"/>
  <c r="D661" i="31"/>
  <c r="B661" i="31"/>
  <c r="F661" i="31"/>
  <c r="C906" i="31"/>
  <c r="C661" i="31"/>
  <c r="G661" i="31"/>
  <c r="E661" i="31"/>
  <c r="F687" i="31"/>
  <c r="B687" i="31"/>
  <c r="D687" i="31"/>
  <c r="B84" i="10"/>
  <c r="B145" i="30" s="1"/>
  <c r="B911" i="31"/>
  <c r="A646" i="31"/>
  <c r="D386" i="31"/>
  <c r="D257" i="31"/>
  <c r="D128" i="31"/>
  <c r="A776" i="31"/>
  <c r="A516" i="31"/>
  <c r="B83" i="10"/>
  <c r="B144" i="30" s="1"/>
  <c r="B910" i="31"/>
  <c r="A645" i="31"/>
  <c r="A775" i="31"/>
  <c r="D385" i="31"/>
  <c r="D127" i="31"/>
  <c r="A515" i="31"/>
  <c r="D256" i="31"/>
  <c r="C687" i="31"/>
  <c r="G687" i="31"/>
  <c r="E687" i="31"/>
  <c r="E653" i="31"/>
  <c r="G653" i="31"/>
  <c r="C653" i="31"/>
  <c r="C940" i="31"/>
  <c r="BL111" i="10" s="1"/>
  <c r="D917" i="31"/>
  <c r="E899" i="31"/>
  <c r="C924" i="31"/>
  <c r="BL95" i="10" s="1"/>
  <c r="C946" i="31"/>
  <c r="BL117" i="10" s="1"/>
  <c r="D905" i="31"/>
  <c r="C955" i="31"/>
  <c r="BL126" i="10" s="1"/>
  <c r="E914" i="31"/>
  <c r="C943" i="31"/>
  <c r="BL114" i="10" s="1"/>
  <c r="C937" i="31"/>
  <c r="BL108" i="10" s="1"/>
  <c r="C934" i="31"/>
  <c r="BL105" i="10" s="1"/>
  <c r="C913" i="31"/>
  <c r="C903" i="31"/>
  <c r="C897" i="31"/>
  <c r="B686" i="31"/>
  <c r="F686" i="31"/>
  <c r="D686" i="31"/>
  <c r="F684" i="31"/>
  <c r="B684" i="31"/>
  <c r="D684" i="31"/>
  <c r="B666" i="31"/>
  <c r="D666" i="31"/>
  <c r="F666" i="31"/>
  <c r="D920" i="31"/>
  <c r="E685" i="31"/>
  <c r="G685" i="31"/>
  <c r="C685" i="31"/>
  <c r="G680" i="31"/>
  <c r="C680" i="31"/>
  <c r="E680" i="31"/>
  <c r="D922" i="31"/>
  <c r="D633" i="31"/>
  <c r="B633" i="31"/>
  <c r="F633" i="31"/>
  <c r="D919" i="31"/>
  <c r="C925" i="31"/>
  <c r="BL96" i="10" s="1"/>
  <c r="C927" i="31"/>
  <c r="BL98" i="10" s="1"/>
  <c r="E663" i="31"/>
  <c r="G663" i="31"/>
  <c r="C663" i="31"/>
  <c r="D904" i="31"/>
  <c r="F630" i="31"/>
  <c r="D630" i="31"/>
  <c r="B630" i="31"/>
  <c r="E683" i="31"/>
  <c r="G683" i="31"/>
  <c r="B685" i="31"/>
  <c r="D685" i="31"/>
  <c r="F685" i="31"/>
  <c r="C633" i="31"/>
  <c r="G633" i="31"/>
  <c r="E633" i="31"/>
  <c r="C902" i="31"/>
  <c r="E910" i="31"/>
  <c r="C944" i="31"/>
  <c r="BL115" i="10" s="1"/>
  <c r="C933" i="31"/>
  <c r="BL104" i="10" s="1"/>
  <c r="C907" i="31"/>
  <c r="G630" i="31"/>
  <c r="C630" i="31"/>
  <c r="E630" i="31"/>
  <c r="B680" i="31"/>
  <c r="F680" i="31"/>
  <c r="D680" i="31"/>
  <c r="B631" i="31"/>
  <c r="D631" i="31"/>
  <c r="F631" i="31"/>
  <c r="B683" i="31"/>
  <c r="F683" i="31"/>
  <c r="D683" i="31"/>
  <c r="C938" i="31"/>
  <c r="BL109" i="10" s="1"/>
  <c r="C908" i="31"/>
  <c r="C935" i="31"/>
  <c r="BL106" i="10" s="1"/>
  <c r="G684" i="31"/>
  <c r="C684" i="31"/>
  <c r="E684" i="31"/>
  <c r="C930" i="31"/>
  <c r="BL101" i="10" s="1"/>
  <c r="C912" i="31"/>
  <c r="C953" i="31"/>
  <c r="BL124" i="10" s="1"/>
  <c r="D915" i="31"/>
  <c r="E947" i="31"/>
  <c r="C683" i="31"/>
  <c r="C894" i="31"/>
  <c r="BL65" i="10" s="1"/>
  <c r="D921" i="31"/>
  <c r="D663" i="31"/>
  <c r="F663" i="31"/>
  <c r="B663" i="31"/>
  <c r="G631" i="31"/>
  <c r="C631" i="31"/>
  <c r="E631" i="31"/>
  <c r="G686" i="31"/>
  <c r="C686" i="31"/>
  <c r="E686" i="31"/>
  <c r="C909" i="31"/>
  <c r="C936" i="31"/>
  <c r="BL107" i="10" s="1"/>
  <c r="C901" i="31"/>
  <c r="C939" i="31"/>
  <c r="BL110" i="10" s="1"/>
  <c r="D916" i="31"/>
  <c r="G666" i="31"/>
  <c r="C666" i="31"/>
  <c r="E666" i="31"/>
  <c r="B20" i="10"/>
  <c r="D193" i="31"/>
  <c r="A110" i="33"/>
  <c r="A805" i="33" s="1"/>
  <c r="B21" i="10"/>
  <c r="A111" i="33"/>
  <c r="A806" i="33" s="1"/>
  <c r="D194" i="31"/>
  <c r="E1003" i="33"/>
  <c r="G1003" i="33" s="1"/>
  <c r="H1003" i="33" s="1"/>
  <c r="E1004" i="33"/>
  <c r="G1004" i="33" s="1"/>
  <c r="H1004" i="33" s="1"/>
  <c r="E1005" i="33"/>
  <c r="G1005" i="33" s="1"/>
  <c r="H1005" i="33" s="1"/>
  <c r="E1006" i="33"/>
  <c r="G1006" i="33" s="1"/>
  <c r="H1006" i="33" s="1"/>
  <c r="E1007" i="33"/>
  <c r="G1007" i="33" s="1"/>
  <c r="H1007" i="33" s="1"/>
  <c r="E1008" i="33"/>
  <c r="G1008" i="33" s="1"/>
  <c r="H1008" i="33" s="1"/>
  <c r="E1009" i="33"/>
  <c r="G1009" i="33" s="1"/>
  <c r="H1009" i="33" s="1"/>
  <c r="E1010" i="33"/>
  <c r="G1010" i="33" s="1"/>
  <c r="H1010" i="33" s="1"/>
  <c r="E1011" i="33"/>
  <c r="G1011" i="33" s="1"/>
  <c r="H1011" i="33" s="1"/>
  <c r="E1012" i="33"/>
  <c r="G1012" i="33" s="1"/>
  <c r="H1012" i="33" s="1"/>
  <c r="E1013" i="33"/>
  <c r="G1013" i="33" s="1"/>
  <c r="H1013" i="33" s="1"/>
  <c r="E1014" i="33"/>
  <c r="G1014" i="33" s="1"/>
  <c r="H1014" i="33" s="1"/>
  <c r="E1015" i="33"/>
  <c r="G1015" i="33" s="1"/>
  <c r="H1015" i="33" s="1"/>
  <c r="E1016" i="33"/>
  <c r="G1016" i="33" s="1"/>
  <c r="H1016" i="33" s="1"/>
  <c r="E1017" i="33"/>
  <c r="G1017" i="33" s="1"/>
  <c r="H1017" i="33" s="1"/>
  <c r="E1018" i="33"/>
  <c r="G1018" i="33" s="1"/>
  <c r="H1018" i="33" s="1"/>
  <c r="E1019" i="33"/>
  <c r="G1019" i="33" s="1"/>
  <c r="H1019" i="33" s="1"/>
  <c r="E1020" i="33"/>
  <c r="G1020" i="33" s="1"/>
  <c r="H1020" i="33" s="1"/>
  <c r="E1021" i="33"/>
  <c r="G1021" i="33" s="1"/>
  <c r="H1021" i="33" s="1"/>
  <c r="E1022" i="33"/>
  <c r="G1022" i="33" s="1"/>
  <c r="H1022" i="33" s="1"/>
  <c r="E1023" i="33"/>
  <c r="G1023" i="33" s="1"/>
  <c r="H1023" i="33" s="1"/>
  <c r="E1024" i="33"/>
  <c r="G1024" i="33" s="1"/>
  <c r="H1024" i="33" s="1"/>
  <c r="E1025" i="33"/>
  <c r="G1025" i="33" s="1"/>
  <c r="H1025" i="33" s="1"/>
  <c r="E1026" i="33"/>
  <c r="G1026" i="33" s="1"/>
  <c r="H1026" i="33" s="1"/>
  <c r="E1027" i="33"/>
  <c r="G1027" i="33" s="1"/>
  <c r="H1027" i="33" s="1"/>
  <c r="E1028" i="33"/>
  <c r="G1028" i="33" s="1"/>
  <c r="H1028" i="33" s="1"/>
  <c r="E1029" i="33"/>
  <c r="G1029" i="33" s="1"/>
  <c r="H1029" i="33" s="1"/>
  <c r="E1030" i="33"/>
  <c r="G1030" i="33" s="1"/>
  <c r="H1030" i="33" s="1"/>
  <c r="E1031" i="33"/>
  <c r="G1031" i="33" s="1"/>
  <c r="H1031" i="33" s="1"/>
  <c r="E1032" i="33"/>
  <c r="G1032" i="33" s="1"/>
  <c r="H1032" i="33" s="1"/>
  <c r="E1033" i="33"/>
  <c r="G1033" i="33" s="1"/>
  <c r="H1033" i="33" s="1"/>
  <c r="E1034" i="33"/>
  <c r="G1034" i="33" s="1"/>
  <c r="H1034" i="33" s="1"/>
  <c r="E1035" i="33"/>
  <c r="G1035" i="33" s="1"/>
  <c r="H1035" i="33" s="1"/>
  <c r="E1036" i="33"/>
  <c r="G1036" i="33" s="1"/>
  <c r="H1036" i="33" s="1"/>
  <c r="E1037" i="33"/>
  <c r="G1037" i="33" s="1"/>
  <c r="H1037" i="33" s="1"/>
  <c r="E1038" i="33"/>
  <c r="G1038" i="33" s="1"/>
  <c r="H1038" i="33" s="1"/>
  <c r="E1039" i="33"/>
  <c r="G1039" i="33" s="1"/>
  <c r="H1039" i="33" s="1"/>
  <c r="E1040" i="33"/>
  <c r="G1040" i="33" s="1"/>
  <c r="H1040" i="33" s="1"/>
  <c r="E1041" i="33"/>
  <c r="G1041" i="33" s="1"/>
  <c r="H1041" i="33" s="1"/>
  <c r="E1042" i="33"/>
  <c r="G1042" i="33" s="1"/>
  <c r="H1042" i="33" s="1"/>
  <c r="E1043" i="33"/>
  <c r="G1043" i="33" s="1"/>
  <c r="H1043" i="33" s="1"/>
  <c r="E1044" i="33"/>
  <c r="G1044" i="33" s="1"/>
  <c r="H1044" i="33" s="1"/>
  <c r="E1045" i="33"/>
  <c r="G1045" i="33" s="1"/>
  <c r="H1045" i="33" s="1"/>
  <c r="E1046" i="33"/>
  <c r="G1046" i="33" s="1"/>
  <c r="H1046" i="33" s="1"/>
  <c r="E1047" i="33"/>
  <c r="G1047" i="33" s="1"/>
  <c r="H1047" i="33" s="1"/>
  <c r="E1048" i="33"/>
  <c r="G1048" i="33" s="1"/>
  <c r="H1048" i="33" s="1"/>
  <c r="E1049" i="33"/>
  <c r="G1049" i="33" s="1"/>
  <c r="H1049" i="33" s="1"/>
  <c r="E1050" i="33"/>
  <c r="G1050" i="33" s="1"/>
  <c r="H1050" i="33" s="1"/>
  <c r="E1051" i="33"/>
  <c r="G1051" i="33" s="1"/>
  <c r="H1051" i="33" s="1"/>
  <c r="E1052" i="33"/>
  <c r="G1052" i="33" s="1"/>
  <c r="H1052" i="33" s="1"/>
  <c r="E1053" i="33"/>
  <c r="G1053" i="33" s="1"/>
  <c r="H1053" i="33" s="1"/>
  <c r="E1054" i="33"/>
  <c r="G1054" i="33" s="1"/>
  <c r="H1054" i="33" s="1"/>
  <c r="E1055" i="33"/>
  <c r="G1055" i="33" s="1"/>
  <c r="H1055" i="33" s="1"/>
  <c r="E1056" i="33"/>
  <c r="G1056" i="33" s="1"/>
  <c r="H1056" i="33" s="1"/>
  <c r="E1057" i="33"/>
  <c r="G1057" i="33" s="1"/>
  <c r="H1057" i="33" s="1"/>
  <c r="E1058" i="33"/>
  <c r="G1058" i="33" s="1"/>
  <c r="H1058" i="33" s="1"/>
  <c r="E1059" i="33"/>
  <c r="G1059" i="33" s="1"/>
  <c r="H1059" i="33" s="1"/>
  <c r="E1060" i="33"/>
  <c r="G1060" i="33" s="1"/>
  <c r="H1060" i="33" s="1"/>
  <c r="E1061" i="33"/>
  <c r="G1061" i="33" s="1"/>
  <c r="H1061" i="33" s="1"/>
  <c r="E1062" i="33"/>
  <c r="G1062" i="33" s="1"/>
  <c r="H1062" i="33" s="1"/>
  <c r="E1063" i="33"/>
  <c r="G1063" i="33" s="1"/>
  <c r="H1063" i="33" s="1"/>
  <c r="E1002" i="33"/>
  <c r="G1002" i="33" s="1"/>
  <c r="H1002" i="33" s="1"/>
  <c r="E450" i="33"/>
  <c r="E451" i="33"/>
  <c r="E452" i="33"/>
  <c r="E453" i="33"/>
  <c r="E454" i="33"/>
  <c r="E455" i="33"/>
  <c r="E456" i="33"/>
  <c r="E457" i="33"/>
  <c r="E458" i="33"/>
  <c r="E459" i="33"/>
  <c r="E460" i="33"/>
  <c r="E461" i="33"/>
  <c r="E462" i="33"/>
  <c r="E463" i="33"/>
  <c r="E464" i="33"/>
  <c r="E465" i="33"/>
  <c r="E466" i="33"/>
  <c r="E467" i="33"/>
  <c r="E468" i="33"/>
  <c r="E469" i="33"/>
  <c r="E470" i="33"/>
  <c r="E471" i="33"/>
  <c r="E472" i="33"/>
  <c r="E473" i="33"/>
  <c r="E474" i="33"/>
  <c r="E475" i="33"/>
  <c r="E476" i="33"/>
  <c r="E477" i="33"/>
  <c r="E478" i="33"/>
  <c r="E479" i="33"/>
  <c r="E480" i="33"/>
  <c r="E481" i="33"/>
  <c r="E482" i="33"/>
  <c r="E483" i="33"/>
  <c r="E484" i="33"/>
  <c r="E485" i="33"/>
  <c r="E486" i="33"/>
  <c r="E487" i="33"/>
  <c r="E488" i="33"/>
  <c r="E489" i="33"/>
  <c r="E490" i="33"/>
  <c r="E491" i="33"/>
  <c r="E492" i="33"/>
  <c r="E493" i="33"/>
  <c r="E494" i="33"/>
  <c r="E495" i="33"/>
  <c r="E496" i="33"/>
  <c r="E497" i="33"/>
  <c r="E498" i="33"/>
  <c r="E499" i="33"/>
  <c r="E500" i="33"/>
  <c r="E501" i="33"/>
  <c r="E502" i="33"/>
  <c r="E503" i="33"/>
  <c r="E504" i="33"/>
  <c r="E505" i="33"/>
  <c r="E506" i="33"/>
  <c r="E507" i="33"/>
  <c r="E508" i="33"/>
  <c r="E509" i="33"/>
  <c r="E510" i="33"/>
  <c r="E449" i="33"/>
  <c r="G317" i="33"/>
  <c r="H317" i="33"/>
  <c r="I317" i="33"/>
  <c r="G318" i="33"/>
  <c r="H318" i="33"/>
  <c r="I318" i="33"/>
  <c r="G319" i="33"/>
  <c r="H319" i="33"/>
  <c r="I319" i="33"/>
  <c r="G320" i="33"/>
  <c r="H320" i="33"/>
  <c r="I320" i="33"/>
  <c r="G321" i="33"/>
  <c r="H321" i="33"/>
  <c r="I321" i="33"/>
  <c r="G322" i="33"/>
  <c r="H322" i="33"/>
  <c r="I322" i="33"/>
  <c r="G323" i="33"/>
  <c r="H323" i="33"/>
  <c r="I323" i="33"/>
  <c r="G324" i="33"/>
  <c r="H324" i="33"/>
  <c r="I324" i="33"/>
  <c r="G325" i="33"/>
  <c r="H325" i="33"/>
  <c r="I325" i="33"/>
  <c r="G326" i="33"/>
  <c r="H326" i="33"/>
  <c r="I326" i="33"/>
  <c r="G327" i="33"/>
  <c r="H327" i="33"/>
  <c r="I327" i="33"/>
  <c r="G328" i="33"/>
  <c r="H328" i="33"/>
  <c r="I328" i="33"/>
  <c r="G329" i="33"/>
  <c r="H329" i="33"/>
  <c r="I329" i="33"/>
  <c r="G330" i="33"/>
  <c r="H330" i="33"/>
  <c r="I330" i="33"/>
  <c r="G331" i="33"/>
  <c r="H331" i="33"/>
  <c r="I331" i="33"/>
  <c r="G332" i="33"/>
  <c r="H332" i="33"/>
  <c r="I332" i="33"/>
  <c r="G333" i="33"/>
  <c r="H333" i="33"/>
  <c r="I333" i="33"/>
  <c r="G334" i="33"/>
  <c r="H334" i="33"/>
  <c r="I334" i="33"/>
  <c r="G335" i="33"/>
  <c r="H335" i="33"/>
  <c r="I335" i="33"/>
  <c r="G336" i="33"/>
  <c r="H336" i="33"/>
  <c r="I336" i="33"/>
  <c r="G337" i="33"/>
  <c r="H337" i="33"/>
  <c r="I337" i="33"/>
  <c r="G338" i="33"/>
  <c r="H338" i="33"/>
  <c r="I338" i="33"/>
  <c r="G339" i="33"/>
  <c r="H339" i="33"/>
  <c r="I339" i="33"/>
  <c r="G340" i="33"/>
  <c r="H340" i="33"/>
  <c r="I340" i="33"/>
  <c r="G341" i="33"/>
  <c r="H341" i="33"/>
  <c r="I341" i="33"/>
  <c r="G342" i="33"/>
  <c r="H342" i="33"/>
  <c r="I342" i="33"/>
  <c r="G343" i="33"/>
  <c r="H343" i="33"/>
  <c r="I343" i="33"/>
  <c r="G344" i="33"/>
  <c r="H344" i="33"/>
  <c r="I344" i="33"/>
  <c r="G345" i="33"/>
  <c r="H345" i="33"/>
  <c r="I345" i="33"/>
  <c r="G346" i="33"/>
  <c r="H346" i="33"/>
  <c r="I346" i="33"/>
  <c r="G347" i="33"/>
  <c r="H347" i="33"/>
  <c r="I347" i="33"/>
  <c r="G348" i="33"/>
  <c r="H348" i="33"/>
  <c r="I348" i="33"/>
  <c r="G349" i="33"/>
  <c r="H349" i="33"/>
  <c r="I349" i="33"/>
  <c r="G350" i="33"/>
  <c r="H350" i="33"/>
  <c r="I350" i="33"/>
  <c r="G351" i="33"/>
  <c r="H351" i="33"/>
  <c r="I351" i="33"/>
  <c r="G352" i="33"/>
  <c r="H352" i="33"/>
  <c r="I352" i="33"/>
  <c r="G353" i="33"/>
  <c r="H353" i="33"/>
  <c r="I353" i="33"/>
  <c r="G354" i="33"/>
  <c r="H354" i="33"/>
  <c r="I354" i="33"/>
  <c r="G355" i="33"/>
  <c r="H355" i="33"/>
  <c r="I355" i="33"/>
  <c r="G356" i="33"/>
  <c r="H356" i="33"/>
  <c r="I356" i="33"/>
  <c r="G357" i="33"/>
  <c r="H357" i="33"/>
  <c r="I357" i="33"/>
  <c r="G358" i="33"/>
  <c r="H358" i="33"/>
  <c r="I358" i="33"/>
  <c r="G359" i="33"/>
  <c r="H359" i="33"/>
  <c r="I359" i="33"/>
  <c r="G360" i="33"/>
  <c r="H360" i="33"/>
  <c r="I360" i="33"/>
  <c r="G361" i="33"/>
  <c r="H361" i="33"/>
  <c r="I361" i="33"/>
  <c r="G362" i="33"/>
  <c r="H362" i="33"/>
  <c r="I362" i="33"/>
  <c r="G363" i="33"/>
  <c r="H363" i="33"/>
  <c r="I363" i="33"/>
  <c r="G364" i="33"/>
  <c r="H364" i="33"/>
  <c r="I364" i="33"/>
  <c r="G365" i="33"/>
  <c r="H365" i="33"/>
  <c r="I365" i="33"/>
  <c r="G366" i="33"/>
  <c r="H366" i="33"/>
  <c r="I366" i="33"/>
  <c r="G367" i="33"/>
  <c r="H367" i="33"/>
  <c r="I367" i="33"/>
  <c r="G368" i="33"/>
  <c r="H368" i="33"/>
  <c r="I368" i="33"/>
  <c r="G369" i="33"/>
  <c r="H369" i="33"/>
  <c r="I369" i="33"/>
  <c r="G370" i="33"/>
  <c r="H370" i="33"/>
  <c r="I370" i="33"/>
  <c r="G371" i="33"/>
  <c r="H371" i="33"/>
  <c r="I371" i="33"/>
  <c r="G372" i="33"/>
  <c r="H372" i="33"/>
  <c r="I372" i="33"/>
  <c r="G373" i="33"/>
  <c r="H373" i="33"/>
  <c r="I373" i="33"/>
  <c r="G374" i="33"/>
  <c r="H374" i="33"/>
  <c r="I374" i="33"/>
  <c r="G375" i="33"/>
  <c r="H375" i="33"/>
  <c r="I375" i="33"/>
  <c r="G376" i="33"/>
  <c r="H376" i="33"/>
  <c r="I376" i="33"/>
  <c r="G377" i="33"/>
  <c r="H377" i="33"/>
  <c r="I377" i="33"/>
  <c r="I316" i="33"/>
  <c r="H316" i="33"/>
  <c r="G316" i="33"/>
  <c r="C517" i="33"/>
  <c r="D517" i="33"/>
  <c r="E517" i="33"/>
  <c r="F517" i="33"/>
  <c r="C518" i="33"/>
  <c r="D518" i="33"/>
  <c r="E518" i="33"/>
  <c r="F518" i="33"/>
  <c r="C519" i="33"/>
  <c r="D519" i="33"/>
  <c r="E519" i="33"/>
  <c r="F519" i="33"/>
  <c r="C520" i="33"/>
  <c r="D520" i="33"/>
  <c r="E520" i="33"/>
  <c r="F520" i="33"/>
  <c r="C521" i="33"/>
  <c r="D521" i="33"/>
  <c r="E521" i="33"/>
  <c r="F521" i="33"/>
  <c r="C522" i="33"/>
  <c r="D522" i="33"/>
  <c r="E522" i="33"/>
  <c r="F522" i="33"/>
  <c r="C523" i="33"/>
  <c r="D523" i="33"/>
  <c r="E523" i="33"/>
  <c r="F523" i="33"/>
  <c r="C524" i="33"/>
  <c r="D524" i="33"/>
  <c r="E524" i="33"/>
  <c r="F524" i="33"/>
  <c r="C525" i="33"/>
  <c r="D525" i="33"/>
  <c r="E525" i="33"/>
  <c r="F525" i="33"/>
  <c r="C526" i="33"/>
  <c r="D526" i="33"/>
  <c r="E526" i="33"/>
  <c r="F526" i="33"/>
  <c r="C527" i="33"/>
  <c r="D527" i="33"/>
  <c r="E527" i="33"/>
  <c r="F527" i="33"/>
  <c r="C528" i="33"/>
  <c r="D528" i="33"/>
  <c r="E528" i="33"/>
  <c r="F528" i="33"/>
  <c r="C529" i="33"/>
  <c r="D529" i="33"/>
  <c r="E529" i="33"/>
  <c r="F529" i="33"/>
  <c r="C530" i="33"/>
  <c r="D530" i="33"/>
  <c r="E530" i="33"/>
  <c r="F530" i="33"/>
  <c r="C531" i="33"/>
  <c r="D531" i="33"/>
  <c r="E531" i="33"/>
  <c r="F531" i="33"/>
  <c r="C532" i="33"/>
  <c r="D532" i="33"/>
  <c r="E532" i="33"/>
  <c r="F532" i="33"/>
  <c r="C533" i="33"/>
  <c r="D533" i="33"/>
  <c r="E533" i="33"/>
  <c r="F533" i="33"/>
  <c r="C534" i="33"/>
  <c r="D534" i="33"/>
  <c r="E534" i="33"/>
  <c r="F534" i="33"/>
  <c r="C535" i="33"/>
  <c r="D535" i="33"/>
  <c r="E535" i="33"/>
  <c r="F535" i="33"/>
  <c r="C536" i="33"/>
  <c r="D536" i="33"/>
  <c r="E536" i="33"/>
  <c r="F536" i="33"/>
  <c r="C537" i="33"/>
  <c r="D537" i="33"/>
  <c r="E537" i="33"/>
  <c r="F537" i="33"/>
  <c r="C538" i="33"/>
  <c r="D538" i="33"/>
  <c r="E538" i="33"/>
  <c r="F538" i="33"/>
  <c r="C539" i="33"/>
  <c r="D539" i="33"/>
  <c r="E539" i="33"/>
  <c r="F539" i="33"/>
  <c r="C540" i="33"/>
  <c r="D540" i="33"/>
  <c r="E540" i="33"/>
  <c r="F540" i="33"/>
  <c r="C541" i="33"/>
  <c r="D541" i="33"/>
  <c r="E541" i="33"/>
  <c r="F541" i="33"/>
  <c r="C542" i="33"/>
  <c r="D542" i="33"/>
  <c r="E542" i="33"/>
  <c r="F542" i="33"/>
  <c r="C543" i="33"/>
  <c r="D543" i="33"/>
  <c r="E543" i="33"/>
  <c r="F543" i="33"/>
  <c r="C544" i="33"/>
  <c r="D544" i="33"/>
  <c r="E544" i="33"/>
  <c r="F544" i="33"/>
  <c r="C545" i="33"/>
  <c r="D545" i="33"/>
  <c r="E545" i="33"/>
  <c r="F545" i="33"/>
  <c r="C546" i="33"/>
  <c r="D546" i="33"/>
  <c r="E546" i="33"/>
  <c r="F546" i="33"/>
  <c r="C547" i="33"/>
  <c r="D547" i="33"/>
  <c r="E547" i="33"/>
  <c r="F547" i="33"/>
  <c r="C548" i="33"/>
  <c r="D548" i="33"/>
  <c r="E548" i="33"/>
  <c r="F548" i="33"/>
  <c r="C549" i="33"/>
  <c r="D549" i="33"/>
  <c r="E549" i="33"/>
  <c r="F549" i="33"/>
  <c r="C550" i="33"/>
  <c r="D550" i="33"/>
  <c r="E550" i="33"/>
  <c r="F550" i="33"/>
  <c r="C551" i="33"/>
  <c r="D551" i="33"/>
  <c r="E551" i="33"/>
  <c r="F551" i="33"/>
  <c r="C552" i="33"/>
  <c r="D552" i="33"/>
  <c r="E552" i="33"/>
  <c r="F552" i="33"/>
  <c r="C553" i="33"/>
  <c r="D553" i="33"/>
  <c r="E553" i="33"/>
  <c r="F553" i="33"/>
  <c r="C554" i="33"/>
  <c r="D554" i="33"/>
  <c r="E554" i="33"/>
  <c r="F554" i="33"/>
  <c r="C555" i="33"/>
  <c r="D555" i="33"/>
  <c r="E555" i="33"/>
  <c r="F555" i="33"/>
  <c r="C556" i="33"/>
  <c r="D556" i="33"/>
  <c r="E556" i="33"/>
  <c r="F556" i="33"/>
  <c r="C557" i="33"/>
  <c r="D557" i="33"/>
  <c r="E557" i="33"/>
  <c r="F557" i="33"/>
  <c r="C558" i="33"/>
  <c r="D558" i="33"/>
  <c r="E558" i="33"/>
  <c r="F558" i="33"/>
  <c r="C559" i="33"/>
  <c r="D559" i="33"/>
  <c r="E559" i="33"/>
  <c r="F559" i="33"/>
  <c r="C560" i="33"/>
  <c r="D560" i="33"/>
  <c r="E560" i="33"/>
  <c r="F560" i="33"/>
  <c r="C561" i="33"/>
  <c r="D561" i="33"/>
  <c r="E561" i="33"/>
  <c r="F561" i="33"/>
  <c r="C562" i="33"/>
  <c r="D562" i="33"/>
  <c r="E562" i="33"/>
  <c r="F562" i="33"/>
  <c r="C563" i="33"/>
  <c r="D563" i="33"/>
  <c r="E563" i="33"/>
  <c r="F563" i="33"/>
  <c r="C564" i="33"/>
  <c r="D564" i="33"/>
  <c r="E564" i="33"/>
  <c r="F564" i="33"/>
  <c r="C565" i="33"/>
  <c r="D565" i="33"/>
  <c r="E565" i="33"/>
  <c r="F565" i="33"/>
  <c r="C566" i="33"/>
  <c r="D566" i="33"/>
  <c r="E566" i="33"/>
  <c r="F566" i="33"/>
  <c r="C567" i="33"/>
  <c r="D567" i="33"/>
  <c r="E567" i="33"/>
  <c r="F567" i="33"/>
  <c r="C568" i="33"/>
  <c r="D568" i="33"/>
  <c r="E568" i="33"/>
  <c r="F568" i="33"/>
  <c r="C569" i="33"/>
  <c r="D569" i="33"/>
  <c r="E569" i="33"/>
  <c r="F569" i="33"/>
  <c r="C570" i="33"/>
  <c r="D570" i="33"/>
  <c r="E570" i="33"/>
  <c r="F570" i="33"/>
  <c r="C571" i="33"/>
  <c r="D571" i="33"/>
  <c r="E571" i="33"/>
  <c r="F571" i="33"/>
  <c r="C572" i="33"/>
  <c r="D572" i="33"/>
  <c r="E572" i="33"/>
  <c r="F572" i="33"/>
  <c r="C573" i="33"/>
  <c r="D573" i="33"/>
  <c r="E573" i="33"/>
  <c r="F573" i="33"/>
  <c r="C574" i="33"/>
  <c r="D574" i="33"/>
  <c r="E574" i="33"/>
  <c r="F574" i="33"/>
  <c r="C575" i="33"/>
  <c r="D575" i="33"/>
  <c r="E575" i="33"/>
  <c r="F575" i="33"/>
  <c r="C576" i="33"/>
  <c r="D576" i="33"/>
  <c r="E576" i="33"/>
  <c r="F576" i="33"/>
  <c r="C577" i="33"/>
  <c r="D577" i="33"/>
  <c r="E577" i="33"/>
  <c r="F577" i="33"/>
  <c r="F516" i="33"/>
  <c r="E516" i="33"/>
  <c r="D516" i="33"/>
  <c r="C516" i="33"/>
  <c r="A740" i="33" l="1"/>
  <c r="A665" i="33"/>
  <c r="A739" i="33"/>
  <c r="A664" i="33"/>
  <c r="D901" i="31"/>
  <c r="BL72" i="10"/>
  <c r="D897" i="31"/>
  <c r="BL68" i="10"/>
  <c r="E909" i="31"/>
  <c r="BL80" i="10"/>
  <c r="E912" i="31"/>
  <c r="BL83" i="10"/>
  <c r="E907" i="31"/>
  <c r="BL78" i="10"/>
  <c r="D902" i="31"/>
  <c r="BL73" i="10"/>
  <c r="E903" i="31"/>
  <c r="BL74" i="10"/>
  <c r="C942" i="31"/>
  <c r="BL113" i="10" s="1"/>
  <c r="D908" i="31"/>
  <c r="BL79" i="10"/>
  <c r="D913" i="31"/>
  <c r="BL84" i="10"/>
  <c r="D906" i="31"/>
  <c r="BL77" i="10"/>
  <c r="E906" i="31"/>
  <c r="C950" i="31"/>
  <c r="C918" i="31"/>
  <c r="C926" i="31"/>
  <c r="BL97" i="10" s="1"/>
  <c r="B85" i="10"/>
  <c r="B146" i="30" s="1"/>
  <c r="A777" i="31"/>
  <c r="A517" i="31"/>
  <c r="A647" i="31"/>
  <c r="D387" i="31"/>
  <c r="D129" i="31"/>
  <c r="B912" i="31"/>
  <c r="D258" i="31"/>
  <c r="B86" i="10"/>
  <c r="B147" i="30" s="1"/>
  <c r="A778" i="31"/>
  <c r="A518" i="31"/>
  <c r="D388" i="31"/>
  <c r="D259" i="31"/>
  <c r="D130" i="31"/>
  <c r="B913" i="31"/>
  <c r="A648" i="31"/>
  <c r="C952" i="31"/>
  <c r="BL123" i="10" s="1"/>
  <c r="E902" i="31"/>
  <c r="D907" i="31"/>
  <c r="E908" i="31"/>
  <c r="E901" i="31"/>
  <c r="D909" i="31"/>
  <c r="C928" i="31"/>
  <c r="BL99" i="10" s="1"/>
  <c r="C896" i="31"/>
  <c r="BL67" i="10" s="1"/>
  <c r="E897" i="31"/>
  <c r="C931" i="31"/>
  <c r="BL102" i="10" s="1"/>
  <c r="D903" i="31"/>
  <c r="C945" i="31"/>
  <c r="BL116" i="10" s="1"/>
  <c r="D912" i="31"/>
  <c r="C948" i="31"/>
  <c r="C895" i="31"/>
  <c r="BL66" i="10" s="1"/>
  <c r="E913" i="31"/>
  <c r="C949" i="31"/>
  <c r="C951" i="31"/>
  <c r="C898" i="31"/>
  <c r="B23" i="10"/>
  <c r="D196" i="31"/>
  <c r="A113" i="33"/>
  <c r="A808" i="33" s="1"/>
  <c r="B22" i="10"/>
  <c r="A112" i="33"/>
  <c r="A807" i="33" s="1"/>
  <c r="D195" i="31"/>
  <c r="BY4" i="10"/>
  <c r="BY5" i="10"/>
  <c r="BY6" i="10"/>
  <c r="BY7" i="10"/>
  <c r="BY8" i="10"/>
  <c r="BY9" i="10"/>
  <c r="BY10" i="10"/>
  <c r="BY11" i="10"/>
  <c r="BY12" i="10"/>
  <c r="BY13" i="10"/>
  <c r="BY14" i="10"/>
  <c r="BY15" i="10"/>
  <c r="BY16" i="10"/>
  <c r="BY17" i="10"/>
  <c r="BY18" i="10"/>
  <c r="BY19" i="10"/>
  <c r="BY20" i="10"/>
  <c r="BY21" i="10"/>
  <c r="BY22" i="10"/>
  <c r="BY23" i="10"/>
  <c r="BY24" i="10"/>
  <c r="BY25" i="10"/>
  <c r="BY26" i="10"/>
  <c r="BY27" i="10"/>
  <c r="BY28" i="10"/>
  <c r="BY29" i="10"/>
  <c r="BY30" i="10"/>
  <c r="BY31" i="10"/>
  <c r="BY32" i="10"/>
  <c r="BY33" i="10"/>
  <c r="BY34" i="10"/>
  <c r="BY35" i="10"/>
  <c r="BY36" i="10"/>
  <c r="BY37" i="10"/>
  <c r="BY38" i="10"/>
  <c r="BY39" i="10"/>
  <c r="BY40" i="10"/>
  <c r="BY41" i="10"/>
  <c r="BY42" i="10"/>
  <c r="BY43" i="10"/>
  <c r="BY44" i="10"/>
  <c r="BY45" i="10"/>
  <c r="BY46" i="10"/>
  <c r="BY47" i="10"/>
  <c r="BY48" i="10"/>
  <c r="BY49" i="10"/>
  <c r="BY50" i="10"/>
  <c r="BY51" i="10"/>
  <c r="BY52" i="10"/>
  <c r="BY53" i="10"/>
  <c r="BY54" i="10"/>
  <c r="BY55" i="10"/>
  <c r="BY56" i="10"/>
  <c r="BY57" i="10"/>
  <c r="BY58" i="10"/>
  <c r="BY59" i="10"/>
  <c r="BY60" i="10"/>
  <c r="BY61" i="10"/>
  <c r="BY62" i="10"/>
  <c r="BY63" i="10"/>
  <c r="BY64" i="10"/>
  <c r="BY3" i="10"/>
  <c r="BX4" i="10"/>
  <c r="BX5" i="10"/>
  <c r="BX6" i="10"/>
  <c r="BX7" i="10"/>
  <c r="BX8" i="10"/>
  <c r="BX9" i="10"/>
  <c r="BX10" i="10"/>
  <c r="BX11" i="10"/>
  <c r="BX12" i="10"/>
  <c r="BX13" i="10"/>
  <c r="BX14" i="10"/>
  <c r="BX15" i="10"/>
  <c r="BX16" i="10"/>
  <c r="BX17" i="10"/>
  <c r="BX18" i="10"/>
  <c r="BX19" i="10"/>
  <c r="BX20" i="10"/>
  <c r="BX21" i="10"/>
  <c r="BX22" i="10"/>
  <c r="BX23" i="10"/>
  <c r="BX24" i="10"/>
  <c r="BX25" i="10"/>
  <c r="BX26" i="10"/>
  <c r="BX27" i="10"/>
  <c r="BX28" i="10"/>
  <c r="BX29" i="10"/>
  <c r="BX30" i="10"/>
  <c r="BX31" i="10"/>
  <c r="BX32" i="10"/>
  <c r="BX33" i="10"/>
  <c r="BX34" i="10"/>
  <c r="BX35" i="10"/>
  <c r="BX36" i="10"/>
  <c r="BX37" i="10"/>
  <c r="BX38" i="10"/>
  <c r="BX39" i="10"/>
  <c r="BX40" i="10"/>
  <c r="BX41" i="10"/>
  <c r="BX42" i="10"/>
  <c r="BX43" i="10"/>
  <c r="BX44" i="10"/>
  <c r="BX45" i="10"/>
  <c r="BX46" i="10"/>
  <c r="BX47" i="10"/>
  <c r="BX48" i="10"/>
  <c r="BX49" i="10"/>
  <c r="BX50" i="10"/>
  <c r="BX51" i="10"/>
  <c r="BX52" i="10"/>
  <c r="BX53" i="10"/>
  <c r="BX54" i="10"/>
  <c r="BX55" i="10"/>
  <c r="BX56" i="10"/>
  <c r="BX57" i="10"/>
  <c r="BX58" i="10"/>
  <c r="BX59" i="10"/>
  <c r="BX60" i="10"/>
  <c r="BX61" i="10"/>
  <c r="BX62" i="10"/>
  <c r="BX63" i="10"/>
  <c r="BX64" i="10"/>
  <c r="BX3" i="10"/>
  <c r="M25" i="22"/>
  <c r="L26" i="22" s="1"/>
  <c r="CU1" i="10" s="1"/>
  <c r="M20" i="22"/>
  <c r="L21" i="22" s="1"/>
  <c r="DJ1" i="10" s="1"/>
  <c r="A741" i="33" l="1"/>
  <c r="A666" i="33"/>
  <c r="A742" i="33"/>
  <c r="A667" i="33"/>
  <c r="DN68" i="10"/>
  <c r="ED68" i="10" s="1"/>
  <c r="DN72" i="10"/>
  <c r="ED72" i="10" s="1"/>
  <c r="DN76" i="10"/>
  <c r="ED76" i="10" s="1"/>
  <c r="DN80" i="10"/>
  <c r="ED80" i="10" s="1"/>
  <c r="DN84" i="10"/>
  <c r="ED84" i="10" s="1"/>
  <c r="DN88" i="10"/>
  <c r="ED88" i="10" s="1"/>
  <c r="DN92" i="10"/>
  <c r="ED92" i="10" s="1"/>
  <c r="DN96" i="10"/>
  <c r="ED96" i="10" s="1"/>
  <c r="DN100" i="10"/>
  <c r="ED100" i="10" s="1"/>
  <c r="DN104" i="10"/>
  <c r="ED104" i="10" s="1"/>
  <c r="DN108" i="10"/>
  <c r="ED108" i="10" s="1"/>
  <c r="DN112" i="10"/>
  <c r="ED112" i="10" s="1"/>
  <c r="DN116" i="10"/>
  <c r="ED116" i="10" s="1"/>
  <c r="DN120" i="10"/>
  <c r="ED120" i="10" s="1"/>
  <c r="DN124" i="10"/>
  <c r="ED124" i="10" s="1"/>
  <c r="DN65" i="10"/>
  <c r="ED65" i="10" s="1"/>
  <c r="DN69" i="10"/>
  <c r="ED69" i="10" s="1"/>
  <c r="DN73" i="10"/>
  <c r="ED73" i="10" s="1"/>
  <c r="DN77" i="10"/>
  <c r="ED77" i="10" s="1"/>
  <c r="DN81" i="10"/>
  <c r="ED81" i="10" s="1"/>
  <c r="DN85" i="10"/>
  <c r="ED85" i="10" s="1"/>
  <c r="DN89" i="10"/>
  <c r="ED89" i="10" s="1"/>
  <c r="DN93" i="10"/>
  <c r="ED93" i="10" s="1"/>
  <c r="DN97" i="10"/>
  <c r="ED97" i="10" s="1"/>
  <c r="DN66" i="10"/>
  <c r="ED66" i="10" s="1"/>
  <c r="DN70" i="10"/>
  <c r="ED70" i="10" s="1"/>
  <c r="DN74" i="10"/>
  <c r="ED74" i="10" s="1"/>
  <c r="DN78" i="10"/>
  <c r="ED78" i="10" s="1"/>
  <c r="DN82" i="10"/>
  <c r="ED82" i="10" s="1"/>
  <c r="DN86" i="10"/>
  <c r="ED86" i="10" s="1"/>
  <c r="DN90" i="10"/>
  <c r="ED90" i="10" s="1"/>
  <c r="DN94" i="10"/>
  <c r="ED94" i="10" s="1"/>
  <c r="DN98" i="10"/>
  <c r="ED98" i="10" s="1"/>
  <c r="DN102" i="10"/>
  <c r="ED102" i="10" s="1"/>
  <c r="DN106" i="10"/>
  <c r="ED106" i="10" s="1"/>
  <c r="DN110" i="10"/>
  <c r="ED110" i="10" s="1"/>
  <c r="DN114" i="10"/>
  <c r="ED114" i="10" s="1"/>
  <c r="DN118" i="10"/>
  <c r="ED118" i="10" s="1"/>
  <c r="DN122" i="10"/>
  <c r="ED122" i="10" s="1"/>
  <c r="DN126" i="10"/>
  <c r="ED126" i="10" s="1"/>
  <c r="DN71" i="10"/>
  <c r="ED71" i="10" s="1"/>
  <c r="DN87" i="10"/>
  <c r="ED87" i="10" s="1"/>
  <c r="DN101" i="10"/>
  <c r="ED101" i="10" s="1"/>
  <c r="DN109" i="10"/>
  <c r="ED109" i="10" s="1"/>
  <c r="DN117" i="10"/>
  <c r="ED117" i="10" s="1"/>
  <c r="DN125" i="10"/>
  <c r="ED125" i="10" s="1"/>
  <c r="DN91" i="10"/>
  <c r="ED91" i="10" s="1"/>
  <c r="DN111" i="10"/>
  <c r="ED111" i="10" s="1"/>
  <c r="DN95" i="10"/>
  <c r="ED95" i="10" s="1"/>
  <c r="DN121" i="10"/>
  <c r="ED121" i="10" s="1"/>
  <c r="DN83" i="10"/>
  <c r="ED83" i="10" s="1"/>
  <c r="DN107" i="10"/>
  <c r="ED107" i="10" s="1"/>
  <c r="DN123" i="10"/>
  <c r="ED123" i="10" s="1"/>
  <c r="DN75" i="10"/>
  <c r="ED75" i="10" s="1"/>
  <c r="DN103" i="10"/>
  <c r="ED103" i="10" s="1"/>
  <c r="DN119" i="10"/>
  <c r="ED119" i="10" s="1"/>
  <c r="DN79" i="10"/>
  <c r="ED79" i="10" s="1"/>
  <c r="DN105" i="10"/>
  <c r="ED105" i="10" s="1"/>
  <c r="DN113" i="10"/>
  <c r="ED113" i="10" s="1"/>
  <c r="DN67" i="10"/>
  <c r="ED67" i="10" s="1"/>
  <c r="DN99" i="10"/>
  <c r="ED99" i="10" s="1"/>
  <c r="DN115" i="10"/>
  <c r="ED115" i="10" s="1"/>
  <c r="CX68" i="10"/>
  <c r="CX72" i="10"/>
  <c r="CX76" i="10"/>
  <c r="CX80" i="10"/>
  <c r="CX84" i="10"/>
  <c r="CX88" i="10"/>
  <c r="CX92" i="10"/>
  <c r="CX96" i="10"/>
  <c r="CX100" i="10"/>
  <c r="CX104" i="10"/>
  <c r="CX108" i="10"/>
  <c r="CX112" i="10"/>
  <c r="CX116" i="10"/>
  <c r="CX120" i="10"/>
  <c r="CX124" i="10"/>
  <c r="CX66" i="10"/>
  <c r="CX74" i="10"/>
  <c r="CX82" i="10"/>
  <c r="CX90" i="10"/>
  <c r="CX102" i="10"/>
  <c r="CX110" i="10"/>
  <c r="CX118" i="10"/>
  <c r="CX126" i="10"/>
  <c r="CX67" i="10"/>
  <c r="CX75" i="10"/>
  <c r="CX83" i="10"/>
  <c r="CX91" i="10"/>
  <c r="CX99" i="10"/>
  <c r="CX107" i="10"/>
  <c r="CX115" i="10"/>
  <c r="CX123" i="10"/>
  <c r="CX65" i="10"/>
  <c r="CX69" i="10"/>
  <c r="CX73" i="10"/>
  <c r="CX77" i="10"/>
  <c r="CX81" i="10"/>
  <c r="CX85" i="10"/>
  <c r="CX89" i="10"/>
  <c r="CX93" i="10"/>
  <c r="CX97" i="10"/>
  <c r="CX101" i="10"/>
  <c r="CX105" i="10"/>
  <c r="CX109" i="10"/>
  <c r="CX113" i="10"/>
  <c r="CX117" i="10"/>
  <c r="CX121" i="10"/>
  <c r="CX125" i="10"/>
  <c r="CX70" i="10"/>
  <c r="CX78" i="10"/>
  <c r="CX86" i="10"/>
  <c r="CX94" i="10"/>
  <c r="CX98" i="10"/>
  <c r="CX106" i="10"/>
  <c r="CX114" i="10"/>
  <c r="CX122" i="10"/>
  <c r="CX71" i="10"/>
  <c r="CX79" i="10"/>
  <c r="CX87" i="10"/>
  <c r="CX95" i="10"/>
  <c r="CX103" i="10"/>
  <c r="CX111" i="10"/>
  <c r="CX119" i="10"/>
  <c r="E898" i="31"/>
  <c r="BL69" i="10"/>
  <c r="D918" i="31"/>
  <c r="BL89" i="10"/>
  <c r="D951" i="31"/>
  <c r="BL122" i="10"/>
  <c r="E948" i="31"/>
  <c r="BL119" i="10"/>
  <c r="D950" i="31"/>
  <c r="BL121" i="10"/>
  <c r="D949" i="31"/>
  <c r="BL120" i="10"/>
  <c r="E950" i="31"/>
  <c r="E918" i="31"/>
  <c r="D952" i="31"/>
  <c r="E952" i="31"/>
  <c r="B88" i="10"/>
  <c r="B149" i="30" s="1"/>
  <c r="B915" i="31"/>
  <c r="A650" i="31"/>
  <c r="D390" i="31"/>
  <c r="D261" i="31"/>
  <c r="D132" i="31"/>
  <c r="A780" i="31"/>
  <c r="A520" i="31"/>
  <c r="B87" i="10"/>
  <c r="B148" i="30" s="1"/>
  <c r="B914" i="31"/>
  <c r="A649" i="31"/>
  <c r="D260" i="31"/>
  <c r="A519" i="31"/>
  <c r="D389" i="31"/>
  <c r="D131" i="31"/>
  <c r="A779" i="31"/>
  <c r="E949" i="31"/>
  <c r="E951" i="31"/>
  <c r="D898" i="31"/>
  <c r="D948" i="31"/>
  <c r="B24" i="10"/>
  <c r="D197" i="31"/>
  <c r="A114" i="33"/>
  <c r="A809" i="33" s="1"/>
  <c r="B25" i="10"/>
  <c r="D198" i="31"/>
  <c r="A115" i="33"/>
  <c r="A810" i="33" s="1"/>
  <c r="DH105" i="10"/>
  <c r="DH65" i="10"/>
  <c r="DH66" i="10"/>
  <c r="DH68" i="10"/>
  <c r="DH71" i="10"/>
  <c r="DH75" i="10"/>
  <c r="DH79" i="10"/>
  <c r="DH83" i="10"/>
  <c r="DH100" i="10"/>
  <c r="DH113" i="10"/>
  <c r="DH116" i="10"/>
  <c r="DH118" i="10"/>
  <c r="DH120" i="10"/>
  <c r="DH69" i="10"/>
  <c r="DH70" i="10"/>
  <c r="DH82" i="10"/>
  <c r="DH85" i="10"/>
  <c r="DK85" i="10" s="1"/>
  <c r="DI85" i="10" s="1"/>
  <c r="DH94" i="10"/>
  <c r="DH67" i="10"/>
  <c r="DH72" i="10"/>
  <c r="DH76" i="10"/>
  <c r="DH80" i="10"/>
  <c r="DH84" i="10"/>
  <c r="DH98" i="10"/>
  <c r="DH103" i="10"/>
  <c r="DH107" i="10"/>
  <c r="DH119" i="10"/>
  <c r="DH115" i="10"/>
  <c r="DK115" i="10" s="1"/>
  <c r="DH126" i="10"/>
  <c r="DH74" i="10"/>
  <c r="DH78" i="10"/>
  <c r="DH121" i="10"/>
  <c r="DK121" i="10" s="1"/>
  <c r="DI121" i="10" s="1"/>
  <c r="DH73" i="10"/>
  <c r="DH77" i="10"/>
  <c r="DH81" i="10"/>
  <c r="DH112" i="10"/>
  <c r="DH114" i="10"/>
  <c r="DH117" i="10"/>
  <c r="DH122" i="10"/>
  <c r="DH124" i="10"/>
  <c r="DK124" i="10" s="1"/>
  <c r="DH111" i="10"/>
  <c r="DH87" i="10"/>
  <c r="DH90" i="10"/>
  <c r="DH123" i="10"/>
  <c r="DK123" i="10" s="1"/>
  <c r="DI123" i="10" s="1"/>
  <c r="DH97" i="10"/>
  <c r="DH93" i="10"/>
  <c r="DH106" i="10"/>
  <c r="DH92" i="10"/>
  <c r="DK92" i="10" s="1"/>
  <c r="DH104" i="10"/>
  <c r="DH96" i="10"/>
  <c r="DK96" i="10" s="1"/>
  <c r="DH125" i="10"/>
  <c r="DH110" i="10"/>
  <c r="DH95" i="10"/>
  <c r="DH102" i="10"/>
  <c r="DH86" i="10"/>
  <c r="DH108" i="10"/>
  <c r="DH89" i="10"/>
  <c r="DH91" i="10"/>
  <c r="DH88" i="10"/>
  <c r="DH99" i="10"/>
  <c r="DH109" i="10"/>
  <c r="DH101" i="10"/>
  <c r="DC1" i="10"/>
  <c r="CR105" i="10"/>
  <c r="CR95" i="10"/>
  <c r="CU95" i="10" s="1"/>
  <c r="CR94" i="10"/>
  <c r="CU94" i="10" s="1"/>
  <c r="CR91" i="10"/>
  <c r="CU91" i="10" s="1"/>
  <c r="CR87" i="10"/>
  <c r="CU87" i="10" s="1"/>
  <c r="CR86" i="10"/>
  <c r="CR85" i="10"/>
  <c r="CU85" i="10" s="1"/>
  <c r="CR100" i="10"/>
  <c r="CU100" i="10" s="1"/>
  <c r="CR89" i="10"/>
  <c r="CU89" i="10" s="1"/>
  <c r="CR93" i="10"/>
  <c r="CU93" i="10" s="1"/>
  <c r="CR125" i="10"/>
  <c r="CU125" i="10" s="1"/>
  <c r="CR90" i="10"/>
  <c r="CU90" i="10" s="1"/>
  <c r="CR96" i="10"/>
  <c r="CU96" i="10" s="1"/>
  <c r="CR103" i="10"/>
  <c r="CU103" i="10" s="1"/>
  <c r="CR107" i="10"/>
  <c r="CR88" i="10"/>
  <c r="CR65" i="10"/>
  <c r="CU65" i="10" s="1"/>
  <c r="CR92" i="10"/>
  <c r="CR98" i="10"/>
  <c r="CU98" i="10" s="1"/>
  <c r="CR123" i="10"/>
  <c r="CU123" i="10" s="1"/>
  <c r="CR99" i="10"/>
  <c r="CU99" i="10" s="1"/>
  <c r="CR66" i="10"/>
  <c r="CU66" i="10" s="1"/>
  <c r="CR75" i="10"/>
  <c r="CR106" i="10"/>
  <c r="CU106" i="10" s="1"/>
  <c r="CR77" i="10"/>
  <c r="CU77" i="10" s="1"/>
  <c r="CR73" i="10"/>
  <c r="CR79" i="10"/>
  <c r="CR114" i="10"/>
  <c r="CU114" i="10" s="1"/>
  <c r="CR112" i="10"/>
  <c r="CU112" i="10" s="1"/>
  <c r="CR102" i="10"/>
  <c r="CU102" i="10" s="1"/>
  <c r="CR84" i="10"/>
  <c r="CU84" i="10" s="1"/>
  <c r="CR80" i="10"/>
  <c r="CR76" i="10"/>
  <c r="CU76" i="10" s="1"/>
  <c r="CR72" i="10"/>
  <c r="CR122" i="10"/>
  <c r="CU122" i="10" s="1"/>
  <c r="CU80" i="10"/>
  <c r="CR74" i="10"/>
  <c r="CR108" i="10"/>
  <c r="CU108" i="10" s="1"/>
  <c r="CR67" i="10"/>
  <c r="CU67" i="10" s="1"/>
  <c r="CR116" i="10"/>
  <c r="CU116" i="10" s="1"/>
  <c r="CR104" i="10"/>
  <c r="CU104" i="10" s="1"/>
  <c r="CR81" i="10"/>
  <c r="CU81" i="10" s="1"/>
  <c r="CR110" i="10"/>
  <c r="CU110" i="10" s="1"/>
  <c r="CR115" i="10"/>
  <c r="CU115" i="10" s="1"/>
  <c r="CR97" i="10"/>
  <c r="CU97" i="10" s="1"/>
  <c r="CR113" i="10"/>
  <c r="CR109" i="10"/>
  <c r="CU109" i="10" s="1"/>
  <c r="CR82" i="10"/>
  <c r="CU82" i="10" s="1"/>
  <c r="CR68" i="10"/>
  <c r="CU68" i="10" s="1"/>
  <c r="CU73" i="10"/>
  <c r="CR120" i="10"/>
  <c r="CU120" i="10" s="1"/>
  <c r="CR111" i="10"/>
  <c r="CU111" i="10" s="1"/>
  <c r="CR78" i="10"/>
  <c r="CU78" i="10" s="1"/>
  <c r="CR70" i="10"/>
  <c r="CU70" i="10" s="1"/>
  <c r="CR69" i="10"/>
  <c r="CU69" i="10" s="1"/>
  <c r="CR121" i="10"/>
  <c r="CU121" i="10" s="1"/>
  <c r="CR83" i="10"/>
  <c r="CU83" i="10" s="1"/>
  <c r="CR71" i="10"/>
  <c r="CR117" i="10"/>
  <c r="CR119" i="10"/>
  <c r="CR101" i="10"/>
  <c r="CR118" i="10"/>
  <c r="CU118" i="10" s="1"/>
  <c r="CR126" i="10"/>
  <c r="CR124" i="10"/>
  <c r="CU124" i="10" s="1"/>
  <c r="L308" i="31"/>
  <c r="M308" i="31"/>
  <c r="L309" i="31"/>
  <c r="M309" i="31"/>
  <c r="L310" i="31"/>
  <c r="M310" i="31"/>
  <c r="L311" i="31"/>
  <c r="M311" i="31"/>
  <c r="L312" i="31"/>
  <c r="M312" i="31"/>
  <c r="L313" i="31"/>
  <c r="M313" i="31"/>
  <c r="L314" i="31"/>
  <c r="M314" i="31"/>
  <c r="L315" i="31"/>
  <c r="M315" i="31"/>
  <c r="L316" i="31"/>
  <c r="M316" i="31"/>
  <c r="L317" i="31"/>
  <c r="M317" i="31"/>
  <c r="L318" i="31"/>
  <c r="M318" i="31"/>
  <c r="L319" i="31"/>
  <c r="M319" i="31"/>
  <c r="L320" i="31"/>
  <c r="M320" i="31"/>
  <c r="L321" i="31"/>
  <c r="M321" i="31"/>
  <c r="L322" i="31"/>
  <c r="M322" i="31"/>
  <c r="L323" i="31"/>
  <c r="M323" i="31"/>
  <c r="L324" i="31"/>
  <c r="M324" i="31"/>
  <c r="L325" i="31"/>
  <c r="M325" i="31"/>
  <c r="L326" i="31"/>
  <c r="M326" i="31"/>
  <c r="L327" i="31"/>
  <c r="M327" i="31"/>
  <c r="L328" i="31"/>
  <c r="M328" i="31"/>
  <c r="L329" i="31"/>
  <c r="M329" i="31"/>
  <c r="L330" i="31"/>
  <c r="M330" i="31"/>
  <c r="L331" i="31"/>
  <c r="M331" i="31"/>
  <c r="L332" i="31"/>
  <c r="M332" i="31"/>
  <c r="L333" i="31"/>
  <c r="M333" i="31"/>
  <c r="L334" i="31"/>
  <c r="M334" i="31"/>
  <c r="L335" i="31"/>
  <c r="M335" i="31"/>
  <c r="L336" i="31"/>
  <c r="M336" i="31"/>
  <c r="L337" i="31"/>
  <c r="M337" i="31"/>
  <c r="L338" i="31"/>
  <c r="M338" i="31"/>
  <c r="L339" i="31"/>
  <c r="M339" i="31"/>
  <c r="L340" i="31"/>
  <c r="M340" i="31"/>
  <c r="L341" i="31"/>
  <c r="M341" i="31"/>
  <c r="L342" i="31"/>
  <c r="M342" i="31"/>
  <c r="L343" i="31"/>
  <c r="M343" i="31"/>
  <c r="L344" i="31"/>
  <c r="M344" i="31"/>
  <c r="L345" i="31"/>
  <c r="M345" i="31"/>
  <c r="L346" i="31"/>
  <c r="M346" i="31"/>
  <c r="L347" i="31"/>
  <c r="M347" i="31"/>
  <c r="L348" i="31"/>
  <c r="M348" i="31"/>
  <c r="L349" i="31"/>
  <c r="M349" i="31"/>
  <c r="L350" i="31"/>
  <c r="M350" i="31"/>
  <c r="L351" i="31"/>
  <c r="M351" i="31"/>
  <c r="L352" i="31"/>
  <c r="M352" i="31"/>
  <c r="L353" i="31"/>
  <c r="M353" i="31"/>
  <c r="L354" i="31"/>
  <c r="M354" i="31"/>
  <c r="L355" i="31"/>
  <c r="M355" i="31"/>
  <c r="L356" i="31"/>
  <c r="M356" i="31"/>
  <c r="L357" i="31"/>
  <c r="M357" i="31"/>
  <c r="L358" i="31"/>
  <c r="M358" i="31"/>
  <c r="L359" i="31"/>
  <c r="M359" i="31"/>
  <c r="L360" i="31"/>
  <c r="M360" i="31"/>
  <c r="L361" i="31"/>
  <c r="M361" i="31"/>
  <c r="L362" i="31"/>
  <c r="M362" i="31"/>
  <c r="L363" i="31"/>
  <c r="M363" i="31"/>
  <c r="L364" i="31"/>
  <c r="M364" i="31"/>
  <c r="L365" i="31"/>
  <c r="M365" i="31"/>
  <c r="L366" i="31"/>
  <c r="M366" i="31"/>
  <c r="L367" i="31"/>
  <c r="M367" i="31"/>
  <c r="L368" i="31"/>
  <c r="M368" i="31"/>
  <c r="M307" i="31"/>
  <c r="L307" i="31"/>
  <c r="L179" i="31"/>
  <c r="M179" i="31"/>
  <c r="L180" i="31"/>
  <c r="M180" i="31"/>
  <c r="L181" i="31"/>
  <c r="M181" i="31"/>
  <c r="L182" i="31"/>
  <c r="M182" i="31"/>
  <c r="L183" i="31"/>
  <c r="M183" i="31"/>
  <c r="L184" i="31"/>
  <c r="M184" i="31"/>
  <c r="L185" i="31"/>
  <c r="M185" i="31"/>
  <c r="L186" i="31"/>
  <c r="M186" i="31"/>
  <c r="L187" i="31"/>
  <c r="M187" i="31"/>
  <c r="L188" i="31"/>
  <c r="M188" i="31"/>
  <c r="L189" i="31"/>
  <c r="M189" i="31"/>
  <c r="L190" i="31"/>
  <c r="M190" i="31"/>
  <c r="L191" i="31"/>
  <c r="M191" i="31"/>
  <c r="L192" i="31"/>
  <c r="M192" i="31"/>
  <c r="L193" i="31"/>
  <c r="M193" i="31"/>
  <c r="L194" i="31"/>
  <c r="M194" i="31"/>
  <c r="L195" i="31"/>
  <c r="M195" i="31"/>
  <c r="L196" i="31"/>
  <c r="M196" i="31"/>
  <c r="L197" i="31"/>
  <c r="M197" i="31"/>
  <c r="L198" i="31"/>
  <c r="M198" i="31"/>
  <c r="L199" i="31"/>
  <c r="M199" i="31"/>
  <c r="L200" i="31"/>
  <c r="M200" i="31"/>
  <c r="L201" i="31"/>
  <c r="M201" i="31"/>
  <c r="L202" i="31"/>
  <c r="M202" i="31"/>
  <c r="L203" i="31"/>
  <c r="M203" i="31"/>
  <c r="L204" i="31"/>
  <c r="M204" i="31"/>
  <c r="L205" i="31"/>
  <c r="M205" i="31"/>
  <c r="L206" i="31"/>
  <c r="M206" i="31"/>
  <c r="L207" i="31"/>
  <c r="M207" i="31"/>
  <c r="L208" i="31"/>
  <c r="M208" i="31"/>
  <c r="L209" i="31"/>
  <c r="M209" i="31"/>
  <c r="L210" i="31"/>
  <c r="M210" i="31"/>
  <c r="L211" i="31"/>
  <c r="M211" i="31"/>
  <c r="L212" i="31"/>
  <c r="M212" i="31"/>
  <c r="L213" i="31"/>
  <c r="M213" i="31"/>
  <c r="L214" i="31"/>
  <c r="M214" i="31"/>
  <c r="L215" i="31"/>
  <c r="M215" i="31"/>
  <c r="L216" i="31"/>
  <c r="M216" i="31"/>
  <c r="L217" i="31"/>
  <c r="M217" i="31"/>
  <c r="L218" i="31"/>
  <c r="M218" i="31"/>
  <c r="L219" i="31"/>
  <c r="M219" i="31"/>
  <c r="L220" i="31"/>
  <c r="M220" i="31"/>
  <c r="L221" i="31"/>
  <c r="M221" i="31"/>
  <c r="L222" i="31"/>
  <c r="M222" i="31"/>
  <c r="L223" i="31"/>
  <c r="M223" i="31"/>
  <c r="L224" i="31"/>
  <c r="M224" i="31"/>
  <c r="L225" i="31"/>
  <c r="M225" i="31"/>
  <c r="L226" i="31"/>
  <c r="M226" i="31"/>
  <c r="L227" i="31"/>
  <c r="M227" i="31"/>
  <c r="L228" i="31"/>
  <c r="M228" i="31"/>
  <c r="L229" i="31"/>
  <c r="M229" i="31"/>
  <c r="L230" i="31"/>
  <c r="M230" i="31"/>
  <c r="L231" i="31"/>
  <c r="M231" i="31"/>
  <c r="L232" i="31"/>
  <c r="M232" i="31"/>
  <c r="L233" i="31"/>
  <c r="M233" i="31"/>
  <c r="L234" i="31"/>
  <c r="M234" i="31"/>
  <c r="L235" i="31"/>
  <c r="M235" i="31"/>
  <c r="L236" i="31"/>
  <c r="M236" i="31"/>
  <c r="L237" i="31"/>
  <c r="M237" i="31"/>
  <c r="L238" i="31"/>
  <c r="M238" i="31"/>
  <c r="L239" i="31"/>
  <c r="M239" i="31"/>
  <c r="M178" i="31"/>
  <c r="L178" i="31"/>
  <c r="L50" i="31"/>
  <c r="M50" i="31"/>
  <c r="L51" i="31"/>
  <c r="M51" i="31"/>
  <c r="L52" i="31"/>
  <c r="M52" i="31"/>
  <c r="L53" i="31"/>
  <c r="M53" i="31"/>
  <c r="L54" i="31"/>
  <c r="M54" i="31"/>
  <c r="L55" i="31"/>
  <c r="M55" i="31"/>
  <c r="L56" i="31"/>
  <c r="M56" i="31"/>
  <c r="L57" i="31"/>
  <c r="M57" i="31"/>
  <c r="L58" i="31"/>
  <c r="M58" i="31"/>
  <c r="L59" i="31"/>
  <c r="M59" i="31"/>
  <c r="L60" i="31"/>
  <c r="M60" i="31"/>
  <c r="L61" i="31"/>
  <c r="M61" i="31"/>
  <c r="L62" i="31"/>
  <c r="M62" i="31"/>
  <c r="L63" i="31"/>
  <c r="M63" i="31"/>
  <c r="L64" i="31"/>
  <c r="M64" i="31"/>
  <c r="L65" i="31"/>
  <c r="M65" i="31"/>
  <c r="L66" i="31"/>
  <c r="M66" i="31"/>
  <c r="L67" i="31"/>
  <c r="M67" i="31"/>
  <c r="L68" i="31"/>
  <c r="M68" i="31"/>
  <c r="L69" i="31"/>
  <c r="M69" i="31"/>
  <c r="L70" i="31"/>
  <c r="M70" i="31"/>
  <c r="L71" i="31"/>
  <c r="M71" i="31"/>
  <c r="L72" i="31"/>
  <c r="M72" i="31"/>
  <c r="L73" i="31"/>
  <c r="M73" i="31"/>
  <c r="L74" i="31"/>
  <c r="M74" i="31"/>
  <c r="L75" i="31"/>
  <c r="M75" i="31"/>
  <c r="L76" i="31"/>
  <c r="M76" i="31"/>
  <c r="L77" i="31"/>
  <c r="M77" i="31"/>
  <c r="L78" i="31"/>
  <c r="M78" i="31"/>
  <c r="L79" i="31"/>
  <c r="M79" i="31"/>
  <c r="L80" i="31"/>
  <c r="M80" i="31"/>
  <c r="L81" i="31"/>
  <c r="M81" i="31"/>
  <c r="L82" i="31"/>
  <c r="M82" i="31"/>
  <c r="L83" i="31"/>
  <c r="M83" i="31"/>
  <c r="L84" i="31"/>
  <c r="M84" i="31"/>
  <c r="L85" i="31"/>
  <c r="M85" i="31"/>
  <c r="L86" i="31"/>
  <c r="M86" i="31"/>
  <c r="L87" i="31"/>
  <c r="M87" i="31"/>
  <c r="L88" i="31"/>
  <c r="M88" i="31"/>
  <c r="L89" i="31"/>
  <c r="M89" i="31"/>
  <c r="L90" i="31"/>
  <c r="M90" i="31"/>
  <c r="L91" i="31"/>
  <c r="M91" i="31"/>
  <c r="L92" i="31"/>
  <c r="M92" i="31"/>
  <c r="L93" i="31"/>
  <c r="M93" i="31"/>
  <c r="L94" i="31"/>
  <c r="M94" i="31"/>
  <c r="L95" i="31"/>
  <c r="M95" i="31"/>
  <c r="L96" i="31"/>
  <c r="M96" i="31"/>
  <c r="L97" i="31"/>
  <c r="M97" i="31"/>
  <c r="L98" i="31"/>
  <c r="M98" i="31"/>
  <c r="L99" i="31"/>
  <c r="M99" i="31"/>
  <c r="L100" i="31"/>
  <c r="M100" i="31"/>
  <c r="L101" i="31"/>
  <c r="M101" i="31"/>
  <c r="L102" i="31"/>
  <c r="M102" i="31"/>
  <c r="L103" i="31"/>
  <c r="M103" i="31"/>
  <c r="L104" i="31"/>
  <c r="M104" i="31"/>
  <c r="L105" i="31"/>
  <c r="M105" i="31"/>
  <c r="L106" i="31"/>
  <c r="M106" i="31"/>
  <c r="L107" i="31"/>
  <c r="M107" i="31"/>
  <c r="L108" i="31"/>
  <c r="M108" i="31"/>
  <c r="L109" i="31"/>
  <c r="M109" i="31"/>
  <c r="L110" i="31"/>
  <c r="M110" i="31"/>
  <c r="M49" i="31"/>
  <c r="L49" i="31"/>
  <c r="A743" i="33" l="1"/>
  <c r="A668" i="33"/>
  <c r="A744" i="33"/>
  <c r="A669" i="33"/>
  <c r="DF68" i="10"/>
  <c r="DF72" i="10"/>
  <c r="DF76" i="10"/>
  <c r="DF80" i="10"/>
  <c r="DF84" i="10"/>
  <c r="DF88" i="10"/>
  <c r="DF92" i="10"/>
  <c r="DF96" i="10"/>
  <c r="DF100" i="10"/>
  <c r="DF104" i="10"/>
  <c r="DF108" i="10"/>
  <c r="DF112" i="10"/>
  <c r="DF116" i="10"/>
  <c r="DF120" i="10"/>
  <c r="DF124" i="10"/>
  <c r="DF75" i="10"/>
  <c r="DF87" i="10"/>
  <c r="DF99" i="10"/>
  <c r="DF111" i="10"/>
  <c r="DF123" i="10"/>
  <c r="DF65" i="10"/>
  <c r="DF69" i="10"/>
  <c r="DF73" i="10"/>
  <c r="DF77" i="10"/>
  <c r="DF81" i="10"/>
  <c r="DF85" i="10"/>
  <c r="DF89" i="10"/>
  <c r="DF93" i="10"/>
  <c r="DF97" i="10"/>
  <c r="DF101" i="10"/>
  <c r="DF105" i="10"/>
  <c r="DF109" i="10"/>
  <c r="DF113" i="10"/>
  <c r="DF117" i="10"/>
  <c r="DF121" i="10"/>
  <c r="DF125" i="10"/>
  <c r="DF71" i="10"/>
  <c r="DF79" i="10"/>
  <c r="DF91" i="10"/>
  <c r="DF103" i="10"/>
  <c r="DF115" i="10"/>
  <c r="DF66" i="10"/>
  <c r="DF70" i="10"/>
  <c r="DF74" i="10"/>
  <c r="DF78" i="10"/>
  <c r="DF82" i="10"/>
  <c r="DF86" i="10"/>
  <c r="DF90" i="10"/>
  <c r="DF94" i="10"/>
  <c r="DF98" i="10"/>
  <c r="DF102" i="10"/>
  <c r="DF106" i="10"/>
  <c r="DF110" i="10"/>
  <c r="DF114" i="10"/>
  <c r="DF118" i="10"/>
  <c r="DF122" i="10"/>
  <c r="DF126" i="10"/>
  <c r="DF67" i="10"/>
  <c r="DF83" i="10"/>
  <c r="DF95" i="10"/>
  <c r="DF107" i="10"/>
  <c r="DF119" i="10"/>
  <c r="B89" i="10"/>
  <c r="B150" i="30" s="1"/>
  <c r="A781" i="31"/>
  <c r="A521" i="31"/>
  <c r="B916" i="31"/>
  <c r="D262" i="31"/>
  <c r="A651" i="31"/>
  <c r="D391" i="31"/>
  <c r="D133" i="31"/>
  <c r="B90" i="10"/>
  <c r="B151" i="30" s="1"/>
  <c r="A782" i="31"/>
  <c r="A522" i="31"/>
  <c r="D392" i="31"/>
  <c r="D263" i="31"/>
  <c r="D134" i="31"/>
  <c r="B917" i="31"/>
  <c r="A652" i="31"/>
  <c r="DK106" i="10"/>
  <c r="DI106" i="10" s="1"/>
  <c r="DK95" i="10"/>
  <c r="DJ95" i="10" s="1"/>
  <c r="DK87" i="10"/>
  <c r="DI87" i="10" s="1"/>
  <c r="DM87" i="10" s="1"/>
  <c r="DK104" i="10"/>
  <c r="DI104" i="10" s="1"/>
  <c r="DK107" i="10"/>
  <c r="DI107" i="10" s="1"/>
  <c r="DM107" i="10" s="1"/>
  <c r="DK65" i="10"/>
  <c r="DJ65" i="10" s="1"/>
  <c r="B27" i="10"/>
  <c r="A117" i="33"/>
  <c r="A812" i="33" s="1"/>
  <c r="D200" i="31"/>
  <c r="DK97" i="10"/>
  <c r="DI97" i="10" s="1"/>
  <c r="B26" i="10"/>
  <c r="A116" i="33"/>
  <c r="A811" i="33" s="1"/>
  <c r="D199" i="31"/>
  <c r="DK125" i="10"/>
  <c r="DI125" i="10" s="1"/>
  <c r="DK98" i="10"/>
  <c r="DI98" i="10" s="1"/>
  <c r="DM98" i="10" s="1"/>
  <c r="DK105" i="10"/>
  <c r="DI105" i="10" s="1"/>
  <c r="DM105" i="10" s="1"/>
  <c r="DK89" i="10"/>
  <c r="DI89" i="10" s="1"/>
  <c r="DM89" i="10" s="1"/>
  <c r="DK76" i="10"/>
  <c r="DI76" i="10" s="1"/>
  <c r="DM76" i="10" s="1"/>
  <c r="DK86" i="10"/>
  <c r="DI86" i="10" s="1"/>
  <c r="DM86" i="10" s="1"/>
  <c r="DK74" i="10"/>
  <c r="DI74" i="10" s="1"/>
  <c r="DM74" i="10" s="1"/>
  <c r="DK67" i="10"/>
  <c r="DK112" i="10"/>
  <c r="DJ112" i="10" s="1"/>
  <c r="CT116" i="10"/>
  <c r="CS116" i="10"/>
  <c r="CT114" i="10"/>
  <c r="CS114" i="10"/>
  <c r="CT67" i="10"/>
  <c r="CS67" i="10"/>
  <c r="CT103" i="10"/>
  <c r="CS103" i="10"/>
  <c r="DM85" i="10"/>
  <c r="CT97" i="10"/>
  <c r="CS97" i="10"/>
  <c r="CT69" i="10"/>
  <c r="CS69" i="10"/>
  <c r="CT68" i="10"/>
  <c r="CS68" i="10"/>
  <c r="CT110" i="10"/>
  <c r="CS110" i="10"/>
  <c r="CT102" i="10"/>
  <c r="CS102" i="10"/>
  <c r="CT91" i="10"/>
  <c r="CS91" i="10"/>
  <c r="CT115" i="10"/>
  <c r="CS115" i="10"/>
  <c r="CT120" i="10"/>
  <c r="CS120" i="10"/>
  <c r="CT112" i="10"/>
  <c r="CS112" i="10"/>
  <c r="CT124" i="10"/>
  <c r="CS124" i="10"/>
  <c r="CT84" i="10"/>
  <c r="CS84" i="10"/>
  <c r="DX113" i="10"/>
  <c r="B538" i="30" s="1"/>
  <c r="CT78" i="10"/>
  <c r="CS78" i="10"/>
  <c r="DX72" i="10"/>
  <c r="DX79" i="10"/>
  <c r="CT65" i="10"/>
  <c r="CS65" i="10"/>
  <c r="CT94" i="10"/>
  <c r="CS94" i="10"/>
  <c r="DK71" i="10"/>
  <c r="DX124" i="10"/>
  <c r="DX119" i="10"/>
  <c r="DX117" i="10"/>
  <c r="B539" i="30" s="1"/>
  <c r="DX121" i="10"/>
  <c r="B540" i="30" s="1"/>
  <c r="DX70" i="10"/>
  <c r="CU119" i="10"/>
  <c r="DX82" i="10"/>
  <c r="EA82" i="10" s="1"/>
  <c r="DX81" i="10"/>
  <c r="EA81" i="10" s="1"/>
  <c r="DX104" i="10"/>
  <c r="EA104" i="10" s="1"/>
  <c r="DX108" i="10"/>
  <c r="DX76" i="10"/>
  <c r="EA76" i="10" s="1"/>
  <c r="DX106" i="10"/>
  <c r="EA106" i="10" s="1"/>
  <c r="CU117" i="10"/>
  <c r="DX123" i="10"/>
  <c r="DX98" i="10"/>
  <c r="EA98" i="10" s="1"/>
  <c r="DX65" i="10"/>
  <c r="B523" i="30" s="1"/>
  <c r="CT93" i="10"/>
  <c r="CS93" i="10"/>
  <c r="DX90" i="10"/>
  <c r="EA90" i="10" s="1"/>
  <c r="DX93" i="10"/>
  <c r="B529" i="30" s="1"/>
  <c r="DX86" i="10"/>
  <c r="CU86" i="10"/>
  <c r="CZ107" i="10"/>
  <c r="DC107" i="10" s="1"/>
  <c r="CZ103" i="10"/>
  <c r="DC103" i="10" s="1"/>
  <c r="CZ94" i="10"/>
  <c r="DC94" i="10" s="1"/>
  <c r="CZ98" i="10"/>
  <c r="DC98" i="10" s="1"/>
  <c r="CZ85" i="10"/>
  <c r="CZ65" i="10"/>
  <c r="DC65" i="10" s="1"/>
  <c r="CZ92" i="10"/>
  <c r="DC92" i="10" s="1"/>
  <c r="CZ86" i="10"/>
  <c r="CZ95" i="10"/>
  <c r="DC95" i="10" s="1"/>
  <c r="CZ123" i="10"/>
  <c r="DC123" i="10" s="1"/>
  <c r="CZ88" i="10"/>
  <c r="DC88" i="10" s="1"/>
  <c r="DC86" i="10"/>
  <c r="CZ87" i="10"/>
  <c r="DC87" i="10" s="1"/>
  <c r="CZ91" i="10"/>
  <c r="CZ89" i="10"/>
  <c r="DC89" i="10" s="1"/>
  <c r="CZ105" i="10"/>
  <c r="DC105" i="10" s="1"/>
  <c r="CZ96" i="10"/>
  <c r="DC96" i="10" s="1"/>
  <c r="CZ90" i="10"/>
  <c r="DC90" i="10" s="1"/>
  <c r="CZ93" i="10"/>
  <c r="CZ100" i="10"/>
  <c r="DC100" i="10" s="1"/>
  <c r="CZ125" i="10"/>
  <c r="CZ83" i="10"/>
  <c r="DC83" i="10" s="1"/>
  <c r="CZ71" i="10"/>
  <c r="DC71" i="10" s="1"/>
  <c r="CZ104" i="10"/>
  <c r="DC104" i="10" s="1"/>
  <c r="CZ78" i="10"/>
  <c r="CZ74" i="10"/>
  <c r="DC74" i="10" s="1"/>
  <c r="CZ70" i="10"/>
  <c r="CZ68" i="10"/>
  <c r="DC68" i="10" s="1"/>
  <c r="CZ119" i="10"/>
  <c r="DC119" i="10" s="1"/>
  <c r="CZ101" i="10"/>
  <c r="CZ118" i="10"/>
  <c r="CZ108" i="10"/>
  <c r="DC108" i="10" s="1"/>
  <c r="CZ126" i="10"/>
  <c r="CZ81" i="10"/>
  <c r="DC81" i="10" s="1"/>
  <c r="CZ67" i="10"/>
  <c r="CZ124" i="10"/>
  <c r="DC124" i="10" s="1"/>
  <c r="CZ102" i="10"/>
  <c r="DC102" i="10" s="1"/>
  <c r="CZ116" i="10"/>
  <c r="DC116" i="10" s="1"/>
  <c r="CZ75" i="10"/>
  <c r="CZ73" i="10"/>
  <c r="CZ122" i="10"/>
  <c r="DC122" i="10" s="1"/>
  <c r="CZ114" i="10"/>
  <c r="CZ84" i="10"/>
  <c r="DC84" i="10" s="1"/>
  <c r="CZ76" i="10"/>
  <c r="DC76" i="10" s="1"/>
  <c r="CZ120" i="10"/>
  <c r="DC120" i="10" s="1"/>
  <c r="CZ117" i="10"/>
  <c r="DC117" i="10" s="1"/>
  <c r="CZ113" i="10"/>
  <c r="DC113" i="10" s="1"/>
  <c r="CZ109" i="10"/>
  <c r="CZ111" i="10"/>
  <c r="CZ82" i="10"/>
  <c r="DC82" i="10" s="1"/>
  <c r="DC75" i="10"/>
  <c r="CZ66" i="10"/>
  <c r="DC66" i="10" s="1"/>
  <c r="CZ69" i="10"/>
  <c r="DC69" i="10" s="1"/>
  <c r="CZ110" i="10"/>
  <c r="DC110" i="10" s="1"/>
  <c r="CZ77" i="10"/>
  <c r="DC77" i="10" s="1"/>
  <c r="CZ80" i="10"/>
  <c r="DC80" i="10" s="1"/>
  <c r="CZ97" i="10"/>
  <c r="DC97" i="10" s="1"/>
  <c r="CZ115" i="10"/>
  <c r="DC115" i="10" s="1"/>
  <c r="CZ99" i="10"/>
  <c r="DC99" i="10" s="1"/>
  <c r="CZ121" i="10"/>
  <c r="DC121" i="10" s="1"/>
  <c r="CZ106" i="10"/>
  <c r="DC106" i="10" s="1"/>
  <c r="CZ79" i="10"/>
  <c r="CZ112" i="10"/>
  <c r="DC112" i="10" s="1"/>
  <c r="CZ72" i="10"/>
  <c r="DK102" i="10"/>
  <c r="DK101" i="10"/>
  <c r="DK91" i="10"/>
  <c r="DK108" i="10"/>
  <c r="DK111" i="10"/>
  <c r="DK88" i="10"/>
  <c r="DK110" i="10"/>
  <c r="DK120" i="10"/>
  <c r="DK75" i="10"/>
  <c r="DK68" i="10"/>
  <c r="DK80" i="10"/>
  <c r="DK77" i="10"/>
  <c r="DK78" i="10"/>
  <c r="DK114" i="10"/>
  <c r="DK113" i="10"/>
  <c r="DX101" i="10"/>
  <c r="B533" i="30" s="1"/>
  <c r="CU101" i="10"/>
  <c r="CT106" i="10"/>
  <c r="CS106" i="10"/>
  <c r="DX115" i="10"/>
  <c r="CT80" i="10"/>
  <c r="CS80" i="10"/>
  <c r="CT81" i="10"/>
  <c r="CS81" i="10"/>
  <c r="CT125" i="10"/>
  <c r="CS125" i="10"/>
  <c r="CT100" i="10"/>
  <c r="CS100" i="10"/>
  <c r="CT85" i="10"/>
  <c r="CS85" i="10"/>
  <c r="DX105" i="10"/>
  <c r="B534" i="30" s="1"/>
  <c r="DM123" i="10"/>
  <c r="DM121" i="10"/>
  <c r="DK73" i="10"/>
  <c r="DX126" i="10"/>
  <c r="DX71" i="10"/>
  <c r="CT108" i="10"/>
  <c r="CS108" i="10"/>
  <c r="CT83" i="10"/>
  <c r="CS83" i="10"/>
  <c r="DX78" i="10"/>
  <c r="CU72" i="10"/>
  <c r="CT73" i="10"/>
  <c r="CS73" i="10"/>
  <c r="CT121" i="10"/>
  <c r="CS121" i="10"/>
  <c r="DX109" i="10"/>
  <c r="B536" i="30" s="1"/>
  <c r="CT99" i="10"/>
  <c r="CS99" i="10"/>
  <c r="DX110" i="10"/>
  <c r="EA110" i="10" s="1"/>
  <c r="CT70" i="10"/>
  <c r="CS70" i="10"/>
  <c r="DX116" i="10"/>
  <c r="EA116" i="10" s="1"/>
  <c r="DX74" i="10"/>
  <c r="CU79" i="10"/>
  <c r="DX80" i="10"/>
  <c r="DX112" i="10"/>
  <c r="DX73" i="10"/>
  <c r="DX75" i="10"/>
  <c r="CT95" i="10"/>
  <c r="CS95" i="10"/>
  <c r="CT98" i="10"/>
  <c r="CS98" i="10"/>
  <c r="DX88" i="10"/>
  <c r="CU105" i="10"/>
  <c r="CT90" i="10"/>
  <c r="CS90" i="10"/>
  <c r="DX125" i="10"/>
  <c r="EA125" i="10" s="1"/>
  <c r="CT87" i="10"/>
  <c r="CS87" i="10"/>
  <c r="DX89" i="10"/>
  <c r="B528" i="30" s="1"/>
  <c r="DX87" i="10"/>
  <c r="DX94" i="10"/>
  <c r="EA94" i="10" s="1"/>
  <c r="DJ96" i="10"/>
  <c r="DJ92" i="10"/>
  <c r="DI92" i="10"/>
  <c r="DK109" i="10"/>
  <c r="DK99" i="10"/>
  <c r="DK103" i="10"/>
  <c r="DK117" i="10"/>
  <c r="DK126" i="10"/>
  <c r="DK119" i="10"/>
  <c r="DK100" i="10"/>
  <c r="DK79" i="10"/>
  <c r="DK84" i="10"/>
  <c r="DK81" i="10"/>
  <c r="DK82" i="10"/>
  <c r="DK116" i="10"/>
  <c r="DK118" i="10"/>
  <c r="CT109" i="10"/>
  <c r="CS109" i="10"/>
  <c r="CT66" i="10"/>
  <c r="CS66" i="10"/>
  <c r="DX120" i="10"/>
  <c r="EA120" i="10" s="1"/>
  <c r="DX68" i="10"/>
  <c r="EA68" i="10" s="1"/>
  <c r="CT118" i="10"/>
  <c r="CS118" i="10"/>
  <c r="DX67" i="10"/>
  <c r="EA67" i="10" s="1"/>
  <c r="DX102" i="10"/>
  <c r="CT111" i="10"/>
  <c r="CS111" i="10"/>
  <c r="DX92" i="10"/>
  <c r="DX107" i="10"/>
  <c r="B535" i="30" s="1"/>
  <c r="CT89" i="10"/>
  <c r="CS89" i="10"/>
  <c r="DX85" i="10"/>
  <c r="DK66" i="10"/>
  <c r="DX118" i="10"/>
  <c r="EA118" i="10" s="1"/>
  <c r="CT82" i="10"/>
  <c r="CS82" i="10"/>
  <c r="DX83" i="10"/>
  <c r="CT122" i="10"/>
  <c r="CS122" i="10"/>
  <c r="DX69" i="10"/>
  <c r="DX111" i="10"/>
  <c r="CT76" i="10"/>
  <c r="CS76" i="10"/>
  <c r="CT77" i="10"/>
  <c r="CS77" i="10"/>
  <c r="CU75" i="10"/>
  <c r="CT104" i="10"/>
  <c r="CS104" i="10"/>
  <c r="DX97" i="10"/>
  <c r="B531" i="30" s="1"/>
  <c r="CU126" i="10"/>
  <c r="CU74" i="10"/>
  <c r="CU71" i="10"/>
  <c r="CU113" i="10"/>
  <c r="DX122" i="10"/>
  <c r="EA122" i="10" s="1"/>
  <c r="DX84" i="10"/>
  <c r="DX114" i="10"/>
  <c r="DX77" i="10"/>
  <c r="DX66" i="10"/>
  <c r="EA66" i="10" s="1"/>
  <c r="DX99" i="10"/>
  <c r="CU92" i="10"/>
  <c r="CT96" i="10"/>
  <c r="CS96" i="10"/>
  <c r="CT123" i="10"/>
  <c r="CS123" i="10"/>
  <c r="DX103" i="10"/>
  <c r="EA103" i="10" s="1"/>
  <c r="DX96" i="10"/>
  <c r="EA96" i="10" s="1"/>
  <c r="CU107" i="10"/>
  <c r="CU88" i="10"/>
  <c r="DX100" i="10"/>
  <c r="EA100" i="10" s="1"/>
  <c r="DX91" i="10"/>
  <c r="EA91" i="10" s="1"/>
  <c r="DX95" i="10"/>
  <c r="DJ124" i="10"/>
  <c r="DJ123" i="10"/>
  <c r="DK93" i="10"/>
  <c r="DI96" i="10"/>
  <c r="DI124" i="10"/>
  <c r="DK90" i="10"/>
  <c r="DJ85" i="10"/>
  <c r="DJ115" i="10"/>
  <c r="DJ121" i="10"/>
  <c r="DI115" i="10"/>
  <c r="DK94" i="10"/>
  <c r="DK83" i="10"/>
  <c r="DK72" i="10"/>
  <c r="DK69" i="10"/>
  <c r="DK70" i="10"/>
  <c r="DK122" i="10"/>
  <c r="H26" i="32"/>
  <c r="M36" i="32" s="1"/>
  <c r="A745" i="33" l="1"/>
  <c r="A670" i="33"/>
  <c r="A746" i="33"/>
  <c r="A671" i="33"/>
  <c r="EA119" i="10"/>
  <c r="DJ107" i="10"/>
  <c r="DJ106" i="10"/>
  <c r="DJ76" i="10"/>
  <c r="DL76" i="10" s="1"/>
  <c r="DJ97" i="10"/>
  <c r="DL97" i="10" s="1"/>
  <c r="DI65" i="10"/>
  <c r="DL65" i="10" s="1"/>
  <c r="DI112" i="10"/>
  <c r="DL112" i="10" s="1"/>
  <c r="DI95" i="10"/>
  <c r="DM95" i="10" s="1"/>
  <c r="DJ125" i="10"/>
  <c r="DL125" i="10" s="1"/>
  <c r="DJ87" i="10"/>
  <c r="DL87" i="10" s="1"/>
  <c r="EA88" i="10"/>
  <c r="DZ88" i="10" s="1"/>
  <c r="DJ105" i="10"/>
  <c r="DL105" i="10" s="1"/>
  <c r="EA105" i="10"/>
  <c r="E534" i="30" s="1"/>
  <c r="EA92" i="10"/>
  <c r="DZ92" i="10" s="1"/>
  <c r="B92" i="10"/>
  <c r="B153" i="30" s="1"/>
  <c r="B919" i="31"/>
  <c r="A654" i="31"/>
  <c r="D394" i="31"/>
  <c r="D265" i="31"/>
  <c r="D136" i="31"/>
  <c r="A784" i="31"/>
  <c r="A524" i="31"/>
  <c r="B91" i="10"/>
  <c r="B152" i="30" s="1"/>
  <c r="B918" i="31"/>
  <c r="A653" i="31"/>
  <c r="A523" i="31"/>
  <c r="D393" i="31"/>
  <c r="D135" i="31"/>
  <c r="A783" i="31"/>
  <c r="D264" i="31"/>
  <c r="DM125" i="10"/>
  <c r="EA121" i="10"/>
  <c r="E540" i="30" s="1"/>
  <c r="EA86" i="10"/>
  <c r="DZ86" i="10" s="1"/>
  <c r="EA117" i="10"/>
  <c r="E539" i="30" s="1"/>
  <c r="I508" i="31"/>
  <c r="I539" i="31"/>
  <c r="EA69" i="10"/>
  <c r="E524" i="30" s="1"/>
  <c r="B524" i="30"/>
  <c r="EA87" i="10"/>
  <c r="E527" i="30" s="1"/>
  <c r="B527" i="30"/>
  <c r="EA73" i="10"/>
  <c r="E525" i="30" s="1"/>
  <c r="B525" i="30"/>
  <c r="EA109" i="10"/>
  <c r="E536" i="30" s="1"/>
  <c r="EA72" i="10"/>
  <c r="DZ72" i="10" s="1"/>
  <c r="I555" i="31"/>
  <c r="I557" i="31"/>
  <c r="I541" i="31"/>
  <c r="I510" i="31"/>
  <c r="I520" i="31"/>
  <c r="I532" i="31"/>
  <c r="I523" i="31"/>
  <c r="I519" i="31"/>
  <c r="DJ74" i="10"/>
  <c r="DL74" i="10" s="1"/>
  <c r="I521" i="31"/>
  <c r="EA93" i="10"/>
  <c r="E529" i="30" s="1"/>
  <c r="EA123" i="10"/>
  <c r="E541" i="30" s="1"/>
  <c r="B541" i="30"/>
  <c r="DM104" i="10"/>
  <c r="I559" i="31"/>
  <c r="EA95" i="10"/>
  <c r="E530" i="30" s="1"/>
  <c r="B530" i="30"/>
  <c r="EA107" i="10"/>
  <c r="E535" i="30" s="1"/>
  <c r="EA99" i="10"/>
  <c r="E532" i="30" s="1"/>
  <c r="B532" i="30"/>
  <c r="EA77" i="10"/>
  <c r="E526" i="30" s="1"/>
  <c r="B526" i="30"/>
  <c r="EA111" i="10"/>
  <c r="E537" i="30" s="1"/>
  <c r="B537" i="30"/>
  <c r="DJ104" i="10"/>
  <c r="DL104" i="10" s="1"/>
  <c r="EA71" i="10"/>
  <c r="DZ71" i="10" s="1"/>
  <c r="B28" i="10"/>
  <c r="D201" i="31"/>
  <c r="A118" i="33"/>
  <c r="A813" i="33" s="1"/>
  <c r="DJ86" i="10"/>
  <c r="B29" i="10"/>
  <c r="D202" i="31"/>
  <c r="A119" i="33"/>
  <c r="A814" i="33" s="1"/>
  <c r="DJ98" i="10"/>
  <c r="DL98" i="10" s="1"/>
  <c r="DI67" i="10"/>
  <c r="DM67" i="10" s="1"/>
  <c r="DJ67" i="10"/>
  <c r="DJ89" i="10"/>
  <c r="DL121" i="10"/>
  <c r="DL107" i="10"/>
  <c r="DB82" i="10"/>
  <c r="DA82" i="10"/>
  <c r="DZ98" i="10"/>
  <c r="DY98" i="10" s="1"/>
  <c r="DZ66" i="10"/>
  <c r="DZ122" i="10"/>
  <c r="DB97" i="10"/>
  <c r="DA97" i="10"/>
  <c r="DZ106" i="10"/>
  <c r="DZ104" i="10"/>
  <c r="DZ96" i="10"/>
  <c r="DY96" i="10" s="1"/>
  <c r="DZ94" i="10"/>
  <c r="DY94" i="10" s="1"/>
  <c r="DZ116" i="10"/>
  <c r="DB115" i="10"/>
  <c r="DA115" i="10"/>
  <c r="DB105" i="10"/>
  <c r="DA105" i="10"/>
  <c r="DB88" i="10"/>
  <c r="DA88" i="10"/>
  <c r="DB92" i="10"/>
  <c r="DA92" i="10"/>
  <c r="DZ81" i="10"/>
  <c r="DB84" i="10"/>
  <c r="DA84" i="10"/>
  <c r="DZ91" i="10"/>
  <c r="DY91" i="10" s="1"/>
  <c r="DB77" i="10"/>
  <c r="DA77" i="10"/>
  <c r="DB116" i="10"/>
  <c r="DA116" i="10"/>
  <c r="DB81" i="10"/>
  <c r="DA81" i="10"/>
  <c r="DJ83" i="10"/>
  <c r="DI83" i="10"/>
  <c r="DZ103" i="10"/>
  <c r="CT113" i="10"/>
  <c r="CS113" i="10"/>
  <c r="CW118" i="10"/>
  <c r="CV118" i="10"/>
  <c r="DJ116" i="10"/>
  <c r="DI116" i="10"/>
  <c r="DJ119" i="10"/>
  <c r="DI119" i="10"/>
  <c r="CW70" i="10"/>
  <c r="CV70" i="10"/>
  <c r="CW81" i="10"/>
  <c r="CV81" i="10"/>
  <c r="DJ113" i="10"/>
  <c r="DI113" i="10"/>
  <c r="DJ108" i="10"/>
  <c r="DI108" i="10"/>
  <c r="EF79" i="10"/>
  <c r="DB108" i="10"/>
  <c r="DA108" i="10"/>
  <c r="DB80" i="10"/>
  <c r="DA80" i="10"/>
  <c r="EF111" i="10"/>
  <c r="I537" i="30" s="1"/>
  <c r="EF73" i="10"/>
  <c r="I525" i="30" s="1"/>
  <c r="EF67" i="10"/>
  <c r="EF118" i="10"/>
  <c r="EF78" i="10"/>
  <c r="EF93" i="10"/>
  <c r="I529" i="30" s="1"/>
  <c r="EF91" i="10"/>
  <c r="DB96" i="10"/>
  <c r="DA96" i="10"/>
  <c r="EF107" i="10"/>
  <c r="I535" i="30" s="1"/>
  <c r="DZ76" i="10"/>
  <c r="DZ119" i="10"/>
  <c r="CW124" i="10"/>
  <c r="CV124" i="10"/>
  <c r="CV110" i="10"/>
  <c r="CW110" i="10"/>
  <c r="DJ70" i="10"/>
  <c r="DI70" i="10"/>
  <c r="DJ90" i="10"/>
  <c r="DI90" i="10"/>
  <c r="CT92" i="10"/>
  <c r="CS92" i="10"/>
  <c r="CT71" i="10"/>
  <c r="CS71" i="10"/>
  <c r="EA97" i="10"/>
  <c r="E531" i="30" s="1"/>
  <c r="CW82" i="10"/>
  <c r="CV82" i="10"/>
  <c r="DJ66" i="10"/>
  <c r="DI66" i="10"/>
  <c r="CV66" i="10"/>
  <c r="CW66" i="10"/>
  <c r="DJ82" i="10"/>
  <c r="DI82" i="10"/>
  <c r="DJ100" i="10"/>
  <c r="DI100" i="10"/>
  <c r="DJ126" i="10"/>
  <c r="DI126" i="10"/>
  <c r="DJ103" i="10"/>
  <c r="DI103" i="10"/>
  <c r="CT79" i="10"/>
  <c r="CS79" i="10"/>
  <c r="CV108" i="10"/>
  <c r="CW108" i="10"/>
  <c r="DL123" i="10"/>
  <c r="CW125" i="10"/>
  <c r="CV125" i="10"/>
  <c r="CW106" i="10"/>
  <c r="CV106" i="10"/>
  <c r="DJ114" i="10"/>
  <c r="DI114" i="10"/>
  <c r="DJ68" i="10"/>
  <c r="DI68" i="10"/>
  <c r="DJ88" i="10"/>
  <c r="DI88" i="10"/>
  <c r="DJ91" i="10"/>
  <c r="DI91" i="10"/>
  <c r="EF72" i="10"/>
  <c r="EF106" i="10"/>
  <c r="EI106" i="10" s="1"/>
  <c r="DB76" i="10"/>
  <c r="DA76" i="10"/>
  <c r="DB119" i="10"/>
  <c r="DA119" i="10"/>
  <c r="EF80" i="10"/>
  <c r="EF69" i="10"/>
  <c r="DC78" i="10"/>
  <c r="DB71" i="10"/>
  <c r="DA71" i="10"/>
  <c r="EF109" i="10"/>
  <c r="I536" i="30" s="1"/>
  <c r="DB99" i="10"/>
  <c r="DA99" i="10"/>
  <c r="DB110" i="10"/>
  <c r="DA110" i="10"/>
  <c r="EF102" i="10"/>
  <c r="EI102" i="10" s="1"/>
  <c r="DC118" i="10"/>
  <c r="EF126" i="10"/>
  <c r="DB122" i="10"/>
  <c r="DA122" i="10"/>
  <c r="EF68" i="10"/>
  <c r="EI68" i="10" s="1"/>
  <c r="EF125" i="10"/>
  <c r="DC125" i="10"/>
  <c r="DB89" i="10"/>
  <c r="DA89" i="10"/>
  <c r="DB95" i="10"/>
  <c r="DA95" i="10"/>
  <c r="EF87" i="10"/>
  <c r="DB123" i="10"/>
  <c r="DA123" i="10"/>
  <c r="EF86" i="10"/>
  <c r="EF98" i="10"/>
  <c r="CT86" i="10"/>
  <c r="CS86" i="10"/>
  <c r="EA79" i="10"/>
  <c r="CW84" i="10"/>
  <c r="CV84" i="10"/>
  <c r="CV120" i="10"/>
  <c r="CW120" i="10"/>
  <c r="CV102" i="10"/>
  <c r="CW102" i="10"/>
  <c r="CV116" i="10"/>
  <c r="CW116" i="10"/>
  <c r="DJ122" i="10"/>
  <c r="DI122" i="10"/>
  <c r="DJ93" i="10"/>
  <c r="DI93" i="10"/>
  <c r="DZ100" i="10"/>
  <c r="DZ118" i="10"/>
  <c r="CV109" i="10"/>
  <c r="CW109" i="10"/>
  <c r="DM92" i="10"/>
  <c r="DL92" i="10"/>
  <c r="CW90" i="10"/>
  <c r="CV90" i="10"/>
  <c r="DZ110" i="10"/>
  <c r="CT101" i="10"/>
  <c r="CS101" i="10"/>
  <c r="DJ110" i="10"/>
  <c r="DI110" i="10"/>
  <c r="DB106" i="10"/>
  <c r="DA106" i="10"/>
  <c r="DB74" i="10"/>
  <c r="DA74" i="10"/>
  <c r="DC79" i="10"/>
  <c r="EF84" i="10"/>
  <c r="EI84" i="10" s="1"/>
  <c r="DB124" i="10"/>
  <c r="DA124" i="10"/>
  <c r="DB113" i="10"/>
  <c r="DA113" i="10"/>
  <c r="DB87" i="10"/>
  <c r="DA87" i="10"/>
  <c r="DB65" i="10"/>
  <c r="DA65" i="10"/>
  <c r="DZ90" i="10"/>
  <c r="DZ82" i="10"/>
  <c r="DJ71" i="10"/>
  <c r="DI71" i="10"/>
  <c r="CV115" i="10"/>
  <c r="CW115" i="10"/>
  <c r="CW97" i="10"/>
  <c r="CV97" i="10"/>
  <c r="CW103" i="10"/>
  <c r="CV103" i="10"/>
  <c r="DJ69" i="10"/>
  <c r="DI69" i="10"/>
  <c r="DM106" i="10"/>
  <c r="DL106" i="10"/>
  <c r="CW96" i="10"/>
  <c r="CV96" i="10"/>
  <c r="CT74" i="10"/>
  <c r="CS74" i="10"/>
  <c r="CT75" i="10"/>
  <c r="CS75" i="10"/>
  <c r="CW76" i="10"/>
  <c r="CV76" i="10"/>
  <c r="CW89" i="10"/>
  <c r="CV89" i="10"/>
  <c r="DZ67" i="10"/>
  <c r="DY67" i="10" s="1"/>
  <c r="DZ120" i="10"/>
  <c r="DJ81" i="10"/>
  <c r="DI81" i="10"/>
  <c r="DJ99" i="10"/>
  <c r="DI99" i="10"/>
  <c r="CW87" i="10"/>
  <c r="CV87" i="10"/>
  <c r="DZ125" i="10"/>
  <c r="CW95" i="10"/>
  <c r="CV95" i="10"/>
  <c r="EA75" i="10"/>
  <c r="EA74" i="10"/>
  <c r="CV99" i="10"/>
  <c r="CW99" i="10"/>
  <c r="CT72" i="10"/>
  <c r="CS72" i="10"/>
  <c r="CW83" i="10"/>
  <c r="CV83" i="10"/>
  <c r="CW100" i="10"/>
  <c r="CV100" i="10"/>
  <c r="EA101" i="10"/>
  <c r="E533" i="30" s="1"/>
  <c r="DJ78" i="10"/>
  <c r="DI78" i="10"/>
  <c r="DJ75" i="10"/>
  <c r="DI75" i="10"/>
  <c r="DJ111" i="10"/>
  <c r="DI111" i="10"/>
  <c r="DB102" i="10"/>
  <c r="DA102" i="10"/>
  <c r="EF121" i="10"/>
  <c r="DB69" i="10"/>
  <c r="DA69" i="10"/>
  <c r="DB66" i="10"/>
  <c r="DA66" i="10"/>
  <c r="EF77" i="10"/>
  <c r="EF66" i="10"/>
  <c r="EI66" i="10" s="1"/>
  <c r="DC111" i="10"/>
  <c r="DB83" i="10"/>
  <c r="DA83" i="10"/>
  <c r="DB112" i="10"/>
  <c r="DA112" i="10"/>
  <c r="DB75" i="10"/>
  <c r="DA75" i="10"/>
  <c r="EF113" i="10"/>
  <c r="EF114" i="10"/>
  <c r="EF75" i="10"/>
  <c r="EF124" i="10"/>
  <c r="EI124" i="10" s="1"/>
  <c r="EF81" i="10"/>
  <c r="EI81" i="10" s="1"/>
  <c r="DC67" i="10"/>
  <c r="EF101" i="10"/>
  <c r="I533" i="30" s="1"/>
  <c r="EF70" i="10"/>
  <c r="DC109" i="10"/>
  <c r="EF71" i="10"/>
  <c r="DB100" i="10"/>
  <c r="DA100" i="10"/>
  <c r="EF90" i="10"/>
  <c r="EI90" i="10" s="1"/>
  <c r="DB98" i="10"/>
  <c r="DA98" i="10"/>
  <c r="DB94" i="10"/>
  <c r="DA94" i="10"/>
  <c r="DB86" i="10"/>
  <c r="DA86" i="10"/>
  <c r="EF88" i="10"/>
  <c r="EI88" i="10" s="1"/>
  <c r="DB103" i="10"/>
  <c r="DA103" i="10"/>
  <c r="EF92" i="10"/>
  <c r="EF94" i="10"/>
  <c r="EI94" i="10" s="1"/>
  <c r="CT119" i="10"/>
  <c r="CS119" i="10"/>
  <c r="CW65" i="10"/>
  <c r="CV65" i="10"/>
  <c r="CW112" i="10"/>
  <c r="CV112" i="10"/>
  <c r="CW91" i="10"/>
  <c r="CV91" i="10"/>
  <c r="CV69" i="10"/>
  <c r="CW69" i="10"/>
  <c r="CW114" i="10"/>
  <c r="CV114" i="10"/>
  <c r="CT107" i="10"/>
  <c r="CS107" i="10"/>
  <c r="DZ68" i="10"/>
  <c r="DJ79" i="10"/>
  <c r="DI79" i="10"/>
  <c r="DJ117" i="10"/>
  <c r="DI117" i="10"/>
  <c r="CV121" i="10"/>
  <c r="CW121" i="10"/>
  <c r="DJ73" i="10"/>
  <c r="DI73" i="10"/>
  <c r="DJ80" i="10"/>
  <c r="DI80" i="10"/>
  <c r="DJ102" i="10"/>
  <c r="DI102" i="10"/>
  <c r="EF115" i="10"/>
  <c r="EI115" i="10" s="1"/>
  <c r="EF97" i="10"/>
  <c r="DB120" i="10"/>
  <c r="DA120" i="10"/>
  <c r="EF120" i="10"/>
  <c r="EI120" i="10" s="1"/>
  <c r="EF116" i="10"/>
  <c r="EI116" i="10" s="1"/>
  <c r="DB121" i="10"/>
  <c r="DA121" i="10"/>
  <c r="DB90" i="10"/>
  <c r="DA90" i="10"/>
  <c r="EF105" i="10"/>
  <c r="I534" i="30" s="1"/>
  <c r="DB107" i="10"/>
  <c r="DA107" i="10"/>
  <c r="EF85" i="10"/>
  <c r="DJ94" i="10"/>
  <c r="DI94" i="10"/>
  <c r="DM124" i="10"/>
  <c r="DL124" i="10"/>
  <c r="DJ72" i="10"/>
  <c r="DI72" i="10"/>
  <c r="DL115" i="10"/>
  <c r="DM115" i="10"/>
  <c r="DM96" i="10"/>
  <c r="DL96" i="10"/>
  <c r="DM65" i="10"/>
  <c r="CT88" i="10"/>
  <c r="CS88" i="10"/>
  <c r="CV123" i="10"/>
  <c r="CW123" i="10"/>
  <c r="EA114" i="10"/>
  <c r="EA84" i="10"/>
  <c r="CT126" i="10"/>
  <c r="CS126" i="10"/>
  <c r="CV104" i="10"/>
  <c r="CW104" i="10"/>
  <c r="CW77" i="10"/>
  <c r="CV77" i="10"/>
  <c r="CW122" i="10"/>
  <c r="CV122" i="10"/>
  <c r="EA83" i="10"/>
  <c r="EA85" i="10"/>
  <c r="CW111" i="10"/>
  <c r="CV111" i="10"/>
  <c r="EA102" i="10"/>
  <c r="DJ118" i="10"/>
  <c r="DI118" i="10"/>
  <c r="DJ84" i="10"/>
  <c r="DI84" i="10"/>
  <c r="DJ109" i="10"/>
  <c r="DI109" i="10"/>
  <c r="EA89" i="10"/>
  <c r="E528" i="30" s="1"/>
  <c r="CT105" i="10"/>
  <c r="CS105" i="10"/>
  <c r="CW98" i="10"/>
  <c r="CV98" i="10"/>
  <c r="EA112" i="10"/>
  <c r="EA80" i="10"/>
  <c r="CW73" i="10"/>
  <c r="CV73" i="10"/>
  <c r="EA78" i="10"/>
  <c r="EA126" i="10"/>
  <c r="CW85" i="10"/>
  <c r="CV85" i="10"/>
  <c r="CW80" i="10"/>
  <c r="CV80" i="10"/>
  <c r="EA115" i="10"/>
  <c r="DJ77" i="10"/>
  <c r="DI77" i="10"/>
  <c r="DJ120" i="10"/>
  <c r="DI120" i="10"/>
  <c r="DM97" i="10"/>
  <c r="DJ101" i="10"/>
  <c r="DI101" i="10"/>
  <c r="EF112" i="10"/>
  <c r="EI112" i="10" s="1"/>
  <c r="EF99" i="10"/>
  <c r="DC73" i="10"/>
  <c r="DB68" i="10"/>
  <c r="DA68" i="10"/>
  <c r="EF110" i="10"/>
  <c r="DC70" i="10"/>
  <c r="DB117" i="10"/>
  <c r="DA117" i="10"/>
  <c r="DC72" i="10"/>
  <c r="DC114" i="10"/>
  <c r="EF82" i="10"/>
  <c r="EF117" i="10"/>
  <c r="EF76" i="10"/>
  <c r="EF122" i="10"/>
  <c r="EI122" i="10" s="1"/>
  <c r="DB104" i="10"/>
  <c r="DA104" i="10"/>
  <c r="DC126" i="10"/>
  <c r="DC101" i="10"/>
  <c r="EF108" i="10"/>
  <c r="EI108" i="10" s="1"/>
  <c r="EF119" i="10"/>
  <c r="EF74" i="10"/>
  <c r="EF104" i="10"/>
  <c r="EI104" i="10" s="1"/>
  <c r="EF83" i="10"/>
  <c r="EI83" i="10" s="1"/>
  <c r="DC93" i="10"/>
  <c r="EF100" i="10"/>
  <c r="EI100" i="10" s="1"/>
  <c r="DC91" i="10"/>
  <c r="EF96" i="10"/>
  <c r="EI96" i="10" s="1"/>
  <c r="EF89" i="10"/>
  <c r="I528" i="30" s="1"/>
  <c r="DC85" i="10"/>
  <c r="EF123" i="10"/>
  <c r="I541" i="30" s="1"/>
  <c r="EF95" i="10"/>
  <c r="EF65" i="10"/>
  <c r="EF103" i="10"/>
  <c r="EI103" i="10" s="1"/>
  <c r="CW93" i="10"/>
  <c r="CV93" i="10"/>
  <c r="EA65" i="10"/>
  <c r="E523" i="30" s="1"/>
  <c r="CT117" i="10"/>
  <c r="CS117" i="10"/>
  <c r="EA108" i="10"/>
  <c r="EA70" i="10"/>
  <c r="EA124" i="10"/>
  <c r="CW94" i="10"/>
  <c r="CV94" i="10"/>
  <c r="CW78" i="10"/>
  <c r="CV78" i="10"/>
  <c r="EA113" i="10"/>
  <c r="E538" i="30" s="1"/>
  <c r="CV68" i="10"/>
  <c r="CW68" i="10"/>
  <c r="DL85" i="10"/>
  <c r="CV67" i="10"/>
  <c r="CW67" i="10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00" i="35"/>
  <c r="AC36" i="10"/>
  <c r="J233" i="35" s="1"/>
  <c r="AC37" i="10"/>
  <c r="J234" i="35" s="1"/>
  <c r="AC38" i="10"/>
  <c r="J235" i="35" s="1"/>
  <c r="AC39" i="10"/>
  <c r="J236" i="35" s="1"/>
  <c r="AC40" i="10"/>
  <c r="J237" i="35" s="1"/>
  <c r="AC41" i="10"/>
  <c r="J238" i="35" s="1"/>
  <c r="AC42" i="10"/>
  <c r="J239" i="35" s="1"/>
  <c r="AC43" i="10"/>
  <c r="J240" i="35" s="1"/>
  <c r="AC44" i="10"/>
  <c r="J241" i="35" s="1"/>
  <c r="AC45" i="10"/>
  <c r="J242" i="35" s="1"/>
  <c r="AC46" i="10"/>
  <c r="J243" i="35" s="1"/>
  <c r="AC35" i="10"/>
  <c r="J232" i="35" s="1"/>
  <c r="A747" i="33" l="1"/>
  <c r="A672" i="33"/>
  <c r="A748" i="33"/>
  <c r="A673" i="33"/>
  <c r="DL95" i="10"/>
  <c r="DM112" i="10"/>
  <c r="DZ93" i="10"/>
  <c r="D529" i="30" s="1"/>
  <c r="DZ123" i="10"/>
  <c r="D541" i="30" s="1"/>
  <c r="DZ121" i="10"/>
  <c r="DY121" i="10" s="1"/>
  <c r="C540" i="30" s="1"/>
  <c r="DL67" i="10"/>
  <c r="H501" i="31" s="1"/>
  <c r="EI91" i="10"/>
  <c r="EH91" i="10" s="1"/>
  <c r="DZ105" i="10"/>
  <c r="DY105" i="10" s="1"/>
  <c r="C534" i="30" s="1"/>
  <c r="DZ73" i="10"/>
  <c r="DY73" i="10" s="1"/>
  <c r="C525" i="30" s="1"/>
  <c r="DZ107" i="10"/>
  <c r="DY107" i="10" s="1"/>
  <c r="C535" i="30" s="1"/>
  <c r="DZ117" i="10"/>
  <c r="D539" i="30" s="1"/>
  <c r="EI85" i="10"/>
  <c r="EH85" i="10" s="1"/>
  <c r="DZ77" i="10"/>
  <c r="DY77" i="10" s="1"/>
  <c r="C526" i="30" s="1"/>
  <c r="DZ69" i="10"/>
  <c r="DY69" i="10" s="1"/>
  <c r="C524" i="30" s="1"/>
  <c r="EI126" i="10"/>
  <c r="B93" i="10"/>
  <c r="B154" i="30" s="1"/>
  <c r="A785" i="31"/>
  <c r="A525" i="31"/>
  <c r="B920" i="31"/>
  <c r="D395" i="31"/>
  <c r="D137" i="31"/>
  <c r="A655" i="31"/>
  <c r="D266" i="31"/>
  <c r="B94" i="10"/>
  <c r="B155" i="30" s="1"/>
  <c r="A786" i="31"/>
  <c r="A526" i="31"/>
  <c r="D396" i="31"/>
  <c r="D267" i="31"/>
  <c r="D138" i="31"/>
  <c r="B921" i="31"/>
  <c r="A656" i="31"/>
  <c r="DL89" i="10"/>
  <c r="H523" i="31" s="1"/>
  <c r="DY68" i="10"/>
  <c r="EB68" i="10" s="1"/>
  <c r="DZ111" i="10"/>
  <c r="D537" i="30" s="1"/>
  <c r="DL86" i="10"/>
  <c r="H520" i="31" s="1"/>
  <c r="DZ99" i="10"/>
  <c r="D532" i="30" s="1"/>
  <c r="E528" i="31"/>
  <c r="C788" i="31" s="1"/>
  <c r="E923" i="31" s="1"/>
  <c r="E555" i="31"/>
  <c r="C815" i="31" s="1"/>
  <c r="D499" i="31"/>
  <c r="B759" i="31" s="1"/>
  <c r="D894" i="31" s="1"/>
  <c r="E534" i="31"/>
  <c r="C794" i="31" s="1"/>
  <c r="E929" i="31" s="1"/>
  <c r="D533" i="31"/>
  <c r="B793" i="31" s="1"/>
  <c r="D928" i="31" s="1"/>
  <c r="D529" i="31"/>
  <c r="B789" i="31" s="1"/>
  <c r="D924" i="31" s="1"/>
  <c r="E523" i="31"/>
  <c r="C783" i="31" s="1"/>
  <c r="E530" i="31"/>
  <c r="C790" i="31" s="1"/>
  <c r="E925" i="31" s="1"/>
  <c r="D518" i="31"/>
  <c r="B778" i="31" s="1"/>
  <c r="E559" i="31"/>
  <c r="C819" i="31" s="1"/>
  <c r="E954" i="31" s="1"/>
  <c r="D542" i="31"/>
  <c r="B802" i="31" s="1"/>
  <c r="D937" i="31" s="1"/>
  <c r="D516" i="31"/>
  <c r="B776" i="31" s="1"/>
  <c r="E544" i="31"/>
  <c r="C804" i="31" s="1"/>
  <c r="E939" i="31" s="1"/>
  <c r="D558" i="31"/>
  <c r="B818" i="31" s="1"/>
  <c r="D953" i="31" s="1"/>
  <c r="D504" i="31"/>
  <c r="B764" i="31" s="1"/>
  <c r="E552" i="31"/>
  <c r="C812" i="31" s="1"/>
  <c r="E501" i="31"/>
  <c r="C761" i="31" s="1"/>
  <c r="E896" i="31" s="1"/>
  <c r="D512" i="31"/>
  <c r="B772" i="31" s="1"/>
  <c r="D527" i="31"/>
  <c r="B787" i="31" s="1"/>
  <c r="E507" i="31"/>
  <c r="C767" i="31" s="1"/>
  <c r="E545" i="31"/>
  <c r="C805" i="31" s="1"/>
  <c r="E940" i="31" s="1"/>
  <c r="E557" i="31"/>
  <c r="C817" i="31" s="1"/>
  <c r="D557" i="31"/>
  <c r="B817" i="31" s="1"/>
  <c r="D501" i="31"/>
  <c r="B761" i="31" s="1"/>
  <c r="D896" i="31" s="1"/>
  <c r="E502" i="31"/>
  <c r="C762" i="31" s="1"/>
  <c r="E512" i="31"/>
  <c r="C772" i="31" s="1"/>
  <c r="E527" i="31"/>
  <c r="C787" i="31" s="1"/>
  <c r="D514" i="31"/>
  <c r="B774" i="31" s="1"/>
  <c r="D519" i="31"/>
  <c r="B779" i="31" s="1"/>
  <c r="D507" i="31"/>
  <c r="B767" i="31" s="1"/>
  <c r="E532" i="31"/>
  <c r="C792" i="31" s="1"/>
  <c r="E927" i="31" s="1"/>
  <c r="D545" i="31"/>
  <c r="B805" i="31" s="1"/>
  <c r="D940" i="31" s="1"/>
  <c r="D511" i="31"/>
  <c r="B771" i="31" s="1"/>
  <c r="E538" i="31"/>
  <c r="C798" i="31" s="1"/>
  <c r="E933" i="31" s="1"/>
  <c r="D555" i="31"/>
  <c r="B815" i="31" s="1"/>
  <c r="D548" i="31"/>
  <c r="B808" i="31" s="1"/>
  <c r="D943" i="31" s="1"/>
  <c r="E503" i="31"/>
  <c r="C763" i="31" s="1"/>
  <c r="D525" i="31"/>
  <c r="B785" i="31" s="1"/>
  <c r="E499" i="31"/>
  <c r="C759" i="31" s="1"/>
  <c r="E894" i="31" s="1"/>
  <c r="EI67" i="10"/>
  <c r="EH67" i="10" s="1"/>
  <c r="D517" i="31"/>
  <c r="B777" i="31" s="1"/>
  <c r="D510" i="31"/>
  <c r="B770" i="31" s="1"/>
  <c r="D537" i="31"/>
  <c r="B797" i="31" s="1"/>
  <c r="D932" i="31" s="1"/>
  <c r="E531" i="31"/>
  <c r="C791" i="31" s="1"/>
  <c r="E926" i="31" s="1"/>
  <c r="E524" i="31"/>
  <c r="C784" i="31" s="1"/>
  <c r="E543" i="31"/>
  <c r="C803" i="31" s="1"/>
  <c r="E938" i="31" s="1"/>
  <c r="E554" i="31"/>
  <c r="C814" i="31" s="1"/>
  <c r="E540" i="31"/>
  <c r="C800" i="31" s="1"/>
  <c r="E935" i="31" s="1"/>
  <c r="E500" i="31"/>
  <c r="C760" i="31" s="1"/>
  <c r="E895" i="31" s="1"/>
  <c r="D544" i="31"/>
  <c r="B804" i="31" s="1"/>
  <c r="D939" i="31" s="1"/>
  <c r="E558" i="31"/>
  <c r="C818" i="31" s="1"/>
  <c r="E953" i="31" s="1"/>
  <c r="E515" i="31"/>
  <c r="C775" i="31" s="1"/>
  <c r="D502" i="31"/>
  <c r="B762" i="31" s="1"/>
  <c r="D532" i="31"/>
  <c r="B792" i="31" s="1"/>
  <c r="D927" i="31" s="1"/>
  <c r="E556" i="31"/>
  <c r="C816" i="31" s="1"/>
  <c r="D546" i="31"/>
  <c r="B806" i="31" s="1"/>
  <c r="D941" i="31" s="1"/>
  <c r="D528" i="31"/>
  <c r="B788" i="31" s="1"/>
  <c r="D923" i="31" s="1"/>
  <c r="E519" i="31"/>
  <c r="C779" i="31" s="1"/>
  <c r="D556" i="31"/>
  <c r="B816" i="31" s="1"/>
  <c r="D538" i="31"/>
  <c r="B798" i="31" s="1"/>
  <c r="D933" i="31" s="1"/>
  <c r="E548" i="31"/>
  <c r="C808" i="31" s="1"/>
  <c r="E943" i="31" s="1"/>
  <c r="D503" i="31"/>
  <c r="B763" i="31" s="1"/>
  <c r="E525" i="31"/>
  <c r="C785" i="31" s="1"/>
  <c r="E546" i="31"/>
  <c r="C806" i="31" s="1"/>
  <c r="E941" i="31" s="1"/>
  <c r="D534" i="31"/>
  <c r="B794" i="31" s="1"/>
  <c r="D929" i="31" s="1"/>
  <c r="E529" i="31"/>
  <c r="C789" i="31" s="1"/>
  <c r="E924" i="31" s="1"/>
  <c r="D521" i="31"/>
  <c r="B781" i="31" s="1"/>
  <c r="D523" i="31"/>
  <c r="B783" i="31" s="1"/>
  <c r="D530" i="31"/>
  <c r="B790" i="31" s="1"/>
  <c r="D925" i="31" s="1"/>
  <c r="E537" i="31"/>
  <c r="C797" i="31" s="1"/>
  <c r="E932" i="31" s="1"/>
  <c r="E549" i="31"/>
  <c r="C809" i="31" s="1"/>
  <c r="E944" i="31" s="1"/>
  <c r="D543" i="31"/>
  <c r="B803" i="31" s="1"/>
  <c r="D938" i="31" s="1"/>
  <c r="E550" i="31"/>
  <c r="C810" i="31" s="1"/>
  <c r="E945" i="31" s="1"/>
  <c r="E536" i="31"/>
  <c r="C796" i="31" s="1"/>
  <c r="E931" i="31" s="1"/>
  <c r="D554" i="31"/>
  <c r="B814" i="31" s="1"/>
  <c r="E518" i="31"/>
  <c r="C778" i="31" s="1"/>
  <c r="DY66" i="10"/>
  <c r="EB66" i="10" s="1"/>
  <c r="E516" i="31"/>
  <c r="C776" i="31" s="1"/>
  <c r="E504" i="31"/>
  <c r="C764" i="31" s="1"/>
  <c r="D552" i="31"/>
  <c r="B812" i="31" s="1"/>
  <c r="E514" i="31"/>
  <c r="C774" i="31" s="1"/>
  <c r="E511" i="31"/>
  <c r="C771" i="31" s="1"/>
  <c r="E517" i="31"/>
  <c r="C777" i="31" s="1"/>
  <c r="E533" i="31"/>
  <c r="C793" i="31" s="1"/>
  <c r="E928" i="31" s="1"/>
  <c r="E521" i="31"/>
  <c r="C781" i="31" s="1"/>
  <c r="E510" i="31"/>
  <c r="C770" i="31" s="1"/>
  <c r="D531" i="31"/>
  <c r="B791" i="31" s="1"/>
  <c r="D926" i="31" s="1"/>
  <c r="D549" i="31"/>
  <c r="B809" i="31" s="1"/>
  <c r="D944" i="31" s="1"/>
  <c r="D524" i="31"/>
  <c r="B784" i="31" s="1"/>
  <c r="D550" i="31"/>
  <c r="B810" i="31" s="1"/>
  <c r="D945" i="31" s="1"/>
  <c r="D536" i="31"/>
  <c r="B796" i="31" s="1"/>
  <c r="D931" i="31" s="1"/>
  <c r="D540" i="31"/>
  <c r="B800" i="31" s="1"/>
  <c r="D935" i="31" s="1"/>
  <c r="D559" i="31"/>
  <c r="B819" i="31" s="1"/>
  <c r="D954" i="31" s="1"/>
  <c r="E542" i="31"/>
  <c r="C802" i="31" s="1"/>
  <c r="E937" i="31" s="1"/>
  <c r="D500" i="31"/>
  <c r="B760" i="31" s="1"/>
  <c r="D895" i="31" s="1"/>
  <c r="D515" i="31"/>
  <c r="B775" i="31" s="1"/>
  <c r="EI69" i="10"/>
  <c r="L524" i="30" s="1"/>
  <c r="I524" i="30"/>
  <c r="H529" i="31"/>
  <c r="EI65" i="10"/>
  <c r="L523" i="30" s="1"/>
  <c r="I523" i="30"/>
  <c r="I499" i="31"/>
  <c r="EI113" i="10"/>
  <c r="L538" i="30" s="1"/>
  <c r="I538" i="30"/>
  <c r="DZ109" i="10"/>
  <c r="DY109" i="10" s="1"/>
  <c r="C536" i="30" s="1"/>
  <c r="DY76" i="10"/>
  <c r="EC76" i="10" s="1"/>
  <c r="DZ95" i="10"/>
  <c r="DY95" i="10" s="1"/>
  <c r="C530" i="30" s="1"/>
  <c r="I540" i="31"/>
  <c r="I526" i="31"/>
  <c r="H538" i="31"/>
  <c r="H521" i="31"/>
  <c r="H532" i="31"/>
  <c r="O689" i="31"/>
  <c r="M689" i="31"/>
  <c r="M671" i="31"/>
  <c r="O671" i="31"/>
  <c r="O685" i="31"/>
  <c r="M685" i="31"/>
  <c r="M950" i="31"/>
  <c r="O950" i="31"/>
  <c r="H530" i="31"/>
  <c r="H559" i="31"/>
  <c r="M653" i="31"/>
  <c r="O653" i="31"/>
  <c r="O918" i="31"/>
  <c r="M918" i="31"/>
  <c r="O650" i="31"/>
  <c r="M650" i="31"/>
  <c r="O915" i="31"/>
  <c r="M915" i="31"/>
  <c r="M669" i="31"/>
  <c r="O669" i="31"/>
  <c r="I531" i="31"/>
  <c r="H519" i="31"/>
  <c r="DY122" i="10"/>
  <c r="EC122" i="10" s="1"/>
  <c r="I530" i="31"/>
  <c r="H558" i="31"/>
  <c r="EI97" i="10"/>
  <c r="L531" i="30" s="1"/>
  <c r="I531" i="30"/>
  <c r="I546" i="31"/>
  <c r="H510" i="31"/>
  <c r="H539" i="31"/>
  <c r="H557" i="31"/>
  <c r="I529" i="31"/>
  <c r="I501" i="31"/>
  <c r="H541" i="31"/>
  <c r="M649" i="31"/>
  <c r="O649" i="31"/>
  <c r="O914" i="31"/>
  <c r="M914" i="31"/>
  <c r="M662" i="31"/>
  <c r="O662" i="31"/>
  <c r="O638" i="31"/>
  <c r="M638" i="31"/>
  <c r="O903" i="31"/>
  <c r="M903" i="31"/>
  <c r="H549" i="31"/>
  <c r="H546" i="31"/>
  <c r="H508" i="31"/>
  <c r="EI95" i="10"/>
  <c r="L530" i="30" s="1"/>
  <c r="I530" i="30"/>
  <c r="EI117" i="10"/>
  <c r="L539" i="30" s="1"/>
  <c r="I539" i="30"/>
  <c r="EI99" i="10"/>
  <c r="L532" i="30" s="1"/>
  <c r="I532" i="30"/>
  <c r="H531" i="31"/>
  <c r="H499" i="31"/>
  <c r="I549" i="31"/>
  <c r="I558" i="31"/>
  <c r="EI77" i="10"/>
  <c r="L526" i="30" s="1"/>
  <c r="I526" i="30"/>
  <c r="EI121" i="10"/>
  <c r="L540" i="30" s="1"/>
  <c r="I540" i="30"/>
  <c r="H540" i="31"/>
  <c r="H526" i="31"/>
  <c r="EI87" i="10"/>
  <c r="L527" i="30" s="1"/>
  <c r="I527" i="30"/>
  <c r="DZ87" i="10"/>
  <c r="H555" i="31"/>
  <c r="I538" i="31"/>
  <c r="O651" i="31"/>
  <c r="M651" i="31"/>
  <c r="O916" i="31"/>
  <c r="M916" i="31"/>
  <c r="O640" i="31"/>
  <c r="M640" i="31"/>
  <c r="O905" i="31"/>
  <c r="M905" i="31"/>
  <c r="O687" i="31"/>
  <c r="M687" i="31"/>
  <c r="M952" i="31"/>
  <c r="O952" i="31"/>
  <c r="DY100" i="10"/>
  <c r="EC100" i="10" s="1"/>
  <c r="EI79" i="10"/>
  <c r="B31" i="10"/>
  <c r="A121" i="33"/>
  <c r="D204" i="31"/>
  <c r="B30" i="10"/>
  <c r="A120" i="33"/>
  <c r="D203" i="31"/>
  <c r="DY103" i="10"/>
  <c r="EC103" i="10" s="1"/>
  <c r="DY81" i="10"/>
  <c r="EC81" i="10" s="1"/>
  <c r="EI72" i="10"/>
  <c r="EH72" i="10" s="1"/>
  <c r="EI78" i="10"/>
  <c r="DY106" i="10"/>
  <c r="EC106" i="10" s="1"/>
  <c r="EI73" i="10"/>
  <c r="L525" i="30" s="1"/>
  <c r="DY118" i="10"/>
  <c r="EC118" i="10" s="1"/>
  <c r="DY125" i="10"/>
  <c r="EC125" i="10" s="1"/>
  <c r="DY110" i="10"/>
  <c r="EB110" i="10" s="1"/>
  <c r="EH103" i="10"/>
  <c r="EG103" i="10" s="1"/>
  <c r="EH108" i="10"/>
  <c r="EH81" i="10"/>
  <c r="EH104" i="10"/>
  <c r="EH83" i="10"/>
  <c r="EH102" i="10"/>
  <c r="DB93" i="10"/>
  <c r="DA93" i="10"/>
  <c r="DB101" i="10"/>
  <c r="DA101" i="10"/>
  <c r="DZ115" i="10"/>
  <c r="DY115" i="10" s="1"/>
  <c r="DM72" i="10"/>
  <c r="DL72" i="10"/>
  <c r="EH115" i="10"/>
  <c r="EC91" i="10"/>
  <c r="EB91" i="10"/>
  <c r="EH90" i="10"/>
  <c r="DD75" i="10"/>
  <c r="DE75" i="10"/>
  <c r="DL110" i="10"/>
  <c r="DM110" i="10"/>
  <c r="DY90" i="10"/>
  <c r="EH126" i="10"/>
  <c r="DD71" i="10"/>
  <c r="DE71" i="10"/>
  <c r="CW79" i="10"/>
  <c r="CV79" i="10"/>
  <c r="DD77" i="10"/>
  <c r="DE77" i="10"/>
  <c r="DZ113" i="10"/>
  <c r="DY113" i="10" s="1"/>
  <c r="C538" i="30" s="1"/>
  <c r="EC94" i="10"/>
  <c r="EB94" i="10"/>
  <c r="DZ65" i="10"/>
  <c r="DY65" i="10" s="1"/>
  <c r="C523" i="30" s="1"/>
  <c r="DY93" i="10"/>
  <c r="C529" i="30" s="1"/>
  <c r="DB85" i="10"/>
  <c r="DA85" i="10"/>
  <c r="DB126" i="10"/>
  <c r="DA126" i="10"/>
  <c r="EI76" i="10"/>
  <c r="DB114" i="10"/>
  <c r="DA114" i="10"/>
  <c r="DB73" i="10"/>
  <c r="DA73" i="10"/>
  <c r="DM77" i="10"/>
  <c r="DL77" i="10"/>
  <c r="DZ126" i="10"/>
  <c r="DZ80" i="10"/>
  <c r="DM118" i="10"/>
  <c r="DL118" i="10"/>
  <c r="DY104" i="10"/>
  <c r="CW126" i="10"/>
  <c r="CV126" i="10"/>
  <c r="DZ114" i="10"/>
  <c r="DY88" i="10"/>
  <c r="CW88" i="10"/>
  <c r="CV88" i="10"/>
  <c r="DE90" i="10"/>
  <c r="DD90" i="10"/>
  <c r="DE120" i="10"/>
  <c r="DD120" i="10"/>
  <c r="DM80" i="10"/>
  <c r="DL80" i="10"/>
  <c r="DE103" i="10"/>
  <c r="DD103" i="10"/>
  <c r="DE98" i="10"/>
  <c r="DD98" i="10"/>
  <c r="DB109" i="10"/>
  <c r="DA109" i="10"/>
  <c r="EI101" i="10"/>
  <c r="L533" i="30" s="1"/>
  <c r="DB111" i="10"/>
  <c r="DA111" i="10"/>
  <c r="DE102" i="10"/>
  <c r="DD102" i="10"/>
  <c r="DZ101" i="10"/>
  <c r="DY72" i="10"/>
  <c r="CW72" i="10"/>
  <c r="CV72" i="10"/>
  <c r="DZ74" i="10"/>
  <c r="DZ75" i="10"/>
  <c r="CW75" i="10"/>
  <c r="CV75" i="10"/>
  <c r="EC96" i="10"/>
  <c r="EB96" i="10"/>
  <c r="DL69" i="10"/>
  <c r="DM69" i="10"/>
  <c r="DE87" i="10"/>
  <c r="DD87" i="10"/>
  <c r="DB79" i="10"/>
  <c r="DA79" i="10"/>
  <c r="DD106" i="10"/>
  <c r="DE106" i="10"/>
  <c r="DM122" i="10"/>
  <c r="DL122" i="10"/>
  <c r="DY116" i="10"/>
  <c r="DY120" i="10"/>
  <c r="DZ79" i="10"/>
  <c r="DY86" i="10"/>
  <c r="CW86" i="10"/>
  <c r="CV86" i="10"/>
  <c r="EI98" i="10"/>
  <c r="DE122" i="10"/>
  <c r="DD122" i="10"/>
  <c r="EI109" i="10"/>
  <c r="L536" i="30" s="1"/>
  <c r="DD76" i="10"/>
  <c r="DE76" i="10"/>
  <c r="DM88" i="10"/>
  <c r="DL88" i="10"/>
  <c r="DM82" i="10"/>
  <c r="DL82" i="10"/>
  <c r="DL66" i="10"/>
  <c r="DM66" i="10"/>
  <c r="EI93" i="10"/>
  <c r="L529" i="30" s="1"/>
  <c r="DE108" i="10"/>
  <c r="DD108" i="10"/>
  <c r="DE116" i="10"/>
  <c r="DD116" i="10"/>
  <c r="DE88" i="10"/>
  <c r="DD88" i="10"/>
  <c r="DD82" i="10"/>
  <c r="DE82" i="10"/>
  <c r="DD121" i="10"/>
  <c r="DE121" i="10"/>
  <c r="DM117" i="10"/>
  <c r="DL117" i="10"/>
  <c r="EH88" i="10"/>
  <c r="EH124" i="10"/>
  <c r="DE66" i="10"/>
  <c r="DD66" i="10"/>
  <c r="DD113" i="10"/>
  <c r="DE113" i="10"/>
  <c r="DL68" i="10"/>
  <c r="DM68" i="10"/>
  <c r="DM103" i="10"/>
  <c r="DL103" i="10"/>
  <c r="DM70" i="10"/>
  <c r="DL70" i="10"/>
  <c r="DE105" i="10"/>
  <c r="DD105" i="10"/>
  <c r="DZ70" i="10"/>
  <c r="CW117" i="10"/>
  <c r="CV117" i="10"/>
  <c r="EH96" i="10"/>
  <c r="DD104" i="10"/>
  <c r="DE104" i="10"/>
  <c r="DB72" i="10"/>
  <c r="DA72" i="10"/>
  <c r="DB70" i="10"/>
  <c r="DA70" i="10"/>
  <c r="DD68" i="10"/>
  <c r="DE68" i="10"/>
  <c r="EH112" i="10"/>
  <c r="DL120" i="10"/>
  <c r="DM120" i="10"/>
  <c r="DZ78" i="10"/>
  <c r="DZ112" i="10"/>
  <c r="EC98" i="10"/>
  <c r="EB98" i="10"/>
  <c r="DZ89" i="10"/>
  <c r="DM84" i="10"/>
  <c r="DL84" i="10"/>
  <c r="DZ102" i="10"/>
  <c r="DM94" i="10"/>
  <c r="DL94" i="10"/>
  <c r="EH120" i="10"/>
  <c r="DL102" i="10"/>
  <c r="DM102" i="10"/>
  <c r="CW107" i="10"/>
  <c r="CV107" i="10"/>
  <c r="DE94" i="10"/>
  <c r="DD94" i="10"/>
  <c r="DD83" i="10"/>
  <c r="DE83" i="10"/>
  <c r="EH66" i="10"/>
  <c r="DM78" i="10"/>
  <c r="DL78" i="10"/>
  <c r="DM81" i="10"/>
  <c r="DL81" i="10"/>
  <c r="DE65" i="10"/>
  <c r="DD65" i="10"/>
  <c r="EH84" i="10"/>
  <c r="DD74" i="10"/>
  <c r="DE74" i="10"/>
  <c r="DM93" i="10"/>
  <c r="DL93" i="10"/>
  <c r="DD123" i="10"/>
  <c r="DE123" i="10"/>
  <c r="DB125" i="10"/>
  <c r="DA125" i="10"/>
  <c r="EH68" i="10"/>
  <c r="DE99" i="10"/>
  <c r="DD99" i="10"/>
  <c r="DD119" i="10"/>
  <c r="DE119" i="10"/>
  <c r="DM91" i="10"/>
  <c r="DL91" i="10"/>
  <c r="DM100" i="10"/>
  <c r="DL100" i="10"/>
  <c r="DY82" i="10"/>
  <c r="DZ97" i="10"/>
  <c r="D531" i="30" s="1"/>
  <c r="DY92" i="10"/>
  <c r="CW92" i="10"/>
  <c r="CV92" i="10"/>
  <c r="DM90" i="10"/>
  <c r="DL90" i="10"/>
  <c r="DE96" i="10"/>
  <c r="DD96" i="10"/>
  <c r="DD80" i="10"/>
  <c r="DE80" i="10"/>
  <c r="DM113" i="10"/>
  <c r="DL113" i="10"/>
  <c r="DL116" i="10"/>
  <c r="DM116" i="10"/>
  <c r="CW113" i="10"/>
  <c r="CV113" i="10"/>
  <c r="DD81" i="10"/>
  <c r="DE81" i="10"/>
  <c r="DE92" i="10"/>
  <c r="DD92" i="10"/>
  <c r="DD97" i="10"/>
  <c r="DE97" i="10"/>
  <c r="DB91" i="10"/>
  <c r="DA91" i="10"/>
  <c r="DM101" i="10"/>
  <c r="DL101" i="10"/>
  <c r="DZ83" i="10"/>
  <c r="DZ84" i="10"/>
  <c r="EH116" i="10"/>
  <c r="DM73" i="10"/>
  <c r="DL73" i="10"/>
  <c r="CV119" i="10"/>
  <c r="CW119" i="10"/>
  <c r="DY119" i="10"/>
  <c r="EH94" i="10"/>
  <c r="DB67" i="10"/>
  <c r="DA67" i="10"/>
  <c r="DM111" i="10"/>
  <c r="DL111" i="10"/>
  <c r="CW74" i="10"/>
  <c r="CV74" i="10"/>
  <c r="DE95" i="10"/>
  <c r="DD95" i="10"/>
  <c r="EH106" i="10"/>
  <c r="DZ124" i="10"/>
  <c r="DZ108" i="10"/>
  <c r="EH100" i="10"/>
  <c r="EH122" i="10"/>
  <c r="EB67" i="10"/>
  <c r="EC67" i="10"/>
  <c r="EI123" i="10"/>
  <c r="L541" i="30" s="1"/>
  <c r="EI89" i="10"/>
  <c r="L528" i="30" s="1"/>
  <c r="EI74" i="10"/>
  <c r="EI119" i="10"/>
  <c r="EI82" i="10"/>
  <c r="DD117" i="10"/>
  <c r="DE117" i="10"/>
  <c r="EI110" i="10"/>
  <c r="CW105" i="10"/>
  <c r="CV105" i="10"/>
  <c r="DL109" i="10"/>
  <c r="DM109" i="10"/>
  <c r="DZ85" i="10"/>
  <c r="DE107" i="10"/>
  <c r="DD107" i="10"/>
  <c r="EI105" i="10"/>
  <c r="L534" i="30" s="1"/>
  <c r="DM79" i="10"/>
  <c r="DL79" i="10"/>
  <c r="EI92" i="10"/>
  <c r="DD86" i="10"/>
  <c r="DE86" i="10"/>
  <c r="DE100" i="10"/>
  <c r="DD100" i="10"/>
  <c r="EI71" i="10"/>
  <c r="EI70" i="10"/>
  <c r="EI75" i="10"/>
  <c r="EI114" i="10"/>
  <c r="DD112" i="10"/>
  <c r="DE112" i="10"/>
  <c r="DD69" i="10"/>
  <c r="DE69" i="10"/>
  <c r="DM75" i="10"/>
  <c r="DL75" i="10"/>
  <c r="DL99" i="10"/>
  <c r="DM99" i="10"/>
  <c r="DM71" i="10"/>
  <c r="DL71" i="10"/>
  <c r="DE124" i="10"/>
  <c r="DD124" i="10"/>
  <c r="CW101" i="10"/>
  <c r="CV101" i="10"/>
  <c r="EI86" i="10"/>
  <c r="DE89" i="10"/>
  <c r="DD89" i="10"/>
  <c r="EI125" i="10"/>
  <c r="DB118" i="10"/>
  <c r="DA118" i="10"/>
  <c r="DE110" i="10"/>
  <c r="DD110" i="10"/>
  <c r="DB78" i="10"/>
  <c r="DA78" i="10"/>
  <c r="EI80" i="10"/>
  <c r="DM114" i="10"/>
  <c r="DL114" i="10"/>
  <c r="DM126" i="10"/>
  <c r="DL126" i="10"/>
  <c r="DY71" i="10"/>
  <c r="CW71" i="10"/>
  <c r="CV71" i="10"/>
  <c r="EI107" i="10"/>
  <c r="L535" i="30" s="1"/>
  <c r="EI118" i="10"/>
  <c r="EI111" i="10"/>
  <c r="L537" i="30" s="1"/>
  <c r="DL108" i="10"/>
  <c r="DM108" i="10"/>
  <c r="DL119" i="10"/>
  <c r="DM119" i="10"/>
  <c r="DM83" i="10"/>
  <c r="DL83" i="10"/>
  <c r="DD84" i="10"/>
  <c r="DE84" i="10"/>
  <c r="DE115" i="10"/>
  <c r="DD115" i="10"/>
  <c r="A1003" i="33"/>
  <c r="A1004" i="33"/>
  <c r="A1005" i="33"/>
  <c r="A1006" i="33"/>
  <c r="A1007" i="33"/>
  <c r="A1008" i="33"/>
  <c r="A1009" i="33"/>
  <c r="A1010" i="33"/>
  <c r="A1011" i="33"/>
  <c r="A1012" i="33"/>
  <c r="A1013" i="33"/>
  <c r="A1014" i="33"/>
  <c r="A1015" i="33"/>
  <c r="A1016" i="33"/>
  <c r="A1017" i="33"/>
  <c r="A1018" i="33"/>
  <c r="A1019" i="33"/>
  <c r="A1020" i="33"/>
  <c r="A1021" i="33"/>
  <c r="A1022" i="33"/>
  <c r="A1023" i="33"/>
  <c r="A1024" i="33"/>
  <c r="A1025" i="33"/>
  <c r="A1026" i="33"/>
  <c r="A1002" i="33"/>
  <c r="A905" i="33"/>
  <c r="A906" i="33"/>
  <c r="A907" i="33"/>
  <c r="A908" i="33"/>
  <c r="A909" i="33"/>
  <c r="A910" i="33"/>
  <c r="A911" i="33"/>
  <c r="A912" i="33"/>
  <c r="A913" i="33"/>
  <c r="A914" i="33"/>
  <c r="A915" i="33"/>
  <c r="A916" i="33"/>
  <c r="A917" i="33"/>
  <c r="A918" i="33"/>
  <c r="A919" i="33"/>
  <c r="A920" i="33"/>
  <c r="A921" i="33"/>
  <c r="A922" i="33"/>
  <c r="A923" i="33"/>
  <c r="A924" i="33"/>
  <c r="A925" i="33"/>
  <c r="A926" i="33"/>
  <c r="A927" i="33"/>
  <c r="A928" i="33"/>
  <c r="A904" i="33"/>
  <c r="A584" i="33"/>
  <c r="A585" i="33"/>
  <c r="A586" i="33"/>
  <c r="A587" i="33"/>
  <c r="A588" i="33"/>
  <c r="A589" i="33"/>
  <c r="A590" i="33"/>
  <c r="A591" i="33"/>
  <c r="A592" i="33"/>
  <c r="A593" i="33"/>
  <c r="A594" i="33"/>
  <c r="A595" i="33"/>
  <c r="A596" i="33"/>
  <c r="A597" i="33"/>
  <c r="A598" i="33"/>
  <c r="A599" i="33"/>
  <c r="A600" i="33"/>
  <c r="A601" i="33"/>
  <c r="A602" i="33"/>
  <c r="A603" i="33"/>
  <c r="A604" i="33"/>
  <c r="A605" i="33"/>
  <c r="A606" i="33"/>
  <c r="A607" i="33"/>
  <c r="A583" i="33"/>
  <c r="A517" i="33"/>
  <c r="A518" i="33"/>
  <c r="A519" i="33"/>
  <c r="A520" i="33"/>
  <c r="A521" i="33"/>
  <c r="A522" i="33"/>
  <c r="A523" i="33"/>
  <c r="A524" i="33"/>
  <c r="A525" i="33"/>
  <c r="A526" i="33"/>
  <c r="A527" i="33"/>
  <c r="A528" i="33"/>
  <c r="A529" i="33"/>
  <c r="A530" i="33"/>
  <c r="A531" i="33"/>
  <c r="A532" i="33"/>
  <c r="A533" i="33"/>
  <c r="A534" i="33"/>
  <c r="A535" i="33"/>
  <c r="A536" i="33"/>
  <c r="A537" i="33"/>
  <c r="A538" i="33"/>
  <c r="A539" i="33"/>
  <c r="A540" i="33"/>
  <c r="A516" i="33"/>
  <c r="A450" i="33"/>
  <c r="A451" i="33"/>
  <c r="A452" i="33"/>
  <c r="A453" i="33"/>
  <c r="A454" i="33"/>
  <c r="A455" i="33"/>
  <c r="A456" i="33"/>
  <c r="A457" i="33"/>
  <c r="A458" i="33"/>
  <c r="A459" i="33"/>
  <c r="A460" i="33"/>
  <c r="A461" i="33"/>
  <c r="A462" i="33"/>
  <c r="A463" i="33"/>
  <c r="A464" i="33"/>
  <c r="A465" i="33"/>
  <c r="A466" i="33"/>
  <c r="A467" i="33"/>
  <c r="A468" i="33"/>
  <c r="A469" i="33"/>
  <c r="A470" i="33"/>
  <c r="A471" i="33"/>
  <c r="A472" i="33"/>
  <c r="A473" i="33"/>
  <c r="A449" i="33"/>
  <c r="A674" i="33" l="1"/>
  <c r="A815" i="33"/>
  <c r="A675" i="33"/>
  <c r="A816" i="33"/>
  <c r="A930" i="33"/>
  <c r="A750" i="33"/>
  <c r="A541" i="33"/>
  <c r="A749" i="33"/>
  <c r="DY123" i="10"/>
  <c r="C541" i="30" s="1"/>
  <c r="D534" i="30"/>
  <c r="EC121" i="10"/>
  <c r="M555" i="31" s="1"/>
  <c r="EB121" i="10"/>
  <c r="L555" i="31" s="1"/>
  <c r="D540" i="30"/>
  <c r="DY117" i="10"/>
  <c r="C539" i="30" s="1"/>
  <c r="EH99" i="10"/>
  <c r="K532" i="30" s="1"/>
  <c r="EB122" i="10"/>
  <c r="L556" i="31" s="1"/>
  <c r="EC73" i="10"/>
  <c r="G525" i="30" s="1"/>
  <c r="EH121" i="10"/>
  <c r="K540" i="30" s="1"/>
  <c r="D535" i="30"/>
  <c r="EB76" i="10"/>
  <c r="L510" i="31" s="1"/>
  <c r="D525" i="30"/>
  <c r="EB73" i="10"/>
  <c r="L507" i="31" s="1"/>
  <c r="EH117" i="10"/>
  <c r="K539" i="30" s="1"/>
  <c r="D524" i="30"/>
  <c r="A609" i="33"/>
  <c r="A1028" i="33"/>
  <c r="EH69" i="10"/>
  <c r="EG69" i="10" s="1"/>
  <c r="J524" i="30" s="1"/>
  <c r="A475" i="33"/>
  <c r="EB118" i="10"/>
  <c r="L552" i="31" s="1"/>
  <c r="EB77" i="10"/>
  <c r="F526" i="30" s="1"/>
  <c r="A929" i="33"/>
  <c r="EC68" i="10"/>
  <c r="M502" i="31" s="1"/>
  <c r="EC77" i="10"/>
  <c r="M511" i="31" s="1"/>
  <c r="A474" i="33"/>
  <c r="A1027" i="33"/>
  <c r="A608" i="33"/>
  <c r="EH97" i="10"/>
  <c r="EG97" i="10" s="1"/>
  <c r="J531" i="30" s="1"/>
  <c r="D526" i="30"/>
  <c r="DY99" i="10"/>
  <c r="C532" i="30" s="1"/>
  <c r="EC66" i="10"/>
  <c r="M500" i="31" s="1"/>
  <c r="EH95" i="10"/>
  <c r="EG95" i="10" s="1"/>
  <c r="J530" i="30" s="1"/>
  <c r="EC110" i="10"/>
  <c r="M544" i="31" s="1"/>
  <c r="B96" i="10"/>
  <c r="B157" i="30" s="1"/>
  <c r="B923" i="31"/>
  <c r="A658" i="31"/>
  <c r="D398" i="31"/>
  <c r="D269" i="31"/>
  <c r="D140" i="31"/>
  <c r="A788" i="31"/>
  <c r="A528" i="31"/>
  <c r="B95" i="10"/>
  <c r="B156" i="30" s="1"/>
  <c r="B922" i="31"/>
  <c r="A657" i="31"/>
  <c r="D268" i="31"/>
  <c r="A787" i="31"/>
  <c r="D397" i="31"/>
  <c r="D139" i="31"/>
  <c r="A527" i="31"/>
  <c r="EB106" i="10"/>
  <c r="L540" i="31" s="1"/>
  <c r="EB103" i="10"/>
  <c r="EH73" i="10"/>
  <c r="K525" i="30" s="1"/>
  <c r="EB125" i="10"/>
  <c r="L559" i="31" s="1"/>
  <c r="EG99" i="10"/>
  <c r="J532" i="30" s="1"/>
  <c r="EB100" i="10"/>
  <c r="L534" i="31" s="1"/>
  <c r="EH78" i="10"/>
  <c r="EG78" i="10" s="1"/>
  <c r="EH113" i="10"/>
  <c r="EG113" i="10" s="1"/>
  <c r="J538" i="30" s="1"/>
  <c r="EH65" i="10"/>
  <c r="EG65" i="10" s="1"/>
  <c r="EH77" i="10"/>
  <c r="EG77" i="10" s="1"/>
  <c r="J526" i="30" s="1"/>
  <c r="DY111" i="10"/>
  <c r="EB111" i="10" s="1"/>
  <c r="L545" i="31" s="1"/>
  <c r="EG81" i="10"/>
  <c r="EJ81" i="10" s="1"/>
  <c r="DY70" i="10"/>
  <c r="F518" i="31"/>
  <c r="D778" i="31" s="1"/>
  <c r="G544" i="31"/>
  <c r="E804" i="31" s="1"/>
  <c r="G523" i="31"/>
  <c r="E783" i="31" s="1"/>
  <c r="G558" i="31"/>
  <c r="E818" i="31" s="1"/>
  <c r="G503" i="31"/>
  <c r="E763" i="31" s="1"/>
  <c r="F534" i="31"/>
  <c r="D794" i="31" s="1"/>
  <c r="G541" i="31"/>
  <c r="E801" i="31" s="1"/>
  <c r="D508" i="31"/>
  <c r="B768" i="31" s="1"/>
  <c r="F557" i="31"/>
  <c r="D817" i="31" s="1"/>
  <c r="G517" i="31"/>
  <c r="E777" i="31" s="1"/>
  <c r="D541" i="31"/>
  <c r="B801" i="31" s="1"/>
  <c r="D936" i="31" s="1"/>
  <c r="G520" i="31"/>
  <c r="E780" i="31" s="1"/>
  <c r="G531" i="31"/>
  <c r="E791" i="31" s="1"/>
  <c r="F526" i="31"/>
  <c r="D786" i="31" s="1"/>
  <c r="F530" i="31"/>
  <c r="D790" i="31" s="1"/>
  <c r="F521" i="31"/>
  <c r="D781" i="31" s="1"/>
  <c r="F536" i="31"/>
  <c r="D796" i="31" s="1"/>
  <c r="F549" i="31"/>
  <c r="D809" i="31" s="1"/>
  <c r="G546" i="31"/>
  <c r="E806" i="31" s="1"/>
  <c r="F520" i="31"/>
  <c r="D780" i="31" s="1"/>
  <c r="E539" i="31"/>
  <c r="C799" i="31" s="1"/>
  <c r="E934" i="31" s="1"/>
  <c r="F515" i="31"/>
  <c r="D775" i="31" s="1"/>
  <c r="E547" i="31"/>
  <c r="C807" i="31" s="1"/>
  <c r="E942" i="31" s="1"/>
  <c r="D526" i="31"/>
  <c r="B786" i="31" s="1"/>
  <c r="G553" i="31"/>
  <c r="E813" i="31" s="1"/>
  <c r="F533" i="31"/>
  <c r="D793" i="31" s="1"/>
  <c r="G499" i="31"/>
  <c r="E759" i="31" s="1"/>
  <c r="F517" i="31"/>
  <c r="D777" i="31" s="1"/>
  <c r="G502" i="31"/>
  <c r="E762" i="31" s="1"/>
  <c r="F538" i="31"/>
  <c r="D798" i="31" s="1"/>
  <c r="F555" i="31"/>
  <c r="D815" i="31" s="1"/>
  <c r="F550" i="31"/>
  <c r="D810" i="31" s="1"/>
  <c r="F542" i="31"/>
  <c r="D802" i="31" s="1"/>
  <c r="D509" i="31"/>
  <c r="B769" i="31" s="1"/>
  <c r="EG102" i="10"/>
  <c r="EJ102" i="10" s="1"/>
  <c r="F537" i="31"/>
  <c r="D797" i="31" s="1"/>
  <c r="G554" i="31"/>
  <c r="E814" i="31" s="1"/>
  <c r="G524" i="31"/>
  <c r="E784" i="31" s="1"/>
  <c r="E560" i="31"/>
  <c r="C820" i="31" s="1"/>
  <c r="E955" i="31" s="1"/>
  <c r="F511" i="31"/>
  <c r="D771" i="31" s="1"/>
  <c r="E535" i="31"/>
  <c r="C795" i="31" s="1"/>
  <c r="E930" i="31" s="1"/>
  <c r="G538" i="31"/>
  <c r="E798" i="31" s="1"/>
  <c r="E551" i="31"/>
  <c r="C811" i="31" s="1"/>
  <c r="E946" i="31" s="1"/>
  <c r="G500" i="31"/>
  <c r="E760" i="31" s="1"/>
  <c r="F516" i="31"/>
  <c r="D776" i="31" s="1"/>
  <c r="G522" i="31"/>
  <c r="E782" i="31" s="1"/>
  <c r="G556" i="31"/>
  <c r="E816" i="31" s="1"/>
  <c r="E506" i="31"/>
  <c r="C766" i="31" s="1"/>
  <c r="F554" i="31"/>
  <c r="D814" i="31" s="1"/>
  <c r="D522" i="31"/>
  <c r="B782" i="31" s="1"/>
  <c r="G549" i="31"/>
  <c r="E809" i="31" s="1"/>
  <c r="E505" i="31"/>
  <c r="C765" i="31" s="1"/>
  <c r="F544" i="31"/>
  <c r="D804" i="31" s="1"/>
  <c r="F503" i="31"/>
  <c r="D763" i="31" s="1"/>
  <c r="F546" i="31"/>
  <c r="D806" i="31" s="1"/>
  <c r="G534" i="31"/>
  <c r="E794" i="31" s="1"/>
  <c r="F541" i="31"/>
  <c r="D801" i="31" s="1"/>
  <c r="G551" i="31"/>
  <c r="E811" i="31" s="1"/>
  <c r="E553" i="31"/>
  <c r="C813" i="31" s="1"/>
  <c r="G514" i="31"/>
  <c r="E774" i="31" s="1"/>
  <c r="G530" i="31"/>
  <c r="E790" i="31" s="1"/>
  <c r="G508" i="31"/>
  <c r="E768" i="31" s="1"/>
  <c r="E541" i="31"/>
  <c r="C801" i="31" s="1"/>
  <c r="E936" i="31" s="1"/>
  <c r="D551" i="31"/>
  <c r="B811" i="31" s="1"/>
  <c r="D946" i="31" s="1"/>
  <c r="F522" i="31"/>
  <c r="D782" i="31" s="1"/>
  <c r="G550" i="31"/>
  <c r="E810" i="31" s="1"/>
  <c r="E520" i="31"/>
  <c r="C780" i="31" s="1"/>
  <c r="G540" i="31"/>
  <c r="E800" i="31" s="1"/>
  <c r="G521" i="31"/>
  <c r="E781" i="31" s="1"/>
  <c r="G536" i="31"/>
  <c r="E796" i="31" s="1"/>
  <c r="E522" i="31"/>
  <c r="C782" i="31" s="1"/>
  <c r="D513" i="31"/>
  <c r="B773" i="31" s="1"/>
  <c r="G505" i="31"/>
  <c r="E765" i="31" s="1"/>
  <c r="D505" i="31"/>
  <c r="B765" i="31" s="1"/>
  <c r="G529" i="31"/>
  <c r="E789" i="31" s="1"/>
  <c r="F539" i="31"/>
  <c r="D799" i="31" s="1"/>
  <c r="D520" i="31"/>
  <c r="B780" i="31" s="1"/>
  <c r="G511" i="31"/>
  <c r="E771" i="31" s="1"/>
  <c r="E513" i="31"/>
  <c r="C773" i="31" s="1"/>
  <c r="F509" i="31"/>
  <c r="D769" i="31" s="1"/>
  <c r="F523" i="31"/>
  <c r="D783" i="31" s="1"/>
  <c r="F529" i="31"/>
  <c r="D789" i="31" s="1"/>
  <c r="E508" i="31"/>
  <c r="C768" i="31" s="1"/>
  <c r="F531" i="31"/>
  <c r="D791" i="31" s="1"/>
  <c r="G526" i="31"/>
  <c r="E786" i="31" s="1"/>
  <c r="F528" i="31"/>
  <c r="D788" i="31" s="1"/>
  <c r="F502" i="31"/>
  <c r="D762" i="31" s="1"/>
  <c r="G539" i="31"/>
  <c r="E799" i="31" s="1"/>
  <c r="G547" i="31"/>
  <c r="E807" i="31" s="1"/>
  <c r="G510" i="31"/>
  <c r="E770" i="31" s="1"/>
  <c r="D506" i="31"/>
  <c r="B766" i="31" s="1"/>
  <c r="F532" i="31"/>
  <c r="D792" i="31" s="1"/>
  <c r="A542" i="33"/>
  <c r="G518" i="31"/>
  <c r="E778" i="31" s="1"/>
  <c r="D535" i="31"/>
  <c r="B795" i="31" s="1"/>
  <c r="D930" i="31" s="1"/>
  <c r="F558" i="31"/>
  <c r="D818" i="31" s="1"/>
  <c r="EG100" i="10"/>
  <c r="EK100" i="10" s="1"/>
  <c r="D539" i="31"/>
  <c r="B799" i="31" s="1"/>
  <c r="D934" i="31" s="1"/>
  <c r="F551" i="31"/>
  <c r="D811" i="31" s="1"/>
  <c r="DY74" i="10"/>
  <c r="EB74" i="10" s="1"/>
  <c r="D553" i="31"/>
  <c r="B813" i="31" s="1"/>
  <c r="G515" i="31"/>
  <c r="E775" i="31" s="1"/>
  <c r="D547" i="31"/>
  <c r="B807" i="31" s="1"/>
  <c r="D942" i="31" s="1"/>
  <c r="F514" i="31"/>
  <c r="D774" i="31" s="1"/>
  <c r="EG96" i="10"/>
  <c r="EK96" i="10" s="1"/>
  <c r="E526" i="31"/>
  <c r="C786" i="31" s="1"/>
  <c r="F553" i="31"/>
  <c r="D813" i="31" s="1"/>
  <c r="G533" i="31"/>
  <c r="E793" i="31" s="1"/>
  <c r="G557" i="31"/>
  <c r="E817" i="31" s="1"/>
  <c r="F508" i="31"/>
  <c r="D768" i="31" s="1"/>
  <c r="F499" i="31"/>
  <c r="D759" i="31" s="1"/>
  <c r="G528" i="31"/>
  <c r="E788" i="31" s="1"/>
  <c r="EG104" i="10"/>
  <c r="EJ104" i="10" s="1"/>
  <c r="F547" i="31"/>
  <c r="D807" i="31" s="1"/>
  <c r="F500" i="31"/>
  <c r="D760" i="31" s="1"/>
  <c r="G555" i="31"/>
  <c r="E815" i="31" s="1"/>
  <c r="G516" i="31"/>
  <c r="E776" i="31" s="1"/>
  <c r="G542" i="31"/>
  <c r="E802" i="31" s="1"/>
  <c r="F510" i="31"/>
  <c r="D770" i="31" s="1"/>
  <c r="F556" i="31"/>
  <c r="D816" i="31" s="1"/>
  <c r="F540" i="31"/>
  <c r="D800" i="31" s="1"/>
  <c r="E509" i="31"/>
  <c r="C769" i="31" s="1"/>
  <c r="G532" i="31"/>
  <c r="E792" i="31" s="1"/>
  <c r="G537" i="31"/>
  <c r="E797" i="31" s="1"/>
  <c r="F524" i="31"/>
  <c r="D784" i="31" s="1"/>
  <c r="D560" i="31"/>
  <c r="B820" i="31" s="1"/>
  <c r="D955" i="31" s="1"/>
  <c r="F505" i="31"/>
  <c r="D765" i="31" s="1"/>
  <c r="G509" i="31"/>
  <c r="E769" i="31" s="1"/>
  <c r="M515" i="31"/>
  <c r="M556" i="31"/>
  <c r="I525" i="31"/>
  <c r="I537" i="31"/>
  <c r="H514" i="31"/>
  <c r="M540" i="31"/>
  <c r="O676" i="31"/>
  <c r="M676" i="31"/>
  <c r="L688" i="31"/>
  <c r="N688" i="31"/>
  <c r="N649" i="31"/>
  <c r="L649" i="31"/>
  <c r="N914" i="31"/>
  <c r="L914" i="31"/>
  <c r="N660" i="31"/>
  <c r="L660" i="31"/>
  <c r="L662" i="31"/>
  <c r="N662" i="31"/>
  <c r="I560" i="31"/>
  <c r="I548" i="31"/>
  <c r="I505" i="31"/>
  <c r="H533" i="31"/>
  <c r="H509" i="31"/>
  <c r="I513" i="31"/>
  <c r="I543" i="31"/>
  <c r="EB81" i="10"/>
  <c r="H507" i="31"/>
  <c r="I550" i="31"/>
  <c r="H547" i="31"/>
  <c r="I534" i="31"/>
  <c r="I527" i="31"/>
  <c r="H512" i="31"/>
  <c r="I528" i="31"/>
  <c r="D528" i="30"/>
  <c r="M532" i="31"/>
  <c r="I554" i="31"/>
  <c r="H504" i="31"/>
  <c r="I502" i="31"/>
  <c r="M534" i="31"/>
  <c r="I551" i="31"/>
  <c r="H500" i="31"/>
  <c r="H522" i="31"/>
  <c r="D533" i="30"/>
  <c r="I511" i="31"/>
  <c r="D523" i="30"/>
  <c r="M525" i="31"/>
  <c r="N656" i="31"/>
  <c r="L656" i="31"/>
  <c r="N921" i="31"/>
  <c r="L921" i="31"/>
  <c r="L651" i="31"/>
  <c r="N651" i="31"/>
  <c r="L916" i="31"/>
  <c r="N916" i="31"/>
  <c r="O656" i="31"/>
  <c r="M656" i="31"/>
  <c r="M921" i="31"/>
  <c r="O921" i="31"/>
  <c r="D530" i="30"/>
  <c r="H553" i="31"/>
  <c r="H548" i="31"/>
  <c r="I533" i="31"/>
  <c r="M552" i="31"/>
  <c r="L544" i="31"/>
  <c r="I545" i="31"/>
  <c r="H535" i="31"/>
  <c r="I524" i="31"/>
  <c r="H534" i="31"/>
  <c r="I515" i="31"/>
  <c r="H556" i="31"/>
  <c r="M688" i="31"/>
  <c r="O688" i="31"/>
  <c r="L629" i="31"/>
  <c r="N629" i="31"/>
  <c r="H543" i="31"/>
  <c r="I536" i="31"/>
  <c r="H518" i="31"/>
  <c r="H554" i="31"/>
  <c r="EH79" i="10"/>
  <c r="EG79" i="10" s="1"/>
  <c r="H502" i="31"/>
  <c r="H516" i="31"/>
  <c r="I556" i="31"/>
  <c r="I503" i="31"/>
  <c r="L530" i="31"/>
  <c r="I514" i="31"/>
  <c r="M528" i="31"/>
  <c r="L502" i="31"/>
  <c r="I544" i="31"/>
  <c r="I506" i="31"/>
  <c r="L685" i="31"/>
  <c r="N685" i="31"/>
  <c r="L950" i="31"/>
  <c r="N950" i="31"/>
  <c r="D527" i="30"/>
  <c r="DY87" i="10"/>
  <c r="O679" i="31"/>
  <c r="M679" i="31"/>
  <c r="N661" i="31"/>
  <c r="L661" i="31"/>
  <c r="N638" i="31"/>
  <c r="L638" i="31"/>
  <c r="N903" i="31"/>
  <c r="L903" i="31"/>
  <c r="L679" i="31"/>
  <c r="N679" i="31"/>
  <c r="L671" i="31"/>
  <c r="N671" i="31"/>
  <c r="O659" i="31"/>
  <c r="M659" i="31"/>
  <c r="L687" i="31"/>
  <c r="N687" i="31"/>
  <c r="N952" i="31"/>
  <c r="L952" i="31"/>
  <c r="L640" i="31"/>
  <c r="N640" i="31"/>
  <c r="N905" i="31"/>
  <c r="L905" i="31"/>
  <c r="N650" i="31"/>
  <c r="L650" i="31"/>
  <c r="L915" i="31"/>
  <c r="N915" i="31"/>
  <c r="M660" i="31"/>
  <c r="O660" i="31"/>
  <c r="M661" i="31"/>
  <c r="O661" i="31"/>
  <c r="N689" i="31"/>
  <c r="L689" i="31"/>
  <c r="N653" i="31"/>
  <c r="L653" i="31"/>
  <c r="N918" i="31"/>
  <c r="L918" i="31"/>
  <c r="M629" i="31"/>
  <c r="O629" i="31"/>
  <c r="L659" i="31"/>
  <c r="N659" i="31"/>
  <c r="H517" i="31"/>
  <c r="H542" i="31"/>
  <c r="M537" i="31"/>
  <c r="I518" i="31"/>
  <c r="I500" i="31"/>
  <c r="L500" i="31"/>
  <c r="I516" i="31"/>
  <c r="H552" i="31"/>
  <c r="L528" i="31"/>
  <c r="H506" i="31"/>
  <c r="O668" i="31"/>
  <c r="M668" i="31"/>
  <c r="N676" i="31"/>
  <c r="L676" i="31"/>
  <c r="M631" i="31"/>
  <c r="O631" i="31"/>
  <c r="N669" i="31"/>
  <c r="L669" i="31"/>
  <c r="I517" i="31"/>
  <c r="M501" i="31"/>
  <c r="M559" i="31"/>
  <c r="H545" i="31"/>
  <c r="I535" i="31"/>
  <c r="H550" i="31"/>
  <c r="H525" i="31"/>
  <c r="H515" i="31"/>
  <c r="H537" i="31"/>
  <c r="EG108" i="10"/>
  <c r="EK108" i="10" s="1"/>
  <c r="I552" i="31"/>
  <c r="EG115" i="10"/>
  <c r="EJ115" i="10" s="1"/>
  <c r="I553" i="31"/>
  <c r="I542" i="31"/>
  <c r="H560" i="31"/>
  <c r="H505" i="31"/>
  <c r="I509" i="31"/>
  <c r="H513" i="31"/>
  <c r="L501" i="31"/>
  <c r="I507" i="31"/>
  <c r="I547" i="31"/>
  <c r="H524" i="31"/>
  <c r="EH87" i="10"/>
  <c r="EG87" i="10" s="1"/>
  <c r="H527" i="31"/>
  <c r="I512" i="31"/>
  <c r="H536" i="31"/>
  <c r="H528" i="31"/>
  <c r="L532" i="31"/>
  <c r="I504" i="31"/>
  <c r="H551" i="31"/>
  <c r="I522" i="31"/>
  <c r="H503" i="31"/>
  <c r="M530" i="31"/>
  <c r="H511" i="31"/>
  <c r="D538" i="30"/>
  <c r="H544" i="31"/>
  <c r="M510" i="31"/>
  <c r="L525" i="31"/>
  <c r="L631" i="31"/>
  <c r="N631" i="31"/>
  <c r="N670" i="31"/>
  <c r="L670" i="31"/>
  <c r="N668" i="31"/>
  <c r="L668" i="31"/>
  <c r="O670" i="31"/>
  <c r="M670" i="31"/>
  <c r="D536" i="30"/>
  <c r="B32" i="10"/>
  <c r="D205" i="31"/>
  <c r="A122" i="33"/>
  <c r="B33" i="10"/>
  <c r="A123" i="33"/>
  <c r="D206" i="31"/>
  <c r="EG112" i="10"/>
  <c r="EJ112" i="10" s="1"/>
  <c r="DY75" i="10"/>
  <c r="EC75" i="10" s="1"/>
  <c r="DY101" i="10"/>
  <c r="EG124" i="10"/>
  <c r="EG120" i="10"/>
  <c r="EK120" i="10" s="1"/>
  <c r="DY83" i="10"/>
  <c r="EC83" i="10" s="1"/>
  <c r="DY108" i="10"/>
  <c r="DY84" i="10"/>
  <c r="EB84" i="10" s="1"/>
  <c r="DY126" i="10"/>
  <c r="EC126" i="10" s="1"/>
  <c r="EH86" i="10"/>
  <c r="EH71" i="10"/>
  <c r="EH123" i="10"/>
  <c r="EG123" i="10" s="1"/>
  <c r="J541" i="30" s="1"/>
  <c r="EG91" i="10"/>
  <c r="DE91" i="10"/>
  <c r="DD91" i="10"/>
  <c r="EC92" i="10"/>
  <c r="EB92" i="10"/>
  <c r="EB69" i="10"/>
  <c r="EC69" i="10"/>
  <c r="EB115" i="10"/>
  <c r="EC115" i="10"/>
  <c r="EH93" i="10"/>
  <c r="EB116" i="10"/>
  <c r="EC116" i="10"/>
  <c r="EB109" i="10"/>
  <c r="EC109" i="10"/>
  <c r="EC95" i="10"/>
  <c r="EB95" i="10"/>
  <c r="EC72" i="10"/>
  <c r="EB72" i="10"/>
  <c r="EH101" i="10"/>
  <c r="DD73" i="10"/>
  <c r="DE73" i="10"/>
  <c r="DE85" i="10"/>
  <c r="EG85" i="10"/>
  <c r="DD85" i="10"/>
  <c r="EG84" i="10"/>
  <c r="EH114" i="10"/>
  <c r="EH92" i="10"/>
  <c r="DY85" i="10"/>
  <c r="EC105" i="10"/>
  <c r="EB105" i="10"/>
  <c r="EH110" i="10"/>
  <c r="EH119" i="10"/>
  <c r="DD67" i="10"/>
  <c r="DE67" i="10"/>
  <c r="EG67" i="10"/>
  <c r="DY97" i="10"/>
  <c r="C531" i="30" s="1"/>
  <c r="DE125" i="10"/>
  <c r="DD125" i="10"/>
  <c r="DY114" i="10"/>
  <c r="EC107" i="10"/>
  <c r="EB107" i="10"/>
  <c r="DY112" i="10"/>
  <c r="EG66" i="10"/>
  <c r="EG116" i="10"/>
  <c r="EG122" i="10"/>
  <c r="DE109" i="10"/>
  <c r="DD109" i="10"/>
  <c r="EB65" i="10"/>
  <c r="EC65" i="10"/>
  <c r="EC88" i="10"/>
  <c r="EB88" i="10"/>
  <c r="EB104" i="10"/>
  <c r="EC104" i="10"/>
  <c r="DE126" i="10"/>
  <c r="DD126" i="10"/>
  <c r="EG126" i="10"/>
  <c r="DY79" i="10"/>
  <c r="DE93" i="10"/>
  <c r="DD93" i="10"/>
  <c r="DD79" i="10"/>
  <c r="DE79" i="10"/>
  <c r="EG90" i="10"/>
  <c r="EC123" i="10"/>
  <c r="EB123" i="10"/>
  <c r="EH76" i="10"/>
  <c r="EG76" i="10" s="1"/>
  <c r="DD101" i="10"/>
  <c r="DE101" i="10"/>
  <c r="EH111" i="10"/>
  <c r="EH107" i="10"/>
  <c r="EC71" i="10"/>
  <c r="EB71" i="10"/>
  <c r="EH80" i="10"/>
  <c r="DD118" i="10"/>
  <c r="DE118" i="10"/>
  <c r="EH75" i="10"/>
  <c r="EH82" i="10"/>
  <c r="EH74" i="10"/>
  <c r="EB119" i="10"/>
  <c r="EC119" i="10"/>
  <c r="EC113" i="10"/>
  <c r="EB113" i="10"/>
  <c r="EG94" i="10"/>
  <c r="DY78" i="10"/>
  <c r="DD72" i="10"/>
  <c r="EG72" i="10"/>
  <c r="DE72" i="10"/>
  <c r="EC117" i="10"/>
  <c r="EH109" i="10"/>
  <c r="EH118" i="10"/>
  <c r="DD78" i="10"/>
  <c r="DE78" i="10"/>
  <c r="EH125" i="10"/>
  <c r="DY89" i="10"/>
  <c r="C528" i="30" s="1"/>
  <c r="EH70" i="10"/>
  <c r="EH105" i="10"/>
  <c r="K534" i="30" s="1"/>
  <c r="EH89" i="10"/>
  <c r="K528" i="30" s="1"/>
  <c r="EC82" i="10"/>
  <c r="EB82" i="10"/>
  <c r="EG83" i="10"/>
  <c r="EG68" i="10"/>
  <c r="DD70" i="10"/>
  <c r="DE70" i="10"/>
  <c r="EG88" i="10"/>
  <c r="EH98" i="10"/>
  <c r="EC86" i="10"/>
  <c r="EB86" i="10"/>
  <c r="EB120" i="10"/>
  <c r="EC120" i="10"/>
  <c r="EG106" i="10"/>
  <c r="DE111" i="10"/>
  <c r="DD111" i="10"/>
  <c r="EK103" i="10"/>
  <c r="EJ103" i="10"/>
  <c r="DY80" i="10"/>
  <c r="DD114" i="10"/>
  <c r="DE114" i="10"/>
  <c r="EC93" i="10"/>
  <c r="EB93" i="10"/>
  <c r="EC90" i="10"/>
  <c r="EB90" i="10"/>
  <c r="DY124" i="10"/>
  <c r="DY102" i="10"/>
  <c r="A383" i="33"/>
  <c r="A384" i="33"/>
  <c r="A385" i="33"/>
  <c r="A386" i="33"/>
  <c r="A387" i="33"/>
  <c r="A388" i="33"/>
  <c r="A389" i="33"/>
  <c r="A390" i="33"/>
  <c r="A391" i="33"/>
  <c r="A392" i="33"/>
  <c r="A393" i="33"/>
  <c r="A394" i="33"/>
  <c r="A395" i="33"/>
  <c r="A396" i="33"/>
  <c r="A397" i="33"/>
  <c r="A398" i="33"/>
  <c r="A399" i="33"/>
  <c r="A400" i="33"/>
  <c r="A401" i="33"/>
  <c r="A402" i="33"/>
  <c r="A403" i="33"/>
  <c r="A404" i="33"/>
  <c r="A405" i="33"/>
  <c r="A406" i="33"/>
  <c r="A407" i="33"/>
  <c r="A408" i="33"/>
  <c r="A382" i="33"/>
  <c r="A317" i="33"/>
  <c r="A318" i="33"/>
  <c r="A319" i="33"/>
  <c r="A320" i="33"/>
  <c r="A321" i="33"/>
  <c r="A322" i="33"/>
  <c r="A323" i="33"/>
  <c r="A324" i="33"/>
  <c r="A325" i="33"/>
  <c r="A326" i="33"/>
  <c r="A327" i="33"/>
  <c r="A328" i="33"/>
  <c r="A329" i="33"/>
  <c r="A330" i="33"/>
  <c r="A331" i="33"/>
  <c r="A332" i="33"/>
  <c r="A333" i="33"/>
  <c r="A334" i="33"/>
  <c r="A335" i="33"/>
  <c r="A336" i="33"/>
  <c r="A337" i="33"/>
  <c r="A338" i="33"/>
  <c r="A339" i="33"/>
  <c r="A340" i="33"/>
  <c r="A341" i="33"/>
  <c r="A342" i="33"/>
  <c r="A316" i="33"/>
  <c r="A162" i="33"/>
  <c r="A163" i="33"/>
  <c r="A164" i="33"/>
  <c r="A165" i="33"/>
  <c r="A166" i="33"/>
  <c r="A167" i="33"/>
  <c r="A168" i="33"/>
  <c r="A169" i="33"/>
  <c r="A170" i="33"/>
  <c r="A171" i="33"/>
  <c r="A172" i="33"/>
  <c r="A173" i="33"/>
  <c r="A174" i="33"/>
  <c r="A175" i="33"/>
  <c r="A176" i="33"/>
  <c r="A177" i="33"/>
  <c r="A178" i="33"/>
  <c r="A179" i="33"/>
  <c r="A180" i="33"/>
  <c r="A181" i="33"/>
  <c r="A182" i="33"/>
  <c r="A183" i="33"/>
  <c r="A184" i="33"/>
  <c r="A185" i="33"/>
  <c r="A186" i="33"/>
  <c r="A187" i="33"/>
  <c r="A161" i="33"/>
  <c r="A676" i="33" l="1"/>
  <c r="A817" i="33"/>
  <c r="A677" i="33"/>
  <c r="A818" i="33"/>
  <c r="A410" i="33"/>
  <c r="A752" i="33"/>
  <c r="A343" i="33"/>
  <c r="A751" i="33"/>
  <c r="G540" i="30"/>
  <c r="EG117" i="10"/>
  <c r="J539" i="30" s="1"/>
  <c r="F540" i="30"/>
  <c r="EB117" i="10"/>
  <c r="L551" i="31" s="1"/>
  <c r="EB99" i="10"/>
  <c r="F532" i="30" s="1"/>
  <c r="M507" i="31"/>
  <c r="K767" i="31" s="1"/>
  <c r="K526" i="30"/>
  <c r="F525" i="30"/>
  <c r="EG121" i="10"/>
  <c r="J540" i="30" s="1"/>
  <c r="EC74" i="10"/>
  <c r="M508" i="31" s="1"/>
  <c r="EK99" i="10"/>
  <c r="O533" i="31" s="1"/>
  <c r="G526" i="30"/>
  <c r="EK69" i="10"/>
  <c r="O503" i="31" s="1"/>
  <c r="K523" i="30"/>
  <c r="C537" i="30"/>
  <c r="EC111" i="10"/>
  <c r="M545" i="31" s="1"/>
  <c r="EJ69" i="10"/>
  <c r="M524" i="30" s="1"/>
  <c r="K530" i="30"/>
  <c r="EK97" i="10"/>
  <c r="O531" i="31" s="1"/>
  <c r="L511" i="31"/>
  <c r="L771" i="31" s="1"/>
  <c r="K524" i="30"/>
  <c r="EK102" i="10"/>
  <c r="O536" i="31" s="1"/>
  <c r="F537" i="30"/>
  <c r="EJ97" i="10"/>
  <c r="N531" i="31" s="1"/>
  <c r="EG73" i="10"/>
  <c r="J525" i="30" s="1"/>
  <c r="K531" i="30"/>
  <c r="EK81" i="10"/>
  <c r="O515" i="31" s="1"/>
  <c r="K538" i="30"/>
  <c r="EC99" i="10"/>
  <c r="M533" i="31" s="1"/>
  <c r="EB70" i="10"/>
  <c r="L504" i="31" s="1"/>
  <c r="EJ96" i="10"/>
  <c r="N530" i="31" s="1"/>
  <c r="EC70" i="10"/>
  <c r="M504" i="31" s="1"/>
  <c r="EK77" i="10"/>
  <c r="O511" i="31" s="1"/>
  <c r="EK104" i="10"/>
  <c r="O538" i="31" s="1"/>
  <c r="EJ77" i="10"/>
  <c r="N511" i="31" s="1"/>
  <c r="B97" i="10"/>
  <c r="B158" i="30" s="1"/>
  <c r="A789" i="31"/>
  <c r="A529" i="31"/>
  <c r="A659" i="31"/>
  <c r="D270" i="31"/>
  <c r="B924" i="31"/>
  <c r="D399" i="31"/>
  <c r="D141" i="31"/>
  <c r="B98" i="10"/>
  <c r="B159" i="30" s="1"/>
  <c r="A790" i="31"/>
  <c r="A530" i="31"/>
  <c r="D400" i="31"/>
  <c r="D271" i="31"/>
  <c r="D142" i="31"/>
  <c r="B925" i="31"/>
  <c r="A660" i="31"/>
  <c r="EC84" i="10"/>
  <c r="M518" i="31" s="1"/>
  <c r="J523" i="30"/>
  <c r="EK65" i="10"/>
  <c r="O499" i="31" s="1"/>
  <c r="EJ99" i="10"/>
  <c r="M532" i="30" s="1"/>
  <c r="EB83" i="10"/>
  <c r="L517" i="31" s="1"/>
  <c r="EJ100" i="10"/>
  <c r="N534" i="31" s="1"/>
  <c r="L537" i="31"/>
  <c r="L932" i="31" s="1"/>
  <c r="EK95" i="10"/>
  <c r="O529" i="31" s="1"/>
  <c r="J527" i="30"/>
  <c r="EJ87" i="10"/>
  <c r="M527" i="30" s="1"/>
  <c r="EK87" i="10"/>
  <c r="N527" i="30" s="1"/>
  <c r="G545" i="31"/>
  <c r="E805" i="31" s="1"/>
  <c r="G504" i="31"/>
  <c r="E764" i="31" s="1"/>
  <c r="EG80" i="10"/>
  <c r="EK80" i="10" s="1"/>
  <c r="F506" i="31"/>
  <c r="D766" i="31" s="1"/>
  <c r="G552" i="31"/>
  <c r="E812" i="31" s="1"/>
  <c r="G535" i="31"/>
  <c r="E795" i="31" s="1"/>
  <c r="G513" i="31"/>
  <c r="E773" i="31" s="1"/>
  <c r="F559" i="31"/>
  <c r="D819" i="31" s="1"/>
  <c r="EJ124" i="10"/>
  <c r="N558" i="31" s="1"/>
  <c r="EC108" i="10"/>
  <c r="G507" i="31"/>
  <c r="E767" i="31" s="1"/>
  <c r="G512" i="31"/>
  <c r="E772" i="31" s="1"/>
  <c r="G527" i="31"/>
  <c r="E787" i="31" s="1"/>
  <c r="F543" i="31"/>
  <c r="D803" i="31" s="1"/>
  <c r="G548" i="31"/>
  <c r="E808" i="31" s="1"/>
  <c r="F504" i="31"/>
  <c r="D764" i="31" s="1"/>
  <c r="F512" i="31"/>
  <c r="D772" i="31" s="1"/>
  <c r="F552" i="31"/>
  <c r="D812" i="31" s="1"/>
  <c r="F535" i="31"/>
  <c r="D795" i="31" s="1"/>
  <c r="F513" i="31"/>
  <c r="D773" i="31" s="1"/>
  <c r="F527" i="31"/>
  <c r="D787" i="31" s="1"/>
  <c r="F560" i="31"/>
  <c r="D820" i="31" s="1"/>
  <c r="G543" i="31"/>
  <c r="E803" i="31" s="1"/>
  <c r="EK124" i="10"/>
  <c r="O558" i="31" s="1"/>
  <c r="EB108" i="10"/>
  <c r="L542" i="31" s="1"/>
  <c r="F519" i="31"/>
  <c r="D779" i="31" s="1"/>
  <c r="F525" i="31"/>
  <c r="D785" i="31" s="1"/>
  <c r="F548" i="31"/>
  <c r="D808" i="31" s="1"/>
  <c r="F545" i="31"/>
  <c r="D805" i="31" s="1"/>
  <c r="EJ65" i="10"/>
  <c r="N499" i="31" s="1"/>
  <c r="G506" i="31"/>
  <c r="E766" i="31" s="1"/>
  <c r="G560" i="31"/>
  <c r="E820" i="31" s="1"/>
  <c r="G559" i="31"/>
  <c r="E819" i="31" s="1"/>
  <c r="G501" i="31"/>
  <c r="E761" i="31" s="1"/>
  <c r="F507" i="31"/>
  <c r="D767" i="31" s="1"/>
  <c r="F501" i="31"/>
  <c r="D761" i="31" s="1"/>
  <c r="G519" i="31"/>
  <c r="E779" i="31" s="1"/>
  <c r="G525" i="31"/>
  <c r="E785" i="31" s="1"/>
  <c r="A409" i="33"/>
  <c r="A189" i="33"/>
  <c r="A344" i="33"/>
  <c r="A188" i="33"/>
  <c r="N546" i="31"/>
  <c r="M517" i="31"/>
  <c r="M541" i="31"/>
  <c r="G535" i="30"/>
  <c r="M674" i="31"/>
  <c r="O674" i="31"/>
  <c r="J762" i="31"/>
  <c r="L762" i="31"/>
  <c r="O644" i="31"/>
  <c r="M644" i="31"/>
  <c r="O909" i="31"/>
  <c r="M909" i="31"/>
  <c r="M633" i="31"/>
  <c r="O633" i="31"/>
  <c r="O898" i="31"/>
  <c r="M898" i="31"/>
  <c r="N646" i="31"/>
  <c r="L646" i="31"/>
  <c r="L911" i="31"/>
  <c r="N911" i="31"/>
  <c r="N632" i="31"/>
  <c r="L632" i="31"/>
  <c r="N897" i="31"/>
  <c r="L897" i="31"/>
  <c r="M767" i="31"/>
  <c r="M666" i="31"/>
  <c r="O666" i="31"/>
  <c r="N686" i="31"/>
  <c r="L686" i="31"/>
  <c r="N951" i="31"/>
  <c r="L951" i="31"/>
  <c r="N664" i="31"/>
  <c r="L664" i="31"/>
  <c r="N665" i="31"/>
  <c r="L665" i="31"/>
  <c r="L804" i="31"/>
  <c r="J804" i="31"/>
  <c r="N939" i="31"/>
  <c r="L939" i="31"/>
  <c r="M812" i="31"/>
  <c r="K812" i="31"/>
  <c r="N678" i="31"/>
  <c r="L678" i="31"/>
  <c r="M771" i="31"/>
  <c r="K771" i="31"/>
  <c r="L770" i="31"/>
  <c r="J770" i="31"/>
  <c r="L630" i="31"/>
  <c r="N630" i="31"/>
  <c r="M632" i="31"/>
  <c r="O632" i="31"/>
  <c r="O897" i="31"/>
  <c r="M897" i="31"/>
  <c r="M684" i="31"/>
  <c r="O684" i="31"/>
  <c r="O949" i="31"/>
  <c r="M949" i="31"/>
  <c r="L642" i="31"/>
  <c r="N642" i="31"/>
  <c r="L907" i="31"/>
  <c r="N907" i="31"/>
  <c r="L515" i="31"/>
  <c r="M816" i="31"/>
  <c r="K816" i="31"/>
  <c r="L524" i="31"/>
  <c r="L527" i="31"/>
  <c r="F529" i="30"/>
  <c r="L520" i="31"/>
  <c r="L516" i="31"/>
  <c r="L539" i="31"/>
  <c r="F534" i="30"/>
  <c r="L557" i="31"/>
  <c r="F541" i="30"/>
  <c r="O554" i="31"/>
  <c r="K533" i="30"/>
  <c r="L506" i="31"/>
  <c r="M550" i="31"/>
  <c r="L549" i="31"/>
  <c r="C533" i="30"/>
  <c r="J794" i="31"/>
  <c r="L794" i="31"/>
  <c r="N929" i="31"/>
  <c r="L929" i="31"/>
  <c r="K537" i="30"/>
  <c r="N549" i="31"/>
  <c r="M529" i="31"/>
  <c r="G530" i="30"/>
  <c r="M543" i="31"/>
  <c r="G536" i="30"/>
  <c r="L550" i="31"/>
  <c r="K529" i="30"/>
  <c r="M560" i="31"/>
  <c r="M509" i="31"/>
  <c r="L812" i="31"/>
  <c r="J812" i="31"/>
  <c r="M647" i="31"/>
  <c r="O647" i="31"/>
  <c r="O912" i="31"/>
  <c r="M912" i="31"/>
  <c r="O646" i="31"/>
  <c r="M646" i="31"/>
  <c r="M911" i="31"/>
  <c r="O911" i="31"/>
  <c r="N672" i="31"/>
  <c r="L672" i="31"/>
  <c r="N684" i="31"/>
  <c r="L684" i="31"/>
  <c r="N949" i="31"/>
  <c r="L949" i="31"/>
  <c r="M667" i="31"/>
  <c r="O667" i="31"/>
  <c r="M524" i="31"/>
  <c r="L554" i="31"/>
  <c r="M520" i="31"/>
  <c r="N538" i="31"/>
  <c r="M516" i="31"/>
  <c r="L547" i="31"/>
  <c r="F538" i="30"/>
  <c r="EK112" i="10"/>
  <c r="M505" i="31"/>
  <c r="EK115" i="10"/>
  <c r="M557" i="31"/>
  <c r="G541" i="30"/>
  <c r="EG93" i="10"/>
  <c r="J529" i="30" s="1"/>
  <c r="L522" i="31"/>
  <c r="EJ108" i="10"/>
  <c r="L541" i="31"/>
  <c r="F535" i="30"/>
  <c r="M539" i="31"/>
  <c r="G534" i="30"/>
  <c r="N536" i="31"/>
  <c r="M506" i="31"/>
  <c r="L543" i="31"/>
  <c r="F536" i="30"/>
  <c r="M503" i="31"/>
  <c r="G524" i="30"/>
  <c r="EJ95" i="10"/>
  <c r="EC101" i="10"/>
  <c r="M770" i="31"/>
  <c r="K770" i="31"/>
  <c r="K790" i="31"/>
  <c r="M790" i="31"/>
  <c r="O925" i="31"/>
  <c r="M925" i="31"/>
  <c r="M652" i="31"/>
  <c r="O652" i="31"/>
  <c r="M917" i="31"/>
  <c r="O917" i="31"/>
  <c r="L681" i="31"/>
  <c r="N681" i="31"/>
  <c r="L792" i="31"/>
  <c r="J792" i="31"/>
  <c r="N927" i="31"/>
  <c r="L927" i="31"/>
  <c r="N666" i="31"/>
  <c r="L666" i="31"/>
  <c r="O682" i="31"/>
  <c r="M682" i="31"/>
  <c r="M947" i="31"/>
  <c r="O947" i="31"/>
  <c r="K819" i="31"/>
  <c r="M819" i="31"/>
  <c r="M954" i="31"/>
  <c r="O954" i="31"/>
  <c r="O648" i="31"/>
  <c r="M648" i="31"/>
  <c r="M913" i="31"/>
  <c r="O913" i="31"/>
  <c r="M636" i="31"/>
  <c r="O636" i="31"/>
  <c r="M901" i="31"/>
  <c r="O901" i="31"/>
  <c r="L800" i="31"/>
  <c r="J800" i="31"/>
  <c r="N935" i="31"/>
  <c r="L935" i="31"/>
  <c r="M788" i="31"/>
  <c r="K788" i="31"/>
  <c r="O923" i="31"/>
  <c r="M923" i="31"/>
  <c r="J790" i="31"/>
  <c r="L790" i="31"/>
  <c r="L925" i="31"/>
  <c r="N925" i="31"/>
  <c r="O686" i="31"/>
  <c r="M686" i="31"/>
  <c r="O951" i="31"/>
  <c r="M951" i="31"/>
  <c r="L648" i="31"/>
  <c r="N648" i="31"/>
  <c r="N913" i="31"/>
  <c r="L913" i="31"/>
  <c r="L673" i="31"/>
  <c r="N673" i="31"/>
  <c r="L816" i="31"/>
  <c r="J816" i="31"/>
  <c r="M645" i="31"/>
  <c r="O645" i="31"/>
  <c r="M910" i="31"/>
  <c r="O910" i="31"/>
  <c r="O654" i="31"/>
  <c r="M654" i="31"/>
  <c r="O919" i="31"/>
  <c r="M919" i="31"/>
  <c r="M675" i="31"/>
  <c r="O675" i="31"/>
  <c r="M663" i="31"/>
  <c r="O663" i="31"/>
  <c r="L683" i="31"/>
  <c r="N683" i="31"/>
  <c r="L948" i="31"/>
  <c r="N948" i="31"/>
  <c r="M785" i="31"/>
  <c r="K785" i="31"/>
  <c r="K762" i="31"/>
  <c r="M762" i="31"/>
  <c r="O641" i="31"/>
  <c r="M641" i="31"/>
  <c r="O906" i="31"/>
  <c r="M906" i="31"/>
  <c r="N652" i="31"/>
  <c r="L652" i="31"/>
  <c r="L917" i="31"/>
  <c r="N917" i="31"/>
  <c r="K794" i="31"/>
  <c r="M794" i="31"/>
  <c r="O929" i="31"/>
  <c r="M929" i="31"/>
  <c r="L634" i="31"/>
  <c r="N634" i="31"/>
  <c r="L899" i="31"/>
  <c r="N899" i="31"/>
  <c r="K792" i="31"/>
  <c r="M792" i="31"/>
  <c r="O927" i="31"/>
  <c r="M927" i="31"/>
  <c r="M658" i="31"/>
  <c r="O658" i="31"/>
  <c r="M657" i="31"/>
  <c r="O657" i="31"/>
  <c r="O922" i="31"/>
  <c r="M922" i="31"/>
  <c r="J805" i="31"/>
  <c r="L805" i="31"/>
  <c r="L940" i="31"/>
  <c r="N940" i="31"/>
  <c r="K775" i="31"/>
  <c r="M775" i="31"/>
  <c r="M551" i="31"/>
  <c r="G539" i="30"/>
  <c r="M547" i="31"/>
  <c r="G538" i="30"/>
  <c r="L553" i="31"/>
  <c r="L505" i="31"/>
  <c r="L518" i="31"/>
  <c r="L538" i="31"/>
  <c r="M522" i="31"/>
  <c r="L499" i="31"/>
  <c r="F523" i="30"/>
  <c r="O542" i="31"/>
  <c r="L785" i="31"/>
  <c r="J785" i="31"/>
  <c r="N674" i="31"/>
  <c r="L674" i="31"/>
  <c r="L641" i="31"/>
  <c r="N641" i="31"/>
  <c r="N906" i="31"/>
  <c r="L906" i="31"/>
  <c r="L633" i="31"/>
  <c r="N633" i="31"/>
  <c r="L898" i="31"/>
  <c r="N898" i="31"/>
  <c r="K760" i="31"/>
  <c r="M760" i="31"/>
  <c r="M895" i="31"/>
  <c r="O895" i="31"/>
  <c r="N658" i="31"/>
  <c r="L658" i="31"/>
  <c r="J767" i="31"/>
  <c r="L767" i="31"/>
  <c r="M527" i="31"/>
  <c r="G529" i="30"/>
  <c r="O537" i="31"/>
  <c r="M554" i="31"/>
  <c r="L508" i="31"/>
  <c r="K536" i="30"/>
  <c r="L526" i="31"/>
  <c r="N515" i="31"/>
  <c r="K541" i="30"/>
  <c r="K815" i="31"/>
  <c r="M815" i="31"/>
  <c r="N657" i="31"/>
  <c r="L657" i="31"/>
  <c r="L922" i="31"/>
  <c r="N922" i="31"/>
  <c r="L654" i="31"/>
  <c r="N654" i="31"/>
  <c r="N919" i="31"/>
  <c r="L919" i="31"/>
  <c r="M637" i="31"/>
  <c r="O637" i="31"/>
  <c r="M902" i="31"/>
  <c r="O902" i="31"/>
  <c r="L761" i="31"/>
  <c r="J761" i="31"/>
  <c r="N896" i="31"/>
  <c r="L896" i="31"/>
  <c r="O639" i="31"/>
  <c r="M639" i="31"/>
  <c r="O904" i="31"/>
  <c r="M904" i="31"/>
  <c r="L635" i="31"/>
  <c r="N635" i="31"/>
  <c r="N900" i="31"/>
  <c r="L900" i="31"/>
  <c r="O672" i="31"/>
  <c r="M672" i="31"/>
  <c r="L667" i="31"/>
  <c r="N667" i="31"/>
  <c r="L655" i="31"/>
  <c r="N655" i="31"/>
  <c r="N920" i="31"/>
  <c r="L920" i="31"/>
  <c r="M665" i="31"/>
  <c r="O665" i="31"/>
  <c r="J788" i="31"/>
  <c r="L788" i="31"/>
  <c r="L923" i="31"/>
  <c r="N923" i="31"/>
  <c r="M630" i="31"/>
  <c r="O630" i="31"/>
  <c r="L815" i="31"/>
  <c r="J815" i="31"/>
  <c r="C527" i="30"/>
  <c r="EB87" i="10"/>
  <c r="EC87" i="10"/>
  <c r="O664" i="31"/>
  <c r="M664" i="31"/>
  <c r="O680" i="31"/>
  <c r="M680" i="31"/>
  <c r="L819" i="31"/>
  <c r="J819" i="31"/>
  <c r="N954" i="31"/>
  <c r="L954" i="31"/>
  <c r="M673" i="31"/>
  <c r="O673" i="31"/>
  <c r="L639" i="31"/>
  <c r="N639" i="31"/>
  <c r="N904" i="31"/>
  <c r="L904" i="31"/>
  <c r="M635" i="31"/>
  <c r="O635" i="31"/>
  <c r="M900" i="31"/>
  <c r="O900" i="31"/>
  <c r="O690" i="31"/>
  <c r="M690" i="31"/>
  <c r="K800" i="31"/>
  <c r="M800" i="31"/>
  <c r="O935" i="31"/>
  <c r="M935" i="31"/>
  <c r="EG75" i="10"/>
  <c r="EK75" i="10" s="1"/>
  <c r="EG71" i="10"/>
  <c r="EK71" i="10" s="1"/>
  <c r="EG114" i="10"/>
  <c r="EJ114" i="10" s="1"/>
  <c r="N537" i="31"/>
  <c r="EG111" i="10"/>
  <c r="J537" i="30" s="1"/>
  <c r="O530" i="31"/>
  <c r="M553" i="31"/>
  <c r="K535" i="30"/>
  <c r="EG101" i="10"/>
  <c r="J533" i="30" s="1"/>
  <c r="EB75" i="10"/>
  <c r="M538" i="31"/>
  <c r="M499" i="31"/>
  <c r="G523" i="30"/>
  <c r="EG86" i="10"/>
  <c r="EJ86" i="10" s="1"/>
  <c r="EB126" i="10"/>
  <c r="L529" i="31"/>
  <c r="F530" i="30"/>
  <c r="M549" i="31"/>
  <c r="L503" i="31"/>
  <c r="F524" i="30"/>
  <c r="M526" i="31"/>
  <c r="O534" i="31"/>
  <c r="O634" i="31"/>
  <c r="M634" i="31"/>
  <c r="M899" i="31"/>
  <c r="O899" i="31"/>
  <c r="O642" i="31"/>
  <c r="M642" i="31"/>
  <c r="O907" i="31"/>
  <c r="M907" i="31"/>
  <c r="K527" i="30"/>
  <c r="O677" i="31"/>
  <c r="M677" i="31"/>
  <c r="M804" i="31"/>
  <c r="K804" i="31"/>
  <c r="O939" i="31"/>
  <c r="M939" i="31"/>
  <c r="N643" i="31"/>
  <c r="L643" i="31"/>
  <c r="N908" i="31"/>
  <c r="L908" i="31"/>
  <c r="N690" i="31"/>
  <c r="L690" i="31"/>
  <c r="O683" i="31"/>
  <c r="M683" i="31"/>
  <c r="M948" i="31"/>
  <c r="O948" i="31"/>
  <c r="L645" i="31"/>
  <c r="N645" i="31"/>
  <c r="L910" i="31"/>
  <c r="N910" i="31"/>
  <c r="L680" i="31"/>
  <c r="N680" i="31"/>
  <c r="L675" i="31"/>
  <c r="N675" i="31"/>
  <c r="M761" i="31"/>
  <c r="K761" i="31"/>
  <c r="O896" i="31"/>
  <c r="M896" i="31"/>
  <c r="L636" i="31"/>
  <c r="N636" i="31"/>
  <c r="L901" i="31"/>
  <c r="N901" i="31"/>
  <c r="N682" i="31"/>
  <c r="L682" i="31"/>
  <c r="L947" i="31"/>
  <c r="N947" i="31"/>
  <c r="J760" i="31"/>
  <c r="L760" i="31"/>
  <c r="N895" i="31"/>
  <c r="L895" i="31"/>
  <c r="M797" i="31"/>
  <c r="K797" i="31"/>
  <c r="M932" i="31"/>
  <c r="O932" i="31"/>
  <c r="L647" i="31"/>
  <c r="N647" i="31"/>
  <c r="N912" i="31"/>
  <c r="L912" i="31"/>
  <c r="O681" i="31"/>
  <c r="M681" i="31"/>
  <c r="L677" i="31"/>
  <c r="N677" i="31"/>
  <c r="N637" i="31"/>
  <c r="L637" i="31"/>
  <c r="N902" i="31"/>
  <c r="L902" i="31"/>
  <c r="O643" i="31"/>
  <c r="M643" i="31"/>
  <c r="M908" i="31"/>
  <c r="O908" i="31"/>
  <c r="L663" i="31"/>
  <c r="N663" i="31"/>
  <c r="O678" i="31"/>
  <c r="M678" i="31"/>
  <c r="L644" i="31"/>
  <c r="N644" i="31"/>
  <c r="L909" i="31"/>
  <c r="N909" i="31"/>
  <c r="M655" i="31"/>
  <c r="O655" i="31"/>
  <c r="O920" i="31"/>
  <c r="M920" i="31"/>
  <c r="B35" i="10"/>
  <c r="D208" i="31"/>
  <c r="A125" i="33"/>
  <c r="A820" i="33" s="1"/>
  <c r="A1029" i="33"/>
  <c r="A610" i="33"/>
  <c r="A476" i="33"/>
  <c r="A931" i="33"/>
  <c r="A543" i="33"/>
  <c r="EB101" i="10"/>
  <c r="A932" i="33"/>
  <c r="A544" i="33"/>
  <c r="A1030" i="33"/>
  <c r="A611" i="33"/>
  <c r="A477" i="33"/>
  <c r="B34" i="10"/>
  <c r="A124" i="33"/>
  <c r="A819" i="33" s="1"/>
  <c r="D207" i="31"/>
  <c r="EJ120" i="10"/>
  <c r="EG70" i="10"/>
  <c r="EK70" i="10" s="1"/>
  <c r="EG74" i="10"/>
  <c r="EC124" i="10"/>
  <c r="EB124" i="10"/>
  <c r="EC78" i="10"/>
  <c r="EB78" i="10"/>
  <c r="EK94" i="10"/>
  <c r="EJ94" i="10"/>
  <c r="EG118" i="10"/>
  <c r="EJ79" i="10"/>
  <c r="EK79" i="10"/>
  <c r="EC79" i="10"/>
  <c r="EB79" i="10"/>
  <c r="EK122" i="10"/>
  <c r="EJ122" i="10"/>
  <c r="EJ113" i="10"/>
  <c r="EK113" i="10"/>
  <c r="EC114" i="10"/>
  <c r="EB114" i="10"/>
  <c r="EG125" i="10"/>
  <c r="EG92" i="10"/>
  <c r="EJ84" i="10"/>
  <c r="EK84" i="10"/>
  <c r="EJ85" i="10"/>
  <c r="EK85" i="10"/>
  <c r="EG82" i="10"/>
  <c r="EB102" i="10"/>
  <c r="EC102" i="10"/>
  <c r="EC80" i="10"/>
  <c r="EB80" i="10"/>
  <c r="EJ68" i="10"/>
  <c r="EK68" i="10"/>
  <c r="EJ83" i="10"/>
  <c r="EK83" i="10"/>
  <c r="EG89" i="10"/>
  <c r="J528" i="30" s="1"/>
  <c r="EG105" i="10"/>
  <c r="J534" i="30" s="1"/>
  <c r="EJ72" i="10"/>
  <c r="EK72" i="10"/>
  <c r="EG98" i="10"/>
  <c r="EG109" i="10"/>
  <c r="J536" i="30" s="1"/>
  <c r="EC112" i="10"/>
  <c r="EB112" i="10"/>
  <c r="EJ67" i="10"/>
  <c r="EK67" i="10"/>
  <c r="EG110" i="10"/>
  <c r="EJ106" i="10"/>
  <c r="EK106" i="10"/>
  <c r="EK88" i="10"/>
  <c r="EJ88" i="10"/>
  <c r="EC89" i="10"/>
  <c r="EB89" i="10"/>
  <c r="EJ78" i="10"/>
  <c r="EK78" i="10"/>
  <c r="EK90" i="10"/>
  <c r="EJ90" i="10"/>
  <c r="EK126" i="10"/>
  <c r="EJ126" i="10"/>
  <c r="EK116" i="10"/>
  <c r="EJ116" i="10"/>
  <c r="EK123" i="10"/>
  <c r="EJ123" i="10"/>
  <c r="EC85" i="10"/>
  <c r="EB85" i="10"/>
  <c r="EK91" i="10"/>
  <c r="EJ91" i="10"/>
  <c r="EJ76" i="10"/>
  <c r="EK76" i="10"/>
  <c r="EG107" i="10"/>
  <c r="J535" i="30" s="1"/>
  <c r="EJ66" i="10"/>
  <c r="EK66" i="10"/>
  <c r="EC97" i="10"/>
  <c r="EB97" i="10"/>
  <c r="EG119" i="10"/>
  <c r="A754" i="33" l="1"/>
  <c r="A679" i="33"/>
  <c r="A753" i="33"/>
  <c r="A678" i="33"/>
  <c r="EK117" i="10"/>
  <c r="EJ117" i="10"/>
  <c r="N551" i="31" s="1"/>
  <c r="L533" i="31"/>
  <c r="F539" i="30"/>
  <c r="EJ73" i="10"/>
  <c r="N503" i="31"/>
  <c r="H763" i="31" s="1"/>
  <c r="EJ121" i="10"/>
  <c r="N555" i="31" s="1"/>
  <c r="N524" i="30"/>
  <c r="EK121" i="10"/>
  <c r="N532" i="30"/>
  <c r="J771" i="31"/>
  <c r="M539" i="30"/>
  <c r="M531" i="30"/>
  <c r="G537" i="30"/>
  <c r="N531" i="30"/>
  <c r="EJ71" i="10"/>
  <c r="N505" i="31" s="1"/>
  <c r="EJ80" i="10"/>
  <c r="EJ93" i="10"/>
  <c r="M529" i="30" s="1"/>
  <c r="EJ111" i="10"/>
  <c r="N545" i="31" s="1"/>
  <c r="EK101" i="10"/>
  <c r="O535" i="31" s="1"/>
  <c r="M523" i="30"/>
  <c r="EK73" i="10"/>
  <c r="O507" i="31" s="1"/>
  <c r="G532" i="30"/>
  <c r="O521" i="31"/>
  <c r="G781" i="31" s="1"/>
  <c r="N526" i="30"/>
  <c r="EK93" i="10"/>
  <c r="O527" i="31" s="1"/>
  <c r="L797" i="31"/>
  <c r="N521" i="31"/>
  <c r="H781" i="31" s="1"/>
  <c r="M526" i="30"/>
  <c r="EK86" i="10"/>
  <c r="O520" i="31" s="1"/>
  <c r="EK111" i="10"/>
  <c r="O545" i="31" s="1"/>
  <c r="N530" i="30"/>
  <c r="EK114" i="10"/>
  <c r="O548" i="31" s="1"/>
  <c r="B100" i="10"/>
  <c r="B161" i="30" s="1"/>
  <c r="B927" i="31"/>
  <c r="A662" i="31"/>
  <c r="D402" i="31"/>
  <c r="D273" i="31"/>
  <c r="D144" i="31"/>
  <c r="A792" i="31"/>
  <c r="A532" i="31"/>
  <c r="B99" i="10"/>
  <c r="B160" i="30" s="1"/>
  <c r="B926" i="31"/>
  <c r="A661" i="31"/>
  <c r="A791" i="31"/>
  <c r="D401" i="31"/>
  <c r="D143" i="31"/>
  <c r="A531" i="31"/>
  <c r="D272" i="31"/>
  <c r="J797" i="31"/>
  <c r="N932" i="31"/>
  <c r="N523" i="30"/>
  <c r="M542" i="31"/>
  <c r="O937" i="31" s="1"/>
  <c r="EJ101" i="10"/>
  <c r="N535" i="31" s="1"/>
  <c r="N533" i="31"/>
  <c r="H793" i="31" s="1"/>
  <c r="EJ70" i="10"/>
  <c r="N504" i="31" s="1"/>
  <c r="EJ75" i="10"/>
  <c r="N520" i="31"/>
  <c r="O509" i="31"/>
  <c r="L802" i="31"/>
  <c r="J802" i="31"/>
  <c r="N937" i="31"/>
  <c r="L937" i="31"/>
  <c r="M798" i="31"/>
  <c r="K798" i="31"/>
  <c r="O933" i="31"/>
  <c r="M933" i="31"/>
  <c r="H797" i="31"/>
  <c r="F797" i="31"/>
  <c r="K787" i="31"/>
  <c r="M787" i="31"/>
  <c r="L759" i="31"/>
  <c r="J759" i="31"/>
  <c r="L894" i="31"/>
  <c r="N894" i="31"/>
  <c r="L798" i="31"/>
  <c r="J798" i="31"/>
  <c r="L933" i="31"/>
  <c r="N933" i="31"/>
  <c r="F811" i="31"/>
  <c r="H811" i="31"/>
  <c r="I793" i="31"/>
  <c r="G793" i="31"/>
  <c r="N529" i="31"/>
  <c r="M530" i="30"/>
  <c r="M799" i="31"/>
  <c r="K799" i="31"/>
  <c r="M934" i="31"/>
  <c r="O934" i="31"/>
  <c r="K778" i="31"/>
  <c r="M778" i="31"/>
  <c r="M776" i="31"/>
  <c r="K776" i="31"/>
  <c r="M793" i="31"/>
  <c r="K793" i="31"/>
  <c r="M928" i="31"/>
  <c r="O928" i="31"/>
  <c r="L810" i="31"/>
  <c r="J810" i="31"/>
  <c r="N945" i="31"/>
  <c r="L945" i="31"/>
  <c r="G796" i="31"/>
  <c r="I796" i="31"/>
  <c r="H791" i="31"/>
  <c r="F791" i="31"/>
  <c r="J809" i="31"/>
  <c r="L809" i="31"/>
  <c r="N944" i="31"/>
  <c r="L944" i="31"/>
  <c r="J817" i="31"/>
  <c r="L817" i="31"/>
  <c r="M764" i="31"/>
  <c r="K764" i="31"/>
  <c r="L799" i="31"/>
  <c r="J799" i="31"/>
  <c r="L934" i="31"/>
  <c r="N934" i="31"/>
  <c r="J780" i="31"/>
  <c r="L780" i="31"/>
  <c r="K777" i="31"/>
  <c r="M777" i="31"/>
  <c r="N510" i="31"/>
  <c r="O517" i="31"/>
  <c r="M514" i="31"/>
  <c r="O505" i="31"/>
  <c r="O519" i="31"/>
  <c r="N556" i="31"/>
  <c r="N513" i="31"/>
  <c r="O528" i="31"/>
  <c r="L763" i="31"/>
  <c r="J763" i="31"/>
  <c r="M768" i="31"/>
  <c r="K768" i="31"/>
  <c r="N525" i="30"/>
  <c r="M531" i="31"/>
  <c r="G531" i="30"/>
  <c r="O500" i="31"/>
  <c r="M519" i="31"/>
  <c r="N550" i="31"/>
  <c r="N560" i="31"/>
  <c r="O524" i="31"/>
  <c r="O512" i="31"/>
  <c r="L523" i="31"/>
  <c r="F528" i="30"/>
  <c r="O522" i="31"/>
  <c r="N527" i="31"/>
  <c r="EK74" i="10"/>
  <c r="N517" i="31"/>
  <c r="O502" i="31"/>
  <c r="O547" i="31"/>
  <c r="N538" i="30"/>
  <c r="O556" i="31"/>
  <c r="L513" i="31"/>
  <c r="L512" i="31"/>
  <c r="L558" i="31"/>
  <c r="O504" i="31"/>
  <c r="M786" i="31"/>
  <c r="K786" i="31"/>
  <c r="J789" i="31"/>
  <c r="L789" i="31"/>
  <c r="N924" i="31"/>
  <c r="L924" i="31"/>
  <c r="J764" i="31"/>
  <c r="L764" i="31"/>
  <c r="I759" i="31"/>
  <c r="G759" i="31"/>
  <c r="M521" i="31"/>
  <c r="G527" i="30"/>
  <c r="L786" i="31"/>
  <c r="J786" i="31"/>
  <c r="L768" i="31"/>
  <c r="J768" i="31"/>
  <c r="G798" i="31"/>
  <c r="I798" i="31"/>
  <c r="I797" i="31"/>
  <c r="G797" i="31"/>
  <c r="M805" i="31"/>
  <c r="K805" i="31"/>
  <c r="M940" i="31"/>
  <c r="O940" i="31"/>
  <c r="G802" i="31"/>
  <c r="I802" i="31"/>
  <c r="J777" i="31"/>
  <c r="L777" i="31"/>
  <c r="L765" i="31"/>
  <c r="J765" i="31"/>
  <c r="K807" i="31"/>
  <c r="M807" i="31"/>
  <c r="M942" i="31"/>
  <c r="O942" i="31"/>
  <c r="M535" i="31"/>
  <c r="G533" i="30"/>
  <c r="F796" i="31"/>
  <c r="H796" i="31"/>
  <c r="H818" i="31"/>
  <c r="F818" i="31"/>
  <c r="N542" i="31"/>
  <c r="O546" i="31"/>
  <c r="L811" i="31"/>
  <c r="J811" i="31"/>
  <c r="N946" i="31"/>
  <c r="L946" i="31"/>
  <c r="F798" i="31"/>
  <c r="H798" i="31"/>
  <c r="L814" i="31"/>
  <c r="J814" i="31"/>
  <c r="M820" i="31"/>
  <c r="K820" i="31"/>
  <c r="M955" i="31"/>
  <c r="O955" i="31"/>
  <c r="I789" i="31"/>
  <c r="G789" i="31"/>
  <c r="F794" i="31"/>
  <c r="H794" i="31"/>
  <c r="H771" i="31"/>
  <c r="F771" i="31"/>
  <c r="L784" i="31"/>
  <c r="J784" i="31"/>
  <c r="L775" i="31"/>
  <c r="J775" i="31"/>
  <c r="N501" i="31"/>
  <c r="L546" i="31"/>
  <c r="N507" i="31"/>
  <c r="M525" i="30"/>
  <c r="N500" i="31"/>
  <c r="N525" i="31"/>
  <c r="N557" i="31"/>
  <c r="M541" i="30"/>
  <c r="O550" i="31"/>
  <c r="O560" i="31"/>
  <c r="N512" i="31"/>
  <c r="M523" i="31"/>
  <c r="G528" i="30"/>
  <c r="O540" i="31"/>
  <c r="M546" i="31"/>
  <c r="EJ74" i="10"/>
  <c r="N502" i="31"/>
  <c r="L514" i="31"/>
  <c r="N548" i="31"/>
  <c r="M536" i="31"/>
  <c r="N519" i="31"/>
  <c r="O518" i="31"/>
  <c r="L548" i="31"/>
  <c r="N547" i="31"/>
  <c r="M538" i="30"/>
  <c r="N528" i="31"/>
  <c r="N554" i="31"/>
  <c r="M809" i="31"/>
  <c r="K809" i="31"/>
  <c r="O944" i="31"/>
  <c r="M944" i="31"/>
  <c r="G818" i="31"/>
  <c r="I818" i="31"/>
  <c r="M759" i="31"/>
  <c r="K759" i="31"/>
  <c r="O894" i="31"/>
  <c r="M894" i="31"/>
  <c r="L509" i="31"/>
  <c r="O551" i="31"/>
  <c r="N539" i="30"/>
  <c r="I790" i="31"/>
  <c r="G790" i="31"/>
  <c r="K782" i="31"/>
  <c r="M782" i="31"/>
  <c r="J813" i="31"/>
  <c r="L813" i="31"/>
  <c r="I763" i="31"/>
  <c r="G763" i="31"/>
  <c r="M763" i="31"/>
  <c r="K763" i="31"/>
  <c r="L803" i="31"/>
  <c r="J803" i="31"/>
  <c r="N938" i="31"/>
  <c r="L938" i="31"/>
  <c r="J782" i="31"/>
  <c r="L782" i="31"/>
  <c r="M817" i="31"/>
  <c r="K817" i="31"/>
  <c r="O549" i="31"/>
  <c r="K789" i="31"/>
  <c r="M789" i="31"/>
  <c r="O924" i="31"/>
  <c r="M924" i="31"/>
  <c r="F809" i="31"/>
  <c r="H809" i="31"/>
  <c r="G775" i="31"/>
  <c r="I775" i="31"/>
  <c r="M810" i="31"/>
  <c r="K810" i="31"/>
  <c r="M945" i="31"/>
  <c r="O945" i="31"/>
  <c r="M540" i="30"/>
  <c r="L776" i="31"/>
  <c r="J776" i="31"/>
  <c r="M801" i="31"/>
  <c r="K801" i="31"/>
  <c r="O936" i="31"/>
  <c r="M936" i="31"/>
  <c r="H806" i="31"/>
  <c r="F806" i="31"/>
  <c r="O525" i="31"/>
  <c r="L519" i="31"/>
  <c r="O557" i="31"/>
  <c r="N541" i="30"/>
  <c r="N514" i="31"/>
  <c r="N506" i="31"/>
  <c r="L531" i="31"/>
  <c r="F531" i="30"/>
  <c r="O510" i="31"/>
  <c r="N524" i="31"/>
  <c r="O514" i="31"/>
  <c r="N522" i="31"/>
  <c r="N540" i="31"/>
  <c r="O501" i="31"/>
  <c r="O506" i="31"/>
  <c r="L536" i="31"/>
  <c r="N518" i="31"/>
  <c r="M548" i="31"/>
  <c r="M513" i="31"/>
  <c r="O513" i="31"/>
  <c r="M512" i="31"/>
  <c r="M558" i="31"/>
  <c r="L535" i="31"/>
  <c r="F533" i="30"/>
  <c r="G794" i="31"/>
  <c r="I794" i="31"/>
  <c r="G791" i="31"/>
  <c r="I791" i="31"/>
  <c r="L560" i="31"/>
  <c r="M813" i="31"/>
  <c r="K813" i="31"/>
  <c r="L521" i="31"/>
  <c r="F527" i="30"/>
  <c r="F775" i="31"/>
  <c r="H775" i="31"/>
  <c r="F790" i="31"/>
  <c r="H790" i="31"/>
  <c r="K814" i="31"/>
  <c r="M814" i="31"/>
  <c r="G771" i="31"/>
  <c r="I771" i="31"/>
  <c r="L778" i="31"/>
  <c r="J778" i="31"/>
  <c r="K811" i="31"/>
  <c r="M811" i="31"/>
  <c r="O946" i="31"/>
  <c r="M946" i="31"/>
  <c r="J793" i="31"/>
  <c r="L793" i="31"/>
  <c r="N928" i="31"/>
  <c r="L928" i="31"/>
  <c r="M766" i="31"/>
  <c r="K766" i="31"/>
  <c r="J801" i="31"/>
  <c r="L801" i="31"/>
  <c r="N936" i="31"/>
  <c r="L936" i="31"/>
  <c r="K765" i="31"/>
  <c r="M765" i="31"/>
  <c r="L807" i="31"/>
  <c r="J807" i="31"/>
  <c r="N942" i="31"/>
  <c r="L942" i="31"/>
  <c r="O555" i="31"/>
  <c r="N540" i="30"/>
  <c r="F759" i="31"/>
  <c r="H759" i="31"/>
  <c r="M780" i="31"/>
  <c r="K780" i="31"/>
  <c r="M784" i="31"/>
  <c r="K784" i="31"/>
  <c r="M769" i="31"/>
  <c r="K769" i="31"/>
  <c r="K803" i="31"/>
  <c r="M803" i="31"/>
  <c r="O938" i="31"/>
  <c r="M938" i="31"/>
  <c r="L766" i="31"/>
  <c r="J766" i="31"/>
  <c r="G814" i="31"/>
  <c r="I814" i="31"/>
  <c r="J787" i="31"/>
  <c r="L787" i="31"/>
  <c r="A933" i="33"/>
  <c r="A545" i="33"/>
  <c r="A1031" i="33"/>
  <c r="A612" i="33"/>
  <c r="A478" i="33"/>
  <c r="A411" i="33"/>
  <c r="A190" i="33"/>
  <c r="A345" i="33"/>
  <c r="B36" i="10"/>
  <c r="D340" i="31" s="1"/>
  <c r="D209" i="31"/>
  <c r="A126" i="33"/>
  <c r="A821" i="33" s="1"/>
  <c r="A1032" i="33"/>
  <c r="A613" i="33"/>
  <c r="A479" i="33"/>
  <c r="A934" i="33"/>
  <c r="A546" i="33"/>
  <c r="A346" i="33"/>
  <c r="A412" i="33"/>
  <c r="A191" i="33"/>
  <c r="B37" i="10"/>
  <c r="D341" i="31" s="1"/>
  <c r="D210" i="31"/>
  <c r="A127" i="33"/>
  <c r="A822" i="33" s="1"/>
  <c r="EK119" i="10"/>
  <c r="EJ119" i="10"/>
  <c r="EK109" i="10"/>
  <c r="EJ109" i="10"/>
  <c r="EK89" i="10"/>
  <c r="EJ89" i="10"/>
  <c r="EK107" i="10"/>
  <c r="EJ107" i="10"/>
  <c r="EK98" i="10"/>
  <c r="EJ98" i="10"/>
  <c r="EJ82" i="10"/>
  <c r="EK82" i="10"/>
  <c r="EK92" i="10"/>
  <c r="EJ92" i="10"/>
  <c r="EK110" i="10"/>
  <c r="EJ110" i="10"/>
  <c r="EK105" i="10"/>
  <c r="EJ105" i="10"/>
  <c r="EJ125" i="10"/>
  <c r="EK125" i="10"/>
  <c r="EJ118" i="10"/>
  <c r="EK118" i="10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07" i="31"/>
  <c r="A755" i="33" l="1"/>
  <c r="A680" i="33"/>
  <c r="A756" i="33"/>
  <c r="A681" i="33"/>
  <c r="F763" i="31"/>
  <c r="F781" i="31"/>
  <c r="I781" i="31"/>
  <c r="N533" i="30"/>
  <c r="K802" i="31"/>
  <c r="M802" i="31"/>
  <c r="I937" i="31" s="1"/>
  <c r="M937" i="31"/>
  <c r="M537" i="30"/>
  <c r="N529" i="30"/>
  <c r="F793" i="31"/>
  <c r="F928" i="31" s="1"/>
  <c r="N537" i="30"/>
  <c r="M533" i="30"/>
  <c r="B101" i="10"/>
  <c r="B162" i="30" s="1"/>
  <c r="A793" i="31"/>
  <c r="A533" i="31"/>
  <c r="A663" i="31"/>
  <c r="D403" i="31"/>
  <c r="D145" i="31"/>
  <c r="B928" i="31"/>
  <c r="D274" i="31"/>
  <c r="B102" i="10"/>
  <c r="B163" i="30" s="1"/>
  <c r="A794" i="31"/>
  <c r="A534" i="31"/>
  <c r="D404" i="31"/>
  <c r="D275" i="31"/>
  <c r="D146" i="31"/>
  <c r="B929" i="31"/>
  <c r="A664" i="31"/>
  <c r="N509" i="31"/>
  <c r="H769" i="31" s="1"/>
  <c r="N553" i="31"/>
  <c r="N539" i="31"/>
  <c r="M534" i="30"/>
  <c r="N544" i="31"/>
  <c r="O516" i="31"/>
  <c r="N541" i="31"/>
  <c r="M535" i="30"/>
  <c r="O543" i="31"/>
  <c r="N536" i="30"/>
  <c r="G815" i="31"/>
  <c r="I815" i="31"/>
  <c r="I766" i="31"/>
  <c r="G766" i="31"/>
  <c r="G774" i="31"/>
  <c r="I774" i="31"/>
  <c r="N526" i="31"/>
  <c r="N516" i="31"/>
  <c r="O532" i="31"/>
  <c r="J925" i="31"/>
  <c r="F925" i="31"/>
  <c r="H925" i="31"/>
  <c r="J781" i="31"/>
  <c r="L781" i="31"/>
  <c r="L820" i="31"/>
  <c r="J820" i="31"/>
  <c r="L955" i="31"/>
  <c r="N955" i="31"/>
  <c r="I795" i="31"/>
  <c r="G795" i="31"/>
  <c r="K773" i="31"/>
  <c r="M773" i="31"/>
  <c r="H778" i="31"/>
  <c r="F778" i="31"/>
  <c r="L796" i="31"/>
  <c r="H931" i="31" s="1"/>
  <c r="J796" i="31"/>
  <c r="N931" i="31"/>
  <c r="L931" i="31"/>
  <c r="L791" i="31"/>
  <c r="F926" i="31" s="1"/>
  <c r="J791" i="31"/>
  <c r="N926" i="31"/>
  <c r="L926" i="31"/>
  <c r="H774" i="31"/>
  <c r="F774" i="31"/>
  <c r="H815" i="31"/>
  <c r="F815" i="31"/>
  <c r="G809" i="31"/>
  <c r="I809" i="31"/>
  <c r="J808" i="31"/>
  <c r="L808" i="31"/>
  <c r="N943" i="31"/>
  <c r="L943" i="31"/>
  <c r="F779" i="31"/>
  <c r="H779" i="31"/>
  <c r="K796" i="31"/>
  <c r="M796" i="31"/>
  <c r="G931" i="31" s="1"/>
  <c r="M931" i="31"/>
  <c r="O931" i="31"/>
  <c r="L774" i="31"/>
  <c r="J774" i="31"/>
  <c r="F762" i="31"/>
  <c r="H762" i="31"/>
  <c r="G787" i="31"/>
  <c r="I787" i="31"/>
  <c r="F764" i="31"/>
  <c r="H764" i="31"/>
  <c r="F817" i="31"/>
  <c r="H817" i="31"/>
  <c r="H760" i="31"/>
  <c r="F760" i="31"/>
  <c r="F929" i="31"/>
  <c r="H929" i="31"/>
  <c r="J929" i="31"/>
  <c r="H933" i="31"/>
  <c r="F933" i="31"/>
  <c r="J933" i="31"/>
  <c r="M795" i="31"/>
  <c r="K795" i="31"/>
  <c r="O930" i="31"/>
  <c r="M930" i="31"/>
  <c r="I932" i="31"/>
  <c r="K932" i="31"/>
  <c r="G932" i="31"/>
  <c r="J773" i="31"/>
  <c r="L773" i="31"/>
  <c r="G762" i="31"/>
  <c r="I762" i="31"/>
  <c r="O508" i="31"/>
  <c r="I772" i="31"/>
  <c r="G772" i="31"/>
  <c r="F820" i="31"/>
  <c r="H820" i="31"/>
  <c r="M779" i="31"/>
  <c r="K779" i="31"/>
  <c r="G760" i="31"/>
  <c r="I760" i="31"/>
  <c r="I788" i="31"/>
  <c r="G788" i="31"/>
  <c r="F816" i="31"/>
  <c r="H816" i="31"/>
  <c r="I765" i="31"/>
  <c r="G765" i="31"/>
  <c r="K928" i="31"/>
  <c r="G928" i="31"/>
  <c r="I928" i="31"/>
  <c r="I769" i="31"/>
  <c r="G769" i="31"/>
  <c r="O526" i="31"/>
  <c r="O559" i="31"/>
  <c r="L795" i="31"/>
  <c r="J795" i="31"/>
  <c r="L930" i="31"/>
  <c r="N930" i="31"/>
  <c r="K772" i="31"/>
  <c r="M772" i="31"/>
  <c r="O552" i="31"/>
  <c r="N559" i="31"/>
  <c r="O539" i="31"/>
  <c r="N534" i="30"/>
  <c r="O544" i="31"/>
  <c r="O541" i="31"/>
  <c r="N535" i="30"/>
  <c r="O523" i="31"/>
  <c r="N528" i="30"/>
  <c r="N543" i="31"/>
  <c r="M536" i="30"/>
  <c r="H894" i="31"/>
  <c r="J894" i="31"/>
  <c r="F894" i="31"/>
  <c r="G929" i="31"/>
  <c r="K929" i="31"/>
  <c r="I929" i="31"/>
  <c r="M818" i="31"/>
  <c r="K953" i="31" s="1"/>
  <c r="K818" i="31"/>
  <c r="O953" i="31"/>
  <c r="M953" i="31"/>
  <c r="I805" i="31"/>
  <c r="G805" i="31"/>
  <c r="G761" i="31"/>
  <c r="I761" i="31"/>
  <c r="H782" i="31"/>
  <c r="F782" i="31"/>
  <c r="H784" i="31"/>
  <c r="F784" i="31"/>
  <c r="I770" i="31"/>
  <c r="G770" i="31"/>
  <c r="L779" i="31"/>
  <c r="J779" i="31"/>
  <c r="I785" i="31"/>
  <c r="G785" i="31"/>
  <c r="F944" i="31"/>
  <c r="H944" i="31"/>
  <c r="J944" i="31"/>
  <c r="G811" i="31"/>
  <c r="I811" i="31"/>
  <c r="H788" i="31"/>
  <c r="F788" i="31"/>
  <c r="H772" i="31"/>
  <c r="F772" i="31"/>
  <c r="G810" i="31"/>
  <c r="I810" i="31"/>
  <c r="F767" i="31"/>
  <c r="H767" i="31"/>
  <c r="F761" i="31"/>
  <c r="H761" i="31"/>
  <c r="G806" i="31"/>
  <c r="I806" i="31"/>
  <c r="K781" i="31"/>
  <c r="M781" i="31"/>
  <c r="L818" i="31"/>
  <c r="J953" i="31" s="1"/>
  <c r="J818" i="31"/>
  <c r="N953" i="31"/>
  <c r="L953" i="31"/>
  <c r="G807" i="31"/>
  <c r="I807" i="31"/>
  <c r="H805" i="31"/>
  <c r="F805" i="31"/>
  <c r="I777" i="31"/>
  <c r="G777" i="31"/>
  <c r="I773" i="31"/>
  <c r="G773" i="31"/>
  <c r="M808" i="31"/>
  <c r="K808" i="31"/>
  <c r="M943" i="31"/>
  <c r="O943" i="31"/>
  <c r="G808" i="31"/>
  <c r="I808" i="31"/>
  <c r="F766" i="31"/>
  <c r="H766" i="31"/>
  <c r="J928" i="31"/>
  <c r="G925" i="31"/>
  <c r="K925" i="31"/>
  <c r="I925" i="31"/>
  <c r="H807" i="31"/>
  <c r="F807" i="31"/>
  <c r="G778" i="31"/>
  <c r="I778" i="31"/>
  <c r="F808" i="31"/>
  <c r="H808" i="31"/>
  <c r="N508" i="31"/>
  <c r="K806" i="31"/>
  <c r="M806" i="31"/>
  <c r="M941" i="31"/>
  <c r="O941" i="31"/>
  <c r="G800" i="31"/>
  <c r="I800" i="31"/>
  <c r="H785" i="31"/>
  <c r="F785" i="31"/>
  <c r="H795" i="31"/>
  <c r="F795" i="31"/>
  <c r="G816" i="31"/>
  <c r="I816" i="31"/>
  <c r="F765" i="31"/>
  <c r="H765" i="31"/>
  <c r="H777" i="31"/>
  <c r="F777" i="31"/>
  <c r="J783" i="31"/>
  <c r="L783" i="31"/>
  <c r="I784" i="31"/>
  <c r="G784" i="31"/>
  <c r="F810" i="31"/>
  <c r="H810" i="31"/>
  <c r="G767" i="31"/>
  <c r="I767" i="31"/>
  <c r="F773" i="31"/>
  <c r="H773" i="31"/>
  <c r="G779" i="31"/>
  <c r="I779" i="31"/>
  <c r="M774" i="31"/>
  <c r="K774" i="31"/>
  <c r="F789" i="31"/>
  <c r="H789" i="31"/>
  <c r="H932" i="31"/>
  <c r="F932" i="31"/>
  <c r="J932" i="31"/>
  <c r="H780" i="31"/>
  <c r="F780" i="31"/>
  <c r="N552" i="31"/>
  <c r="N532" i="31"/>
  <c r="N523" i="31"/>
  <c r="M528" i="30"/>
  <c r="O553" i="31"/>
  <c r="F800" i="31"/>
  <c r="H800" i="31"/>
  <c r="I817" i="31"/>
  <c r="G817" i="31"/>
  <c r="I780" i="31"/>
  <c r="G780" i="31"/>
  <c r="L769" i="31"/>
  <c r="J769" i="31"/>
  <c r="F814" i="31"/>
  <c r="H814" i="31"/>
  <c r="M783" i="31"/>
  <c r="K783" i="31"/>
  <c r="G820" i="31"/>
  <c r="I820" i="31"/>
  <c r="L806" i="31"/>
  <c r="F941" i="31" s="1"/>
  <c r="J806" i="31"/>
  <c r="L941" i="31"/>
  <c r="N941" i="31"/>
  <c r="G924" i="31"/>
  <c r="I924" i="31"/>
  <c r="K924" i="31"/>
  <c r="H802" i="31"/>
  <c r="F802" i="31"/>
  <c r="G937" i="31"/>
  <c r="K933" i="31"/>
  <c r="G933" i="31"/>
  <c r="I933" i="31"/>
  <c r="K894" i="31"/>
  <c r="I894" i="31"/>
  <c r="G894" i="31"/>
  <c r="I764" i="31"/>
  <c r="G764" i="31"/>
  <c r="L772" i="31"/>
  <c r="J772" i="31"/>
  <c r="H787" i="31"/>
  <c r="F787" i="31"/>
  <c r="I782" i="31"/>
  <c r="G782" i="31"/>
  <c r="M791" i="31"/>
  <c r="G926" i="31" s="1"/>
  <c r="K791" i="31"/>
  <c r="M926" i="31"/>
  <c r="O926" i="31"/>
  <c r="F770" i="31"/>
  <c r="H770" i="31"/>
  <c r="J946" i="31"/>
  <c r="H946" i="31"/>
  <c r="F946" i="31"/>
  <c r="B39" i="10"/>
  <c r="A129" i="33"/>
  <c r="A824" i="33" s="1"/>
  <c r="D212" i="31"/>
  <c r="B38" i="10"/>
  <c r="A128" i="33"/>
  <c r="A823" i="33" s="1"/>
  <c r="D211" i="31"/>
  <c r="A936" i="33"/>
  <c r="A548" i="33"/>
  <c r="A1034" i="33"/>
  <c r="A615" i="33"/>
  <c r="A481" i="33"/>
  <c r="A414" i="33"/>
  <c r="A348" i="33"/>
  <c r="A193" i="33"/>
  <c r="A1033" i="33"/>
  <c r="A614" i="33"/>
  <c r="A480" i="33"/>
  <c r="A935" i="33"/>
  <c r="A547" i="33"/>
  <c r="A347" i="33"/>
  <c r="A413" i="33"/>
  <c r="A192" i="33"/>
  <c r="J1003" i="33"/>
  <c r="J1004" i="33"/>
  <c r="J1005" i="33"/>
  <c r="J1006" i="33"/>
  <c r="J1007" i="33"/>
  <c r="J1008" i="33"/>
  <c r="J1009" i="33"/>
  <c r="J1010" i="33"/>
  <c r="J1011" i="33"/>
  <c r="J1012" i="33"/>
  <c r="J1013" i="33"/>
  <c r="J1014" i="33"/>
  <c r="J1015" i="33"/>
  <c r="J1016" i="33"/>
  <c r="J1017" i="33"/>
  <c r="J1018" i="33"/>
  <c r="J1019" i="33"/>
  <c r="J1020" i="33"/>
  <c r="J1021" i="33"/>
  <c r="J1022" i="33"/>
  <c r="J1023" i="33"/>
  <c r="J1024" i="33"/>
  <c r="J1025" i="33"/>
  <c r="J1026" i="33"/>
  <c r="J1027" i="33"/>
  <c r="J1028" i="33"/>
  <c r="J1029" i="33"/>
  <c r="J1030" i="33"/>
  <c r="J1031" i="33"/>
  <c r="J1032" i="33"/>
  <c r="J1033" i="33"/>
  <c r="J1034" i="33"/>
  <c r="J1035" i="33"/>
  <c r="J1036" i="33"/>
  <c r="J1037" i="33"/>
  <c r="J1038" i="33"/>
  <c r="J1039" i="33"/>
  <c r="J1040" i="33"/>
  <c r="J1041" i="33"/>
  <c r="J1042" i="33"/>
  <c r="J1043" i="33"/>
  <c r="J1044" i="33"/>
  <c r="J1045" i="33"/>
  <c r="J1046" i="33"/>
  <c r="J1047" i="33"/>
  <c r="J1048" i="33"/>
  <c r="J1049" i="33"/>
  <c r="J1050" i="33"/>
  <c r="J1051" i="33"/>
  <c r="J1052" i="33"/>
  <c r="J1053" i="33"/>
  <c r="J1054" i="33"/>
  <c r="J1055" i="33"/>
  <c r="J1056" i="33"/>
  <c r="J1057" i="33"/>
  <c r="J1058" i="33"/>
  <c r="J1059" i="33"/>
  <c r="J1060" i="33"/>
  <c r="J1061" i="33"/>
  <c r="J1062" i="33"/>
  <c r="J1063" i="33"/>
  <c r="J1002" i="33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151" i="27"/>
  <c r="A757" i="33" l="1"/>
  <c r="A682" i="33"/>
  <c r="A758" i="33"/>
  <c r="A683" i="33"/>
  <c r="K937" i="31"/>
  <c r="H928" i="31"/>
  <c r="F769" i="31"/>
  <c r="J926" i="31"/>
  <c r="I931" i="31"/>
  <c r="K931" i="31"/>
  <c r="F931" i="31"/>
  <c r="B104" i="10"/>
  <c r="B165" i="30" s="1"/>
  <c r="B931" i="31"/>
  <c r="A666" i="31"/>
  <c r="D406" i="31"/>
  <c r="D277" i="31"/>
  <c r="D148" i="31"/>
  <c r="A796" i="31"/>
  <c r="A536" i="31"/>
  <c r="B103" i="10"/>
  <c r="B164" i="30" s="1"/>
  <c r="B930" i="31"/>
  <c r="A665" i="31"/>
  <c r="D276" i="31"/>
  <c r="A535" i="31"/>
  <c r="D405" i="31"/>
  <c r="D147" i="31"/>
  <c r="A795" i="31"/>
  <c r="H926" i="31"/>
  <c r="I953" i="31"/>
  <c r="J931" i="31"/>
  <c r="J941" i="31"/>
  <c r="H941" i="31"/>
  <c r="G953" i="31"/>
  <c r="H953" i="31"/>
  <c r="H792" i="31"/>
  <c r="F792" i="31"/>
  <c r="H803" i="31"/>
  <c r="F803" i="31"/>
  <c r="I801" i="31"/>
  <c r="G801" i="31"/>
  <c r="G923" i="31"/>
  <c r="I923" i="31"/>
  <c r="K923" i="31"/>
  <c r="F895" i="31"/>
  <c r="H895" i="31"/>
  <c r="J895" i="31"/>
  <c r="G930" i="31"/>
  <c r="I930" i="31"/>
  <c r="K930" i="31"/>
  <c r="G803" i="31"/>
  <c r="I803" i="31"/>
  <c r="H799" i="31"/>
  <c r="F799" i="31"/>
  <c r="H930" i="31"/>
  <c r="F930" i="31"/>
  <c r="J930" i="31"/>
  <c r="H942" i="31"/>
  <c r="J942" i="31"/>
  <c r="F942" i="31"/>
  <c r="G941" i="31"/>
  <c r="I941" i="31"/>
  <c r="K941" i="31"/>
  <c r="G946" i="31"/>
  <c r="I946" i="31"/>
  <c r="K946" i="31"/>
  <c r="G940" i="31"/>
  <c r="K940" i="31"/>
  <c r="I940" i="31"/>
  <c r="I799" i="31"/>
  <c r="G799" i="31"/>
  <c r="G812" i="31"/>
  <c r="I812" i="31"/>
  <c r="I926" i="31"/>
  <c r="F776" i="31"/>
  <c r="H776" i="31"/>
  <c r="F804" i="31"/>
  <c r="H804" i="31"/>
  <c r="J935" i="31"/>
  <c r="F935" i="31"/>
  <c r="H935" i="31"/>
  <c r="I896" i="31"/>
  <c r="G896" i="31"/>
  <c r="K896" i="31"/>
  <c r="K955" i="31"/>
  <c r="G955" i="31"/>
  <c r="I955" i="31"/>
  <c r="F783" i="31"/>
  <c r="H783" i="31"/>
  <c r="F812" i="31"/>
  <c r="H812" i="31"/>
  <c r="F924" i="31"/>
  <c r="H924" i="31"/>
  <c r="J924" i="31"/>
  <c r="H945" i="31"/>
  <c r="J945" i="31"/>
  <c r="F945" i="31"/>
  <c r="G935" i="31"/>
  <c r="K935" i="31"/>
  <c r="I935" i="31"/>
  <c r="F943" i="31"/>
  <c r="J943" i="31"/>
  <c r="H943" i="31"/>
  <c r="K942" i="31"/>
  <c r="G942" i="31"/>
  <c r="I942" i="31"/>
  <c r="F953" i="31"/>
  <c r="J923" i="31"/>
  <c r="F923" i="31"/>
  <c r="H923" i="31"/>
  <c r="G804" i="31"/>
  <c r="I804" i="31"/>
  <c r="K926" i="31"/>
  <c r="G786" i="31"/>
  <c r="I786" i="31"/>
  <c r="I768" i="31"/>
  <c r="G768" i="31"/>
  <c r="H813" i="31"/>
  <c r="F813" i="31"/>
  <c r="G819" i="31"/>
  <c r="I819" i="31"/>
  <c r="G813" i="31"/>
  <c r="I813" i="31"/>
  <c r="J937" i="31"/>
  <c r="F937" i="31"/>
  <c r="H937" i="31"/>
  <c r="H768" i="31"/>
  <c r="F768" i="31"/>
  <c r="G943" i="31"/>
  <c r="K943" i="31"/>
  <c r="I943" i="31"/>
  <c r="J940" i="31"/>
  <c r="H940" i="31"/>
  <c r="F940" i="31"/>
  <c r="J896" i="31"/>
  <c r="H896" i="31"/>
  <c r="F896" i="31"/>
  <c r="I945" i="31"/>
  <c r="K945" i="31"/>
  <c r="G945" i="31"/>
  <c r="I783" i="31"/>
  <c r="G783" i="31"/>
  <c r="F819" i="31"/>
  <c r="H819" i="31"/>
  <c r="I895" i="31"/>
  <c r="G895" i="31"/>
  <c r="K895" i="31"/>
  <c r="H955" i="31"/>
  <c r="J955" i="31"/>
  <c r="F955" i="31"/>
  <c r="K944" i="31"/>
  <c r="G944" i="31"/>
  <c r="I944" i="31"/>
  <c r="G792" i="31"/>
  <c r="I792" i="31"/>
  <c r="H786" i="31"/>
  <c r="F786" i="31"/>
  <c r="F801" i="31"/>
  <c r="H801" i="31"/>
  <c r="I776" i="31"/>
  <c r="G776" i="31"/>
  <c r="A937" i="33"/>
  <c r="A549" i="33"/>
  <c r="A1035" i="33"/>
  <c r="A616" i="33"/>
  <c r="A482" i="33"/>
  <c r="A415" i="33"/>
  <c r="A194" i="33"/>
  <c r="A349" i="33"/>
  <c r="A1036" i="33"/>
  <c r="A617" i="33"/>
  <c r="A483" i="33"/>
  <c r="A938" i="33"/>
  <c r="A550" i="33"/>
  <c r="A350" i="33"/>
  <c r="A195" i="33"/>
  <c r="A416" i="33"/>
  <c r="B40" i="10"/>
  <c r="D213" i="31"/>
  <c r="A130" i="33"/>
  <c r="A825" i="33" s="1"/>
  <c r="D342" i="31"/>
  <c r="B41" i="10"/>
  <c r="A131" i="33"/>
  <c r="A826" i="33" s="1"/>
  <c r="D214" i="31"/>
  <c r="D343" i="31"/>
  <c r="B450" i="33"/>
  <c r="C450" i="33"/>
  <c r="D450" i="33"/>
  <c r="F450" i="33"/>
  <c r="G450" i="33"/>
  <c r="B451" i="33"/>
  <c r="C451" i="33"/>
  <c r="D451" i="33"/>
  <c r="F451" i="33"/>
  <c r="G451" i="33"/>
  <c r="B452" i="33"/>
  <c r="C452" i="33"/>
  <c r="D452" i="33"/>
  <c r="F452" i="33"/>
  <c r="G452" i="33"/>
  <c r="B453" i="33"/>
  <c r="C453" i="33"/>
  <c r="D453" i="33"/>
  <c r="F453" i="33"/>
  <c r="G453" i="33"/>
  <c r="B454" i="33"/>
  <c r="C454" i="33"/>
  <c r="D454" i="33"/>
  <c r="F454" i="33"/>
  <c r="G454" i="33"/>
  <c r="B455" i="33"/>
  <c r="C455" i="33"/>
  <c r="D455" i="33"/>
  <c r="F455" i="33"/>
  <c r="G455" i="33"/>
  <c r="B456" i="33"/>
  <c r="C456" i="33"/>
  <c r="D456" i="33"/>
  <c r="F456" i="33"/>
  <c r="G456" i="33"/>
  <c r="B457" i="33"/>
  <c r="C457" i="33"/>
  <c r="D457" i="33"/>
  <c r="F457" i="33"/>
  <c r="G457" i="33"/>
  <c r="B458" i="33"/>
  <c r="C458" i="33"/>
  <c r="D458" i="33"/>
  <c r="F458" i="33"/>
  <c r="G458" i="33"/>
  <c r="B459" i="33"/>
  <c r="C459" i="33"/>
  <c r="D459" i="33"/>
  <c r="F459" i="33"/>
  <c r="G459" i="33"/>
  <c r="B460" i="33"/>
  <c r="C460" i="33"/>
  <c r="D460" i="33"/>
  <c r="F460" i="33"/>
  <c r="G460" i="33"/>
  <c r="B461" i="33"/>
  <c r="C461" i="33"/>
  <c r="D461" i="33"/>
  <c r="F461" i="33"/>
  <c r="G461" i="33"/>
  <c r="B462" i="33"/>
  <c r="C462" i="33"/>
  <c r="D462" i="33"/>
  <c r="F462" i="33"/>
  <c r="G462" i="33"/>
  <c r="B463" i="33"/>
  <c r="C463" i="33"/>
  <c r="D463" i="33"/>
  <c r="F463" i="33"/>
  <c r="G463" i="33"/>
  <c r="B464" i="33"/>
  <c r="C464" i="33"/>
  <c r="D464" i="33"/>
  <c r="F464" i="33"/>
  <c r="G464" i="33"/>
  <c r="B465" i="33"/>
  <c r="C465" i="33"/>
  <c r="D465" i="33"/>
  <c r="F465" i="33"/>
  <c r="G465" i="33"/>
  <c r="B466" i="33"/>
  <c r="C466" i="33"/>
  <c r="D466" i="33"/>
  <c r="F466" i="33"/>
  <c r="G466" i="33"/>
  <c r="B467" i="33"/>
  <c r="C467" i="33"/>
  <c r="D467" i="33"/>
  <c r="F467" i="33"/>
  <c r="G467" i="33"/>
  <c r="B468" i="33"/>
  <c r="C468" i="33"/>
  <c r="D468" i="33"/>
  <c r="F468" i="33"/>
  <c r="G468" i="33"/>
  <c r="B469" i="33"/>
  <c r="C469" i="33"/>
  <c r="D469" i="33"/>
  <c r="F469" i="33"/>
  <c r="G469" i="33"/>
  <c r="B470" i="33"/>
  <c r="C470" i="33"/>
  <c r="D470" i="33"/>
  <c r="F470" i="33"/>
  <c r="G470" i="33"/>
  <c r="B471" i="33"/>
  <c r="C471" i="33"/>
  <c r="D471" i="33"/>
  <c r="F471" i="33"/>
  <c r="G471" i="33"/>
  <c r="B472" i="33"/>
  <c r="C472" i="33"/>
  <c r="D472" i="33"/>
  <c r="F472" i="33"/>
  <c r="G472" i="33"/>
  <c r="B473" i="33"/>
  <c r="C473" i="33"/>
  <c r="D473" i="33"/>
  <c r="F473" i="33"/>
  <c r="G473" i="33"/>
  <c r="B474" i="33"/>
  <c r="C474" i="33"/>
  <c r="D474" i="33"/>
  <c r="F474" i="33"/>
  <c r="G474" i="33"/>
  <c r="B475" i="33"/>
  <c r="C475" i="33"/>
  <c r="D475" i="33"/>
  <c r="F475" i="33"/>
  <c r="G475" i="33"/>
  <c r="B476" i="33"/>
  <c r="C476" i="33"/>
  <c r="D476" i="33"/>
  <c r="F476" i="33"/>
  <c r="G476" i="33"/>
  <c r="B477" i="33"/>
  <c r="C477" i="33"/>
  <c r="D477" i="33"/>
  <c r="F477" i="33"/>
  <c r="G477" i="33"/>
  <c r="B478" i="33"/>
  <c r="C478" i="33"/>
  <c r="D478" i="33"/>
  <c r="F478" i="33"/>
  <c r="G478" i="33"/>
  <c r="B479" i="33"/>
  <c r="C479" i="33"/>
  <c r="D479" i="33"/>
  <c r="F479" i="33"/>
  <c r="G479" i="33"/>
  <c r="B480" i="33"/>
  <c r="C480" i="33"/>
  <c r="D480" i="33"/>
  <c r="F480" i="33"/>
  <c r="G480" i="33"/>
  <c r="B481" i="33"/>
  <c r="C481" i="33"/>
  <c r="D481" i="33"/>
  <c r="F481" i="33"/>
  <c r="G481" i="33"/>
  <c r="B482" i="33"/>
  <c r="C482" i="33"/>
  <c r="D482" i="33"/>
  <c r="F482" i="33"/>
  <c r="G482" i="33"/>
  <c r="B483" i="33"/>
  <c r="C483" i="33"/>
  <c r="D483" i="33"/>
  <c r="F483" i="33"/>
  <c r="G483" i="33"/>
  <c r="B484" i="33"/>
  <c r="C484" i="33"/>
  <c r="D484" i="33"/>
  <c r="F484" i="33"/>
  <c r="G484" i="33"/>
  <c r="B485" i="33"/>
  <c r="C485" i="33"/>
  <c r="D485" i="33"/>
  <c r="F485" i="33"/>
  <c r="G485" i="33"/>
  <c r="B486" i="33"/>
  <c r="C486" i="33"/>
  <c r="D486" i="33"/>
  <c r="F486" i="33"/>
  <c r="G486" i="33"/>
  <c r="B487" i="33"/>
  <c r="C487" i="33"/>
  <c r="D487" i="33"/>
  <c r="F487" i="33"/>
  <c r="G487" i="33"/>
  <c r="B488" i="33"/>
  <c r="C488" i="33"/>
  <c r="D488" i="33"/>
  <c r="F488" i="33"/>
  <c r="G488" i="33"/>
  <c r="B489" i="33"/>
  <c r="C489" i="33"/>
  <c r="D489" i="33"/>
  <c r="F489" i="33"/>
  <c r="G489" i="33"/>
  <c r="B490" i="33"/>
  <c r="C490" i="33"/>
  <c r="D490" i="33"/>
  <c r="F490" i="33"/>
  <c r="G490" i="33"/>
  <c r="B491" i="33"/>
  <c r="C491" i="33"/>
  <c r="D491" i="33"/>
  <c r="F491" i="33"/>
  <c r="G491" i="33"/>
  <c r="B492" i="33"/>
  <c r="C492" i="33"/>
  <c r="D492" i="33"/>
  <c r="F492" i="33"/>
  <c r="G492" i="33"/>
  <c r="B493" i="33"/>
  <c r="C493" i="33"/>
  <c r="D493" i="33"/>
  <c r="F493" i="33"/>
  <c r="G493" i="33"/>
  <c r="B494" i="33"/>
  <c r="C494" i="33"/>
  <c r="D494" i="33"/>
  <c r="F494" i="33"/>
  <c r="G494" i="33"/>
  <c r="B495" i="33"/>
  <c r="C495" i="33"/>
  <c r="D495" i="33"/>
  <c r="F495" i="33"/>
  <c r="G495" i="33"/>
  <c r="B496" i="33"/>
  <c r="C496" i="33"/>
  <c r="D496" i="33"/>
  <c r="F496" i="33"/>
  <c r="G496" i="33"/>
  <c r="B497" i="33"/>
  <c r="C497" i="33"/>
  <c r="D497" i="33"/>
  <c r="F497" i="33"/>
  <c r="G497" i="33"/>
  <c r="B498" i="33"/>
  <c r="C498" i="33"/>
  <c r="D498" i="33"/>
  <c r="F498" i="33"/>
  <c r="G498" i="33"/>
  <c r="B499" i="33"/>
  <c r="C499" i="33"/>
  <c r="D499" i="33"/>
  <c r="F499" i="33"/>
  <c r="G499" i="33"/>
  <c r="B500" i="33"/>
  <c r="C500" i="33"/>
  <c r="D500" i="33"/>
  <c r="F500" i="33"/>
  <c r="G500" i="33"/>
  <c r="B501" i="33"/>
  <c r="C501" i="33"/>
  <c r="D501" i="33"/>
  <c r="F501" i="33"/>
  <c r="G501" i="33"/>
  <c r="B502" i="33"/>
  <c r="C502" i="33"/>
  <c r="D502" i="33"/>
  <c r="F502" i="33"/>
  <c r="G502" i="33"/>
  <c r="B503" i="33"/>
  <c r="C503" i="33"/>
  <c r="D503" i="33"/>
  <c r="F503" i="33"/>
  <c r="G503" i="33"/>
  <c r="B504" i="33"/>
  <c r="C504" i="33"/>
  <c r="D504" i="33"/>
  <c r="F504" i="33"/>
  <c r="G504" i="33"/>
  <c r="B505" i="33"/>
  <c r="C505" i="33"/>
  <c r="D505" i="33"/>
  <c r="F505" i="33"/>
  <c r="G505" i="33"/>
  <c r="B506" i="33"/>
  <c r="C506" i="33"/>
  <c r="D506" i="33"/>
  <c r="F506" i="33"/>
  <c r="G506" i="33"/>
  <c r="B507" i="33"/>
  <c r="C507" i="33"/>
  <c r="D507" i="33"/>
  <c r="F507" i="33"/>
  <c r="G507" i="33"/>
  <c r="B508" i="33"/>
  <c r="C508" i="33"/>
  <c r="D508" i="33"/>
  <c r="F508" i="33"/>
  <c r="G508" i="33"/>
  <c r="B509" i="33"/>
  <c r="C509" i="33"/>
  <c r="D509" i="33"/>
  <c r="F509" i="33"/>
  <c r="G509" i="33"/>
  <c r="B510" i="33"/>
  <c r="C510" i="33"/>
  <c r="D510" i="33"/>
  <c r="F510" i="33"/>
  <c r="G510" i="33"/>
  <c r="G449" i="33"/>
  <c r="F449" i="33"/>
  <c r="D449" i="33"/>
  <c r="C449" i="33"/>
  <c r="B449" i="33"/>
  <c r="I450" i="33"/>
  <c r="J450" i="33"/>
  <c r="K450" i="33"/>
  <c r="I451" i="33"/>
  <c r="J451" i="33"/>
  <c r="K451" i="33"/>
  <c r="I452" i="33"/>
  <c r="J452" i="33"/>
  <c r="K452" i="33"/>
  <c r="I453" i="33"/>
  <c r="J453" i="33"/>
  <c r="K453" i="33"/>
  <c r="I454" i="33"/>
  <c r="J454" i="33"/>
  <c r="K454" i="33"/>
  <c r="I455" i="33"/>
  <c r="J455" i="33"/>
  <c r="K455" i="33"/>
  <c r="I456" i="33"/>
  <c r="J456" i="33"/>
  <c r="K456" i="33"/>
  <c r="I457" i="33"/>
  <c r="J457" i="33"/>
  <c r="K457" i="33"/>
  <c r="I458" i="33"/>
  <c r="J458" i="33"/>
  <c r="K458" i="33"/>
  <c r="I459" i="33"/>
  <c r="J459" i="33"/>
  <c r="K459" i="33"/>
  <c r="I460" i="33"/>
  <c r="J460" i="33"/>
  <c r="K460" i="33"/>
  <c r="I461" i="33"/>
  <c r="J461" i="33"/>
  <c r="K461" i="33"/>
  <c r="I462" i="33"/>
  <c r="J462" i="33"/>
  <c r="K462" i="33"/>
  <c r="I463" i="33"/>
  <c r="J463" i="33"/>
  <c r="K463" i="33"/>
  <c r="I464" i="33"/>
  <c r="J464" i="33"/>
  <c r="K464" i="33"/>
  <c r="I465" i="33"/>
  <c r="J465" i="33"/>
  <c r="K465" i="33"/>
  <c r="I466" i="33"/>
  <c r="J466" i="33"/>
  <c r="K466" i="33"/>
  <c r="I467" i="33"/>
  <c r="J467" i="33"/>
  <c r="K467" i="33"/>
  <c r="I468" i="33"/>
  <c r="J468" i="33"/>
  <c r="K468" i="33"/>
  <c r="I469" i="33"/>
  <c r="J469" i="33"/>
  <c r="K469" i="33"/>
  <c r="I470" i="33"/>
  <c r="J470" i="33"/>
  <c r="K470" i="33"/>
  <c r="I471" i="33"/>
  <c r="J471" i="33"/>
  <c r="K471" i="33"/>
  <c r="I472" i="33"/>
  <c r="J472" i="33"/>
  <c r="K472" i="33"/>
  <c r="I473" i="33"/>
  <c r="J473" i="33"/>
  <c r="K473" i="33"/>
  <c r="I474" i="33"/>
  <c r="J474" i="33"/>
  <c r="K474" i="33"/>
  <c r="I475" i="33"/>
  <c r="J475" i="33"/>
  <c r="K475" i="33"/>
  <c r="I476" i="33"/>
  <c r="J476" i="33"/>
  <c r="K476" i="33"/>
  <c r="I477" i="33"/>
  <c r="J477" i="33"/>
  <c r="K477" i="33"/>
  <c r="I478" i="33"/>
  <c r="J478" i="33"/>
  <c r="K478" i="33"/>
  <c r="I479" i="33"/>
  <c r="J479" i="33"/>
  <c r="K479" i="33"/>
  <c r="I480" i="33"/>
  <c r="J480" i="33"/>
  <c r="K480" i="33"/>
  <c r="I481" i="33"/>
  <c r="J481" i="33"/>
  <c r="K481" i="33"/>
  <c r="I482" i="33"/>
  <c r="J482" i="33"/>
  <c r="K482" i="33"/>
  <c r="I483" i="33"/>
  <c r="J483" i="33"/>
  <c r="K483" i="33"/>
  <c r="I484" i="33"/>
  <c r="J484" i="33"/>
  <c r="K484" i="33"/>
  <c r="I485" i="33"/>
  <c r="J485" i="33"/>
  <c r="K485" i="33"/>
  <c r="I486" i="33"/>
  <c r="J486" i="33"/>
  <c r="K486" i="33"/>
  <c r="I487" i="33"/>
  <c r="J487" i="33"/>
  <c r="K487" i="33"/>
  <c r="I488" i="33"/>
  <c r="J488" i="33"/>
  <c r="K488" i="33"/>
  <c r="I489" i="33"/>
  <c r="J489" i="33"/>
  <c r="K489" i="33"/>
  <c r="I490" i="33"/>
  <c r="J490" i="33"/>
  <c r="K490" i="33"/>
  <c r="I491" i="33"/>
  <c r="J491" i="33"/>
  <c r="K491" i="33"/>
  <c r="I492" i="33"/>
  <c r="J492" i="33"/>
  <c r="K492" i="33"/>
  <c r="I493" i="33"/>
  <c r="J493" i="33"/>
  <c r="K493" i="33"/>
  <c r="I494" i="33"/>
  <c r="J494" i="33"/>
  <c r="K494" i="33"/>
  <c r="I495" i="33"/>
  <c r="J495" i="33"/>
  <c r="K495" i="33"/>
  <c r="I496" i="33"/>
  <c r="J496" i="33"/>
  <c r="K496" i="33"/>
  <c r="I497" i="33"/>
  <c r="J497" i="33"/>
  <c r="K497" i="33"/>
  <c r="I498" i="33"/>
  <c r="J498" i="33"/>
  <c r="K498" i="33"/>
  <c r="I499" i="33"/>
  <c r="J499" i="33"/>
  <c r="K499" i="33"/>
  <c r="I500" i="33"/>
  <c r="J500" i="33"/>
  <c r="K500" i="33"/>
  <c r="I501" i="33"/>
  <c r="J501" i="33"/>
  <c r="K501" i="33"/>
  <c r="I502" i="33"/>
  <c r="J502" i="33"/>
  <c r="K502" i="33"/>
  <c r="I503" i="33"/>
  <c r="J503" i="33"/>
  <c r="K503" i="33"/>
  <c r="I504" i="33"/>
  <c r="J504" i="33"/>
  <c r="K504" i="33"/>
  <c r="I505" i="33"/>
  <c r="J505" i="33"/>
  <c r="K505" i="33"/>
  <c r="I506" i="33"/>
  <c r="J506" i="33"/>
  <c r="K506" i="33"/>
  <c r="I507" i="33"/>
  <c r="J507" i="33"/>
  <c r="K507" i="33"/>
  <c r="I508" i="33"/>
  <c r="J508" i="33"/>
  <c r="K508" i="33"/>
  <c r="I509" i="33"/>
  <c r="J509" i="33"/>
  <c r="K509" i="33"/>
  <c r="I510" i="33"/>
  <c r="J510" i="33"/>
  <c r="K510" i="33"/>
  <c r="K449" i="33"/>
  <c r="J449" i="33"/>
  <c r="I449" i="33"/>
  <c r="H383" i="33"/>
  <c r="H384" i="33"/>
  <c r="H385" i="33"/>
  <c r="H386" i="33"/>
  <c r="H387" i="33"/>
  <c r="H388" i="33"/>
  <c r="H389" i="33"/>
  <c r="H390" i="33"/>
  <c r="H391" i="33"/>
  <c r="H392" i="33"/>
  <c r="H393" i="33"/>
  <c r="H394" i="33"/>
  <c r="H395" i="33"/>
  <c r="H396" i="33"/>
  <c r="H397" i="33"/>
  <c r="H398" i="33"/>
  <c r="H399" i="33"/>
  <c r="H400" i="33"/>
  <c r="H401" i="33"/>
  <c r="H402" i="33"/>
  <c r="H403" i="33"/>
  <c r="H404" i="33"/>
  <c r="H405" i="33"/>
  <c r="H406" i="33"/>
  <c r="H407" i="33"/>
  <c r="H408" i="33"/>
  <c r="H409" i="33"/>
  <c r="H410" i="33"/>
  <c r="H411" i="33"/>
  <c r="H412" i="33"/>
  <c r="H413" i="33"/>
  <c r="H414" i="33"/>
  <c r="H415" i="33"/>
  <c r="H416" i="33"/>
  <c r="H417" i="33"/>
  <c r="H418" i="33"/>
  <c r="H419" i="33"/>
  <c r="H420" i="33"/>
  <c r="H421" i="33"/>
  <c r="H422" i="33"/>
  <c r="H423" i="33"/>
  <c r="H424" i="33"/>
  <c r="H425" i="33"/>
  <c r="H426" i="33"/>
  <c r="H427" i="33"/>
  <c r="H428" i="33"/>
  <c r="H429" i="33"/>
  <c r="H430" i="33"/>
  <c r="H431" i="33"/>
  <c r="H432" i="33"/>
  <c r="H433" i="33"/>
  <c r="H434" i="33"/>
  <c r="H435" i="33"/>
  <c r="H436" i="33"/>
  <c r="H437" i="33"/>
  <c r="H438" i="33"/>
  <c r="H439" i="33"/>
  <c r="H440" i="33"/>
  <c r="H441" i="33"/>
  <c r="H442" i="33"/>
  <c r="H443" i="33"/>
  <c r="H382" i="33"/>
  <c r="D383" i="33"/>
  <c r="D384" i="33"/>
  <c r="D385" i="33"/>
  <c r="D386" i="33"/>
  <c r="D387" i="33"/>
  <c r="D388" i="33"/>
  <c r="D389" i="33"/>
  <c r="D390" i="33"/>
  <c r="D391" i="33"/>
  <c r="D392" i="33"/>
  <c r="D393" i="33"/>
  <c r="D394" i="33"/>
  <c r="D395" i="33"/>
  <c r="D396" i="33"/>
  <c r="D397" i="33"/>
  <c r="D398" i="33"/>
  <c r="D399" i="33"/>
  <c r="D400" i="33"/>
  <c r="D401" i="33"/>
  <c r="D402" i="33"/>
  <c r="D403" i="33"/>
  <c r="D404" i="33"/>
  <c r="D405" i="33"/>
  <c r="D406" i="33"/>
  <c r="D407" i="33"/>
  <c r="D408" i="33"/>
  <c r="D409" i="33"/>
  <c r="D410" i="33"/>
  <c r="D411" i="33"/>
  <c r="D412" i="33"/>
  <c r="D413" i="33"/>
  <c r="D414" i="33"/>
  <c r="D415" i="33"/>
  <c r="D416" i="33"/>
  <c r="D417" i="33"/>
  <c r="D418" i="33"/>
  <c r="D419" i="33"/>
  <c r="D420" i="33"/>
  <c r="D421" i="33"/>
  <c r="D422" i="33"/>
  <c r="D423" i="33"/>
  <c r="D424" i="33"/>
  <c r="D425" i="33"/>
  <c r="D426" i="33"/>
  <c r="D427" i="33"/>
  <c r="D428" i="33"/>
  <c r="D429" i="33"/>
  <c r="D430" i="33"/>
  <c r="D431" i="33"/>
  <c r="D432" i="33"/>
  <c r="D433" i="33"/>
  <c r="D434" i="33"/>
  <c r="D435" i="33"/>
  <c r="D436" i="33"/>
  <c r="D437" i="33"/>
  <c r="D438" i="33"/>
  <c r="D439" i="33"/>
  <c r="D440" i="33"/>
  <c r="D441" i="33"/>
  <c r="D442" i="33"/>
  <c r="D443" i="33"/>
  <c r="D382" i="33"/>
  <c r="M317" i="33"/>
  <c r="M318" i="33"/>
  <c r="M319" i="33"/>
  <c r="M320" i="33"/>
  <c r="M321" i="33"/>
  <c r="M322" i="33"/>
  <c r="M323" i="33"/>
  <c r="M324" i="33"/>
  <c r="M325" i="33"/>
  <c r="M326" i="33"/>
  <c r="M327" i="33"/>
  <c r="M328" i="33"/>
  <c r="M329" i="33"/>
  <c r="M330" i="33"/>
  <c r="M331" i="33"/>
  <c r="M332" i="33"/>
  <c r="M333" i="33"/>
  <c r="M334" i="33"/>
  <c r="M335" i="33"/>
  <c r="M336" i="33"/>
  <c r="M337" i="33"/>
  <c r="M338" i="33"/>
  <c r="M339" i="33"/>
  <c r="M340" i="33"/>
  <c r="M341" i="33"/>
  <c r="M342" i="33"/>
  <c r="M343" i="33"/>
  <c r="M344" i="33"/>
  <c r="M345" i="33"/>
  <c r="M346" i="33"/>
  <c r="M347" i="33"/>
  <c r="M348" i="33"/>
  <c r="M349" i="33"/>
  <c r="M350" i="33"/>
  <c r="M351" i="33"/>
  <c r="M352" i="33"/>
  <c r="M353" i="33"/>
  <c r="M354" i="33"/>
  <c r="M355" i="33"/>
  <c r="M356" i="33"/>
  <c r="M357" i="33"/>
  <c r="M358" i="33"/>
  <c r="M359" i="33"/>
  <c r="M360" i="33"/>
  <c r="M361" i="33"/>
  <c r="M362" i="33"/>
  <c r="M363" i="33"/>
  <c r="M364" i="33"/>
  <c r="M365" i="33"/>
  <c r="M366" i="33"/>
  <c r="M367" i="33"/>
  <c r="M368" i="33"/>
  <c r="M369" i="33"/>
  <c r="M370" i="33"/>
  <c r="M371" i="33"/>
  <c r="M372" i="33"/>
  <c r="M373" i="33"/>
  <c r="M374" i="33"/>
  <c r="M375" i="33"/>
  <c r="M376" i="33"/>
  <c r="M377" i="33"/>
  <c r="M316" i="33"/>
  <c r="D317" i="33"/>
  <c r="E317" i="33"/>
  <c r="D318" i="33"/>
  <c r="E318" i="33"/>
  <c r="D319" i="33"/>
  <c r="E319" i="33"/>
  <c r="D320" i="33"/>
  <c r="E320" i="33"/>
  <c r="D321" i="33"/>
  <c r="E321" i="33"/>
  <c r="D322" i="33"/>
  <c r="E322" i="33"/>
  <c r="D323" i="33"/>
  <c r="E323" i="33"/>
  <c r="D324" i="33"/>
  <c r="E324" i="33"/>
  <c r="D325" i="33"/>
  <c r="E325" i="33"/>
  <c r="D326" i="33"/>
  <c r="E326" i="33"/>
  <c r="D327" i="33"/>
  <c r="E327" i="33"/>
  <c r="D328" i="33"/>
  <c r="E328" i="33"/>
  <c r="D329" i="33"/>
  <c r="E329" i="33"/>
  <c r="D330" i="33"/>
  <c r="E330" i="33"/>
  <c r="D331" i="33"/>
  <c r="E331" i="33"/>
  <c r="D332" i="33"/>
  <c r="E332" i="33"/>
  <c r="D333" i="33"/>
  <c r="E333" i="33"/>
  <c r="D334" i="33"/>
  <c r="E334" i="33"/>
  <c r="D335" i="33"/>
  <c r="E335" i="33"/>
  <c r="D336" i="33"/>
  <c r="E336" i="33"/>
  <c r="D337" i="33"/>
  <c r="E337" i="33"/>
  <c r="D338" i="33"/>
  <c r="E338" i="33"/>
  <c r="D339" i="33"/>
  <c r="E339" i="33"/>
  <c r="D340" i="33"/>
  <c r="E340" i="33"/>
  <c r="D341" i="33"/>
  <c r="E341" i="33"/>
  <c r="D342" i="33"/>
  <c r="E342" i="33"/>
  <c r="D343" i="33"/>
  <c r="E343" i="33"/>
  <c r="D344" i="33"/>
  <c r="E344" i="33"/>
  <c r="D345" i="33"/>
  <c r="E345" i="33"/>
  <c r="D346" i="33"/>
  <c r="E346" i="33"/>
  <c r="D347" i="33"/>
  <c r="E347" i="33"/>
  <c r="D348" i="33"/>
  <c r="E348" i="33"/>
  <c r="D349" i="33"/>
  <c r="E349" i="33"/>
  <c r="D350" i="33"/>
  <c r="E350" i="33"/>
  <c r="D351" i="33"/>
  <c r="E351" i="33"/>
  <c r="D352" i="33"/>
  <c r="E352" i="33"/>
  <c r="D353" i="33"/>
  <c r="E353" i="33"/>
  <c r="D354" i="33"/>
  <c r="E354" i="33"/>
  <c r="D355" i="33"/>
  <c r="E355" i="33"/>
  <c r="D356" i="33"/>
  <c r="E356" i="33"/>
  <c r="D357" i="33"/>
  <c r="E357" i="33"/>
  <c r="D358" i="33"/>
  <c r="E358" i="33"/>
  <c r="D359" i="33"/>
  <c r="E359" i="33"/>
  <c r="D360" i="33"/>
  <c r="E360" i="33"/>
  <c r="D361" i="33"/>
  <c r="E361" i="33"/>
  <c r="D362" i="33"/>
  <c r="E362" i="33"/>
  <c r="D363" i="33"/>
  <c r="E363" i="33"/>
  <c r="D364" i="33"/>
  <c r="E364" i="33"/>
  <c r="D365" i="33"/>
  <c r="E365" i="33"/>
  <c r="D366" i="33"/>
  <c r="E366" i="33"/>
  <c r="D367" i="33"/>
  <c r="E367" i="33"/>
  <c r="D368" i="33"/>
  <c r="E368" i="33"/>
  <c r="D369" i="33"/>
  <c r="E369" i="33"/>
  <c r="D370" i="33"/>
  <c r="E370" i="33"/>
  <c r="D371" i="33"/>
  <c r="E371" i="33"/>
  <c r="D372" i="33"/>
  <c r="E372" i="33"/>
  <c r="D373" i="33"/>
  <c r="E373" i="33"/>
  <c r="D374" i="33"/>
  <c r="E374" i="33"/>
  <c r="D375" i="33"/>
  <c r="E375" i="33"/>
  <c r="D376" i="33"/>
  <c r="E376" i="33"/>
  <c r="D377" i="33"/>
  <c r="E377" i="33"/>
  <c r="E316" i="33"/>
  <c r="D316" i="33"/>
  <c r="A760" i="33" l="1"/>
  <c r="A685" i="33"/>
  <c r="A759" i="33"/>
  <c r="A684" i="33"/>
  <c r="B105" i="10"/>
  <c r="B166" i="30" s="1"/>
  <c r="A797" i="31"/>
  <c r="A537" i="31"/>
  <c r="B932" i="31"/>
  <c r="D278" i="31"/>
  <c r="A667" i="31"/>
  <c r="D407" i="31"/>
  <c r="D149" i="31"/>
  <c r="B106" i="10"/>
  <c r="B167" i="30" s="1"/>
  <c r="A798" i="31"/>
  <c r="A538" i="31"/>
  <c r="D408" i="31"/>
  <c r="D279" i="31"/>
  <c r="D150" i="31"/>
  <c r="B933" i="31"/>
  <c r="A668" i="31"/>
  <c r="H954" i="31"/>
  <c r="J954" i="31"/>
  <c r="F954" i="31"/>
  <c r="G934" i="31"/>
  <c r="I934" i="31"/>
  <c r="K934" i="31"/>
  <c r="I938" i="31"/>
  <c r="G938" i="31"/>
  <c r="K938" i="31"/>
  <c r="H938" i="31"/>
  <c r="J938" i="31"/>
  <c r="F938" i="31"/>
  <c r="F936" i="31"/>
  <c r="H936" i="31"/>
  <c r="J936" i="31"/>
  <c r="G927" i="31"/>
  <c r="K927" i="31"/>
  <c r="I927" i="31"/>
  <c r="J934" i="31"/>
  <c r="F934" i="31"/>
  <c r="H934" i="31"/>
  <c r="G939" i="31"/>
  <c r="I939" i="31"/>
  <c r="K939" i="31"/>
  <c r="J939" i="31"/>
  <c r="H939" i="31"/>
  <c r="F939" i="31"/>
  <c r="K936" i="31"/>
  <c r="I936" i="31"/>
  <c r="G936" i="31"/>
  <c r="H927" i="31"/>
  <c r="F927" i="31"/>
  <c r="J927" i="31"/>
  <c r="G954" i="31"/>
  <c r="K954" i="31"/>
  <c r="I954" i="31"/>
  <c r="A940" i="33"/>
  <c r="A552" i="33"/>
  <c r="A1038" i="33"/>
  <c r="A619" i="33"/>
  <c r="A485" i="33"/>
  <c r="A418" i="33"/>
  <c r="A197" i="33"/>
  <c r="A352" i="33"/>
  <c r="A1037" i="33"/>
  <c r="A618" i="33"/>
  <c r="A484" i="33"/>
  <c r="A939" i="33"/>
  <c r="A551" i="33"/>
  <c r="A351" i="33"/>
  <c r="A417" i="33"/>
  <c r="A196" i="33"/>
  <c r="B43" i="10"/>
  <c r="D216" i="31"/>
  <c r="A133" i="33"/>
  <c r="A828" i="33" s="1"/>
  <c r="D345" i="31"/>
  <c r="B42" i="10"/>
  <c r="A132" i="33"/>
  <c r="A827" i="33" s="1"/>
  <c r="D215" i="31"/>
  <c r="D344" i="31"/>
  <c r="H449" i="33"/>
  <c r="H509" i="33"/>
  <c r="H505" i="33"/>
  <c r="H501" i="33"/>
  <c r="H497" i="33"/>
  <c r="H493" i="33"/>
  <c r="H489" i="33"/>
  <c r="H485" i="33"/>
  <c r="H481" i="33"/>
  <c r="H477" i="33"/>
  <c r="H473" i="33"/>
  <c r="H469" i="33"/>
  <c r="H465" i="33"/>
  <c r="H461" i="33"/>
  <c r="H457" i="33"/>
  <c r="H453" i="33"/>
  <c r="H508" i="33"/>
  <c r="H504" i="33"/>
  <c r="H500" i="33"/>
  <c r="H496" i="33"/>
  <c r="H492" i="33"/>
  <c r="H488" i="33"/>
  <c r="H484" i="33"/>
  <c r="H480" i="33"/>
  <c r="H476" i="33"/>
  <c r="H472" i="33"/>
  <c r="H468" i="33"/>
  <c r="H464" i="33"/>
  <c r="H460" i="33"/>
  <c r="H456" i="33"/>
  <c r="H452" i="33"/>
  <c r="H507" i="33"/>
  <c r="H503" i="33"/>
  <c r="H499" i="33"/>
  <c r="H495" i="33"/>
  <c r="H491" i="33"/>
  <c r="H487" i="33"/>
  <c r="H483" i="33"/>
  <c r="H479" i="33"/>
  <c r="H475" i="33"/>
  <c r="H471" i="33"/>
  <c r="H467" i="33"/>
  <c r="H463" i="33"/>
  <c r="H459" i="33"/>
  <c r="H455" i="33"/>
  <c r="H451" i="33"/>
  <c r="H510" i="33"/>
  <c r="H506" i="33"/>
  <c r="H502" i="33"/>
  <c r="H498" i="33"/>
  <c r="H494" i="33"/>
  <c r="H490" i="33"/>
  <c r="H486" i="33"/>
  <c r="H482" i="33"/>
  <c r="H478" i="33"/>
  <c r="H474" i="33"/>
  <c r="H470" i="33"/>
  <c r="H466" i="33"/>
  <c r="H462" i="33"/>
  <c r="H458" i="33"/>
  <c r="H454" i="33"/>
  <c r="H450" i="33"/>
  <c r="N95" i="33"/>
  <c r="H195" i="33"/>
  <c r="H196" i="33"/>
  <c r="H197" i="33"/>
  <c r="H198" i="33"/>
  <c r="H199" i="33"/>
  <c r="H200" i="33"/>
  <c r="H201" i="33"/>
  <c r="H202" i="33"/>
  <c r="A762" i="33" l="1"/>
  <c r="A687" i="33"/>
  <c r="A761" i="33"/>
  <c r="A686" i="33"/>
  <c r="B108" i="10"/>
  <c r="B169" i="30" s="1"/>
  <c r="B935" i="31"/>
  <c r="A670" i="31"/>
  <c r="D410" i="31"/>
  <c r="D281" i="31"/>
  <c r="D152" i="31"/>
  <c r="A800" i="31"/>
  <c r="A540" i="31"/>
  <c r="B107" i="10"/>
  <c r="B168" i="30" s="1"/>
  <c r="B934" i="31"/>
  <c r="A669" i="31"/>
  <c r="A539" i="31"/>
  <c r="D409" i="31"/>
  <c r="D151" i="31"/>
  <c r="A799" i="31"/>
  <c r="D280" i="31"/>
  <c r="A941" i="33"/>
  <c r="A553" i="33"/>
  <c r="A1039" i="33"/>
  <c r="A620" i="33"/>
  <c r="A486" i="33"/>
  <c r="A419" i="33"/>
  <c r="A198" i="33"/>
  <c r="A353" i="33"/>
  <c r="A1040" i="33"/>
  <c r="A621" i="33"/>
  <c r="A487" i="33"/>
  <c r="A942" i="33"/>
  <c r="A554" i="33"/>
  <c r="A354" i="33"/>
  <c r="A420" i="33"/>
  <c r="A199" i="33"/>
  <c r="B44" i="10"/>
  <c r="D217" i="31"/>
  <c r="A134" i="33"/>
  <c r="A829" i="33" s="1"/>
  <c r="D346" i="31"/>
  <c r="B45" i="10"/>
  <c r="A942" i="35" s="1"/>
  <c r="D218" i="31"/>
  <c r="A135" i="33"/>
  <c r="A830" i="33" s="1"/>
  <c r="D347" i="31"/>
  <c r="A901" i="35"/>
  <c r="A902" i="35"/>
  <c r="A903" i="35"/>
  <c r="A904" i="35"/>
  <c r="A905" i="35"/>
  <c r="A906" i="35"/>
  <c r="A907" i="35"/>
  <c r="A908" i="35"/>
  <c r="A909" i="35"/>
  <c r="A910" i="35"/>
  <c r="A911" i="35"/>
  <c r="A912" i="35"/>
  <c r="A913" i="35"/>
  <c r="A914" i="35"/>
  <c r="A915" i="35"/>
  <c r="A916" i="35"/>
  <c r="A917" i="35"/>
  <c r="A918" i="35"/>
  <c r="A919" i="35"/>
  <c r="A920" i="35"/>
  <c r="A921" i="35"/>
  <c r="A922" i="35"/>
  <c r="A923" i="35"/>
  <c r="A924" i="35"/>
  <c r="A925" i="35"/>
  <c r="A926" i="35"/>
  <c r="A927" i="35"/>
  <c r="A928" i="35"/>
  <c r="A929" i="35"/>
  <c r="A930" i="35"/>
  <c r="A931" i="35"/>
  <c r="A932" i="35"/>
  <c r="A933" i="35"/>
  <c r="A934" i="35"/>
  <c r="A935" i="35"/>
  <c r="A936" i="35"/>
  <c r="A937" i="35"/>
  <c r="A938" i="35"/>
  <c r="A939" i="35"/>
  <c r="A940" i="35"/>
  <c r="A941" i="35"/>
  <c r="A900" i="35"/>
  <c r="A763" i="33" l="1"/>
  <c r="A688" i="33"/>
  <c r="A764" i="33"/>
  <c r="A689" i="33"/>
  <c r="B109" i="10"/>
  <c r="B170" i="30" s="1"/>
  <c r="A801" i="31"/>
  <c r="A541" i="31"/>
  <c r="B936" i="31"/>
  <c r="D411" i="31"/>
  <c r="D153" i="31"/>
  <c r="A671" i="31"/>
  <c r="D282" i="31"/>
  <c r="B110" i="10"/>
  <c r="B171" i="30" s="1"/>
  <c r="A802" i="31"/>
  <c r="A542" i="31"/>
  <c r="D412" i="31"/>
  <c r="D283" i="31"/>
  <c r="D154" i="31"/>
  <c r="B937" i="31"/>
  <c r="A672" i="31"/>
  <c r="A944" i="33"/>
  <c r="A556" i="33"/>
  <c r="A1042" i="33"/>
  <c r="A623" i="33"/>
  <c r="A489" i="33"/>
  <c r="A422" i="33"/>
  <c r="A356" i="33"/>
  <c r="A201" i="33"/>
  <c r="A1041" i="33"/>
  <c r="A622" i="33"/>
  <c r="A488" i="33"/>
  <c r="A943" i="33"/>
  <c r="A555" i="33"/>
  <c r="A355" i="33"/>
  <c r="A421" i="33"/>
  <c r="A200" i="33"/>
  <c r="B47" i="10"/>
  <c r="A137" i="33"/>
  <c r="A832" i="33" s="1"/>
  <c r="D220" i="31"/>
  <c r="D349" i="31"/>
  <c r="B46" i="10"/>
  <c r="A136" i="33"/>
  <c r="A831" i="33" s="1"/>
  <c r="D219" i="31"/>
  <c r="D348" i="31"/>
  <c r="H141" i="32"/>
  <c r="I141" i="32"/>
  <c r="H142" i="32"/>
  <c r="I142" i="32"/>
  <c r="H143" i="32"/>
  <c r="I143" i="32"/>
  <c r="H144" i="32"/>
  <c r="I144" i="32"/>
  <c r="H145" i="32"/>
  <c r="I145" i="32"/>
  <c r="H146" i="32"/>
  <c r="I146" i="32"/>
  <c r="H147" i="32"/>
  <c r="I147" i="32"/>
  <c r="H148" i="32"/>
  <c r="I148" i="32"/>
  <c r="H149" i="32"/>
  <c r="I149" i="32"/>
  <c r="H150" i="32"/>
  <c r="I150" i="32"/>
  <c r="H151" i="32"/>
  <c r="I151" i="32"/>
  <c r="H152" i="32"/>
  <c r="I152" i="32"/>
  <c r="H153" i="32"/>
  <c r="I153" i="32"/>
  <c r="H154" i="32"/>
  <c r="I154" i="32"/>
  <c r="H155" i="32"/>
  <c r="I155" i="32"/>
  <c r="H156" i="32"/>
  <c r="I156" i="32"/>
  <c r="H157" i="32"/>
  <c r="I157" i="32"/>
  <c r="H158" i="32"/>
  <c r="I158" i="32"/>
  <c r="H159" i="32"/>
  <c r="I159" i="32"/>
  <c r="H160" i="32"/>
  <c r="I160" i="32"/>
  <c r="H161" i="32"/>
  <c r="I161" i="32"/>
  <c r="H162" i="32"/>
  <c r="I162" i="32"/>
  <c r="H163" i="32"/>
  <c r="I163" i="32"/>
  <c r="H164" i="32"/>
  <c r="I164" i="32"/>
  <c r="H165" i="32"/>
  <c r="I165" i="32"/>
  <c r="H166" i="32"/>
  <c r="I166" i="32"/>
  <c r="H167" i="32"/>
  <c r="I167" i="32"/>
  <c r="H168" i="32"/>
  <c r="I168" i="32"/>
  <c r="H169" i="32"/>
  <c r="I169" i="32"/>
  <c r="H170" i="32"/>
  <c r="I170" i="32"/>
  <c r="H171" i="32"/>
  <c r="I171" i="32"/>
  <c r="H172" i="32"/>
  <c r="I172" i="32"/>
  <c r="H173" i="32"/>
  <c r="I173" i="32"/>
  <c r="H174" i="32"/>
  <c r="I174" i="32"/>
  <c r="H175" i="32"/>
  <c r="I175" i="32"/>
  <c r="H176" i="32"/>
  <c r="I176" i="32"/>
  <c r="H177" i="32"/>
  <c r="I177" i="32"/>
  <c r="H178" i="32"/>
  <c r="I178" i="32"/>
  <c r="H179" i="32"/>
  <c r="I179" i="32"/>
  <c r="H180" i="32"/>
  <c r="I180" i="32"/>
  <c r="H181" i="32"/>
  <c r="I181" i="32"/>
  <c r="H182" i="32"/>
  <c r="I182" i="32"/>
  <c r="H183" i="32"/>
  <c r="I183" i="32"/>
  <c r="H184" i="32"/>
  <c r="I184" i="32"/>
  <c r="H185" i="32"/>
  <c r="I185" i="32"/>
  <c r="H186" i="32"/>
  <c r="I186" i="32"/>
  <c r="H187" i="32"/>
  <c r="I187" i="32"/>
  <c r="H188" i="32"/>
  <c r="I188" i="32"/>
  <c r="H189" i="32"/>
  <c r="I189" i="32"/>
  <c r="H190" i="32"/>
  <c r="I190" i="32"/>
  <c r="H191" i="32"/>
  <c r="I191" i="32"/>
  <c r="H192" i="32"/>
  <c r="I192" i="32"/>
  <c r="H193" i="32"/>
  <c r="I193" i="32"/>
  <c r="H194" i="32"/>
  <c r="I194" i="32"/>
  <c r="H195" i="32"/>
  <c r="I195" i="32"/>
  <c r="H196" i="32"/>
  <c r="I196" i="32"/>
  <c r="H197" i="32"/>
  <c r="I197" i="32"/>
  <c r="H198" i="32"/>
  <c r="I198" i="32"/>
  <c r="H199" i="32"/>
  <c r="I199" i="32"/>
  <c r="H200" i="32"/>
  <c r="I200" i="32"/>
  <c r="H201" i="32"/>
  <c r="I201" i="32"/>
  <c r="I140" i="32"/>
  <c r="H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40" i="32"/>
  <c r="A765" i="33" l="1"/>
  <c r="A690" i="33"/>
  <c r="A766" i="33"/>
  <c r="A691" i="33"/>
  <c r="B112" i="10"/>
  <c r="B173" i="30" s="1"/>
  <c r="B939" i="31"/>
  <c r="A674" i="31"/>
  <c r="D414" i="31"/>
  <c r="D285" i="31"/>
  <c r="D156" i="31"/>
  <c r="A804" i="31"/>
  <c r="A544" i="31"/>
  <c r="B111" i="10"/>
  <c r="B172" i="30" s="1"/>
  <c r="B938" i="31"/>
  <c r="A673" i="31"/>
  <c r="D284" i="31"/>
  <c r="A803" i="31"/>
  <c r="D413" i="31"/>
  <c r="D155" i="31"/>
  <c r="A543" i="31"/>
  <c r="A945" i="33"/>
  <c r="A557" i="33"/>
  <c r="A1043" i="33"/>
  <c r="A624" i="33"/>
  <c r="A490" i="33"/>
  <c r="A423" i="33"/>
  <c r="A202" i="33"/>
  <c r="A357" i="33"/>
  <c r="B48" i="10"/>
  <c r="A97" i="32" s="1"/>
  <c r="D221" i="31"/>
  <c r="A138" i="33"/>
  <c r="A833" i="33" s="1"/>
  <c r="D350" i="31"/>
  <c r="A943" i="35"/>
  <c r="A1044" i="33"/>
  <c r="A625" i="33"/>
  <c r="A491" i="33"/>
  <c r="A946" i="33"/>
  <c r="A558" i="33"/>
  <c r="A358" i="33"/>
  <c r="A203" i="33"/>
  <c r="A424" i="33"/>
  <c r="B49" i="10"/>
  <c r="D222" i="31"/>
  <c r="A139" i="33"/>
  <c r="A834" i="33" s="1"/>
  <c r="D351" i="31"/>
  <c r="A944" i="35"/>
  <c r="J55" i="32"/>
  <c r="J56" i="32"/>
  <c r="J59" i="32"/>
  <c r="J60" i="32"/>
  <c r="J63" i="32"/>
  <c r="J64" i="32"/>
  <c r="J67" i="32"/>
  <c r="J68" i="32"/>
  <c r="J73" i="32"/>
  <c r="J74" i="32"/>
  <c r="J77" i="32"/>
  <c r="J78" i="32"/>
  <c r="J81" i="32"/>
  <c r="J82" i="32"/>
  <c r="J85" i="32"/>
  <c r="J86" i="32"/>
  <c r="J87" i="32"/>
  <c r="J88" i="32"/>
  <c r="J91" i="32"/>
  <c r="J92" i="32"/>
  <c r="J93" i="32"/>
  <c r="J94" i="32"/>
  <c r="J97" i="32"/>
  <c r="J98" i="32"/>
  <c r="J101" i="32"/>
  <c r="J102" i="32"/>
  <c r="J105" i="32"/>
  <c r="J106" i="32"/>
  <c r="J109" i="32"/>
  <c r="J110" i="32"/>
  <c r="J113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8" i="32"/>
  <c r="A52" i="32"/>
  <c r="M40" i="32"/>
  <c r="A698" i="31"/>
  <c r="A699" i="31"/>
  <c r="A700" i="31"/>
  <c r="A701" i="31"/>
  <c r="A702" i="31"/>
  <c r="A703" i="31"/>
  <c r="A704" i="31"/>
  <c r="A705" i="31"/>
  <c r="A706" i="31"/>
  <c r="A707" i="31"/>
  <c r="A708" i="31"/>
  <c r="A709" i="31"/>
  <c r="A710" i="31"/>
  <c r="A711" i="31"/>
  <c r="A712" i="31"/>
  <c r="A713" i="31"/>
  <c r="A714" i="31"/>
  <c r="A715" i="31"/>
  <c r="A716" i="31"/>
  <c r="A717" i="31"/>
  <c r="A718" i="31"/>
  <c r="A719" i="31"/>
  <c r="A720" i="31"/>
  <c r="A721" i="31"/>
  <c r="A722" i="31"/>
  <c r="A723" i="31"/>
  <c r="A724" i="31"/>
  <c r="A725" i="31"/>
  <c r="A726" i="31"/>
  <c r="A727" i="31"/>
  <c r="A728" i="31"/>
  <c r="A729" i="31"/>
  <c r="A730" i="31"/>
  <c r="A731" i="31"/>
  <c r="A732" i="31"/>
  <c r="A733" i="31"/>
  <c r="A734" i="31"/>
  <c r="A735" i="31"/>
  <c r="A736" i="31"/>
  <c r="A737" i="31"/>
  <c r="A738" i="31"/>
  <c r="A739" i="31"/>
  <c r="A740" i="31"/>
  <c r="A741" i="31"/>
  <c r="A743" i="31"/>
  <c r="A697" i="31"/>
  <c r="A768" i="33" l="1"/>
  <c r="A693" i="33"/>
  <c r="A767" i="33"/>
  <c r="A692" i="33"/>
  <c r="A742" i="31"/>
  <c r="B113" i="10"/>
  <c r="B174" i="30" s="1"/>
  <c r="A805" i="31"/>
  <c r="A545" i="31"/>
  <c r="A675" i="31"/>
  <c r="D286" i="31"/>
  <c r="B940" i="31"/>
  <c r="D415" i="31"/>
  <c r="D157" i="31"/>
  <c r="B114" i="10"/>
  <c r="B175" i="30" s="1"/>
  <c r="A806" i="31"/>
  <c r="A546" i="31"/>
  <c r="D416" i="31"/>
  <c r="D287" i="31"/>
  <c r="D158" i="31"/>
  <c r="B941" i="31"/>
  <c r="A676" i="31"/>
  <c r="B51" i="10"/>
  <c r="A141" i="33"/>
  <c r="A836" i="33" s="1"/>
  <c r="D224" i="31"/>
  <c r="D353" i="31"/>
  <c r="A946" i="35"/>
  <c r="A186" i="32"/>
  <c r="B50" i="10"/>
  <c r="A140" i="33"/>
  <c r="A835" i="33" s="1"/>
  <c r="D223" i="31"/>
  <c r="D352" i="31"/>
  <c r="A945" i="35"/>
  <c r="A185" i="32"/>
  <c r="A948" i="33"/>
  <c r="A560" i="33"/>
  <c r="A1046" i="33"/>
  <c r="A627" i="33"/>
  <c r="A493" i="33"/>
  <c r="A426" i="33"/>
  <c r="A360" i="33"/>
  <c r="A205" i="33"/>
  <c r="A1045" i="33"/>
  <c r="A626" i="33"/>
  <c r="A492" i="33"/>
  <c r="A947" i="33"/>
  <c r="A559" i="33"/>
  <c r="A359" i="33"/>
  <c r="A425" i="33"/>
  <c r="A204" i="33"/>
  <c r="A770" i="33" l="1"/>
  <c r="A695" i="33"/>
  <c r="A769" i="33"/>
  <c r="A694" i="33"/>
  <c r="B116" i="10"/>
  <c r="B177" i="30" s="1"/>
  <c r="B943" i="31"/>
  <c r="A678" i="31"/>
  <c r="D418" i="31"/>
  <c r="D289" i="31"/>
  <c r="D160" i="31"/>
  <c r="A808" i="31"/>
  <c r="A548" i="31"/>
  <c r="B115" i="10"/>
  <c r="B176" i="30" s="1"/>
  <c r="B942" i="31"/>
  <c r="A677" i="31"/>
  <c r="A807" i="31"/>
  <c r="D417" i="31"/>
  <c r="D159" i="31"/>
  <c r="A547" i="31"/>
  <c r="D288" i="31"/>
  <c r="B52" i="10"/>
  <c r="D225" i="31"/>
  <c r="A142" i="33"/>
  <c r="A837" i="33" s="1"/>
  <c r="D354" i="31"/>
  <c r="A947" i="35"/>
  <c r="A187" i="32"/>
  <c r="A744" i="31"/>
  <c r="A99" i="32"/>
  <c r="A949" i="33"/>
  <c r="A561" i="33"/>
  <c r="A1047" i="33"/>
  <c r="A628" i="33"/>
  <c r="A494" i="33"/>
  <c r="A427" i="33"/>
  <c r="A206" i="33"/>
  <c r="A361" i="33"/>
  <c r="A1048" i="33"/>
  <c r="A629" i="33"/>
  <c r="A495" i="33"/>
  <c r="A950" i="33"/>
  <c r="A562" i="33"/>
  <c r="A362" i="33"/>
  <c r="A428" i="33"/>
  <c r="A207" i="33"/>
  <c r="B53" i="10"/>
  <c r="A143" i="33"/>
  <c r="A838" i="33" s="1"/>
  <c r="D226" i="31"/>
  <c r="D355" i="31"/>
  <c r="A948" i="35"/>
  <c r="A188" i="32"/>
  <c r="A745" i="31"/>
  <c r="A100" i="32"/>
  <c r="AN6" i="38"/>
  <c r="AN10" i="38"/>
  <c r="AN14" i="38"/>
  <c r="AN18" i="38"/>
  <c r="AN22" i="38"/>
  <c r="AN26" i="38"/>
  <c r="AN30" i="38"/>
  <c r="AN34" i="38"/>
  <c r="AN38" i="38"/>
  <c r="AN42" i="38"/>
  <c r="AN46" i="38"/>
  <c r="AN50" i="38"/>
  <c r="AN54" i="38"/>
  <c r="AN58" i="38"/>
  <c r="AN62" i="38"/>
  <c r="AN66" i="38"/>
  <c r="AN17" i="38"/>
  <c r="AN29" i="38"/>
  <c r="AN41" i="38"/>
  <c r="AN49" i="38"/>
  <c r="AN61" i="38"/>
  <c r="AN7" i="38"/>
  <c r="AN11" i="38"/>
  <c r="AN15" i="38"/>
  <c r="AN19" i="38"/>
  <c r="AN23" i="38"/>
  <c r="AN27" i="38"/>
  <c r="AN31" i="38"/>
  <c r="AN35" i="38"/>
  <c r="AN39" i="38"/>
  <c r="AN43" i="38"/>
  <c r="AN47" i="38"/>
  <c r="AN51" i="38"/>
  <c r="AN55" i="38"/>
  <c r="AN59" i="38"/>
  <c r="AN63" i="38"/>
  <c r="AN5" i="38"/>
  <c r="AN13" i="38"/>
  <c r="AN33" i="38"/>
  <c r="AN45" i="38"/>
  <c r="AN57" i="38"/>
  <c r="AN8" i="38"/>
  <c r="AN12" i="38"/>
  <c r="AN16" i="38"/>
  <c r="AN20" i="38"/>
  <c r="AN24" i="38"/>
  <c r="AN28" i="38"/>
  <c r="AN32" i="38"/>
  <c r="AN36" i="38"/>
  <c r="AN40" i="38"/>
  <c r="AN44" i="38"/>
  <c r="AN48" i="38"/>
  <c r="AN52" i="38"/>
  <c r="AN56" i="38"/>
  <c r="AN60" i="38"/>
  <c r="AN64" i="38"/>
  <c r="AN9" i="38"/>
  <c r="AN21" i="38"/>
  <c r="AN25" i="38"/>
  <c r="AN37" i="38"/>
  <c r="AN53" i="38"/>
  <c r="AN65" i="38"/>
  <c r="A771" i="33" l="1"/>
  <c r="A696" i="33"/>
  <c r="A772" i="33"/>
  <c r="A697" i="33"/>
  <c r="B117" i="10"/>
  <c r="B178" i="30" s="1"/>
  <c r="A809" i="31"/>
  <c r="A549" i="31"/>
  <c r="A679" i="31"/>
  <c r="D419" i="31"/>
  <c r="D161" i="31"/>
  <c r="B944" i="31"/>
  <c r="D290" i="31"/>
  <c r="B118" i="10"/>
  <c r="B179" i="30" s="1"/>
  <c r="A810" i="31"/>
  <c r="A550" i="31"/>
  <c r="D420" i="31"/>
  <c r="D291" i="31"/>
  <c r="D162" i="31"/>
  <c r="B945" i="31"/>
  <c r="A680" i="31"/>
  <c r="A952" i="33"/>
  <c r="A564" i="33"/>
  <c r="A1050" i="33"/>
  <c r="A631" i="33"/>
  <c r="A497" i="33"/>
  <c r="A430" i="33"/>
  <c r="A209" i="33"/>
  <c r="A364" i="33"/>
  <c r="A1049" i="33"/>
  <c r="A630" i="33"/>
  <c r="A496" i="33"/>
  <c r="A951" i="33"/>
  <c r="A563" i="33"/>
  <c r="A363" i="33"/>
  <c r="A429" i="33"/>
  <c r="A208" i="33"/>
  <c r="B55" i="10"/>
  <c r="D228" i="31"/>
  <c r="A145" i="33"/>
  <c r="A840" i="33" s="1"/>
  <c r="D357" i="31"/>
  <c r="A950" i="35"/>
  <c r="A190" i="32"/>
  <c r="A747" i="31"/>
  <c r="A102" i="32"/>
  <c r="B54" i="10"/>
  <c r="A144" i="33"/>
  <c r="A839" i="33" s="1"/>
  <c r="D227" i="31"/>
  <c r="D356" i="31"/>
  <c r="A949" i="35"/>
  <c r="A189" i="32"/>
  <c r="A101" i="32"/>
  <c r="A746" i="31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34" i="35"/>
  <c r="A1035" i="35"/>
  <c r="A1036" i="35"/>
  <c r="A1037" i="35"/>
  <c r="A1038" i="35"/>
  <c r="A1039" i="35"/>
  <c r="A1040" i="35"/>
  <c r="A1041" i="35"/>
  <c r="A1042" i="35"/>
  <c r="A1043" i="35"/>
  <c r="A1044" i="35"/>
  <c r="A1045" i="35"/>
  <c r="A1046" i="35"/>
  <c r="A1047" i="35"/>
  <c r="A1048" i="35"/>
  <c r="A1049" i="35"/>
  <c r="A1050" i="35"/>
  <c r="A1051" i="35"/>
  <c r="A1052" i="35"/>
  <c r="A1053" i="35"/>
  <c r="A1054" i="35"/>
  <c r="A1055" i="35"/>
  <c r="A1056" i="35"/>
  <c r="A1057" i="35"/>
  <c r="A1058" i="35"/>
  <c r="A1059" i="35"/>
  <c r="A1060" i="35"/>
  <c r="A1061" i="35"/>
  <c r="A1062" i="35"/>
  <c r="A1063" i="35"/>
  <c r="A1064" i="35"/>
  <c r="A1065" i="35"/>
  <c r="A1066" i="35"/>
  <c r="A1067" i="35"/>
  <c r="A1068" i="35"/>
  <c r="A1069" i="35"/>
  <c r="A1070" i="35"/>
  <c r="A1071" i="35"/>
  <c r="A1072" i="35"/>
  <c r="A1073" i="35"/>
  <c r="A1074" i="35"/>
  <c r="A1075" i="35"/>
  <c r="A1076" i="35"/>
  <c r="A1077" i="35"/>
  <c r="A1078" i="35"/>
  <c r="A1079" i="35"/>
  <c r="A1080" i="35"/>
  <c r="A1081" i="35"/>
  <c r="A1082" i="35"/>
  <c r="A1083" i="35"/>
  <c r="A1084" i="35"/>
  <c r="A1085" i="35"/>
  <c r="A1086" i="35"/>
  <c r="A1034" i="35"/>
  <c r="A833" i="35"/>
  <c r="A834" i="35"/>
  <c r="A835" i="35"/>
  <c r="A836" i="35"/>
  <c r="A837" i="35"/>
  <c r="A838" i="35"/>
  <c r="A839" i="35"/>
  <c r="A840" i="35"/>
  <c r="A841" i="35"/>
  <c r="A842" i="35"/>
  <c r="A843" i="35"/>
  <c r="A844" i="35"/>
  <c r="A845" i="35"/>
  <c r="A846" i="35"/>
  <c r="A847" i="35"/>
  <c r="A848" i="35"/>
  <c r="A849" i="35"/>
  <c r="A850" i="35"/>
  <c r="A851" i="35"/>
  <c r="A852" i="35"/>
  <c r="A853" i="35"/>
  <c r="A854" i="35"/>
  <c r="A855" i="35"/>
  <c r="A856" i="35"/>
  <c r="A857" i="35"/>
  <c r="A858" i="35"/>
  <c r="A859" i="35"/>
  <c r="A860" i="35"/>
  <c r="A861" i="35"/>
  <c r="A862" i="35"/>
  <c r="A863" i="35"/>
  <c r="A864" i="35"/>
  <c r="A865" i="35"/>
  <c r="A866" i="35"/>
  <c r="A867" i="35"/>
  <c r="A868" i="35"/>
  <c r="A869" i="35"/>
  <c r="A870" i="35"/>
  <c r="A871" i="35"/>
  <c r="A872" i="35"/>
  <c r="A873" i="35"/>
  <c r="A874" i="35"/>
  <c r="A875" i="35"/>
  <c r="A876" i="35"/>
  <c r="A877" i="35"/>
  <c r="A878" i="35"/>
  <c r="A879" i="35"/>
  <c r="A880" i="35"/>
  <c r="A881" i="35"/>
  <c r="A882" i="35"/>
  <c r="A883" i="35"/>
  <c r="A884" i="35"/>
  <c r="A832" i="35"/>
  <c r="K767" i="35"/>
  <c r="K768" i="35"/>
  <c r="K769" i="35"/>
  <c r="K770" i="35"/>
  <c r="K771" i="35"/>
  <c r="K772" i="35"/>
  <c r="K773" i="35"/>
  <c r="K774" i="35"/>
  <c r="K775" i="35"/>
  <c r="K776" i="35"/>
  <c r="K777" i="35"/>
  <c r="K778" i="35"/>
  <c r="K779" i="35"/>
  <c r="K780" i="35"/>
  <c r="K781" i="35"/>
  <c r="K782" i="35"/>
  <c r="K783" i="35"/>
  <c r="K784" i="35"/>
  <c r="K785" i="35"/>
  <c r="K786" i="35"/>
  <c r="K787" i="35"/>
  <c r="K788" i="35"/>
  <c r="K789" i="35"/>
  <c r="K790" i="35"/>
  <c r="K791" i="35"/>
  <c r="K792" i="35"/>
  <c r="K793" i="35"/>
  <c r="K794" i="35"/>
  <c r="K795" i="35"/>
  <c r="K796" i="35"/>
  <c r="K797" i="35"/>
  <c r="K798" i="35"/>
  <c r="K799" i="35"/>
  <c r="K800" i="35"/>
  <c r="K801" i="35"/>
  <c r="K802" i="35"/>
  <c r="K803" i="35"/>
  <c r="K804" i="35"/>
  <c r="K805" i="35"/>
  <c r="K806" i="35"/>
  <c r="K807" i="35"/>
  <c r="K808" i="35"/>
  <c r="K809" i="35"/>
  <c r="K810" i="35"/>
  <c r="K811" i="35"/>
  <c r="K812" i="35"/>
  <c r="K813" i="35"/>
  <c r="K814" i="35"/>
  <c r="K815" i="35"/>
  <c r="K816" i="35"/>
  <c r="K817" i="35"/>
  <c r="K818" i="35"/>
  <c r="K819" i="35"/>
  <c r="K820" i="35"/>
  <c r="K821" i="35"/>
  <c r="K822" i="35"/>
  <c r="K823" i="35"/>
  <c r="K824" i="35"/>
  <c r="K825" i="35"/>
  <c r="K826" i="35"/>
  <c r="K827" i="35"/>
  <c r="K766" i="35"/>
  <c r="H767" i="35"/>
  <c r="I767" i="35"/>
  <c r="J767" i="35"/>
  <c r="H768" i="35"/>
  <c r="I768" i="35"/>
  <c r="J768" i="35"/>
  <c r="H769" i="35"/>
  <c r="I769" i="35"/>
  <c r="J769" i="35"/>
  <c r="H770" i="35"/>
  <c r="I770" i="35"/>
  <c r="J770" i="35"/>
  <c r="H771" i="35"/>
  <c r="I771" i="35"/>
  <c r="J771" i="35"/>
  <c r="H772" i="35"/>
  <c r="I772" i="35"/>
  <c r="J772" i="35"/>
  <c r="H773" i="35"/>
  <c r="I773" i="35"/>
  <c r="J773" i="35"/>
  <c r="H774" i="35"/>
  <c r="I774" i="35"/>
  <c r="J774" i="35"/>
  <c r="H775" i="35"/>
  <c r="I775" i="35"/>
  <c r="J775" i="35"/>
  <c r="H776" i="35"/>
  <c r="I776" i="35"/>
  <c r="J776" i="35"/>
  <c r="H777" i="35"/>
  <c r="I777" i="35"/>
  <c r="J777" i="35"/>
  <c r="H778" i="35"/>
  <c r="I778" i="35"/>
  <c r="J778" i="35"/>
  <c r="H779" i="35"/>
  <c r="I779" i="35"/>
  <c r="J779" i="35"/>
  <c r="H780" i="35"/>
  <c r="I780" i="35"/>
  <c r="J780" i="35"/>
  <c r="H781" i="35"/>
  <c r="I781" i="35"/>
  <c r="J781" i="35"/>
  <c r="H782" i="35"/>
  <c r="I782" i="35"/>
  <c r="J782" i="35"/>
  <c r="H783" i="35"/>
  <c r="I783" i="35"/>
  <c r="J783" i="35"/>
  <c r="H784" i="35"/>
  <c r="I784" i="35"/>
  <c r="J784" i="35"/>
  <c r="H785" i="35"/>
  <c r="I785" i="35"/>
  <c r="J785" i="35"/>
  <c r="H786" i="35"/>
  <c r="I786" i="35"/>
  <c r="J786" i="35"/>
  <c r="H787" i="35"/>
  <c r="I787" i="35"/>
  <c r="J787" i="35"/>
  <c r="H788" i="35"/>
  <c r="I788" i="35"/>
  <c r="J788" i="35"/>
  <c r="H789" i="35"/>
  <c r="I789" i="35"/>
  <c r="J789" i="35"/>
  <c r="H790" i="35"/>
  <c r="I790" i="35"/>
  <c r="J790" i="35"/>
  <c r="H791" i="35"/>
  <c r="I791" i="35"/>
  <c r="J791" i="35"/>
  <c r="H792" i="35"/>
  <c r="I792" i="35"/>
  <c r="J792" i="35"/>
  <c r="H793" i="35"/>
  <c r="I793" i="35"/>
  <c r="J793" i="35"/>
  <c r="H794" i="35"/>
  <c r="I794" i="35"/>
  <c r="J794" i="35"/>
  <c r="H795" i="35"/>
  <c r="I795" i="35"/>
  <c r="J795" i="35"/>
  <c r="H796" i="35"/>
  <c r="I796" i="35"/>
  <c r="J796" i="35"/>
  <c r="H797" i="35"/>
  <c r="I797" i="35"/>
  <c r="J797" i="35"/>
  <c r="H798" i="35"/>
  <c r="I798" i="35"/>
  <c r="J798" i="35"/>
  <c r="H799" i="35"/>
  <c r="I799" i="35"/>
  <c r="J799" i="35"/>
  <c r="H800" i="35"/>
  <c r="I800" i="35"/>
  <c r="J800" i="35"/>
  <c r="H801" i="35"/>
  <c r="I801" i="35"/>
  <c r="J801" i="35"/>
  <c r="H802" i="35"/>
  <c r="I802" i="35"/>
  <c r="J802" i="35"/>
  <c r="H803" i="35"/>
  <c r="I803" i="35"/>
  <c r="J803" i="35"/>
  <c r="H804" i="35"/>
  <c r="I804" i="35"/>
  <c r="J804" i="35"/>
  <c r="H805" i="35"/>
  <c r="I805" i="35"/>
  <c r="J805" i="35"/>
  <c r="H806" i="35"/>
  <c r="I806" i="35"/>
  <c r="J806" i="35"/>
  <c r="H807" i="35"/>
  <c r="I807" i="35"/>
  <c r="J807" i="35"/>
  <c r="H808" i="35"/>
  <c r="I808" i="35"/>
  <c r="J808" i="35"/>
  <c r="H809" i="35"/>
  <c r="I809" i="35"/>
  <c r="J809" i="35"/>
  <c r="H810" i="35"/>
  <c r="I810" i="35"/>
  <c r="J810" i="35"/>
  <c r="H811" i="35"/>
  <c r="I811" i="35"/>
  <c r="J811" i="35"/>
  <c r="H812" i="35"/>
  <c r="I812" i="35"/>
  <c r="J812" i="35"/>
  <c r="H813" i="35"/>
  <c r="I813" i="35"/>
  <c r="J813" i="35"/>
  <c r="H814" i="35"/>
  <c r="I814" i="35"/>
  <c r="J814" i="35"/>
  <c r="H815" i="35"/>
  <c r="I815" i="35"/>
  <c r="J815" i="35"/>
  <c r="H816" i="35"/>
  <c r="I816" i="35"/>
  <c r="J816" i="35"/>
  <c r="H817" i="35"/>
  <c r="I817" i="35"/>
  <c r="J817" i="35"/>
  <c r="H818" i="35"/>
  <c r="I818" i="35"/>
  <c r="J818" i="35"/>
  <c r="H819" i="35"/>
  <c r="I819" i="35"/>
  <c r="J819" i="35"/>
  <c r="H820" i="35"/>
  <c r="I820" i="35"/>
  <c r="J820" i="35"/>
  <c r="H821" i="35"/>
  <c r="I821" i="35"/>
  <c r="J821" i="35"/>
  <c r="H822" i="35"/>
  <c r="I822" i="35"/>
  <c r="J822" i="35"/>
  <c r="H823" i="35"/>
  <c r="I823" i="35"/>
  <c r="J823" i="35"/>
  <c r="H824" i="35"/>
  <c r="I824" i="35"/>
  <c r="J824" i="35"/>
  <c r="H825" i="35"/>
  <c r="I825" i="35"/>
  <c r="J825" i="35"/>
  <c r="H826" i="35"/>
  <c r="I826" i="35"/>
  <c r="J826" i="35"/>
  <c r="H827" i="35"/>
  <c r="I827" i="35"/>
  <c r="J827" i="35"/>
  <c r="J766" i="35"/>
  <c r="I766" i="35"/>
  <c r="H766" i="35"/>
  <c r="E767" i="35"/>
  <c r="F767" i="35"/>
  <c r="G767" i="35"/>
  <c r="E768" i="35"/>
  <c r="F768" i="35"/>
  <c r="G768" i="35"/>
  <c r="E769" i="35"/>
  <c r="F769" i="35"/>
  <c r="G769" i="35"/>
  <c r="E770" i="35"/>
  <c r="F770" i="35"/>
  <c r="G770" i="35"/>
  <c r="E771" i="35"/>
  <c r="F771" i="35"/>
  <c r="G771" i="35"/>
  <c r="E772" i="35"/>
  <c r="F772" i="35"/>
  <c r="G772" i="35"/>
  <c r="E773" i="35"/>
  <c r="F773" i="35"/>
  <c r="G773" i="35"/>
  <c r="E774" i="35"/>
  <c r="F774" i="35"/>
  <c r="G774" i="35"/>
  <c r="E775" i="35"/>
  <c r="F775" i="35"/>
  <c r="G775" i="35"/>
  <c r="E776" i="35"/>
  <c r="F776" i="35"/>
  <c r="G776" i="35"/>
  <c r="E777" i="35"/>
  <c r="F777" i="35"/>
  <c r="G777" i="35"/>
  <c r="E778" i="35"/>
  <c r="F778" i="35"/>
  <c r="G778" i="35"/>
  <c r="E779" i="35"/>
  <c r="F779" i="35"/>
  <c r="G779" i="35"/>
  <c r="E780" i="35"/>
  <c r="F780" i="35"/>
  <c r="G780" i="35"/>
  <c r="E781" i="35"/>
  <c r="F781" i="35"/>
  <c r="G781" i="35"/>
  <c r="E782" i="35"/>
  <c r="F782" i="35"/>
  <c r="G782" i="35"/>
  <c r="E783" i="35"/>
  <c r="F783" i="35"/>
  <c r="G783" i="35"/>
  <c r="E784" i="35"/>
  <c r="F784" i="35"/>
  <c r="G784" i="35"/>
  <c r="E785" i="35"/>
  <c r="F785" i="35"/>
  <c r="G785" i="35"/>
  <c r="E786" i="35"/>
  <c r="F786" i="35"/>
  <c r="G786" i="35"/>
  <c r="E787" i="35"/>
  <c r="F787" i="35"/>
  <c r="G787" i="35"/>
  <c r="E788" i="35"/>
  <c r="F788" i="35"/>
  <c r="G788" i="35"/>
  <c r="E789" i="35"/>
  <c r="F789" i="35"/>
  <c r="G789" i="35"/>
  <c r="E790" i="35"/>
  <c r="F790" i="35"/>
  <c r="G790" i="35"/>
  <c r="E791" i="35"/>
  <c r="F791" i="35"/>
  <c r="G791" i="35"/>
  <c r="E792" i="35"/>
  <c r="F792" i="35"/>
  <c r="G792" i="35"/>
  <c r="E793" i="35"/>
  <c r="F793" i="35"/>
  <c r="G793" i="35"/>
  <c r="E794" i="35"/>
  <c r="F794" i="35"/>
  <c r="G794" i="35"/>
  <c r="E795" i="35"/>
  <c r="F795" i="35"/>
  <c r="G795" i="35"/>
  <c r="E796" i="35"/>
  <c r="F796" i="35"/>
  <c r="G796" i="35"/>
  <c r="E797" i="35"/>
  <c r="F797" i="35"/>
  <c r="G797" i="35"/>
  <c r="E798" i="35"/>
  <c r="F798" i="35"/>
  <c r="G798" i="35"/>
  <c r="E799" i="35"/>
  <c r="F799" i="35"/>
  <c r="G799" i="35"/>
  <c r="E800" i="35"/>
  <c r="F800" i="35"/>
  <c r="G800" i="35"/>
  <c r="E801" i="35"/>
  <c r="F801" i="35"/>
  <c r="G801" i="35"/>
  <c r="E802" i="35"/>
  <c r="F802" i="35"/>
  <c r="G802" i="35"/>
  <c r="E803" i="35"/>
  <c r="F803" i="35"/>
  <c r="G803" i="35"/>
  <c r="E804" i="35"/>
  <c r="F804" i="35"/>
  <c r="G804" i="35"/>
  <c r="E805" i="35"/>
  <c r="F805" i="35"/>
  <c r="G805" i="35"/>
  <c r="E806" i="35"/>
  <c r="F806" i="35"/>
  <c r="G806" i="35"/>
  <c r="E807" i="35"/>
  <c r="F807" i="35"/>
  <c r="G807" i="35"/>
  <c r="E808" i="35"/>
  <c r="F808" i="35"/>
  <c r="G808" i="35"/>
  <c r="E809" i="35"/>
  <c r="F809" i="35"/>
  <c r="G809" i="35"/>
  <c r="E810" i="35"/>
  <c r="F810" i="35"/>
  <c r="G810" i="35"/>
  <c r="E811" i="35"/>
  <c r="F811" i="35"/>
  <c r="G811" i="35"/>
  <c r="E812" i="35"/>
  <c r="F812" i="35"/>
  <c r="G812" i="35"/>
  <c r="E813" i="35"/>
  <c r="F813" i="35"/>
  <c r="G813" i="35"/>
  <c r="E814" i="35"/>
  <c r="F814" i="35"/>
  <c r="G814" i="35"/>
  <c r="E815" i="35"/>
  <c r="F815" i="35"/>
  <c r="G815" i="35"/>
  <c r="E816" i="35"/>
  <c r="F816" i="35"/>
  <c r="G816" i="35"/>
  <c r="E817" i="35"/>
  <c r="F817" i="35"/>
  <c r="G817" i="35"/>
  <c r="E818" i="35"/>
  <c r="F818" i="35"/>
  <c r="G818" i="35"/>
  <c r="E819" i="35"/>
  <c r="F819" i="35"/>
  <c r="G819" i="35"/>
  <c r="E820" i="35"/>
  <c r="F820" i="35"/>
  <c r="G820" i="35"/>
  <c r="E821" i="35"/>
  <c r="F821" i="35"/>
  <c r="G821" i="35"/>
  <c r="E822" i="35"/>
  <c r="F822" i="35"/>
  <c r="G822" i="35"/>
  <c r="E823" i="35"/>
  <c r="F823" i="35"/>
  <c r="G823" i="35"/>
  <c r="E824" i="35"/>
  <c r="F824" i="35"/>
  <c r="G824" i="35"/>
  <c r="E825" i="35"/>
  <c r="F825" i="35"/>
  <c r="G825" i="35"/>
  <c r="E826" i="35"/>
  <c r="F826" i="35"/>
  <c r="G826" i="35"/>
  <c r="E827" i="35"/>
  <c r="F827" i="35"/>
  <c r="G827" i="35"/>
  <c r="G766" i="35"/>
  <c r="F766" i="35"/>
  <c r="E766" i="35"/>
  <c r="B767" i="35"/>
  <c r="C767" i="35"/>
  <c r="D767" i="35"/>
  <c r="B768" i="35"/>
  <c r="C768" i="35"/>
  <c r="D768" i="35"/>
  <c r="B769" i="35"/>
  <c r="C769" i="35"/>
  <c r="D769" i="35"/>
  <c r="B770" i="35"/>
  <c r="C770" i="35"/>
  <c r="D770" i="35"/>
  <c r="B771" i="35"/>
  <c r="C771" i="35"/>
  <c r="D771" i="35"/>
  <c r="B772" i="35"/>
  <c r="C772" i="35"/>
  <c r="D772" i="35"/>
  <c r="B773" i="35"/>
  <c r="C773" i="35"/>
  <c r="D773" i="35"/>
  <c r="B774" i="35"/>
  <c r="C774" i="35"/>
  <c r="D774" i="35"/>
  <c r="B775" i="35"/>
  <c r="C775" i="35"/>
  <c r="D775" i="35"/>
  <c r="B776" i="35"/>
  <c r="C776" i="35"/>
  <c r="D776" i="35"/>
  <c r="B777" i="35"/>
  <c r="C777" i="35"/>
  <c r="D777" i="35"/>
  <c r="B778" i="35"/>
  <c r="C778" i="35"/>
  <c r="D778" i="35"/>
  <c r="B779" i="35"/>
  <c r="C779" i="35"/>
  <c r="D779" i="35"/>
  <c r="B780" i="35"/>
  <c r="C780" i="35"/>
  <c r="D780" i="35"/>
  <c r="B781" i="35"/>
  <c r="C781" i="35"/>
  <c r="D781" i="35"/>
  <c r="B782" i="35"/>
  <c r="C782" i="35"/>
  <c r="D782" i="35"/>
  <c r="B783" i="35"/>
  <c r="C783" i="35"/>
  <c r="D783" i="35"/>
  <c r="B784" i="35"/>
  <c r="C784" i="35"/>
  <c r="D784" i="35"/>
  <c r="B785" i="35"/>
  <c r="C785" i="35"/>
  <c r="D785" i="35"/>
  <c r="B786" i="35"/>
  <c r="C786" i="35"/>
  <c r="D786" i="35"/>
  <c r="B787" i="35"/>
  <c r="C787" i="35"/>
  <c r="D787" i="35"/>
  <c r="B788" i="35"/>
  <c r="C788" i="35"/>
  <c r="D788" i="35"/>
  <c r="B789" i="35"/>
  <c r="C789" i="35"/>
  <c r="D789" i="35"/>
  <c r="B790" i="35"/>
  <c r="C790" i="35"/>
  <c r="D790" i="35"/>
  <c r="B791" i="35"/>
  <c r="C791" i="35"/>
  <c r="D791" i="35"/>
  <c r="B792" i="35"/>
  <c r="C792" i="35"/>
  <c r="D792" i="35"/>
  <c r="B793" i="35"/>
  <c r="C793" i="35"/>
  <c r="D793" i="35"/>
  <c r="B794" i="35"/>
  <c r="C794" i="35"/>
  <c r="D794" i="35"/>
  <c r="B795" i="35"/>
  <c r="C795" i="35"/>
  <c r="D795" i="35"/>
  <c r="B796" i="35"/>
  <c r="C796" i="35"/>
  <c r="D796" i="35"/>
  <c r="B797" i="35"/>
  <c r="C797" i="35"/>
  <c r="D797" i="35"/>
  <c r="B798" i="35"/>
  <c r="C798" i="35"/>
  <c r="D798" i="35"/>
  <c r="B799" i="35"/>
  <c r="C799" i="35"/>
  <c r="D799" i="35"/>
  <c r="B800" i="35"/>
  <c r="C800" i="35"/>
  <c r="D800" i="35"/>
  <c r="B801" i="35"/>
  <c r="C801" i="35"/>
  <c r="D801" i="35"/>
  <c r="B802" i="35"/>
  <c r="C802" i="35"/>
  <c r="D802" i="35"/>
  <c r="B803" i="35"/>
  <c r="C803" i="35"/>
  <c r="D803" i="35"/>
  <c r="B804" i="35"/>
  <c r="C804" i="35"/>
  <c r="D804" i="35"/>
  <c r="B805" i="35"/>
  <c r="C805" i="35"/>
  <c r="D805" i="35"/>
  <c r="B806" i="35"/>
  <c r="C806" i="35"/>
  <c r="D806" i="35"/>
  <c r="B807" i="35"/>
  <c r="C807" i="35"/>
  <c r="D807" i="35"/>
  <c r="B808" i="35"/>
  <c r="C808" i="35"/>
  <c r="D808" i="35"/>
  <c r="B809" i="35"/>
  <c r="C809" i="35"/>
  <c r="D809" i="35"/>
  <c r="B810" i="35"/>
  <c r="C810" i="35"/>
  <c r="D810" i="35"/>
  <c r="B811" i="35"/>
  <c r="C811" i="35"/>
  <c r="D811" i="35"/>
  <c r="B812" i="35"/>
  <c r="C812" i="35"/>
  <c r="D812" i="35"/>
  <c r="B813" i="35"/>
  <c r="C813" i="35"/>
  <c r="D813" i="35"/>
  <c r="B814" i="35"/>
  <c r="C814" i="35"/>
  <c r="D814" i="35"/>
  <c r="B815" i="35"/>
  <c r="C815" i="35"/>
  <c r="D815" i="35"/>
  <c r="B816" i="35"/>
  <c r="C816" i="35"/>
  <c r="D816" i="35"/>
  <c r="B817" i="35"/>
  <c r="C817" i="35"/>
  <c r="D817" i="35"/>
  <c r="B818" i="35"/>
  <c r="C818" i="35"/>
  <c r="D818" i="35"/>
  <c r="B819" i="35"/>
  <c r="C819" i="35"/>
  <c r="D819" i="35"/>
  <c r="B820" i="35"/>
  <c r="C820" i="35"/>
  <c r="D820" i="35"/>
  <c r="B821" i="35"/>
  <c r="C821" i="35"/>
  <c r="D821" i="35"/>
  <c r="B822" i="35"/>
  <c r="C822" i="35"/>
  <c r="D822" i="35"/>
  <c r="B823" i="35"/>
  <c r="C823" i="35"/>
  <c r="D823" i="35"/>
  <c r="B824" i="35"/>
  <c r="C824" i="35"/>
  <c r="D824" i="35"/>
  <c r="B825" i="35"/>
  <c r="C825" i="35"/>
  <c r="D825" i="35"/>
  <c r="B826" i="35"/>
  <c r="C826" i="35"/>
  <c r="D826" i="35"/>
  <c r="B827" i="35"/>
  <c r="C827" i="35"/>
  <c r="D827" i="35"/>
  <c r="D766" i="35"/>
  <c r="C766" i="35"/>
  <c r="B766" i="35"/>
  <c r="G833" i="35"/>
  <c r="H833" i="35"/>
  <c r="G834" i="35"/>
  <c r="H834" i="35"/>
  <c r="G835" i="35"/>
  <c r="H835" i="35"/>
  <c r="G836" i="35"/>
  <c r="H836" i="35"/>
  <c r="G837" i="35"/>
  <c r="H837" i="35"/>
  <c r="G838" i="35"/>
  <c r="H838" i="35"/>
  <c r="G839" i="35"/>
  <c r="H839" i="35"/>
  <c r="G840" i="35"/>
  <c r="H840" i="35"/>
  <c r="G841" i="35"/>
  <c r="H841" i="35"/>
  <c r="G842" i="35"/>
  <c r="H842" i="35"/>
  <c r="G843" i="35"/>
  <c r="H843" i="35"/>
  <c r="G844" i="35"/>
  <c r="H844" i="35"/>
  <c r="G845" i="35"/>
  <c r="H845" i="35"/>
  <c r="G846" i="35"/>
  <c r="H846" i="35"/>
  <c r="G847" i="35"/>
  <c r="H847" i="35"/>
  <c r="G848" i="35"/>
  <c r="H848" i="35"/>
  <c r="G849" i="35"/>
  <c r="H849" i="35"/>
  <c r="G850" i="35"/>
  <c r="H850" i="35"/>
  <c r="G851" i="35"/>
  <c r="H851" i="35"/>
  <c r="G852" i="35"/>
  <c r="H852" i="35"/>
  <c r="G853" i="35"/>
  <c r="H853" i="35"/>
  <c r="G854" i="35"/>
  <c r="H854" i="35"/>
  <c r="G855" i="35"/>
  <c r="H855" i="35"/>
  <c r="G856" i="35"/>
  <c r="H856" i="35"/>
  <c r="G857" i="35"/>
  <c r="H857" i="35"/>
  <c r="G858" i="35"/>
  <c r="H858" i="35"/>
  <c r="G859" i="35"/>
  <c r="H859" i="35"/>
  <c r="G860" i="35"/>
  <c r="H860" i="35"/>
  <c r="G861" i="35"/>
  <c r="H861" i="35"/>
  <c r="G862" i="35"/>
  <c r="H862" i="35"/>
  <c r="G863" i="35"/>
  <c r="H863" i="35"/>
  <c r="G864" i="35"/>
  <c r="H864" i="35"/>
  <c r="G865" i="35"/>
  <c r="H865" i="35"/>
  <c r="G866" i="35"/>
  <c r="H866" i="35"/>
  <c r="G867" i="35"/>
  <c r="H867" i="35"/>
  <c r="G868" i="35"/>
  <c r="H868" i="35"/>
  <c r="G869" i="35"/>
  <c r="H869" i="35"/>
  <c r="G870" i="35"/>
  <c r="H870" i="35"/>
  <c r="G871" i="35"/>
  <c r="H871" i="35"/>
  <c r="G872" i="35"/>
  <c r="H872" i="35"/>
  <c r="G873" i="35"/>
  <c r="H873" i="35"/>
  <c r="G874" i="35"/>
  <c r="H874" i="35"/>
  <c r="G875" i="35"/>
  <c r="H875" i="35"/>
  <c r="G876" i="35"/>
  <c r="H876" i="35"/>
  <c r="G877" i="35"/>
  <c r="H877" i="35"/>
  <c r="G878" i="35"/>
  <c r="H878" i="35"/>
  <c r="G879" i="35"/>
  <c r="H879" i="35"/>
  <c r="G880" i="35"/>
  <c r="H880" i="35"/>
  <c r="G881" i="35"/>
  <c r="H881" i="35"/>
  <c r="G882" i="35"/>
  <c r="H882" i="35"/>
  <c r="G883" i="35"/>
  <c r="H883" i="35"/>
  <c r="G884" i="35"/>
  <c r="H884" i="35"/>
  <c r="G885" i="35"/>
  <c r="H885" i="35"/>
  <c r="G886" i="35"/>
  <c r="H886" i="35"/>
  <c r="G887" i="35"/>
  <c r="H887" i="35"/>
  <c r="G888" i="35"/>
  <c r="H888" i="35"/>
  <c r="G889" i="35"/>
  <c r="H889" i="35"/>
  <c r="G890" i="35"/>
  <c r="H890" i="35"/>
  <c r="G891" i="35"/>
  <c r="H891" i="35"/>
  <c r="G892" i="35"/>
  <c r="H892" i="35"/>
  <c r="G893" i="35"/>
  <c r="H893" i="35"/>
  <c r="H832" i="35"/>
  <c r="G832" i="35"/>
  <c r="F833" i="35"/>
  <c r="F834" i="35"/>
  <c r="F835" i="35"/>
  <c r="F836" i="35"/>
  <c r="F837" i="35"/>
  <c r="F838" i="35"/>
  <c r="F839" i="35"/>
  <c r="F840" i="35"/>
  <c r="F841" i="35"/>
  <c r="F842" i="35"/>
  <c r="F843" i="35"/>
  <c r="F844" i="35"/>
  <c r="F845" i="35"/>
  <c r="F846" i="35"/>
  <c r="F847" i="35"/>
  <c r="F848" i="35"/>
  <c r="F849" i="35"/>
  <c r="F850" i="35"/>
  <c r="F851" i="35"/>
  <c r="F852" i="35"/>
  <c r="F853" i="35"/>
  <c r="F854" i="35"/>
  <c r="F855" i="35"/>
  <c r="F856" i="35"/>
  <c r="F857" i="35"/>
  <c r="F858" i="35"/>
  <c r="F859" i="35"/>
  <c r="F860" i="35"/>
  <c r="F861" i="35"/>
  <c r="F862" i="35"/>
  <c r="F863" i="35"/>
  <c r="F864" i="35"/>
  <c r="F865" i="35"/>
  <c r="F866" i="35"/>
  <c r="F867" i="35"/>
  <c r="F868" i="35"/>
  <c r="F869" i="35"/>
  <c r="F870" i="35"/>
  <c r="F871" i="35"/>
  <c r="F872" i="35"/>
  <c r="F873" i="35"/>
  <c r="F874" i="35"/>
  <c r="F875" i="35"/>
  <c r="F876" i="35"/>
  <c r="F877" i="35"/>
  <c r="F878" i="35"/>
  <c r="F879" i="35"/>
  <c r="F880" i="35"/>
  <c r="F881" i="35"/>
  <c r="F882" i="35"/>
  <c r="F883" i="35"/>
  <c r="F884" i="35"/>
  <c r="F885" i="35"/>
  <c r="F886" i="35"/>
  <c r="F887" i="35"/>
  <c r="F888" i="35"/>
  <c r="F889" i="35"/>
  <c r="F890" i="35"/>
  <c r="F891" i="35"/>
  <c r="F892" i="35"/>
  <c r="F893" i="35"/>
  <c r="F832" i="35"/>
  <c r="B833" i="35"/>
  <c r="C833" i="35"/>
  <c r="D833" i="35"/>
  <c r="E833" i="35"/>
  <c r="B834" i="35"/>
  <c r="C834" i="35"/>
  <c r="D834" i="35"/>
  <c r="E834" i="35"/>
  <c r="B835" i="35"/>
  <c r="C835" i="35"/>
  <c r="D835" i="35"/>
  <c r="E835" i="35"/>
  <c r="B836" i="35"/>
  <c r="C836" i="35"/>
  <c r="D836" i="35"/>
  <c r="E836" i="35"/>
  <c r="B837" i="35"/>
  <c r="C837" i="35"/>
  <c r="D837" i="35"/>
  <c r="E837" i="35"/>
  <c r="B838" i="35"/>
  <c r="C838" i="35"/>
  <c r="D838" i="35"/>
  <c r="E838" i="35"/>
  <c r="B839" i="35"/>
  <c r="C839" i="35"/>
  <c r="D839" i="35"/>
  <c r="E839" i="35"/>
  <c r="B840" i="35"/>
  <c r="C840" i="35"/>
  <c r="D840" i="35"/>
  <c r="E840" i="35"/>
  <c r="B841" i="35"/>
  <c r="C841" i="35"/>
  <c r="D841" i="35"/>
  <c r="E841" i="35"/>
  <c r="B842" i="35"/>
  <c r="C842" i="35"/>
  <c r="D842" i="35"/>
  <c r="E842" i="35"/>
  <c r="B843" i="35"/>
  <c r="C843" i="35"/>
  <c r="D843" i="35"/>
  <c r="E843" i="35"/>
  <c r="B844" i="35"/>
  <c r="C844" i="35"/>
  <c r="D844" i="35"/>
  <c r="E844" i="35"/>
  <c r="B845" i="35"/>
  <c r="C845" i="35"/>
  <c r="D845" i="35"/>
  <c r="E845" i="35"/>
  <c r="B846" i="35"/>
  <c r="C846" i="35"/>
  <c r="D846" i="35"/>
  <c r="E846" i="35"/>
  <c r="B847" i="35"/>
  <c r="C847" i="35"/>
  <c r="D847" i="35"/>
  <c r="E847" i="35"/>
  <c r="B848" i="35"/>
  <c r="C848" i="35"/>
  <c r="D848" i="35"/>
  <c r="E848" i="35"/>
  <c r="B849" i="35"/>
  <c r="C849" i="35"/>
  <c r="D849" i="35"/>
  <c r="E849" i="35"/>
  <c r="B850" i="35"/>
  <c r="C850" i="35"/>
  <c r="D850" i="35"/>
  <c r="E850" i="35"/>
  <c r="B851" i="35"/>
  <c r="C851" i="35"/>
  <c r="D851" i="35"/>
  <c r="E851" i="35"/>
  <c r="B852" i="35"/>
  <c r="C852" i="35"/>
  <c r="D852" i="35"/>
  <c r="E852" i="35"/>
  <c r="B853" i="35"/>
  <c r="C853" i="35"/>
  <c r="D853" i="35"/>
  <c r="E853" i="35"/>
  <c r="B854" i="35"/>
  <c r="C854" i="35"/>
  <c r="D854" i="35"/>
  <c r="E854" i="35"/>
  <c r="B855" i="35"/>
  <c r="C855" i="35"/>
  <c r="D855" i="35"/>
  <c r="E855" i="35"/>
  <c r="B856" i="35"/>
  <c r="C856" i="35"/>
  <c r="D856" i="35"/>
  <c r="E856" i="35"/>
  <c r="B857" i="35"/>
  <c r="C857" i="35"/>
  <c r="D857" i="35"/>
  <c r="E857" i="35"/>
  <c r="B858" i="35"/>
  <c r="C858" i="35"/>
  <c r="D858" i="35"/>
  <c r="E858" i="35"/>
  <c r="B859" i="35"/>
  <c r="C859" i="35"/>
  <c r="D859" i="35"/>
  <c r="E859" i="35"/>
  <c r="B860" i="35"/>
  <c r="C860" i="35"/>
  <c r="D860" i="35"/>
  <c r="E860" i="35"/>
  <c r="B861" i="35"/>
  <c r="C861" i="35"/>
  <c r="D861" i="35"/>
  <c r="E861" i="35"/>
  <c r="B862" i="35"/>
  <c r="C862" i="35"/>
  <c r="D862" i="35"/>
  <c r="E862" i="35"/>
  <c r="B863" i="35"/>
  <c r="C863" i="35"/>
  <c r="D863" i="35"/>
  <c r="E863" i="35"/>
  <c r="B864" i="35"/>
  <c r="C864" i="35"/>
  <c r="D864" i="35"/>
  <c r="E864" i="35"/>
  <c r="B865" i="35"/>
  <c r="C865" i="35"/>
  <c r="D865" i="35"/>
  <c r="E865" i="35"/>
  <c r="B866" i="35"/>
  <c r="C866" i="35"/>
  <c r="D866" i="35"/>
  <c r="E866" i="35"/>
  <c r="B867" i="35"/>
  <c r="C867" i="35"/>
  <c r="D867" i="35"/>
  <c r="E867" i="35"/>
  <c r="B868" i="35"/>
  <c r="C868" i="35"/>
  <c r="D868" i="35"/>
  <c r="E868" i="35"/>
  <c r="B869" i="35"/>
  <c r="C869" i="35"/>
  <c r="D869" i="35"/>
  <c r="E869" i="35"/>
  <c r="B870" i="35"/>
  <c r="C870" i="35"/>
  <c r="D870" i="35"/>
  <c r="E870" i="35"/>
  <c r="B871" i="35"/>
  <c r="C871" i="35"/>
  <c r="D871" i="35"/>
  <c r="E871" i="35"/>
  <c r="B872" i="35"/>
  <c r="C872" i="35"/>
  <c r="D872" i="35"/>
  <c r="E872" i="35"/>
  <c r="B873" i="35"/>
  <c r="C873" i="35"/>
  <c r="D873" i="35"/>
  <c r="E873" i="35"/>
  <c r="B874" i="35"/>
  <c r="C874" i="35"/>
  <c r="D874" i="35"/>
  <c r="E874" i="35"/>
  <c r="B875" i="35"/>
  <c r="C875" i="35"/>
  <c r="D875" i="35"/>
  <c r="E875" i="35"/>
  <c r="B876" i="35"/>
  <c r="C876" i="35"/>
  <c r="D876" i="35"/>
  <c r="E876" i="35"/>
  <c r="B877" i="35"/>
  <c r="C877" i="35"/>
  <c r="D877" i="35"/>
  <c r="E877" i="35"/>
  <c r="B878" i="35"/>
  <c r="C878" i="35"/>
  <c r="D878" i="35"/>
  <c r="E878" i="35"/>
  <c r="B879" i="35"/>
  <c r="C879" i="35"/>
  <c r="D879" i="35"/>
  <c r="E879" i="35"/>
  <c r="B880" i="35"/>
  <c r="C880" i="35"/>
  <c r="D880" i="35"/>
  <c r="E880" i="35"/>
  <c r="B881" i="35"/>
  <c r="C881" i="35"/>
  <c r="D881" i="35"/>
  <c r="E881" i="35"/>
  <c r="B882" i="35"/>
  <c r="C882" i="35"/>
  <c r="D882" i="35"/>
  <c r="E882" i="35"/>
  <c r="B883" i="35"/>
  <c r="C883" i="35"/>
  <c r="D883" i="35"/>
  <c r="E883" i="35"/>
  <c r="B884" i="35"/>
  <c r="C884" i="35"/>
  <c r="D884" i="35"/>
  <c r="E884" i="35"/>
  <c r="B885" i="35"/>
  <c r="C885" i="35"/>
  <c r="D885" i="35"/>
  <c r="E885" i="35"/>
  <c r="B886" i="35"/>
  <c r="C886" i="35"/>
  <c r="D886" i="35"/>
  <c r="E886" i="35"/>
  <c r="B887" i="35"/>
  <c r="C887" i="35"/>
  <c r="D887" i="35"/>
  <c r="E887" i="35"/>
  <c r="B888" i="35"/>
  <c r="C888" i="35"/>
  <c r="D888" i="35"/>
  <c r="E888" i="35"/>
  <c r="B889" i="35"/>
  <c r="C889" i="35"/>
  <c r="D889" i="35"/>
  <c r="E889" i="35"/>
  <c r="B890" i="35"/>
  <c r="C890" i="35"/>
  <c r="D890" i="35"/>
  <c r="E890" i="35"/>
  <c r="B891" i="35"/>
  <c r="C891" i="35"/>
  <c r="D891" i="35"/>
  <c r="E891" i="35"/>
  <c r="B892" i="35"/>
  <c r="C892" i="35"/>
  <c r="D892" i="35"/>
  <c r="E892" i="35"/>
  <c r="B893" i="35"/>
  <c r="C893" i="35"/>
  <c r="D893" i="35"/>
  <c r="E893" i="35"/>
  <c r="E832" i="35"/>
  <c r="D832" i="35"/>
  <c r="C832" i="35"/>
  <c r="B832" i="35"/>
  <c r="A774" i="33" l="1"/>
  <c r="A699" i="33"/>
  <c r="A773" i="33"/>
  <c r="A698" i="33"/>
  <c r="B120" i="10"/>
  <c r="B181" i="30" s="1"/>
  <c r="B947" i="31"/>
  <c r="A682" i="31"/>
  <c r="D422" i="31"/>
  <c r="D293" i="31"/>
  <c r="D164" i="31"/>
  <c r="A812" i="31"/>
  <c r="A552" i="31"/>
  <c r="B119" i="10"/>
  <c r="B180" i="30" s="1"/>
  <c r="B946" i="31"/>
  <c r="A681" i="31"/>
  <c r="D292" i="31"/>
  <c r="A551" i="31"/>
  <c r="D421" i="31"/>
  <c r="D163" i="31"/>
  <c r="A811" i="31"/>
  <c r="A953" i="33"/>
  <c r="A565" i="33"/>
  <c r="A1051" i="33"/>
  <c r="A632" i="33"/>
  <c r="A498" i="33"/>
  <c r="A431" i="33"/>
  <c r="A210" i="33"/>
  <c r="A365" i="33"/>
  <c r="B56" i="10"/>
  <c r="D229" i="31"/>
  <c r="A146" i="33"/>
  <c r="A841" i="33" s="1"/>
  <c r="D358" i="31"/>
  <c r="A951" i="35"/>
  <c r="A191" i="32"/>
  <c r="A748" i="31"/>
  <c r="A103" i="32"/>
  <c r="A1052" i="33"/>
  <c r="A633" i="33"/>
  <c r="A499" i="33"/>
  <c r="A954" i="33"/>
  <c r="A566" i="33"/>
  <c r="A366" i="33"/>
  <c r="A211" i="33"/>
  <c r="A432" i="33"/>
  <c r="B57" i="10"/>
  <c r="D230" i="31"/>
  <c r="A147" i="33"/>
  <c r="A842" i="33" s="1"/>
  <c r="D359" i="31"/>
  <c r="A952" i="35"/>
  <c r="A192" i="32"/>
  <c r="A749" i="31"/>
  <c r="A104" i="32"/>
  <c r="L766" i="35"/>
  <c r="L826" i="35"/>
  <c r="L814" i="35"/>
  <c r="L798" i="35"/>
  <c r="L790" i="35"/>
  <c r="L786" i="35"/>
  <c r="L782" i="35"/>
  <c r="L770" i="35"/>
  <c r="M827" i="35"/>
  <c r="M823" i="35"/>
  <c r="M819" i="35"/>
  <c r="M815" i="35"/>
  <c r="M811" i="35"/>
  <c r="M807" i="35"/>
  <c r="M803" i="35"/>
  <c r="M799" i="35"/>
  <c r="M795" i="35"/>
  <c r="M791" i="35"/>
  <c r="M787" i="35"/>
  <c r="M783" i="35"/>
  <c r="M779" i="35"/>
  <c r="M775" i="35"/>
  <c r="M771" i="35"/>
  <c r="M767" i="35"/>
  <c r="L822" i="35"/>
  <c r="L806" i="35"/>
  <c r="L794" i="35"/>
  <c r="L778" i="35"/>
  <c r="M826" i="35"/>
  <c r="L825" i="35"/>
  <c r="M822" i="35"/>
  <c r="L821" i="35"/>
  <c r="M818" i="35"/>
  <c r="L817" i="35"/>
  <c r="M814" i="35"/>
  <c r="L813" i="35"/>
  <c r="M810" i="35"/>
  <c r="L809" i="35"/>
  <c r="M806" i="35"/>
  <c r="L805" i="35"/>
  <c r="M802" i="35"/>
  <c r="L801" i="35"/>
  <c r="M798" i="35"/>
  <c r="L797" i="35"/>
  <c r="M794" i="35"/>
  <c r="L793" i="35"/>
  <c r="M790" i="35"/>
  <c r="L789" i="35"/>
  <c r="M786" i="35"/>
  <c r="M782" i="35"/>
  <c r="M778" i="35"/>
  <c r="M774" i="35"/>
  <c r="M770" i="35"/>
  <c r="M824" i="35"/>
  <c r="M820" i="35"/>
  <c r="M816" i="35"/>
  <c r="M812" i="35"/>
  <c r="M808" i="35"/>
  <c r="M804" i="35"/>
  <c r="M800" i="35"/>
  <c r="M796" i="35"/>
  <c r="M792" i="35"/>
  <c r="L788" i="35"/>
  <c r="M784" i="35"/>
  <c r="L780" i="35"/>
  <c r="M776" i="35"/>
  <c r="M772" i="35"/>
  <c r="L768" i="35"/>
  <c r="M766" i="35"/>
  <c r="L818" i="35"/>
  <c r="L810" i="35"/>
  <c r="L802" i="35"/>
  <c r="L774" i="35"/>
  <c r="M825" i="35"/>
  <c r="M821" i="35"/>
  <c r="M817" i="35"/>
  <c r="M813" i="35"/>
  <c r="M809" i="35"/>
  <c r="M805" i="35"/>
  <c r="M801" i="35"/>
  <c r="M797" i="35"/>
  <c r="M793" i="35"/>
  <c r="M789" i="35"/>
  <c r="L785" i="35"/>
  <c r="L781" i="35"/>
  <c r="L777" i="35"/>
  <c r="L773" i="35"/>
  <c r="L769" i="35"/>
  <c r="L776" i="35"/>
  <c r="L787" i="35"/>
  <c r="L783" i="35"/>
  <c r="L779" i="35"/>
  <c r="L775" i="35"/>
  <c r="L771" i="35"/>
  <c r="L767" i="35"/>
  <c r="L824" i="35"/>
  <c r="L820" i="35"/>
  <c r="L816" i="35"/>
  <c r="L812" i="35"/>
  <c r="L808" i="35"/>
  <c r="L804" i="35"/>
  <c r="L800" i="35"/>
  <c r="L796" i="35"/>
  <c r="L792" i="35"/>
  <c r="M785" i="35"/>
  <c r="M781" i="35"/>
  <c r="M777" i="35"/>
  <c r="M773" i="35"/>
  <c r="M769" i="35"/>
  <c r="L784" i="35"/>
  <c r="L772" i="35"/>
  <c r="L827" i="35"/>
  <c r="L823" i="35"/>
  <c r="L819" i="35"/>
  <c r="L815" i="35"/>
  <c r="L811" i="35"/>
  <c r="L807" i="35"/>
  <c r="L803" i="35"/>
  <c r="L799" i="35"/>
  <c r="L795" i="35"/>
  <c r="L791" i="35"/>
  <c r="M788" i="35"/>
  <c r="M780" i="35"/>
  <c r="M768" i="35"/>
  <c r="B66" i="38"/>
  <c r="B65" i="38"/>
  <c r="B64" i="38"/>
  <c r="B63" i="38"/>
  <c r="B62" i="38"/>
  <c r="B61" i="38"/>
  <c r="B60" i="38"/>
  <c r="B59" i="38"/>
  <c r="A59" i="38"/>
  <c r="B58" i="38"/>
  <c r="A58" i="38"/>
  <c r="B57" i="38"/>
  <c r="A57" i="38"/>
  <c r="B56" i="38"/>
  <c r="A56" i="38"/>
  <c r="B55" i="38"/>
  <c r="A55" i="38"/>
  <c r="B54" i="38"/>
  <c r="A54" i="38"/>
  <c r="B53" i="38"/>
  <c r="A53" i="38"/>
  <c r="B52" i="38"/>
  <c r="A52" i="38"/>
  <c r="B51" i="38"/>
  <c r="A51" i="38"/>
  <c r="B50" i="38"/>
  <c r="A50" i="38"/>
  <c r="B49" i="38"/>
  <c r="A49" i="38"/>
  <c r="B48" i="38"/>
  <c r="A48" i="38"/>
  <c r="B47" i="38"/>
  <c r="A47" i="38"/>
  <c r="B46" i="38"/>
  <c r="A46" i="38"/>
  <c r="B45" i="38"/>
  <c r="A45" i="38"/>
  <c r="B44" i="38"/>
  <c r="A44" i="38"/>
  <c r="B43" i="38"/>
  <c r="A43" i="38"/>
  <c r="B42" i="38"/>
  <c r="A42" i="38"/>
  <c r="B41" i="38"/>
  <c r="A41" i="38"/>
  <c r="B40" i="38"/>
  <c r="A40" i="38"/>
  <c r="B39" i="38"/>
  <c r="A39" i="38"/>
  <c r="B38" i="38"/>
  <c r="A38" i="38"/>
  <c r="B37" i="38"/>
  <c r="A37" i="38"/>
  <c r="B36" i="38"/>
  <c r="A36" i="38"/>
  <c r="B35" i="38"/>
  <c r="A35" i="38"/>
  <c r="B34" i="38"/>
  <c r="A34" i="38"/>
  <c r="B33" i="38"/>
  <c r="A33" i="38"/>
  <c r="B32" i="38"/>
  <c r="A32" i="38"/>
  <c r="B31" i="38"/>
  <c r="A31" i="38"/>
  <c r="B30" i="38"/>
  <c r="A30" i="38"/>
  <c r="B29" i="38"/>
  <c r="A29" i="38"/>
  <c r="B28" i="38"/>
  <c r="A28" i="38"/>
  <c r="B27" i="38"/>
  <c r="A27" i="38"/>
  <c r="B26" i="38"/>
  <c r="A26" i="38"/>
  <c r="B25" i="38"/>
  <c r="A25" i="38"/>
  <c r="B24" i="38"/>
  <c r="A24" i="38"/>
  <c r="B23" i="38"/>
  <c r="A23" i="38"/>
  <c r="B22" i="38"/>
  <c r="A22" i="38"/>
  <c r="B21" i="38"/>
  <c r="A21" i="38"/>
  <c r="B20" i="38"/>
  <c r="A20" i="38"/>
  <c r="B19" i="38"/>
  <c r="A19" i="38"/>
  <c r="B18" i="38"/>
  <c r="A18" i="38"/>
  <c r="B17" i="38"/>
  <c r="A17" i="38"/>
  <c r="B16" i="38"/>
  <c r="A16" i="38"/>
  <c r="B15" i="38"/>
  <c r="A15" i="38"/>
  <c r="B14" i="38"/>
  <c r="A14" i="38"/>
  <c r="B13" i="38"/>
  <c r="A13" i="38"/>
  <c r="B12" i="38"/>
  <c r="A12" i="38"/>
  <c r="B11" i="38"/>
  <c r="A11" i="38"/>
  <c r="B10" i="38"/>
  <c r="A10" i="38"/>
  <c r="B9" i="38"/>
  <c r="A9" i="38"/>
  <c r="B8" i="38"/>
  <c r="A8" i="38"/>
  <c r="B7" i="38"/>
  <c r="A7" i="38"/>
  <c r="B6" i="38"/>
  <c r="A6" i="38"/>
  <c r="B5" i="38"/>
  <c r="A5" i="38"/>
  <c r="Y42" i="32"/>
  <c r="K38" i="32"/>
  <c r="I38" i="32"/>
  <c r="G38" i="32"/>
  <c r="F38" i="32"/>
  <c r="A282" i="27"/>
  <c r="A281" i="27"/>
  <c r="A280" i="27"/>
  <c r="A279" i="27"/>
  <c r="A278" i="27"/>
  <c r="A277" i="27"/>
  <c r="A276" i="27"/>
  <c r="A275" i="27"/>
  <c r="A274" i="27"/>
  <c r="A273" i="27"/>
  <c r="A272" i="27"/>
  <c r="A271" i="27"/>
  <c r="A270" i="27"/>
  <c r="A269" i="27"/>
  <c r="A268" i="27"/>
  <c r="A267" i="27"/>
  <c r="A266" i="27"/>
  <c r="A265" i="27"/>
  <c r="A264" i="27"/>
  <c r="A263" i="27"/>
  <c r="A262" i="27"/>
  <c r="A261" i="27"/>
  <c r="A260" i="27"/>
  <c r="A259" i="27"/>
  <c r="A258" i="27"/>
  <c r="A257" i="27"/>
  <c r="A256" i="27"/>
  <c r="A255" i="27"/>
  <c r="A254" i="27"/>
  <c r="A253" i="27"/>
  <c r="A252" i="27"/>
  <c r="A251" i="27"/>
  <c r="A250" i="27"/>
  <c r="A249" i="27"/>
  <c r="A248" i="27"/>
  <c r="A247" i="27"/>
  <c r="A246" i="27"/>
  <c r="A245" i="27"/>
  <c r="A244" i="27"/>
  <c r="A243" i="27"/>
  <c r="A242" i="27"/>
  <c r="A241" i="27"/>
  <c r="A240" i="27"/>
  <c r="A239" i="27"/>
  <c r="A238" i="27"/>
  <c r="A237" i="27"/>
  <c r="A236" i="27"/>
  <c r="A235" i="27"/>
  <c r="A234" i="27"/>
  <c r="A233" i="27"/>
  <c r="A232" i="27"/>
  <c r="A231" i="27"/>
  <c r="A230" i="27"/>
  <c r="A229" i="27"/>
  <c r="A228" i="27"/>
  <c r="E223" i="27"/>
  <c r="A205" i="27"/>
  <c r="A204" i="27"/>
  <c r="A203" i="27"/>
  <c r="A202" i="27"/>
  <c r="A201" i="27"/>
  <c r="A200" i="27"/>
  <c r="A199" i="27"/>
  <c r="A198" i="27"/>
  <c r="A197" i="27"/>
  <c r="A196" i="27"/>
  <c r="A195" i="27"/>
  <c r="A194" i="27"/>
  <c r="A193" i="27"/>
  <c r="A192" i="27"/>
  <c r="A191" i="27"/>
  <c r="A190" i="27"/>
  <c r="A189" i="27"/>
  <c r="A188" i="27"/>
  <c r="A187" i="27"/>
  <c r="A186" i="27"/>
  <c r="A185" i="27"/>
  <c r="A184" i="27"/>
  <c r="A183" i="27"/>
  <c r="A182" i="27"/>
  <c r="A181" i="27"/>
  <c r="A180" i="27"/>
  <c r="A179" i="27"/>
  <c r="A178" i="27"/>
  <c r="A177" i="27"/>
  <c r="A176" i="27"/>
  <c r="A175" i="27"/>
  <c r="A174" i="27"/>
  <c r="A173" i="27"/>
  <c r="A172" i="27"/>
  <c r="A171" i="27"/>
  <c r="A170" i="27"/>
  <c r="A169" i="27"/>
  <c r="A168" i="27"/>
  <c r="A167" i="27"/>
  <c r="A166" i="27"/>
  <c r="A165" i="27"/>
  <c r="A164" i="27"/>
  <c r="A163" i="27"/>
  <c r="A162" i="27"/>
  <c r="A161" i="27"/>
  <c r="A160" i="27"/>
  <c r="A159" i="27"/>
  <c r="A158" i="27"/>
  <c r="A157" i="27"/>
  <c r="A156" i="27"/>
  <c r="A155" i="27"/>
  <c r="A154" i="27"/>
  <c r="A153" i="27"/>
  <c r="A152" i="27"/>
  <c r="A151" i="27"/>
  <c r="A82" i="27"/>
  <c r="A81" i="27"/>
  <c r="A80" i="27"/>
  <c r="A79" i="27"/>
  <c r="A78" i="27"/>
  <c r="A77" i="27"/>
  <c r="A76" i="27"/>
  <c r="A75" i="27"/>
  <c r="A74" i="27"/>
  <c r="A73" i="27"/>
  <c r="A72" i="27"/>
  <c r="A71" i="27"/>
  <c r="A70" i="27"/>
  <c r="A69" i="27"/>
  <c r="A68" i="27"/>
  <c r="A67" i="27"/>
  <c r="A66" i="27"/>
  <c r="A65" i="27"/>
  <c r="A64" i="27"/>
  <c r="A63" i="27"/>
  <c r="A62" i="27"/>
  <c r="A61" i="27"/>
  <c r="A60" i="27"/>
  <c r="A59" i="27"/>
  <c r="A58" i="27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A37" i="27"/>
  <c r="A36" i="27"/>
  <c r="A35" i="27"/>
  <c r="A34" i="27"/>
  <c r="A33" i="27"/>
  <c r="A32" i="27"/>
  <c r="A31" i="27"/>
  <c r="A30" i="27"/>
  <c r="A29" i="27"/>
  <c r="A28" i="27"/>
  <c r="H1478" i="35"/>
  <c r="G1478" i="35"/>
  <c r="F1478" i="35"/>
  <c r="E1478" i="35"/>
  <c r="D1478" i="35"/>
  <c r="C1478" i="35"/>
  <c r="B1478" i="35"/>
  <c r="H1477" i="35"/>
  <c r="G1477" i="35"/>
  <c r="F1477" i="35"/>
  <c r="E1477" i="35"/>
  <c r="D1477" i="35"/>
  <c r="C1477" i="35"/>
  <c r="B1477" i="35"/>
  <c r="H1476" i="35"/>
  <c r="G1476" i="35"/>
  <c r="F1476" i="35"/>
  <c r="E1476" i="35"/>
  <c r="D1476" i="35"/>
  <c r="C1476" i="35"/>
  <c r="B1476" i="35"/>
  <c r="H1475" i="35"/>
  <c r="G1475" i="35"/>
  <c r="F1475" i="35"/>
  <c r="E1475" i="35"/>
  <c r="D1475" i="35"/>
  <c r="C1475" i="35"/>
  <c r="B1475" i="35"/>
  <c r="H1474" i="35"/>
  <c r="G1474" i="35"/>
  <c r="F1474" i="35"/>
  <c r="E1474" i="35"/>
  <c r="D1474" i="35"/>
  <c r="C1474" i="35"/>
  <c r="B1474" i="35"/>
  <c r="H1473" i="35"/>
  <c r="G1473" i="35"/>
  <c r="F1473" i="35"/>
  <c r="E1473" i="35"/>
  <c r="D1473" i="35"/>
  <c r="C1473" i="35"/>
  <c r="B1473" i="35"/>
  <c r="H1472" i="35"/>
  <c r="G1472" i="35"/>
  <c r="F1472" i="35"/>
  <c r="E1472" i="35"/>
  <c r="D1472" i="35"/>
  <c r="C1472" i="35"/>
  <c r="B1472" i="35"/>
  <c r="H1471" i="35"/>
  <c r="G1471" i="35"/>
  <c r="F1471" i="35"/>
  <c r="E1471" i="35"/>
  <c r="D1471" i="35"/>
  <c r="C1471" i="35"/>
  <c r="B1471" i="35"/>
  <c r="A1471" i="35"/>
  <c r="H1470" i="35"/>
  <c r="G1470" i="35"/>
  <c r="F1470" i="35"/>
  <c r="E1470" i="35"/>
  <c r="D1470" i="35"/>
  <c r="C1470" i="35"/>
  <c r="B1470" i="35"/>
  <c r="A1470" i="35"/>
  <c r="H1469" i="35"/>
  <c r="G1469" i="35"/>
  <c r="F1469" i="35"/>
  <c r="E1469" i="35"/>
  <c r="D1469" i="35"/>
  <c r="C1469" i="35"/>
  <c r="B1469" i="35"/>
  <c r="A1469" i="35"/>
  <c r="H1468" i="35"/>
  <c r="G1468" i="35"/>
  <c r="F1468" i="35"/>
  <c r="E1468" i="35"/>
  <c r="D1468" i="35"/>
  <c r="C1468" i="35"/>
  <c r="B1468" i="35"/>
  <c r="A1468" i="35"/>
  <c r="H1467" i="35"/>
  <c r="G1467" i="35"/>
  <c r="F1467" i="35"/>
  <c r="E1467" i="35"/>
  <c r="D1467" i="35"/>
  <c r="C1467" i="35"/>
  <c r="B1467" i="35"/>
  <c r="A1467" i="35"/>
  <c r="H1466" i="35"/>
  <c r="G1466" i="35"/>
  <c r="F1466" i="35"/>
  <c r="E1466" i="35"/>
  <c r="D1466" i="35"/>
  <c r="C1466" i="35"/>
  <c r="B1466" i="35"/>
  <c r="A1466" i="35"/>
  <c r="H1465" i="35"/>
  <c r="G1465" i="35"/>
  <c r="F1465" i="35"/>
  <c r="E1465" i="35"/>
  <c r="D1465" i="35"/>
  <c r="C1465" i="35"/>
  <c r="B1465" i="35"/>
  <c r="A1465" i="35"/>
  <c r="H1464" i="35"/>
  <c r="G1464" i="35"/>
  <c r="F1464" i="35"/>
  <c r="E1464" i="35"/>
  <c r="D1464" i="35"/>
  <c r="C1464" i="35"/>
  <c r="B1464" i="35"/>
  <c r="A1464" i="35"/>
  <c r="H1463" i="35"/>
  <c r="G1463" i="35"/>
  <c r="F1463" i="35"/>
  <c r="E1463" i="35"/>
  <c r="D1463" i="35"/>
  <c r="C1463" i="35"/>
  <c r="B1463" i="35"/>
  <c r="A1463" i="35"/>
  <c r="H1462" i="35"/>
  <c r="G1462" i="35"/>
  <c r="F1462" i="35"/>
  <c r="E1462" i="35"/>
  <c r="D1462" i="35"/>
  <c r="C1462" i="35"/>
  <c r="B1462" i="35"/>
  <c r="A1462" i="35"/>
  <c r="H1461" i="35"/>
  <c r="G1461" i="35"/>
  <c r="F1461" i="35"/>
  <c r="E1461" i="35"/>
  <c r="D1461" i="35"/>
  <c r="C1461" i="35"/>
  <c r="B1461" i="35"/>
  <c r="A1461" i="35"/>
  <c r="H1460" i="35"/>
  <c r="G1460" i="35"/>
  <c r="F1460" i="35"/>
  <c r="E1460" i="35"/>
  <c r="D1460" i="35"/>
  <c r="C1460" i="35"/>
  <c r="B1460" i="35"/>
  <c r="A1460" i="35"/>
  <c r="H1459" i="35"/>
  <c r="G1459" i="35"/>
  <c r="F1459" i="35"/>
  <c r="E1459" i="35"/>
  <c r="D1459" i="35"/>
  <c r="C1459" i="35"/>
  <c r="B1459" i="35"/>
  <c r="A1459" i="35"/>
  <c r="H1458" i="35"/>
  <c r="G1458" i="35"/>
  <c r="F1458" i="35"/>
  <c r="E1458" i="35"/>
  <c r="D1458" i="35"/>
  <c r="C1458" i="35"/>
  <c r="B1458" i="35"/>
  <c r="A1458" i="35"/>
  <c r="H1457" i="35"/>
  <c r="G1457" i="35"/>
  <c r="F1457" i="35"/>
  <c r="E1457" i="35"/>
  <c r="D1457" i="35"/>
  <c r="C1457" i="35"/>
  <c r="B1457" i="35"/>
  <c r="A1457" i="35"/>
  <c r="H1456" i="35"/>
  <c r="G1456" i="35"/>
  <c r="F1456" i="35"/>
  <c r="E1456" i="35"/>
  <c r="D1456" i="35"/>
  <c r="C1456" i="35"/>
  <c r="B1456" i="35"/>
  <c r="A1456" i="35"/>
  <c r="H1455" i="35"/>
  <c r="G1455" i="35"/>
  <c r="F1455" i="35"/>
  <c r="E1455" i="35"/>
  <c r="D1455" i="35"/>
  <c r="C1455" i="35"/>
  <c r="B1455" i="35"/>
  <c r="A1455" i="35"/>
  <c r="H1454" i="35"/>
  <c r="G1454" i="35"/>
  <c r="F1454" i="35"/>
  <c r="E1454" i="35"/>
  <c r="D1454" i="35"/>
  <c r="C1454" i="35"/>
  <c r="B1454" i="35"/>
  <c r="A1454" i="35"/>
  <c r="H1453" i="35"/>
  <c r="G1453" i="35"/>
  <c r="F1453" i="35"/>
  <c r="E1453" i="35"/>
  <c r="D1453" i="35"/>
  <c r="C1453" i="35"/>
  <c r="B1453" i="35"/>
  <c r="A1453" i="35"/>
  <c r="H1452" i="35"/>
  <c r="G1452" i="35"/>
  <c r="F1452" i="35"/>
  <c r="E1452" i="35"/>
  <c r="D1452" i="35"/>
  <c r="C1452" i="35"/>
  <c r="B1452" i="35"/>
  <c r="A1452" i="35"/>
  <c r="H1451" i="35"/>
  <c r="G1451" i="35"/>
  <c r="F1451" i="35"/>
  <c r="E1451" i="35"/>
  <c r="D1451" i="35"/>
  <c r="C1451" i="35"/>
  <c r="B1451" i="35"/>
  <c r="A1451" i="35"/>
  <c r="H1450" i="35"/>
  <c r="G1450" i="35"/>
  <c r="F1450" i="35"/>
  <c r="E1450" i="35"/>
  <c r="D1450" i="35"/>
  <c r="C1450" i="35"/>
  <c r="B1450" i="35"/>
  <c r="A1450" i="35"/>
  <c r="H1449" i="35"/>
  <c r="G1449" i="35"/>
  <c r="F1449" i="35"/>
  <c r="E1449" i="35"/>
  <c r="D1449" i="35"/>
  <c r="C1449" i="35"/>
  <c r="B1449" i="35"/>
  <c r="A1449" i="35"/>
  <c r="H1448" i="35"/>
  <c r="G1448" i="35"/>
  <c r="F1448" i="35"/>
  <c r="E1448" i="35"/>
  <c r="D1448" i="35"/>
  <c r="C1448" i="35"/>
  <c r="B1448" i="35"/>
  <c r="A1448" i="35"/>
  <c r="H1447" i="35"/>
  <c r="G1447" i="35"/>
  <c r="F1447" i="35"/>
  <c r="E1447" i="35"/>
  <c r="D1447" i="35"/>
  <c r="C1447" i="35"/>
  <c r="B1447" i="35"/>
  <c r="A1447" i="35"/>
  <c r="H1446" i="35"/>
  <c r="G1446" i="35"/>
  <c r="F1446" i="35"/>
  <c r="E1446" i="35"/>
  <c r="D1446" i="35"/>
  <c r="C1446" i="35"/>
  <c r="B1446" i="35"/>
  <c r="A1446" i="35"/>
  <c r="H1445" i="35"/>
  <c r="G1445" i="35"/>
  <c r="F1445" i="35"/>
  <c r="E1445" i="35"/>
  <c r="D1445" i="35"/>
  <c r="C1445" i="35"/>
  <c r="B1445" i="35"/>
  <c r="A1445" i="35"/>
  <c r="H1444" i="35"/>
  <c r="G1444" i="35"/>
  <c r="F1444" i="35"/>
  <c r="E1444" i="35"/>
  <c r="D1444" i="35"/>
  <c r="C1444" i="35"/>
  <c r="B1444" i="35"/>
  <c r="A1444" i="35"/>
  <c r="H1443" i="35"/>
  <c r="G1443" i="35"/>
  <c r="F1443" i="35"/>
  <c r="E1443" i="35"/>
  <c r="D1443" i="35"/>
  <c r="C1443" i="35"/>
  <c r="B1443" i="35"/>
  <c r="A1443" i="35"/>
  <c r="H1442" i="35"/>
  <c r="G1442" i="35"/>
  <c r="F1442" i="35"/>
  <c r="E1442" i="35"/>
  <c r="D1442" i="35"/>
  <c r="C1442" i="35"/>
  <c r="B1442" i="35"/>
  <c r="A1442" i="35"/>
  <c r="H1441" i="35"/>
  <c r="G1441" i="35"/>
  <c r="F1441" i="35"/>
  <c r="E1441" i="35"/>
  <c r="D1441" i="35"/>
  <c r="C1441" i="35"/>
  <c r="B1441" i="35"/>
  <c r="A1441" i="35"/>
  <c r="H1440" i="35"/>
  <c r="G1440" i="35"/>
  <c r="F1440" i="35"/>
  <c r="E1440" i="35"/>
  <c r="D1440" i="35"/>
  <c r="C1440" i="35"/>
  <c r="B1440" i="35"/>
  <c r="A1440" i="35"/>
  <c r="H1439" i="35"/>
  <c r="G1439" i="35"/>
  <c r="F1439" i="35"/>
  <c r="E1439" i="35"/>
  <c r="D1439" i="35"/>
  <c r="C1439" i="35"/>
  <c r="B1439" i="35"/>
  <c r="A1439" i="35"/>
  <c r="H1438" i="35"/>
  <c r="G1438" i="35"/>
  <c r="F1438" i="35"/>
  <c r="E1438" i="35"/>
  <c r="D1438" i="35"/>
  <c r="C1438" i="35"/>
  <c r="B1438" i="35"/>
  <c r="A1438" i="35"/>
  <c r="H1437" i="35"/>
  <c r="G1437" i="35"/>
  <c r="F1437" i="35"/>
  <c r="E1437" i="35"/>
  <c r="D1437" i="35"/>
  <c r="C1437" i="35"/>
  <c r="B1437" i="35"/>
  <c r="A1437" i="35"/>
  <c r="H1436" i="35"/>
  <c r="G1436" i="35"/>
  <c r="F1436" i="35"/>
  <c r="E1436" i="35"/>
  <c r="D1436" i="35"/>
  <c r="C1436" i="35"/>
  <c r="B1436" i="35"/>
  <c r="A1436" i="35"/>
  <c r="H1435" i="35"/>
  <c r="G1435" i="35"/>
  <c r="F1435" i="35"/>
  <c r="E1435" i="35"/>
  <c r="D1435" i="35"/>
  <c r="C1435" i="35"/>
  <c r="B1435" i="35"/>
  <c r="A1435" i="35"/>
  <c r="H1434" i="35"/>
  <c r="G1434" i="35"/>
  <c r="F1434" i="35"/>
  <c r="E1434" i="35"/>
  <c r="D1434" i="35"/>
  <c r="C1434" i="35"/>
  <c r="B1434" i="35"/>
  <c r="A1434" i="35"/>
  <c r="H1433" i="35"/>
  <c r="G1433" i="35"/>
  <c r="F1433" i="35"/>
  <c r="E1433" i="35"/>
  <c r="D1433" i="35"/>
  <c r="C1433" i="35"/>
  <c r="B1433" i="35"/>
  <c r="A1433" i="35"/>
  <c r="H1432" i="35"/>
  <c r="G1432" i="35"/>
  <c r="F1432" i="35"/>
  <c r="E1432" i="35"/>
  <c r="D1432" i="35"/>
  <c r="C1432" i="35"/>
  <c r="B1432" i="35"/>
  <c r="A1432" i="35"/>
  <c r="H1431" i="35"/>
  <c r="G1431" i="35"/>
  <c r="F1431" i="35"/>
  <c r="E1431" i="35"/>
  <c r="D1431" i="35"/>
  <c r="C1431" i="35"/>
  <c r="B1431" i="35"/>
  <c r="A1431" i="35"/>
  <c r="H1430" i="35"/>
  <c r="G1430" i="35"/>
  <c r="F1430" i="35"/>
  <c r="E1430" i="35"/>
  <c r="D1430" i="35"/>
  <c r="C1430" i="35"/>
  <c r="B1430" i="35"/>
  <c r="A1430" i="35"/>
  <c r="H1429" i="35"/>
  <c r="G1429" i="35"/>
  <c r="F1429" i="35"/>
  <c r="E1429" i="35"/>
  <c r="D1429" i="35"/>
  <c r="C1429" i="35"/>
  <c r="B1429" i="35"/>
  <c r="A1429" i="35"/>
  <c r="H1428" i="35"/>
  <c r="G1428" i="35"/>
  <c r="F1428" i="35"/>
  <c r="E1428" i="35"/>
  <c r="D1428" i="35"/>
  <c r="C1428" i="35"/>
  <c r="B1428" i="35"/>
  <c r="A1428" i="35"/>
  <c r="H1427" i="35"/>
  <c r="G1427" i="35"/>
  <c r="F1427" i="35"/>
  <c r="E1427" i="35"/>
  <c r="D1427" i="35"/>
  <c r="C1427" i="35"/>
  <c r="B1427" i="35"/>
  <c r="A1427" i="35"/>
  <c r="H1426" i="35"/>
  <c r="G1426" i="35"/>
  <c r="F1426" i="35"/>
  <c r="E1426" i="35"/>
  <c r="D1426" i="35"/>
  <c r="C1426" i="35"/>
  <c r="B1426" i="35"/>
  <c r="A1426" i="35"/>
  <c r="H1425" i="35"/>
  <c r="G1425" i="35"/>
  <c r="F1425" i="35"/>
  <c r="E1425" i="35"/>
  <c r="D1425" i="35"/>
  <c r="C1425" i="35"/>
  <c r="B1425" i="35"/>
  <c r="A1425" i="35"/>
  <c r="H1424" i="35"/>
  <c r="G1424" i="35"/>
  <c r="F1424" i="35"/>
  <c r="E1424" i="35"/>
  <c r="D1424" i="35"/>
  <c r="C1424" i="35"/>
  <c r="B1424" i="35"/>
  <c r="A1424" i="35"/>
  <c r="H1423" i="35"/>
  <c r="G1423" i="35"/>
  <c r="F1423" i="35"/>
  <c r="E1423" i="35"/>
  <c r="D1423" i="35"/>
  <c r="C1423" i="35"/>
  <c r="B1423" i="35"/>
  <c r="A1423" i="35"/>
  <c r="H1422" i="35"/>
  <c r="G1422" i="35"/>
  <c r="F1422" i="35"/>
  <c r="E1422" i="35"/>
  <c r="D1422" i="35"/>
  <c r="C1422" i="35"/>
  <c r="B1422" i="35"/>
  <c r="A1422" i="35"/>
  <c r="H1421" i="35"/>
  <c r="G1421" i="35"/>
  <c r="F1421" i="35"/>
  <c r="E1421" i="35"/>
  <c r="D1421" i="35"/>
  <c r="C1421" i="35"/>
  <c r="B1421" i="35"/>
  <c r="A1421" i="35"/>
  <c r="H1420" i="35"/>
  <c r="G1420" i="35"/>
  <c r="F1420" i="35"/>
  <c r="E1420" i="35"/>
  <c r="D1420" i="35"/>
  <c r="C1420" i="35"/>
  <c r="B1420" i="35"/>
  <c r="A1420" i="35"/>
  <c r="H1419" i="35"/>
  <c r="G1419" i="35"/>
  <c r="F1419" i="35"/>
  <c r="E1419" i="35"/>
  <c r="D1419" i="35"/>
  <c r="C1419" i="35"/>
  <c r="B1419" i="35"/>
  <c r="A1419" i="35"/>
  <c r="H1418" i="35"/>
  <c r="G1418" i="35"/>
  <c r="F1418" i="35"/>
  <c r="E1418" i="35"/>
  <c r="D1418" i="35"/>
  <c r="C1418" i="35"/>
  <c r="B1418" i="35"/>
  <c r="A1418" i="35"/>
  <c r="H1417" i="35"/>
  <c r="G1417" i="35"/>
  <c r="F1417" i="35"/>
  <c r="E1417" i="35"/>
  <c r="D1417" i="35"/>
  <c r="C1417" i="35"/>
  <c r="B1417" i="35"/>
  <c r="A1417" i="35"/>
  <c r="G1412" i="35"/>
  <c r="G1411" i="35"/>
  <c r="G1410" i="35"/>
  <c r="G1409" i="35"/>
  <c r="G1408" i="35"/>
  <c r="G1407" i="35"/>
  <c r="G1406" i="35"/>
  <c r="G1405" i="35"/>
  <c r="A1405" i="35"/>
  <c r="G1404" i="35"/>
  <c r="A1404" i="35"/>
  <c r="G1403" i="35"/>
  <c r="A1403" i="35"/>
  <c r="G1402" i="35"/>
  <c r="A1402" i="35"/>
  <c r="G1401" i="35"/>
  <c r="A1401" i="35"/>
  <c r="G1400" i="35"/>
  <c r="A1400" i="35"/>
  <c r="G1399" i="35"/>
  <c r="A1399" i="35"/>
  <c r="G1398" i="35"/>
  <c r="A1398" i="35"/>
  <c r="G1397" i="35"/>
  <c r="A1397" i="35"/>
  <c r="G1396" i="35"/>
  <c r="A1396" i="35"/>
  <c r="G1395" i="35"/>
  <c r="A1395" i="35"/>
  <c r="G1394" i="35"/>
  <c r="A1394" i="35"/>
  <c r="G1393" i="35"/>
  <c r="A1393" i="35"/>
  <c r="G1392" i="35"/>
  <c r="A1392" i="35"/>
  <c r="G1391" i="35"/>
  <c r="A1391" i="35"/>
  <c r="G1390" i="35"/>
  <c r="A1390" i="35"/>
  <c r="G1389" i="35"/>
  <c r="A1389" i="35"/>
  <c r="G1388" i="35"/>
  <c r="A1388" i="35"/>
  <c r="G1387" i="35"/>
  <c r="A1387" i="35"/>
  <c r="G1386" i="35"/>
  <c r="A1386" i="35"/>
  <c r="G1385" i="35"/>
  <c r="A1385" i="35"/>
  <c r="G1384" i="35"/>
  <c r="A1384" i="35"/>
  <c r="G1383" i="35"/>
  <c r="A1383" i="35"/>
  <c r="G1382" i="35"/>
  <c r="A1382" i="35"/>
  <c r="G1381" i="35"/>
  <c r="A1381" i="35"/>
  <c r="G1380" i="35"/>
  <c r="A1380" i="35"/>
  <c r="G1379" i="35"/>
  <c r="A1379" i="35"/>
  <c r="G1378" i="35"/>
  <c r="A1378" i="35"/>
  <c r="G1377" i="35"/>
  <c r="A1377" i="35"/>
  <c r="G1376" i="35"/>
  <c r="A1376" i="35"/>
  <c r="G1375" i="35"/>
  <c r="A1375" i="35"/>
  <c r="G1374" i="35"/>
  <c r="A1374" i="35"/>
  <c r="G1373" i="35"/>
  <c r="A1373" i="35"/>
  <c r="G1372" i="35"/>
  <c r="A1372" i="35"/>
  <c r="G1371" i="35"/>
  <c r="A1371" i="35"/>
  <c r="G1370" i="35"/>
  <c r="A1370" i="35"/>
  <c r="G1369" i="35"/>
  <c r="A1369" i="35"/>
  <c r="G1368" i="35"/>
  <c r="A1368" i="35"/>
  <c r="G1367" i="35"/>
  <c r="A1367" i="35"/>
  <c r="G1366" i="35"/>
  <c r="A1366" i="35"/>
  <c r="G1365" i="35"/>
  <c r="A1365" i="35"/>
  <c r="G1364" i="35"/>
  <c r="A1364" i="35"/>
  <c r="G1363" i="35"/>
  <c r="A1363" i="35"/>
  <c r="G1362" i="35"/>
  <c r="A1362" i="35"/>
  <c r="G1361" i="35"/>
  <c r="A1361" i="35"/>
  <c r="G1360" i="35"/>
  <c r="A1360" i="35"/>
  <c r="G1359" i="35"/>
  <c r="A1359" i="35"/>
  <c r="G1358" i="35"/>
  <c r="A1358" i="35"/>
  <c r="G1357" i="35"/>
  <c r="A1357" i="35"/>
  <c r="G1356" i="35"/>
  <c r="A1356" i="35"/>
  <c r="G1355" i="35"/>
  <c r="A1355" i="35"/>
  <c r="G1354" i="35"/>
  <c r="A1354" i="35"/>
  <c r="G1353" i="35"/>
  <c r="A1353" i="35"/>
  <c r="G1352" i="35"/>
  <c r="A1352" i="35"/>
  <c r="G1351" i="35"/>
  <c r="A1351" i="35"/>
  <c r="A1295" i="35"/>
  <c r="A1294" i="35"/>
  <c r="A1293" i="35"/>
  <c r="A1292" i="35"/>
  <c r="A1291" i="35"/>
  <c r="A1290" i="35"/>
  <c r="A1289" i="35"/>
  <c r="A1288" i="35"/>
  <c r="A1287" i="35"/>
  <c r="A1286" i="35"/>
  <c r="A1285" i="35"/>
  <c r="A1284" i="35"/>
  <c r="A1283" i="35"/>
  <c r="A1282" i="35"/>
  <c r="A1281" i="35"/>
  <c r="A1280" i="35"/>
  <c r="A1279" i="35"/>
  <c r="A1278" i="35"/>
  <c r="A1277" i="35"/>
  <c r="A1276" i="35"/>
  <c r="A1275" i="35"/>
  <c r="A1274" i="35"/>
  <c r="A1273" i="35"/>
  <c r="A1272" i="35"/>
  <c r="A1271" i="35"/>
  <c r="A1270" i="35"/>
  <c r="A1269" i="35"/>
  <c r="A1268" i="35"/>
  <c r="A1267" i="35"/>
  <c r="A1266" i="35"/>
  <c r="A1265" i="35"/>
  <c r="A1264" i="35"/>
  <c r="A1263" i="35"/>
  <c r="A1262" i="35"/>
  <c r="A1261" i="35"/>
  <c r="A1260" i="35"/>
  <c r="A1259" i="35"/>
  <c r="A1258" i="35"/>
  <c r="A1257" i="35"/>
  <c r="A1256" i="35"/>
  <c r="A1255" i="35"/>
  <c r="A1254" i="35"/>
  <c r="A1253" i="35"/>
  <c r="A1252" i="35"/>
  <c r="A1251" i="35"/>
  <c r="A1250" i="35"/>
  <c r="A1249" i="35"/>
  <c r="A1248" i="35"/>
  <c r="A1247" i="35"/>
  <c r="A1246" i="35"/>
  <c r="A1245" i="35"/>
  <c r="A1244" i="35"/>
  <c r="A1243" i="35"/>
  <c r="A1242" i="35"/>
  <c r="A1241" i="35"/>
  <c r="H1162" i="35"/>
  <c r="G1162" i="35"/>
  <c r="F1162" i="35"/>
  <c r="H1161" i="35"/>
  <c r="G1161" i="35"/>
  <c r="F1161" i="35"/>
  <c r="H1160" i="35"/>
  <c r="G1160" i="35"/>
  <c r="F1160" i="35"/>
  <c r="H1159" i="35"/>
  <c r="G1159" i="35"/>
  <c r="F1159" i="35"/>
  <c r="H1158" i="35"/>
  <c r="G1158" i="35"/>
  <c r="F1158" i="35"/>
  <c r="H1157" i="35"/>
  <c r="G1157" i="35"/>
  <c r="F1157" i="35"/>
  <c r="H1156" i="35"/>
  <c r="G1156" i="35"/>
  <c r="F1156" i="35"/>
  <c r="H1155" i="35"/>
  <c r="G1155" i="35"/>
  <c r="F1155" i="35"/>
  <c r="A1155" i="35"/>
  <c r="H1154" i="35"/>
  <c r="G1154" i="35"/>
  <c r="F1154" i="35"/>
  <c r="A1154" i="35"/>
  <c r="H1153" i="35"/>
  <c r="G1153" i="35"/>
  <c r="F1153" i="35"/>
  <c r="A1153" i="35"/>
  <c r="H1152" i="35"/>
  <c r="G1152" i="35"/>
  <c r="F1152" i="35"/>
  <c r="A1152" i="35"/>
  <c r="H1151" i="35"/>
  <c r="G1151" i="35"/>
  <c r="F1151" i="35"/>
  <c r="A1151" i="35"/>
  <c r="H1150" i="35"/>
  <c r="G1150" i="35"/>
  <c r="F1150" i="35"/>
  <c r="A1150" i="35"/>
  <c r="H1149" i="35"/>
  <c r="G1149" i="35"/>
  <c r="F1149" i="35"/>
  <c r="A1149" i="35"/>
  <c r="H1148" i="35"/>
  <c r="G1148" i="35"/>
  <c r="F1148" i="35"/>
  <c r="A1148" i="35"/>
  <c r="H1147" i="35"/>
  <c r="G1147" i="35"/>
  <c r="F1147" i="35"/>
  <c r="A1147" i="35"/>
  <c r="H1146" i="35"/>
  <c r="G1146" i="35"/>
  <c r="F1146" i="35"/>
  <c r="A1146" i="35"/>
  <c r="H1145" i="35"/>
  <c r="G1145" i="35"/>
  <c r="F1145" i="35"/>
  <c r="A1145" i="35"/>
  <c r="H1144" i="35"/>
  <c r="G1144" i="35"/>
  <c r="F1144" i="35"/>
  <c r="A1144" i="35"/>
  <c r="H1143" i="35"/>
  <c r="G1143" i="35"/>
  <c r="F1143" i="35"/>
  <c r="A1143" i="35"/>
  <c r="H1142" i="35"/>
  <c r="G1142" i="35"/>
  <c r="F1142" i="35"/>
  <c r="A1142" i="35"/>
  <c r="H1141" i="35"/>
  <c r="G1141" i="35"/>
  <c r="F1141" i="35"/>
  <c r="A1141" i="35"/>
  <c r="H1140" i="35"/>
  <c r="G1140" i="35"/>
  <c r="F1140" i="35"/>
  <c r="A1140" i="35"/>
  <c r="H1139" i="35"/>
  <c r="G1139" i="35"/>
  <c r="F1139" i="35"/>
  <c r="A1139" i="35"/>
  <c r="H1138" i="35"/>
  <c r="G1138" i="35"/>
  <c r="F1138" i="35"/>
  <c r="A1138" i="35"/>
  <c r="H1137" i="35"/>
  <c r="G1137" i="35"/>
  <c r="F1137" i="35"/>
  <c r="A1137" i="35"/>
  <c r="H1136" i="35"/>
  <c r="G1136" i="35"/>
  <c r="F1136" i="35"/>
  <c r="A1136" i="35"/>
  <c r="H1135" i="35"/>
  <c r="G1135" i="35"/>
  <c r="F1135" i="35"/>
  <c r="A1135" i="35"/>
  <c r="H1134" i="35"/>
  <c r="G1134" i="35"/>
  <c r="F1134" i="35"/>
  <c r="A1134" i="35"/>
  <c r="H1133" i="35"/>
  <c r="G1133" i="35"/>
  <c r="F1133" i="35"/>
  <c r="A1133" i="35"/>
  <c r="H1132" i="35"/>
  <c r="G1132" i="35"/>
  <c r="F1132" i="35"/>
  <c r="A1132" i="35"/>
  <c r="H1131" i="35"/>
  <c r="G1131" i="35"/>
  <c r="F1131" i="35"/>
  <c r="A1131" i="35"/>
  <c r="H1130" i="35"/>
  <c r="G1130" i="35"/>
  <c r="F1130" i="35"/>
  <c r="A1130" i="35"/>
  <c r="H1129" i="35"/>
  <c r="G1129" i="35"/>
  <c r="F1129" i="35"/>
  <c r="A1129" i="35"/>
  <c r="H1128" i="35"/>
  <c r="G1128" i="35"/>
  <c r="F1128" i="35"/>
  <c r="A1128" i="35"/>
  <c r="H1127" i="35"/>
  <c r="G1127" i="35"/>
  <c r="F1127" i="35"/>
  <c r="A1127" i="35"/>
  <c r="H1126" i="35"/>
  <c r="G1126" i="35"/>
  <c r="F1126" i="35"/>
  <c r="A1126" i="35"/>
  <c r="H1125" i="35"/>
  <c r="G1125" i="35"/>
  <c r="F1125" i="35"/>
  <c r="A1125" i="35"/>
  <c r="H1124" i="35"/>
  <c r="G1124" i="35"/>
  <c r="F1124" i="35"/>
  <c r="A1124" i="35"/>
  <c r="H1123" i="35"/>
  <c r="G1123" i="35"/>
  <c r="F1123" i="35"/>
  <c r="A1123" i="35"/>
  <c r="H1122" i="35"/>
  <c r="G1122" i="35"/>
  <c r="F1122" i="35"/>
  <c r="A1122" i="35"/>
  <c r="H1121" i="35"/>
  <c r="G1121" i="35"/>
  <c r="F1121" i="35"/>
  <c r="A1121" i="35"/>
  <c r="H1120" i="35"/>
  <c r="G1120" i="35"/>
  <c r="F1120" i="35"/>
  <c r="A1120" i="35"/>
  <c r="H1119" i="35"/>
  <c r="G1119" i="35"/>
  <c r="F1119" i="35"/>
  <c r="A1119" i="35"/>
  <c r="H1118" i="35"/>
  <c r="G1118" i="35"/>
  <c r="F1118" i="35"/>
  <c r="A1118" i="35"/>
  <c r="H1117" i="35"/>
  <c r="G1117" i="35"/>
  <c r="F1117" i="35"/>
  <c r="A1117" i="35"/>
  <c r="H1116" i="35"/>
  <c r="G1116" i="35"/>
  <c r="F1116" i="35"/>
  <c r="A1116" i="35"/>
  <c r="H1115" i="35"/>
  <c r="G1115" i="35"/>
  <c r="F1115" i="35"/>
  <c r="A1115" i="35"/>
  <c r="H1114" i="35"/>
  <c r="G1114" i="35"/>
  <c r="F1114" i="35"/>
  <c r="A1114" i="35"/>
  <c r="H1113" i="35"/>
  <c r="G1113" i="35"/>
  <c r="F1113" i="35"/>
  <c r="A1113" i="35"/>
  <c r="H1112" i="35"/>
  <c r="G1112" i="35"/>
  <c r="F1112" i="35"/>
  <c r="A1112" i="35"/>
  <c r="H1111" i="35"/>
  <c r="G1111" i="35"/>
  <c r="F1111" i="35"/>
  <c r="A1111" i="35"/>
  <c r="H1110" i="35"/>
  <c r="G1110" i="35"/>
  <c r="F1110" i="35"/>
  <c r="A1110" i="35"/>
  <c r="H1109" i="35"/>
  <c r="G1109" i="35"/>
  <c r="F1109" i="35"/>
  <c r="A1109" i="35"/>
  <c r="H1108" i="35"/>
  <c r="G1108" i="35"/>
  <c r="F1108" i="35"/>
  <c r="A1108" i="35"/>
  <c r="H1107" i="35"/>
  <c r="G1107" i="35"/>
  <c r="F1107" i="35"/>
  <c r="A1107" i="35"/>
  <c r="H1106" i="35"/>
  <c r="G1106" i="35"/>
  <c r="F1106" i="35"/>
  <c r="A1106" i="35"/>
  <c r="H1105" i="35"/>
  <c r="G1105" i="35"/>
  <c r="F1105" i="35"/>
  <c r="A1105" i="35"/>
  <c r="H1104" i="35"/>
  <c r="G1104" i="35"/>
  <c r="F1104" i="35"/>
  <c r="A1104" i="35"/>
  <c r="H1103" i="35"/>
  <c r="G1103" i="35"/>
  <c r="F1103" i="35"/>
  <c r="A1103" i="35"/>
  <c r="H1102" i="35"/>
  <c r="G1102" i="35"/>
  <c r="F1102" i="35"/>
  <c r="A1102" i="35"/>
  <c r="H1101" i="35"/>
  <c r="G1101" i="35"/>
  <c r="F1101" i="35"/>
  <c r="A1101" i="35"/>
  <c r="A1021" i="35"/>
  <c r="A1020" i="35"/>
  <c r="A1019" i="35"/>
  <c r="A1018" i="35"/>
  <c r="A1017" i="35"/>
  <c r="A1016" i="35"/>
  <c r="A1015" i="35"/>
  <c r="A1014" i="35"/>
  <c r="A1013" i="35"/>
  <c r="A1012" i="35"/>
  <c r="A1011" i="35"/>
  <c r="A1010" i="35"/>
  <c r="A1009" i="35"/>
  <c r="A1008" i="35"/>
  <c r="A1007" i="35"/>
  <c r="A1006" i="35"/>
  <c r="A1005" i="35"/>
  <c r="A1004" i="35"/>
  <c r="A1003" i="35"/>
  <c r="A1002" i="35"/>
  <c r="A1001" i="35"/>
  <c r="A1000" i="35"/>
  <c r="A999" i="35"/>
  <c r="A998" i="35"/>
  <c r="A997" i="35"/>
  <c r="A996" i="35"/>
  <c r="A995" i="35"/>
  <c r="A994" i="35"/>
  <c r="A993" i="35"/>
  <c r="A992" i="35"/>
  <c r="A991" i="35"/>
  <c r="A990" i="35"/>
  <c r="A989" i="35"/>
  <c r="A988" i="35"/>
  <c r="A987" i="35"/>
  <c r="A986" i="35"/>
  <c r="A985" i="35"/>
  <c r="A984" i="35"/>
  <c r="A983" i="35"/>
  <c r="A982" i="35"/>
  <c r="A981" i="35"/>
  <c r="A980" i="35"/>
  <c r="A979" i="35"/>
  <c r="A978" i="35"/>
  <c r="A977" i="35"/>
  <c r="A976" i="35"/>
  <c r="A975" i="35"/>
  <c r="A974" i="35"/>
  <c r="A973" i="35"/>
  <c r="A972" i="35"/>
  <c r="A971" i="35"/>
  <c r="A970" i="35"/>
  <c r="A969" i="35"/>
  <c r="A968" i="35"/>
  <c r="A967" i="35"/>
  <c r="J961" i="35"/>
  <c r="E961" i="35"/>
  <c r="D961" i="35"/>
  <c r="J960" i="35"/>
  <c r="E960" i="35"/>
  <c r="D960" i="35"/>
  <c r="J959" i="35"/>
  <c r="E959" i="35"/>
  <c r="D959" i="35"/>
  <c r="J958" i="35"/>
  <c r="E958" i="35"/>
  <c r="D958" i="35"/>
  <c r="J957" i="35"/>
  <c r="E957" i="35"/>
  <c r="D957" i="35"/>
  <c r="J956" i="35"/>
  <c r="E956" i="35"/>
  <c r="D956" i="35"/>
  <c r="J955" i="35"/>
  <c r="E955" i="35"/>
  <c r="D955" i="35"/>
  <c r="J954" i="35"/>
  <c r="E954" i="35"/>
  <c r="D954" i="35"/>
  <c r="J953" i="35"/>
  <c r="E953" i="35"/>
  <c r="D953" i="35"/>
  <c r="J952" i="35"/>
  <c r="E952" i="35"/>
  <c r="D952" i="35"/>
  <c r="J951" i="35"/>
  <c r="E951" i="35"/>
  <c r="D951" i="35"/>
  <c r="J950" i="35"/>
  <c r="E950" i="35"/>
  <c r="D950" i="35"/>
  <c r="J949" i="35"/>
  <c r="E949" i="35"/>
  <c r="D949" i="35"/>
  <c r="J948" i="35"/>
  <c r="E948" i="35"/>
  <c r="D948" i="35"/>
  <c r="J947" i="35"/>
  <c r="E947" i="35"/>
  <c r="D947" i="35"/>
  <c r="J946" i="35"/>
  <c r="E946" i="35"/>
  <c r="D946" i="35"/>
  <c r="J945" i="35"/>
  <c r="E945" i="35"/>
  <c r="D945" i="35"/>
  <c r="J944" i="35"/>
  <c r="E944" i="35"/>
  <c r="D944" i="35"/>
  <c r="J943" i="35"/>
  <c r="E943" i="35"/>
  <c r="D943" i="35"/>
  <c r="J942" i="35"/>
  <c r="E942" i="35"/>
  <c r="D942" i="35"/>
  <c r="J941" i="35"/>
  <c r="E941" i="35"/>
  <c r="D941" i="35"/>
  <c r="J940" i="35"/>
  <c r="E940" i="35"/>
  <c r="D940" i="35"/>
  <c r="J939" i="35"/>
  <c r="E939" i="35"/>
  <c r="D939" i="35"/>
  <c r="J938" i="35"/>
  <c r="E938" i="35"/>
  <c r="D938" i="35"/>
  <c r="J937" i="35"/>
  <c r="E937" i="35"/>
  <c r="D937" i="35"/>
  <c r="J936" i="35"/>
  <c r="E936" i="35"/>
  <c r="D936" i="35"/>
  <c r="J935" i="35"/>
  <c r="E935" i="35"/>
  <c r="D935" i="35"/>
  <c r="J934" i="35"/>
  <c r="E934" i="35"/>
  <c r="D934" i="35"/>
  <c r="J933" i="35"/>
  <c r="E933" i="35"/>
  <c r="D933" i="35"/>
  <c r="J932" i="35"/>
  <c r="E932" i="35"/>
  <c r="D932" i="35"/>
  <c r="J931" i="35"/>
  <c r="E931" i="35"/>
  <c r="D931" i="35"/>
  <c r="J930" i="35"/>
  <c r="E930" i="35"/>
  <c r="D930" i="35"/>
  <c r="J929" i="35"/>
  <c r="E929" i="35"/>
  <c r="D929" i="35"/>
  <c r="J928" i="35"/>
  <c r="E928" i="35"/>
  <c r="D928" i="35"/>
  <c r="J927" i="35"/>
  <c r="E927" i="35"/>
  <c r="D927" i="35"/>
  <c r="J926" i="35"/>
  <c r="E926" i="35"/>
  <c r="D926" i="35"/>
  <c r="J925" i="35"/>
  <c r="E925" i="35"/>
  <c r="D925" i="35"/>
  <c r="J924" i="35"/>
  <c r="E924" i="35"/>
  <c r="D924" i="35"/>
  <c r="J923" i="35"/>
  <c r="E923" i="35"/>
  <c r="D923" i="35"/>
  <c r="J922" i="35"/>
  <c r="E922" i="35"/>
  <c r="D922" i="35"/>
  <c r="J921" i="35"/>
  <c r="E921" i="35"/>
  <c r="D921" i="35"/>
  <c r="J920" i="35"/>
  <c r="E920" i="35"/>
  <c r="D920" i="35"/>
  <c r="J919" i="35"/>
  <c r="E919" i="35"/>
  <c r="D919" i="35"/>
  <c r="J918" i="35"/>
  <c r="E918" i="35"/>
  <c r="D918" i="35"/>
  <c r="J917" i="35"/>
  <c r="E917" i="35"/>
  <c r="D917" i="35"/>
  <c r="J916" i="35"/>
  <c r="E916" i="35"/>
  <c r="D916" i="35"/>
  <c r="J915" i="35"/>
  <c r="E915" i="35"/>
  <c r="D915" i="35"/>
  <c r="J914" i="35"/>
  <c r="E914" i="35"/>
  <c r="D914" i="35"/>
  <c r="J913" i="35"/>
  <c r="E913" i="35"/>
  <c r="D913" i="35"/>
  <c r="J912" i="35"/>
  <c r="E912" i="35"/>
  <c r="D912" i="35"/>
  <c r="J911" i="35"/>
  <c r="E911" i="35"/>
  <c r="D911" i="35"/>
  <c r="J910" i="35"/>
  <c r="E910" i="35"/>
  <c r="D910" i="35"/>
  <c r="J909" i="35"/>
  <c r="E909" i="35"/>
  <c r="D909" i="35"/>
  <c r="J908" i="35"/>
  <c r="E908" i="35"/>
  <c r="D908" i="35"/>
  <c r="J907" i="35"/>
  <c r="E907" i="35"/>
  <c r="D907" i="35"/>
  <c r="J906" i="35"/>
  <c r="E906" i="35"/>
  <c r="D906" i="35"/>
  <c r="J905" i="35"/>
  <c r="E905" i="35"/>
  <c r="D905" i="35"/>
  <c r="J904" i="35"/>
  <c r="E904" i="35"/>
  <c r="D904" i="35"/>
  <c r="J903" i="35"/>
  <c r="E903" i="35"/>
  <c r="D903" i="35"/>
  <c r="J902" i="35"/>
  <c r="E902" i="35"/>
  <c r="D902" i="35"/>
  <c r="J901" i="35"/>
  <c r="E901" i="35"/>
  <c r="D901" i="35"/>
  <c r="J900" i="35"/>
  <c r="E900" i="35"/>
  <c r="D900" i="35"/>
  <c r="A820" i="35"/>
  <c r="A819" i="35"/>
  <c r="A818" i="35"/>
  <c r="A817" i="35"/>
  <c r="A816" i="35"/>
  <c r="A815" i="35"/>
  <c r="A814" i="35"/>
  <c r="A813" i="35"/>
  <c r="A812" i="35"/>
  <c r="A811" i="35"/>
  <c r="A810" i="35"/>
  <c r="A809" i="35"/>
  <c r="A808" i="35"/>
  <c r="A807" i="35"/>
  <c r="A806" i="35"/>
  <c r="A805" i="35"/>
  <c r="A804" i="35"/>
  <c r="A803" i="35"/>
  <c r="A802" i="35"/>
  <c r="A801" i="35"/>
  <c r="A800" i="35"/>
  <c r="A799" i="35"/>
  <c r="A798" i="35"/>
  <c r="A797" i="35"/>
  <c r="A796" i="35"/>
  <c r="A795" i="35"/>
  <c r="A794" i="35"/>
  <c r="A793" i="35"/>
  <c r="A792" i="35"/>
  <c r="A791" i="35"/>
  <c r="A790" i="35"/>
  <c r="A789" i="35"/>
  <c r="A788" i="35"/>
  <c r="A787" i="35"/>
  <c r="A786" i="35"/>
  <c r="A785" i="35"/>
  <c r="A784" i="35"/>
  <c r="A783" i="35"/>
  <c r="A782" i="35"/>
  <c r="A781" i="35"/>
  <c r="A780" i="35"/>
  <c r="A779" i="35"/>
  <c r="A778" i="35"/>
  <c r="A777" i="35"/>
  <c r="A776" i="35"/>
  <c r="A775" i="35"/>
  <c r="A774" i="35"/>
  <c r="A773" i="35"/>
  <c r="A772" i="35"/>
  <c r="A771" i="35"/>
  <c r="A770" i="35"/>
  <c r="A769" i="35"/>
  <c r="A768" i="35"/>
  <c r="A767" i="35"/>
  <c r="A766" i="35"/>
  <c r="A571" i="35"/>
  <c r="A570" i="35"/>
  <c r="A569" i="35"/>
  <c r="A568" i="35"/>
  <c r="A567" i="35"/>
  <c r="A566" i="35"/>
  <c r="A565" i="35"/>
  <c r="A564" i="35"/>
  <c r="A563" i="35"/>
  <c r="A562" i="35"/>
  <c r="A561" i="35"/>
  <c r="A560" i="35"/>
  <c r="A559" i="35"/>
  <c r="A558" i="35"/>
  <c r="A557" i="35"/>
  <c r="A556" i="35"/>
  <c r="A555" i="35"/>
  <c r="A554" i="35"/>
  <c r="A553" i="35"/>
  <c r="A552" i="35"/>
  <c r="A551" i="35"/>
  <c r="A550" i="35"/>
  <c r="A549" i="35"/>
  <c r="A548" i="35"/>
  <c r="A547" i="35"/>
  <c r="A546" i="35"/>
  <c r="A545" i="35"/>
  <c r="A544" i="35"/>
  <c r="A543" i="35"/>
  <c r="A542" i="35"/>
  <c r="A541" i="35"/>
  <c r="A540" i="35"/>
  <c r="A539" i="35"/>
  <c r="A538" i="35"/>
  <c r="A537" i="35"/>
  <c r="A536" i="35"/>
  <c r="A535" i="35"/>
  <c r="A534" i="35"/>
  <c r="A533" i="35"/>
  <c r="A532" i="35"/>
  <c r="A531" i="35"/>
  <c r="A530" i="35"/>
  <c r="A529" i="35"/>
  <c r="A528" i="35"/>
  <c r="A527" i="35"/>
  <c r="A526" i="35"/>
  <c r="A525" i="35"/>
  <c r="A524" i="35"/>
  <c r="A523" i="35"/>
  <c r="A522" i="35"/>
  <c r="A521" i="35"/>
  <c r="A520" i="35"/>
  <c r="A519" i="35"/>
  <c r="A518" i="35"/>
  <c r="A517" i="35"/>
  <c r="F512" i="35"/>
  <c r="H512" i="35" s="1"/>
  <c r="F511" i="35"/>
  <c r="H511" i="35" s="1"/>
  <c r="J495" i="35"/>
  <c r="I495" i="35"/>
  <c r="H495" i="35"/>
  <c r="G495" i="35"/>
  <c r="F495" i="35"/>
  <c r="J494" i="35"/>
  <c r="I494" i="35"/>
  <c r="H494" i="35"/>
  <c r="G494" i="35"/>
  <c r="F494" i="35"/>
  <c r="J493" i="35"/>
  <c r="I493" i="35"/>
  <c r="H493" i="35"/>
  <c r="G493" i="35"/>
  <c r="F493" i="35"/>
  <c r="J492" i="35"/>
  <c r="I492" i="35"/>
  <c r="H492" i="35"/>
  <c r="G492" i="35"/>
  <c r="F492" i="35"/>
  <c r="J491" i="35"/>
  <c r="I491" i="35"/>
  <c r="H491" i="35"/>
  <c r="G491" i="35"/>
  <c r="F491" i="35"/>
  <c r="J490" i="35"/>
  <c r="I490" i="35"/>
  <c r="H490" i="35"/>
  <c r="G490" i="35"/>
  <c r="F490" i="35"/>
  <c r="J489" i="35"/>
  <c r="I489" i="35"/>
  <c r="H489" i="35"/>
  <c r="G489" i="35"/>
  <c r="F489" i="35"/>
  <c r="J488" i="35"/>
  <c r="I488" i="35"/>
  <c r="H488" i="35"/>
  <c r="G488" i="35"/>
  <c r="F488" i="35"/>
  <c r="A488" i="35"/>
  <c r="J487" i="35"/>
  <c r="I487" i="35"/>
  <c r="H487" i="35"/>
  <c r="G487" i="35"/>
  <c r="F487" i="35"/>
  <c r="A487" i="35"/>
  <c r="J486" i="35"/>
  <c r="I486" i="35"/>
  <c r="H486" i="35"/>
  <c r="G486" i="35"/>
  <c r="F486" i="35"/>
  <c r="A486" i="35"/>
  <c r="J485" i="35"/>
  <c r="I485" i="35"/>
  <c r="H485" i="35"/>
  <c r="G485" i="35"/>
  <c r="F485" i="35"/>
  <c r="A485" i="35"/>
  <c r="J484" i="35"/>
  <c r="I484" i="35"/>
  <c r="H484" i="35"/>
  <c r="G484" i="35"/>
  <c r="F484" i="35"/>
  <c r="A484" i="35"/>
  <c r="J483" i="35"/>
  <c r="I483" i="35"/>
  <c r="H483" i="35"/>
  <c r="G483" i="35"/>
  <c r="F483" i="35"/>
  <c r="A483" i="35"/>
  <c r="J482" i="35"/>
  <c r="I482" i="35"/>
  <c r="H482" i="35"/>
  <c r="G482" i="35"/>
  <c r="F482" i="35"/>
  <c r="A482" i="35"/>
  <c r="J481" i="35"/>
  <c r="I481" i="35"/>
  <c r="H481" i="35"/>
  <c r="G481" i="35"/>
  <c r="F481" i="35"/>
  <c r="A481" i="35"/>
  <c r="J480" i="35"/>
  <c r="I480" i="35"/>
  <c r="H480" i="35"/>
  <c r="G480" i="35"/>
  <c r="F480" i="35"/>
  <c r="A480" i="35"/>
  <c r="J479" i="35"/>
  <c r="I479" i="35"/>
  <c r="H479" i="35"/>
  <c r="G479" i="35"/>
  <c r="F479" i="35"/>
  <c r="A479" i="35"/>
  <c r="J478" i="35"/>
  <c r="I478" i="35"/>
  <c r="H478" i="35"/>
  <c r="G478" i="35"/>
  <c r="F478" i="35"/>
  <c r="A478" i="35"/>
  <c r="J477" i="35"/>
  <c r="I477" i="35"/>
  <c r="H477" i="35"/>
  <c r="G477" i="35"/>
  <c r="F477" i="35"/>
  <c r="A477" i="35"/>
  <c r="J476" i="35"/>
  <c r="I476" i="35"/>
  <c r="H476" i="35"/>
  <c r="G476" i="35"/>
  <c r="F476" i="35"/>
  <c r="A476" i="35"/>
  <c r="J475" i="35"/>
  <c r="I475" i="35"/>
  <c r="H475" i="35"/>
  <c r="G475" i="35"/>
  <c r="F475" i="35"/>
  <c r="A475" i="35"/>
  <c r="J474" i="35"/>
  <c r="I474" i="35"/>
  <c r="H474" i="35"/>
  <c r="G474" i="35"/>
  <c r="F474" i="35"/>
  <c r="A474" i="35"/>
  <c r="J473" i="35"/>
  <c r="I473" i="35"/>
  <c r="H473" i="35"/>
  <c r="G473" i="35"/>
  <c r="F473" i="35"/>
  <c r="A473" i="35"/>
  <c r="J472" i="35"/>
  <c r="I472" i="35"/>
  <c r="H472" i="35"/>
  <c r="G472" i="35"/>
  <c r="F472" i="35"/>
  <c r="A472" i="35"/>
  <c r="J471" i="35"/>
  <c r="I471" i="35"/>
  <c r="H471" i="35"/>
  <c r="G471" i="35"/>
  <c r="F471" i="35"/>
  <c r="A471" i="35"/>
  <c r="J470" i="35"/>
  <c r="I470" i="35"/>
  <c r="H470" i="35"/>
  <c r="G470" i="35"/>
  <c r="F470" i="35"/>
  <c r="A470" i="35"/>
  <c r="J469" i="35"/>
  <c r="I469" i="35"/>
  <c r="H469" i="35"/>
  <c r="G469" i="35"/>
  <c r="F469" i="35"/>
  <c r="A469" i="35"/>
  <c r="J468" i="35"/>
  <c r="I468" i="35"/>
  <c r="H468" i="35"/>
  <c r="G468" i="35"/>
  <c r="F468" i="35"/>
  <c r="A468" i="35"/>
  <c r="J467" i="35"/>
  <c r="I467" i="35"/>
  <c r="H467" i="35"/>
  <c r="G467" i="35"/>
  <c r="F467" i="35"/>
  <c r="A467" i="35"/>
  <c r="J466" i="35"/>
  <c r="I466" i="35"/>
  <c r="H466" i="35"/>
  <c r="G466" i="35"/>
  <c r="F466" i="35"/>
  <c r="A466" i="35"/>
  <c r="J465" i="35"/>
  <c r="I465" i="35"/>
  <c r="H465" i="35"/>
  <c r="G465" i="35"/>
  <c r="F465" i="35"/>
  <c r="A465" i="35"/>
  <c r="J464" i="35"/>
  <c r="I464" i="35"/>
  <c r="H464" i="35"/>
  <c r="G464" i="35"/>
  <c r="F464" i="35"/>
  <c r="A464" i="35"/>
  <c r="J463" i="35"/>
  <c r="I463" i="35"/>
  <c r="H463" i="35"/>
  <c r="G463" i="35"/>
  <c r="F463" i="35"/>
  <c r="A463" i="35"/>
  <c r="J462" i="35"/>
  <c r="I462" i="35"/>
  <c r="H462" i="35"/>
  <c r="G462" i="35"/>
  <c r="F462" i="35"/>
  <c r="A462" i="35"/>
  <c r="J461" i="35"/>
  <c r="I461" i="35"/>
  <c r="H461" i="35"/>
  <c r="G461" i="35"/>
  <c r="F461" i="35"/>
  <c r="A461" i="35"/>
  <c r="J460" i="35"/>
  <c r="I460" i="35"/>
  <c r="H460" i="35"/>
  <c r="G460" i="35"/>
  <c r="F460" i="35"/>
  <c r="A460" i="35"/>
  <c r="J459" i="35"/>
  <c r="I459" i="35"/>
  <c r="H459" i="35"/>
  <c r="G459" i="35"/>
  <c r="F459" i="35"/>
  <c r="A459" i="35"/>
  <c r="J458" i="35"/>
  <c r="I458" i="35"/>
  <c r="H458" i="35"/>
  <c r="G458" i="35"/>
  <c r="F458" i="35"/>
  <c r="A458" i="35"/>
  <c r="J457" i="35"/>
  <c r="I457" i="35"/>
  <c r="H457" i="35"/>
  <c r="G457" i="35"/>
  <c r="F457" i="35"/>
  <c r="A457" i="35"/>
  <c r="J456" i="35"/>
  <c r="I456" i="35"/>
  <c r="H456" i="35"/>
  <c r="G456" i="35"/>
  <c r="F456" i="35"/>
  <c r="A456" i="35"/>
  <c r="J455" i="35"/>
  <c r="I455" i="35"/>
  <c r="H455" i="35"/>
  <c r="G455" i="35"/>
  <c r="F455" i="35"/>
  <c r="A455" i="35"/>
  <c r="J454" i="35"/>
  <c r="I454" i="35"/>
  <c r="H454" i="35"/>
  <c r="G454" i="35"/>
  <c r="F454" i="35"/>
  <c r="A454" i="35"/>
  <c r="J453" i="35"/>
  <c r="I453" i="35"/>
  <c r="H453" i="35"/>
  <c r="G453" i="35"/>
  <c r="F453" i="35"/>
  <c r="A453" i="35"/>
  <c r="J452" i="35"/>
  <c r="I452" i="35"/>
  <c r="H452" i="35"/>
  <c r="G452" i="35"/>
  <c r="F452" i="35"/>
  <c r="A452" i="35"/>
  <c r="J451" i="35"/>
  <c r="I451" i="35"/>
  <c r="H451" i="35"/>
  <c r="G451" i="35"/>
  <c r="F451" i="35"/>
  <c r="A451" i="35"/>
  <c r="J450" i="35"/>
  <c r="I450" i="35"/>
  <c r="H450" i="35"/>
  <c r="G450" i="35"/>
  <c r="F450" i="35"/>
  <c r="A450" i="35"/>
  <c r="J449" i="35"/>
  <c r="I449" i="35"/>
  <c r="H449" i="35"/>
  <c r="G449" i="35"/>
  <c r="F449" i="35"/>
  <c r="A449" i="35"/>
  <c r="J448" i="35"/>
  <c r="I448" i="35"/>
  <c r="H448" i="35"/>
  <c r="G448" i="35"/>
  <c r="F448" i="35"/>
  <c r="A448" i="35"/>
  <c r="J447" i="35"/>
  <c r="I447" i="35"/>
  <c r="H447" i="35"/>
  <c r="G447" i="35"/>
  <c r="F447" i="35"/>
  <c r="A447" i="35"/>
  <c r="J446" i="35"/>
  <c r="I446" i="35"/>
  <c r="H446" i="35"/>
  <c r="G446" i="35"/>
  <c r="F446" i="35"/>
  <c r="A446" i="35"/>
  <c r="J445" i="35"/>
  <c r="I445" i="35"/>
  <c r="H445" i="35"/>
  <c r="G445" i="35"/>
  <c r="F445" i="35"/>
  <c r="A445" i="35"/>
  <c r="J444" i="35"/>
  <c r="I444" i="35"/>
  <c r="H444" i="35"/>
  <c r="G444" i="35"/>
  <c r="F444" i="35"/>
  <c r="A444" i="35"/>
  <c r="J443" i="35"/>
  <c r="I443" i="35"/>
  <c r="H443" i="35"/>
  <c r="G443" i="35"/>
  <c r="F443" i="35"/>
  <c r="A443" i="35"/>
  <c r="J442" i="35"/>
  <c r="I442" i="35"/>
  <c r="H442" i="35"/>
  <c r="G442" i="35"/>
  <c r="F442" i="35"/>
  <c r="A442" i="35"/>
  <c r="J441" i="35"/>
  <c r="I441" i="35"/>
  <c r="H441" i="35"/>
  <c r="G441" i="35"/>
  <c r="F441" i="35"/>
  <c r="A441" i="35"/>
  <c r="J440" i="35"/>
  <c r="I440" i="35"/>
  <c r="H440" i="35"/>
  <c r="G440" i="35"/>
  <c r="F440" i="35"/>
  <c r="A440" i="35"/>
  <c r="J439" i="35"/>
  <c r="I439" i="35"/>
  <c r="H439" i="35"/>
  <c r="G439" i="35"/>
  <c r="F439" i="35"/>
  <c r="A439" i="35"/>
  <c r="J438" i="35"/>
  <c r="I438" i="35"/>
  <c r="H438" i="35"/>
  <c r="G438" i="35"/>
  <c r="F438" i="35"/>
  <c r="A438" i="35"/>
  <c r="J437" i="35"/>
  <c r="I437" i="35"/>
  <c r="H437" i="35"/>
  <c r="G437" i="35"/>
  <c r="F437" i="35"/>
  <c r="A437" i="35"/>
  <c r="J436" i="35"/>
  <c r="I436" i="35"/>
  <c r="H436" i="35"/>
  <c r="G436" i="35"/>
  <c r="F436" i="35"/>
  <c r="A436" i="35"/>
  <c r="J435" i="35"/>
  <c r="I435" i="35"/>
  <c r="H435" i="35"/>
  <c r="G435" i="35"/>
  <c r="F435" i="35"/>
  <c r="A435" i="35"/>
  <c r="J434" i="35"/>
  <c r="I434" i="35"/>
  <c r="H434" i="35"/>
  <c r="G434" i="35"/>
  <c r="F434" i="35"/>
  <c r="A434" i="35"/>
  <c r="A403" i="35"/>
  <c r="A402" i="35"/>
  <c r="A401" i="35"/>
  <c r="A400" i="35"/>
  <c r="A399" i="35"/>
  <c r="A398" i="35"/>
  <c r="A397" i="35"/>
  <c r="A396" i="35"/>
  <c r="A395" i="35"/>
  <c r="A394" i="35"/>
  <c r="A393" i="35"/>
  <c r="A392" i="35"/>
  <c r="A391" i="35"/>
  <c r="A390" i="35"/>
  <c r="A389" i="35"/>
  <c r="A388" i="35"/>
  <c r="A387" i="35"/>
  <c r="A386" i="35"/>
  <c r="A385" i="35"/>
  <c r="A384" i="35"/>
  <c r="A383" i="35"/>
  <c r="A382" i="35"/>
  <c r="A381" i="35"/>
  <c r="A380" i="35"/>
  <c r="A379" i="35"/>
  <c r="A378" i="35"/>
  <c r="A377" i="35"/>
  <c r="A376" i="35"/>
  <c r="A375" i="35"/>
  <c r="A374" i="35"/>
  <c r="A373" i="35"/>
  <c r="A372" i="35"/>
  <c r="A371" i="35"/>
  <c r="A370" i="35"/>
  <c r="A369" i="35"/>
  <c r="A368" i="35"/>
  <c r="A367" i="35"/>
  <c r="A366" i="35"/>
  <c r="A365" i="35"/>
  <c r="A364" i="35"/>
  <c r="A363" i="35"/>
  <c r="A362" i="35"/>
  <c r="A361" i="35"/>
  <c r="A360" i="35"/>
  <c r="A359" i="35"/>
  <c r="A358" i="35"/>
  <c r="A357" i="35"/>
  <c r="A356" i="35"/>
  <c r="A355" i="35"/>
  <c r="A354" i="35"/>
  <c r="A353" i="35"/>
  <c r="A352" i="35"/>
  <c r="A351" i="35"/>
  <c r="A350" i="35"/>
  <c r="A349" i="35"/>
  <c r="A336" i="35"/>
  <c r="A335" i="35"/>
  <c r="A334" i="35"/>
  <c r="A333" i="35"/>
  <c r="A332" i="35"/>
  <c r="A331" i="35"/>
  <c r="A330" i="35"/>
  <c r="A329" i="35"/>
  <c r="A328" i="35"/>
  <c r="A327" i="35"/>
  <c r="A326" i="35"/>
  <c r="A325" i="35"/>
  <c r="A324" i="35"/>
  <c r="A323" i="35"/>
  <c r="A322" i="35"/>
  <c r="A321" i="35"/>
  <c r="A320" i="35"/>
  <c r="A319" i="35"/>
  <c r="A318" i="35"/>
  <c r="A317" i="35"/>
  <c r="A316" i="35"/>
  <c r="A315" i="35"/>
  <c r="A314" i="35"/>
  <c r="A313" i="35"/>
  <c r="A312" i="35"/>
  <c r="A311" i="35"/>
  <c r="A310" i="35"/>
  <c r="A309" i="35"/>
  <c r="A308" i="35"/>
  <c r="A307" i="35"/>
  <c r="A306" i="35"/>
  <c r="A305" i="35"/>
  <c r="A304" i="35"/>
  <c r="A303" i="35"/>
  <c r="A302" i="35"/>
  <c r="A301" i="35"/>
  <c r="A300" i="35"/>
  <c r="A299" i="35"/>
  <c r="A298" i="35"/>
  <c r="A297" i="35"/>
  <c r="A296" i="35"/>
  <c r="A295" i="35"/>
  <c r="A294" i="35"/>
  <c r="A293" i="35"/>
  <c r="A292" i="35"/>
  <c r="A291" i="35"/>
  <c r="A290" i="35"/>
  <c r="A289" i="35"/>
  <c r="A288" i="35"/>
  <c r="A287" i="35"/>
  <c r="A286" i="35"/>
  <c r="A285" i="35"/>
  <c r="A284" i="35"/>
  <c r="A283" i="35"/>
  <c r="A282" i="35"/>
  <c r="W261" i="35"/>
  <c r="W260" i="35"/>
  <c r="W259" i="35"/>
  <c r="W258" i="35"/>
  <c r="W257" i="35"/>
  <c r="W256" i="35"/>
  <c r="W255" i="35"/>
  <c r="W254" i="35"/>
  <c r="A254" i="35"/>
  <c r="W253" i="35"/>
  <c r="A253" i="35"/>
  <c r="W252" i="35"/>
  <c r="A252" i="35"/>
  <c r="W251" i="35"/>
  <c r="A251" i="35"/>
  <c r="W250" i="35"/>
  <c r="A250" i="35"/>
  <c r="W249" i="35"/>
  <c r="A249" i="35"/>
  <c r="W248" i="35"/>
  <c r="A248" i="35"/>
  <c r="W247" i="35"/>
  <c r="A247" i="35"/>
  <c r="W246" i="35"/>
  <c r="A246" i="35"/>
  <c r="W245" i="35"/>
  <c r="A245" i="35"/>
  <c r="W244" i="35"/>
  <c r="A244" i="35"/>
  <c r="W243" i="35"/>
  <c r="A243" i="35"/>
  <c r="W242" i="35"/>
  <c r="A242" i="35"/>
  <c r="W241" i="35"/>
  <c r="A241" i="35"/>
  <c r="W240" i="35"/>
  <c r="A240" i="35"/>
  <c r="W239" i="35"/>
  <c r="A239" i="35"/>
  <c r="W238" i="35"/>
  <c r="A238" i="35"/>
  <c r="W237" i="35"/>
  <c r="A237" i="35"/>
  <c r="W236" i="35"/>
  <c r="A236" i="35"/>
  <c r="W235" i="35"/>
  <c r="A235" i="35"/>
  <c r="W234" i="35"/>
  <c r="A234" i="35"/>
  <c r="W233" i="35"/>
  <c r="A233" i="35"/>
  <c r="W232" i="35"/>
  <c r="A232" i="35"/>
  <c r="W231" i="35"/>
  <c r="A231" i="35"/>
  <c r="W230" i="35"/>
  <c r="A230" i="35"/>
  <c r="W229" i="35"/>
  <c r="A229" i="35"/>
  <c r="W228" i="35"/>
  <c r="A228" i="35"/>
  <c r="W227" i="35"/>
  <c r="A227" i="35"/>
  <c r="W226" i="35"/>
  <c r="A226" i="35"/>
  <c r="W225" i="35"/>
  <c r="A225" i="35"/>
  <c r="W224" i="35"/>
  <c r="A224" i="35"/>
  <c r="W223" i="35"/>
  <c r="A223" i="35"/>
  <c r="W222" i="35"/>
  <c r="A222" i="35"/>
  <c r="W221" i="35"/>
  <c r="A221" i="35"/>
  <c r="W220" i="35"/>
  <c r="A220" i="35"/>
  <c r="W219" i="35"/>
  <c r="A219" i="35"/>
  <c r="W218" i="35"/>
  <c r="A218" i="35"/>
  <c r="W217" i="35"/>
  <c r="A217" i="35"/>
  <c r="W216" i="35"/>
  <c r="A216" i="35"/>
  <c r="W215" i="35"/>
  <c r="A215" i="35"/>
  <c r="W214" i="35"/>
  <c r="A214" i="35"/>
  <c r="W213" i="35"/>
  <c r="A213" i="35"/>
  <c r="W212" i="35"/>
  <c r="A212" i="35"/>
  <c r="W211" i="35"/>
  <c r="A211" i="35"/>
  <c r="W210" i="35"/>
  <c r="A210" i="35"/>
  <c r="W209" i="35"/>
  <c r="A209" i="35"/>
  <c r="W208" i="35"/>
  <c r="A208" i="35"/>
  <c r="W207" i="35"/>
  <c r="A207" i="35"/>
  <c r="W206" i="35"/>
  <c r="A206" i="35"/>
  <c r="W205" i="35"/>
  <c r="A205" i="35"/>
  <c r="W204" i="35"/>
  <c r="A204" i="35"/>
  <c r="W203" i="35"/>
  <c r="A203" i="35"/>
  <c r="W202" i="35"/>
  <c r="A202" i="35"/>
  <c r="W201" i="35"/>
  <c r="A201" i="35"/>
  <c r="W200" i="35"/>
  <c r="A200" i="35"/>
  <c r="B1063" i="33"/>
  <c r="N66" i="38" s="1"/>
  <c r="B1062" i="33"/>
  <c r="N65" i="38" s="1"/>
  <c r="B1061" i="33"/>
  <c r="N64" i="38" s="1"/>
  <c r="B1060" i="33"/>
  <c r="N63" i="38" s="1"/>
  <c r="B1059" i="33"/>
  <c r="N62" i="38" s="1"/>
  <c r="B1058" i="33"/>
  <c r="N61" i="38" s="1"/>
  <c r="B1057" i="33"/>
  <c r="N60" i="38" s="1"/>
  <c r="B1056" i="33"/>
  <c r="N59" i="38" s="1"/>
  <c r="B1055" i="33"/>
  <c r="N58" i="38" s="1"/>
  <c r="B1054" i="33"/>
  <c r="N57" i="38" s="1"/>
  <c r="B1053" i="33"/>
  <c r="N56" i="38" s="1"/>
  <c r="B1052" i="33"/>
  <c r="N55" i="38" s="1"/>
  <c r="B1051" i="33"/>
  <c r="N54" i="38" s="1"/>
  <c r="B1050" i="33"/>
  <c r="N53" i="38" s="1"/>
  <c r="B1049" i="33"/>
  <c r="N52" i="38" s="1"/>
  <c r="B1048" i="33"/>
  <c r="N51" i="38" s="1"/>
  <c r="B1047" i="33"/>
  <c r="N50" i="38" s="1"/>
  <c r="B1046" i="33"/>
  <c r="N49" i="38" s="1"/>
  <c r="B1045" i="33"/>
  <c r="N48" i="38" s="1"/>
  <c r="B1044" i="33"/>
  <c r="N47" i="38" s="1"/>
  <c r="B1043" i="33"/>
  <c r="N46" i="38" s="1"/>
  <c r="B1042" i="33"/>
  <c r="N45" i="38" s="1"/>
  <c r="B1041" i="33"/>
  <c r="N44" i="38" s="1"/>
  <c r="B1040" i="33"/>
  <c r="N43" i="38" s="1"/>
  <c r="B1039" i="33"/>
  <c r="N42" i="38" s="1"/>
  <c r="B1038" i="33"/>
  <c r="N41" i="38" s="1"/>
  <c r="B1037" i="33"/>
  <c r="N40" i="38" s="1"/>
  <c r="B1036" i="33"/>
  <c r="N39" i="38" s="1"/>
  <c r="B1035" i="33"/>
  <c r="N38" i="38" s="1"/>
  <c r="B1034" i="33"/>
  <c r="N37" i="38" s="1"/>
  <c r="B1033" i="33"/>
  <c r="N36" i="38" s="1"/>
  <c r="B1032" i="33"/>
  <c r="N35" i="38" s="1"/>
  <c r="B1031" i="33"/>
  <c r="N34" i="38" s="1"/>
  <c r="B1030" i="33"/>
  <c r="N33" i="38" s="1"/>
  <c r="B1029" i="33"/>
  <c r="N32" i="38" s="1"/>
  <c r="B1028" i="33"/>
  <c r="N31" i="38" s="1"/>
  <c r="B1027" i="33"/>
  <c r="N30" i="38" s="1"/>
  <c r="B1026" i="33"/>
  <c r="N29" i="38" s="1"/>
  <c r="B1025" i="33"/>
  <c r="N28" i="38" s="1"/>
  <c r="B1024" i="33"/>
  <c r="N27" i="38" s="1"/>
  <c r="B1023" i="33"/>
  <c r="N26" i="38" s="1"/>
  <c r="B1022" i="33"/>
  <c r="N25" i="38" s="1"/>
  <c r="B1021" i="33"/>
  <c r="N24" i="38" s="1"/>
  <c r="B1020" i="33"/>
  <c r="N23" i="38" s="1"/>
  <c r="B1019" i="33"/>
  <c r="N22" i="38" s="1"/>
  <c r="B1018" i="33"/>
  <c r="N21" i="38" s="1"/>
  <c r="B1017" i="33"/>
  <c r="N20" i="38" s="1"/>
  <c r="B1016" i="33"/>
  <c r="N19" i="38" s="1"/>
  <c r="B1015" i="33"/>
  <c r="N18" i="38" s="1"/>
  <c r="B1014" i="33"/>
  <c r="N17" i="38" s="1"/>
  <c r="B1013" i="33"/>
  <c r="N16" i="38" s="1"/>
  <c r="B1012" i="33"/>
  <c r="N15" i="38" s="1"/>
  <c r="B1011" i="33"/>
  <c r="N14" i="38" s="1"/>
  <c r="B1010" i="33"/>
  <c r="N13" i="38" s="1"/>
  <c r="B1009" i="33"/>
  <c r="N12" i="38" s="1"/>
  <c r="B1008" i="33"/>
  <c r="N11" i="38" s="1"/>
  <c r="B1007" i="33"/>
  <c r="N10" i="38" s="1"/>
  <c r="B1006" i="33"/>
  <c r="N9" i="38" s="1"/>
  <c r="B1005" i="33"/>
  <c r="N8" i="38" s="1"/>
  <c r="B1004" i="33"/>
  <c r="N7" i="38" s="1"/>
  <c r="B1003" i="33"/>
  <c r="N6" i="38" s="1"/>
  <c r="B1002" i="33"/>
  <c r="D66" i="38"/>
  <c r="D65" i="38"/>
  <c r="D64" i="38"/>
  <c r="D63" i="38"/>
  <c r="D62" i="38"/>
  <c r="D61" i="38"/>
  <c r="D60" i="38"/>
  <c r="D59" i="38"/>
  <c r="D58" i="38"/>
  <c r="D57" i="38"/>
  <c r="D56" i="38"/>
  <c r="D55" i="38"/>
  <c r="D54" i="38"/>
  <c r="D53" i="38"/>
  <c r="D52" i="38"/>
  <c r="D51" i="38"/>
  <c r="D50" i="38"/>
  <c r="D49" i="38"/>
  <c r="D48" i="38"/>
  <c r="D47" i="38"/>
  <c r="D46" i="38"/>
  <c r="D45" i="38"/>
  <c r="D44" i="38"/>
  <c r="D43" i="38"/>
  <c r="D42" i="38"/>
  <c r="D41" i="38"/>
  <c r="D40" i="38"/>
  <c r="D39" i="38"/>
  <c r="D38" i="38"/>
  <c r="D37" i="38"/>
  <c r="D36" i="38"/>
  <c r="D35" i="38"/>
  <c r="D34" i="38"/>
  <c r="D33" i="38"/>
  <c r="D32" i="38"/>
  <c r="D31" i="38"/>
  <c r="D30" i="38"/>
  <c r="D29" i="38"/>
  <c r="D28" i="38"/>
  <c r="D27" i="38"/>
  <c r="D26" i="38"/>
  <c r="D25" i="38"/>
  <c r="D24" i="38"/>
  <c r="D23" i="38"/>
  <c r="D22" i="38"/>
  <c r="D21" i="38"/>
  <c r="D20" i="38"/>
  <c r="D19" i="38"/>
  <c r="D18" i="38"/>
  <c r="D17" i="38"/>
  <c r="D16" i="38"/>
  <c r="D15" i="38"/>
  <c r="D14" i="38"/>
  <c r="D13" i="38"/>
  <c r="D12" i="38"/>
  <c r="D11" i="38"/>
  <c r="D10" i="38"/>
  <c r="D9" i="38"/>
  <c r="D8" i="38"/>
  <c r="D7" i="38"/>
  <c r="D6" i="38"/>
  <c r="D5" i="38"/>
  <c r="N156" i="33"/>
  <c r="J156" i="33"/>
  <c r="N155" i="33"/>
  <c r="J155" i="33"/>
  <c r="N154" i="33"/>
  <c r="J154" i="33"/>
  <c r="N153" i="33"/>
  <c r="J153" i="33"/>
  <c r="N152" i="33"/>
  <c r="J152" i="33"/>
  <c r="N151" i="33"/>
  <c r="J151" i="33"/>
  <c r="N150" i="33"/>
  <c r="J150" i="33"/>
  <c r="N149" i="33"/>
  <c r="J149" i="33"/>
  <c r="N148" i="33"/>
  <c r="J148" i="33"/>
  <c r="N147" i="33"/>
  <c r="J147" i="33"/>
  <c r="N146" i="33"/>
  <c r="J146" i="33"/>
  <c r="N145" i="33"/>
  <c r="J145" i="33"/>
  <c r="N144" i="33"/>
  <c r="J144" i="33"/>
  <c r="N143" i="33"/>
  <c r="J143" i="33"/>
  <c r="N142" i="33"/>
  <c r="J142" i="33"/>
  <c r="N141" i="33"/>
  <c r="J141" i="33"/>
  <c r="N140" i="33"/>
  <c r="J140" i="33"/>
  <c r="N139" i="33"/>
  <c r="J139" i="33"/>
  <c r="N138" i="33"/>
  <c r="J138" i="33"/>
  <c r="N137" i="33"/>
  <c r="J137" i="33"/>
  <c r="N136" i="33"/>
  <c r="J136" i="33"/>
  <c r="N135" i="33"/>
  <c r="J135" i="33"/>
  <c r="N134" i="33"/>
  <c r="J134" i="33"/>
  <c r="N133" i="33"/>
  <c r="J133" i="33"/>
  <c r="N132" i="33"/>
  <c r="J132" i="33"/>
  <c r="N131" i="33"/>
  <c r="J131" i="33"/>
  <c r="N130" i="33"/>
  <c r="J130" i="33"/>
  <c r="N129" i="33"/>
  <c r="J129" i="33"/>
  <c r="N128" i="33"/>
  <c r="J128" i="33"/>
  <c r="N127" i="33"/>
  <c r="J127" i="33"/>
  <c r="N126" i="33"/>
  <c r="J126" i="33"/>
  <c r="N125" i="33"/>
  <c r="J125" i="33"/>
  <c r="N124" i="33"/>
  <c r="J124" i="33"/>
  <c r="N123" i="33"/>
  <c r="J123" i="33"/>
  <c r="N122" i="33"/>
  <c r="J122" i="33"/>
  <c r="N121" i="33"/>
  <c r="J121" i="33"/>
  <c r="N120" i="33"/>
  <c r="J120" i="33"/>
  <c r="N119" i="33"/>
  <c r="J119" i="33"/>
  <c r="N118" i="33"/>
  <c r="J118" i="33"/>
  <c r="N117" i="33"/>
  <c r="J117" i="33"/>
  <c r="N116" i="33"/>
  <c r="J116" i="33"/>
  <c r="N115" i="33"/>
  <c r="J115" i="33"/>
  <c r="N114" i="33"/>
  <c r="J114" i="33"/>
  <c r="N113" i="33"/>
  <c r="J113" i="33"/>
  <c r="N112" i="33"/>
  <c r="J112" i="33"/>
  <c r="N111" i="33"/>
  <c r="J111" i="33"/>
  <c r="N110" i="33"/>
  <c r="J110" i="33"/>
  <c r="N109" i="33"/>
  <c r="J109" i="33"/>
  <c r="N108" i="33"/>
  <c r="J108" i="33"/>
  <c r="N107" i="33"/>
  <c r="J107" i="33"/>
  <c r="N106" i="33"/>
  <c r="J106" i="33"/>
  <c r="N105" i="33"/>
  <c r="J105" i="33"/>
  <c r="N104" i="33"/>
  <c r="J104" i="33"/>
  <c r="N103" i="33"/>
  <c r="J103" i="33"/>
  <c r="N102" i="33"/>
  <c r="J102" i="33"/>
  <c r="N101" i="33"/>
  <c r="J101" i="33"/>
  <c r="N100" i="33"/>
  <c r="J100" i="33"/>
  <c r="N99" i="33"/>
  <c r="J99" i="33"/>
  <c r="N98" i="33"/>
  <c r="J98" i="33"/>
  <c r="N97" i="33"/>
  <c r="J97" i="33"/>
  <c r="N96" i="33"/>
  <c r="J96" i="33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K368" i="31"/>
  <c r="J368" i="31"/>
  <c r="I368" i="31"/>
  <c r="H368" i="31"/>
  <c r="G368" i="31"/>
  <c r="F368" i="31"/>
  <c r="E368" i="31"/>
  <c r="K239" i="31"/>
  <c r="J239" i="31"/>
  <c r="I239" i="31"/>
  <c r="G201" i="32" s="1"/>
  <c r="H239" i="31"/>
  <c r="F201" i="32" s="1"/>
  <c r="G239" i="31"/>
  <c r="E201" i="32" s="1"/>
  <c r="F239" i="31"/>
  <c r="D201" i="32" s="1"/>
  <c r="E239" i="31"/>
  <c r="C201" i="32" s="1"/>
  <c r="K110" i="31"/>
  <c r="F289" i="27" s="1"/>
  <c r="J110" i="31"/>
  <c r="G289" i="27" s="1"/>
  <c r="I110" i="31"/>
  <c r="E289" i="27" s="1"/>
  <c r="H110" i="31"/>
  <c r="D289" i="27" s="1"/>
  <c r="G110" i="31"/>
  <c r="F110" i="31"/>
  <c r="C343" i="35" s="1"/>
  <c r="E110" i="31"/>
  <c r="K367" i="31"/>
  <c r="J367" i="31"/>
  <c r="I367" i="31"/>
  <c r="H367" i="31"/>
  <c r="G367" i="31"/>
  <c r="F367" i="31"/>
  <c r="E367" i="31"/>
  <c r="K238" i="31"/>
  <c r="J238" i="31"/>
  <c r="I238" i="31"/>
  <c r="G200" i="32" s="1"/>
  <c r="H238" i="31"/>
  <c r="F200" i="32" s="1"/>
  <c r="G238" i="31"/>
  <c r="E200" i="32" s="1"/>
  <c r="F238" i="31"/>
  <c r="D200" i="32" s="1"/>
  <c r="E238" i="31"/>
  <c r="C200" i="32" s="1"/>
  <c r="K109" i="31"/>
  <c r="F288" i="27" s="1"/>
  <c r="J109" i="31"/>
  <c r="G288" i="27" s="1"/>
  <c r="I109" i="31"/>
  <c r="E288" i="27" s="1"/>
  <c r="H109" i="31"/>
  <c r="D288" i="27" s="1"/>
  <c r="G109" i="31"/>
  <c r="F109" i="31"/>
  <c r="C342" i="35" s="1"/>
  <c r="E109" i="31"/>
  <c r="K366" i="31"/>
  <c r="J366" i="31"/>
  <c r="I366" i="31"/>
  <c r="H366" i="31"/>
  <c r="G366" i="31"/>
  <c r="F366" i="31"/>
  <c r="E366" i="31"/>
  <c r="K237" i="31"/>
  <c r="J237" i="31"/>
  <c r="I237" i="31"/>
  <c r="G199" i="32" s="1"/>
  <c r="H237" i="31"/>
  <c r="F199" i="32" s="1"/>
  <c r="G237" i="31"/>
  <c r="E199" i="32" s="1"/>
  <c r="F237" i="31"/>
  <c r="D199" i="32" s="1"/>
  <c r="E237" i="31"/>
  <c r="C199" i="32" s="1"/>
  <c r="K108" i="31"/>
  <c r="F287" i="27" s="1"/>
  <c r="J108" i="31"/>
  <c r="G287" i="27" s="1"/>
  <c r="I108" i="31"/>
  <c r="E287" i="27" s="1"/>
  <c r="H108" i="31"/>
  <c r="D287" i="27" s="1"/>
  <c r="G108" i="31"/>
  <c r="F108" i="31"/>
  <c r="C341" i="35" s="1"/>
  <c r="E108" i="31"/>
  <c r="K365" i="31"/>
  <c r="J365" i="31"/>
  <c r="I365" i="31"/>
  <c r="H365" i="31"/>
  <c r="G365" i="31"/>
  <c r="F365" i="31"/>
  <c r="E365" i="31"/>
  <c r="K236" i="31"/>
  <c r="J236" i="31"/>
  <c r="I236" i="31"/>
  <c r="G198" i="32" s="1"/>
  <c r="H236" i="31"/>
  <c r="F198" i="32" s="1"/>
  <c r="G236" i="31"/>
  <c r="E198" i="32" s="1"/>
  <c r="F236" i="31"/>
  <c r="D198" i="32" s="1"/>
  <c r="E236" i="31"/>
  <c r="C198" i="32" s="1"/>
  <c r="K107" i="31"/>
  <c r="F286" i="27" s="1"/>
  <c r="J107" i="31"/>
  <c r="G286" i="27" s="1"/>
  <c r="I107" i="31"/>
  <c r="E286" i="27" s="1"/>
  <c r="H107" i="31"/>
  <c r="D286" i="27" s="1"/>
  <c r="G107" i="31"/>
  <c r="F107" i="31"/>
  <c r="C340" i="35" s="1"/>
  <c r="E107" i="31"/>
  <c r="K364" i="31"/>
  <c r="J364" i="31"/>
  <c r="I364" i="31"/>
  <c r="H364" i="31"/>
  <c r="G364" i="31"/>
  <c r="F364" i="31"/>
  <c r="E364" i="31"/>
  <c r="K235" i="31"/>
  <c r="J235" i="31"/>
  <c r="I235" i="31"/>
  <c r="G197" i="32" s="1"/>
  <c r="H235" i="31"/>
  <c r="F197" i="32" s="1"/>
  <c r="G235" i="31"/>
  <c r="E197" i="32" s="1"/>
  <c r="F235" i="31"/>
  <c r="D197" i="32" s="1"/>
  <c r="E235" i="31"/>
  <c r="C197" i="32" s="1"/>
  <c r="K106" i="31"/>
  <c r="F285" i="27" s="1"/>
  <c r="J106" i="31"/>
  <c r="G285" i="27" s="1"/>
  <c r="I106" i="31"/>
  <c r="E285" i="27" s="1"/>
  <c r="H106" i="31"/>
  <c r="D285" i="27" s="1"/>
  <c r="G106" i="31"/>
  <c r="F106" i="31"/>
  <c r="C339" i="35" s="1"/>
  <c r="E106" i="31"/>
  <c r="K363" i="31"/>
  <c r="J363" i="31"/>
  <c r="I363" i="31"/>
  <c r="H363" i="31"/>
  <c r="G363" i="31"/>
  <c r="F363" i="31"/>
  <c r="E363" i="31"/>
  <c r="K234" i="31"/>
  <c r="J234" i="31"/>
  <c r="I234" i="31"/>
  <c r="G196" i="32" s="1"/>
  <c r="H234" i="31"/>
  <c r="F196" i="32" s="1"/>
  <c r="G234" i="31"/>
  <c r="E196" i="32" s="1"/>
  <c r="F234" i="31"/>
  <c r="D196" i="32" s="1"/>
  <c r="E234" i="31"/>
  <c r="C196" i="32" s="1"/>
  <c r="K105" i="31"/>
  <c r="F284" i="27" s="1"/>
  <c r="J105" i="31"/>
  <c r="G284" i="27" s="1"/>
  <c r="I105" i="31"/>
  <c r="E284" i="27" s="1"/>
  <c r="H105" i="31"/>
  <c r="D284" i="27" s="1"/>
  <c r="G105" i="31"/>
  <c r="F105" i="31"/>
  <c r="C338" i="35" s="1"/>
  <c r="E105" i="31"/>
  <c r="K362" i="31"/>
  <c r="J362" i="31"/>
  <c r="I362" i="31"/>
  <c r="H362" i="31"/>
  <c r="G362" i="31"/>
  <c r="F362" i="31"/>
  <c r="E362" i="31"/>
  <c r="K233" i="31"/>
  <c r="J233" i="31"/>
  <c r="I233" i="31"/>
  <c r="G195" i="32" s="1"/>
  <c r="H233" i="31"/>
  <c r="F195" i="32" s="1"/>
  <c r="G233" i="31"/>
  <c r="E195" i="32" s="1"/>
  <c r="F233" i="31"/>
  <c r="D195" i="32" s="1"/>
  <c r="E233" i="31"/>
  <c r="C195" i="32" s="1"/>
  <c r="J195" i="32" s="1"/>
  <c r="K104" i="31"/>
  <c r="F283" i="27" s="1"/>
  <c r="J104" i="31"/>
  <c r="G283" i="27" s="1"/>
  <c r="I104" i="31"/>
  <c r="E283" i="27" s="1"/>
  <c r="H104" i="31"/>
  <c r="D283" i="27" s="1"/>
  <c r="G104" i="31"/>
  <c r="F104" i="31"/>
  <c r="C337" i="35" s="1"/>
  <c r="E104" i="31"/>
  <c r="K361" i="31"/>
  <c r="J361" i="31"/>
  <c r="I361" i="31"/>
  <c r="H361" i="31"/>
  <c r="G361" i="31"/>
  <c r="F361" i="31"/>
  <c r="E361" i="31"/>
  <c r="K232" i="31"/>
  <c r="J232" i="31"/>
  <c r="I232" i="31"/>
  <c r="G194" i="32" s="1"/>
  <c r="H232" i="31"/>
  <c r="F194" i="32" s="1"/>
  <c r="G232" i="31"/>
  <c r="E194" i="32" s="1"/>
  <c r="F232" i="31"/>
  <c r="D194" i="32" s="1"/>
  <c r="E232" i="31"/>
  <c r="C194" i="32" s="1"/>
  <c r="K103" i="31"/>
  <c r="F282" i="27" s="1"/>
  <c r="J103" i="31"/>
  <c r="G282" i="27" s="1"/>
  <c r="I103" i="31"/>
  <c r="E282" i="27" s="1"/>
  <c r="H103" i="31"/>
  <c r="D282" i="27" s="1"/>
  <c r="G103" i="31"/>
  <c r="F103" i="31"/>
  <c r="C336" i="35" s="1"/>
  <c r="E103" i="31"/>
  <c r="D103" i="31"/>
  <c r="K360" i="31"/>
  <c r="J360" i="31"/>
  <c r="I360" i="31"/>
  <c r="H360" i="31"/>
  <c r="G360" i="31"/>
  <c r="F360" i="31"/>
  <c r="E360" i="31"/>
  <c r="K231" i="31"/>
  <c r="J231" i="31"/>
  <c r="I231" i="31"/>
  <c r="G193" i="32" s="1"/>
  <c r="H231" i="31"/>
  <c r="F193" i="32" s="1"/>
  <c r="G231" i="31"/>
  <c r="E193" i="32" s="1"/>
  <c r="F231" i="31"/>
  <c r="D193" i="32" s="1"/>
  <c r="E231" i="31"/>
  <c r="C193" i="32" s="1"/>
  <c r="K102" i="31"/>
  <c r="F281" i="27" s="1"/>
  <c r="J102" i="31"/>
  <c r="G281" i="27" s="1"/>
  <c r="I102" i="31"/>
  <c r="E281" i="27" s="1"/>
  <c r="H102" i="31"/>
  <c r="D281" i="27" s="1"/>
  <c r="G102" i="31"/>
  <c r="F102" i="31"/>
  <c r="C335" i="35" s="1"/>
  <c r="E102" i="31"/>
  <c r="D102" i="31"/>
  <c r="K359" i="31"/>
  <c r="J359" i="31"/>
  <c r="I359" i="31"/>
  <c r="H359" i="31"/>
  <c r="G359" i="31"/>
  <c r="F359" i="31"/>
  <c r="E359" i="31"/>
  <c r="K230" i="31"/>
  <c r="J230" i="31"/>
  <c r="I230" i="31"/>
  <c r="G192" i="32" s="1"/>
  <c r="H230" i="31"/>
  <c r="F192" i="32" s="1"/>
  <c r="G230" i="31"/>
  <c r="E192" i="32" s="1"/>
  <c r="F230" i="31"/>
  <c r="D192" i="32" s="1"/>
  <c r="E230" i="31"/>
  <c r="C192" i="32" s="1"/>
  <c r="K101" i="31"/>
  <c r="F280" i="27" s="1"/>
  <c r="J101" i="31"/>
  <c r="G280" i="27" s="1"/>
  <c r="I101" i="31"/>
  <c r="E280" i="27" s="1"/>
  <c r="H101" i="31"/>
  <c r="D280" i="27" s="1"/>
  <c r="G101" i="31"/>
  <c r="F101" i="31"/>
  <c r="C334" i="35" s="1"/>
  <c r="E101" i="31"/>
  <c r="D101" i="31"/>
  <c r="K358" i="31"/>
  <c r="J358" i="31"/>
  <c r="I358" i="31"/>
  <c r="H358" i="31"/>
  <c r="G358" i="31"/>
  <c r="F358" i="31"/>
  <c r="E358" i="31"/>
  <c r="K229" i="31"/>
  <c r="J229" i="31"/>
  <c r="I229" i="31"/>
  <c r="G191" i="32" s="1"/>
  <c r="H229" i="31"/>
  <c r="F191" i="32" s="1"/>
  <c r="G229" i="31"/>
  <c r="E191" i="32" s="1"/>
  <c r="F229" i="31"/>
  <c r="D191" i="32" s="1"/>
  <c r="E229" i="31"/>
  <c r="C191" i="32" s="1"/>
  <c r="K100" i="31"/>
  <c r="F279" i="27" s="1"/>
  <c r="J100" i="31"/>
  <c r="G279" i="27" s="1"/>
  <c r="I100" i="31"/>
  <c r="E279" i="27" s="1"/>
  <c r="H100" i="31"/>
  <c r="D279" i="27" s="1"/>
  <c r="G100" i="31"/>
  <c r="F100" i="31"/>
  <c r="C333" i="35" s="1"/>
  <c r="E100" i="31"/>
  <c r="D100" i="31"/>
  <c r="K357" i="31"/>
  <c r="J357" i="31"/>
  <c r="I357" i="31"/>
  <c r="H357" i="31"/>
  <c r="G357" i="31"/>
  <c r="F357" i="31"/>
  <c r="E357" i="31"/>
  <c r="K228" i="31"/>
  <c r="J228" i="31"/>
  <c r="I228" i="31"/>
  <c r="G190" i="32" s="1"/>
  <c r="H228" i="31"/>
  <c r="F190" i="32" s="1"/>
  <c r="G228" i="31"/>
  <c r="E190" i="32" s="1"/>
  <c r="F228" i="31"/>
  <c r="D190" i="32" s="1"/>
  <c r="E228" i="31"/>
  <c r="C190" i="32" s="1"/>
  <c r="K99" i="31"/>
  <c r="F278" i="27" s="1"/>
  <c r="J99" i="31"/>
  <c r="G278" i="27" s="1"/>
  <c r="I99" i="31"/>
  <c r="E278" i="27" s="1"/>
  <c r="H99" i="31"/>
  <c r="D278" i="27" s="1"/>
  <c r="G99" i="31"/>
  <c r="F99" i="31"/>
  <c r="C332" i="35" s="1"/>
  <c r="E99" i="31"/>
  <c r="D99" i="31"/>
  <c r="K356" i="31"/>
  <c r="J356" i="31"/>
  <c r="I356" i="31"/>
  <c r="H356" i="31"/>
  <c r="G356" i="31"/>
  <c r="F356" i="31"/>
  <c r="E356" i="31"/>
  <c r="K227" i="31"/>
  <c r="J227" i="31"/>
  <c r="I227" i="31"/>
  <c r="G189" i="32" s="1"/>
  <c r="H227" i="31"/>
  <c r="F189" i="32" s="1"/>
  <c r="G227" i="31"/>
  <c r="E189" i="32" s="1"/>
  <c r="F227" i="31"/>
  <c r="D189" i="32" s="1"/>
  <c r="E227" i="31"/>
  <c r="C189" i="32" s="1"/>
  <c r="K98" i="31"/>
  <c r="F277" i="27" s="1"/>
  <c r="J98" i="31"/>
  <c r="G277" i="27" s="1"/>
  <c r="I98" i="31"/>
  <c r="E277" i="27" s="1"/>
  <c r="H98" i="31"/>
  <c r="D277" i="27" s="1"/>
  <c r="G98" i="31"/>
  <c r="F98" i="31"/>
  <c r="C331" i="35" s="1"/>
  <c r="E98" i="31"/>
  <c r="D98" i="31"/>
  <c r="K355" i="31"/>
  <c r="J355" i="31"/>
  <c r="I355" i="31"/>
  <c r="H355" i="31"/>
  <c r="G355" i="31"/>
  <c r="F355" i="31"/>
  <c r="E355" i="31"/>
  <c r="K226" i="31"/>
  <c r="J226" i="31"/>
  <c r="I226" i="31"/>
  <c r="G188" i="32" s="1"/>
  <c r="H226" i="31"/>
  <c r="F188" i="32" s="1"/>
  <c r="G226" i="31"/>
  <c r="E188" i="32" s="1"/>
  <c r="F226" i="31"/>
  <c r="D188" i="32" s="1"/>
  <c r="E226" i="31"/>
  <c r="C188" i="32" s="1"/>
  <c r="K97" i="31"/>
  <c r="F276" i="27" s="1"/>
  <c r="J97" i="31"/>
  <c r="G276" i="27" s="1"/>
  <c r="I97" i="31"/>
  <c r="E276" i="27" s="1"/>
  <c r="H97" i="31"/>
  <c r="D276" i="27" s="1"/>
  <c r="G97" i="31"/>
  <c r="F97" i="31"/>
  <c r="C330" i="35" s="1"/>
  <c r="E97" i="31"/>
  <c r="D97" i="31"/>
  <c r="K354" i="31"/>
  <c r="J354" i="31"/>
  <c r="I354" i="31"/>
  <c r="H354" i="31"/>
  <c r="G354" i="31"/>
  <c r="F354" i="31"/>
  <c r="E354" i="31"/>
  <c r="K225" i="31"/>
  <c r="J225" i="31"/>
  <c r="I225" i="31"/>
  <c r="G187" i="32" s="1"/>
  <c r="H225" i="31"/>
  <c r="F187" i="32" s="1"/>
  <c r="G225" i="31"/>
  <c r="E187" i="32" s="1"/>
  <c r="F225" i="31"/>
  <c r="D187" i="32" s="1"/>
  <c r="E225" i="31"/>
  <c r="C187" i="32" s="1"/>
  <c r="K96" i="31"/>
  <c r="F275" i="27" s="1"/>
  <c r="J96" i="31"/>
  <c r="G275" i="27" s="1"/>
  <c r="I96" i="31"/>
  <c r="E275" i="27" s="1"/>
  <c r="H96" i="31"/>
  <c r="D275" i="27" s="1"/>
  <c r="G96" i="31"/>
  <c r="F96" i="31"/>
  <c r="C329" i="35" s="1"/>
  <c r="E96" i="31"/>
  <c r="D96" i="31"/>
  <c r="K353" i="31"/>
  <c r="J353" i="31"/>
  <c r="I353" i="31"/>
  <c r="H353" i="31"/>
  <c r="G353" i="31"/>
  <c r="F353" i="31"/>
  <c r="E353" i="31"/>
  <c r="K224" i="31"/>
  <c r="J224" i="31"/>
  <c r="I224" i="31"/>
  <c r="G186" i="32" s="1"/>
  <c r="H224" i="31"/>
  <c r="F186" i="32" s="1"/>
  <c r="G224" i="31"/>
  <c r="E186" i="32" s="1"/>
  <c r="F224" i="31"/>
  <c r="D186" i="32" s="1"/>
  <c r="E224" i="31"/>
  <c r="C186" i="32" s="1"/>
  <c r="K95" i="31"/>
  <c r="F274" i="27" s="1"/>
  <c r="J95" i="31"/>
  <c r="G274" i="27" s="1"/>
  <c r="I95" i="31"/>
  <c r="E274" i="27" s="1"/>
  <c r="H95" i="31"/>
  <c r="D274" i="27" s="1"/>
  <c r="G95" i="31"/>
  <c r="F95" i="31"/>
  <c r="C328" i="35" s="1"/>
  <c r="E95" i="31"/>
  <c r="D95" i="31"/>
  <c r="K352" i="31"/>
  <c r="J352" i="31"/>
  <c r="I352" i="31"/>
  <c r="H352" i="31"/>
  <c r="G352" i="31"/>
  <c r="F352" i="31"/>
  <c r="E352" i="31"/>
  <c r="K223" i="31"/>
  <c r="J223" i="31"/>
  <c r="I223" i="31"/>
  <c r="G185" i="32" s="1"/>
  <c r="H223" i="31"/>
  <c r="F185" i="32" s="1"/>
  <c r="G223" i="31"/>
  <c r="E185" i="32" s="1"/>
  <c r="F223" i="31"/>
  <c r="D185" i="32" s="1"/>
  <c r="E223" i="31"/>
  <c r="C185" i="32" s="1"/>
  <c r="K94" i="31"/>
  <c r="F273" i="27" s="1"/>
  <c r="J94" i="31"/>
  <c r="G273" i="27" s="1"/>
  <c r="I94" i="31"/>
  <c r="E273" i="27" s="1"/>
  <c r="H94" i="31"/>
  <c r="D273" i="27" s="1"/>
  <c r="G94" i="31"/>
  <c r="F94" i="31"/>
  <c r="C327" i="35" s="1"/>
  <c r="E94" i="31"/>
  <c r="D94" i="31"/>
  <c r="K351" i="31"/>
  <c r="J351" i="31"/>
  <c r="I351" i="31"/>
  <c r="H351" i="31"/>
  <c r="G351" i="31"/>
  <c r="F351" i="31"/>
  <c r="E351" i="31"/>
  <c r="K222" i="31"/>
  <c r="J222" i="31"/>
  <c r="I222" i="31"/>
  <c r="G184" i="32" s="1"/>
  <c r="H222" i="31"/>
  <c r="F184" i="32" s="1"/>
  <c r="G222" i="31"/>
  <c r="E184" i="32" s="1"/>
  <c r="F222" i="31"/>
  <c r="D184" i="32" s="1"/>
  <c r="E222" i="31"/>
  <c r="C184" i="32" s="1"/>
  <c r="K93" i="31"/>
  <c r="F272" i="27" s="1"/>
  <c r="J93" i="31"/>
  <c r="G272" i="27" s="1"/>
  <c r="I93" i="31"/>
  <c r="E272" i="27" s="1"/>
  <c r="H93" i="31"/>
  <c r="D272" i="27" s="1"/>
  <c r="G93" i="31"/>
  <c r="F93" i="31"/>
  <c r="C326" i="35" s="1"/>
  <c r="E93" i="31"/>
  <c r="D93" i="31"/>
  <c r="K350" i="31"/>
  <c r="J350" i="31"/>
  <c r="I350" i="31"/>
  <c r="H350" i="31"/>
  <c r="G350" i="31"/>
  <c r="F350" i="31"/>
  <c r="E350" i="31"/>
  <c r="K221" i="31"/>
  <c r="J221" i="31"/>
  <c r="I221" i="31"/>
  <c r="G183" i="32" s="1"/>
  <c r="H221" i="31"/>
  <c r="F183" i="32" s="1"/>
  <c r="G221" i="31"/>
  <c r="E183" i="32" s="1"/>
  <c r="F221" i="31"/>
  <c r="D183" i="32" s="1"/>
  <c r="E221" i="31"/>
  <c r="C183" i="32" s="1"/>
  <c r="K92" i="31"/>
  <c r="F271" i="27" s="1"/>
  <c r="J92" i="31"/>
  <c r="G271" i="27" s="1"/>
  <c r="I92" i="31"/>
  <c r="E271" i="27" s="1"/>
  <c r="H92" i="31"/>
  <c r="D271" i="27" s="1"/>
  <c r="G92" i="31"/>
  <c r="F92" i="31"/>
  <c r="C325" i="35" s="1"/>
  <c r="E92" i="31"/>
  <c r="D92" i="31"/>
  <c r="K349" i="31"/>
  <c r="J349" i="31"/>
  <c r="I349" i="31"/>
  <c r="H349" i="31"/>
  <c r="G349" i="31"/>
  <c r="F349" i="31"/>
  <c r="E349" i="31"/>
  <c r="K220" i="31"/>
  <c r="J220" i="31"/>
  <c r="I220" i="31"/>
  <c r="G182" i="32" s="1"/>
  <c r="H220" i="31"/>
  <c r="F182" i="32" s="1"/>
  <c r="G220" i="31"/>
  <c r="E182" i="32" s="1"/>
  <c r="F220" i="31"/>
  <c r="D182" i="32" s="1"/>
  <c r="E220" i="31"/>
  <c r="C182" i="32" s="1"/>
  <c r="K91" i="31"/>
  <c r="F270" i="27" s="1"/>
  <c r="J91" i="31"/>
  <c r="G270" i="27" s="1"/>
  <c r="I91" i="31"/>
  <c r="E270" i="27" s="1"/>
  <c r="H91" i="31"/>
  <c r="D270" i="27" s="1"/>
  <c r="G91" i="31"/>
  <c r="F91" i="31"/>
  <c r="C324" i="35" s="1"/>
  <c r="E91" i="31"/>
  <c r="D91" i="31"/>
  <c r="K348" i="31"/>
  <c r="J348" i="31"/>
  <c r="I348" i="31"/>
  <c r="H348" i="31"/>
  <c r="G348" i="31"/>
  <c r="F348" i="31"/>
  <c r="E348" i="31"/>
  <c r="K219" i="31"/>
  <c r="J219" i="31"/>
  <c r="I219" i="31"/>
  <c r="G181" i="32" s="1"/>
  <c r="H219" i="31"/>
  <c r="F181" i="32" s="1"/>
  <c r="G219" i="31"/>
  <c r="E181" i="32" s="1"/>
  <c r="F219" i="31"/>
  <c r="D181" i="32" s="1"/>
  <c r="E219" i="31"/>
  <c r="C181" i="32" s="1"/>
  <c r="K90" i="31"/>
  <c r="F269" i="27" s="1"/>
  <c r="J90" i="31"/>
  <c r="G269" i="27" s="1"/>
  <c r="I90" i="31"/>
  <c r="E269" i="27" s="1"/>
  <c r="H90" i="31"/>
  <c r="D269" i="27" s="1"/>
  <c r="G90" i="31"/>
  <c r="F90" i="31"/>
  <c r="C323" i="35" s="1"/>
  <c r="E90" i="31"/>
  <c r="D90" i="31"/>
  <c r="K347" i="31"/>
  <c r="J347" i="31"/>
  <c r="I347" i="31"/>
  <c r="H347" i="31"/>
  <c r="G347" i="31"/>
  <c r="F347" i="31"/>
  <c r="E347" i="31"/>
  <c r="K218" i="31"/>
  <c r="J218" i="31"/>
  <c r="I218" i="31"/>
  <c r="G180" i="32" s="1"/>
  <c r="H218" i="31"/>
  <c r="F180" i="32" s="1"/>
  <c r="G218" i="31"/>
  <c r="E180" i="32" s="1"/>
  <c r="F218" i="31"/>
  <c r="D180" i="32" s="1"/>
  <c r="E218" i="31"/>
  <c r="C180" i="32" s="1"/>
  <c r="K89" i="31"/>
  <c r="F268" i="27" s="1"/>
  <c r="J89" i="31"/>
  <c r="G268" i="27" s="1"/>
  <c r="I89" i="31"/>
  <c r="E268" i="27" s="1"/>
  <c r="H89" i="31"/>
  <c r="D268" i="27" s="1"/>
  <c r="G89" i="31"/>
  <c r="F89" i="31"/>
  <c r="C322" i="35" s="1"/>
  <c r="E89" i="31"/>
  <c r="D89" i="31"/>
  <c r="K346" i="31"/>
  <c r="J346" i="31"/>
  <c r="I346" i="31"/>
  <c r="H346" i="31"/>
  <c r="G346" i="31"/>
  <c r="F346" i="31"/>
  <c r="E346" i="31"/>
  <c r="K217" i="31"/>
  <c r="J217" i="31"/>
  <c r="I217" i="31"/>
  <c r="G179" i="32" s="1"/>
  <c r="H217" i="31"/>
  <c r="F179" i="32" s="1"/>
  <c r="G217" i="31"/>
  <c r="E179" i="32" s="1"/>
  <c r="F217" i="31"/>
  <c r="D179" i="32" s="1"/>
  <c r="E217" i="31"/>
  <c r="C179" i="32" s="1"/>
  <c r="K88" i="31"/>
  <c r="F267" i="27" s="1"/>
  <c r="J88" i="31"/>
  <c r="G267" i="27" s="1"/>
  <c r="I88" i="31"/>
  <c r="E267" i="27" s="1"/>
  <c r="H88" i="31"/>
  <c r="D267" i="27" s="1"/>
  <c r="G88" i="31"/>
  <c r="F88" i="31"/>
  <c r="C321" i="35" s="1"/>
  <c r="E88" i="31"/>
  <c r="D88" i="31"/>
  <c r="K345" i="31"/>
  <c r="J345" i="31"/>
  <c r="I345" i="31"/>
  <c r="H345" i="31"/>
  <c r="G345" i="31"/>
  <c r="F345" i="31"/>
  <c r="E345" i="31"/>
  <c r="K216" i="31"/>
  <c r="J216" i="31"/>
  <c r="I216" i="31"/>
  <c r="G178" i="32" s="1"/>
  <c r="H216" i="31"/>
  <c r="F178" i="32" s="1"/>
  <c r="G216" i="31"/>
  <c r="E178" i="32" s="1"/>
  <c r="F216" i="31"/>
  <c r="D178" i="32" s="1"/>
  <c r="E216" i="31"/>
  <c r="C178" i="32" s="1"/>
  <c r="K87" i="31"/>
  <c r="F266" i="27" s="1"/>
  <c r="J87" i="31"/>
  <c r="G266" i="27" s="1"/>
  <c r="I87" i="31"/>
  <c r="E266" i="27" s="1"/>
  <c r="H87" i="31"/>
  <c r="D266" i="27" s="1"/>
  <c r="G87" i="31"/>
  <c r="F87" i="31"/>
  <c r="C320" i="35" s="1"/>
  <c r="E87" i="31"/>
  <c r="D87" i="31"/>
  <c r="K344" i="31"/>
  <c r="J344" i="31"/>
  <c r="I344" i="31"/>
  <c r="H344" i="31"/>
  <c r="G344" i="31"/>
  <c r="F344" i="31"/>
  <c r="E344" i="31"/>
  <c r="K215" i="31"/>
  <c r="J215" i="31"/>
  <c r="I215" i="31"/>
  <c r="G177" i="32" s="1"/>
  <c r="H215" i="31"/>
  <c r="F177" i="32" s="1"/>
  <c r="G215" i="31"/>
  <c r="E177" i="32" s="1"/>
  <c r="F215" i="31"/>
  <c r="D177" i="32" s="1"/>
  <c r="E215" i="31"/>
  <c r="C177" i="32" s="1"/>
  <c r="K86" i="31"/>
  <c r="F265" i="27" s="1"/>
  <c r="J86" i="31"/>
  <c r="G265" i="27" s="1"/>
  <c r="I86" i="31"/>
  <c r="E265" i="27" s="1"/>
  <c r="H86" i="31"/>
  <c r="D265" i="27" s="1"/>
  <c r="G86" i="31"/>
  <c r="F86" i="31"/>
  <c r="C319" i="35" s="1"/>
  <c r="E86" i="31"/>
  <c r="D86" i="31"/>
  <c r="K343" i="31"/>
  <c r="J343" i="31"/>
  <c r="I343" i="31"/>
  <c r="H343" i="31"/>
  <c r="G343" i="31"/>
  <c r="F343" i="31"/>
  <c r="E343" i="31"/>
  <c r="K214" i="31"/>
  <c r="J214" i="31"/>
  <c r="I214" i="31"/>
  <c r="G176" i="32" s="1"/>
  <c r="H214" i="31"/>
  <c r="F176" i="32" s="1"/>
  <c r="G214" i="31"/>
  <c r="E176" i="32" s="1"/>
  <c r="F214" i="31"/>
  <c r="D176" i="32" s="1"/>
  <c r="E214" i="31"/>
  <c r="C176" i="32" s="1"/>
  <c r="K85" i="31"/>
  <c r="F264" i="27" s="1"/>
  <c r="J85" i="31"/>
  <c r="G264" i="27" s="1"/>
  <c r="I85" i="31"/>
  <c r="E264" i="27" s="1"/>
  <c r="H85" i="31"/>
  <c r="D264" i="27" s="1"/>
  <c r="G85" i="31"/>
  <c r="F85" i="31"/>
  <c r="C318" i="35" s="1"/>
  <c r="E85" i="31"/>
  <c r="D85" i="31"/>
  <c r="K342" i="31"/>
  <c r="J342" i="31"/>
  <c r="I342" i="31"/>
  <c r="H342" i="31"/>
  <c r="G342" i="31"/>
  <c r="F342" i="31"/>
  <c r="E342" i="31"/>
  <c r="K213" i="31"/>
  <c r="J213" i="31"/>
  <c r="I213" i="31"/>
  <c r="G175" i="32" s="1"/>
  <c r="H213" i="31"/>
  <c r="F175" i="32" s="1"/>
  <c r="G213" i="31"/>
  <c r="E175" i="32" s="1"/>
  <c r="F213" i="31"/>
  <c r="D175" i="32" s="1"/>
  <c r="E213" i="31"/>
  <c r="C175" i="32" s="1"/>
  <c r="K84" i="31"/>
  <c r="F263" i="27" s="1"/>
  <c r="J84" i="31"/>
  <c r="G263" i="27" s="1"/>
  <c r="I84" i="31"/>
  <c r="E263" i="27" s="1"/>
  <c r="H84" i="31"/>
  <c r="D263" i="27" s="1"/>
  <c r="G84" i="31"/>
  <c r="F84" i="31"/>
  <c r="C317" i="35" s="1"/>
  <c r="E84" i="31"/>
  <c r="D84" i="31"/>
  <c r="K341" i="31"/>
  <c r="J341" i="31"/>
  <c r="I341" i="31"/>
  <c r="H341" i="31"/>
  <c r="G341" i="31"/>
  <c r="F341" i="31"/>
  <c r="E341" i="31"/>
  <c r="K212" i="31"/>
  <c r="J212" i="31"/>
  <c r="I212" i="31"/>
  <c r="G174" i="32" s="1"/>
  <c r="H212" i="31"/>
  <c r="F174" i="32" s="1"/>
  <c r="G212" i="31"/>
  <c r="E174" i="32" s="1"/>
  <c r="F212" i="31"/>
  <c r="D174" i="32" s="1"/>
  <c r="E212" i="31"/>
  <c r="C174" i="32" s="1"/>
  <c r="K83" i="31"/>
  <c r="F262" i="27" s="1"/>
  <c r="J83" i="31"/>
  <c r="G262" i="27" s="1"/>
  <c r="I83" i="31"/>
  <c r="E262" i="27" s="1"/>
  <c r="H83" i="31"/>
  <c r="D262" i="27" s="1"/>
  <c r="G83" i="31"/>
  <c r="F83" i="31"/>
  <c r="C316" i="35" s="1"/>
  <c r="E83" i="31"/>
  <c r="D83" i="31"/>
  <c r="K340" i="31"/>
  <c r="J340" i="31"/>
  <c r="I340" i="31"/>
  <c r="H340" i="31"/>
  <c r="G340" i="31"/>
  <c r="F340" i="31"/>
  <c r="E340" i="31"/>
  <c r="K211" i="31"/>
  <c r="J211" i="31"/>
  <c r="I211" i="31"/>
  <c r="G173" i="32" s="1"/>
  <c r="H211" i="31"/>
  <c r="F173" i="32" s="1"/>
  <c r="G211" i="31"/>
  <c r="E173" i="32" s="1"/>
  <c r="F211" i="31"/>
  <c r="D173" i="32" s="1"/>
  <c r="E211" i="31"/>
  <c r="C173" i="32" s="1"/>
  <c r="K82" i="31"/>
  <c r="F261" i="27" s="1"/>
  <c r="J82" i="31"/>
  <c r="G261" i="27" s="1"/>
  <c r="I82" i="31"/>
  <c r="E261" i="27" s="1"/>
  <c r="H82" i="31"/>
  <c r="D261" i="27" s="1"/>
  <c r="G82" i="31"/>
  <c r="F82" i="31"/>
  <c r="C315" i="35" s="1"/>
  <c r="E82" i="31"/>
  <c r="D82" i="31"/>
  <c r="K339" i="31"/>
  <c r="J339" i="31"/>
  <c r="I339" i="31"/>
  <c r="H339" i="31"/>
  <c r="G339" i="31"/>
  <c r="F339" i="31"/>
  <c r="E339" i="31"/>
  <c r="K210" i="31"/>
  <c r="J210" i="31"/>
  <c r="I210" i="31"/>
  <c r="G172" i="32" s="1"/>
  <c r="H210" i="31"/>
  <c r="F172" i="32" s="1"/>
  <c r="G210" i="31"/>
  <c r="E172" i="32" s="1"/>
  <c r="F210" i="31"/>
  <c r="D172" i="32" s="1"/>
  <c r="E210" i="31"/>
  <c r="C172" i="32" s="1"/>
  <c r="K81" i="31"/>
  <c r="F260" i="27" s="1"/>
  <c r="J81" i="31"/>
  <c r="G260" i="27" s="1"/>
  <c r="I81" i="31"/>
  <c r="E260" i="27" s="1"/>
  <c r="H81" i="31"/>
  <c r="D260" i="27" s="1"/>
  <c r="G81" i="31"/>
  <c r="F81" i="31"/>
  <c r="C314" i="35" s="1"/>
  <c r="E81" i="31"/>
  <c r="D81" i="31"/>
  <c r="K338" i="31"/>
  <c r="J338" i="31"/>
  <c r="I338" i="31"/>
  <c r="H338" i="31"/>
  <c r="G338" i="31"/>
  <c r="F338" i="31"/>
  <c r="E338" i="31"/>
  <c r="K209" i="31"/>
  <c r="J209" i="31"/>
  <c r="I209" i="31"/>
  <c r="G171" i="32" s="1"/>
  <c r="H209" i="31"/>
  <c r="F171" i="32" s="1"/>
  <c r="G209" i="31"/>
  <c r="E171" i="32" s="1"/>
  <c r="F209" i="31"/>
  <c r="D171" i="32" s="1"/>
  <c r="E209" i="31"/>
  <c r="C171" i="32" s="1"/>
  <c r="K80" i="31"/>
  <c r="F259" i="27" s="1"/>
  <c r="J80" i="31"/>
  <c r="G259" i="27" s="1"/>
  <c r="I80" i="31"/>
  <c r="E259" i="27" s="1"/>
  <c r="H80" i="31"/>
  <c r="D259" i="27" s="1"/>
  <c r="G80" i="31"/>
  <c r="F80" i="31"/>
  <c r="C313" i="35" s="1"/>
  <c r="E80" i="31"/>
  <c r="D80" i="31"/>
  <c r="K337" i="31"/>
  <c r="J337" i="31"/>
  <c r="I337" i="31"/>
  <c r="H337" i="31"/>
  <c r="G337" i="31"/>
  <c r="F337" i="31"/>
  <c r="E337" i="31"/>
  <c r="K208" i="31"/>
  <c r="J208" i="31"/>
  <c r="I208" i="31"/>
  <c r="G170" i="32" s="1"/>
  <c r="H208" i="31"/>
  <c r="F170" i="32" s="1"/>
  <c r="G208" i="31"/>
  <c r="E170" i="32" s="1"/>
  <c r="F208" i="31"/>
  <c r="D170" i="32" s="1"/>
  <c r="E208" i="31"/>
  <c r="C170" i="32" s="1"/>
  <c r="K79" i="31"/>
  <c r="F258" i="27" s="1"/>
  <c r="J79" i="31"/>
  <c r="G258" i="27" s="1"/>
  <c r="I79" i="31"/>
  <c r="E258" i="27" s="1"/>
  <c r="H79" i="31"/>
  <c r="D258" i="27" s="1"/>
  <c r="G79" i="31"/>
  <c r="F79" i="31"/>
  <c r="C312" i="35" s="1"/>
  <c r="E79" i="31"/>
  <c r="D79" i="31"/>
  <c r="K336" i="31"/>
  <c r="J336" i="31"/>
  <c r="I336" i="31"/>
  <c r="H336" i="31"/>
  <c r="G336" i="31"/>
  <c r="F336" i="31"/>
  <c r="E336" i="31"/>
  <c r="K207" i="31"/>
  <c r="J207" i="31"/>
  <c r="I207" i="31"/>
  <c r="G169" i="32" s="1"/>
  <c r="H207" i="31"/>
  <c r="F169" i="32" s="1"/>
  <c r="G207" i="31"/>
  <c r="E169" i="32" s="1"/>
  <c r="F207" i="31"/>
  <c r="D169" i="32" s="1"/>
  <c r="E207" i="31"/>
  <c r="C169" i="32" s="1"/>
  <c r="K78" i="31"/>
  <c r="F257" i="27" s="1"/>
  <c r="J78" i="31"/>
  <c r="G257" i="27" s="1"/>
  <c r="I78" i="31"/>
  <c r="E257" i="27" s="1"/>
  <c r="H78" i="31"/>
  <c r="D257" i="27" s="1"/>
  <c r="G78" i="31"/>
  <c r="F78" i="31"/>
  <c r="C311" i="35" s="1"/>
  <c r="E78" i="31"/>
  <c r="D78" i="31"/>
  <c r="K335" i="31"/>
  <c r="J335" i="31"/>
  <c r="I335" i="31"/>
  <c r="H335" i="31"/>
  <c r="G335" i="31"/>
  <c r="F335" i="31"/>
  <c r="E335" i="31"/>
  <c r="K206" i="31"/>
  <c r="J206" i="31"/>
  <c r="I206" i="31"/>
  <c r="G168" i="32" s="1"/>
  <c r="H206" i="31"/>
  <c r="F168" i="32" s="1"/>
  <c r="G206" i="31"/>
  <c r="E168" i="32" s="1"/>
  <c r="F206" i="31"/>
  <c r="D168" i="32" s="1"/>
  <c r="E206" i="31"/>
  <c r="C168" i="32" s="1"/>
  <c r="K77" i="31"/>
  <c r="F256" i="27" s="1"/>
  <c r="J77" i="31"/>
  <c r="G256" i="27" s="1"/>
  <c r="I77" i="31"/>
  <c r="E256" i="27" s="1"/>
  <c r="H77" i="31"/>
  <c r="D256" i="27" s="1"/>
  <c r="G77" i="31"/>
  <c r="F77" i="31"/>
  <c r="C310" i="35" s="1"/>
  <c r="E77" i="31"/>
  <c r="D77" i="31"/>
  <c r="K334" i="31"/>
  <c r="J334" i="31"/>
  <c r="I334" i="31"/>
  <c r="H334" i="31"/>
  <c r="G334" i="31"/>
  <c r="F334" i="31"/>
  <c r="E334" i="31"/>
  <c r="K205" i="31"/>
  <c r="J205" i="31"/>
  <c r="I205" i="31"/>
  <c r="G167" i="32" s="1"/>
  <c r="H205" i="31"/>
  <c r="F167" i="32" s="1"/>
  <c r="G205" i="31"/>
  <c r="E167" i="32" s="1"/>
  <c r="F205" i="31"/>
  <c r="D167" i="32" s="1"/>
  <c r="E205" i="31"/>
  <c r="C167" i="32" s="1"/>
  <c r="K76" i="31"/>
  <c r="F255" i="27" s="1"/>
  <c r="J76" i="31"/>
  <c r="G255" i="27" s="1"/>
  <c r="I76" i="31"/>
  <c r="E255" i="27" s="1"/>
  <c r="H76" i="31"/>
  <c r="D255" i="27" s="1"/>
  <c r="G76" i="31"/>
  <c r="F76" i="31"/>
  <c r="C309" i="35" s="1"/>
  <c r="E76" i="31"/>
  <c r="D76" i="31"/>
  <c r="K333" i="31"/>
  <c r="J333" i="31"/>
  <c r="I333" i="31"/>
  <c r="H333" i="31"/>
  <c r="G333" i="31"/>
  <c r="F333" i="31"/>
  <c r="E333" i="31"/>
  <c r="K204" i="31"/>
  <c r="J204" i="31"/>
  <c r="I204" i="31"/>
  <c r="G166" i="32" s="1"/>
  <c r="H204" i="31"/>
  <c r="F166" i="32" s="1"/>
  <c r="G204" i="31"/>
  <c r="E166" i="32" s="1"/>
  <c r="F204" i="31"/>
  <c r="D166" i="32" s="1"/>
  <c r="E204" i="31"/>
  <c r="C166" i="32" s="1"/>
  <c r="K75" i="31"/>
  <c r="F254" i="27" s="1"/>
  <c r="J75" i="31"/>
  <c r="G254" i="27" s="1"/>
  <c r="I75" i="31"/>
  <c r="E254" i="27" s="1"/>
  <c r="H75" i="31"/>
  <c r="D254" i="27" s="1"/>
  <c r="G75" i="31"/>
  <c r="F75" i="31"/>
  <c r="C308" i="35" s="1"/>
  <c r="E75" i="31"/>
  <c r="D75" i="31"/>
  <c r="K332" i="31"/>
  <c r="J332" i="31"/>
  <c r="I332" i="31"/>
  <c r="H332" i="31"/>
  <c r="G332" i="31"/>
  <c r="F332" i="31"/>
  <c r="E332" i="31"/>
  <c r="K203" i="31"/>
  <c r="J203" i="31"/>
  <c r="I203" i="31"/>
  <c r="G165" i="32" s="1"/>
  <c r="H203" i="31"/>
  <c r="F165" i="32" s="1"/>
  <c r="G203" i="31"/>
  <c r="E165" i="32" s="1"/>
  <c r="F203" i="31"/>
  <c r="D165" i="32" s="1"/>
  <c r="E203" i="31"/>
  <c r="C165" i="32" s="1"/>
  <c r="K74" i="31"/>
  <c r="F253" i="27" s="1"/>
  <c r="J74" i="31"/>
  <c r="G253" i="27" s="1"/>
  <c r="I74" i="31"/>
  <c r="E253" i="27" s="1"/>
  <c r="H74" i="31"/>
  <c r="D253" i="27" s="1"/>
  <c r="G74" i="31"/>
  <c r="F74" i="31"/>
  <c r="C307" i="35" s="1"/>
  <c r="E74" i="31"/>
  <c r="D74" i="31"/>
  <c r="K331" i="31"/>
  <c r="J331" i="31"/>
  <c r="I331" i="31"/>
  <c r="H331" i="31"/>
  <c r="G331" i="31"/>
  <c r="F331" i="31"/>
  <c r="E331" i="31"/>
  <c r="K202" i="31"/>
  <c r="J202" i="31"/>
  <c r="I202" i="31"/>
  <c r="G164" i="32" s="1"/>
  <c r="H202" i="31"/>
  <c r="F164" i="32" s="1"/>
  <c r="G202" i="31"/>
  <c r="E164" i="32" s="1"/>
  <c r="F202" i="31"/>
  <c r="D164" i="32" s="1"/>
  <c r="E202" i="31"/>
  <c r="C164" i="32" s="1"/>
  <c r="K73" i="31"/>
  <c r="F252" i="27" s="1"/>
  <c r="J73" i="31"/>
  <c r="G252" i="27" s="1"/>
  <c r="I73" i="31"/>
  <c r="E252" i="27" s="1"/>
  <c r="H73" i="31"/>
  <c r="D252" i="27" s="1"/>
  <c r="G73" i="31"/>
  <c r="F73" i="31"/>
  <c r="C306" i="35" s="1"/>
  <c r="E73" i="31"/>
  <c r="D73" i="31"/>
  <c r="K330" i="31"/>
  <c r="J330" i="31"/>
  <c r="I330" i="31"/>
  <c r="H330" i="31"/>
  <c r="G330" i="31"/>
  <c r="F330" i="31"/>
  <c r="E330" i="31"/>
  <c r="K201" i="31"/>
  <c r="J201" i="31"/>
  <c r="I201" i="31"/>
  <c r="G163" i="32" s="1"/>
  <c r="H201" i="31"/>
  <c r="F163" i="32" s="1"/>
  <c r="G201" i="31"/>
  <c r="E163" i="32" s="1"/>
  <c r="F201" i="31"/>
  <c r="D163" i="32" s="1"/>
  <c r="E201" i="31"/>
  <c r="C163" i="32" s="1"/>
  <c r="K72" i="31"/>
  <c r="F251" i="27" s="1"/>
  <c r="J72" i="31"/>
  <c r="G251" i="27" s="1"/>
  <c r="I72" i="31"/>
  <c r="E251" i="27" s="1"/>
  <c r="H72" i="31"/>
  <c r="D251" i="27" s="1"/>
  <c r="G72" i="31"/>
  <c r="F72" i="31"/>
  <c r="C305" i="35" s="1"/>
  <c r="E72" i="31"/>
  <c r="D72" i="31"/>
  <c r="K329" i="31"/>
  <c r="J329" i="31"/>
  <c r="I329" i="31"/>
  <c r="H329" i="31"/>
  <c r="G329" i="31"/>
  <c r="F329" i="31"/>
  <c r="E329" i="31"/>
  <c r="K200" i="31"/>
  <c r="J200" i="31"/>
  <c r="I200" i="31"/>
  <c r="G162" i="32" s="1"/>
  <c r="H200" i="31"/>
  <c r="F162" i="32" s="1"/>
  <c r="G200" i="31"/>
  <c r="E162" i="32" s="1"/>
  <c r="F200" i="31"/>
  <c r="D162" i="32" s="1"/>
  <c r="E200" i="31"/>
  <c r="C162" i="32" s="1"/>
  <c r="K71" i="31"/>
  <c r="F250" i="27" s="1"/>
  <c r="J71" i="31"/>
  <c r="G250" i="27" s="1"/>
  <c r="I71" i="31"/>
  <c r="E250" i="27" s="1"/>
  <c r="H71" i="31"/>
  <c r="D250" i="27" s="1"/>
  <c r="G71" i="31"/>
  <c r="F71" i="31"/>
  <c r="C304" i="35" s="1"/>
  <c r="E71" i="31"/>
  <c r="D71" i="31"/>
  <c r="K328" i="31"/>
  <c r="J328" i="31"/>
  <c r="I328" i="31"/>
  <c r="H328" i="31"/>
  <c r="G328" i="31"/>
  <c r="F328" i="31"/>
  <c r="E328" i="31"/>
  <c r="K199" i="31"/>
  <c r="J199" i="31"/>
  <c r="I199" i="31"/>
  <c r="G161" i="32" s="1"/>
  <c r="H199" i="31"/>
  <c r="F161" i="32" s="1"/>
  <c r="G199" i="31"/>
  <c r="E161" i="32" s="1"/>
  <c r="F199" i="31"/>
  <c r="D161" i="32" s="1"/>
  <c r="E199" i="31"/>
  <c r="C161" i="32" s="1"/>
  <c r="K70" i="31"/>
  <c r="F249" i="27" s="1"/>
  <c r="J70" i="31"/>
  <c r="G249" i="27" s="1"/>
  <c r="I70" i="31"/>
  <c r="E249" i="27" s="1"/>
  <c r="H70" i="31"/>
  <c r="D249" i="27" s="1"/>
  <c r="G70" i="31"/>
  <c r="F70" i="31"/>
  <c r="C303" i="35" s="1"/>
  <c r="E70" i="31"/>
  <c r="D70" i="31"/>
  <c r="K327" i="31"/>
  <c r="J327" i="31"/>
  <c r="I327" i="31"/>
  <c r="H327" i="31"/>
  <c r="G327" i="31"/>
  <c r="F327" i="31"/>
  <c r="E327" i="31"/>
  <c r="K198" i="31"/>
  <c r="J198" i="31"/>
  <c r="I198" i="31"/>
  <c r="G160" i="32" s="1"/>
  <c r="H198" i="31"/>
  <c r="F160" i="32" s="1"/>
  <c r="G198" i="31"/>
  <c r="E160" i="32" s="1"/>
  <c r="F198" i="31"/>
  <c r="D160" i="32" s="1"/>
  <c r="E198" i="31"/>
  <c r="C160" i="32" s="1"/>
  <c r="K69" i="31"/>
  <c r="F248" i="27" s="1"/>
  <c r="J69" i="31"/>
  <c r="G248" i="27" s="1"/>
  <c r="I69" i="31"/>
  <c r="E248" i="27" s="1"/>
  <c r="H69" i="31"/>
  <c r="D248" i="27" s="1"/>
  <c r="G69" i="31"/>
  <c r="F69" i="31"/>
  <c r="C302" i="35" s="1"/>
  <c r="E69" i="31"/>
  <c r="D69" i="31"/>
  <c r="K326" i="31"/>
  <c r="J326" i="31"/>
  <c r="I326" i="31"/>
  <c r="H326" i="31"/>
  <c r="G326" i="31"/>
  <c r="F326" i="31"/>
  <c r="E326" i="31"/>
  <c r="K197" i="31"/>
  <c r="J197" i="31"/>
  <c r="I197" i="31"/>
  <c r="G159" i="32" s="1"/>
  <c r="H197" i="31"/>
  <c r="F159" i="32" s="1"/>
  <c r="G197" i="31"/>
  <c r="E159" i="32" s="1"/>
  <c r="F197" i="31"/>
  <c r="D159" i="32" s="1"/>
  <c r="E197" i="31"/>
  <c r="C159" i="32" s="1"/>
  <c r="K68" i="31"/>
  <c r="F247" i="27" s="1"/>
  <c r="J68" i="31"/>
  <c r="G247" i="27" s="1"/>
  <c r="I68" i="31"/>
  <c r="E247" i="27" s="1"/>
  <c r="H68" i="31"/>
  <c r="D247" i="27" s="1"/>
  <c r="G68" i="31"/>
  <c r="F68" i="31"/>
  <c r="C301" i="35" s="1"/>
  <c r="E68" i="31"/>
  <c r="D68" i="31"/>
  <c r="K325" i="31"/>
  <c r="J325" i="31"/>
  <c r="I325" i="31"/>
  <c r="H325" i="31"/>
  <c r="G325" i="31"/>
  <c r="F325" i="31"/>
  <c r="E325" i="31"/>
  <c r="K196" i="31"/>
  <c r="J196" i="31"/>
  <c r="I196" i="31"/>
  <c r="G158" i="32" s="1"/>
  <c r="H196" i="31"/>
  <c r="F158" i="32" s="1"/>
  <c r="G196" i="31"/>
  <c r="E158" i="32" s="1"/>
  <c r="F196" i="31"/>
  <c r="D158" i="32" s="1"/>
  <c r="E196" i="31"/>
  <c r="C158" i="32" s="1"/>
  <c r="K67" i="31"/>
  <c r="F246" i="27" s="1"/>
  <c r="J67" i="31"/>
  <c r="G246" i="27" s="1"/>
  <c r="I67" i="31"/>
  <c r="E246" i="27" s="1"/>
  <c r="H67" i="31"/>
  <c r="D246" i="27" s="1"/>
  <c r="G67" i="31"/>
  <c r="F67" i="31"/>
  <c r="C300" i="35" s="1"/>
  <c r="E67" i="31"/>
  <c r="D67" i="31"/>
  <c r="K324" i="31"/>
  <c r="J324" i="31"/>
  <c r="I324" i="31"/>
  <c r="H324" i="31"/>
  <c r="G324" i="31"/>
  <c r="F324" i="31"/>
  <c r="E324" i="31"/>
  <c r="K195" i="31"/>
  <c r="J195" i="31"/>
  <c r="I195" i="31"/>
  <c r="G157" i="32" s="1"/>
  <c r="H195" i="31"/>
  <c r="F157" i="32" s="1"/>
  <c r="G195" i="31"/>
  <c r="E157" i="32" s="1"/>
  <c r="F195" i="31"/>
  <c r="D157" i="32" s="1"/>
  <c r="E195" i="31"/>
  <c r="C157" i="32" s="1"/>
  <c r="K66" i="31"/>
  <c r="F245" i="27" s="1"/>
  <c r="J66" i="31"/>
  <c r="G245" i="27" s="1"/>
  <c r="I66" i="31"/>
  <c r="E245" i="27" s="1"/>
  <c r="H66" i="31"/>
  <c r="D245" i="27" s="1"/>
  <c r="G66" i="31"/>
  <c r="F66" i="31"/>
  <c r="C299" i="35" s="1"/>
  <c r="E66" i="31"/>
  <c r="D66" i="31"/>
  <c r="K323" i="31"/>
  <c r="J323" i="31"/>
  <c r="I323" i="31"/>
  <c r="H323" i="31"/>
  <c r="G323" i="31"/>
  <c r="F323" i="31"/>
  <c r="E323" i="31"/>
  <c r="K194" i="31"/>
  <c r="J194" i="31"/>
  <c r="I194" i="31"/>
  <c r="G156" i="32" s="1"/>
  <c r="H194" i="31"/>
  <c r="F156" i="32" s="1"/>
  <c r="G194" i="31"/>
  <c r="E156" i="32" s="1"/>
  <c r="F194" i="31"/>
  <c r="D156" i="32" s="1"/>
  <c r="E194" i="31"/>
  <c r="C156" i="32" s="1"/>
  <c r="K65" i="31"/>
  <c r="F244" i="27" s="1"/>
  <c r="J65" i="31"/>
  <c r="G244" i="27" s="1"/>
  <c r="I65" i="31"/>
  <c r="E244" i="27" s="1"/>
  <c r="H65" i="31"/>
  <c r="D244" i="27" s="1"/>
  <c r="G65" i="31"/>
  <c r="F65" i="31"/>
  <c r="C298" i="35" s="1"/>
  <c r="E65" i="31"/>
  <c r="D65" i="31"/>
  <c r="K322" i="31"/>
  <c r="J322" i="31"/>
  <c r="I322" i="31"/>
  <c r="H322" i="31"/>
  <c r="G322" i="31"/>
  <c r="F322" i="31"/>
  <c r="E322" i="31"/>
  <c r="K193" i="31"/>
  <c r="J193" i="31"/>
  <c r="I193" i="31"/>
  <c r="G155" i="32" s="1"/>
  <c r="H193" i="31"/>
  <c r="F155" i="32" s="1"/>
  <c r="G193" i="31"/>
  <c r="E155" i="32" s="1"/>
  <c r="F193" i="31"/>
  <c r="D155" i="32" s="1"/>
  <c r="E193" i="31"/>
  <c r="C155" i="32" s="1"/>
  <c r="K64" i="31"/>
  <c r="F243" i="27" s="1"/>
  <c r="J64" i="31"/>
  <c r="G243" i="27" s="1"/>
  <c r="I64" i="31"/>
  <c r="E243" i="27" s="1"/>
  <c r="H64" i="31"/>
  <c r="D243" i="27" s="1"/>
  <c r="G64" i="31"/>
  <c r="F64" i="31"/>
  <c r="E64" i="31"/>
  <c r="D64" i="31"/>
  <c r="K321" i="31"/>
  <c r="J321" i="31"/>
  <c r="I321" i="31"/>
  <c r="H321" i="31"/>
  <c r="G321" i="31"/>
  <c r="F321" i="31"/>
  <c r="E321" i="31"/>
  <c r="K192" i="31"/>
  <c r="J192" i="31"/>
  <c r="I192" i="31"/>
  <c r="G154" i="32" s="1"/>
  <c r="H192" i="31"/>
  <c r="F154" i="32" s="1"/>
  <c r="G192" i="31"/>
  <c r="E154" i="32" s="1"/>
  <c r="F192" i="31"/>
  <c r="D154" i="32" s="1"/>
  <c r="E192" i="31"/>
  <c r="C154" i="32" s="1"/>
  <c r="K63" i="31"/>
  <c r="F242" i="27" s="1"/>
  <c r="J63" i="31"/>
  <c r="G242" i="27" s="1"/>
  <c r="I63" i="31"/>
  <c r="E242" i="27" s="1"/>
  <c r="H63" i="31"/>
  <c r="D242" i="27" s="1"/>
  <c r="G63" i="31"/>
  <c r="F63" i="31"/>
  <c r="C296" i="35" s="1"/>
  <c r="E63" i="31"/>
  <c r="D63" i="31"/>
  <c r="K320" i="31"/>
  <c r="J320" i="31"/>
  <c r="I320" i="31"/>
  <c r="H320" i="31"/>
  <c r="G320" i="31"/>
  <c r="F320" i="31"/>
  <c r="E320" i="31"/>
  <c r="K191" i="31"/>
  <c r="J191" i="31"/>
  <c r="I191" i="31"/>
  <c r="G153" i="32" s="1"/>
  <c r="H191" i="31"/>
  <c r="F153" i="32" s="1"/>
  <c r="G191" i="31"/>
  <c r="E153" i="32" s="1"/>
  <c r="F191" i="31"/>
  <c r="D153" i="32" s="1"/>
  <c r="E191" i="31"/>
  <c r="C153" i="32" s="1"/>
  <c r="K62" i="31"/>
  <c r="F241" i="27" s="1"/>
  <c r="J62" i="31"/>
  <c r="G241" i="27" s="1"/>
  <c r="I62" i="31"/>
  <c r="E241" i="27" s="1"/>
  <c r="H62" i="31"/>
  <c r="D241" i="27" s="1"/>
  <c r="G62" i="31"/>
  <c r="F62" i="31"/>
  <c r="C295" i="35" s="1"/>
  <c r="E62" i="31"/>
  <c r="D62" i="31"/>
  <c r="K319" i="31"/>
  <c r="J319" i="31"/>
  <c r="I319" i="31"/>
  <c r="H319" i="31"/>
  <c r="G319" i="31"/>
  <c r="F319" i="31"/>
  <c r="E319" i="31"/>
  <c r="K190" i="31"/>
  <c r="J190" i="31"/>
  <c r="I190" i="31"/>
  <c r="G152" i="32" s="1"/>
  <c r="H190" i="31"/>
  <c r="F152" i="32" s="1"/>
  <c r="G190" i="31"/>
  <c r="E152" i="32" s="1"/>
  <c r="F190" i="31"/>
  <c r="D152" i="32" s="1"/>
  <c r="E190" i="31"/>
  <c r="C152" i="32" s="1"/>
  <c r="K61" i="31"/>
  <c r="F240" i="27" s="1"/>
  <c r="J61" i="31"/>
  <c r="G240" i="27" s="1"/>
  <c r="I61" i="31"/>
  <c r="E240" i="27" s="1"/>
  <c r="H61" i="31"/>
  <c r="D240" i="27" s="1"/>
  <c r="G61" i="31"/>
  <c r="F61" i="31"/>
  <c r="C294" i="35" s="1"/>
  <c r="E61" i="31"/>
  <c r="D61" i="31"/>
  <c r="K318" i="31"/>
  <c r="J318" i="31"/>
  <c r="I318" i="31"/>
  <c r="H318" i="31"/>
  <c r="G318" i="31"/>
  <c r="F318" i="31"/>
  <c r="E318" i="31"/>
  <c r="K189" i="31"/>
  <c r="J189" i="31"/>
  <c r="I189" i="31"/>
  <c r="G151" i="32" s="1"/>
  <c r="H189" i="31"/>
  <c r="F151" i="32" s="1"/>
  <c r="G189" i="31"/>
  <c r="E151" i="32" s="1"/>
  <c r="F189" i="31"/>
  <c r="D151" i="32" s="1"/>
  <c r="E189" i="31"/>
  <c r="C151" i="32" s="1"/>
  <c r="K60" i="31"/>
  <c r="F239" i="27" s="1"/>
  <c r="J60" i="31"/>
  <c r="G239" i="27" s="1"/>
  <c r="I60" i="31"/>
  <c r="E239" i="27" s="1"/>
  <c r="H60" i="31"/>
  <c r="D239" i="27" s="1"/>
  <c r="G60" i="31"/>
  <c r="F60" i="31"/>
  <c r="C293" i="35" s="1"/>
  <c r="E60" i="31"/>
  <c r="D60" i="31"/>
  <c r="K317" i="31"/>
  <c r="J317" i="31"/>
  <c r="I317" i="31"/>
  <c r="H317" i="31"/>
  <c r="G317" i="31"/>
  <c r="F317" i="31"/>
  <c r="E317" i="31"/>
  <c r="K188" i="31"/>
  <c r="J188" i="31"/>
  <c r="I188" i="31"/>
  <c r="G150" i="32" s="1"/>
  <c r="H188" i="31"/>
  <c r="F150" i="32" s="1"/>
  <c r="G188" i="31"/>
  <c r="E150" i="32" s="1"/>
  <c r="F188" i="31"/>
  <c r="D150" i="32" s="1"/>
  <c r="E188" i="31"/>
  <c r="C150" i="32" s="1"/>
  <c r="K59" i="31"/>
  <c r="F238" i="27" s="1"/>
  <c r="J59" i="31"/>
  <c r="G238" i="27" s="1"/>
  <c r="I59" i="31"/>
  <c r="E238" i="27" s="1"/>
  <c r="H59" i="31"/>
  <c r="D238" i="27" s="1"/>
  <c r="G59" i="31"/>
  <c r="F59" i="31"/>
  <c r="C292" i="35" s="1"/>
  <c r="E59" i="31"/>
  <c r="D59" i="31"/>
  <c r="K316" i="31"/>
  <c r="J316" i="31"/>
  <c r="I316" i="31"/>
  <c r="H316" i="31"/>
  <c r="G316" i="31"/>
  <c r="F316" i="31"/>
  <c r="E316" i="31"/>
  <c r="K187" i="31"/>
  <c r="J187" i="31"/>
  <c r="I187" i="31"/>
  <c r="G149" i="32" s="1"/>
  <c r="H187" i="31"/>
  <c r="F149" i="32" s="1"/>
  <c r="G187" i="31"/>
  <c r="E149" i="32" s="1"/>
  <c r="F187" i="31"/>
  <c r="D149" i="32" s="1"/>
  <c r="E187" i="31"/>
  <c r="C149" i="32" s="1"/>
  <c r="K58" i="31"/>
  <c r="F237" i="27" s="1"/>
  <c r="J58" i="31"/>
  <c r="G237" i="27" s="1"/>
  <c r="I58" i="31"/>
  <c r="E237" i="27" s="1"/>
  <c r="H58" i="31"/>
  <c r="D237" i="27" s="1"/>
  <c r="G58" i="31"/>
  <c r="F58" i="31"/>
  <c r="C291" i="35" s="1"/>
  <c r="E58" i="31"/>
  <c r="D58" i="31"/>
  <c r="K315" i="31"/>
  <c r="J315" i="31"/>
  <c r="I315" i="31"/>
  <c r="H315" i="31"/>
  <c r="G315" i="31"/>
  <c r="F315" i="31"/>
  <c r="E315" i="31"/>
  <c r="K186" i="31"/>
  <c r="J186" i="31"/>
  <c r="I186" i="31"/>
  <c r="G148" i="32" s="1"/>
  <c r="H186" i="31"/>
  <c r="F148" i="32" s="1"/>
  <c r="G186" i="31"/>
  <c r="E148" i="32" s="1"/>
  <c r="F186" i="31"/>
  <c r="D148" i="32" s="1"/>
  <c r="E186" i="31"/>
  <c r="C148" i="32" s="1"/>
  <c r="K57" i="31"/>
  <c r="F236" i="27" s="1"/>
  <c r="J57" i="31"/>
  <c r="G236" i="27" s="1"/>
  <c r="I57" i="31"/>
  <c r="E236" i="27" s="1"/>
  <c r="H57" i="31"/>
  <c r="D236" i="27" s="1"/>
  <c r="G57" i="31"/>
  <c r="F57" i="31"/>
  <c r="C290" i="35" s="1"/>
  <c r="E57" i="31"/>
  <c r="D57" i="31"/>
  <c r="K314" i="31"/>
  <c r="J314" i="31"/>
  <c r="I314" i="31"/>
  <c r="H314" i="31"/>
  <c r="G314" i="31"/>
  <c r="F314" i="31"/>
  <c r="E314" i="31"/>
  <c r="K185" i="31"/>
  <c r="J185" i="31"/>
  <c r="I185" i="31"/>
  <c r="G147" i="32" s="1"/>
  <c r="H185" i="31"/>
  <c r="F147" i="32" s="1"/>
  <c r="G185" i="31"/>
  <c r="E147" i="32" s="1"/>
  <c r="F185" i="31"/>
  <c r="D147" i="32" s="1"/>
  <c r="E185" i="31"/>
  <c r="C147" i="32" s="1"/>
  <c r="K56" i="31"/>
  <c r="F235" i="27" s="1"/>
  <c r="J56" i="31"/>
  <c r="G235" i="27" s="1"/>
  <c r="I56" i="31"/>
  <c r="E235" i="27" s="1"/>
  <c r="H56" i="31"/>
  <c r="D235" i="27" s="1"/>
  <c r="G56" i="31"/>
  <c r="F56" i="31"/>
  <c r="C289" i="35" s="1"/>
  <c r="E56" i="31"/>
  <c r="D56" i="31"/>
  <c r="K313" i="31"/>
  <c r="J313" i="31"/>
  <c r="I313" i="31"/>
  <c r="H313" i="31"/>
  <c r="G313" i="31"/>
  <c r="F313" i="31"/>
  <c r="E313" i="31"/>
  <c r="K184" i="31"/>
  <c r="J184" i="31"/>
  <c r="I184" i="31"/>
  <c r="G146" i="32" s="1"/>
  <c r="H184" i="31"/>
  <c r="F146" i="32" s="1"/>
  <c r="G184" i="31"/>
  <c r="E146" i="32" s="1"/>
  <c r="F184" i="31"/>
  <c r="D146" i="32" s="1"/>
  <c r="E184" i="31"/>
  <c r="C146" i="32" s="1"/>
  <c r="K55" i="31"/>
  <c r="F234" i="27" s="1"/>
  <c r="J55" i="31"/>
  <c r="G234" i="27" s="1"/>
  <c r="I55" i="31"/>
  <c r="E234" i="27" s="1"/>
  <c r="H55" i="31"/>
  <c r="D234" i="27" s="1"/>
  <c r="G55" i="31"/>
  <c r="F55" i="31"/>
  <c r="C288" i="35" s="1"/>
  <c r="E55" i="31"/>
  <c r="D55" i="31"/>
  <c r="K312" i="31"/>
  <c r="J312" i="31"/>
  <c r="I312" i="31"/>
  <c r="H312" i="31"/>
  <c r="G312" i="31"/>
  <c r="F312" i="31"/>
  <c r="E312" i="31"/>
  <c r="K183" i="31"/>
  <c r="J183" i="31"/>
  <c r="I183" i="31"/>
  <c r="G145" i="32" s="1"/>
  <c r="H183" i="31"/>
  <c r="F145" i="32" s="1"/>
  <c r="G183" i="31"/>
  <c r="E145" i="32" s="1"/>
  <c r="F183" i="31"/>
  <c r="D145" i="32" s="1"/>
  <c r="E183" i="31"/>
  <c r="C145" i="32" s="1"/>
  <c r="K54" i="31"/>
  <c r="F233" i="27" s="1"/>
  <c r="J54" i="31"/>
  <c r="G233" i="27" s="1"/>
  <c r="I54" i="31"/>
  <c r="E233" i="27" s="1"/>
  <c r="H54" i="31"/>
  <c r="D233" i="27" s="1"/>
  <c r="G54" i="31"/>
  <c r="F54" i="31"/>
  <c r="C287" i="35" s="1"/>
  <c r="E54" i="31"/>
  <c r="D54" i="31"/>
  <c r="K311" i="31"/>
  <c r="J311" i="31"/>
  <c r="I311" i="31"/>
  <c r="H311" i="31"/>
  <c r="G311" i="31"/>
  <c r="F311" i="31"/>
  <c r="E311" i="31"/>
  <c r="K182" i="31"/>
  <c r="J182" i="31"/>
  <c r="I182" i="31"/>
  <c r="G144" i="32" s="1"/>
  <c r="H182" i="31"/>
  <c r="F144" i="32" s="1"/>
  <c r="G182" i="31"/>
  <c r="E144" i="32" s="1"/>
  <c r="F182" i="31"/>
  <c r="D144" i="32" s="1"/>
  <c r="E182" i="31"/>
  <c r="C144" i="32" s="1"/>
  <c r="K53" i="31"/>
  <c r="F232" i="27" s="1"/>
  <c r="J53" i="31"/>
  <c r="G232" i="27" s="1"/>
  <c r="I53" i="31"/>
  <c r="E232" i="27" s="1"/>
  <c r="H53" i="31"/>
  <c r="D232" i="27" s="1"/>
  <c r="G53" i="31"/>
  <c r="F53" i="31"/>
  <c r="C286" i="35" s="1"/>
  <c r="E53" i="31"/>
  <c r="D53" i="31"/>
  <c r="K310" i="31"/>
  <c r="J310" i="31"/>
  <c r="I310" i="31"/>
  <c r="H310" i="31"/>
  <c r="G310" i="31"/>
  <c r="F310" i="31"/>
  <c r="E310" i="31"/>
  <c r="K181" i="31"/>
  <c r="J181" i="31"/>
  <c r="I181" i="31"/>
  <c r="G143" i="32" s="1"/>
  <c r="H181" i="31"/>
  <c r="F143" i="32" s="1"/>
  <c r="G181" i="31"/>
  <c r="E143" i="32" s="1"/>
  <c r="F181" i="31"/>
  <c r="D143" i="32" s="1"/>
  <c r="E181" i="31"/>
  <c r="C143" i="32" s="1"/>
  <c r="K52" i="31"/>
  <c r="F231" i="27" s="1"/>
  <c r="J52" i="31"/>
  <c r="G231" i="27" s="1"/>
  <c r="I52" i="31"/>
  <c r="E231" i="27" s="1"/>
  <c r="H52" i="31"/>
  <c r="D231" i="27" s="1"/>
  <c r="G52" i="31"/>
  <c r="F52" i="31"/>
  <c r="C285" i="35" s="1"/>
  <c r="E52" i="31"/>
  <c r="D52" i="31"/>
  <c r="K309" i="31"/>
  <c r="J309" i="31"/>
  <c r="I309" i="31"/>
  <c r="H309" i="31"/>
  <c r="G309" i="31"/>
  <c r="F309" i="31"/>
  <c r="E309" i="31"/>
  <c r="K180" i="31"/>
  <c r="J180" i="31"/>
  <c r="I180" i="31"/>
  <c r="G142" i="32" s="1"/>
  <c r="H180" i="31"/>
  <c r="F142" i="32" s="1"/>
  <c r="G180" i="31"/>
  <c r="E142" i="32" s="1"/>
  <c r="F180" i="31"/>
  <c r="D142" i="32" s="1"/>
  <c r="E180" i="31"/>
  <c r="C142" i="32" s="1"/>
  <c r="K51" i="31"/>
  <c r="F230" i="27" s="1"/>
  <c r="J51" i="31"/>
  <c r="G230" i="27" s="1"/>
  <c r="I51" i="31"/>
  <c r="E230" i="27" s="1"/>
  <c r="H51" i="31"/>
  <c r="G51" i="31"/>
  <c r="F51" i="31"/>
  <c r="C284" i="35" s="1"/>
  <c r="E51" i="31"/>
  <c r="D51" i="31"/>
  <c r="K308" i="31"/>
  <c r="J308" i="31"/>
  <c r="I308" i="31"/>
  <c r="H308" i="31"/>
  <c r="G308" i="31"/>
  <c r="F308" i="31"/>
  <c r="E308" i="31"/>
  <c r="K179" i="31"/>
  <c r="J179" i="31"/>
  <c r="I179" i="31"/>
  <c r="G141" i="32" s="1"/>
  <c r="H179" i="31"/>
  <c r="F141" i="32" s="1"/>
  <c r="G179" i="31"/>
  <c r="E141" i="32" s="1"/>
  <c r="F179" i="31"/>
  <c r="D141" i="32" s="1"/>
  <c r="E179" i="31"/>
  <c r="C141" i="32" s="1"/>
  <c r="K50" i="31"/>
  <c r="F229" i="27" s="1"/>
  <c r="J50" i="31"/>
  <c r="G229" i="27" s="1"/>
  <c r="I50" i="31"/>
  <c r="E229" i="27" s="1"/>
  <c r="H50" i="31"/>
  <c r="D229" i="27" s="1"/>
  <c r="G50" i="31"/>
  <c r="F50" i="31"/>
  <c r="C283" i="35" s="1"/>
  <c r="E50" i="31"/>
  <c r="D50" i="31"/>
  <c r="K307" i="31"/>
  <c r="J307" i="31"/>
  <c r="I307" i="31"/>
  <c r="H307" i="31"/>
  <c r="G307" i="31"/>
  <c r="F307" i="31"/>
  <c r="E307" i="31"/>
  <c r="K178" i="31"/>
  <c r="J178" i="31"/>
  <c r="I178" i="31"/>
  <c r="G140" i="32" s="1"/>
  <c r="H178" i="31"/>
  <c r="F140" i="32" s="1"/>
  <c r="G178" i="31"/>
  <c r="E140" i="32" s="1"/>
  <c r="F178" i="31"/>
  <c r="D140" i="32" s="1"/>
  <c r="E178" i="31"/>
  <c r="C140" i="32" s="1"/>
  <c r="K49" i="31"/>
  <c r="J49" i="31"/>
  <c r="I49" i="31"/>
  <c r="H49" i="31"/>
  <c r="G49" i="31"/>
  <c r="F49" i="31"/>
  <c r="E49" i="31"/>
  <c r="D49" i="31"/>
  <c r="M572" i="30"/>
  <c r="F572" i="30"/>
  <c r="E572" i="30"/>
  <c r="D572" i="30"/>
  <c r="M571" i="30"/>
  <c r="F571" i="30"/>
  <c r="E571" i="30"/>
  <c r="D571" i="30"/>
  <c r="M570" i="30"/>
  <c r="F570" i="30"/>
  <c r="E570" i="30"/>
  <c r="D570" i="30"/>
  <c r="M569" i="30"/>
  <c r="F569" i="30"/>
  <c r="E569" i="30"/>
  <c r="D569" i="30"/>
  <c r="M568" i="30"/>
  <c r="F568" i="30"/>
  <c r="E568" i="30"/>
  <c r="D568" i="30"/>
  <c r="M567" i="30"/>
  <c r="F567" i="30"/>
  <c r="E567" i="30"/>
  <c r="D567" i="30"/>
  <c r="M566" i="30"/>
  <c r="F566" i="30"/>
  <c r="E566" i="30"/>
  <c r="D566" i="30"/>
  <c r="M565" i="30"/>
  <c r="K565" i="30" s="1"/>
  <c r="F565" i="30"/>
  <c r="E565" i="30"/>
  <c r="D565" i="30"/>
  <c r="M564" i="30"/>
  <c r="F564" i="30"/>
  <c r="E564" i="30"/>
  <c r="D564" i="30"/>
  <c r="M563" i="30"/>
  <c r="F563" i="30"/>
  <c r="E563" i="30"/>
  <c r="D563" i="30"/>
  <c r="M562" i="30"/>
  <c r="F562" i="30"/>
  <c r="E562" i="30"/>
  <c r="D562" i="30"/>
  <c r="M561" i="30"/>
  <c r="F561" i="30"/>
  <c r="E561" i="30"/>
  <c r="D561" i="30"/>
  <c r="M560" i="30"/>
  <c r="F560" i="30"/>
  <c r="E560" i="30"/>
  <c r="D560" i="30"/>
  <c r="M559" i="30"/>
  <c r="F559" i="30"/>
  <c r="E559" i="30"/>
  <c r="D559" i="30"/>
  <c r="M558" i="30"/>
  <c r="F558" i="30"/>
  <c r="E558" i="30"/>
  <c r="D558" i="30"/>
  <c r="M557" i="30"/>
  <c r="F557" i="30"/>
  <c r="E557" i="30"/>
  <c r="D557" i="30"/>
  <c r="M556" i="30"/>
  <c r="F556" i="30"/>
  <c r="E556" i="30"/>
  <c r="D556" i="30"/>
  <c r="M555" i="30"/>
  <c r="F555" i="30"/>
  <c r="E555" i="30"/>
  <c r="D555" i="30"/>
  <c r="M554" i="30"/>
  <c r="F554" i="30"/>
  <c r="E554" i="30"/>
  <c r="D554" i="30"/>
  <c r="E549" i="30"/>
  <c r="H125" i="30"/>
  <c r="G125" i="30"/>
  <c r="F125" i="30"/>
  <c r="E125" i="30"/>
  <c r="D125" i="30"/>
  <c r="H124" i="30"/>
  <c r="G124" i="30"/>
  <c r="F124" i="30"/>
  <c r="E124" i="30"/>
  <c r="D124" i="30"/>
  <c r="H123" i="30"/>
  <c r="G123" i="30"/>
  <c r="F123" i="30"/>
  <c r="E123" i="30"/>
  <c r="D123" i="30"/>
  <c r="H122" i="30"/>
  <c r="G122" i="30"/>
  <c r="F122" i="30"/>
  <c r="E122" i="30"/>
  <c r="D122" i="30"/>
  <c r="H121" i="30"/>
  <c r="G121" i="30"/>
  <c r="F121" i="30"/>
  <c r="E121" i="30"/>
  <c r="D121" i="30"/>
  <c r="H120" i="30"/>
  <c r="G120" i="30"/>
  <c r="F120" i="30"/>
  <c r="E120" i="30"/>
  <c r="D120" i="30"/>
  <c r="H119" i="30"/>
  <c r="G119" i="30"/>
  <c r="F119" i="30"/>
  <c r="E119" i="30"/>
  <c r="D119" i="30"/>
  <c r="H118" i="30"/>
  <c r="G118" i="30"/>
  <c r="F118" i="30"/>
  <c r="E118" i="30"/>
  <c r="D118" i="30"/>
  <c r="B118" i="30"/>
  <c r="H117" i="30"/>
  <c r="G117" i="30"/>
  <c r="F117" i="30"/>
  <c r="E117" i="30"/>
  <c r="D117" i="30"/>
  <c r="B117" i="30"/>
  <c r="H116" i="30"/>
  <c r="G116" i="30"/>
  <c r="F116" i="30"/>
  <c r="E116" i="30"/>
  <c r="D116" i="30"/>
  <c r="B116" i="30"/>
  <c r="H115" i="30"/>
  <c r="G115" i="30"/>
  <c r="F115" i="30"/>
  <c r="E115" i="30"/>
  <c r="D115" i="30"/>
  <c r="B115" i="30"/>
  <c r="H114" i="30"/>
  <c r="G114" i="30"/>
  <c r="F114" i="30"/>
  <c r="E114" i="30"/>
  <c r="D114" i="30"/>
  <c r="B114" i="30"/>
  <c r="H113" i="30"/>
  <c r="G113" i="30"/>
  <c r="F113" i="30"/>
  <c r="E113" i="30"/>
  <c r="D113" i="30"/>
  <c r="B113" i="30"/>
  <c r="H112" i="30"/>
  <c r="G112" i="30"/>
  <c r="F112" i="30"/>
  <c r="E112" i="30"/>
  <c r="D112" i="30"/>
  <c r="B112" i="30"/>
  <c r="H111" i="30"/>
  <c r="G111" i="30"/>
  <c r="F111" i="30"/>
  <c r="E111" i="30"/>
  <c r="D111" i="30"/>
  <c r="B111" i="30"/>
  <c r="H110" i="30"/>
  <c r="G110" i="30"/>
  <c r="F110" i="30"/>
  <c r="E110" i="30"/>
  <c r="D110" i="30"/>
  <c r="B110" i="30"/>
  <c r="H109" i="30"/>
  <c r="G109" i="30"/>
  <c r="F109" i="30"/>
  <c r="E109" i="30"/>
  <c r="D109" i="30"/>
  <c r="B109" i="30"/>
  <c r="H108" i="30"/>
  <c r="G108" i="30"/>
  <c r="F108" i="30"/>
  <c r="E108" i="30"/>
  <c r="D108" i="30"/>
  <c r="B108" i="30"/>
  <c r="H107" i="30"/>
  <c r="G107" i="30"/>
  <c r="F107" i="30"/>
  <c r="E107" i="30"/>
  <c r="D107" i="30"/>
  <c r="B107" i="30"/>
  <c r="H106" i="30"/>
  <c r="G106" i="30"/>
  <c r="F106" i="30"/>
  <c r="E106" i="30"/>
  <c r="D106" i="30"/>
  <c r="B106" i="30"/>
  <c r="H105" i="30"/>
  <c r="G105" i="30"/>
  <c r="F105" i="30"/>
  <c r="E105" i="30"/>
  <c r="D105" i="30"/>
  <c r="B105" i="30"/>
  <c r="H104" i="30"/>
  <c r="G104" i="30"/>
  <c r="F104" i="30"/>
  <c r="E104" i="30"/>
  <c r="D104" i="30"/>
  <c r="B104" i="30"/>
  <c r="H103" i="30"/>
  <c r="G103" i="30"/>
  <c r="F103" i="30"/>
  <c r="E103" i="30"/>
  <c r="D103" i="30"/>
  <c r="B103" i="30"/>
  <c r="H102" i="30"/>
  <c r="G102" i="30"/>
  <c r="F102" i="30"/>
  <c r="E102" i="30"/>
  <c r="D102" i="30"/>
  <c r="B102" i="30"/>
  <c r="H101" i="30"/>
  <c r="G101" i="30"/>
  <c r="F101" i="30"/>
  <c r="E101" i="30"/>
  <c r="D101" i="30"/>
  <c r="B101" i="30"/>
  <c r="H100" i="30"/>
  <c r="G100" i="30"/>
  <c r="F100" i="30"/>
  <c r="E100" i="30"/>
  <c r="D100" i="30"/>
  <c r="B100" i="30"/>
  <c r="H99" i="30"/>
  <c r="G99" i="30"/>
  <c r="F99" i="30"/>
  <c r="E99" i="30"/>
  <c r="D99" i="30"/>
  <c r="B99" i="30"/>
  <c r="H98" i="30"/>
  <c r="G98" i="30"/>
  <c r="F98" i="30"/>
  <c r="E98" i="30"/>
  <c r="D98" i="30"/>
  <c r="B98" i="30"/>
  <c r="H97" i="30"/>
  <c r="G97" i="30"/>
  <c r="F97" i="30"/>
  <c r="E97" i="30"/>
  <c r="D97" i="30"/>
  <c r="B97" i="30"/>
  <c r="H96" i="30"/>
  <c r="G96" i="30"/>
  <c r="F96" i="30"/>
  <c r="E96" i="30"/>
  <c r="D96" i="30"/>
  <c r="B96" i="30"/>
  <c r="H95" i="30"/>
  <c r="G95" i="30"/>
  <c r="F95" i="30"/>
  <c r="E95" i="30"/>
  <c r="D95" i="30"/>
  <c r="B95" i="30"/>
  <c r="H94" i="30"/>
  <c r="G94" i="30"/>
  <c r="F94" i="30"/>
  <c r="E94" i="30"/>
  <c r="D94" i="30"/>
  <c r="B94" i="30"/>
  <c r="H93" i="30"/>
  <c r="G93" i="30"/>
  <c r="F93" i="30"/>
  <c r="E93" i="30"/>
  <c r="D93" i="30"/>
  <c r="B93" i="30"/>
  <c r="H92" i="30"/>
  <c r="G92" i="30"/>
  <c r="F92" i="30"/>
  <c r="E92" i="30"/>
  <c r="D92" i="30"/>
  <c r="B92" i="30"/>
  <c r="H91" i="30"/>
  <c r="G91" i="30"/>
  <c r="F91" i="30"/>
  <c r="E91" i="30"/>
  <c r="D91" i="30"/>
  <c r="B91" i="30"/>
  <c r="H90" i="30"/>
  <c r="G90" i="30"/>
  <c r="F90" i="30"/>
  <c r="E90" i="30"/>
  <c r="D90" i="30"/>
  <c r="B90" i="30"/>
  <c r="H89" i="30"/>
  <c r="G89" i="30"/>
  <c r="F89" i="30"/>
  <c r="E89" i="30"/>
  <c r="D89" i="30"/>
  <c r="B89" i="30"/>
  <c r="H88" i="30"/>
  <c r="G88" i="30"/>
  <c r="F88" i="30"/>
  <c r="E88" i="30"/>
  <c r="D88" i="30"/>
  <c r="B88" i="30"/>
  <c r="H87" i="30"/>
  <c r="G87" i="30"/>
  <c r="F87" i="30"/>
  <c r="E87" i="30"/>
  <c r="D87" i="30"/>
  <c r="B87" i="30"/>
  <c r="H86" i="30"/>
  <c r="G86" i="30"/>
  <c r="F86" i="30"/>
  <c r="E86" i="30"/>
  <c r="D86" i="30"/>
  <c r="B86" i="30"/>
  <c r="H85" i="30"/>
  <c r="G85" i="30"/>
  <c r="F85" i="30"/>
  <c r="E85" i="30"/>
  <c r="D85" i="30"/>
  <c r="B85" i="30"/>
  <c r="H84" i="30"/>
  <c r="G84" i="30"/>
  <c r="F84" i="30"/>
  <c r="E84" i="30"/>
  <c r="D84" i="30"/>
  <c r="B84" i="30"/>
  <c r="H83" i="30"/>
  <c r="G83" i="30"/>
  <c r="F83" i="30"/>
  <c r="E83" i="30"/>
  <c r="D83" i="30"/>
  <c r="B83" i="30"/>
  <c r="H82" i="30"/>
  <c r="G82" i="30"/>
  <c r="F82" i="30"/>
  <c r="E82" i="30"/>
  <c r="D82" i="30"/>
  <c r="B82" i="30"/>
  <c r="H81" i="30"/>
  <c r="G81" i="30"/>
  <c r="F81" i="30"/>
  <c r="E81" i="30"/>
  <c r="D81" i="30"/>
  <c r="B81" i="30"/>
  <c r="H80" i="30"/>
  <c r="G80" i="30"/>
  <c r="F80" i="30"/>
  <c r="E80" i="30"/>
  <c r="D80" i="30"/>
  <c r="B80" i="30"/>
  <c r="H79" i="30"/>
  <c r="G79" i="30"/>
  <c r="F79" i="30"/>
  <c r="E79" i="30"/>
  <c r="D79" i="30"/>
  <c r="B79" i="30"/>
  <c r="H78" i="30"/>
  <c r="G78" i="30"/>
  <c r="F78" i="30"/>
  <c r="E78" i="30"/>
  <c r="D78" i="30"/>
  <c r="B78" i="30"/>
  <c r="H77" i="30"/>
  <c r="G77" i="30"/>
  <c r="F77" i="30"/>
  <c r="E77" i="30"/>
  <c r="D77" i="30"/>
  <c r="B77" i="30"/>
  <c r="H76" i="30"/>
  <c r="G76" i="30"/>
  <c r="F76" i="30"/>
  <c r="E76" i="30"/>
  <c r="D76" i="30"/>
  <c r="B76" i="30"/>
  <c r="H75" i="30"/>
  <c r="G75" i="30"/>
  <c r="F75" i="30"/>
  <c r="E75" i="30"/>
  <c r="D75" i="30"/>
  <c r="B75" i="30"/>
  <c r="H74" i="30"/>
  <c r="G74" i="30"/>
  <c r="F74" i="30"/>
  <c r="E74" i="30"/>
  <c r="D74" i="30"/>
  <c r="B74" i="30"/>
  <c r="H73" i="30"/>
  <c r="G73" i="30"/>
  <c r="F73" i="30"/>
  <c r="E73" i="30"/>
  <c r="D73" i="30"/>
  <c r="B73" i="30"/>
  <c r="H72" i="30"/>
  <c r="G72" i="30"/>
  <c r="F72" i="30"/>
  <c r="E72" i="30"/>
  <c r="D72" i="30"/>
  <c r="B72" i="30"/>
  <c r="H71" i="30"/>
  <c r="G71" i="30"/>
  <c r="F71" i="30"/>
  <c r="E71" i="30"/>
  <c r="D71" i="30"/>
  <c r="B71" i="30"/>
  <c r="H70" i="30"/>
  <c r="G70" i="30"/>
  <c r="F70" i="30"/>
  <c r="E70" i="30"/>
  <c r="D70" i="30"/>
  <c r="B70" i="30"/>
  <c r="H69" i="30"/>
  <c r="G69" i="30"/>
  <c r="F69" i="30"/>
  <c r="E69" i="30"/>
  <c r="D69" i="30"/>
  <c r="B69" i="30"/>
  <c r="H68" i="30"/>
  <c r="G68" i="30"/>
  <c r="F68" i="30"/>
  <c r="E68" i="30"/>
  <c r="D68" i="30"/>
  <c r="B68" i="30"/>
  <c r="H67" i="30"/>
  <c r="G67" i="30"/>
  <c r="F67" i="30"/>
  <c r="E67" i="30"/>
  <c r="D67" i="30"/>
  <c r="B67" i="30"/>
  <c r="H66" i="30"/>
  <c r="G66" i="30"/>
  <c r="F66" i="30"/>
  <c r="E66" i="30"/>
  <c r="D66" i="30"/>
  <c r="B66" i="30"/>
  <c r="H65" i="30"/>
  <c r="G65" i="30"/>
  <c r="F65" i="30"/>
  <c r="E65" i="30"/>
  <c r="D65" i="30"/>
  <c r="B65" i="30"/>
  <c r="H64" i="30"/>
  <c r="G64" i="30"/>
  <c r="F64" i="30"/>
  <c r="E64" i="30"/>
  <c r="D64" i="30"/>
  <c r="B64" i="30"/>
  <c r="J511" i="35"/>
  <c r="BR64" i="10"/>
  <c r="BP64" i="10"/>
  <c r="BR63" i="10"/>
  <c r="BP63" i="10"/>
  <c r="BR62" i="10"/>
  <c r="BP62" i="10"/>
  <c r="BR61" i="10"/>
  <c r="BP61" i="10"/>
  <c r="BR60" i="10"/>
  <c r="BP60" i="10"/>
  <c r="BR59" i="10"/>
  <c r="BP59" i="10"/>
  <c r="BR58" i="10"/>
  <c r="BP58" i="10"/>
  <c r="BR57" i="10"/>
  <c r="BP57" i="10"/>
  <c r="BR56" i="10"/>
  <c r="BP56" i="10"/>
  <c r="BR55" i="10"/>
  <c r="BP55" i="10"/>
  <c r="BR54" i="10"/>
  <c r="BP54" i="10"/>
  <c r="BR53" i="10"/>
  <c r="BP53" i="10"/>
  <c r="BR52" i="10"/>
  <c r="BP52" i="10"/>
  <c r="BR51" i="10"/>
  <c r="BP51" i="10"/>
  <c r="BR50" i="10"/>
  <c r="BP50" i="10"/>
  <c r="BR49" i="10"/>
  <c r="BP49" i="10"/>
  <c r="BR48" i="10"/>
  <c r="BP48" i="10"/>
  <c r="BR47" i="10"/>
  <c r="BP47" i="10"/>
  <c r="BR46" i="10"/>
  <c r="BP46" i="10"/>
  <c r="BR45" i="10"/>
  <c r="BP45" i="10"/>
  <c r="BR44" i="10"/>
  <c r="BP44" i="10"/>
  <c r="BR43" i="10"/>
  <c r="BP43" i="10"/>
  <c r="BR42" i="10"/>
  <c r="BP42" i="10"/>
  <c r="BR41" i="10"/>
  <c r="BP41" i="10"/>
  <c r="BR40" i="10"/>
  <c r="BP40" i="10"/>
  <c r="BR39" i="10"/>
  <c r="BP39" i="10"/>
  <c r="BR38" i="10"/>
  <c r="BP38" i="10"/>
  <c r="BR37" i="10"/>
  <c r="BP37" i="10"/>
  <c r="BR36" i="10"/>
  <c r="BP36" i="10"/>
  <c r="BR35" i="10"/>
  <c r="BP35" i="10"/>
  <c r="BR34" i="10"/>
  <c r="BP34" i="10"/>
  <c r="BR33" i="10"/>
  <c r="BP33" i="10"/>
  <c r="BR32" i="10"/>
  <c r="BP32" i="10"/>
  <c r="BR31" i="10"/>
  <c r="BP31" i="10"/>
  <c r="BR30" i="10"/>
  <c r="BP30" i="10"/>
  <c r="BR29" i="10"/>
  <c r="BP29" i="10"/>
  <c r="BR28" i="10"/>
  <c r="BP28" i="10"/>
  <c r="BR27" i="10"/>
  <c r="BP27" i="10"/>
  <c r="BR26" i="10"/>
  <c r="BP26" i="10"/>
  <c r="BR25" i="10"/>
  <c r="BP25" i="10"/>
  <c r="BR24" i="10"/>
  <c r="BP24" i="10"/>
  <c r="BR23" i="10"/>
  <c r="BP23" i="10"/>
  <c r="BR22" i="10"/>
  <c r="BP22" i="10"/>
  <c r="BR21" i="10"/>
  <c r="BP21" i="10"/>
  <c r="BR20" i="10"/>
  <c r="BP20" i="10"/>
  <c r="BR19" i="10"/>
  <c r="BP19" i="10"/>
  <c r="BR18" i="10"/>
  <c r="BP18" i="10"/>
  <c r="AD316" i="45" s="1"/>
  <c r="BR17" i="10"/>
  <c r="BP17" i="10"/>
  <c r="BR16" i="10"/>
  <c r="BP16" i="10"/>
  <c r="BR15" i="10"/>
  <c r="BP15" i="10"/>
  <c r="BR14" i="10"/>
  <c r="BP14" i="10"/>
  <c r="BR13" i="10"/>
  <c r="BP13" i="10"/>
  <c r="BR12" i="10"/>
  <c r="BP12" i="10"/>
  <c r="BR11" i="10"/>
  <c r="BP11" i="10"/>
  <c r="BR10" i="10"/>
  <c r="BP10" i="10"/>
  <c r="BR9" i="10"/>
  <c r="BP9" i="10"/>
  <c r="BR8" i="10"/>
  <c r="BP8" i="10"/>
  <c r="BR7" i="10"/>
  <c r="BP7" i="10"/>
  <c r="BR6" i="10"/>
  <c r="BP6" i="10"/>
  <c r="BR5" i="10"/>
  <c r="BP5" i="10"/>
  <c r="BR4" i="10"/>
  <c r="BP4" i="10"/>
  <c r="BP3" i="10"/>
  <c r="I1101" i="35" s="1"/>
  <c r="DR1" i="10"/>
  <c r="I1417" i="35" l="1"/>
  <c r="I1418" i="35"/>
  <c r="I1419" i="35"/>
  <c r="I1420" i="35"/>
  <c r="I1421" i="35"/>
  <c r="I1422" i="35"/>
  <c r="I1423" i="35"/>
  <c r="I1424" i="35"/>
  <c r="I1425" i="35"/>
  <c r="I1426" i="35"/>
  <c r="I1427" i="35"/>
  <c r="I1428" i="35"/>
  <c r="I1429" i="35"/>
  <c r="I1430" i="35"/>
  <c r="I1431" i="35"/>
  <c r="I1432" i="35"/>
  <c r="I1433" i="35"/>
  <c r="I1434" i="35"/>
  <c r="I1435" i="35"/>
  <c r="I1436" i="35"/>
  <c r="I1437" i="35"/>
  <c r="I1438" i="35"/>
  <c r="I1439" i="35"/>
  <c r="I1440" i="35"/>
  <c r="I1441" i="35"/>
  <c r="I1442" i="35"/>
  <c r="I1443" i="35"/>
  <c r="I1444" i="35"/>
  <c r="I1445" i="35"/>
  <c r="I1446" i="35"/>
  <c r="I1447" i="35"/>
  <c r="I1474" i="35"/>
  <c r="I1478" i="35"/>
  <c r="A776" i="33"/>
  <c r="A701" i="33"/>
  <c r="A775" i="33"/>
  <c r="A700" i="33"/>
  <c r="W324" i="45"/>
  <c r="Z324" i="45" s="1"/>
  <c r="K326" i="45" s="1"/>
  <c r="K327" i="45" s="1"/>
  <c r="AB341" i="45" s="1"/>
  <c r="Y315" i="45"/>
  <c r="AD315" i="45" s="1"/>
  <c r="K319" i="45" s="1"/>
  <c r="K320" i="45" s="1"/>
  <c r="U341" i="45" s="1"/>
  <c r="I1448" i="35"/>
  <c r="I1449" i="35"/>
  <c r="I1450" i="35"/>
  <c r="I1451" i="35"/>
  <c r="I1452" i="35"/>
  <c r="I1453" i="35"/>
  <c r="I1454" i="35"/>
  <c r="I1455" i="35"/>
  <c r="I1456" i="35"/>
  <c r="I1457" i="35"/>
  <c r="I1458" i="35"/>
  <c r="I1459" i="35"/>
  <c r="I1460" i="35"/>
  <c r="I1461" i="35"/>
  <c r="I1462" i="35"/>
  <c r="I1463" i="35"/>
  <c r="C297" i="35"/>
  <c r="J199" i="32"/>
  <c r="K72" i="30"/>
  <c r="K74" i="30"/>
  <c r="K76" i="30"/>
  <c r="K78" i="30"/>
  <c r="K80" i="30"/>
  <c r="K82" i="30"/>
  <c r="K84" i="30"/>
  <c r="K94" i="30"/>
  <c r="K96" i="30"/>
  <c r="K110" i="30"/>
  <c r="K112" i="30"/>
  <c r="K119" i="30"/>
  <c r="K123" i="30"/>
  <c r="J123" i="30" s="1"/>
  <c r="K86" i="30"/>
  <c r="K92" i="30"/>
  <c r="K106" i="30"/>
  <c r="K108" i="30"/>
  <c r="K118" i="30"/>
  <c r="K122" i="30"/>
  <c r="K65" i="30"/>
  <c r="J65" i="30" s="1"/>
  <c r="K67" i="30"/>
  <c r="K69" i="30"/>
  <c r="K71" i="30"/>
  <c r="K73" i="30"/>
  <c r="J73" i="30"/>
  <c r="K75" i="30"/>
  <c r="K77" i="30"/>
  <c r="K79" i="30"/>
  <c r="K81" i="30"/>
  <c r="J81" i="30" s="1"/>
  <c r="K83" i="30"/>
  <c r="K85" i="30"/>
  <c r="K87" i="30"/>
  <c r="K89" i="30"/>
  <c r="J89" i="30"/>
  <c r="K91" i="30"/>
  <c r="J91" i="30"/>
  <c r="K93" i="30"/>
  <c r="J93" i="30"/>
  <c r="K95" i="30"/>
  <c r="K97" i="30"/>
  <c r="K99" i="30"/>
  <c r="K101" i="30"/>
  <c r="K103" i="30"/>
  <c r="K105" i="30"/>
  <c r="J105" i="30" s="1"/>
  <c r="K107" i="30"/>
  <c r="K109" i="30"/>
  <c r="K111" i="30"/>
  <c r="J111" i="30" s="1"/>
  <c r="K113" i="30"/>
  <c r="K115" i="30"/>
  <c r="K117" i="30"/>
  <c r="J117" i="30" s="1"/>
  <c r="K120" i="30"/>
  <c r="K124" i="30"/>
  <c r="K64" i="30"/>
  <c r="K66" i="30"/>
  <c r="K68" i="30"/>
  <c r="K70" i="30"/>
  <c r="K88" i="30"/>
  <c r="K90" i="30"/>
  <c r="K98" i="30"/>
  <c r="K100" i="30"/>
  <c r="J100" i="30"/>
  <c r="K102" i="30"/>
  <c r="J102" i="30"/>
  <c r="K104" i="30"/>
  <c r="K114" i="30"/>
  <c r="K116" i="30"/>
  <c r="K121" i="30"/>
  <c r="K125" i="30"/>
  <c r="J125" i="30"/>
  <c r="BU4" i="10"/>
  <c r="CE4" i="10"/>
  <c r="CG4" i="10"/>
  <c r="BU6" i="10"/>
  <c r="CE6" i="10"/>
  <c r="CG6" i="10"/>
  <c r="BU8" i="10"/>
  <c r="CE8" i="10"/>
  <c r="CG8" i="10"/>
  <c r="BU10" i="10"/>
  <c r="CE10" i="10"/>
  <c r="CG10" i="10"/>
  <c r="BU11" i="10"/>
  <c r="CE11" i="10"/>
  <c r="CG11" i="10"/>
  <c r="BU13" i="10"/>
  <c r="CE13" i="10"/>
  <c r="CG13" i="10"/>
  <c r="BU14" i="10"/>
  <c r="CE14" i="10"/>
  <c r="CG14" i="10"/>
  <c r="BU15" i="10"/>
  <c r="CE15" i="10"/>
  <c r="CG15" i="10"/>
  <c r="BU16" i="10"/>
  <c r="CE16" i="10"/>
  <c r="CG16" i="10"/>
  <c r="BU17" i="10"/>
  <c r="CE17" i="10"/>
  <c r="CG17" i="10"/>
  <c r="BU18" i="10"/>
  <c r="CE18" i="10"/>
  <c r="CG18" i="10"/>
  <c r="BU19" i="10"/>
  <c r="CE19" i="10"/>
  <c r="CG19" i="10"/>
  <c r="BU20" i="10"/>
  <c r="CE20" i="10"/>
  <c r="CG20" i="10"/>
  <c r="BU21" i="10"/>
  <c r="CE21" i="10"/>
  <c r="CG21" i="10"/>
  <c r="BU22" i="10"/>
  <c r="CE22" i="10"/>
  <c r="CG22" i="10"/>
  <c r="BU23" i="10"/>
  <c r="CE23" i="10"/>
  <c r="CG23" i="10"/>
  <c r="BU24" i="10"/>
  <c r="CE24" i="10"/>
  <c r="CG24" i="10"/>
  <c r="BU25" i="10"/>
  <c r="CE25" i="10"/>
  <c r="CG25" i="10"/>
  <c r="BU26" i="10"/>
  <c r="CE26" i="10"/>
  <c r="CG26" i="10"/>
  <c r="BU27" i="10"/>
  <c r="CE27" i="10"/>
  <c r="CG27" i="10"/>
  <c r="BU28" i="10"/>
  <c r="CE28" i="10"/>
  <c r="CG28" i="10"/>
  <c r="BU29" i="10"/>
  <c r="CE29" i="10"/>
  <c r="CG29" i="10"/>
  <c r="BU30" i="10"/>
  <c r="CE30" i="10"/>
  <c r="CG30" i="10"/>
  <c r="BU31" i="10"/>
  <c r="CE31" i="10"/>
  <c r="CG31" i="10"/>
  <c r="BU32" i="10"/>
  <c r="CE32" i="10"/>
  <c r="CG32" i="10"/>
  <c r="BU33" i="10"/>
  <c r="CE33" i="10"/>
  <c r="CG33" i="10"/>
  <c r="BU34" i="10"/>
  <c r="CE34" i="10"/>
  <c r="CG34" i="10"/>
  <c r="BU35" i="10"/>
  <c r="CE35" i="10"/>
  <c r="CG35" i="10"/>
  <c r="BU36" i="10"/>
  <c r="CE36" i="10"/>
  <c r="CG36" i="10"/>
  <c r="BU37" i="10"/>
  <c r="CE37" i="10"/>
  <c r="CG37" i="10"/>
  <c r="BU38" i="10"/>
  <c r="CE38" i="10"/>
  <c r="CG38" i="10"/>
  <c r="BU39" i="10"/>
  <c r="CE39" i="10"/>
  <c r="CG39" i="10"/>
  <c r="BU40" i="10"/>
  <c r="CE40" i="10"/>
  <c r="CG40" i="10"/>
  <c r="BU41" i="10"/>
  <c r="CE41" i="10"/>
  <c r="CG41" i="10"/>
  <c r="BU42" i="10"/>
  <c r="CE42" i="10"/>
  <c r="CG42" i="10"/>
  <c r="BU43" i="10"/>
  <c r="CE43" i="10"/>
  <c r="CG43" i="10"/>
  <c r="BU44" i="10"/>
  <c r="CE44" i="10"/>
  <c r="CG44" i="10"/>
  <c r="BU45" i="10"/>
  <c r="CE45" i="10"/>
  <c r="CG45" i="10"/>
  <c r="BU46" i="10"/>
  <c r="CE46" i="10"/>
  <c r="CG46" i="10"/>
  <c r="BU47" i="10"/>
  <c r="CE47" i="10"/>
  <c r="CG47" i="10"/>
  <c r="BU48" i="10"/>
  <c r="CE48" i="10"/>
  <c r="CG48" i="10"/>
  <c r="BU49" i="10"/>
  <c r="CE49" i="10"/>
  <c r="CG49" i="10"/>
  <c r="BU50" i="10"/>
  <c r="CE50" i="10"/>
  <c r="CG50" i="10"/>
  <c r="BU51" i="10"/>
  <c r="CE51" i="10"/>
  <c r="CG51" i="10"/>
  <c r="BU52" i="10"/>
  <c r="CE52" i="10"/>
  <c r="CG52" i="10"/>
  <c r="BU53" i="10"/>
  <c r="CE53" i="10"/>
  <c r="CG53" i="10"/>
  <c r="BU54" i="10"/>
  <c r="CE54" i="10"/>
  <c r="CG54" i="10"/>
  <c r="BU55" i="10"/>
  <c r="CE55" i="10"/>
  <c r="CG55" i="10"/>
  <c r="BU56" i="10"/>
  <c r="CE56" i="10"/>
  <c r="CG56" i="10"/>
  <c r="BU57" i="10"/>
  <c r="CE57" i="10"/>
  <c r="CG57" i="10"/>
  <c r="BU58" i="10"/>
  <c r="CE58" i="10"/>
  <c r="CG58" i="10"/>
  <c r="BU59" i="10"/>
  <c r="CE59" i="10"/>
  <c r="CG59" i="10"/>
  <c r="BU60" i="10"/>
  <c r="CE60" i="10"/>
  <c r="CG60" i="10"/>
  <c r="BU61" i="10"/>
  <c r="CE61" i="10"/>
  <c r="CG61" i="10"/>
  <c r="BU62" i="10"/>
  <c r="CE62" i="10"/>
  <c r="CG62" i="10"/>
  <c r="BU63" i="10"/>
  <c r="CE63" i="10"/>
  <c r="CG63" i="10"/>
  <c r="BU64" i="10"/>
  <c r="CE64" i="10"/>
  <c r="CG64" i="10"/>
  <c r="BU3" i="10"/>
  <c r="CE3" i="10"/>
  <c r="CP3" i="10" s="1"/>
  <c r="HA3" i="10" s="1"/>
  <c r="CG3" i="10"/>
  <c r="BU5" i="10"/>
  <c r="CE5" i="10"/>
  <c r="CG5" i="10"/>
  <c r="BU7" i="10"/>
  <c r="CE7" i="10"/>
  <c r="CG7" i="10"/>
  <c r="BU9" i="10"/>
  <c r="CE9" i="10"/>
  <c r="CG9" i="10"/>
  <c r="BU12" i="10"/>
  <c r="CE12" i="10"/>
  <c r="CG12" i="10"/>
  <c r="DV68" i="10"/>
  <c r="EL68" i="10" s="1"/>
  <c r="DV72" i="10"/>
  <c r="EL72" i="10" s="1"/>
  <c r="DV76" i="10"/>
  <c r="EL76" i="10" s="1"/>
  <c r="DV80" i="10"/>
  <c r="EL80" i="10" s="1"/>
  <c r="DV84" i="10"/>
  <c r="EL84" i="10" s="1"/>
  <c r="DV88" i="10"/>
  <c r="EL88" i="10" s="1"/>
  <c r="DV92" i="10"/>
  <c r="EL92" i="10" s="1"/>
  <c r="DV96" i="10"/>
  <c r="EL96" i="10" s="1"/>
  <c r="DV100" i="10"/>
  <c r="EL100" i="10" s="1"/>
  <c r="DV104" i="10"/>
  <c r="EL104" i="10" s="1"/>
  <c r="DV108" i="10"/>
  <c r="EL108" i="10" s="1"/>
  <c r="DV112" i="10"/>
  <c r="EL112" i="10" s="1"/>
  <c r="DV116" i="10"/>
  <c r="EL116" i="10" s="1"/>
  <c r="DV120" i="10"/>
  <c r="EL120" i="10" s="1"/>
  <c r="DV124" i="10"/>
  <c r="EL124" i="10" s="1"/>
  <c r="DV65" i="10"/>
  <c r="EL65" i="10" s="1"/>
  <c r="DV69" i="10"/>
  <c r="EL69" i="10" s="1"/>
  <c r="DV73" i="10"/>
  <c r="EL73" i="10" s="1"/>
  <c r="DV77" i="10"/>
  <c r="EL77" i="10" s="1"/>
  <c r="DV81" i="10"/>
  <c r="EL81" i="10" s="1"/>
  <c r="DV85" i="10"/>
  <c r="EL85" i="10" s="1"/>
  <c r="DV89" i="10"/>
  <c r="EL89" i="10" s="1"/>
  <c r="DV93" i="10"/>
  <c r="EL93" i="10" s="1"/>
  <c r="DV97" i="10"/>
  <c r="EL97" i="10" s="1"/>
  <c r="DV101" i="10"/>
  <c r="EL101" i="10" s="1"/>
  <c r="DV105" i="10"/>
  <c r="EL105" i="10" s="1"/>
  <c r="DV109" i="10"/>
  <c r="EL109" i="10" s="1"/>
  <c r="DV113" i="10"/>
  <c r="EL113" i="10" s="1"/>
  <c r="DV117" i="10"/>
  <c r="EL117" i="10" s="1"/>
  <c r="DV121" i="10"/>
  <c r="EL121" i="10" s="1"/>
  <c r="DV125" i="10"/>
  <c r="EL125" i="10" s="1"/>
  <c r="DV66" i="10"/>
  <c r="EL66" i="10" s="1"/>
  <c r="DV70" i="10"/>
  <c r="EL70" i="10" s="1"/>
  <c r="DV74" i="10"/>
  <c r="EL74" i="10" s="1"/>
  <c r="DV78" i="10"/>
  <c r="EL78" i="10" s="1"/>
  <c r="DV82" i="10"/>
  <c r="EL82" i="10" s="1"/>
  <c r="DV86" i="10"/>
  <c r="EL86" i="10" s="1"/>
  <c r="DV90" i="10"/>
  <c r="EL90" i="10" s="1"/>
  <c r="DV94" i="10"/>
  <c r="EL94" i="10" s="1"/>
  <c r="DV98" i="10"/>
  <c r="EL98" i="10" s="1"/>
  <c r="DV102" i="10"/>
  <c r="EL102" i="10" s="1"/>
  <c r="DV106" i="10"/>
  <c r="EL106" i="10" s="1"/>
  <c r="DV110" i="10"/>
  <c r="EL110" i="10" s="1"/>
  <c r="DV114" i="10"/>
  <c r="EL114" i="10" s="1"/>
  <c r="DV118" i="10"/>
  <c r="EL118" i="10" s="1"/>
  <c r="DV122" i="10"/>
  <c r="EL122" i="10" s="1"/>
  <c r="DV126" i="10"/>
  <c r="EL126" i="10" s="1"/>
  <c r="DV67" i="10"/>
  <c r="EL67" i="10" s="1"/>
  <c r="DV83" i="10"/>
  <c r="EL83" i="10" s="1"/>
  <c r="DV99" i="10"/>
  <c r="EL99" i="10" s="1"/>
  <c r="DV115" i="10"/>
  <c r="EL115" i="10" s="1"/>
  <c r="DV119" i="10"/>
  <c r="EL119" i="10" s="1"/>
  <c r="DV75" i="10"/>
  <c r="EL75" i="10" s="1"/>
  <c r="DV107" i="10"/>
  <c r="EL107" i="10" s="1"/>
  <c r="DV79" i="10"/>
  <c r="EL79" i="10" s="1"/>
  <c r="DV111" i="10"/>
  <c r="EL111" i="10" s="1"/>
  <c r="DV71" i="10"/>
  <c r="EL71" i="10" s="1"/>
  <c r="DV87" i="10"/>
  <c r="EL87" i="10" s="1"/>
  <c r="DV103" i="10"/>
  <c r="EL103" i="10" s="1"/>
  <c r="DV91" i="10"/>
  <c r="EL91" i="10" s="1"/>
  <c r="DV123" i="10"/>
  <c r="EL123" i="10" s="1"/>
  <c r="DV95" i="10"/>
  <c r="EL95" i="10" s="1"/>
  <c r="K195" i="32"/>
  <c r="AO60" i="38" s="1"/>
  <c r="K199" i="32"/>
  <c r="AO64" i="38" s="1"/>
  <c r="B121" i="10"/>
  <c r="B182" i="30" s="1"/>
  <c r="A813" i="31"/>
  <c r="A553" i="31"/>
  <c r="B948" i="31"/>
  <c r="D294" i="31"/>
  <c r="A683" i="31"/>
  <c r="D423" i="31"/>
  <c r="D165" i="31"/>
  <c r="B122" i="10"/>
  <c r="B183" i="30" s="1"/>
  <c r="A814" i="31"/>
  <c r="A554" i="31"/>
  <c r="D424" i="31"/>
  <c r="D295" i="31"/>
  <c r="D166" i="31"/>
  <c r="B949" i="31"/>
  <c r="A684" i="31"/>
  <c r="I1464" i="35"/>
  <c r="J201" i="32"/>
  <c r="K201" i="32" s="1"/>
  <c r="AO66" i="38" s="1"/>
  <c r="J140" i="32"/>
  <c r="K140" i="32" s="1"/>
  <c r="J142" i="32"/>
  <c r="K142" i="32" s="1"/>
  <c r="AO7" i="38" s="1"/>
  <c r="J144" i="32"/>
  <c r="K144" i="32" s="1"/>
  <c r="AO9" i="38" s="1"/>
  <c r="J146" i="32"/>
  <c r="K146" i="32" s="1"/>
  <c r="AO11" i="38" s="1"/>
  <c r="J148" i="32"/>
  <c r="K148" i="32" s="1"/>
  <c r="AO13" i="38" s="1"/>
  <c r="J150" i="32"/>
  <c r="K150" i="32" s="1"/>
  <c r="AO15" i="38" s="1"/>
  <c r="J152" i="32"/>
  <c r="K152" i="32" s="1"/>
  <c r="AO17" i="38" s="1"/>
  <c r="J154" i="32"/>
  <c r="K154" i="32" s="1"/>
  <c r="AO19" i="38" s="1"/>
  <c r="J156" i="32"/>
  <c r="K156" i="32" s="1"/>
  <c r="AO21" i="38" s="1"/>
  <c r="J158" i="32"/>
  <c r="K158" i="32" s="1"/>
  <c r="AO23" i="38" s="1"/>
  <c r="J160" i="32"/>
  <c r="K160" i="32" s="1"/>
  <c r="AO25" i="38" s="1"/>
  <c r="J162" i="32"/>
  <c r="K162" i="32" s="1"/>
  <c r="AO27" i="38" s="1"/>
  <c r="J164" i="32"/>
  <c r="K164" i="32" s="1"/>
  <c r="AO29" i="38" s="1"/>
  <c r="J166" i="32"/>
  <c r="K166" i="32" s="1"/>
  <c r="AO31" i="38" s="1"/>
  <c r="J168" i="32"/>
  <c r="K168" i="32" s="1"/>
  <c r="AO33" i="38" s="1"/>
  <c r="J170" i="32"/>
  <c r="K170" i="32" s="1"/>
  <c r="AO35" i="38" s="1"/>
  <c r="J172" i="32"/>
  <c r="K172" i="32" s="1"/>
  <c r="J174" i="32"/>
  <c r="K174" i="32" s="1"/>
  <c r="AO39" i="38" s="1"/>
  <c r="J176" i="32"/>
  <c r="K176" i="32" s="1"/>
  <c r="AO41" i="38" s="1"/>
  <c r="J178" i="32"/>
  <c r="K178" i="32" s="1"/>
  <c r="AO43" i="38" s="1"/>
  <c r="J180" i="32"/>
  <c r="K180" i="32" s="1"/>
  <c r="AO45" i="38" s="1"/>
  <c r="J182" i="32"/>
  <c r="K182" i="32" s="1"/>
  <c r="AO47" i="38" s="1"/>
  <c r="J184" i="32"/>
  <c r="K184" i="32" s="1"/>
  <c r="AO49" i="38" s="1"/>
  <c r="J186" i="32"/>
  <c r="K186" i="32" s="1"/>
  <c r="AO51" i="38" s="1"/>
  <c r="J188" i="32"/>
  <c r="K188" i="32" s="1"/>
  <c r="AO53" i="38" s="1"/>
  <c r="J190" i="32"/>
  <c r="K190" i="32" s="1"/>
  <c r="AO55" i="38" s="1"/>
  <c r="J192" i="32"/>
  <c r="K192" i="32" s="1"/>
  <c r="AO57" i="38" s="1"/>
  <c r="J194" i="32"/>
  <c r="K194" i="32" s="1"/>
  <c r="AO59" i="38" s="1"/>
  <c r="J198" i="32"/>
  <c r="K198" i="32" s="1"/>
  <c r="AO63" i="38" s="1"/>
  <c r="I1465" i="35"/>
  <c r="I1466" i="35"/>
  <c r="I1467" i="35"/>
  <c r="I1468" i="35"/>
  <c r="I1469" i="35"/>
  <c r="I1470" i="35"/>
  <c r="I1471" i="35"/>
  <c r="I1475" i="35"/>
  <c r="J141" i="32"/>
  <c r="K141" i="32" s="1"/>
  <c r="AO6" i="38" s="1"/>
  <c r="J143" i="32"/>
  <c r="K143" i="32" s="1"/>
  <c r="AO8" i="38" s="1"/>
  <c r="J145" i="32"/>
  <c r="K145" i="32" s="1"/>
  <c r="AO10" i="38" s="1"/>
  <c r="J147" i="32"/>
  <c r="K147" i="32" s="1"/>
  <c r="AO12" i="38" s="1"/>
  <c r="J149" i="32"/>
  <c r="K149" i="32" s="1"/>
  <c r="AO14" i="38" s="1"/>
  <c r="J151" i="32"/>
  <c r="K151" i="32" s="1"/>
  <c r="AO16" i="38" s="1"/>
  <c r="J153" i="32"/>
  <c r="K153" i="32" s="1"/>
  <c r="AO18" i="38" s="1"/>
  <c r="J155" i="32"/>
  <c r="K155" i="32" s="1"/>
  <c r="AO20" i="38" s="1"/>
  <c r="J157" i="32"/>
  <c r="K157" i="32" s="1"/>
  <c r="AO22" i="38" s="1"/>
  <c r="J159" i="32"/>
  <c r="K159" i="32" s="1"/>
  <c r="AO24" i="38" s="1"/>
  <c r="J161" i="32"/>
  <c r="K161" i="32" s="1"/>
  <c r="AO26" i="38" s="1"/>
  <c r="J163" i="32"/>
  <c r="K163" i="32" s="1"/>
  <c r="AO28" i="38" s="1"/>
  <c r="J165" i="32"/>
  <c r="K165" i="32" s="1"/>
  <c r="AO30" i="38" s="1"/>
  <c r="J167" i="32"/>
  <c r="K167" i="32" s="1"/>
  <c r="AO32" i="38" s="1"/>
  <c r="J169" i="32"/>
  <c r="K169" i="32" s="1"/>
  <c r="AO34" i="38" s="1"/>
  <c r="J171" i="32"/>
  <c r="K171" i="32" s="1"/>
  <c r="AO36" i="38" s="1"/>
  <c r="J173" i="32"/>
  <c r="K173" i="32" s="1"/>
  <c r="AO38" i="38" s="1"/>
  <c r="J175" i="32"/>
  <c r="K175" i="32" s="1"/>
  <c r="AO40" i="38" s="1"/>
  <c r="J177" i="32"/>
  <c r="K177" i="32" s="1"/>
  <c r="AO42" i="38" s="1"/>
  <c r="J179" i="32"/>
  <c r="K179" i="32" s="1"/>
  <c r="AO44" i="38" s="1"/>
  <c r="J181" i="32"/>
  <c r="K181" i="32" s="1"/>
  <c r="AO46" i="38" s="1"/>
  <c r="J183" i="32"/>
  <c r="K183" i="32" s="1"/>
  <c r="AO48" i="38" s="1"/>
  <c r="J185" i="32"/>
  <c r="K185" i="32" s="1"/>
  <c r="AO50" i="38" s="1"/>
  <c r="J187" i="32"/>
  <c r="K187" i="32" s="1"/>
  <c r="J189" i="32"/>
  <c r="K189" i="32" s="1"/>
  <c r="AO54" i="38" s="1"/>
  <c r="J191" i="32"/>
  <c r="K191" i="32" s="1"/>
  <c r="AO56" i="38" s="1"/>
  <c r="J193" i="32"/>
  <c r="K193" i="32" s="1"/>
  <c r="AO58" i="38" s="1"/>
  <c r="J196" i="32"/>
  <c r="K196" i="32" s="1"/>
  <c r="AO61" i="38" s="1"/>
  <c r="J200" i="32"/>
  <c r="K200" i="32" s="1"/>
  <c r="AO65" i="38" s="1"/>
  <c r="I1473" i="35"/>
  <c r="I1477" i="35"/>
  <c r="J197" i="32"/>
  <c r="K197" i="32" s="1"/>
  <c r="AO62" i="38" s="1"/>
  <c r="I1472" i="35"/>
  <c r="I1476" i="35"/>
  <c r="K142" i="27"/>
  <c r="I573" i="30"/>
  <c r="I585" i="30"/>
  <c r="I591" i="30"/>
  <c r="I587" i="30"/>
  <c r="I586" i="30"/>
  <c r="I574" i="30"/>
  <c r="I577" i="30"/>
  <c r="I580" i="30"/>
  <c r="I581" i="30"/>
  <c r="I578" i="30"/>
  <c r="I590" i="30"/>
  <c r="I588" i="30"/>
  <c r="I579" i="30"/>
  <c r="I575" i="30"/>
  <c r="I589" i="30"/>
  <c r="I576" i="30"/>
  <c r="B59" i="10"/>
  <c r="A149" i="33"/>
  <c r="A844" i="33" s="1"/>
  <c r="D232" i="31"/>
  <c r="D361" i="31"/>
  <c r="A954" i="35"/>
  <c r="A194" i="32"/>
  <c r="A751" i="31"/>
  <c r="A106" i="32"/>
  <c r="A886" i="35"/>
  <c r="A1088" i="35"/>
  <c r="B58" i="10"/>
  <c r="A148" i="33"/>
  <c r="A843" i="33" s="1"/>
  <c r="D231" i="31"/>
  <c r="D360" i="31"/>
  <c r="A953" i="35"/>
  <c r="A193" i="32"/>
  <c r="A105" i="32"/>
  <c r="A750" i="31"/>
  <c r="A885" i="35"/>
  <c r="A1087" i="35"/>
  <c r="A956" i="33"/>
  <c r="A568" i="33"/>
  <c r="A1054" i="33"/>
  <c r="A635" i="33"/>
  <c r="A501" i="33"/>
  <c r="A434" i="33"/>
  <c r="A368" i="33"/>
  <c r="A213" i="33"/>
  <c r="A1053" i="33"/>
  <c r="A634" i="33"/>
  <c r="A500" i="33"/>
  <c r="A955" i="33"/>
  <c r="A567" i="33"/>
  <c r="A367" i="33"/>
  <c r="A433" i="33"/>
  <c r="A212" i="33"/>
  <c r="DP119" i="10"/>
  <c r="DS119" i="10" s="1"/>
  <c r="DQ119" i="10" s="1"/>
  <c r="DP115" i="10"/>
  <c r="DP65" i="10"/>
  <c r="DP94" i="10"/>
  <c r="DS94" i="10" s="1"/>
  <c r="DP69" i="10"/>
  <c r="DP73" i="10"/>
  <c r="DP77" i="10"/>
  <c r="DP81" i="10"/>
  <c r="DP85" i="10"/>
  <c r="DP122" i="10"/>
  <c r="DP66" i="10"/>
  <c r="DP103" i="10"/>
  <c r="DP107" i="10"/>
  <c r="DP120" i="10"/>
  <c r="DP126" i="10"/>
  <c r="DP70" i="10"/>
  <c r="DP74" i="10"/>
  <c r="DP78" i="10"/>
  <c r="DP82" i="10"/>
  <c r="DP116" i="10"/>
  <c r="DP112" i="10"/>
  <c r="DS112" i="10" s="1"/>
  <c r="DQ112" i="10" s="1"/>
  <c r="DP114" i="10"/>
  <c r="DP118" i="10"/>
  <c r="DP68" i="10"/>
  <c r="DP76" i="10"/>
  <c r="DP84" i="10"/>
  <c r="DP98" i="10"/>
  <c r="DP100" i="10"/>
  <c r="DP105" i="10"/>
  <c r="DS105" i="10" s="1"/>
  <c r="DS115" i="10"/>
  <c r="DQ115" i="10" s="1"/>
  <c r="DP67" i="10"/>
  <c r="DP71" i="10"/>
  <c r="DP75" i="10"/>
  <c r="DP79" i="10"/>
  <c r="DP83" i="10"/>
  <c r="DP113" i="10"/>
  <c r="DP117" i="10"/>
  <c r="DP72" i="10"/>
  <c r="DP80" i="10"/>
  <c r="DP121" i="10"/>
  <c r="DP96" i="10"/>
  <c r="DP104" i="10"/>
  <c r="DP89" i="10"/>
  <c r="DP123" i="10"/>
  <c r="DP108" i="10"/>
  <c r="DP102" i="10"/>
  <c r="DP106" i="10"/>
  <c r="DS106" i="10" s="1"/>
  <c r="DP92" i="10"/>
  <c r="DP101" i="10"/>
  <c r="DP91" i="10"/>
  <c r="DP124" i="10"/>
  <c r="DP109" i="10"/>
  <c r="DS109" i="10" s="1"/>
  <c r="DS96" i="10"/>
  <c r="DQ96" i="10" s="1"/>
  <c r="DP111" i="10"/>
  <c r="DP87" i="10"/>
  <c r="DP95" i="10"/>
  <c r="DP97" i="10"/>
  <c r="DP86" i="10"/>
  <c r="DP90" i="10"/>
  <c r="DP125" i="10"/>
  <c r="DP88" i="10"/>
  <c r="DP110" i="10"/>
  <c r="DP99" i="10"/>
  <c r="DP93" i="10"/>
  <c r="I95" i="33"/>
  <c r="N5" i="38"/>
  <c r="BT3" i="10"/>
  <c r="K200" i="35" s="1"/>
  <c r="BT4" i="10"/>
  <c r="K201" i="35" s="1"/>
  <c r="BT5" i="10"/>
  <c r="K202" i="35" s="1"/>
  <c r="BT6" i="10"/>
  <c r="K203" i="35" s="1"/>
  <c r="BT7" i="10"/>
  <c r="K204" i="35" s="1"/>
  <c r="BT8" i="10"/>
  <c r="K205" i="35" s="1"/>
  <c r="BT9" i="10"/>
  <c r="K206" i="35" s="1"/>
  <c r="BT10" i="10"/>
  <c r="K207" i="35" s="1"/>
  <c r="BT11" i="10"/>
  <c r="K208" i="35" s="1"/>
  <c r="BT12" i="10"/>
  <c r="K209" i="35" s="1"/>
  <c r="BT13" i="10"/>
  <c r="K210" i="35" s="1"/>
  <c r="BT14" i="10"/>
  <c r="K211" i="35" s="1"/>
  <c r="BQ15" i="10"/>
  <c r="BT15" i="10"/>
  <c r="K212" i="35" s="1"/>
  <c r="BT16" i="10"/>
  <c r="K213" i="35" s="1"/>
  <c r="BT17" i="10"/>
  <c r="K214" i="35" s="1"/>
  <c r="BT18" i="10"/>
  <c r="K215" i="35" s="1"/>
  <c r="BT19" i="10"/>
  <c r="K216" i="35" s="1"/>
  <c r="BT20" i="10"/>
  <c r="K217" i="35" s="1"/>
  <c r="BQ21" i="10"/>
  <c r="BT21" i="10"/>
  <c r="K218" i="35" s="1"/>
  <c r="BT22" i="10"/>
  <c r="K219" i="35" s="1"/>
  <c r="BT23" i="10"/>
  <c r="K220" i="35" s="1"/>
  <c r="BT24" i="10"/>
  <c r="K221" i="35" s="1"/>
  <c r="BT25" i="10"/>
  <c r="K222" i="35" s="1"/>
  <c r="BT26" i="10"/>
  <c r="K223" i="35" s="1"/>
  <c r="BQ27" i="10"/>
  <c r="BT27" i="10"/>
  <c r="K224" i="35" s="1"/>
  <c r="BT28" i="10"/>
  <c r="K225" i="35" s="1"/>
  <c r="BT29" i="10"/>
  <c r="K226" i="35" s="1"/>
  <c r="BT30" i="10"/>
  <c r="K227" i="35" s="1"/>
  <c r="BT31" i="10"/>
  <c r="K228" i="35" s="1"/>
  <c r="BT32" i="10"/>
  <c r="K229" i="35" s="1"/>
  <c r="BT33" i="10"/>
  <c r="K230" i="35" s="1"/>
  <c r="BQ34" i="10"/>
  <c r="BT34" i="10"/>
  <c r="K231" i="35" s="1"/>
  <c r="BT35" i="10"/>
  <c r="K232" i="35" s="1"/>
  <c r="BT36" i="10"/>
  <c r="K233" i="35" s="1"/>
  <c r="BT37" i="10"/>
  <c r="K234" i="35" s="1"/>
  <c r="G130" i="33"/>
  <c r="C1037" i="33" s="1"/>
  <c r="BT38" i="10"/>
  <c r="K235" i="35" s="1"/>
  <c r="BT39" i="10"/>
  <c r="K236" i="35" s="1"/>
  <c r="BT40" i="10"/>
  <c r="K237" i="35" s="1"/>
  <c r="BT41" i="10"/>
  <c r="K238" i="35" s="1"/>
  <c r="BQ42" i="10"/>
  <c r="BT42" i="10"/>
  <c r="K239" i="35" s="1"/>
  <c r="BT43" i="10"/>
  <c r="K240" i="35" s="1"/>
  <c r="BT44" i="10"/>
  <c r="K241" i="35" s="1"/>
  <c r="BT45" i="10"/>
  <c r="K242" i="35" s="1"/>
  <c r="BT46" i="10"/>
  <c r="K243" i="35" s="1"/>
  <c r="BT47" i="10"/>
  <c r="K244" i="35" s="1"/>
  <c r="BT48" i="10"/>
  <c r="K245" i="35" s="1"/>
  <c r="BT49" i="10"/>
  <c r="K246" i="35" s="1"/>
  <c r="BT50" i="10"/>
  <c r="K247" i="35" s="1"/>
  <c r="BT51" i="10"/>
  <c r="K248" i="35" s="1"/>
  <c r="BT52" i="10"/>
  <c r="K249" i="35" s="1"/>
  <c r="BT53" i="10"/>
  <c r="K250" i="35" s="1"/>
  <c r="BT54" i="10"/>
  <c r="K251" i="35" s="1"/>
  <c r="BT55" i="10"/>
  <c r="K252" i="35" s="1"/>
  <c r="BT56" i="10"/>
  <c r="K253" i="35" s="1"/>
  <c r="BT57" i="10"/>
  <c r="K254" i="35" s="1"/>
  <c r="BT58" i="10"/>
  <c r="K255" i="35" s="1"/>
  <c r="BQ59" i="10"/>
  <c r="BT59" i="10"/>
  <c r="K256" i="35" s="1"/>
  <c r="BT60" i="10"/>
  <c r="K257" i="35" s="1"/>
  <c r="BQ61" i="10"/>
  <c r="BT61" i="10"/>
  <c r="K258" i="35" s="1"/>
  <c r="BT62" i="10"/>
  <c r="K259" i="35" s="1"/>
  <c r="BQ63" i="10"/>
  <c r="BT63" i="10"/>
  <c r="K260" i="35" s="1"/>
  <c r="BT64" i="10"/>
  <c r="K261" i="35" s="1"/>
  <c r="BQ38" i="10"/>
  <c r="BQ8" i="10"/>
  <c r="BQ22" i="10"/>
  <c r="BQ45" i="10"/>
  <c r="BQ57" i="10"/>
  <c r="BQ51" i="10"/>
  <c r="BQ53" i="10"/>
  <c r="BQ55" i="10"/>
  <c r="G556" i="30"/>
  <c r="H556" i="30" s="1"/>
  <c r="I107" i="33"/>
  <c r="L107" i="33" s="1"/>
  <c r="G134" i="33"/>
  <c r="C1041" i="33" s="1"/>
  <c r="I151" i="33"/>
  <c r="L151" i="33" s="1"/>
  <c r="G572" i="30"/>
  <c r="H572" i="30" s="1"/>
  <c r="G109" i="33"/>
  <c r="C1016" i="33" s="1"/>
  <c r="I147" i="33"/>
  <c r="L147" i="33" s="1"/>
  <c r="BQ3" i="10"/>
  <c r="BQ7" i="10"/>
  <c r="I144" i="33"/>
  <c r="L144" i="33" s="1"/>
  <c r="I96" i="33"/>
  <c r="L96" i="33" s="1"/>
  <c r="BQ28" i="10"/>
  <c r="BQ33" i="10"/>
  <c r="BQ47" i="10"/>
  <c r="BQ49" i="10"/>
  <c r="G143" i="33"/>
  <c r="C1050" i="33" s="1"/>
  <c r="G567" i="30"/>
  <c r="H567" i="30" s="1"/>
  <c r="J512" i="35"/>
  <c r="I104" i="33"/>
  <c r="L104" i="33" s="1"/>
  <c r="G114" i="33"/>
  <c r="C1021" i="33" s="1"/>
  <c r="G566" i="30"/>
  <c r="H566" i="30" s="1"/>
  <c r="I120" i="33"/>
  <c r="L120" i="33" s="1"/>
  <c r="G137" i="33"/>
  <c r="C1044" i="33" s="1"/>
  <c r="G156" i="33"/>
  <c r="C1063" i="33" s="1"/>
  <c r="D230" i="27"/>
  <c r="U9" i="38"/>
  <c r="U13" i="38"/>
  <c r="U17" i="38"/>
  <c r="U23" i="38"/>
  <c r="U31" i="38"/>
  <c r="U39" i="38"/>
  <c r="U45" i="38"/>
  <c r="U51" i="38"/>
  <c r="U53" i="38"/>
  <c r="U59" i="38"/>
  <c r="U63" i="38"/>
  <c r="U6" i="38"/>
  <c r="U8" i="38"/>
  <c r="U10" i="38"/>
  <c r="U12" i="38"/>
  <c r="U14" i="38"/>
  <c r="U16" i="38"/>
  <c r="U18" i="38"/>
  <c r="U20" i="38"/>
  <c r="U22" i="38"/>
  <c r="U24" i="38"/>
  <c r="U26" i="38"/>
  <c r="U28" i="38"/>
  <c r="U30" i="38"/>
  <c r="U32" i="38"/>
  <c r="U34" i="38"/>
  <c r="U36" i="38"/>
  <c r="U38" i="38"/>
  <c r="U40" i="38"/>
  <c r="U42" i="38"/>
  <c r="U44" i="38"/>
  <c r="U46" i="38"/>
  <c r="U48" i="38"/>
  <c r="U50" i="38"/>
  <c r="U52" i="38"/>
  <c r="U54" i="38"/>
  <c r="U56" i="38"/>
  <c r="U58" i="38"/>
  <c r="U60" i="38"/>
  <c r="U62" i="38"/>
  <c r="U64" i="38"/>
  <c r="U66" i="38"/>
  <c r="U7" i="38"/>
  <c r="U11" i="38"/>
  <c r="U15" i="38"/>
  <c r="U21" i="38"/>
  <c r="U27" i="38"/>
  <c r="U33" i="38"/>
  <c r="U37" i="38"/>
  <c r="U43" i="38"/>
  <c r="U49" i="38"/>
  <c r="U57" i="38"/>
  <c r="U61" i="38"/>
  <c r="U5" i="38"/>
  <c r="U19" i="38"/>
  <c r="U25" i="38"/>
  <c r="U29" i="38"/>
  <c r="U35" i="38"/>
  <c r="U41" i="38"/>
  <c r="U47" i="38"/>
  <c r="U55" i="38"/>
  <c r="U65" i="38"/>
  <c r="T6" i="38"/>
  <c r="T8" i="38"/>
  <c r="T10" i="38"/>
  <c r="T12" i="38"/>
  <c r="T14" i="38"/>
  <c r="T16" i="38"/>
  <c r="T18" i="38"/>
  <c r="T20" i="38"/>
  <c r="T22" i="38"/>
  <c r="T24" i="38"/>
  <c r="T26" i="38"/>
  <c r="T28" i="38"/>
  <c r="T30" i="38"/>
  <c r="T32" i="38"/>
  <c r="T34" i="38"/>
  <c r="T36" i="38"/>
  <c r="T38" i="38"/>
  <c r="T40" i="38"/>
  <c r="T42" i="38"/>
  <c r="T44" i="38"/>
  <c r="T46" i="38"/>
  <c r="T48" i="38"/>
  <c r="T50" i="38"/>
  <c r="T52" i="38"/>
  <c r="T54" i="38"/>
  <c r="T56" i="38"/>
  <c r="T58" i="38"/>
  <c r="T60" i="38"/>
  <c r="T62" i="38"/>
  <c r="T64" i="38"/>
  <c r="T66" i="38"/>
  <c r="T5" i="38"/>
  <c r="T7" i="38"/>
  <c r="T9" i="38"/>
  <c r="T11" i="38"/>
  <c r="T13" i="38"/>
  <c r="T15" i="38"/>
  <c r="T17" i="38"/>
  <c r="T19" i="38"/>
  <c r="T21" i="38"/>
  <c r="T23" i="38"/>
  <c r="T25" i="38"/>
  <c r="T27" i="38"/>
  <c r="T29" i="38"/>
  <c r="T31" i="38"/>
  <c r="T33" i="38"/>
  <c r="T35" i="38"/>
  <c r="T37" i="38"/>
  <c r="T39" i="38"/>
  <c r="T41" i="38"/>
  <c r="T43" i="38"/>
  <c r="T45" i="38"/>
  <c r="T47" i="38"/>
  <c r="T49" i="38"/>
  <c r="T51" i="38"/>
  <c r="T53" i="38"/>
  <c r="T55" i="38"/>
  <c r="T57" i="38"/>
  <c r="T59" i="38"/>
  <c r="T61" i="38"/>
  <c r="T63" i="38"/>
  <c r="T65" i="38"/>
  <c r="F228" i="27"/>
  <c r="C282" i="35"/>
  <c r="D228" i="27"/>
  <c r="G228" i="27"/>
  <c r="E228" i="27"/>
  <c r="AO37" i="38"/>
  <c r="AO52" i="38"/>
  <c r="M38" i="32"/>
  <c r="B518" i="35"/>
  <c r="B520" i="35"/>
  <c r="B522" i="35"/>
  <c r="B524" i="35"/>
  <c r="D291" i="35"/>
  <c r="H291" i="35" s="1"/>
  <c r="D293" i="35"/>
  <c r="H293" i="35" s="1"/>
  <c r="D295" i="35"/>
  <c r="H295" i="35" s="1"/>
  <c r="D297" i="35"/>
  <c r="H297" i="35" s="1"/>
  <c r="B534" i="35"/>
  <c r="D301" i="35"/>
  <c r="H301" i="35" s="1"/>
  <c r="D303" i="35"/>
  <c r="H303" i="35" s="1"/>
  <c r="D305" i="35"/>
  <c r="H305" i="35" s="1"/>
  <c r="B542" i="35"/>
  <c r="B544" i="35"/>
  <c r="B546" i="35"/>
  <c r="B550" i="35"/>
  <c r="B552" i="35"/>
  <c r="B554" i="35"/>
  <c r="B556" i="35"/>
  <c r="B558" i="35"/>
  <c r="B560" i="35"/>
  <c r="E291" i="35"/>
  <c r="E293" i="35"/>
  <c r="E295" i="35"/>
  <c r="E297" i="35"/>
  <c r="E299" i="35"/>
  <c r="E301" i="35"/>
  <c r="E303" i="35"/>
  <c r="E305" i="35"/>
  <c r="E307" i="35"/>
  <c r="E309" i="35"/>
  <c r="E311" i="35"/>
  <c r="E313" i="35"/>
  <c r="E315" i="35"/>
  <c r="E317" i="35"/>
  <c r="E319" i="35"/>
  <c r="E321" i="35"/>
  <c r="E323" i="35"/>
  <c r="E325" i="35"/>
  <c r="E327" i="35"/>
  <c r="E329" i="35"/>
  <c r="E331" i="35"/>
  <c r="E333" i="35"/>
  <c r="E335" i="35"/>
  <c r="E337" i="35"/>
  <c r="E339" i="35"/>
  <c r="E341" i="35"/>
  <c r="E343" i="35"/>
  <c r="B517" i="35"/>
  <c r="B519" i="35"/>
  <c r="B521" i="35"/>
  <c r="B523" i="35"/>
  <c r="D290" i="35"/>
  <c r="H290" i="35" s="1"/>
  <c r="D292" i="35"/>
  <c r="H292" i="35" s="1"/>
  <c r="F293" i="35"/>
  <c r="I293" i="35" s="1"/>
  <c r="B529" i="35"/>
  <c r="F295" i="35"/>
  <c r="B531" i="35"/>
  <c r="F297" i="35"/>
  <c r="B533" i="35"/>
  <c r="F299" i="35"/>
  <c r="B535" i="35"/>
  <c r="F301" i="35"/>
  <c r="I301" i="35" s="1"/>
  <c r="B537" i="35"/>
  <c r="F303" i="35"/>
  <c r="B539" i="35"/>
  <c r="F305" i="35"/>
  <c r="B541" i="35"/>
  <c r="F307" i="35"/>
  <c r="B543" i="35"/>
  <c r="F309" i="35"/>
  <c r="B545" i="35"/>
  <c r="F311" i="35"/>
  <c r="D312" i="35"/>
  <c r="H312" i="35" s="1"/>
  <c r="F313" i="35"/>
  <c r="B549" i="35"/>
  <c r="F315" i="35"/>
  <c r="B551" i="35"/>
  <c r="F317" i="35"/>
  <c r="I317" i="35" s="1"/>
  <c r="B553" i="35"/>
  <c r="F319" i="35"/>
  <c r="B555" i="35"/>
  <c r="F321" i="35"/>
  <c r="B557" i="35"/>
  <c r="F323" i="35"/>
  <c r="B559" i="35"/>
  <c r="F325" i="35"/>
  <c r="I325" i="35" s="1"/>
  <c r="D326" i="35"/>
  <c r="H326" i="35" s="1"/>
  <c r="F327" i="35"/>
  <c r="D328" i="35"/>
  <c r="H328" i="35" s="1"/>
  <c r="F329" i="35"/>
  <c r="D330" i="35"/>
  <c r="H330" i="35" s="1"/>
  <c r="F331" i="35"/>
  <c r="D332" i="35"/>
  <c r="H332" i="35" s="1"/>
  <c r="F333" i="35"/>
  <c r="I333" i="35" s="1"/>
  <c r="D334" i="35"/>
  <c r="H334" i="35" s="1"/>
  <c r="F335" i="35"/>
  <c r="D336" i="35"/>
  <c r="H336" i="35" s="1"/>
  <c r="F337" i="35"/>
  <c r="D338" i="35"/>
  <c r="H338" i="35" s="1"/>
  <c r="F339" i="35"/>
  <c r="D340" i="35"/>
  <c r="H340" i="35" s="1"/>
  <c r="F341" i="35"/>
  <c r="I341" i="35" s="1"/>
  <c r="D342" i="35"/>
  <c r="H342" i="35" s="1"/>
  <c r="F343" i="35"/>
  <c r="E290" i="35"/>
  <c r="E292" i="35"/>
  <c r="E294" i="35"/>
  <c r="E296" i="35"/>
  <c r="E298" i="35"/>
  <c r="E300" i="35"/>
  <c r="E302" i="35"/>
  <c r="E304" i="35"/>
  <c r="E306" i="35"/>
  <c r="E308" i="35"/>
  <c r="E310" i="35"/>
  <c r="E312" i="35"/>
  <c r="E314" i="35"/>
  <c r="E316" i="35"/>
  <c r="E318" i="35"/>
  <c r="E320" i="35"/>
  <c r="E322" i="35"/>
  <c r="E324" i="35"/>
  <c r="E326" i="35"/>
  <c r="E328" i="35"/>
  <c r="E330" i="35"/>
  <c r="E332" i="35"/>
  <c r="E334" i="35"/>
  <c r="E336" i="35"/>
  <c r="E338" i="35"/>
  <c r="E340" i="35"/>
  <c r="E342" i="35"/>
  <c r="E524" i="35"/>
  <c r="E526" i="35"/>
  <c r="E528" i="35"/>
  <c r="E530" i="35"/>
  <c r="E532" i="35"/>
  <c r="E534" i="35"/>
  <c r="E536" i="35"/>
  <c r="E538" i="35"/>
  <c r="E540" i="35"/>
  <c r="E542" i="35"/>
  <c r="D543" i="35"/>
  <c r="E544" i="35"/>
  <c r="D545" i="35"/>
  <c r="E546" i="35"/>
  <c r="D547" i="35"/>
  <c r="B548" i="35"/>
  <c r="E548" i="35"/>
  <c r="D549" i="35"/>
  <c r="E550" i="35"/>
  <c r="D551" i="35"/>
  <c r="E552" i="35"/>
  <c r="D553" i="35"/>
  <c r="E554" i="35"/>
  <c r="D555" i="35"/>
  <c r="E556" i="35"/>
  <c r="D557" i="35"/>
  <c r="E558" i="35"/>
  <c r="D559" i="35"/>
  <c r="E560" i="35"/>
  <c r="D561" i="35"/>
  <c r="B562" i="35"/>
  <c r="E562" i="35"/>
  <c r="D563" i="35"/>
  <c r="B564" i="35"/>
  <c r="E564" i="35"/>
  <c r="D565" i="35"/>
  <c r="B566" i="35"/>
  <c r="E566" i="35"/>
  <c r="D567" i="35"/>
  <c r="B568" i="35"/>
  <c r="E568" i="35"/>
  <c r="D569" i="35"/>
  <c r="B570" i="35"/>
  <c r="E570" i="35"/>
  <c r="D571" i="35"/>
  <c r="B572" i="35"/>
  <c r="E572" i="35"/>
  <c r="D573" i="35"/>
  <c r="B574" i="35"/>
  <c r="E574" i="35"/>
  <c r="D575" i="35"/>
  <c r="B576" i="35"/>
  <c r="E576" i="35"/>
  <c r="D577" i="35"/>
  <c r="B578" i="35"/>
  <c r="E578" i="35"/>
  <c r="E283" i="35"/>
  <c r="E285" i="35"/>
  <c r="E287" i="35"/>
  <c r="E289" i="35"/>
  <c r="E517" i="35"/>
  <c r="C518" i="35"/>
  <c r="E519" i="35"/>
  <c r="C520" i="35"/>
  <c r="E521" i="35"/>
  <c r="C522" i="35"/>
  <c r="E523" i="35"/>
  <c r="C524" i="35"/>
  <c r="B525" i="35"/>
  <c r="B526" i="35"/>
  <c r="B527" i="35"/>
  <c r="B528" i="35"/>
  <c r="D531" i="35"/>
  <c r="F534" i="35"/>
  <c r="B536" i="35"/>
  <c r="D539" i="35"/>
  <c r="F542" i="35"/>
  <c r="C526" i="35"/>
  <c r="C528" i="35"/>
  <c r="F529" i="35"/>
  <c r="C530" i="35"/>
  <c r="F531" i="35"/>
  <c r="C532" i="35"/>
  <c r="F533" i="35"/>
  <c r="C534" i="35"/>
  <c r="F535" i="35"/>
  <c r="C536" i="35"/>
  <c r="F537" i="35"/>
  <c r="C538" i="35"/>
  <c r="F539" i="35"/>
  <c r="C540" i="35"/>
  <c r="F541" i="35"/>
  <c r="C542" i="35"/>
  <c r="F543" i="35"/>
  <c r="C544" i="35"/>
  <c r="F545" i="35"/>
  <c r="C546" i="35"/>
  <c r="F547" i="35"/>
  <c r="C548" i="35"/>
  <c r="F549" i="35"/>
  <c r="C550" i="35"/>
  <c r="F551" i="35"/>
  <c r="C552" i="35"/>
  <c r="F553" i="35"/>
  <c r="C554" i="35"/>
  <c r="F555" i="35"/>
  <c r="C556" i="35"/>
  <c r="F557" i="35"/>
  <c r="C558" i="35"/>
  <c r="F559" i="35"/>
  <c r="C560" i="35"/>
  <c r="F561" i="35"/>
  <c r="C562" i="35"/>
  <c r="F563" i="35"/>
  <c r="C564" i="35"/>
  <c r="F565" i="35"/>
  <c r="C566" i="35"/>
  <c r="F567" i="35"/>
  <c r="C568" i="35"/>
  <c r="F569" i="35"/>
  <c r="C570" i="35"/>
  <c r="F571" i="35"/>
  <c r="C572" i="35"/>
  <c r="F573" i="35"/>
  <c r="C574" i="35"/>
  <c r="F575" i="35"/>
  <c r="C576" i="35"/>
  <c r="F577" i="35"/>
  <c r="C578" i="35"/>
  <c r="D282" i="35"/>
  <c r="H282" i="35" s="1"/>
  <c r="B283" i="35"/>
  <c r="G283" i="35" s="1"/>
  <c r="F283" i="35"/>
  <c r="D284" i="35"/>
  <c r="H284" i="35" s="1"/>
  <c r="B285" i="35"/>
  <c r="G285" i="35" s="1"/>
  <c r="F285" i="35"/>
  <c r="D286" i="35"/>
  <c r="H286" i="35" s="1"/>
  <c r="B287" i="35"/>
  <c r="G287" i="35" s="1"/>
  <c r="F287" i="35"/>
  <c r="D288" i="35"/>
  <c r="H288" i="35" s="1"/>
  <c r="B289" i="35"/>
  <c r="G289" i="35" s="1"/>
  <c r="F289" i="35"/>
  <c r="B291" i="35"/>
  <c r="G291" i="35" s="1"/>
  <c r="F291" i="35"/>
  <c r="B293" i="35"/>
  <c r="G293" i="35" s="1"/>
  <c r="D294" i="35"/>
  <c r="H294" i="35" s="1"/>
  <c r="B295" i="35"/>
  <c r="G295" i="35" s="1"/>
  <c r="D296" i="35"/>
  <c r="H296" i="35" s="1"/>
  <c r="B297" i="35"/>
  <c r="G297" i="35" s="1"/>
  <c r="D298" i="35"/>
  <c r="H298" i="35" s="1"/>
  <c r="B299" i="35"/>
  <c r="G299" i="35" s="1"/>
  <c r="D300" i="35"/>
  <c r="H300" i="35" s="1"/>
  <c r="B301" i="35"/>
  <c r="G301" i="35" s="1"/>
  <c r="D302" i="35"/>
  <c r="H302" i="35" s="1"/>
  <c r="B303" i="35"/>
  <c r="G303" i="35" s="1"/>
  <c r="D304" i="35"/>
  <c r="H304" i="35" s="1"/>
  <c r="B305" i="35"/>
  <c r="G305" i="35" s="1"/>
  <c r="D306" i="35"/>
  <c r="H306" i="35" s="1"/>
  <c r="B307" i="35"/>
  <c r="G307" i="35" s="1"/>
  <c r="D308" i="35"/>
  <c r="H308" i="35" s="1"/>
  <c r="B309" i="35"/>
  <c r="G309" i="35" s="1"/>
  <c r="D310" i="35"/>
  <c r="H310" i="35" s="1"/>
  <c r="B311" i="35"/>
  <c r="G311" i="35" s="1"/>
  <c r="B313" i="35"/>
  <c r="G313" i="35" s="1"/>
  <c r="D314" i="35"/>
  <c r="H314" i="35" s="1"/>
  <c r="B315" i="35"/>
  <c r="G315" i="35" s="1"/>
  <c r="D316" i="35"/>
  <c r="H316" i="35" s="1"/>
  <c r="B317" i="35"/>
  <c r="G317" i="35" s="1"/>
  <c r="D318" i="35"/>
  <c r="H318" i="35" s="1"/>
  <c r="B319" i="35"/>
  <c r="G319" i="35" s="1"/>
  <c r="D320" i="35"/>
  <c r="H320" i="35" s="1"/>
  <c r="B321" i="35"/>
  <c r="G321" i="35" s="1"/>
  <c r="D322" i="35"/>
  <c r="H322" i="35" s="1"/>
  <c r="B323" i="35"/>
  <c r="G323" i="35" s="1"/>
  <c r="D324" i="35"/>
  <c r="H324" i="35" s="1"/>
  <c r="B325" i="35"/>
  <c r="G325" i="35" s="1"/>
  <c r="B327" i="35"/>
  <c r="G327" i="35" s="1"/>
  <c r="B329" i="35"/>
  <c r="G329" i="35" s="1"/>
  <c r="B331" i="35"/>
  <c r="G331" i="35" s="1"/>
  <c r="B333" i="35"/>
  <c r="G333" i="35" s="1"/>
  <c r="B335" i="35"/>
  <c r="G335" i="35" s="1"/>
  <c r="B337" i="35"/>
  <c r="G337" i="35" s="1"/>
  <c r="B339" i="35"/>
  <c r="G339" i="35" s="1"/>
  <c r="B341" i="35"/>
  <c r="G341" i="35" s="1"/>
  <c r="B343" i="35"/>
  <c r="G343" i="35" s="1"/>
  <c r="F517" i="35"/>
  <c r="D518" i="35"/>
  <c r="F519" i="35"/>
  <c r="D520" i="35"/>
  <c r="F521" i="35"/>
  <c r="D522" i="35"/>
  <c r="F523" i="35"/>
  <c r="D524" i="35"/>
  <c r="D525" i="35"/>
  <c r="D526" i="35"/>
  <c r="D527" i="35"/>
  <c r="F528" i="35"/>
  <c r="B530" i="35"/>
  <c r="D533" i="35"/>
  <c r="F536" i="35"/>
  <c r="B538" i="35"/>
  <c r="D541" i="35"/>
  <c r="E527" i="35"/>
  <c r="D528" i="35"/>
  <c r="E529" i="35"/>
  <c r="D530" i="35"/>
  <c r="E531" i="35"/>
  <c r="D532" i="35"/>
  <c r="E533" i="35"/>
  <c r="D534" i="35"/>
  <c r="E535" i="35"/>
  <c r="D536" i="35"/>
  <c r="E537" i="35"/>
  <c r="D538" i="35"/>
  <c r="E539" i="35"/>
  <c r="D540" i="35"/>
  <c r="E541" i="35"/>
  <c r="D542" i="35"/>
  <c r="E543" i="35"/>
  <c r="D544" i="35"/>
  <c r="E545" i="35"/>
  <c r="D546" i="35"/>
  <c r="B547" i="35"/>
  <c r="E547" i="35"/>
  <c r="D548" i="35"/>
  <c r="E549" i="35"/>
  <c r="D550" i="35"/>
  <c r="E551" i="35"/>
  <c r="D552" i="35"/>
  <c r="E553" i="35"/>
  <c r="D554" i="35"/>
  <c r="E555" i="35"/>
  <c r="D556" i="35"/>
  <c r="E557" i="35"/>
  <c r="D558" i="35"/>
  <c r="E559" i="35"/>
  <c r="D560" i="35"/>
  <c r="B561" i="35"/>
  <c r="E561" i="35"/>
  <c r="D562" i="35"/>
  <c r="B563" i="35"/>
  <c r="E563" i="35"/>
  <c r="D564" i="35"/>
  <c r="B565" i="35"/>
  <c r="E565" i="35"/>
  <c r="D566" i="35"/>
  <c r="B567" i="35"/>
  <c r="E567" i="35"/>
  <c r="D568" i="35"/>
  <c r="B569" i="35"/>
  <c r="E569" i="35"/>
  <c r="D570" i="35"/>
  <c r="B571" i="35"/>
  <c r="E571" i="35"/>
  <c r="D572" i="35"/>
  <c r="B573" i="35"/>
  <c r="E573" i="35"/>
  <c r="D574" i="35"/>
  <c r="B575" i="35"/>
  <c r="E575" i="35"/>
  <c r="D576" i="35"/>
  <c r="B577" i="35"/>
  <c r="E577" i="35"/>
  <c r="D578" i="35"/>
  <c r="E282" i="35"/>
  <c r="E284" i="35"/>
  <c r="E286" i="35"/>
  <c r="E288" i="35"/>
  <c r="C517" i="35"/>
  <c r="E518" i="35"/>
  <c r="C519" i="35"/>
  <c r="E520" i="35"/>
  <c r="C521" i="35"/>
  <c r="E522" i="35"/>
  <c r="C523" i="35"/>
  <c r="F524" i="35"/>
  <c r="F525" i="35"/>
  <c r="F526" i="35"/>
  <c r="F527" i="35"/>
  <c r="F530" i="35"/>
  <c r="B532" i="35"/>
  <c r="D535" i="35"/>
  <c r="F538" i="35"/>
  <c r="B540" i="35"/>
  <c r="E525" i="35"/>
  <c r="C525" i="35"/>
  <c r="C527" i="35"/>
  <c r="C529" i="35"/>
  <c r="C531" i="35"/>
  <c r="C533" i="35"/>
  <c r="C535" i="35"/>
  <c r="C537" i="35"/>
  <c r="C539" i="35"/>
  <c r="C541" i="35"/>
  <c r="C543" i="35"/>
  <c r="F544" i="35"/>
  <c r="C545" i="35"/>
  <c r="F546" i="35"/>
  <c r="C547" i="35"/>
  <c r="F548" i="35"/>
  <c r="C549" i="35"/>
  <c r="F550" i="35"/>
  <c r="C551" i="35"/>
  <c r="F552" i="35"/>
  <c r="C553" i="35"/>
  <c r="F554" i="35"/>
  <c r="C555" i="35"/>
  <c r="F556" i="35"/>
  <c r="C557" i="35"/>
  <c r="F558" i="35"/>
  <c r="C559" i="35"/>
  <c r="F560" i="35"/>
  <c r="C561" i="35"/>
  <c r="F562" i="35"/>
  <c r="C563" i="35"/>
  <c r="F564" i="35"/>
  <c r="C565" i="35"/>
  <c r="F566" i="35"/>
  <c r="C567" i="35"/>
  <c r="F568" i="35"/>
  <c r="C569" i="35"/>
  <c r="F570" i="35"/>
  <c r="C571" i="35"/>
  <c r="F572" i="35"/>
  <c r="C573" i="35"/>
  <c r="F574" i="35"/>
  <c r="C575" i="35"/>
  <c r="F576" i="35"/>
  <c r="C577" i="35"/>
  <c r="F578" i="35"/>
  <c r="B282" i="35"/>
  <c r="F282" i="35"/>
  <c r="D283" i="35"/>
  <c r="H283" i="35" s="1"/>
  <c r="B284" i="35"/>
  <c r="G284" i="35" s="1"/>
  <c r="F284" i="35"/>
  <c r="D285" i="35"/>
  <c r="H285" i="35" s="1"/>
  <c r="B286" i="35"/>
  <c r="G286" i="35" s="1"/>
  <c r="F286" i="35"/>
  <c r="D287" i="35"/>
  <c r="H287" i="35" s="1"/>
  <c r="B288" i="35"/>
  <c r="G288" i="35" s="1"/>
  <c r="F288" i="35"/>
  <c r="D289" i="35"/>
  <c r="H289" i="35" s="1"/>
  <c r="B290" i="35"/>
  <c r="G290" i="35" s="1"/>
  <c r="F290" i="35"/>
  <c r="B292" i="35"/>
  <c r="G292" i="35" s="1"/>
  <c r="F292" i="35"/>
  <c r="B294" i="35"/>
  <c r="G294" i="35" s="1"/>
  <c r="F294" i="35"/>
  <c r="B296" i="35"/>
  <c r="G296" i="35" s="1"/>
  <c r="F296" i="35"/>
  <c r="B298" i="35"/>
  <c r="G298" i="35" s="1"/>
  <c r="F298" i="35"/>
  <c r="D299" i="35"/>
  <c r="H299" i="35" s="1"/>
  <c r="B300" i="35"/>
  <c r="G300" i="35" s="1"/>
  <c r="F300" i="35"/>
  <c r="B302" i="35"/>
  <c r="G302" i="35" s="1"/>
  <c r="F302" i="35"/>
  <c r="B304" i="35"/>
  <c r="G304" i="35" s="1"/>
  <c r="F304" i="35"/>
  <c r="B306" i="35"/>
  <c r="G306" i="35" s="1"/>
  <c r="F306" i="35"/>
  <c r="D307" i="35"/>
  <c r="H307" i="35" s="1"/>
  <c r="B308" i="35"/>
  <c r="G308" i="35" s="1"/>
  <c r="F308" i="35"/>
  <c r="D309" i="35"/>
  <c r="H309" i="35" s="1"/>
  <c r="B310" i="35"/>
  <c r="G310" i="35" s="1"/>
  <c r="F310" i="35"/>
  <c r="D311" i="35"/>
  <c r="H311" i="35" s="1"/>
  <c r="B312" i="35"/>
  <c r="G312" i="35" s="1"/>
  <c r="F312" i="35"/>
  <c r="D313" i="35"/>
  <c r="H313" i="35" s="1"/>
  <c r="B314" i="35"/>
  <c r="G314" i="35" s="1"/>
  <c r="F314" i="35"/>
  <c r="D315" i="35"/>
  <c r="H315" i="35" s="1"/>
  <c r="B316" i="35"/>
  <c r="G316" i="35" s="1"/>
  <c r="F316" i="35"/>
  <c r="D317" i="35"/>
  <c r="H317" i="35" s="1"/>
  <c r="B318" i="35"/>
  <c r="G318" i="35" s="1"/>
  <c r="F318" i="35"/>
  <c r="D319" i="35"/>
  <c r="H319" i="35" s="1"/>
  <c r="B320" i="35"/>
  <c r="G320" i="35" s="1"/>
  <c r="F320" i="35"/>
  <c r="D321" i="35"/>
  <c r="H321" i="35" s="1"/>
  <c r="B322" i="35"/>
  <c r="G322" i="35" s="1"/>
  <c r="F322" i="35"/>
  <c r="D323" i="35"/>
  <c r="H323" i="35" s="1"/>
  <c r="B324" i="35"/>
  <c r="G324" i="35" s="1"/>
  <c r="F324" i="35"/>
  <c r="D325" i="35"/>
  <c r="H325" i="35" s="1"/>
  <c r="B326" i="35"/>
  <c r="G326" i="35" s="1"/>
  <c r="F326" i="35"/>
  <c r="D327" i="35"/>
  <c r="H327" i="35" s="1"/>
  <c r="B328" i="35"/>
  <c r="G328" i="35" s="1"/>
  <c r="F328" i="35"/>
  <c r="D329" i="35"/>
  <c r="H329" i="35" s="1"/>
  <c r="B330" i="35"/>
  <c r="G330" i="35" s="1"/>
  <c r="F330" i="35"/>
  <c r="D331" i="35"/>
  <c r="H331" i="35" s="1"/>
  <c r="B332" i="35"/>
  <c r="G332" i="35" s="1"/>
  <c r="F332" i="35"/>
  <c r="D333" i="35"/>
  <c r="H333" i="35" s="1"/>
  <c r="B334" i="35"/>
  <c r="G334" i="35" s="1"/>
  <c r="F334" i="35"/>
  <c r="D335" i="35"/>
  <c r="H335" i="35" s="1"/>
  <c r="B336" i="35"/>
  <c r="G336" i="35" s="1"/>
  <c r="F336" i="35"/>
  <c r="D337" i="35"/>
  <c r="H337" i="35" s="1"/>
  <c r="B338" i="35"/>
  <c r="G338" i="35" s="1"/>
  <c r="F338" i="35"/>
  <c r="D339" i="35"/>
  <c r="H339" i="35" s="1"/>
  <c r="B340" i="35"/>
  <c r="G340" i="35" s="1"/>
  <c r="F340" i="35"/>
  <c r="D341" i="35"/>
  <c r="H341" i="35" s="1"/>
  <c r="B342" i="35"/>
  <c r="G342" i="35" s="1"/>
  <c r="F342" i="35"/>
  <c r="D343" i="35"/>
  <c r="H343" i="35" s="1"/>
  <c r="D517" i="35"/>
  <c r="F518" i="35"/>
  <c r="D519" i="35"/>
  <c r="F520" i="35"/>
  <c r="D521" i="35"/>
  <c r="F522" i="35"/>
  <c r="D523" i="35"/>
  <c r="D529" i="35"/>
  <c r="F532" i="35"/>
  <c r="D537" i="35"/>
  <c r="F540" i="35"/>
  <c r="I565" i="30"/>
  <c r="J569" i="30"/>
  <c r="J565" i="30"/>
  <c r="J568" i="30"/>
  <c r="J555" i="30"/>
  <c r="L565" i="30"/>
  <c r="J567" i="30"/>
  <c r="J1439" i="35"/>
  <c r="K1439" i="35" s="1"/>
  <c r="I1123" i="35"/>
  <c r="I117" i="33"/>
  <c r="L117" i="33" s="1"/>
  <c r="J1446" i="35"/>
  <c r="K1446" i="35" s="1"/>
  <c r="I1130" i="35"/>
  <c r="G124" i="33"/>
  <c r="C1031" i="33" s="1"/>
  <c r="I124" i="33"/>
  <c r="L124" i="33" s="1"/>
  <c r="J1453" i="35"/>
  <c r="K1453" i="35" s="1"/>
  <c r="I1137" i="35"/>
  <c r="G564" i="30"/>
  <c r="H564" i="30" s="1"/>
  <c r="G131" i="33"/>
  <c r="C1038" i="33" s="1"/>
  <c r="G558" i="30"/>
  <c r="H558" i="30" s="1"/>
  <c r="BQ13" i="10"/>
  <c r="BQ14" i="10"/>
  <c r="I1116" i="35"/>
  <c r="G110" i="33"/>
  <c r="C1017" i="33" s="1"/>
  <c r="I110" i="33"/>
  <c r="L110" i="33" s="1"/>
  <c r="BQ19" i="10"/>
  <c r="J1438" i="35"/>
  <c r="K1438" i="35" s="1"/>
  <c r="I1122" i="35"/>
  <c r="G116" i="33"/>
  <c r="C1023" i="33" s="1"/>
  <c r="I116" i="33"/>
  <c r="L116" i="33" s="1"/>
  <c r="BQ32" i="10"/>
  <c r="BQ35" i="10"/>
  <c r="I1134" i="35"/>
  <c r="J1450" i="35"/>
  <c r="K1450" i="35" s="1"/>
  <c r="G128" i="33"/>
  <c r="C1035" i="33" s="1"/>
  <c r="BQ39" i="10"/>
  <c r="J1454" i="35"/>
  <c r="K1454" i="35" s="1"/>
  <c r="I1138" i="35"/>
  <c r="G132" i="33"/>
  <c r="C1039" i="33" s="1"/>
  <c r="I132" i="33"/>
  <c r="L132" i="33" s="1"/>
  <c r="BQ43" i="10"/>
  <c r="I1142" i="35"/>
  <c r="J1458" i="35"/>
  <c r="K1458" i="35" s="1"/>
  <c r="G136" i="33"/>
  <c r="C1043" i="33" s="1"/>
  <c r="I136" i="33"/>
  <c r="L136" i="33" s="1"/>
  <c r="BQ44" i="10"/>
  <c r="J1460" i="35"/>
  <c r="K1460" i="35" s="1"/>
  <c r="I1144" i="35"/>
  <c r="G138" i="33"/>
  <c r="C1045" i="33" s="1"/>
  <c r="I138" i="33"/>
  <c r="L138" i="33" s="1"/>
  <c r="BQ46" i="10"/>
  <c r="I1148" i="35"/>
  <c r="G142" i="33"/>
  <c r="C1049" i="33" s="1"/>
  <c r="I142" i="33"/>
  <c r="L142" i="33" s="1"/>
  <c r="J1464" i="35"/>
  <c r="K1464" i="35" s="1"/>
  <c r="BQ50" i="10"/>
  <c r="I1152" i="35"/>
  <c r="J1468" i="35"/>
  <c r="K1468" i="35" s="1"/>
  <c r="I146" i="33"/>
  <c r="L146" i="33" s="1"/>
  <c r="BQ54" i="10"/>
  <c r="I1156" i="35"/>
  <c r="I150" i="33"/>
  <c r="L150" i="33" s="1"/>
  <c r="J1472" i="35"/>
  <c r="K1472" i="35" s="1"/>
  <c r="G150" i="33"/>
  <c r="C1057" i="33" s="1"/>
  <c r="BQ58" i="10"/>
  <c r="G106" i="33"/>
  <c r="C1013" i="33" s="1"/>
  <c r="G117" i="33"/>
  <c r="C1024" i="33" s="1"/>
  <c r="I128" i="33"/>
  <c r="L128" i="33" s="1"/>
  <c r="G146" i="33"/>
  <c r="C1053" i="33" s="1"/>
  <c r="J1432" i="35"/>
  <c r="K1432" i="35" s="1"/>
  <c r="J1418" i="35"/>
  <c r="K1418" i="35" s="1"/>
  <c r="I1102" i="35"/>
  <c r="G96" i="33"/>
  <c r="C1003" i="33" s="1"/>
  <c r="J1419" i="35"/>
  <c r="K1419" i="35" s="1"/>
  <c r="I1103" i="35"/>
  <c r="G97" i="33"/>
  <c r="C1004" i="33" s="1"/>
  <c r="I97" i="33"/>
  <c r="L97" i="33" s="1"/>
  <c r="J1420" i="35"/>
  <c r="K1420" i="35" s="1"/>
  <c r="I1104" i="35"/>
  <c r="I98" i="33"/>
  <c r="L98" i="33" s="1"/>
  <c r="I1124" i="35"/>
  <c r="J1440" i="35"/>
  <c r="K1440" i="35" s="1"/>
  <c r="G118" i="33"/>
  <c r="C1025" i="33" s="1"/>
  <c r="I118" i="33"/>
  <c r="L118" i="33" s="1"/>
  <c r="J1457" i="35"/>
  <c r="K1457" i="35" s="1"/>
  <c r="I1141" i="35"/>
  <c r="G135" i="33"/>
  <c r="C1042" i="33" s="1"/>
  <c r="I1160" i="35"/>
  <c r="J1476" i="35"/>
  <c r="K1476" i="35" s="1"/>
  <c r="G154" i="33"/>
  <c r="C1061" i="33" s="1"/>
  <c r="I154" i="33"/>
  <c r="L154" i="33" s="1"/>
  <c r="BQ62" i="10"/>
  <c r="G98" i="33"/>
  <c r="C1005" i="33" s="1"/>
  <c r="J1417" i="35"/>
  <c r="K1417" i="35" s="1"/>
  <c r="G95" i="33"/>
  <c r="G554" i="30"/>
  <c r="H554" i="30" s="1"/>
  <c r="BQ5" i="10"/>
  <c r="J1431" i="35"/>
  <c r="K1431" i="35" s="1"/>
  <c r="I1115" i="35"/>
  <c r="I109" i="33"/>
  <c r="L109" i="33" s="1"/>
  <c r="J1423" i="35"/>
  <c r="K1423" i="35" s="1"/>
  <c r="I1107" i="35"/>
  <c r="I101" i="33"/>
  <c r="L101" i="33" s="1"/>
  <c r="J1424" i="35"/>
  <c r="K1424" i="35" s="1"/>
  <c r="I1108" i="35"/>
  <c r="G102" i="33"/>
  <c r="C1009" i="33" s="1"/>
  <c r="I102" i="33"/>
  <c r="L102" i="33" s="1"/>
  <c r="BQ11" i="10"/>
  <c r="BQ12" i="10"/>
  <c r="J1430" i="35"/>
  <c r="K1430" i="35" s="1"/>
  <c r="I1114" i="35"/>
  <c r="G108" i="33"/>
  <c r="C1015" i="33" s="1"/>
  <c r="I108" i="33"/>
  <c r="L108" i="33" s="1"/>
  <c r="BQ17" i="10"/>
  <c r="BQ18" i="10"/>
  <c r="J1437" i="35"/>
  <c r="K1437" i="35" s="1"/>
  <c r="I1121" i="35"/>
  <c r="G115" i="33"/>
  <c r="C1022" i="33" s="1"/>
  <c r="BQ24" i="10"/>
  <c r="J1443" i="35"/>
  <c r="K1443" i="35" s="1"/>
  <c r="I1127" i="35"/>
  <c r="G121" i="33"/>
  <c r="C1028" i="33" s="1"/>
  <c r="I121" i="33"/>
  <c r="L121" i="33" s="1"/>
  <c r="J1444" i="35"/>
  <c r="K1444" i="35" s="1"/>
  <c r="I1128" i="35"/>
  <c r="I122" i="33"/>
  <c r="L122" i="33" s="1"/>
  <c r="BQ31" i="10"/>
  <c r="BQ36" i="10"/>
  <c r="J1451" i="35"/>
  <c r="K1451" i="35" s="1"/>
  <c r="I1135" i="35"/>
  <c r="G563" i="30"/>
  <c r="H563" i="30" s="1"/>
  <c r="G129" i="33"/>
  <c r="C1036" i="33" s="1"/>
  <c r="I129" i="33"/>
  <c r="L129" i="33" s="1"/>
  <c r="BQ40" i="10"/>
  <c r="J1455" i="35"/>
  <c r="K1455" i="35" s="1"/>
  <c r="I1139" i="35"/>
  <c r="G133" i="33"/>
  <c r="C1040" i="33" s="1"/>
  <c r="I133" i="33"/>
  <c r="L133" i="33" s="1"/>
  <c r="I115" i="33"/>
  <c r="L115" i="33" s="1"/>
  <c r="G125" i="33"/>
  <c r="C1032" i="33" s="1"/>
  <c r="I135" i="33"/>
  <c r="L135" i="33" s="1"/>
  <c r="J1421" i="35"/>
  <c r="K1421" i="35" s="1"/>
  <c r="I1105" i="35"/>
  <c r="G99" i="33"/>
  <c r="C1006" i="33" s="1"/>
  <c r="J1427" i="35"/>
  <c r="K1427" i="35" s="1"/>
  <c r="I1111" i="35"/>
  <c r="G105" i="33"/>
  <c r="C1012" i="33" s="1"/>
  <c r="I105" i="33"/>
  <c r="L105" i="33" s="1"/>
  <c r="J1428" i="35"/>
  <c r="K1428" i="35" s="1"/>
  <c r="I1112" i="35"/>
  <c r="I106" i="33"/>
  <c r="L106" i="33" s="1"/>
  <c r="J1433" i="35"/>
  <c r="K1433" i="35" s="1"/>
  <c r="I1117" i="35"/>
  <c r="G111" i="33"/>
  <c r="C1018" i="33" s="1"/>
  <c r="I111" i="33"/>
  <c r="L111" i="33" s="1"/>
  <c r="I1118" i="35"/>
  <c r="J1434" i="35"/>
  <c r="K1434" i="35" s="1"/>
  <c r="G112" i="33"/>
  <c r="C1019" i="33" s="1"/>
  <c r="J1449" i="35"/>
  <c r="K1449" i="35" s="1"/>
  <c r="I1133" i="35"/>
  <c r="G127" i="33"/>
  <c r="C1034" i="33" s="1"/>
  <c r="I127" i="33"/>
  <c r="L127" i="33" s="1"/>
  <c r="G562" i="30"/>
  <c r="H562" i="30" s="1"/>
  <c r="G555" i="30"/>
  <c r="H555" i="30" s="1"/>
  <c r="I99" i="33"/>
  <c r="L99" i="33" s="1"/>
  <c r="I131" i="33"/>
  <c r="L131" i="33" s="1"/>
  <c r="BQ4" i="10"/>
  <c r="BQ6" i="10"/>
  <c r="J1425" i="35"/>
  <c r="K1425" i="35" s="1"/>
  <c r="I1109" i="35"/>
  <c r="G103" i="33"/>
  <c r="C1010" i="33" s="1"/>
  <c r="I103" i="33"/>
  <c r="L103" i="33" s="1"/>
  <c r="J1426" i="35"/>
  <c r="K1426" i="35" s="1"/>
  <c r="I1110" i="35"/>
  <c r="G104" i="33"/>
  <c r="C1011" i="33" s="1"/>
  <c r="BQ20" i="10"/>
  <c r="BQ25" i="10"/>
  <c r="BQ26" i="10"/>
  <c r="J1445" i="35"/>
  <c r="K1445" i="35" s="1"/>
  <c r="I1129" i="35"/>
  <c r="G123" i="33"/>
  <c r="C1030" i="33" s="1"/>
  <c r="G560" i="30"/>
  <c r="H560" i="30" s="1"/>
  <c r="J1422" i="35"/>
  <c r="K1422" i="35" s="1"/>
  <c r="I1106" i="35"/>
  <c r="G100" i="33"/>
  <c r="C1007" i="33" s="1"/>
  <c r="I100" i="33"/>
  <c r="L100" i="33" s="1"/>
  <c r="BQ9" i="10"/>
  <c r="BQ10" i="10"/>
  <c r="J1429" i="35"/>
  <c r="K1429" i="35" s="1"/>
  <c r="I1113" i="35"/>
  <c r="G557" i="30"/>
  <c r="H557" i="30" s="1"/>
  <c r="G107" i="33"/>
  <c r="C1014" i="33" s="1"/>
  <c r="BQ16" i="10"/>
  <c r="J1435" i="35"/>
  <c r="K1435" i="35" s="1"/>
  <c r="I1119" i="35"/>
  <c r="G113" i="33"/>
  <c r="C1020" i="33" s="1"/>
  <c r="I113" i="33"/>
  <c r="L113" i="33" s="1"/>
  <c r="J1436" i="35"/>
  <c r="K1436" i="35" s="1"/>
  <c r="I1120" i="35"/>
  <c r="I114" i="33"/>
  <c r="L114" i="33" s="1"/>
  <c r="BQ23" i="10"/>
  <c r="J1441" i="35"/>
  <c r="K1441" i="35" s="1"/>
  <c r="I1125" i="35"/>
  <c r="G119" i="33"/>
  <c r="C1026" i="33" s="1"/>
  <c r="I119" i="33"/>
  <c r="L119" i="33" s="1"/>
  <c r="G559" i="30"/>
  <c r="H559" i="30" s="1"/>
  <c r="I1126" i="35"/>
  <c r="J1442" i="35"/>
  <c r="K1442" i="35" s="1"/>
  <c r="G120" i="33"/>
  <c r="C1027" i="33" s="1"/>
  <c r="BQ29" i="10"/>
  <c r="BQ30" i="10"/>
  <c r="J1447" i="35"/>
  <c r="K1447" i="35" s="1"/>
  <c r="I1131" i="35"/>
  <c r="I125" i="33"/>
  <c r="L125" i="33" s="1"/>
  <c r="G561" i="30"/>
  <c r="H561" i="30" s="1"/>
  <c r="I1132" i="35"/>
  <c r="J1448" i="35"/>
  <c r="K1448" i="35" s="1"/>
  <c r="G126" i="33"/>
  <c r="C1033" i="33" s="1"/>
  <c r="I126" i="33"/>
  <c r="L126" i="33" s="1"/>
  <c r="BQ37" i="10"/>
  <c r="J1452" i="35"/>
  <c r="K1452" i="35" s="1"/>
  <c r="I1136" i="35"/>
  <c r="I130" i="33"/>
  <c r="L130" i="33" s="1"/>
  <c r="BQ41" i="10"/>
  <c r="I1140" i="35"/>
  <c r="J1456" i="35"/>
  <c r="K1456" i="35" s="1"/>
  <c r="I134" i="33"/>
  <c r="L134" i="33" s="1"/>
  <c r="J559" i="30"/>
  <c r="G565" i="30"/>
  <c r="H565" i="30" s="1"/>
  <c r="G101" i="33"/>
  <c r="C1008" i="33" s="1"/>
  <c r="I112" i="33"/>
  <c r="L112" i="33" s="1"/>
  <c r="G122" i="33"/>
  <c r="C1029" i="33" s="1"/>
  <c r="I123" i="33"/>
  <c r="L123" i="33" s="1"/>
  <c r="J1463" i="35"/>
  <c r="K1463" i="35" s="1"/>
  <c r="I1147" i="35"/>
  <c r="G141" i="33"/>
  <c r="C1048" i="33" s="1"/>
  <c r="I141" i="33"/>
  <c r="L141" i="33" s="1"/>
  <c r="J1467" i="35"/>
  <c r="K1467" i="35" s="1"/>
  <c r="I1151" i="35"/>
  <c r="G145" i="33"/>
  <c r="C1052" i="33" s="1"/>
  <c r="I145" i="33"/>
  <c r="L145" i="33" s="1"/>
  <c r="J1471" i="35"/>
  <c r="K1471" i="35" s="1"/>
  <c r="I1155" i="35"/>
  <c r="G149" i="33"/>
  <c r="C1056" i="33" s="1"/>
  <c r="I149" i="33"/>
  <c r="L149" i="33" s="1"/>
  <c r="J1475" i="35"/>
  <c r="K1475" i="35" s="1"/>
  <c r="I1159" i="35"/>
  <c r="G153" i="33"/>
  <c r="C1060" i="33" s="1"/>
  <c r="I153" i="33"/>
  <c r="L153" i="33" s="1"/>
  <c r="J556" i="30"/>
  <c r="J557" i="30"/>
  <c r="G569" i="30"/>
  <c r="H569" i="30" s="1"/>
  <c r="G571" i="30"/>
  <c r="H571" i="30" s="1"/>
  <c r="J572" i="30"/>
  <c r="I1146" i="35"/>
  <c r="J1462" i="35"/>
  <c r="K1462" i="35" s="1"/>
  <c r="G140" i="33"/>
  <c r="C1047" i="33" s="1"/>
  <c r="I1150" i="35"/>
  <c r="J1466" i="35"/>
  <c r="K1466" i="35" s="1"/>
  <c r="G144" i="33"/>
  <c r="C1051" i="33" s="1"/>
  <c r="I1154" i="35"/>
  <c r="J1470" i="35"/>
  <c r="K1470" i="35" s="1"/>
  <c r="G148" i="33"/>
  <c r="C1055" i="33" s="1"/>
  <c r="I148" i="33"/>
  <c r="L148" i="33" s="1"/>
  <c r="I1158" i="35"/>
  <c r="J1474" i="35"/>
  <c r="K1474" i="35" s="1"/>
  <c r="G152" i="33"/>
  <c r="C1059" i="33" s="1"/>
  <c r="I152" i="33"/>
  <c r="L152" i="33" s="1"/>
  <c r="I1162" i="35"/>
  <c r="J1478" i="35"/>
  <c r="K1478" i="35" s="1"/>
  <c r="I156" i="33"/>
  <c r="L156" i="33" s="1"/>
  <c r="J560" i="30"/>
  <c r="J561" i="30"/>
  <c r="J1459" i="35"/>
  <c r="K1459" i="35" s="1"/>
  <c r="I1143" i="35"/>
  <c r="I137" i="33"/>
  <c r="L137" i="33" s="1"/>
  <c r="J1461" i="35"/>
  <c r="K1461" i="35" s="1"/>
  <c r="I1145" i="35"/>
  <c r="G139" i="33"/>
  <c r="C1046" i="33" s="1"/>
  <c r="I139" i="33"/>
  <c r="L139" i="33" s="1"/>
  <c r="BQ48" i="10"/>
  <c r="J1465" i="35"/>
  <c r="K1465" i="35" s="1"/>
  <c r="I1149" i="35"/>
  <c r="I143" i="33"/>
  <c r="L143" i="33" s="1"/>
  <c r="BQ52" i="10"/>
  <c r="J1469" i="35"/>
  <c r="K1469" i="35" s="1"/>
  <c r="I1153" i="35"/>
  <c r="G147" i="33"/>
  <c r="C1054" i="33" s="1"/>
  <c r="BQ56" i="10"/>
  <c r="J1473" i="35"/>
  <c r="K1473" i="35" s="1"/>
  <c r="I1157" i="35"/>
  <c r="G151" i="33"/>
  <c r="C1058" i="33" s="1"/>
  <c r="BQ60" i="10"/>
  <c r="J1477" i="35"/>
  <c r="K1477" i="35" s="1"/>
  <c r="I1161" i="35"/>
  <c r="G155" i="33"/>
  <c r="C1062" i="33" s="1"/>
  <c r="I155" i="33"/>
  <c r="L155" i="33" s="1"/>
  <c r="BQ64" i="10"/>
  <c r="G568" i="30"/>
  <c r="H568" i="30" s="1"/>
  <c r="G570" i="30"/>
  <c r="H570" i="30" s="1"/>
  <c r="J571" i="30"/>
  <c r="I140" i="33"/>
  <c r="L140" i="33" s="1"/>
  <c r="J564" i="30"/>
  <c r="K564" i="30"/>
  <c r="I564" i="30"/>
  <c r="K563" i="30"/>
  <c r="L563" i="30"/>
  <c r="J563" i="30"/>
  <c r="I563" i="30"/>
  <c r="L567" i="30"/>
  <c r="L569" i="30"/>
  <c r="L571" i="30"/>
  <c r="L555" i="30"/>
  <c r="L557" i="30"/>
  <c r="L559" i="30"/>
  <c r="L561" i="30"/>
  <c r="L554" i="30"/>
  <c r="J554" i="30"/>
  <c r="L562" i="30"/>
  <c r="J562" i="30"/>
  <c r="L566" i="30"/>
  <c r="J566" i="30"/>
  <c r="L558" i="30"/>
  <c r="J558" i="30"/>
  <c r="L570" i="30"/>
  <c r="J570" i="30"/>
  <c r="L556" i="30"/>
  <c r="L560" i="30"/>
  <c r="L564" i="30"/>
  <c r="L568" i="30"/>
  <c r="L572" i="30"/>
  <c r="A777" i="33" l="1"/>
  <c r="A702" i="33"/>
  <c r="A778" i="33"/>
  <c r="A703" i="33"/>
  <c r="D1062" i="33"/>
  <c r="I1062" i="33"/>
  <c r="K1062" i="33" s="1"/>
  <c r="D1060" i="33"/>
  <c r="I1060" i="33"/>
  <c r="K1060" i="33" s="1"/>
  <c r="D1052" i="33"/>
  <c r="I1052" i="33"/>
  <c r="K1052" i="33" s="1"/>
  <c r="D1029" i="33"/>
  <c r="I1029" i="33"/>
  <c r="K1029" i="33" s="1"/>
  <c r="D1014" i="33"/>
  <c r="I1014" i="33"/>
  <c r="K1014" i="33" s="1"/>
  <c r="D1006" i="33"/>
  <c r="I1006" i="33"/>
  <c r="K1006" i="33" s="1"/>
  <c r="D1015" i="33"/>
  <c r="I1015" i="33"/>
  <c r="K1015" i="33" s="1"/>
  <c r="D1057" i="33"/>
  <c r="I1057" i="33"/>
  <c r="K1057" i="33" s="1"/>
  <c r="D1017" i="33"/>
  <c r="I1017" i="33"/>
  <c r="K1017" i="33" s="1"/>
  <c r="D1046" i="33"/>
  <c r="I1046" i="33"/>
  <c r="K1046" i="33" s="1"/>
  <c r="D1055" i="33"/>
  <c r="I1055" i="33"/>
  <c r="K1055" i="33" s="1"/>
  <c r="D1011" i="33"/>
  <c r="I1011" i="33"/>
  <c r="K1011" i="33" s="1"/>
  <c r="D1042" i="33"/>
  <c r="I1042" i="33"/>
  <c r="K1042" i="33" s="1"/>
  <c r="D1039" i="33"/>
  <c r="I1039" i="33"/>
  <c r="K1039" i="33" s="1"/>
  <c r="D1037" i="33"/>
  <c r="I1037" i="33"/>
  <c r="K1037" i="33" s="1"/>
  <c r="D1054" i="33"/>
  <c r="I1054" i="33"/>
  <c r="K1054" i="33" s="1"/>
  <c r="D1008" i="33"/>
  <c r="I1008" i="33"/>
  <c r="K1008" i="33" s="1"/>
  <c r="D1019" i="33"/>
  <c r="I1019" i="33"/>
  <c r="K1019" i="33" s="1"/>
  <c r="D1022" i="33"/>
  <c r="I1022" i="33"/>
  <c r="K1022" i="33" s="1"/>
  <c r="D1031" i="33"/>
  <c r="I1031" i="33"/>
  <c r="K1031" i="33" s="1"/>
  <c r="D1063" i="33"/>
  <c r="I1063" i="33"/>
  <c r="K1063" i="33" s="1"/>
  <c r="D1050" i="33"/>
  <c r="I1050" i="33"/>
  <c r="K1050" i="33" s="1"/>
  <c r="D1030" i="33"/>
  <c r="I1030" i="33"/>
  <c r="K1030" i="33" s="1"/>
  <c r="D1005" i="33"/>
  <c r="I1005" i="33"/>
  <c r="K1005" i="33" s="1"/>
  <c r="D1053" i="33"/>
  <c r="I1053" i="33"/>
  <c r="K1053" i="33" s="1"/>
  <c r="D1049" i="33"/>
  <c r="I1049" i="33"/>
  <c r="K1049" i="33" s="1"/>
  <c r="D1023" i="33"/>
  <c r="I1023" i="33"/>
  <c r="K1023" i="33" s="1"/>
  <c r="D1044" i="33"/>
  <c r="I1044" i="33"/>
  <c r="K1044" i="33" s="1"/>
  <c r="D1051" i="33"/>
  <c r="I1051" i="33"/>
  <c r="K1051" i="33" s="1"/>
  <c r="D1056" i="33"/>
  <c r="I1056" i="33"/>
  <c r="K1056" i="33" s="1"/>
  <c r="D1048" i="33"/>
  <c r="I1048" i="33"/>
  <c r="K1048" i="33" s="1"/>
  <c r="D1026" i="33"/>
  <c r="I1026" i="33"/>
  <c r="K1026" i="33" s="1"/>
  <c r="D1020" i="33"/>
  <c r="I1020" i="33"/>
  <c r="K1020" i="33" s="1"/>
  <c r="D1032" i="33"/>
  <c r="I1032" i="33"/>
  <c r="K1032" i="33" s="1"/>
  <c r="D1036" i="33"/>
  <c r="I1036" i="33"/>
  <c r="K1036" i="33" s="1"/>
  <c r="D1004" i="33"/>
  <c r="I1004" i="33"/>
  <c r="K1004" i="33" s="1"/>
  <c r="D1043" i="33"/>
  <c r="I1043" i="33"/>
  <c r="K1043" i="33" s="1"/>
  <c r="D1016" i="33"/>
  <c r="I1016" i="33"/>
  <c r="K1016" i="33" s="1"/>
  <c r="D1058" i="33"/>
  <c r="I1058" i="33"/>
  <c r="K1058" i="33" s="1"/>
  <c r="D1010" i="33"/>
  <c r="I1010" i="33"/>
  <c r="K1010" i="33" s="1"/>
  <c r="D1012" i="33"/>
  <c r="I1012" i="33"/>
  <c r="K1012" i="33" s="1"/>
  <c r="D1025" i="33"/>
  <c r="I1025" i="33"/>
  <c r="K1025" i="33" s="1"/>
  <c r="D1024" i="33"/>
  <c r="I1024" i="33"/>
  <c r="K1024" i="33" s="1"/>
  <c r="D1035" i="33"/>
  <c r="I1035" i="33"/>
  <c r="K1035" i="33" s="1"/>
  <c r="D1038" i="33"/>
  <c r="I1038" i="33"/>
  <c r="K1038" i="33" s="1"/>
  <c r="D1059" i="33"/>
  <c r="I1059" i="33"/>
  <c r="K1059" i="33" s="1"/>
  <c r="D1033" i="33"/>
  <c r="I1033" i="33"/>
  <c r="K1033" i="33" s="1"/>
  <c r="D1018" i="33"/>
  <c r="I1018" i="33"/>
  <c r="K1018" i="33" s="1"/>
  <c r="D1028" i="33"/>
  <c r="I1028" i="33"/>
  <c r="K1028" i="33" s="1"/>
  <c r="D1009" i="33"/>
  <c r="I1009" i="33"/>
  <c r="K1009" i="33" s="1"/>
  <c r="D1061" i="33"/>
  <c r="I1061" i="33"/>
  <c r="K1061" i="33" s="1"/>
  <c r="D1013" i="33"/>
  <c r="I1013" i="33"/>
  <c r="K1013" i="33" s="1"/>
  <c r="D1021" i="33"/>
  <c r="I1021" i="33"/>
  <c r="K1021" i="33" s="1"/>
  <c r="D1047" i="33"/>
  <c r="I1047" i="33"/>
  <c r="K1047" i="33" s="1"/>
  <c r="D1027" i="33"/>
  <c r="I1027" i="33"/>
  <c r="K1027" i="33" s="1"/>
  <c r="D1007" i="33"/>
  <c r="I1007" i="33"/>
  <c r="K1007" i="33" s="1"/>
  <c r="D1034" i="33"/>
  <c r="I1034" i="33"/>
  <c r="K1034" i="33" s="1"/>
  <c r="D1040" i="33"/>
  <c r="I1040" i="33"/>
  <c r="K1040" i="33" s="1"/>
  <c r="D1003" i="33"/>
  <c r="I1003" i="33"/>
  <c r="K1003" i="33" s="1"/>
  <c r="D1045" i="33"/>
  <c r="I1045" i="33"/>
  <c r="K1045" i="33" s="1"/>
  <c r="D1041" i="33"/>
  <c r="I1041" i="33"/>
  <c r="K1041" i="33" s="1"/>
  <c r="BF30" i="10"/>
  <c r="CQ30" i="10" s="1"/>
  <c r="HB30" i="10" s="1"/>
  <c r="BF9" i="10"/>
  <c r="CQ9" i="10" s="1"/>
  <c r="HB9" i="10" s="1"/>
  <c r="BF4" i="10"/>
  <c r="CQ4" i="10" s="1"/>
  <c r="HB4" i="10" s="1"/>
  <c r="BF31" i="10"/>
  <c r="CQ31" i="10" s="1"/>
  <c r="HB31" i="10" s="1"/>
  <c r="BF32" i="10"/>
  <c r="CQ32" i="10" s="1"/>
  <c r="HB32" i="10" s="1"/>
  <c r="CQ38" i="10"/>
  <c r="HB38" i="10" s="1"/>
  <c r="DO21" i="10"/>
  <c r="HZ21" i="10" s="1"/>
  <c r="BF29" i="10"/>
  <c r="CQ29" i="10" s="1"/>
  <c r="HB29" i="10" s="1"/>
  <c r="BF26" i="10"/>
  <c r="CQ26" i="10" s="1"/>
  <c r="HB26" i="10" s="1"/>
  <c r="CQ40" i="10"/>
  <c r="HB40" i="10" s="1"/>
  <c r="BF17" i="10"/>
  <c r="CQ17" i="10" s="1"/>
  <c r="HB17" i="10" s="1"/>
  <c r="CQ44" i="10"/>
  <c r="HB44" i="10" s="1"/>
  <c r="BF19" i="10"/>
  <c r="CQ19" i="10" s="1"/>
  <c r="HB19" i="10" s="1"/>
  <c r="BF14" i="10"/>
  <c r="CQ14" i="10" s="1"/>
  <c r="HB14" i="10" s="1"/>
  <c r="DO28" i="10"/>
  <c r="HZ28" i="10" s="1"/>
  <c r="BF3" i="10"/>
  <c r="CQ3" i="10" s="1"/>
  <c r="HB3" i="10" s="1"/>
  <c r="BF55" i="10"/>
  <c r="CQ55" i="10" s="1"/>
  <c r="HB55" i="10" s="1"/>
  <c r="BF45" i="10"/>
  <c r="CQ45" i="10" s="1"/>
  <c r="HB45" i="10" s="1"/>
  <c r="BF59" i="10"/>
  <c r="CQ59" i="10" s="1"/>
  <c r="HB59" i="10" s="1"/>
  <c r="BF34" i="10"/>
  <c r="CQ34" i="10" s="1"/>
  <c r="HB34" i="10" s="1"/>
  <c r="DO27" i="10"/>
  <c r="HZ27" i="10" s="1"/>
  <c r="BF46" i="10"/>
  <c r="CQ46" i="10" s="1"/>
  <c r="HB46" i="10" s="1"/>
  <c r="BF64" i="10"/>
  <c r="CQ64" i="10" s="1"/>
  <c r="HB64" i="10" s="1"/>
  <c r="BF60" i="10"/>
  <c r="CQ60" i="10" s="1"/>
  <c r="HB60" i="10" s="1"/>
  <c r="BF56" i="10"/>
  <c r="CQ56" i="10" s="1"/>
  <c r="HB56" i="10" s="1"/>
  <c r="BF52" i="10"/>
  <c r="CQ52" i="10" s="1"/>
  <c r="HB52" i="10" s="1"/>
  <c r="BF48" i="10"/>
  <c r="CQ48" i="10" s="1"/>
  <c r="HB48" i="10" s="1"/>
  <c r="BF23" i="10"/>
  <c r="CQ23" i="10" s="1"/>
  <c r="HB23" i="10" s="1"/>
  <c r="BF16" i="10"/>
  <c r="CQ16" i="10" s="1"/>
  <c r="HB16" i="10" s="1"/>
  <c r="BF25" i="10"/>
  <c r="CQ25" i="10" s="1"/>
  <c r="HB25" i="10" s="1"/>
  <c r="BF12" i="10"/>
  <c r="CQ12" i="10" s="1"/>
  <c r="HB12" i="10" s="1"/>
  <c r="BF5" i="10"/>
  <c r="CQ5" i="10" s="1"/>
  <c r="HB5" i="10" s="1"/>
  <c r="BF58" i="10"/>
  <c r="CQ58" i="10" s="1"/>
  <c r="HB58" i="10" s="1"/>
  <c r="CQ43" i="10"/>
  <c r="HB43" i="10" s="1"/>
  <c r="BF13" i="10"/>
  <c r="CQ13" i="10" s="1"/>
  <c r="HB13" i="10" s="1"/>
  <c r="BF49" i="10"/>
  <c r="CQ49" i="10" s="1"/>
  <c r="HB49" i="10" s="1"/>
  <c r="BF53" i="10"/>
  <c r="CQ53" i="10" s="1"/>
  <c r="HB53" i="10" s="1"/>
  <c r="BF22" i="10"/>
  <c r="CQ22" i="10" s="1"/>
  <c r="HB22" i="10" s="1"/>
  <c r="E1159" i="35"/>
  <c r="BF24" i="10"/>
  <c r="CQ24" i="10" s="1"/>
  <c r="HB24" i="10" s="1"/>
  <c r="BF18" i="10"/>
  <c r="CQ18" i="10" s="1"/>
  <c r="HB18" i="10" s="1"/>
  <c r="BF33" i="10"/>
  <c r="CQ33" i="10" s="1"/>
  <c r="HB33" i="10" s="1"/>
  <c r="BF7" i="10"/>
  <c r="CQ7" i="10" s="1"/>
  <c r="HB7" i="10" s="1"/>
  <c r="BF57" i="10"/>
  <c r="CQ57" i="10" s="1"/>
  <c r="HB57" i="10" s="1"/>
  <c r="CQ41" i="10"/>
  <c r="HB41" i="10" s="1"/>
  <c r="CQ37" i="10"/>
  <c r="HB37" i="10" s="1"/>
  <c r="BF10" i="10"/>
  <c r="CQ10" i="10" s="1"/>
  <c r="HB10" i="10" s="1"/>
  <c r="BF20" i="10"/>
  <c r="CQ20" i="10" s="1"/>
  <c r="HB20" i="10" s="1"/>
  <c r="BF6" i="10"/>
  <c r="CQ6" i="10" s="1"/>
  <c r="HB6" i="10" s="1"/>
  <c r="BF36" i="10"/>
  <c r="CQ36" i="10" s="1"/>
  <c r="HB36" i="10" s="1"/>
  <c r="BF11" i="10"/>
  <c r="CQ11" i="10" s="1"/>
  <c r="HB11" i="10" s="1"/>
  <c r="BF62" i="10"/>
  <c r="CQ62" i="10" s="1"/>
  <c r="HB62" i="10" s="1"/>
  <c r="BF54" i="10"/>
  <c r="CQ54" i="10" s="1"/>
  <c r="HB54" i="10" s="1"/>
  <c r="BF50" i="10"/>
  <c r="CQ50" i="10" s="1"/>
  <c r="HB50" i="10" s="1"/>
  <c r="CQ39" i="10"/>
  <c r="HB39" i="10" s="1"/>
  <c r="BF35" i="10"/>
  <c r="CQ35" i="10" s="1"/>
  <c r="HB35" i="10" s="1"/>
  <c r="BF47" i="10"/>
  <c r="CQ47" i="10" s="1"/>
  <c r="HB47" i="10" s="1"/>
  <c r="BF51" i="10"/>
  <c r="CQ51" i="10" s="1"/>
  <c r="HB51" i="10" s="1"/>
  <c r="DO8" i="10"/>
  <c r="HZ8" i="10" s="1"/>
  <c r="BF63" i="10"/>
  <c r="CQ63" i="10" s="1"/>
  <c r="HB63" i="10" s="1"/>
  <c r="CQ42" i="10"/>
  <c r="HB42" i="10" s="1"/>
  <c r="BF15" i="10"/>
  <c r="CQ15" i="10" s="1"/>
  <c r="HB15" i="10" s="1"/>
  <c r="L82" i="30"/>
  <c r="Q21" i="10" s="1"/>
  <c r="CH21" i="10" s="1"/>
  <c r="L125" i="30"/>
  <c r="J116" i="30"/>
  <c r="L116" i="30" s="1"/>
  <c r="Q55" i="10" s="1"/>
  <c r="CH55" i="10" s="1"/>
  <c r="J104" i="30"/>
  <c r="L104" i="30" s="1"/>
  <c r="Q43" i="10" s="1"/>
  <c r="CH43" i="10" s="1"/>
  <c r="L100" i="30"/>
  <c r="Q39" i="10" s="1"/>
  <c r="CH39" i="10" s="1"/>
  <c r="J90" i="30"/>
  <c r="L90" i="30" s="1"/>
  <c r="Q29" i="10" s="1"/>
  <c r="CH29" i="10" s="1"/>
  <c r="J70" i="30"/>
  <c r="L70" i="30" s="1"/>
  <c r="Q9" i="10" s="1"/>
  <c r="CH9" i="10" s="1"/>
  <c r="J66" i="30"/>
  <c r="L66" i="30" s="1"/>
  <c r="Q5" i="10" s="1"/>
  <c r="CH5" i="10" s="1"/>
  <c r="J124" i="30"/>
  <c r="L124" i="30" s="1"/>
  <c r="Q63" i="10" s="1"/>
  <c r="CH63" i="10" s="1"/>
  <c r="L117" i="30"/>
  <c r="J113" i="30"/>
  <c r="L113" i="30" s="1"/>
  <c r="Q52" i="10" s="1"/>
  <c r="CH52" i="10" s="1"/>
  <c r="J109" i="30"/>
  <c r="L109" i="30" s="1"/>
  <c r="Q48" i="10" s="1"/>
  <c r="CH48" i="10" s="1"/>
  <c r="L105" i="30"/>
  <c r="Q44" i="10" s="1"/>
  <c r="CH44" i="10" s="1"/>
  <c r="J101" i="30"/>
  <c r="L101" i="30" s="1"/>
  <c r="Q40" i="10" s="1"/>
  <c r="CH40" i="10" s="1"/>
  <c r="J97" i="30"/>
  <c r="L97" i="30" s="1"/>
  <c r="Q36" i="10" s="1"/>
  <c r="CH36" i="10" s="1"/>
  <c r="L93" i="30"/>
  <c r="L89" i="30"/>
  <c r="J85" i="30"/>
  <c r="L85" i="30" s="1"/>
  <c r="Q24" i="10" s="1"/>
  <c r="CH24" i="10" s="1"/>
  <c r="L81" i="30"/>
  <c r="J77" i="30"/>
  <c r="L77" i="30" s="1"/>
  <c r="Q16" i="10" s="1"/>
  <c r="CH16" i="10" s="1"/>
  <c r="L73" i="30"/>
  <c r="Q12" i="10" s="1"/>
  <c r="CH12" i="10" s="1"/>
  <c r="J69" i="30"/>
  <c r="L69" i="30" s="1"/>
  <c r="Q8" i="10" s="1"/>
  <c r="CH8" i="10" s="1"/>
  <c r="L65" i="30"/>
  <c r="J118" i="30"/>
  <c r="L118" i="30" s="1"/>
  <c r="Q57" i="10" s="1"/>
  <c r="CH57" i="10" s="1"/>
  <c r="J106" i="30"/>
  <c r="L106" i="30" s="1"/>
  <c r="Q45" i="10" s="1"/>
  <c r="CH45" i="10" s="1"/>
  <c r="J86" i="30"/>
  <c r="L86" i="30" s="1"/>
  <c r="Q25" i="10" s="1"/>
  <c r="CH25" i="10" s="1"/>
  <c r="J119" i="30"/>
  <c r="L119" i="30" s="1"/>
  <c r="Q58" i="10" s="1"/>
  <c r="CH58" i="10" s="1"/>
  <c r="J110" i="30"/>
  <c r="L110" i="30" s="1"/>
  <c r="Q49" i="10" s="1"/>
  <c r="CH49" i="10" s="1"/>
  <c r="J94" i="30"/>
  <c r="L94" i="30" s="1"/>
  <c r="Q33" i="10" s="1"/>
  <c r="CH33" i="10" s="1"/>
  <c r="J82" i="30"/>
  <c r="J78" i="30"/>
  <c r="L78" i="30" s="1"/>
  <c r="Q17" i="10" s="1"/>
  <c r="CH17" i="10" s="1"/>
  <c r="J74" i="30"/>
  <c r="L74" i="30" s="1"/>
  <c r="Q13" i="10" s="1"/>
  <c r="CH13" i="10" s="1"/>
  <c r="L114" i="30"/>
  <c r="Q53" i="10" s="1"/>
  <c r="CH53" i="10" s="1"/>
  <c r="L67" i="30"/>
  <c r="Q6" i="10" s="1"/>
  <c r="CH6" i="10" s="1"/>
  <c r="L76" i="30"/>
  <c r="J121" i="30"/>
  <c r="L121" i="30" s="1"/>
  <c r="Q60" i="10" s="1"/>
  <c r="CH60" i="10" s="1"/>
  <c r="J114" i="30"/>
  <c r="L102" i="30"/>
  <c r="Q41" i="10" s="1"/>
  <c r="CH41" i="10" s="1"/>
  <c r="J98" i="30"/>
  <c r="L98" i="30" s="1"/>
  <c r="Q37" i="10" s="1"/>
  <c r="CH37" i="10" s="1"/>
  <c r="J88" i="30"/>
  <c r="L88" i="30" s="1"/>
  <c r="Q27" i="10" s="1"/>
  <c r="CH27" i="10" s="1"/>
  <c r="J68" i="30"/>
  <c r="L68" i="30" s="1"/>
  <c r="Q7" i="10" s="1"/>
  <c r="CH7" i="10" s="1"/>
  <c r="J64" i="30"/>
  <c r="L64" i="30" s="1"/>
  <c r="Q3" i="10" s="1"/>
  <c r="CH3" i="10" s="1"/>
  <c r="J120" i="30"/>
  <c r="L120" i="30" s="1"/>
  <c r="Q59" i="10" s="1"/>
  <c r="CH59" i="10" s="1"/>
  <c r="J115" i="30"/>
  <c r="L115" i="30" s="1"/>
  <c r="Q54" i="10" s="1"/>
  <c r="CH54" i="10" s="1"/>
  <c r="L111" i="30"/>
  <c r="J107" i="30"/>
  <c r="L107" i="30" s="1"/>
  <c r="Q46" i="10" s="1"/>
  <c r="CH46" i="10" s="1"/>
  <c r="J103" i="30"/>
  <c r="L103" i="30" s="1"/>
  <c r="Q42" i="10" s="1"/>
  <c r="CH42" i="10" s="1"/>
  <c r="J99" i="30"/>
  <c r="L99" i="30" s="1"/>
  <c r="Q38" i="10" s="1"/>
  <c r="CH38" i="10" s="1"/>
  <c r="J95" i="30"/>
  <c r="L95" i="30" s="1"/>
  <c r="Q34" i="10" s="1"/>
  <c r="CH34" i="10" s="1"/>
  <c r="L91" i="30"/>
  <c r="Q30" i="10" s="1"/>
  <c r="CH30" i="10" s="1"/>
  <c r="J87" i="30"/>
  <c r="L87" i="30" s="1"/>
  <c r="Q26" i="10" s="1"/>
  <c r="CH26" i="10" s="1"/>
  <c r="J83" i="30"/>
  <c r="L83" i="30" s="1"/>
  <c r="Q22" i="10" s="1"/>
  <c r="CH22" i="10" s="1"/>
  <c r="J79" i="30"/>
  <c r="L79" i="30" s="1"/>
  <c r="Q18" i="10" s="1"/>
  <c r="CH18" i="10" s="1"/>
  <c r="J75" i="30"/>
  <c r="L75" i="30" s="1"/>
  <c r="Q14" i="10" s="1"/>
  <c r="CH14" i="10" s="1"/>
  <c r="J71" i="30"/>
  <c r="L71" i="30" s="1"/>
  <c r="Q10" i="10" s="1"/>
  <c r="CH10" i="10" s="1"/>
  <c r="J67" i="30"/>
  <c r="J122" i="30"/>
  <c r="L122" i="30" s="1"/>
  <c r="Q61" i="10" s="1"/>
  <c r="CH61" i="10" s="1"/>
  <c r="J108" i="30"/>
  <c r="L108" i="30" s="1"/>
  <c r="Q47" i="10" s="1"/>
  <c r="CH47" i="10" s="1"/>
  <c r="J92" i="30"/>
  <c r="L92" i="30" s="1"/>
  <c r="Q31" i="10" s="1"/>
  <c r="CH31" i="10" s="1"/>
  <c r="L123" i="30"/>
  <c r="J112" i="30"/>
  <c r="L112" i="30" s="1"/>
  <c r="Q51" i="10" s="1"/>
  <c r="CH51" i="10" s="1"/>
  <c r="J96" i="30"/>
  <c r="L96" i="30" s="1"/>
  <c r="Q35" i="10" s="1"/>
  <c r="CH35" i="10" s="1"/>
  <c r="J84" i="30"/>
  <c r="L84" i="30" s="1"/>
  <c r="Q23" i="10" s="1"/>
  <c r="CH23" i="10" s="1"/>
  <c r="J80" i="30"/>
  <c r="L80" i="30" s="1"/>
  <c r="Q19" i="10" s="1"/>
  <c r="CH19" i="10" s="1"/>
  <c r="J76" i="30"/>
  <c r="J72" i="30"/>
  <c r="L72" i="30" s="1"/>
  <c r="Q11" i="10" s="1"/>
  <c r="CH11" i="10" s="1"/>
  <c r="Q20" i="10"/>
  <c r="CH20" i="10" s="1"/>
  <c r="Q4" i="10"/>
  <c r="CH4" i="10" s="1"/>
  <c r="Q50" i="10"/>
  <c r="CH50" i="10" s="1"/>
  <c r="Q56" i="10"/>
  <c r="CH56" i="10" s="1"/>
  <c r="CP5" i="10"/>
  <c r="HA5" i="10" s="1"/>
  <c r="CP62" i="10"/>
  <c r="HA62" i="10" s="1"/>
  <c r="CP58" i="10"/>
  <c r="HA58" i="10" s="1"/>
  <c r="CP54" i="10"/>
  <c r="HA54" i="10" s="1"/>
  <c r="CP50" i="10"/>
  <c r="HA50" i="10" s="1"/>
  <c r="CP46" i="10"/>
  <c r="HA46" i="10" s="1"/>
  <c r="CP42" i="10"/>
  <c r="HA42" i="10" s="1"/>
  <c r="CP38" i="10"/>
  <c r="HA38" i="10" s="1"/>
  <c r="CP34" i="10"/>
  <c r="HA34" i="10" s="1"/>
  <c r="CP30" i="10"/>
  <c r="HA30" i="10" s="1"/>
  <c r="CP26" i="10"/>
  <c r="HA26" i="10" s="1"/>
  <c r="CP22" i="10"/>
  <c r="HA22" i="10" s="1"/>
  <c r="CP18" i="10"/>
  <c r="HA18" i="10" s="1"/>
  <c r="CP14" i="10"/>
  <c r="HA14" i="10" s="1"/>
  <c r="CP8" i="10"/>
  <c r="HA8" i="10" s="1"/>
  <c r="CP7" i="10"/>
  <c r="HA7" i="10" s="1"/>
  <c r="CP63" i="10"/>
  <c r="HA63" i="10" s="1"/>
  <c r="CP59" i="10"/>
  <c r="HA59" i="10" s="1"/>
  <c r="CP55" i="10"/>
  <c r="HA55" i="10" s="1"/>
  <c r="CP51" i="10"/>
  <c r="HA51" i="10" s="1"/>
  <c r="CP47" i="10"/>
  <c r="HA47" i="10" s="1"/>
  <c r="CP43" i="10"/>
  <c r="HA43" i="10" s="1"/>
  <c r="CP39" i="10"/>
  <c r="HA39" i="10" s="1"/>
  <c r="CP35" i="10"/>
  <c r="HA35" i="10" s="1"/>
  <c r="CP31" i="10"/>
  <c r="HA31" i="10" s="1"/>
  <c r="CP27" i="10"/>
  <c r="HA27" i="10" s="1"/>
  <c r="CP23" i="10"/>
  <c r="HA23" i="10" s="1"/>
  <c r="CP19" i="10"/>
  <c r="HA19" i="10" s="1"/>
  <c r="CP15" i="10"/>
  <c r="HA15" i="10" s="1"/>
  <c r="CP10" i="10"/>
  <c r="HA10" i="10" s="1"/>
  <c r="CP9" i="10"/>
  <c r="HA9" i="10" s="1"/>
  <c r="CP64" i="10"/>
  <c r="HA64" i="10" s="1"/>
  <c r="CP60" i="10"/>
  <c r="HA60" i="10" s="1"/>
  <c r="CP56" i="10"/>
  <c r="HA56" i="10" s="1"/>
  <c r="CP52" i="10"/>
  <c r="HA52" i="10" s="1"/>
  <c r="CP48" i="10"/>
  <c r="HA48" i="10" s="1"/>
  <c r="CP44" i="10"/>
  <c r="HA44" i="10" s="1"/>
  <c r="CP40" i="10"/>
  <c r="HA40" i="10" s="1"/>
  <c r="CP36" i="10"/>
  <c r="HA36" i="10" s="1"/>
  <c r="CP32" i="10"/>
  <c r="HA32" i="10" s="1"/>
  <c r="CP28" i="10"/>
  <c r="HA28" i="10" s="1"/>
  <c r="CP24" i="10"/>
  <c r="HA24" i="10" s="1"/>
  <c r="CP20" i="10"/>
  <c r="HA20" i="10" s="1"/>
  <c r="CP16" i="10"/>
  <c r="HA16" i="10" s="1"/>
  <c r="CP11" i="10"/>
  <c r="HA11" i="10" s="1"/>
  <c r="CP4" i="10"/>
  <c r="HA4" i="10" s="1"/>
  <c r="CP12" i="10"/>
  <c r="HA12" i="10" s="1"/>
  <c r="CP61" i="10"/>
  <c r="HA61" i="10" s="1"/>
  <c r="CP57" i="10"/>
  <c r="HA57" i="10" s="1"/>
  <c r="CP53" i="10"/>
  <c r="HA53" i="10" s="1"/>
  <c r="CP49" i="10"/>
  <c r="HA49" i="10" s="1"/>
  <c r="CP45" i="10"/>
  <c r="HA45" i="10" s="1"/>
  <c r="CP41" i="10"/>
  <c r="HA41" i="10" s="1"/>
  <c r="CP37" i="10"/>
  <c r="HA37" i="10" s="1"/>
  <c r="CP33" i="10"/>
  <c r="HA33" i="10" s="1"/>
  <c r="CP29" i="10"/>
  <c r="HA29" i="10" s="1"/>
  <c r="CP25" i="10"/>
  <c r="HA25" i="10" s="1"/>
  <c r="CP21" i="10"/>
  <c r="HA21" i="10" s="1"/>
  <c r="CP17" i="10"/>
  <c r="HA17" i="10" s="1"/>
  <c r="CP13" i="10"/>
  <c r="DF13" i="10" s="1"/>
  <c r="HQ13" i="10" s="1"/>
  <c r="CP6" i="10"/>
  <c r="HA6" i="10" s="1"/>
  <c r="DW28" i="10"/>
  <c r="EE28" i="10"/>
  <c r="IP28" i="10" s="1"/>
  <c r="DW8" i="10"/>
  <c r="EE8" i="10"/>
  <c r="IP8" i="10" s="1"/>
  <c r="DW21" i="10"/>
  <c r="EE21" i="10"/>
  <c r="IP21" i="10" s="1"/>
  <c r="DW27" i="10"/>
  <c r="EE27" i="10"/>
  <c r="IP27" i="10" s="1"/>
  <c r="DO63" i="10"/>
  <c r="HZ63" i="10" s="1"/>
  <c r="DO55" i="10"/>
  <c r="HZ55" i="10" s="1"/>
  <c r="DO47" i="10"/>
  <c r="HZ47" i="10" s="1"/>
  <c r="DO39" i="10"/>
  <c r="HZ39" i="10" s="1"/>
  <c r="DO29" i="10"/>
  <c r="HZ29" i="10" s="1"/>
  <c r="DO15" i="10"/>
  <c r="HZ15" i="10" s="1"/>
  <c r="DO26" i="10"/>
  <c r="HZ26" i="10" s="1"/>
  <c r="DO10" i="10"/>
  <c r="HZ10" i="10" s="1"/>
  <c r="DO64" i="10"/>
  <c r="HZ64" i="10" s="1"/>
  <c r="DO56" i="10"/>
  <c r="HZ56" i="10" s="1"/>
  <c r="DO48" i="10"/>
  <c r="HZ48" i="10" s="1"/>
  <c r="DO40" i="10"/>
  <c r="HZ40" i="10" s="1"/>
  <c r="DO12" i="10"/>
  <c r="HZ12" i="10" s="1"/>
  <c r="DO17" i="10"/>
  <c r="HZ17" i="10" s="1"/>
  <c r="DO61" i="10"/>
  <c r="HZ61" i="10" s="1"/>
  <c r="DO53" i="10"/>
  <c r="HZ53" i="10" s="1"/>
  <c r="DO45" i="10"/>
  <c r="HZ45" i="10" s="1"/>
  <c r="DO37" i="10"/>
  <c r="HZ37" i="10" s="1"/>
  <c r="DO9" i="10"/>
  <c r="HZ9" i="10" s="1"/>
  <c r="DO22" i="10"/>
  <c r="HZ22" i="10" s="1"/>
  <c r="DO6" i="10"/>
  <c r="HZ6" i="10" s="1"/>
  <c r="DO62" i="10"/>
  <c r="HZ62" i="10" s="1"/>
  <c r="DO54" i="10"/>
  <c r="HZ54" i="10" s="1"/>
  <c r="DO46" i="10"/>
  <c r="HZ46" i="10" s="1"/>
  <c r="DO36" i="10"/>
  <c r="HZ36" i="10" s="1"/>
  <c r="DO24" i="10"/>
  <c r="HZ24" i="10" s="1"/>
  <c r="DO33" i="10"/>
  <c r="HZ33" i="10" s="1"/>
  <c r="DO11" i="10"/>
  <c r="HZ11" i="10" s="1"/>
  <c r="DO59" i="10"/>
  <c r="HZ59" i="10" s="1"/>
  <c r="DO51" i="10"/>
  <c r="HZ51" i="10" s="1"/>
  <c r="DO43" i="10"/>
  <c r="HZ43" i="10" s="1"/>
  <c r="DO35" i="10"/>
  <c r="HZ35" i="10" s="1"/>
  <c r="DO23" i="10"/>
  <c r="HZ23" i="10" s="1"/>
  <c r="DO38" i="10"/>
  <c r="HZ38" i="10" s="1"/>
  <c r="DO18" i="10"/>
  <c r="HZ18" i="10" s="1"/>
  <c r="DO13" i="10"/>
  <c r="HZ13" i="10" s="1"/>
  <c r="DO60" i="10"/>
  <c r="HZ60" i="10" s="1"/>
  <c r="DO52" i="10"/>
  <c r="HZ52" i="10" s="1"/>
  <c r="DO44" i="10"/>
  <c r="HZ44" i="10" s="1"/>
  <c r="DO34" i="10"/>
  <c r="HZ34" i="10" s="1"/>
  <c r="DO20" i="10"/>
  <c r="HZ20" i="10" s="1"/>
  <c r="DO4" i="10"/>
  <c r="HZ4" i="10" s="1"/>
  <c r="DO25" i="10"/>
  <c r="HZ25" i="10" s="1"/>
  <c r="DO3" i="10"/>
  <c r="HZ3" i="10" s="1"/>
  <c r="DO57" i="10"/>
  <c r="HZ57" i="10" s="1"/>
  <c r="DO49" i="10"/>
  <c r="HZ49" i="10" s="1"/>
  <c r="DO41" i="10"/>
  <c r="HZ41" i="10" s="1"/>
  <c r="DO31" i="10"/>
  <c r="HZ31" i="10" s="1"/>
  <c r="DO19" i="10"/>
  <c r="HZ19" i="10" s="1"/>
  <c r="DO30" i="10"/>
  <c r="HZ30" i="10" s="1"/>
  <c r="DO14" i="10"/>
  <c r="HZ14" i="10" s="1"/>
  <c r="DO5" i="10"/>
  <c r="HZ5" i="10" s="1"/>
  <c r="DO58" i="10"/>
  <c r="HZ58" i="10" s="1"/>
  <c r="DO50" i="10"/>
  <c r="HZ50" i="10" s="1"/>
  <c r="DO42" i="10"/>
  <c r="HZ42" i="10" s="1"/>
  <c r="DO32" i="10"/>
  <c r="HZ32" i="10" s="1"/>
  <c r="DO16" i="10"/>
  <c r="HZ16" i="10" s="1"/>
  <c r="DO7" i="10"/>
  <c r="HZ7" i="10" s="1"/>
  <c r="CY41" i="10"/>
  <c r="HJ41" i="10" s="1"/>
  <c r="DG41" i="10"/>
  <c r="HR41" i="10" s="1"/>
  <c r="CY47" i="10"/>
  <c r="HJ47" i="10" s="1"/>
  <c r="DG47" i="10"/>
  <c r="HR47" i="10" s="1"/>
  <c r="CY59" i="10"/>
  <c r="HJ59" i="10" s="1"/>
  <c r="DG59" i="10"/>
  <c r="HR59" i="10" s="1"/>
  <c r="CY48" i="10"/>
  <c r="HJ48" i="10" s="1"/>
  <c r="DG48" i="10"/>
  <c r="HR48" i="10" s="1"/>
  <c r="CY23" i="10"/>
  <c r="HJ23" i="10" s="1"/>
  <c r="DG23" i="10"/>
  <c r="HR23" i="10" s="1"/>
  <c r="CY25" i="10"/>
  <c r="HJ25" i="10" s="1"/>
  <c r="CY4" i="10"/>
  <c r="HJ4" i="10" s="1"/>
  <c r="DG4" i="10"/>
  <c r="HR4" i="10" s="1"/>
  <c r="CY24" i="10"/>
  <c r="HJ24" i="10" s="1"/>
  <c r="DG24" i="10"/>
  <c r="HR24" i="10" s="1"/>
  <c r="CY12" i="10"/>
  <c r="HJ12" i="10" s="1"/>
  <c r="DG12" i="10"/>
  <c r="HR12" i="10" s="1"/>
  <c r="CY5" i="10"/>
  <c r="HJ5" i="10" s="1"/>
  <c r="DG5" i="10"/>
  <c r="HR5" i="10" s="1"/>
  <c r="CY54" i="10"/>
  <c r="HJ54" i="10" s="1"/>
  <c r="DG54" i="10"/>
  <c r="HR54" i="10" s="1"/>
  <c r="CY33" i="10"/>
  <c r="HJ33" i="10" s="1"/>
  <c r="CY57" i="10"/>
  <c r="HJ57" i="10" s="1"/>
  <c r="DG57" i="10"/>
  <c r="HR57" i="10" s="1"/>
  <c r="CY42" i="10"/>
  <c r="HJ42" i="10" s="1"/>
  <c r="DG42" i="10"/>
  <c r="HR42" i="10" s="1"/>
  <c r="CY44" i="10"/>
  <c r="HJ44" i="10" s="1"/>
  <c r="DG44" i="10"/>
  <c r="HR44" i="10" s="1"/>
  <c r="CY64" i="10"/>
  <c r="HJ64" i="10" s="1"/>
  <c r="DG64" i="10"/>
  <c r="HR64" i="10" s="1"/>
  <c r="CY35" i="10"/>
  <c r="HJ35" i="10" s="1"/>
  <c r="DG35" i="10"/>
  <c r="HR35" i="10" s="1"/>
  <c r="CY22" i="10"/>
  <c r="HJ22" i="10" s="1"/>
  <c r="CY60" i="10"/>
  <c r="HJ60" i="10" s="1"/>
  <c r="DG60" i="10"/>
  <c r="HR60" i="10" s="1"/>
  <c r="CY30" i="10"/>
  <c r="HJ30" i="10" s="1"/>
  <c r="DG30" i="10"/>
  <c r="HR30" i="10" s="1"/>
  <c r="CY10" i="10"/>
  <c r="HJ10" i="10" s="1"/>
  <c r="DG10" i="10"/>
  <c r="HR10" i="10" s="1"/>
  <c r="CY36" i="10"/>
  <c r="HJ36" i="10" s="1"/>
  <c r="CY18" i="10"/>
  <c r="HJ18" i="10" s="1"/>
  <c r="DG18" i="10"/>
  <c r="HR18" i="10" s="1"/>
  <c r="CY11" i="10"/>
  <c r="HJ11" i="10" s="1"/>
  <c r="DG11" i="10"/>
  <c r="HR11" i="10" s="1"/>
  <c r="CY32" i="10"/>
  <c r="HJ32" i="10" s="1"/>
  <c r="DG32" i="10"/>
  <c r="HR32" i="10" s="1"/>
  <c r="CY7" i="10"/>
  <c r="HJ7" i="10" s="1"/>
  <c r="DG7" i="10"/>
  <c r="HR7" i="10" s="1"/>
  <c r="CY55" i="10"/>
  <c r="HJ55" i="10" s="1"/>
  <c r="DG55" i="10"/>
  <c r="HR55" i="10" s="1"/>
  <c r="CY63" i="10"/>
  <c r="HJ63" i="10" s="1"/>
  <c r="DG63" i="10"/>
  <c r="HR63" i="10" s="1"/>
  <c r="CY52" i="10"/>
  <c r="HJ52" i="10" s="1"/>
  <c r="CY26" i="10"/>
  <c r="HJ26" i="10" s="1"/>
  <c r="DG26" i="10"/>
  <c r="HR26" i="10" s="1"/>
  <c r="CY6" i="10"/>
  <c r="HJ6" i="10" s="1"/>
  <c r="DG6" i="10"/>
  <c r="HR6" i="10" s="1"/>
  <c r="CY46" i="10"/>
  <c r="CY13" i="10"/>
  <c r="HJ13" i="10" s="1"/>
  <c r="DG13" i="10"/>
  <c r="HR13" i="10" s="1"/>
  <c r="CY51" i="10"/>
  <c r="HJ51" i="10" s="1"/>
  <c r="CY56" i="10"/>
  <c r="HJ56" i="10" s="1"/>
  <c r="DG56" i="10"/>
  <c r="HR56" i="10" s="1"/>
  <c r="CY29" i="10"/>
  <c r="HJ29" i="10" s="1"/>
  <c r="DG29" i="10"/>
  <c r="HR29" i="10" s="1"/>
  <c r="CY16" i="10"/>
  <c r="HJ16" i="10" s="1"/>
  <c r="DG16" i="10"/>
  <c r="HR16" i="10" s="1"/>
  <c r="CY20" i="10"/>
  <c r="HJ20" i="10" s="1"/>
  <c r="DG20" i="10"/>
  <c r="HR20" i="10" s="1"/>
  <c r="CY31" i="10"/>
  <c r="HJ31" i="10" s="1"/>
  <c r="DG31" i="10"/>
  <c r="HR31" i="10" s="1"/>
  <c r="CY17" i="10"/>
  <c r="HJ17" i="10" s="1"/>
  <c r="DG17" i="10"/>
  <c r="HR17" i="10" s="1"/>
  <c r="CY62" i="10"/>
  <c r="HJ62" i="10" s="1"/>
  <c r="DG62" i="10"/>
  <c r="HR62" i="10" s="1"/>
  <c r="CY58" i="10"/>
  <c r="DG58" i="10"/>
  <c r="HR58" i="10" s="1"/>
  <c r="CY39" i="10"/>
  <c r="HJ39" i="10" s="1"/>
  <c r="DG39" i="10"/>
  <c r="HR39" i="10" s="1"/>
  <c r="CY19" i="10"/>
  <c r="HJ19" i="10" s="1"/>
  <c r="DG19" i="10"/>
  <c r="HR19" i="10" s="1"/>
  <c r="CY49" i="10"/>
  <c r="HJ49" i="10" s="1"/>
  <c r="DG49" i="10"/>
  <c r="HR49" i="10" s="1"/>
  <c r="CY3" i="10"/>
  <c r="HJ3" i="10" s="1"/>
  <c r="DG3" i="10"/>
  <c r="HR3" i="10" s="1"/>
  <c r="CY53" i="10"/>
  <c r="HJ53" i="10" s="1"/>
  <c r="DG53" i="10"/>
  <c r="HR53" i="10" s="1"/>
  <c r="CY34" i="10"/>
  <c r="DG34" i="10"/>
  <c r="HR34" i="10" s="1"/>
  <c r="BF8" i="10"/>
  <c r="CQ8" i="10" s="1"/>
  <c r="HB8" i="10" s="1"/>
  <c r="BF21" i="10"/>
  <c r="CQ21" i="10" s="1"/>
  <c r="HB21" i="10" s="1"/>
  <c r="BF61" i="10"/>
  <c r="CQ61" i="10" s="1"/>
  <c r="HB61" i="10" s="1"/>
  <c r="C559" i="30"/>
  <c r="I559" i="30" s="1"/>
  <c r="BF27" i="10"/>
  <c r="CQ27" i="10" s="1"/>
  <c r="HB27" i="10" s="1"/>
  <c r="E1126" i="35"/>
  <c r="BF28" i="10"/>
  <c r="CQ28" i="10" s="1"/>
  <c r="HB28" i="10" s="1"/>
  <c r="E1143" i="35"/>
  <c r="E1119" i="35"/>
  <c r="E1106" i="35"/>
  <c r="CX38" i="10"/>
  <c r="HI38" i="10" s="1"/>
  <c r="DF22" i="10"/>
  <c r="HQ22" i="10" s="1"/>
  <c r="DF7" i="10"/>
  <c r="HQ7" i="10" s="1"/>
  <c r="CX63" i="10"/>
  <c r="HI63" i="10" s="1"/>
  <c r="DF63" i="10"/>
  <c r="HQ63" i="10" s="1"/>
  <c r="CX55" i="10"/>
  <c r="HI55" i="10" s="1"/>
  <c r="DF55" i="10"/>
  <c r="HQ55" i="10" s="1"/>
  <c r="DF51" i="10"/>
  <c r="HQ51" i="10" s="1"/>
  <c r="CX47" i="10"/>
  <c r="HI47" i="10" s="1"/>
  <c r="DF47" i="10"/>
  <c r="HQ47" i="10" s="1"/>
  <c r="CX39" i="10"/>
  <c r="HI39" i="10" s="1"/>
  <c r="DF39" i="10"/>
  <c r="HQ39" i="10" s="1"/>
  <c r="DF35" i="10"/>
  <c r="HQ35" i="10" s="1"/>
  <c r="CX31" i="10"/>
  <c r="HI31" i="10" s="1"/>
  <c r="DF31" i="10"/>
  <c r="HQ31" i="10" s="1"/>
  <c r="CX27" i="10"/>
  <c r="HI27" i="10" s="1"/>
  <c r="CX23" i="10"/>
  <c r="HI23" i="10" s="1"/>
  <c r="DF23" i="10"/>
  <c r="HQ23" i="10" s="1"/>
  <c r="DF19" i="10"/>
  <c r="HQ19" i="10" s="1"/>
  <c r="CX15" i="10"/>
  <c r="HI15" i="10" s="1"/>
  <c r="DF15" i="10"/>
  <c r="HQ15" i="10" s="1"/>
  <c r="DF10" i="10"/>
  <c r="HQ10" i="10" s="1"/>
  <c r="DF54" i="10"/>
  <c r="HQ54" i="10" s="1"/>
  <c r="CX34" i="10"/>
  <c r="HI34" i="10" s="1"/>
  <c r="DF34" i="10"/>
  <c r="HQ34" i="10" s="1"/>
  <c r="CX26" i="10"/>
  <c r="HI26" i="10" s="1"/>
  <c r="DF26" i="10"/>
  <c r="HQ26" i="10" s="1"/>
  <c r="CX8" i="10"/>
  <c r="HI8" i="10" s="1"/>
  <c r="DF8" i="10"/>
  <c r="HQ8" i="10" s="1"/>
  <c r="CX9" i="10"/>
  <c r="HI9" i="10" s="1"/>
  <c r="DF9" i="10"/>
  <c r="HQ9" i="10" s="1"/>
  <c r="CX64" i="10"/>
  <c r="HI64" i="10" s="1"/>
  <c r="CX60" i="10"/>
  <c r="HI60" i="10" s="1"/>
  <c r="DF60" i="10"/>
  <c r="HQ60" i="10" s="1"/>
  <c r="DF56" i="10"/>
  <c r="HQ56" i="10" s="1"/>
  <c r="CX52" i="10"/>
  <c r="HI52" i="10" s="1"/>
  <c r="DF52" i="10"/>
  <c r="HQ52" i="10" s="1"/>
  <c r="CX48" i="10"/>
  <c r="HI48" i="10" s="1"/>
  <c r="CX44" i="10"/>
  <c r="HI44" i="10" s="1"/>
  <c r="DF44" i="10"/>
  <c r="HQ44" i="10" s="1"/>
  <c r="CX36" i="10"/>
  <c r="HI36" i="10" s="1"/>
  <c r="DF36" i="10"/>
  <c r="HQ36" i="10" s="1"/>
  <c r="CX32" i="10"/>
  <c r="HI32" i="10" s="1"/>
  <c r="CX28" i="10"/>
  <c r="HI28" i="10" s="1"/>
  <c r="DF28" i="10"/>
  <c r="HQ28" i="10" s="1"/>
  <c r="CX20" i="10"/>
  <c r="HI20" i="10" s="1"/>
  <c r="DF20" i="10"/>
  <c r="HQ20" i="10" s="1"/>
  <c r="CX16" i="10"/>
  <c r="HI16" i="10" s="1"/>
  <c r="CX11" i="10"/>
  <c r="HI11" i="10" s="1"/>
  <c r="DF11" i="10"/>
  <c r="HQ11" i="10" s="1"/>
  <c r="CX4" i="10"/>
  <c r="HI4" i="10" s="1"/>
  <c r="CX5" i="10"/>
  <c r="HI5" i="10" s="1"/>
  <c r="DF5" i="10"/>
  <c r="HQ5" i="10" s="1"/>
  <c r="CX58" i="10"/>
  <c r="HI58" i="10" s="1"/>
  <c r="DF58" i="10"/>
  <c r="HQ58" i="10" s="1"/>
  <c r="CX50" i="10"/>
  <c r="HI50" i="10" s="1"/>
  <c r="DF50" i="10"/>
  <c r="HQ50" i="10" s="1"/>
  <c r="CX42" i="10"/>
  <c r="HI42" i="10" s="1"/>
  <c r="DF42" i="10"/>
  <c r="HQ42" i="10" s="1"/>
  <c r="CX18" i="10"/>
  <c r="HI18" i="10" s="1"/>
  <c r="DF18" i="10"/>
  <c r="HQ18" i="10" s="1"/>
  <c r="CX12" i="10"/>
  <c r="HI12" i="10" s="1"/>
  <c r="DF12" i="10"/>
  <c r="HQ12" i="10" s="1"/>
  <c r="CX3" i="10"/>
  <c r="HI3" i="10" s="1"/>
  <c r="DF3" i="10"/>
  <c r="HQ3" i="10" s="1"/>
  <c r="DF61" i="10"/>
  <c r="HQ61" i="10" s="1"/>
  <c r="CX57" i="10"/>
  <c r="HI57" i="10" s="1"/>
  <c r="DF57" i="10"/>
  <c r="HQ57" i="10" s="1"/>
  <c r="CX49" i="10"/>
  <c r="HI49" i="10" s="1"/>
  <c r="DF49" i="10"/>
  <c r="HQ49" i="10" s="1"/>
  <c r="DF45" i="10"/>
  <c r="HQ45" i="10" s="1"/>
  <c r="CX41" i="10"/>
  <c r="HI41" i="10" s="1"/>
  <c r="DF41" i="10"/>
  <c r="HQ41" i="10" s="1"/>
  <c r="CX37" i="10"/>
  <c r="HI37" i="10" s="1"/>
  <c r="CX33" i="10"/>
  <c r="HI33" i="10" s="1"/>
  <c r="DF33" i="10"/>
  <c r="HQ33" i="10" s="1"/>
  <c r="DF29" i="10"/>
  <c r="HQ29" i="10" s="1"/>
  <c r="CX25" i="10"/>
  <c r="HI25" i="10" s="1"/>
  <c r="DF25" i="10"/>
  <c r="HQ25" i="10" s="1"/>
  <c r="DF21" i="10"/>
  <c r="HQ21" i="10" s="1"/>
  <c r="CX17" i="10"/>
  <c r="HI17" i="10" s="1"/>
  <c r="DF17" i="10"/>
  <c r="HQ17" i="10" s="1"/>
  <c r="CX6" i="10"/>
  <c r="HI6" i="10" s="1"/>
  <c r="DF6" i="10"/>
  <c r="HQ6" i="10" s="1"/>
  <c r="L1022" i="33"/>
  <c r="C220" i="35"/>
  <c r="C223" i="35"/>
  <c r="L1025" i="33"/>
  <c r="L1005" i="33"/>
  <c r="C203" i="35"/>
  <c r="L1045" i="33"/>
  <c r="C243" i="35"/>
  <c r="L1038" i="33"/>
  <c r="C236" i="35"/>
  <c r="C216" i="35"/>
  <c r="L1018" i="33"/>
  <c r="C211" i="35"/>
  <c r="L1013" i="33"/>
  <c r="E1147" i="35"/>
  <c r="C246" i="35"/>
  <c r="L1048" i="33"/>
  <c r="L1027" i="33"/>
  <c r="C225" i="35"/>
  <c r="L1050" i="33"/>
  <c r="C248" i="35"/>
  <c r="L1021" i="33"/>
  <c r="C219" i="35"/>
  <c r="C256" i="35"/>
  <c r="L1058" i="33"/>
  <c r="E1113" i="35"/>
  <c r="L1014" i="33"/>
  <c r="C212" i="35"/>
  <c r="C253" i="35"/>
  <c r="L1055" i="33"/>
  <c r="C261" i="35"/>
  <c r="L1063" i="33"/>
  <c r="C249" i="35"/>
  <c r="L1051" i="33"/>
  <c r="L1029" i="33"/>
  <c r="C227" i="35"/>
  <c r="L1009" i="33"/>
  <c r="C207" i="35"/>
  <c r="L1024" i="33"/>
  <c r="C222" i="35"/>
  <c r="L1003" i="33"/>
  <c r="C201" i="35"/>
  <c r="C221" i="35"/>
  <c r="L1023" i="33"/>
  <c r="L1011" i="33"/>
  <c r="C209" i="35"/>
  <c r="L1004" i="33"/>
  <c r="C202" i="35"/>
  <c r="L1053" i="33"/>
  <c r="C251" i="35"/>
  <c r="L1034" i="33"/>
  <c r="C232" i="35"/>
  <c r="C210" i="35"/>
  <c r="L1012" i="33"/>
  <c r="C244" i="35"/>
  <c r="L1046" i="33"/>
  <c r="L1056" i="33"/>
  <c r="C254" i="35"/>
  <c r="C205" i="35"/>
  <c r="L1007" i="33"/>
  <c r="L1060" i="33"/>
  <c r="C258" i="35"/>
  <c r="C239" i="35"/>
  <c r="L1041" i="33"/>
  <c r="E1125" i="35"/>
  <c r="C224" i="35"/>
  <c r="L1026" i="33"/>
  <c r="L1020" i="33"/>
  <c r="C218" i="35"/>
  <c r="C245" i="35"/>
  <c r="L1047" i="33"/>
  <c r="L1040" i="33"/>
  <c r="C238" i="35"/>
  <c r="L1028" i="33"/>
  <c r="C226" i="35"/>
  <c r="C213" i="35"/>
  <c r="L1015" i="33"/>
  <c r="C206" i="35"/>
  <c r="L1008" i="33"/>
  <c r="L1035" i="33"/>
  <c r="C233" i="35"/>
  <c r="C215" i="35"/>
  <c r="L1017" i="33"/>
  <c r="L1010" i="33"/>
  <c r="C208" i="35"/>
  <c r="C247" i="35"/>
  <c r="L1049" i="33"/>
  <c r="C240" i="35"/>
  <c r="L1042" i="33"/>
  <c r="C230" i="35"/>
  <c r="L1032" i="33"/>
  <c r="C204" i="35"/>
  <c r="L1006" i="33"/>
  <c r="C570" i="30"/>
  <c r="I570" i="30" s="1"/>
  <c r="L1054" i="33"/>
  <c r="C252" i="35"/>
  <c r="L1044" i="33"/>
  <c r="C242" i="35"/>
  <c r="L1062" i="33"/>
  <c r="C260" i="35"/>
  <c r="C257" i="35"/>
  <c r="L1059" i="33"/>
  <c r="L1036" i="33"/>
  <c r="C234" i="35"/>
  <c r="L1019" i="33"/>
  <c r="C217" i="35"/>
  <c r="L1039" i="33"/>
  <c r="C237" i="35"/>
  <c r="C228" i="35"/>
  <c r="L1030" i="33"/>
  <c r="L1016" i="33"/>
  <c r="C214" i="35"/>
  <c r="C259" i="35"/>
  <c r="L1061" i="33"/>
  <c r="C255" i="35"/>
  <c r="L1057" i="33"/>
  <c r="C241" i="35"/>
  <c r="L1043" i="33"/>
  <c r="C229" i="35"/>
  <c r="L1031" i="33"/>
  <c r="C200" i="35"/>
  <c r="L1002" i="33"/>
  <c r="L1052" i="33"/>
  <c r="C250" i="35"/>
  <c r="C235" i="35"/>
  <c r="L1037" i="33"/>
  <c r="E1132" i="35"/>
  <c r="C231" i="35"/>
  <c r="L1033" i="33"/>
  <c r="E1157" i="35"/>
  <c r="E1153" i="35"/>
  <c r="C557" i="30"/>
  <c r="I557" i="30" s="1"/>
  <c r="C571" i="30"/>
  <c r="K571" i="30" s="1"/>
  <c r="C566" i="30"/>
  <c r="I566" i="30" s="1"/>
  <c r="CJ48" i="10"/>
  <c r="GU48" i="10" s="1"/>
  <c r="H1396" i="35"/>
  <c r="I1396" i="35" s="1"/>
  <c r="CJ9" i="10"/>
  <c r="GU9" i="10" s="1"/>
  <c r="H1357" i="35"/>
  <c r="I1357" i="35" s="1"/>
  <c r="CJ54" i="10"/>
  <c r="GU54" i="10" s="1"/>
  <c r="H1402" i="35"/>
  <c r="I1402" i="35" s="1"/>
  <c r="CJ43" i="10"/>
  <c r="GU43" i="10" s="1"/>
  <c r="H1391" i="35"/>
  <c r="I1391" i="35" s="1"/>
  <c r="CJ49" i="10"/>
  <c r="GU49" i="10" s="1"/>
  <c r="H1397" i="35"/>
  <c r="I1397" i="35" s="1"/>
  <c r="CJ28" i="10"/>
  <c r="GU28" i="10" s="1"/>
  <c r="H1376" i="35"/>
  <c r="I1376" i="35" s="1"/>
  <c r="CJ3" i="10"/>
  <c r="GU3" i="10" s="1"/>
  <c r="H1351" i="35"/>
  <c r="I1351" i="35" s="1"/>
  <c r="CJ55" i="10"/>
  <c r="GU55" i="10" s="1"/>
  <c r="H1403" i="35"/>
  <c r="I1403" i="35" s="1"/>
  <c r="CJ45" i="10"/>
  <c r="H1393" i="35"/>
  <c r="I1393" i="35" s="1"/>
  <c r="CJ59" i="10"/>
  <c r="H1407" i="35"/>
  <c r="I1407" i="35" s="1"/>
  <c r="CJ34" i="10"/>
  <c r="H1382" i="35"/>
  <c r="I1382" i="35" s="1"/>
  <c r="CJ15" i="10"/>
  <c r="H1363" i="35"/>
  <c r="I1363" i="35" s="1"/>
  <c r="CJ60" i="10"/>
  <c r="GU60" i="10" s="1"/>
  <c r="H1408" i="35"/>
  <c r="I1408" i="35" s="1"/>
  <c r="CJ23" i="10"/>
  <c r="GU23" i="10" s="1"/>
  <c r="H1371" i="35"/>
  <c r="I1371" i="35" s="1"/>
  <c r="CJ20" i="10"/>
  <c r="GU20" i="10" s="1"/>
  <c r="H1368" i="35"/>
  <c r="I1368" i="35" s="1"/>
  <c r="CJ24" i="10"/>
  <c r="GU24" i="10" s="1"/>
  <c r="H1372" i="35"/>
  <c r="I1372" i="35" s="1"/>
  <c r="CJ12" i="10"/>
  <c r="GU12" i="10" s="1"/>
  <c r="H1360" i="35"/>
  <c r="I1360" i="35" s="1"/>
  <c r="CJ5" i="10"/>
  <c r="GU5" i="10" s="1"/>
  <c r="H1353" i="35"/>
  <c r="I1353" i="35" s="1"/>
  <c r="CJ50" i="10"/>
  <c r="GU50" i="10" s="1"/>
  <c r="H1398" i="35"/>
  <c r="I1398" i="35" s="1"/>
  <c r="CJ44" i="10"/>
  <c r="GU44" i="10" s="1"/>
  <c r="H1392" i="35"/>
  <c r="I1392" i="35" s="1"/>
  <c r="CJ32" i="10"/>
  <c r="GU32" i="10" s="1"/>
  <c r="H1380" i="35"/>
  <c r="I1380" i="35" s="1"/>
  <c r="CJ47" i="10"/>
  <c r="GU47" i="10" s="1"/>
  <c r="H1395" i="35"/>
  <c r="I1395" i="35" s="1"/>
  <c r="CJ53" i="10"/>
  <c r="GU53" i="10" s="1"/>
  <c r="H1401" i="35"/>
  <c r="I1401" i="35" s="1"/>
  <c r="CJ38" i="10"/>
  <c r="GU38" i="10" s="1"/>
  <c r="H1386" i="35"/>
  <c r="I1386" i="35" s="1"/>
  <c r="CJ27" i="10"/>
  <c r="H1375" i="35"/>
  <c r="I1375" i="35" s="1"/>
  <c r="B124" i="10"/>
  <c r="B185" i="30" s="1"/>
  <c r="B951" i="31"/>
  <c r="A686" i="31"/>
  <c r="D426" i="31"/>
  <c r="D297" i="31"/>
  <c r="D168" i="31"/>
  <c r="A816" i="31"/>
  <c r="A556" i="31"/>
  <c r="B123" i="10"/>
  <c r="B184" i="30" s="1"/>
  <c r="B950" i="31"/>
  <c r="A685" i="31"/>
  <c r="A555" i="31"/>
  <c r="D425" i="31"/>
  <c r="D167" i="31"/>
  <c r="A815" i="31"/>
  <c r="D296" i="31"/>
  <c r="CJ56" i="10"/>
  <c r="GU56" i="10" s="1"/>
  <c r="H1404" i="35"/>
  <c r="I1404" i="35" s="1"/>
  <c r="CJ41" i="10"/>
  <c r="GU41" i="10" s="1"/>
  <c r="H1389" i="35"/>
  <c r="I1389" i="35" s="1"/>
  <c r="CJ30" i="10"/>
  <c r="GU30" i="10" s="1"/>
  <c r="H1378" i="35"/>
  <c r="I1378" i="35" s="1"/>
  <c r="CJ26" i="10"/>
  <c r="GU26" i="10" s="1"/>
  <c r="H1374" i="35"/>
  <c r="I1374" i="35" s="1"/>
  <c r="CJ6" i="10"/>
  <c r="GU6" i="10" s="1"/>
  <c r="H1354" i="35"/>
  <c r="I1354" i="35" s="1"/>
  <c r="CJ36" i="10"/>
  <c r="GU36" i="10" s="1"/>
  <c r="H1384" i="35"/>
  <c r="I1384" i="35" s="1"/>
  <c r="CJ18" i="10"/>
  <c r="H1366" i="35"/>
  <c r="I1366" i="35" s="1"/>
  <c r="CJ11" i="10"/>
  <c r="GU11" i="10" s="1"/>
  <c r="H1359" i="35"/>
  <c r="I1359" i="35" s="1"/>
  <c r="CJ58" i="10"/>
  <c r="H1406" i="35"/>
  <c r="I1406" i="35" s="1"/>
  <c r="CJ39" i="10"/>
  <c r="GU39" i="10" s="1"/>
  <c r="H1387" i="35"/>
  <c r="I1387" i="35" s="1"/>
  <c r="CJ19" i="10"/>
  <c r="GU19" i="10" s="1"/>
  <c r="H1367" i="35"/>
  <c r="I1367" i="35" s="1"/>
  <c r="CJ14" i="10"/>
  <c r="GU14" i="10" s="1"/>
  <c r="H1362" i="35"/>
  <c r="I1362" i="35" s="1"/>
  <c r="CJ33" i="10"/>
  <c r="GU33" i="10" s="1"/>
  <c r="H1381" i="35"/>
  <c r="I1381" i="35" s="1"/>
  <c r="CJ51" i="10"/>
  <c r="GU51" i="10" s="1"/>
  <c r="H1399" i="35"/>
  <c r="I1399" i="35" s="1"/>
  <c r="CJ22" i="10"/>
  <c r="GU22" i="10" s="1"/>
  <c r="H1370" i="35"/>
  <c r="I1370" i="35" s="1"/>
  <c r="CJ63" i="10"/>
  <c r="GU63" i="10" s="1"/>
  <c r="H1411" i="35"/>
  <c r="I1411" i="35" s="1"/>
  <c r="CJ42" i="10"/>
  <c r="GU42" i="10" s="1"/>
  <c r="H1390" i="35"/>
  <c r="I1390" i="35" s="1"/>
  <c r="CJ64" i="10"/>
  <c r="GU64" i="10" s="1"/>
  <c r="H1412" i="35"/>
  <c r="I1412" i="35" s="1"/>
  <c r="CJ52" i="10"/>
  <c r="GU52" i="10" s="1"/>
  <c r="H1400" i="35"/>
  <c r="I1400" i="35" s="1"/>
  <c r="CJ37" i="10"/>
  <c r="GU37" i="10" s="1"/>
  <c r="H1385" i="35"/>
  <c r="I1385" i="35" s="1"/>
  <c r="CJ29" i="10"/>
  <c r="GU29" i="10" s="1"/>
  <c r="H1377" i="35"/>
  <c r="I1377" i="35" s="1"/>
  <c r="CJ16" i="10"/>
  <c r="GU16" i="10" s="1"/>
  <c r="H1364" i="35"/>
  <c r="I1364" i="35" s="1"/>
  <c r="CJ10" i="10"/>
  <c r="GU10" i="10" s="1"/>
  <c r="H1358" i="35"/>
  <c r="I1358" i="35" s="1"/>
  <c r="CJ25" i="10"/>
  <c r="GU25" i="10" s="1"/>
  <c r="H1373" i="35"/>
  <c r="I1373" i="35" s="1"/>
  <c r="CJ4" i="10"/>
  <c r="GU4" i="10" s="1"/>
  <c r="H1352" i="35"/>
  <c r="I1352" i="35" s="1"/>
  <c r="CJ40" i="10"/>
  <c r="H1388" i="35"/>
  <c r="I1388" i="35" s="1"/>
  <c r="CJ31" i="10"/>
  <c r="GU31" i="10" s="1"/>
  <c r="H1379" i="35"/>
  <c r="I1379" i="35" s="1"/>
  <c r="CJ17" i="10"/>
  <c r="GU17" i="10" s="1"/>
  <c r="H1365" i="35"/>
  <c r="I1365" i="35" s="1"/>
  <c r="CJ62" i="10"/>
  <c r="GU62" i="10" s="1"/>
  <c r="H1410" i="35"/>
  <c r="I1410" i="35" s="1"/>
  <c r="CJ46" i="10"/>
  <c r="H1394" i="35"/>
  <c r="I1394" i="35" s="1"/>
  <c r="CJ35" i="10"/>
  <c r="GU35" i="10" s="1"/>
  <c r="H1383" i="35"/>
  <c r="I1383" i="35" s="1"/>
  <c r="CJ13" i="10"/>
  <c r="GU13" i="10" s="1"/>
  <c r="H1361" i="35"/>
  <c r="I1361" i="35" s="1"/>
  <c r="CJ7" i="10"/>
  <c r="H1355" i="35"/>
  <c r="I1355" i="35" s="1"/>
  <c r="CJ57" i="10"/>
  <c r="GU57" i="10" s="1"/>
  <c r="H1405" i="35"/>
  <c r="I1405" i="35" s="1"/>
  <c r="CJ8" i="10"/>
  <c r="H1356" i="35"/>
  <c r="I1356" i="35" s="1"/>
  <c r="CJ61" i="10"/>
  <c r="H1409" i="35"/>
  <c r="I1409" i="35" s="1"/>
  <c r="CJ21" i="10"/>
  <c r="GU21" i="10" s="1"/>
  <c r="H1369" i="35"/>
  <c r="I1369" i="35" s="1"/>
  <c r="AO5" i="38"/>
  <c r="K145" i="27"/>
  <c r="I483" i="30"/>
  <c r="I489" i="30"/>
  <c r="I490" i="30"/>
  <c r="I500" i="30"/>
  <c r="I499" i="30"/>
  <c r="I498" i="30"/>
  <c r="I493" i="30"/>
  <c r="I482" i="30"/>
  <c r="I496" i="30"/>
  <c r="I488" i="30"/>
  <c r="DQ109" i="10"/>
  <c r="J495" i="30" s="1"/>
  <c r="L495" i="30"/>
  <c r="I492" i="30"/>
  <c r="I497" i="30"/>
  <c r="DQ105" i="10"/>
  <c r="J493" i="30" s="1"/>
  <c r="L493" i="30"/>
  <c r="I494" i="30"/>
  <c r="I485" i="30"/>
  <c r="I491" i="30"/>
  <c r="I486" i="30"/>
  <c r="I495" i="30"/>
  <c r="I487" i="30"/>
  <c r="DS126" i="10"/>
  <c r="DR126" i="10" s="1"/>
  <c r="DS85" i="10"/>
  <c r="DR85" i="10" s="1"/>
  <c r="I484" i="30"/>
  <c r="DS120" i="10"/>
  <c r="DR120" i="10" s="1"/>
  <c r="DS107" i="10"/>
  <c r="DR107" i="10" s="1"/>
  <c r="DS122" i="10"/>
  <c r="DQ122" i="10" s="1"/>
  <c r="DU122" i="10" s="1"/>
  <c r="A957" i="33"/>
  <c r="A569" i="33"/>
  <c r="A1055" i="33"/>
  <c r="A636" i="33"/>
  <c r="A502" i="33"/>
  <c r="A435" i="33"/>
  <c r="A214" i="33"/>
  <c r="A369" i="33"/>
  <c r="B60" i="10"/>
  <c r="D233" i="31"/>
  <c r="A150" i="33"/>
  <c r="A845" i="33" s="1"/>
  <c r="D362" i="31"/>
  <c r="A955" i="35"/>
  <c r="A195" i="32"/>
  <c r="A752" i="31"/>
  <c r="A107" i="32"/>
  <c r="A1089" i="35"/>
  <c r="A887" i="35"/>
  <c r="A1406" i="35"/>
  <c r="A821" i="35"/>
  <c r="A206" i="27"/>
  <c r="A1296" i="35"/>
  <c r="A337" i="35"/>
  <c r="B887" i="31"/>
  <c r="A492" i="31"/>
  <c r="B119" i="30"/>
  <c r="A283" i="27"/>
  <c r="A1472" i="35"/>
  <c r="A1156" i="35"/>
  <c r="A489" i="35"/>
  <c r="A255" i="35"/>
  <c r="D104" i="31"/>
  <c r="A60" i="38"/>
  <c r="A83" i="27"/>
  <c r="A1022" i="35"/>
  <c r="A572" i="35"/>
  <c r="A404" i="35"/>
  <c r="A622" i="31"/>
  <c r="DS69" i="10"/>
  <c r="DR69" i="10" s="1"/>
  <c r="A1056" i="33"/>
  <c r="A637" i="33"/>
  <c r="A503" i="33"/>
  <c r="A958" i="33"/>
  <c r="A570" i="33"/>
  <c r="A370" i="33"/>
  <c r="A436" i="33"/>
  <c r="A215" i="33"/>
  <c r="B61" i="10"/>
  <c r="D234" i="31"/>
  <c r="A151" i="33"/>
  <c r="A846" i="33" s="1"/>
  <c r="D363" i="31"/>
  <c r="A956" i="35"/>
  <c r="A196" i="32"/>
  <c r="A753" i="31"/>
  <c r="A108" i="32"/>
  <c r="A888" i="35"/>
  <c r="A1090" i="35"/>
  <c r="A207" i="27"/>
  <c r="A1297" i="35"/>
  <c r="A1157" i="35"/>
  <c r="A490" i="35"/>
  <c r="A338" i="35"/>
  <c r="A256" i="35"/>
  <c r="B888" i="31"/>
  <c r="A493" i="31"/>
  <c r="D105" i="31"/>
  <c r="A61" i="38"/>
  <c r="A284" i="27"/>
  <c r="B120" i="30"/>
  <c r="A84" i="27"/>
  <c r="A1473" i="35"/>
  <c r="A1407" i="35"/>
  <c r="A1023" i="35"/>
  <c r="A573" i="35"/>
  <c r="A405" i="35"/>
  <c r="A623" i="31"/>
  <c r="A822" i="35"/>
  <c r="DS95" i="10"/>
  <c r="DR95" i="10" s="1"/>
  <c r="DS108" i="10"/>
  <c r="DQ108" i="10" s="1"/>
  <c r="DU108" i="10" s="1"/>
  <c r="DS123" i="10"/>
  <c r="DR123" i="10" s="1"/>
  <c r="DS89" i="10"/>
  <c r="DR89" i="10" s="1"/>
  <c r="DS118" i="10"/>
  <c r="DQ118" i="10" s="1"/>
  <c r="DU118" i="10" s="1"/>
  <c r="DS111" i="10"/>
  <c r="DR111" i="10" s="1"/>
  <c r="DS90" i="10"/>
  <c r="DQ90" i="10" s="1"/>
  <c r="DU90" i="10" s="1"/>
  <c r="DS104" i="10"/>
  <c r="DQ104" i="10" s="1"/>
  <c r="DS103" i="10"/>
  <c r="DQ103" i="10" s="1"/>
  <c r="DU103" i="10" s="1"/>
  <c r="DS99" i="10"/>
  <c r="DR99" i="10" s="1"/>
  <c r="DS91" i="10"/>
  <c r="DQ91" i="10" s="1"/>
  <c r="DU91" i="10" s="1"/>
  <c r="DS101" i="10"/>
  <c r="DS97" i="10"/>
  <c r="DR97" i="10" s="1"/>
  <c r="DS88" i="10"/>
  <c r="DQ88" i="10" s="1"/>
  <c r="DS65" i="10"/>
  <c r="DR65" i="10" s="1"/>
  <c r="DU112" i="10"/>
  <c r="DU115" i="10"/>
  <c r="DU119" i="10"/>
  <c r="DS110" i="10"/>
  <c r="DS92" i="10"/>
  <c r="DS125" i="10"/>
  <c r="DS102" i="10"/>
  <c r="DS87" i="10"/>
  <c r="L486" i="30" s="1"/>
  <c r="DS124" i="10"/>
  <c r="DS114" i="10"/>
  <c r="DS117" i="10"/>
  <c r="L498" i="30" s="1"/>
  <c r="DS66" i="10"/>
  <c r="DS70" i="10"/>
  <c r="DS74" i="10"/>
  <c r="DS78" i="10"/>
  <c r="DS82" i="10"/>
  <c r="DS86" i="10"/>
  <c r="DR94" i="10"/>
  <c r="DS113" i="10"/>
  <c r="L497" i="30" s="1"/>
  <c r="DS98" i="10"/>
  <c r="DS71" i="10"/>
  <c r="DS75" i="10"/>
  <c r="DS79" i="10"/>
  <c r="DS83" i="10"/>
  <c r="DS116" i="10"/>
  <c r="DU96" i="10"/>
  <c r="DR106" i="10"/>
  <c r="DR96" i="10"/>
  <c r="DQ106" i="10"/>
  <c r="DR119" i="10"/>
  <c r="DR105" i="10"/>
  <c r="DS121" i="10"/>
  <c r="L499" i="30" s="1"/>
  <c r="DQ94" i="10"/>
  <c r="DS67" i="10"/>
  <c r="DS72" i="10"/>
  <c r="DS76" i="10"/>
  <c r="DS80" i="10"/>
  <c r="DS84" i="10"/>
  <c r="DR109" i="10"/>
  <c r="DS93" i="10"/>
  <c r="L488" i="30" s="1"/>
  <c r="DR112" i="10"/>
  <c r="DR115" i="10"/>
  <c r="DS100" i="10"/>
  <c r="DS68" i="10"/>
  <c r="DS73" i="10"/>
  <c r="L484" i="30" s="1"/>
  <c r="DS77" i="10"/>
  <c r="L485" i="30" s="1"/>
  <c r="DS81" i="10"/>
  <c r="C572" i="30"/>
  <c r="L95" i="33"/>
  <c r="K95" i="33"/>
  <c r="E1161" i="35"/>
  <c r="E1140" i="35"/>
  <c r="E1136" i="35"/>
  <c r="E1151" i="35"/>
  <c r="K147" i="33"/>
  <c r="C568" i="30"/>
  <c r="I568" i="30" s="1"/>
  <c r="K151" i="33"/>
  <c r="K96" i="33"/>
  <c r="E1155" i="35"/>
  <c r="E1105" i="35"/>
  <c r="C569" i="30"/>
  <c r="K569" i="30" s="1"/>
  <c r="E1131" i="35"/>
  <c r="C561" i="30"/>
  <c r="K561" i="30" s="1"/>
  <c r="C555" i="30"/>
  <c r="I555" i="30" s="1"/>
  <c r="E1145" i="35"/>
  <c r="E1120" i="35"/>
  <c r="E1149" i="35"/>
  <c r="K144" i="33"/>
  <c r="K104" i="33"/>
  <c r="K120" i="33"/>
  <c r="K107" i="33"/>
  <c r="D392" i="30"/>
  <c r="C567" i="30"/>
  <c r="G282" i="35"/>
  <c r="I309" i="35"/>
  <c r="I329" i="35"/>
  <c r="I302" i="35"/>
  <c r="I294" i="35"/>
  <c r="I285" i="35"/>
  <c r="I327" i="35"/>
  <c r="I300" i="35"/>
  <c r="I304" i="35"/>
  <c r="I336" i="35"/>
  <c r="I328" i="35"/>
  <c r="I320" i="35"/>
  <c r="I312" i="35"/>
  <c r="I286" i="35"/>
  <c r="I306" i="35"/>
  <c r="I298" i="35"/>
  <c r="I290" i="35"/>
  <c r="I322" i="35"/>
  <c r="I287" i="35"/>
  <c r="I319" i="35"/>
  <c r="I311" i="35"/>
  <c r="K150" i="33"/>
  <c r="K112" i="33"/>
  <c r="K148" i="33"/>
  <c r="K135" i="33"/>
  <c r="C1002" i="33"/>
  <c r="K108" i="33"/>
  <c r="K156" i="33"/>
  <c r="K154" i="33"/>
  <c r="K114" i="33"/>
  <c r="K106" i="33"/>
  <c r="K136" i="33"/>
  <c r="I291" i="35"/>
  <c r="I337" i="35"/>
  <c r="I321" i="35"/>
  <c r="I313" i="35"/>
  <c r="I297" i="35"/>
  <c r="I292" i="35"/>
  <c r="I296" i="35"/>
  <c r="I340" i="35"/>
  <c r="I332" i="35"/>
  <c r="I324" i="35"/>
  <c r="I316" i="35"/>
  <c r="I308" i="35"/>
  <c r="I282" i="35"/>
  <c r="I289" i="35"/>
  <c r="I310" i="35"/>
  <c r="I295" i="35"/>
  <c r="I338" i="35"/>
  <c r="I305" i="35"/>
  <c r="I342" i="35"/>
  <c r="I334" i="35"/>
  <c r="I326" i="35"/>
  <c r="I318" i="35"/>
  <c r="I339" i="35"/>
  <c r="I330" i="35"/>
  <c r="I314" i="35"/>
  <c r="I343" i="35"/>
  <c r="I335" i="35"/>
  <c r="I303" i="35"/>
  <c r="I331" i="35"/>
  <c r="I323" i="35"/>
  <c r="I315" i="35"/>
  <c r="I307" i="35"/>
  <c r="I299" i="35"/>
  <c r="I288" i="35"/>
  <c r="I284" i="35"/>
  <c r="I283" i="35"/>
  <c r="K118" i="33"/>
  <c r="K134" i="33"/>
  <c r="K98" i="33"/>
  <c r="K137" i="33"/>
  <c r="K124" i="33"/>
  <c r="K130" i="33"/>
  <c r="K141" i="33"/>
  <c r="K149" i="33"/>
  <c r="K146" i="33"/>
  <c r="K131" i="33"/>
  <c r="K102" i="33"/>
  <c r="K142" i="33"/>
  <c r="K133" i="33"/>
  <c r="K138" i="33"/>
  <c r="K128" i="33"/>
  <c r="K116" i="33"/>
  <c r="K132" i="33"/>
  <c r="K143" i="33"/>
  <c r="K145" i="33"/>
  <c r="K101" i="33"/>
  <c r="K117" i="33"/>
  <c r="K113" i="33"/>
  <c r="E1108" i="35"/>
  <c r="E1138" i="35"/>
  <c r="K122" i="33"/>
  <c r="K121" i="33"/>
  <c r="E1116" i="35"/>
  <c r="E1160" i="35"/>
  <c r="E1124" i="35"/>
  <c r="K125" i="33"/>
  <c r="E1102" i="35"/>
  <c r="K111" i="33"/>
  <c r="E1133" i="35"/>
  <c r="C562" i="30"/>
  <c r="K110" i="33"/>
  <c r="K140" i="33"/>
  <c r="K100" i="33"/>
  <c r="E1162" i="35"/>
  <c r="E1158" i="35"/>
  <c r="E1137" i="35"/>
  <c r="C564" i="30"/>
  <c r="E1146" i="35"/>
  <c r="K152" i="33"/>
  <c r="K153" i="33"/>
  <c r="E1128" i="35"/>
  <c r="E1121" i="35"/>
  <c r="E1123" i="35"/>
  <c r="C558" i="30"/>
  <c r="E1118" i="35"/>
  <c r="K103" i="33"/>
  <c r="K115" i="33"/>
  <c r="E1134" i="35"/>
  <c r="E1122" i="35"/>
  <c r="E1109" i="35"/>
  <c r="C556" i="30"/>
  <c r="E1101" i="35"/>
  <c r="C554" i="30"/>
  <c r="E1103" i="35"/>
  <c r="E1156" i="35"/>
  <c r="E1112" i="35"/>
  <c r="K97" i="33"/>
  <c r="Q15" i="10"/>
  <c r="CH15" i="10" s="1"/>
  <c r="E1150" i="35"/>
  <c r="K139" i="33"/>
  <c r="E1107" i="35"/>
  <c r="K127" i="33"/>
  <c r="E1129" i="35"/>
  <c r="C560" i="30"/>
  <c r="E1115" i="35"/>
  <c r="K129" i="33"/>
  <c r="K155" i="33"/>
  <c r="K105" i="33"/>
  <c r="E1152" i="35"/>
  <c r="E1148" i="35"/>
  <c r="E1111" i="35"/>
  <c r="E1154" i="35"/>
  <c r="K123" i="33"/>
  <c r="E1139" i="35"/>
  <c r="E1135" i="35"/>
  <c r="C563" i="30"/>
  <c r="E1127" i="35"/>
  <c r="K119" i="33"/>
  <c r="E1114" i="35"/>
  <c r="E1104" i="35"/>
  <c r="K99" i="33"/>
  <c r="E1110" i="35"/>
  <c r="K109" i="33"/>
  <c r="K126" i="33"/>
  <c r="E1144" i="35"/>
  <c r="E1142" i="35"/>
  <c r="E1141" i="35"/>
  <c r="C565" i="30"/>
  <c r="E1130" i="35"/>
  <c r="E1117" i="35"/>
  <c r="Q28" i="10"/>
  <c r="CH28" i="10" s="1"/>
  <c r="Q32" i="10"/>
  <c r="CH32" i="10" s="1"/>
  <c r="Q62" i="10"/>
  <c r="CH62" i="10" s="1"/>
  <c r="Q64" i="10"/>
  <c r="CH64" i="10" s="1"/>
  <c r="A780" i="33" l="1"/>
  <c r="A705" i="33"/>
  <c r="A779" i="33"/>
  <c r="A704" i="33"/>
  <c r="D1002" i="33"/>
  <c r="I1002" i="33"/>
  <c r="K1002" i="33" s="1"/>
  <c r="M1002" i="33" s="1"/>
  <c r="GU58" i="10"/>
  <c r="GU18" i="10"/>
  <c r="CX21" i="10"/>
  <c r="HI21" i="10" s="1"/>
  <c r="DF30" i="10"/>
  <c r="HQ30" i="10" s="1"/>
  <c r="DF40" i="10"/>
  <c r="HQ40" i="10" s="1"/>
  <c r="CX56" i="10"/>
  <c r="HI56" i="10" s="1"/>
  <c r="CX10" i="10"/>
  <c r="HI10" i="10" s="1"/>
  <c r="DF59" i="10"/>
  <c r="HQ59" i="10" s="1"/>
  <c r="DG40" i="10"/>
  <c r="HR40" i="10" s="1"/>
  <c r="DG38" i="10"/>
  <c r="HR38" i="10" s="1"/>
  <c r="DG14" i="10"/>
  <c r="HR14" i="10" s="1"/>
  <c r="DG9" i="10"/>
  <c r="HR9" i="10" s="1"/>
  <c r="DG15" i="10"/>
  <c r="HR15" i="10" s="1"/>
  <c r="DG37" i="10"/>
  <c r="HR37" i="10" s="1"/>
  <c r="DG43" i="10"/>
  <c r="HR43" i="10" s="1"/>
  <c r="DG45" i="10"/>
  <c r="HR45" i="10" s="1"/>
  <c r="DG50" i="10"/>
  <c r="HR50" i="10" s="1"/>
  <c r="HJ34" i="10"/>
  <c r="HJ46" i="10"/>
  <c r="DF53" i="10"/>
  <c r="HQ53" i="10" s="1"/>
  <c r="CX30" i="10"/>
  <c r="HI30" i="10" s="1"/>
  <c r="DF24" i="10"/>
  <c r="HQ24" i="10" s="1"/>
  <c r="CX40" i="10"/>
  <c r="HI40" i="10" s="1"/>
  <c r="DF62" i="10"/>
  <c r="HQ62" i="10" s="1"/>
  <c r="DF43" i="10"/>
  <c r="HQ43" i="10" s="1"/>
  <c r="CX59" i="10"/>
  <c r="HI59" i="10" s="1"/>
  <c r="DF14" i="10"/>
  <c r="HQ14" i="10" s="1"/>
  <c r="DF46" i="10"/>
  <c r="HQ46" i="10" s="1"/>
  <c r="CY40" i="10"/>
  <c r="CY38" i="10"/>
  <c r="HJ38" i="10" s="1"/>
  <c r="CY14" i="10"/>
  <c r="HJ14" i="10" s="1"/>
  <c r="CY9" i="10"/>
  <c r="HJ9" i="10" s="1"/>
  <c r="CY15" i="10"/>
  <c r="HJ15" i="10" s="1"/>
  <c r="CY37" i="10"/>
  <c r="HJ37" i="10" s="1"/>
  <c r="CY43" i="10"/>
  <c r="HJ43" i="10" s="1"/>
  <c r="CY45" i="10"/>
  <c r="HJ45" i="10" s="1"/>
  <c r="CY50" i="10"/>
  <c r="HJ50" i="10" s="1"/>
  <c r="HJ58" i="10"/>
  <c r="GU46" i="10"/>
  <c r="GU40" i="10"/>
  <c r="GU34" i="10"/>
  <c r="DF37" i="10"/>
  <c r="HQ37" i="10" s="1"/>
  <c r="CX53" i="10"/>
  <c r="HI53" i="10" s="1"/>
  <c r="DF4" i="10"/>
  <c r="HQ4" i="10" s="1"/>
  <c r="CX24" i="10"/>
  <c r="HI24" i="10" s="1"/>
  <c r="CX62" i="10"/>
  <c r="HI62" i="10" s="1"/>
  <c r="DF27" i="10"/>
  <c r="HQ27" i="10" s="1"/>
  <c r="CX43" i="10"/>
  <c r="HI43" i="10" s="1"/>
  <c r="CX14" i="10"/>
  <c r="HI14" i="10" s="1"/>
  <c r="CX46" i="10"/>
  <c r="HI46" i="10" s="1"/>
  <c r="DG51" i="10"/>
  <c r="HR51" i="10" s="1"/>
  <c r="DG46" i="10"/>
  <c r="HR46" i="10" s="1"/>
  <c r="DG52" i="10"/>
  <c r="HR52" i="10" s="1"/>
  <c r="DG36" i="10"/>
  <c r="HR36" i="10" s="1"/>
  <c r="DG22" i="10"/>
  <c r="HR22" i="10" s="1"/>
  <c r="DG33" i="10"/>
  <c r="HR33" i="10" s="1"/>
  <c r="DG25" i="10"/>
  <c r="HR25" i="10" s="1"/>
  <c r="K559" i="30"/>
  <c r="CX13" i="10"/>
  <c r="HI13" i="10" s="1"/>
  <c r="CX29" i="10"/>
  <c r="HI29" i="10" s="1"/>
  <c r="CX45" i="10"/>
  <c r="HI45" i="10" s="1"/>
  <c r="CX61" i="10"/>
  <c r="HI61" i="10" s="1"/>
  <c r="CX54" i="10"/>
  <c r="HI54" i="10" s="1"/>
  <c r="CX19" i="10"/>
  <c r="HI19" i="10" s="1"/>
  <c r="CX35" i="10"/>
  <c r="HI35" i="10" s="1"/>
  <c r="CX51" i="10"/>
  <c r="HI51" i="10" s="1"/>
  <c r="CX7" i="10"/>
  <c r="HI7" i="10" s="1"/>
  <c r="CX22" i="10"/>
  <c r="HI22" i="10" s="1"/>
  <c r="DF16" i="10"/>
  <c r="HQ16" i="10" s="1"/>
  <c r="DF32" i="10"/>
  <c r="HQ32" i="10" s="1"/>
  <c r="DF48" i="10"/>
  <c r="HQ48" i="10" s="1"/>
  <c r="DF64" i="10"/>
  <c r="HQ64" i="10" s="1"/>
  <c r="DF38" i="10"/>
  <c r="HQ38" i="10" s="1"/>
  <c r="HA13" i="10"/>
  <c r="CR8" i="10"/>
  <c r="GU8" i="10"/>
  <c r="CR7" i="10"/>
  <c r="GU7" i="10"/>
  <c r="CZ15" i="10"/>
  <c r="HK15" i="10" s="1"/>
  <c r="GU15" i="10"/>
  <c r="CZ59" i="10"/>
  <c r="HK59" i="10" s="1"/>
  <c r="GU59" i="10"/>
  <c r="EM27" i="10"/>
  <c r="IX27" i="10" s="1"/>
  <c r="IH27" i="10"/>
  <c r="EM8" i="10"/>
  <c r="IX8" i="10" s="1"/>
  <c r="IH8" i="10"/>
  <c r="C153" i="33"/>
  <c r="GU61" i="10"/>
  <c r="D385" i="30"/>
  <c r="GU27" i="10"/>
  <c r="CZ45" i="10"/>
  <c r="HK45" i="10" s="1"/>
  <c r="GU45" i="10"/>
  <c r="EM21" i="10"/>
  <c r="IX21" i="10" s="1"/>
  <c r="IH21" i="10"/>
  <c r="EM28" i="10"/>
  <c r="IX28" i="10" s="1"/>
  <c r="IH28" i="10"/>
  <c r="C100" i="33"/>
  <c r="DW32" i="10"/>
  <c r="EE32" i="10"/>
  <c r="IP32" i="10" s="1"/>
  <c r="DW3" i="10"/>
  <c r="EE3" i="10"/>
  <c r="IP3" i="10" s="1"/>
  <c r="DW35" i="10"/>
  <c r="EE35" i="10"/>
  <c r="IP35" i="10" s="1"/>
  <c r="DW22" i="10"/>
  <c r="EE22" i="10"/>
  <c r="IP22" i="10" s="1"/>
  <c r="DW39" i="10"/>
  <c r="EE39" i="10"/>
  <c r="IP39" i="10" s="1"/>
  <c r="CR59" i="10"/>
  <c r="DW42" i="10"/>
  <c r="EE42" i="10"/>
  <c r="IP42" i="10" s="1"/>
  <c r="DW14" i="10"/>
  <c r="EE14" i="10"/>
  <c r="IP14" i="10" s="1"/>
  <c r="DW41" i="10"/>
  <c r="EE41" i="10"/>
  <c r="IP41" i="10" s="1"/>
  <c r="DW25" i="10"/>
  <c r="EE25" i="10"/>
  <c r="IP25" i="10" s="1"/>
  <c r="DW44" i="10"/>
  <c r="EE44" i="10"/>
  <c r="IP44" i="10" s="1"/>
  <c r="DW18" i="10"/>
  <c r="EE18" i="10"/>
  <c r="IP18" i="10" s="1"/>
  <c r="DW43" i="10"/>
  <c r="EE43" i="10"/>
  <c r="IP43" i="10" s="1"/>
  <c r="DW33" i="10"/>
  <c r="EE33" i="10"/>
  <c r="IP33" i="10" s="1"/>
  <c r="DW54" i="10"/>
  <c r="EE54" i="10"/>
  <c r="IP54" i="10" s="1"/>
  <c r="DW9" i="10"/>
  <c r="EE9" i="10"/>
  <c r="IP9" i="10" s="1"/>
  <c r="DW61" i="10"/>
  <c r="EE61" i="10"/>
  <c r="IP61" i="10" s="1"/>
  <c r="DW48" i="10"/>
  <c r="EE48" i="10"/>
  <c r="IP48" i="10" s="1"/>
  <c r="DW26" i="10"/>
  <c r="EE26" i="10"/>
  <c r="IP26" i="10" s="1"/>
  <c r="DW47" i="10"/>
  <c r="EE47" i="10"/>
  <c r="IP47" i="10" s="1"/>
  <c r="DW31" i="10"/>
  <c r="EE31" i="10"/>
  <c r="IP31" i="10" s="1"/>
  <c r="DW13" i="10"/>
  <c r="EE13" i="10"/>
  <c r="IP13" i="10" s="1"/>
  <c r="DW46" i="10"/>
  <c r="EE46" i="10"/>
  <c r="IP46" i="10" s="1"/>
  <c r="DW40" i="10"/>
  <c r="EE40" i="10"/>
  <c r="IP40" i="10" s="1"/>
  <c r="CZ8" i="10"/>
  <c r="HK8" i="10" s="1"/>
  <c r="DW7" i="10"/>
  <c r="EE7" i="10"/>
  <c r="IP7" i="10" s="1"/>
  <c r="DW50" i="10"/>
  <c r="EE50" i="10"/>
  <c r="IP50" i="10" s="1"/>
  <c r="DW30" i="10"/>
  <c r="EE30" i="10"/>
  <c r="IP30" i="10" s="1"/>
  <c r="DW49" i="10"/>
  <c r="EE49" i="10"/>
  <c r="IP49" i="10" s="1"/>
  <c r="DW4" i="10"/>
  <c r="EE4" i="10"/>
  <c r="IP4" i="10" s="1"/>
  <c r="DW52" i="10"/>
  <c r="EE52" i="10"/>
  <c r="IP52" i="10" s="1"/>
  <c r="DW38" i="10"/>
  <c r="EE38" i="10"/>
  <c r="IP38" i="10" s="1"/>
  <c r="DW51" i="10"/>
  <c r="EE51" i="10"/>
  <c r="IP51" i="10" s="1"/>
  <c r="DW24" i="10"/>
  <c r="EE24" i="10"/>
  <c r="IP24" i="10" s="1"/>
  <c r="DW62" i="10"/>
  <c r="EE62" i="10"/>
  <c r="IP62" i="10" s="1"/>
  <c r="DW37" i="10"/>
  <c r="EE37" i="10"/>
  <c r="IP37" i="10" s="1"/>
  <c r="DW17" i="10"/>
  <c r="EE17" i="10"/>
  <c r="IP17" i="10" s="1"/>
  <c r="DW56" i="10"/>
  <c r="EE56" i="10"/>
  <c r="IP56" i="10" s="1"/>
  <c r="DW15" i="10"/>
  <c r="EE15" i="10"/>
  <c r="IP15" i="10" s="1"/>
  <c r="DW55" i="10"/>
  <c r="EE55" i="10"/>
  <c r="IP55" i="10" s="1"/>
  <c r="DW5" i="10"/>
  <c r="EE5" i="10"/>
  <c r="IP5" i="10" s="1"/>
  <c r="DW34" i="10"/>
  <c r="EE34" i="10"/>
  <c r="IP34" i="10" s="1"/>
  <c r="DW11" i="10"/>
  <c r="EE11" i="10"/>
  <c r="IP11" i="10" s="1"/>
  <c r="DW53" i="10"/>
  <c r="EE53" i="10"/>
  <c r="IP53" i="10" s="1"/>
  <c r="DW10" i="10"/>
  <c r="EE10" i="10"/>
  <c r="IP10" i="10" s="1"/>
  <c r="DW16" i="10"/>
  <c r="EE16" i="10"/>
  <c r="IP16" i="10" s="1"/>
  <c r="DW58" i="10"/>
  <c r="EE58" i="10"/>
  <c r="IP58" i="10" s="1"/>
  <c r="DW19" i="10"/>
  <c r="EE19" i="10"/>
  <c r="IP19" i="10" s="1"/>
  <c r="DW57" i="10"/>
  <c r="EE57" i="10"/>
  <c r="IP57" i="10" s="1"/>
  <c r="DW20" i="10"/>
  <c r="EE20" i="10"/>
  <c r="IP20" i="10" s="1"/>
  <c r="DW60" i="10"/>
  <c r="EE60" i="10"/>
  <c r="IP60" i="10" s="1"/>
  <c r="DW23" i="10"/>
  <c r="EE23" i="10"/>
  <c r="IP23" i="10" s="1"/>
  <c r="DW59" i="10"/>
  <c r="EE59" i="10"/>
  <c r="IP59" i="10" s="1"/>
  <c r="DW36" i="10"/>
  <c r="EE36" i="10"/>
  <c r="IP36" i="10" s="1"/>
  <c r="DW6" i="10"/>
  <c r="EE6" i="10"/>
  <c r="IP6" i="10" s="1"/>
  <c r="DW45" i="10"/>
  <c r="EE45" i="10"/>
  <c r="IP45" i="10" s="1"/>
  <c r="DW12" i="10"/>
  <c r="EE12" i="10"/>
  <c r="IP12" i="10" s="1"/>
  <c r="DW64" i="10"/>
  <c r="EE64" i="10"/>
  <c r="IP64" i="10" s="1"/>
  <c r="DW29" i="10"/>
  <c r="EE29" i="10"/>
  <c r="IP29" i="10" s="1"/>
  <c r="DW63" i="10"/>
  <c r="EE63" i="10"/>
  <c r="IP63" i="10" s="1"/>
  <c r="CY8" i="10"/>
  <c r="HJ8" i="10" s="1"/>
  <c r="DG8" i="10"/>
  <c r="HR8" i="10" s="1"/>
  <c r="CY28" i="10"/>
  <c r="HJ28" i="10" s="1"/>
  <c r="DG28" i="10"/>
  <c r="HR28" i="10" s="1"/>
  <c r="CY27" i="10"/>
  <c r="HJ27" i="10" s="1"/>
  <c r="DG27" i="10"/>
  <c r="HR27" i="10" s="1"/>
  <c r="CY21" i="10"/>
  <c r="HJ21" i="10" s="1"/>
  <c r="DG21" i="10"/>
  <c r="HR21" i="10" s="1"/>
  <c r="CY61" i="10"/>
  <c r="HJ61" i="10" s="1"/>
  <c r="DG61" i="10"/>
  <c r="HR61" i="10" s="1"/>
  <c r="DR108" i="10"/>
  <c r="DT108" i="10" s="1"/>
  <c r="K566" i="30"/>
  <c r="C151" i="33"/>
  <c r="D397" i="30"/>
  <c r="DQ85" i="10"/>
  <c r="DU85" i="10" s="1"/>
  <c r="CR27" i="10"/>
  <c r="CZ27" i="10"/>
  <c r="HK27" i="10" s="1"/>
  <c r="DU109" i="10"/>
  <c r="K543" i="31" s="1"/>
  <c r="C119" i="33"/>
  <c r="DR88" i="10"/>
  <c r="DT88" i="10" s="1"/>
  <c r="C137" i="33"/>
  <c r="CR45" i="10"/>
  <c r="DV38" i="10"/>
  <c r="DN38" i="10"/>
  <c r="DV30" i="10"/>
  <c r="DN30" i="10"/>
  <c r="DN13" i="10"/>
  <c r="DV13" i="10"/>
  <c r="DV42" i="10"/>
  <c r="DN42" i="10"/>
  <c r="DV24" i="10"/>
  <c r="DN24" i="10"/>
  <c r="DV7" i="10"/>
  <c r="DN7" i="10"/>
  <c r="DV20" i="10"/>
  <c r="DN20" i="10"/>
  <c r="DV23" i="10"/>
  <c r="DN23" i="10"/>
  <c r="DV16" i="10"/>
  <c r="DN16" i="10"/>
  <c r="DV40" i="10"/>
  <c r="DN40" i="10"/>
  <c r="DV28" i="10"/>
  <c r="DN28" i="10"/>
  <c r="DV51" i="10"/>
  <c r="DN51" i="10"/>
  <c r="DV55" i="10"/>
  <c r="DN55" i="10"/>
  <c r="DV43" i="10"/>
  <c r="DN43" i="10"/>
  <c r="DV59" i="10"/>
  <c r="DN59" i="10"/>
  <c r="DV36" i="10"/>
  <c r="DN36" i="10"/>
  <c r="DV44" i="10"/>
  <c r="DN44" i="10"/>
  <c r="DV47" i="10"/>
  <c r="DN47" i="10"/>
  <c r="DV63" i="10"/>
  <c r="DN63" i="10"/>
  <c r="DV6" i="10"/>
  <c r="DN6" i="10"/>
  <c r="DN37" i="10"/>
  <c r="DV37" i="10"/>
  <c r="DN33" i="10"/>
  <c r="DV33" i="10"/>
  <c r="DV10" i="10"/>
  <c r="DN10" i="10"/>
  <c r="DN61" i="10"/>
  <c r="DV61" i="10"/>
  <c r="DN41" i="10"/>
  <c r="DV41" i="10"/>
  <c r="DN3" i="10"/>
  <c r="DV3" i="10"/>
  <c r="DV46" i="10"/>
  <c r="DN46" i="10"/>
  <c r="DN25" i="10"/>
  <c r="DV25" i="10"/>
  <c r="DV18" i="10"/>
  <c r="DN18" i="10"/>
  <c r="DV62" i="10"/>
  <c r="DN62" i="10"/>
  <c r="DN17" i="10"/>
  <c r="DV17" i="10"/>
  <c r="DV26" i="10"/>
  <c r="DN26" i="10"/>
  <c r="DN9" i="10"/>
  <c r="DV9" i="10"/>
  <c r="DV5" i="10"/>
  <c r="DN5" i="10"/>
  <c r="DV50" i="10"/>
  <c r="DN50" i="10"/>
  <c r="DV34" i="10"/>
  <c r="DN34" i="10"/>
  <c r="DV31" i="10"/>
  <c r="DN31" i="10"/>
  <c r="DV22" i="10"/>
  <c r="DN22" i="10"/>
  <c r="DV54" i="10"/>
  <c r="DN54" i="10"/>
  <c r="DN45" i="10"/>
  <c r="DV45" i="10"/>
  <c r="DN21" i="10"/>
  <c r="DV21" i="10"/>
  <c r="DV14" i="10"/>
  <c r="DN14" i="10"/>
  <c r="DV58" i="10"/>
  <c r="DN58" i="10"/>
  <c r="DN53" i="10"/>
  <c r="DV53" i="10"/>
  <c r="DN29" i="10"/>
  <c r="DV29" i="10"/>
  <c r="DN49" i="10"/>
  <c r="DV49" i="10"/>
  <c r="DN57" i="10"/>
  <c r="DV57" i="10"/>
  <c r="DV15" i="10"/>
  <c r="DN15" i="10"/>
  <c r="DV8" i="10"/>
  <c r="DN8" i="10"/>
  <c r="DV64" i="10"/>
  <c r="DN64" i="10"/>
  <c r="DV48" i="10"/>
  <c r="DN48" i="10"/>
  <c r="DV4" i="10"/>
  <c r="DN4" i="10"/>
  <c r="DV60" i="10"/>
  <c r="DN60" i="10"/>
  <c r="DV32" i="10"/>
  <c r="DN32" i="10"/>
  <c r="DV35" i="10"/>
  <c r="DN35" i="10"/>
  <c r="DV39" i="10"/>
  <c r="DN39" i="10"/>
  <c r="DV56" i="10"/>
  <c r="DN56" i="10"/>
  <c r="DV12" i="10"/>
  <c r="DN12" i="10"/>
  <c r="DV11" i="10"/>
  <c r="DN11" i="10"/>
  <c r="DV27" i="10"/>
  <c r="DN27" i="10"/>
  <c r="DV52" i="10"/>
  <c r="DN52" i="10"/>
  <c r="DV19" i="10"/>
  <c r="DN19" i="10"/>
  <c r="K570" i="30"/>
  <c r="M1020" i="33"/>
  <c r="M1044" i="33"/>
  <c r="M1062" i="33"/>
  <c r="M1054" i="33"/>
  <c r="M1050" i="33"/>
  <c r="B188" i="32" s="1"/>
  <c r="M1014" i="33"/>
  <c r="O1014" i="33" s="1"/>
  <c r="DR90" i="10"/>
  <c r="DT90" i="10" s="1"/>
  <c r="DR91" i="10"/>
  <c r="DT91" i="10" s="1"/>
  <c r="C107" i="33"/>
  <c r="C155" i="33"/>
  <c r="CR15" i="10"/>
  <c r="D383" i="30"/>
  <c r="CR63" i="10"/>
  <c r="DQ120" i="10"/>
  <c r="DU120" i="10" s="1"/>
  <c r="CZ63" i="10"/>
  <c r="HK63" i="10" s="1"/>
  <c r="CM39" i="10"/>
  <c r="GX39" i="10" s="1"/>
  <c r="CM58" i="10"/>
  <c r="CM15" i="10"/>
  <c r="GX15" i="10" s="1"/>
  <c r="CM49" i="10"/>
  <c r="GX49" i="10" s="1"/>
  <c r="K557" i="30"/>
  <c r="DR122" i="10"/>
  <c r="DT122" i="10" s="1"/>
  <c r="C147" i="33"/>
  <c r="C126" i="33"/>
  <c r="CR55" i="10"/>
  <c r="CR34" i="10"/>
  <c r="D396" i="30"/>
  <c r="CZ34" i="10"/>
  <c r="CM38" i="10"/>
  <c r="GX38" i="10" s="1"/>
  <c r="CM43" i="10"/>
  <c r="GX43" i="10" s="1"/>
  <c r="CZ55" i="10"/>
  <c r="HK55" i="10" s="1"/>
  <c r="CM18" i="10"/>
  <c r="CM36" i="10"/>
  <c r="GX36" i="10" s="1"/>
  <c r="CM6" i="10"/>
  <c r="GX6" i="10" s="1"/>
  <c r="CM26" i="10"/>
  <c r="GX26" i="10" s="1"/>
  <c r="CM30" i="10"/>
  <c r="GX30" i="10" s="1"/>
  <c r="CM41" i="10"/>
  <c r="GX41" i="10" s="1"/>
  <c r="CM56" i="10"/>
  <c r="GX56" i="10" s="1"/>
  <c r="CM42" i="10"/>
  <c r="GX42" i="10" s="1"/>
  <c r="CM5" i="10"/>
  <c r="GX5" i="10" s="1"/>
  <c r="CM23" i="10"/>
  <c r="GX23" i="10" s="1"/>
  <c r="I571" i="30"/>
  <c r="D398" i="30"/>
  <c r="C134" i="33"/>
  <c r="CR21" i="10"/>
  <c r="CR61" i="10"/>
  <c r="CZ21" i="10"/>
  <c r="HK21" i="10" s="1"/>
  <c r="CZ53" i="10"/>
  <c r="HK53" i="10" s="1"/>
  <c r="CM21" i="10"/>
  <c r="GX21" i="10" s="1"/>
  <c r="CM61" i="10"/>
  <c r="GX61" i="10" s="1"/>
  <c r="CM57" i="10"/>
  <c r="GX57" i="10" s="1"/>
  <c r="CM35" i="10"/>
  <c r="GX35" i="10" s="1"/>
  <c r="CM31" i="10"/>
  <c r="GX31" i="10" s="1"/>
  <c r="CM40" i="10"/>
  <c r="CM16" i="10"/>
  <c r="GX16" i="10" s="1"/>
  <c r="CM64" i="10"/>
  <c r="GX64" i="10" s="1"/>
  <c r="CM22" i="10"/>
  <c r="GX22" i="10" s="1"/>
  <c r="CM14" i="10"/>
  <c r="GX14" i="10" s="1"/>
  <c r="CM53" i="10"/>
  <c r="GX53" i="10" s="1"/>
  <c r="CM50" i="10"/>
  <c r="GX50" i="10" s="1"/>
  <c r="CM20" i="10"/>
  <c r="GX20" i="10" s="1"/>
  <c r="CM59" i="10"/>
  <c r="GX59" i="10" s="1"/>
  <c r="CM45" i="10"/>
  <c r="GX45" i="10" s="1"/>
  <c r="CM3" i="10"/>
  <c r="GX3" i="10" s="1"/>
  <c r="CM28" i="10"/>
  <c r="GX28" i="10" s="1"/>
  <c r="CM9" i="10"/>
  <c r="GX9" i="10" s="1"/>
  <c r="CM46" i="10"/>
  <c r="CM19" i="10"/>
  <c r="GX19" i="10" s="1"/>
  <c r="C145" i="33"/>
  <c r="CR42" i="10"/>
  <c r="CZ42" i="10"/>
  <c r="HK42" i="10" s="1"/>
  <c r="CM13" i="10"/>
  <c r="GX13" i="10" s="1"/>
  <c r="CM17" i="10"/>
  <c r="GX17" i="10" s="1"/>
  <c r="CM10" i="10"/>
  <c r="GX10" i="10" s="1"/>
  <c r="CM52" i="10"/>
  <c r="GX52" i="10" s="1"/>
  <c r="CM63" i="10"/>
  <c r="GX63" i="10" s="1"/>
  <c r="CM33" i="10"/>
  <c r="GX33" i="10" s="1"/>
  <c r="CM27" i="10"/>
  <c r="GX27" i="10" s="1"/>
  <c r="CM44" i="10"/>
  <c r="GX44" i="10" s="1"/>
  <c r="CM24" i="10"/>
  <c r="GX24" i="10" s="1"/>
  <c r="CM34" i="10"/>
  <c r="CM54" i="10"/>
  <c r="GX54" i="10" s="1"/>
  <c r="CM4" i="10"/>
  <c r="GX4" i="10" s="1"/>
  <c r="CM29" i="10"/>
  <c r="GX29" i="10" s="1"/>
  <c r="CM48" i="10"/>
  <c r="GX48" i="10" s="1"/>
  <c r="C113" i="33"/>
  <c r="CR53" i="10"/>
  <c r="CZ61" i="10"/>
  <c r="HK61" i="10" s="1"/>
  <c r="DR103" i="10"/>
  <c r="DT103" i="10" s="1"/>
  <c r="J537" i="31" s="1"/>
  <c r="CM8" i="10"/>
  <c r="GX8" i="10" s="1"/>
  <c r="CM7" i="10"/>
  <c r="GX7" i="10" s="1"/>
  <c r="CM62" i="10"/>
  <c r="GX62" i="10" s="1"/>
  <c r="CM25" i="10"/>
  <c r="GX25" i="10" s="1"/>
  <c r="CM37" i="10"/>
  <c r="GX37" i="10" s="1"/>
  <c r="CM51" i="10"/>
  <c r="GX51" i="10" s="1"/>
  <c r="CM11" i="10"/>
  <c r="GX11" i="10" s="1"/>
  <c r="CM47" i="10"/>
  <c r="GX47" i="10" s="1"/>
  <c r="CM32" i="10"/>
  <c r="GX32" i="10" s="1"/>
  <c r="CM12" i="10"/>
  <c r="GX12" i="10" s="1"/>
  <c r="CM60" i="10"/>
  <c r="GX60" i="10" s="1"/>
  <c r="CM55" i="10"/>
  <c r="GX55" i="10" s="1"/>
  <c r="L1405" i="35"/>
  <c r="K1405" i="35"/>
  <c r="L1399" i="35"/>
  <c r="K1399" i="35"/>
  <c r="L1395" i="35"/>
  <c r="K1395" i="35"/>
  <c r="L1380" i="35"/>
  <c r="K1380" i="35"/>
  <c r="L1392" i="35"/>
  <c r="K1392" i="35"/>
  <c r="L1398" i="35"/>
  <c r="K1398" i="35"/>
  <c r="L1353" i="35"/>
  <c r="K1353" i="35"/>
  <c r="L1360" i="35"/>
  <c r="K1360" i="35"/>
  <c r="L1372" i="35"/>
  <c r="K1372" i="35"/>
  <c r="L1368" i="35"/>
  <c r="K1368" i="35"/>
  <c r="L1371" i="35"/>
  <c r="K1371" i="35"/>
  <c r="L1408" i="35"/>
  <c r="K1408" i="35"/>
  <c r="L1363" i="35"/>
  <c r="K1363" i="35"/>
  <c r="L1382" i="35"/>
  <c r="K1382" i="35"/>
  <c r="L1407" i="35"/>
  <c r="K1407" i="35"/>
  <c r="L1393" i="35"/>
  <c r="K1393" i="35"/>
  <c r="L1391" i="35"/>
  <c r="K1391" i="35"/>
  <c r="L1402" i="35"/>
  <c r="K1402" i="35"/>
  <c r="L1357" i="35"/>
  <c r="K1357" i="35"/>
  <c r="L1396" i="35"/>
  <c r="K1396" i="35"/>
  <c r="L1356" i="35"/>
  <c r="K1356" i="35"/>
  <c r="L1370" i="35"/>
  <c r="K1370" i="35"/>
  <c r="B125" i="10"/>
  <c r="B186" i="30" s="1"/>
  <c r="A817" i="31"/>
  <c r="A557" i="31"/>
  <c r="B952" i="31"/>
  <c r="D427" i="31"/>
  <c r="D169" i="31"/>
  <c r="A687" i="31"/>
  <c r="D298" i="31"/>
  <c r="B126" i="10"/>
  <c r="B187" i="30" s="1"/>
  <c r="A818" i="31"/>
  <c r="A558" i="31"/>
  <c r="D428" i="31"/>
  <c r="D299" i="31"/>
  <c r="D170" i="31"/>
  <c r="B953" i="31"/>
  <c r="A688" i="31"/>
  <c r="L1401" i="35"/>
  <c r="K1401" i="35"/>
  <c r="L1397" i="35"/>
  <c r="K1397" i="35"/>
  <c r="L1369" i="35"/>
  <c r="K1369" i="35"/>
  <c r="L1409" i="35"/>
  <c r="K1409" i="35"/>
  <c r="L1411" i="35"/>
  <c r="K1411" i="35"/>
  <c r="L1362" i="35"/>
  <c r="K1362" i="35"/>
  <c r="L1367" i="35"/>
  <c r="K1367" i="35"/>
  <c r="L1387" i="35"/>
  <c r="K1387" i="35"/>
  <c r="L1406" i="35"/>
  <c r="K1406" i="35"/>
  <c r="L1359" i="35"/>
  <c r="K1359" i="35"/>
  <c r="L1366" i="35"/>
  <c r="K1366" i="35"/>
  <c r="L1384" i="35"/>
  <c r="K1384" i="35"/>
  <c r="L1354" i="35"/>
  <c r="K1354" i="35"/>
  <c r="L1374" i="35"/>
  <c r="K1374" i="35"/>
  <c r="L1378" i="35"/>
  <c r="K1378" i="35"/>
  <c r="L1389" i="35"/>
  <c r="K1389" i="35"/>
  <c r="L1404" i="35"/>
  <c r="K1404" i="35"/>
  <c r="L1375" i="35"/>
  <c r="K1375" i="35"/>
  <c r="L1386" i="35"/>
  <c r="K1386" i="35"/>
  <c r="L1351" i="35"/>
  <c r="K1351" i="35"/>
  <c r="L1376" i="35"/>
  <c r="K1376" i="35"/>
  <c r="DU105" i="10"/>
  <c r="K539" i="31" s="1"/>
  <c r="L1355" i="35"/>
  <c r="K1355" i="35"/>
  <c r="L1361" i="35"/>
  <c r="K1361" i="35"/>
  <c r="L1383" i="35"/>
  <c r="K1383" i="35"/>
  <c r="L1394" i="35"/>
  <c r="K1394" i="35"/>
  <c r="L1410" i="35"/>
  <c r="K1410" i="35"/>
  <c r="L1365" i="35"/>
  <c r="K1365" i="35"/>
  <c r="L1379" i="35"/>
  <c r="K1379" i="35"/>
  <c r="L1388" i="35"/>
  <c r="K1388" i="35"/>
  <c r="L1352" i="35"/>
  <c r="K1352" i="35"/>
  <c r="L1373" i="35"/>
  <c r="K1373" i="35"/>
  <c r="L1358" i="35"/>
  <c r="K1358" i="35"/>
  <c r="L1364" i="35"/>
  <c r="K1364" i="35"/>
  <c r="L1377" i="35"/>
  <c r="K1377" i="35"/>
  <c r="L1385" i="35"/>
  <c r="K1385" i="35"/>
  <c r="L1400" i="35"/>
  <c r="K1400" i="35"/>
  <c r="L1412" i="35"/>
  <c r="K1412" i="35"/>
  <c r="L1390" i="35"/>
  <c r="K1390" i="35"/>
  <c r="L1381" i="35"/>
  <c r="K1381" i="35"/>
  <c r="L1403" i="35"/>
  <c r="K1403" i="35"/>
  <c r="DR118" i="10"/>
  <c r="DT118" i="10" s="1"/>
  <c r="K490" i="30"/>
  <c r="K489" i="30"/>
  <c r="K552" i="31"/>
  <c r="K525" i="31"/>
  <c r="K530" i="31"/>
  <c r="DQ126" i="10"/>
  <c r="DT126" i="10" s="1"/>
  <c r="DQ65" i="10"/>
  <c r="L482" i="30"/>
  <c r="K483" i="30"/>
  <c r="K482" i="30"/>
  <c r="K487" i="30"/>
  <c r="K496" i="30"/>
  <c r="K553" i="31"/>
  <c r="K546" i="31"/>
  <c r="DQ99" i="10"/>
  <c r="DT99" i="10" s="1"/>
  <c r="L491" i="30"/>
  <c r="DQ111" i="10"/>
  <c r="DT111" i="10" s="1"/>
  <c r="L496" i="30"/>
  <c r="DQ95" i="10"/>
  <c r="DT95" i="10" s="1"/>
  <c r="L489" i="30"/>
  <c r="DQ107" i="10"/>
  <c r="DT107" i="10" s="1"/>
  <c r="L494" i="30"/>
  <c r="K556" i="31"/>
  <c r="K491" i="30"/>
  <c r="DR104" i="10"/>
  <c r="DT104" i="10" s="1"/>
  <c r="K495" i="30"/>
  <c r="K493" i="30"/>
  <c r="K537" i="31"/>
  <c r="K524" i="31"/>
  <c r="K542" i="31"/>
  <c r="DQ97" i="10"/>
  <c r="DT97" i="10" s="1"/>
  <c r="L490" i="30"/>
  <c r="DQ89" i="10"/>
  <c r="DT89" i="10" s="1"/>
  <c r="L487" i="30"/>
  <c r="K494" i="30"/>
  <c r="K500" i="30"/>
  <c r="K549" i="31"/>
  <c r="L492" i="30"/>
  <c r="DQ123" i="10"/>
  <c r="DT123" i="10" s="1"/>
  <c r="L500" i="30"/>
  <c r="DQ69" i="10"/>
  <c r="DT69" i="10" s="1"/>
  <c r="L483" i="30"/>
  <c r="B63" i="10"/>
  <c r="A153" i="33"/>
  <c r="A848" i="33" s="1"/>
  <c r="D236" i="31"/>
  <c r="D365" i="31"/>
  <c r="A958" i="35"/>
  <c r="A198" i="32"/>
  <c r="A755" i="31"/>
  <c r="A110" i="32"/>
  <c r="A890" i="35"/>
  <c r="A1092" i="35"/>
  <c r="A86" i="27"/>
  <c r="A1159" i="35"/>
  <c r="A1025" i="35"/>
  <c r="A575" i="35"/>
  <c r="A492" i="35"/>
  <c r="A407" i="35"/>
  <c r="A258" i="35"/>
  <c r="A625" i="31"/>
  <c r="D107" i="31"/>
  <c r="A63" i="38"/>
  <c r="A824" i="35"/>
  <c r="B122" i="30"/>
  <c r="A209" i="27"/>
  <c r="A1475" i="35"/>
  <c r="A1409" i="35"/>
  <c r="A1299" i="35"/>
  <c r="A340" i="35"/>
  <c r="B890" i="31"/>
  <c r="A495" i="31"/>
  <c r="A286" i="27"/>
  <c r="B62" i="10"/>
  <c r="A152" i="33"/>
  <c r="A847" i="33" s="1"/>
  <c r="D235" i="31"/>
  <c r="D364" i="31"/>
  <c r="A957" i="35"/>
  <c r="A197" i="32"/>
  <c r="A109" i="32"/>
  <c r="A754" i="31"/>
  <c r="A889" i="35"/>
  <c r="A1091" i="35"/>
  <c r="A285" i="27"/>
  <c r="A1408" i="35"/>
  <c r="A85" i="27"/>
  <c r="A1024" i="35"/>
  <c r="A574" i="35"/>
  <c r="A406" i="35"/>
  <c r="A624" i="31"/>
  <c r="B121" i="30"/>
  <c r="A1474" i="35"/>
  <c r="A1158" i="35"/>
  <c r="A823" i="35"/>
  <c r="A491" i="35"/>
  <c r="A257" i="35"/>
  <c r="D106" i="31"/>
  <c r="A62" i="38"/>
  <c r="A208" i="27"/>
  <c r="A1298" i="35"/>
  <c r="A339" i="35"/>
  <c r="B889" i="31"/>
  <c r="A494" i="31"/>
  <c r="A960" i="33"/>
  <c r="A572" i="33"/>
  <c r="A1058" i="33"/>
  <c r="A639" i="33"/>
  <c r="A505" i="33"/>
  <c r="A438" i="33"/>
  <c r="A217" i="33"/>
  <c r="A372" i="33"/>
  <c r="A1057" i="33"/>
  <c r="A638" i="33"/>
  <c r="A504" i="33"/>
  <c r="A959" i="33"/>
  <c r="A571" i="33"/>
  <c r="A371" i="33"/>
  <c r="A437" i="33"/>
  <c r="A216" i="33"/>
  <c r="B444" i="30"/>
  <c r="I453" i="30"/>
  <c r="B453" i="30"/>
  <c r="B458" i="30"/>
  <c r="I446" i="30"/>
  <c r="M1060" i="33"/>
  <c r="O63" i="38" s="1"/>
  <c r="P63" i="38" s="1"/>
  <c r="B446" i="30"/>
  <c r="I457" i="30"/>
  <c r="I459" i="30"/>
  <c r="B442" i="30"/>
  <c r="B457" i="30"/>
  <c r="I458" i="30"/>
  <c r="DR101" i="10"/>
  <c r="DU104" i="10"/>
  <c r="B459" i="30"/>
  <c r="I444" i="30"/>
  <c r="DQ101" i="10"/>
  <c r="J492" i="30" s="1"/>
  <c r="DU88" i="10"/>
  <c r="DR77" i="10"/>
  <c r="DQ77" i="10"/>
  <c r="J485" i="30" s="1"/>
  <c r="DR100" i="10"/>
  <c r="DQ100" i="10"/>
  <c r="DR93" i="10"/>
  <c r="DQ93" i="10"/>
  <c r="J488" i="30" s="1"/>
  <c r="DR80" i="10"/>
  <c r="DQ80" i="10"/>
  <c r="DT96" i="10"/>
  <c r="DR75" i="10"/>
  <c r="DQ75" i="10"/>
  <c r="DR113" i="10"/>
  <c r="DQ113" i="10"/>
  <c r="J497" i="30" s="1"/>
  <c r="DR82" i="10"/>
  <c r="DQ82" i="10"/>
  <c r="DR66" i="10"/>
  <c r="DQ66" i="10"/>
  <c r="DR125" i="10"/>
  <c r="DQ125" i="10"/>
  <c r="DT115" i="10"/>
  <c r="DR73" i="10"/>
  <c r="DQ73" i="10"/>
  <c r="J484" i="30" s="1"/>
  <c r="DR76" i="10"/>
  <c r="DQ76" i="10"/>
  <c r="DR67" i="10"/>
  <c r="DQ67" i="10"/>
  <c r="DR121" i="10"/>
  <c r="DQ121" i="10"/>
  <c r="J499" i="30" s="1"/>
  <c r="DR116" i="10"/>
  <c r="DQ116" i="10"/>
  <c r="DR71" i="10"/>
  <c r="DQ71" i="10"/>
  <c r="DR78" i="10"/>
  <c r="DQ78" i="10"/>
  <c r="DR117" i="10"/>
  <c r="DQ117" i="10"/>
  <c r="J498" i="30" s="1"/>
  <c r="DR124" i="10"/>
  <c r="DQ124" i="10"/>
  <c r="DR92" i="10"/>
  <c r="DQ92" i="10"/>
  <c r="DT109" i="10"/>
  <c r="DR72" i="10"/>
  <c r="DQ72" i="10"/>
  <c r="DU94" i="10"/>
  <c r="DT94" i="10"/>
  <c r="DT106" i="10"/>
  <c r="DU106" i="10"/>
  <c r="DR83" i="10"/>
  <c r="DQ83" i="10"/>
  <c r="DR74" i="10"/>
  <c r="DQ74" i="10"/>
  <c r="DR114" i="10"/>
  <c r="DQ114" i="10"/>
  <c r="DR87" i="10"/>
  <c r="DQ87" i="10"/>
  <c r="J486" i="30" s="1"/>
  <c r="DR110" i="10"/>
  <c r="DQ110" i="10"/>
  <c r="DT119" i="10"/>
  <c r="DT112" i="10"/>
  <c r="DR81" i="10"/>
  <c r="DQ81" i="10"/>
  <c r="DR68" i="10"/>
  <c r="DQ68" i="10"/>
  <c r="DR84" i="10"/>
  <c r="DQ84" i="10"/>
  <c r="DR79" i="10"/>
  <c r="DQ79" i="10"/>
  <c r="DR98" i="10"/>
  <c r="DQ98" i="10"/>
  <c r="DR86" i="10"/>
  <c r="DQ86" i="10"/>
  <c r="DR70" i="10"/>
  <c r="DQ70" i="10"/>
  <c r="DR102" i="10"/>
  <c r="DQ102" i="10"/>
  <c r="DT105" i="10"/>
  <c r="K572" i="30"/>
  <c r="I572" i="30"/>
  <c r="M1058" i="33"/>
  <c r="B196" i="32" s="1"/>
  <c r="M1026" i="33"/>
  <c r="O1026" i="33" s="1"/>
  <c r="CB7" i="10"/>
  <c r="H204" i="35" s="1"/>
  <c r="CC7" i="10"/>
  <c r="CA7" i="10"/>
  <c r="BZ7" i="10"/>
  <c r="I204" i="35" s="1"/>
  <c r="AC204" i="35" s="1"/>
  <c r="CB23" i="10"/>
  <c r="H220" i="35" s="1"/>
  <c r="CC23" i="10"/>
  <c r="CA23" i="10"/>
  <c r="BZ23" i="10"/>
  <c r="I220" i="35" s="1"/>
  <c r="CB16" i="10"/>
  <c r="H213" i="35" s="1"/>
  <c r="CA16" i="10"/>
  <c r="CC16" i="10"/>
  <c r="BZ16" i="10"/>
  <c r="I213" i="35" s="1"/>
  <c r="CB40" i="10"/>
  <c r="H237" i="35" s="1"/>
  <c r="CA40" i="10"/>
  <c r="CC40" i="10"/>
  <c r="BZ40" i="10"/>
  <c r="I237" i="35" s="1"/>
  <c r="CB28" i="10"/>
  <c r="H225" i="35" s="1"/>
  <c r="CC28" i="10"/>
  <c r="CA28" i="10"/>
  <c r="BZ28" i="10"/>
  <c r="I225" i="35" s="1"/>
  <c r="CB51" i="10"/>
  <c r="H248" i="35" s="1"/>
  <c r="AC248" i="35" s="1"/>
  <c r="CC51" i="10"/>
  <c r="BZ51" i="10"/>
  <c r="I248" i="35" s="1"/>
  <c r="CA51" i="10"/>
  <c r="CB55" i="10"/>
  <c r="H252" i="35" s="1"/>
  <c r="AC252" i="35" s="1"/>
  <c r="CC55" i="10"/>
  <c r="BZ55" i="10"/>
  <c r="I252" i="35" s="1"/>
  <c r="CA55" i="10"/>
  <c r="CB43" i="10"/>
  <c r="H240" i="35" s="1"/>
  <c r="AC240" i="35" s="1"/>
  <c r="CC43" i="10"/>
  <c r="BZ43" i="10"/>
  <c r="I240" i="35" s="1"/>
  <c r="CA43" i="10"/>
  <c r="CB59" i="10"/>
  <c r="H256" i="35" s="1"/>
  <c r="AC256" i="35" s="1"/>
  <c r="CC59" i="10"/>
  <c r="BZ59" i="10"/>
  <c r="I256" i="35" s="1"/>
  <c r="CA59" i="10"/>
  <c r="CB36" i="10"/>
  <c r="H233" i="35" s="1"/>
  <c r="AC233" i="35" s="1"/>
  <c r="CA36" i="10"/>
  <c r="CC36" i="10"/>
  <c r="BZ36" i="10"/>
  <c r="I233" i="35" s="1"/>
  <c r="CB44" i="10"/>
  <c r="H241" i="35" s="1"/>
  <c r="AC241" i="35" s="1"/>
  <c r="CA44" i="10"/>
  <c r="CC44" i="10"/>
  <c r="BZ44" i="10"/>
  <c r="I241" i="35" s="1"/>
  <c r="CB20" i="10"/>
  <c r="H217" i="35" s="1"/>
  <c r="AC217" i="35" s="1"/>
  <c r="CC20" i="10"/>
  <c r="CA20" i="10"/>
  <c r="BZ20" i="10"/>
  <c r="I217" i="35" s="1"/>
  <c r="CA22" i="10"/>
  <c r="BZ22" i="10"/>
  <c r="I219" i="35" s="1"/>
  <c r="CB22" i="10"/>
  <c r="H219" i="35" s="1"/>
  <c r="CC22" i="10"/>
  <c r="CB25" i="10"/>
  <c r="H222" i="35" s="1"/>
  <c r="AC222" i="35" s="1"/>
  <c r="CC25" i="10"/>
  <c r="CA25" i="10"/>
  <c r="BZ25" i="10"/>
  <c r="I222" i="35" s="1"/>
  <c r="BZ54" i="10"/>
  <c r="I251" i="35" s="1"/>
  <c r="CB54" i="10"/>
  <c r="H251" i="35" s="1"/>
  <c r="CA54" i="10"/>
  <c r="CC54" i="10"/>
  <c r="CB45" i="10"/>
  <c r="H242" i="35" s="1"/>
  <c r="CC45" i="10"/>
  <c r="CA45" i="10"/>
  <c r="BZ45" i="10"/>
  <c r="I242" i="35" s="1"/>
  <c r="CA18" i="10"/>
  <c r="BZ18" i="10"/>
  <c r="I215" i="35" s="1"/>
  <c r="CB18" i="10"/>
  <c r="H215" i="35" s="1"/>
  <c r="CC18" i="10"/>
  <c r="CB21" i="10"/>
  <c r="H218" i="35" s="1"/>
  <c r="AC218" i="35" s="1"/>
  <c r="CC21" i="10"/>
  <c r="CA21" i="10"/>
  <c r="BZ21" i="10"/>
  <c r="I218" i="35" s="1"/>
  <c r="BZ62" i="10"/>
  <c r="I259" i="35" s="1"/>
  <c r="CB62" i="10"/>
  <c r="H259" i="35" s="1"/>
  <c r="CA62" i="10"/>
  <c r="CC62" i="10"/>
  <c r="CA14" i="10"/>
  <c r="BZ14" i="10"/>
  <c r="I211" i="35" s="1"/>
  <c r="CB14" i="10"/>
  <c r="H211" i="35" s="1"/>
  <c r="CC14" i="10"/>
  <c r="CB17" i="10"/>
  <c r="H214" i="35" s="1"/>
  <c r="AC214" i="35" s="1"/>
  <c r="CC17" i="10"/>
  <c r="CA17" i="10"/>
  <c r="BZ17" i="10"/>
  <c r="I214" i="35" s="1"/>
  <c r="BZ58" i="10"/>
  <c r="I255" i="35" s="1"/>
  <c r="CB58" i="10"/>
  <c r="H255" i="35" s="1"/>
  <c r="CA58" i="10"/>
  <c r="CC58" i="10"/>
  <c r="CB53" i="10"/>
  <c r="H250" i="35" s="1"/>
  <c r="AC250" i="35" s="1"/>
  <c r="CC53" i="10"/>
  <c r="CA53" i="10"/>
  <c r="BZ53" i="10"/>
  <c r="I250" i="35" s="1"/>
  <c r="CA26" i="10"/>
  <c r="BZ26" i="10"/>
  <c r="I223" i="35" s="1"/>
  <c r="CB26" i="10"/>
  <c r="H223" i="35" s="1"/>
  <c r="CC26" i="10"/>
  <c r="CB29" i="10"/>
  <c r="H226" i="35" s="1"/>
  <c r="AC226" i="35" s="1"/>
  <c r="CC29" i="10"/>
  <c r="CA29" i="10"/>
  <c r="BZ29" i="10"/>
  <c r="I226" i="35" s="1"/>
  <c r="CB49" i="10"/>
  <c r="H246" i="35" s="1"/>
  <c r="AC246" i="35" s="1"/>
  <c r="CC49" i="10"/>
  <c r="CA49" i="10"/>
  <c r="BZ49" i="10"/>
  <c r="I246" i="35" s="1"/>
  <c r="CB57" i="10"/>
  <c r="H254" i="35" s="1"/>
  <c r="CC57" i="10"/>
  <c r="CA57" i="10"/>
  <c r="BZ57" i="10"/>
  <c r="I254" i="35" s="1"/>
  <c r="CB31" i="10"/>
  <c r="H228" i="35" s="1"/>
  <c r="CC31" i="10"/>
  <c r="CA31" i="10"/>
  <c r="BZ31" i="10"/>
  <c r="I228" i="35" s="1"/>
  <c r="CB24" i="10"/>
  <c r="H221" i="35" s="1"/>
  <c r="AC221" i="35" s="1"/>
  <c r="CA24" i="10"/>
  <c r="CC24" i="10"/>
  <c r="BZ24" i="10"/>
  <c r="I221" i="35" s="1"/>
  <c r="CB8" i="10"/>
  <c r="H205" i="35" s="1"/>
  <c r="AC205" i="35" s="1"/>
  <c r="CA8" i="10"/>
  <c r="CC8" i="10"/>
  <c r="BZ8" i="10"/>
  <c r="I205" i="35" s="1"/>
  <c r="CB64" i="10"/>
  <c r="H261" i="35" s="1"/>
  <c r="AC261" i="35" s="1"/>
  <c r="CA64" i="10"/>
  <c r="CC64" i="10"/>
  <c r="BZ64" i="10"/>
  <c r="I261" i="35" s="1"/>
  <c r="CB48" i="10"/>
  <c r="H245" i="35" s="1"/>
  <c r="AC245" i="35" s="1"/>
  <c r="CA48" i="10"/>
  <c r="CC48" i="10"/>
  <c r="BZ48" i="10"/>
  <c r="I245" i="35" s="1"/>
  <c r="CB4" i="10"/>
  <c r="H201" i="35" s="1"/>
  <c r="AC201" i="35" s="1"/>
  <c r="CC4" i="10"/>
  <c r="CA4" i="10"/>
  <c r="BZ4" i="10"/>
  <c r="I201" i="35" s="1"/>
  <c r="CB60" i="10"/>
  <c r="H257" i="35" s="1"/>
  <c r="AC257" i="35" s="1"/>
  <c r="CA60" i="10"/>
  <c r="CC60" i="10"/>
  <c r="BZ60" i="10"/>
  <c r="I257" i="35" s="1"/>
  <c r="CB32" i="10"/>
  <c r="H229" i="35" s="1"/>
  <c r="AC229" i="35" s="1"/>
  <c r="CA32" i="10"/>
  <c r="CC32" i="10"/>
  <c r="BZ32" i="10"/>
  <c r="I229" i="35" s="1"/>
  <c r="CB35" i="10"/>
  <c r="H232" i="35" s="1"/>
  <c r="AC232" i="35" s="1"/>
  <c r="CC35" i="10"/>
  <c r="BZ35" i="10"/>
  <c r="I232" i="35" s="1"/>
  <c r="CA35" i="10"/>
  <c r="CB39" i="10"/>
  <c r="H236" i="35" s="1"/>
  <c r="AC236" i="35" s="1"/>
  <c r="CC39" i="10"/>
  <c r="BZ39" i="10"/>
  <c r="I236" i="35" s="1"/>
  <c r="CA39" i="10"/>
  <c r="CB56" i="10"/>
  <c r="H253" i="35" s="1"/>
  <c r="AC253" i="35" s="1"/>
  <c r="CA56" i="10"/>
  <c r="CC56" i="10"/>
  <c r="BZ56" i="10"/>
  <c r="I253" i="35" s="1"/>
  <c r="CB12" i="10"/>
  <c r="H209" i="35" s="1"/>
  <c r="AC209" i="35" s="1"/>
  <c r="CC12" i="10"/>
  <c r="CA12" i="10"/>
  <c r="BZ12" i="10"/>
  <c r="I209" i="35" s="1"/>
  <c r="CB11" i="10"/>
  <c r="H208" i="35" s="1"/>
  <c r="AC208" i="35" s="1"/>
  <c r="CC11" i="10"/>
  <c r="CA11" i="10"/>
  <c r="BZ11" i="10"/>
  <c r="I208" i="35" s="1"/>
  <c r="CB27" i="10"/>
  <c r="H224" i="35" s="1"/>
  <c r="AC224" i="35" s="1"/>
  <c r="CC27" i="10"/>
  <c r="CA27" i="10"/>
  <c r="BZ27" i="10"/>
  <c r="I224" i="35" s="1"/>
  <c r="CB52" i="10"/>
  <c r="H249" i="35" s="1"/>
  <c r="AC249" i="35" s="1"/>
  <c r="CA52" i="10"/>
  <c r="CC52" i="10"/>
  <c r="BZ52" i="10"/>
  <c r="I249" i="35" s="1"/>
  <c r="CB19" i="10"/>
  <c r="H216" i="35" s="1"/>
  <c r="AC216" i="35" s="1"/>
  <c r="CC19" i="10"/>
  <c r="CA19" i="10"/>
  <c r="BZ19" i="10"/>
  <c r="I216" i="35" s="1"/>
  <c r="BZ46" i="10"/>
  <c r="I243" i="35" s="1"/>
  <c r="CB46" i="10"/>
  <c r="H243" i="35" s="1"/>
  <c r="CA46" i="10"/>
  <c r="CC46" i="10"/>
  <c r="CA6" i="10"/>
  <c r="BZ6" i="10"/>
  <c r="I203" i="35" s="1"/>
  <c r="CB6" i="10"/>
  <c r="H203" i="35" s="1"/>
  <c r="CC6" i="10"/>
  <c r="CB9" i="10"/>
  <c r="H206" i="35" s="1"/>
  <c r="AC206" i="35" s="1"/>
  <c r="CC9" i="10"/>
  <c r="CA9" i="10"/>
  <c r="BZ9" i="10"/>
  <c r="I206" i="35" s="1"/>
  <c r="BZ38" i="10"/>
  <c r="I235" i="35" s="1"/>
  <c r="CB38" i="10"/>
  <c r="H235" i="35" s="1"/>
  <c r="CA38" i="10"/>
  <c r="CC38" i="10"/>
  <c r="CB37" i="10"/>
  <c r="H234" i="35" s="1"/>
  <c r="AC234" i="35" s="1"/>
  <c r="CC37" i="10"/>
  <c r="CA37" i="10"/>
  <c r="BZ37" i="10"/>
  <c r="I234" i="35" s="1"/>
  <c r="CB5" i="10"/>
  <c r="H202" i="35" s="1"/>
  <c r="AC202" i="35" s="1"/>
  <c r="CC5" i="10"/>
  <c r="CA5" i="10"/>
  <c r="BZ5" i="10"/>
  <c r="I202" i="35" s="1"/>
  <c r="CA30" i="10"/>
  <c r="BZ30" i="10"/>
  <c r="I227" i="35" s="1"/>
  <c r="CB30" i="10"/>
  <c r="H227" i="35" s="1"/>
  <c r="CC30" i="10"/>
  <c r="CB33" i="10"/>
  <c r="H230" i="35" s="1"/>
  <c r="AC230" i="35" s="1"/>
  <c r="CC33" i="10"/>
  <c r="CA33" i="10"/>
  <c r="BZ33" i="10"/>
  <c r="I230" i="35" s="1"/>
  <c r="BZ50" i="10"/>
  <c r="I247" i="35" s="1"/>
  <c r="CB50" i="10"/>
  <c r="H247" i="35" s="1"/>
  <c r="CA50" i="10"/>
  <c r="CC50" i="10"/>
  <c r="CA10" i="10"/>
  <c r="BZ10" i="10"/>
  <c r="I207" i="35" s="1"/>
  <c r="CB10" i="10"/>
  <c r="H207" i="35" s="1"/>
  <c r="CC10" i="10"/>
  <c r="CB13" i="10"/>
  <c r="H210" i="35" s="1"/>
  <c r="AC210" i="35" s="1"/>
  <c r="CC13" i="10"/>
  <c r="CA13" i="10"/>
  <c r="BZ13" i="10"/>
  <c r="I210" i="35" s="1"/>
  <c r="CB61" i="10"/>
  <c r="H258" i="35" s="1"/>
  <c r="AC258" i="35" s="1"/>
  <c r="CC61" i="10"/>
  <c r="CA61" i="10"/>
  <c r="BZ61" i="10"/>
  <c r="I258" i="35" s="1"/>
  <c r="BZ42" i="10"/>
  <c r="I239" i="35" s="1"/>
  <c r="CB42" i="10"/>
  <c r="H239" i="35" s="1"/>
  <c r="CA42" i="10"/>
  <c r="CC42" i="10"/>
  <c r="BZ34" i="10"/>
  <c r="I231" i="35" s="1"/>
  <c r="CB34" i="10"/>
  <c r="H231" i="35" s="1"/>
  <c r="CA34" i="10"/>
  <c r="CC34" i="10"/>
  <c r="CB41" i="10"/>
  <c r="H238" i="35" s="1"/>
  <c r="AC238" i="35" s="1"/>
  <c r="CC41" i="10"/>
  <c r="CA41" i="10"/>
  <c r="BZ41" i="10"/>
  <c r="I238" i="35" s="1"/>
  <c r="CB15" i="10"/>
  <c r="H212" i="35" s="1"/>
  <c r="AC212" i="35" s="1"/>
  <c r="CC15" i="10"/>
  <c r="CA15" i="10"/>
  <c r="BZ15" i="10"/>
  <c r="I212" i="35" s="1"/>
  <c r="CB47" i="10"/>
  <c r="H244" i="35" s="1"/>
  <c r="AC244" i="35" s="1"/>
  <c r="CC47" i="10"/>
  <c r="BZ47" i="10"/>
  <c r="I244" i="35" s="1"/>
  <c r="CA47" i="10"/>
  <c r="CC3" i="10"/>
  <c r="CB3" i="10"/>
  <c r="H200" i="35" s="1"/>
  <c r="CA3" i="10"/>
  <c r="BZ3" i="10"/>
  <c r="CB63" i="10"/>
  <c r="H260" i="35" s="1"/>
  <c r="AC260" i="35" s="1"/>
  <c r="CC63" i="10"/>
  <c r="BZ63" i="10"/>
  <c r="I260" i="35" s="1"/>
  <c r="CA63" i="10"/>
  <c r="CZ56" i="10"/>
  <c r="HK56" i="10" s="1"/>
  <c r="CZ13" i="10"/>
  <c r="HK13" i="10" s="1"/>
  <c r="D393" i="30"/>
  <c r="CZ47" i="10"/>
  <c r="HK47" i="10" s="1"/>
  <c r="CZ37" i="10"/>
  <c r="HK37" i="10" s="1"/>
  <c r="CZ64" i="10"/>
  <c r="HK64" i="10" s="1"/>
  <c r="CR28" i="10"/>
  <c r="CZ6" i="10"/>
  <c r="HK6" i="10" s="1"/>
  <c r="CZ43" i="10"/>
  <c r="HK43" i="10" s="1"/>
  <c r="BW7" i="10"/>
  <c r="BV7" i="10"/>
  <c r="BW23" i="10"/>
  <c r="BV23" i="10"/>
  <c r="BV55" i="10"/>
  <c r="BW55" i="10"/>
  <c r="BW41" i="10"/>
  <c r="BV41" i="10"/>
  <c r="CR58" i="10"/>
  <c r="BV22" i="10"/>
  <c r="BW22" i="10"/>
  <c r="BW25" i="10"/>
  <c r="BV25" i="10"/>
  <c r="BV54" i="10"/>
  <c r="BW54" i="10"/>
  <c r="BV45" i="10"/>
  <c r="BW45" i="10"/>
  <c r="BV18" i="10"/>
  <c r="BW18" i="10"/>
  <c r="BV21" i="10"/>
  <c r="BW21" i="10"/>
  <c r="BV62" i="10"/>
  <c r="BW62" i="10"/>
  <c r="BV14" i="10"/>
  <c r="BW14" i="10"/>
  <c r="BW17" i="10"/>
  <c r="BV17" i="10"/>
  <c r="BV58" i="10"/>
  <c r="BW58" i="10"/>
  <c r="BW53" i="10"/>
  <c r="BV53" i="10"/>
  <c r="BV26" i="10"/>
  <c r="BW26" i="10"/>
  <c r="BW29" i="10"/>
  <c r="BV29" i="10"/>
  <c r="BV43" i="10"/>
  <c r="BW43" i="10"/>
  <c r="BW59" i="10"/>
  <c r="BV59" i="10"/>
  <c r="BW36" i="10"/>
  <c r="BV36" i="10"/>
  <c r="BW44" i="10"/>
  <c r="BV44" i="10"/>
  <c r="BV15" i="10"/>
  <c r="BW15" i="10"/>
  <c r="BV31" i="10"/>
  <c r="BW31" i="10"/>
  <c r="CR54" i="10"/>
  <c r="CR39" i="10"/>
  <c r="CR22" i="10"/>
  <c r="CZ7" i="10"/>
  <c r="HK7" i="10" s="1"/>
  <c r="CZ12" i="10"/>
  <c r="HK12" i="10" s="1"/>
  <c r="CZ30" i="10"/>
  <c r="HK30" i="10" s="1"/>
  <c r="CZ35" i="10"/>
  <c r="HK35" i="10" s="1"/>
  <c r="CZ54" i="10"/>
  <c r="HK54" i="10" s="1"/>
  <c r="CZ62" i="10"/>
  <c r="HK62" i="10" s="1"/>
  <c r="CZ17" i="10"/>
  <c r="HK17" i="10" s="1"/>
  <c r="CZ5" i="10"/>
  <c r="HK5" i="10" s="1"/>
  <c r="CZ16" i="10"/>
  <c r="HK16" i="10" s="1"/>
  <c r="CZ25" i="10"/>
  <c r="HK25" i="10" s="1"/>
  <c r="CZ28" i="10"/>
  <c r="HK28" i="10" s="1"/>
  <c r="CZ44" i="10"/>
  <c r="HK44" i="10" s="1"/>
  <c r="CZ49" i="10"/>
  <c r="HK49" i="10" s="1"/>
  <c r="CZ57" i="10"/>
  <c r="HK57" i="10" s="1"/>
  <c r="CZ4" i="10"/>
  <c r="HK4" i="10" s="1"/>
  <c r="CZ14" i="10"/>
  <c r="HK14" i="10" s="1"/>
  <c r="CZ29" i="10"/>
  <c r="HK29" i="10" s="1"/>
  <c r="CZ48" i="10"/>
  <c r="HK48" i="10" s="1"/>
  <c r="BW20" i="10"/>
  <c r="BV20" i="10"/>
  <c r="BW16" i="10"/>
  <c r="BV16" i="10"/>
  <c r="BW28" i="10"/>
  <c r="BV28" i="10"/>
  <c r="BV34" i="10"/>
  <c r="BW34" i="10"/>
  <c r="BW8" i="10"/>
  <c r="BV8" i="10"/>
  <c r="BW64" i="10"/>
  <c r="BV64" i="10"/>
  <c r="BW48" i="10"/>
  <c r="BV48" i="10"/>
  <c r="BW4" i="10"/>
  <c r="BV4" i="10"/>
  <c r="BW60" i="10"/>
  <c r="BV60" i="10"/>
  <c r="BW32" i="10"/>
  <c r="BV32" i="10"/>
  <c r="BV35" i="10"/>
  <c r="BW35" i="10"/>
  <c r="BW39" i="10"/>
  <c r="BV39" i="10"/>
  <c r="BW56" i="10"/>
  <c r="BV56" i="10"/>
  <c r="BW12" i="10"/>
  <c r="BV12" i="10"/>
  <c r="BW49" i="10"/>
  <c r="BV49" i="10"/>
  <c r="BW57" i="10"/>
  <c r="BV57" i="10"/>
  <c r="E216" i="35"/>
  <c r="BV19" i="10"/>
  <c r="BW19" i="10"/>
  <c r="CR35" i="10"/>
  <c r="CR62" i="10"/>
  <c r="CR11" i="10"/>
  <c r="CR46" i="10"/>
  <c r="CZ52" i="10"/>
  <c r="HK52" i="10" s="1"/>
  <c r="CZ9" i="10"/>
  <c r="HK9" i="10" s="1"/>
  <c r="CZ22" i="10"/>
  <c r="HK22" i="10" s="1"/>
  <c r="CZ31" i="10"/>
  <c r="HK31" i="10" s="1"/>
  <c r="CZ41" i="10"/>
  <c r="HK41" i="10" s="1"/>
  <c r="CZ50" i="10"/>
  <c r="HK50" i="10" s="1"/>
  <c r="CZ58" i="10"/>
  <c r="CZ24" i="10"/>
  <c r="HK24" i="10" s="1"/>
  <c r="BW24" i="10"/>
  <c r="BV24" i="10"/>
  <c r="BW40" i="10"/>
  <c r="BV40" i="10"/>
  <c r="BV51" i="10"/>
  <c r="BW51" i="10"/>
  <c r="BV42" i="10"/>
  <c r="BW42" i="10"/>
  <c r="CZ19" i="10"/>
  <c r="HK19" i="10" s="1"/>
  <c r="CZ26" i="10"/>
  <c r="HK26" i="10" s="1"/>
  <c r="BV6" i="10"/>
  <c r="BW6" i="10"/>
  <c r="BV9" i="10"/>
  <c r="BW9" i="10"/>
  <c r="BV38" i="10"/>
  <c r="BW38" i="10"/>
  <c r="BW37" i="10"/>
  <c r="BV37" i="10"/>
  <c r="BW5" i="10"/>
  <c r="BV5" i="10"/>
  <c r="BV30" i="10"/>
  <c r="BW30" i="10"/>
  <c r="BV33" i="10"/>
  <c r="BW33" i="10"/>
  <c r="BV50" i="10"/>
  <c r="BW50" i="10"/>
  <c r="BV10" i="10"/>
  <c r="BW10" i="10"/>
  <c r="BW13" i="10"/>
  <c r="BV13" i="10"/>
  <c r="BW61" i="10"/>
  <c r="BV61" i="10"/>
  <c r="BV11" i="10"/>
  <c r="BW11" i="10"/>
  <c r="BV27" i="10"/>
  <c r="BW27" i="10"/>
  <c r="BW52" i="10"/>
  <c r="BV52" i="10"/>
  <c r="BW47" i="10"/>
  <c r="BV47" i="10"/>
  <c r="BV3" i="10"/>
  <c r="BW3" i="10"/>
  <c r="BV63" i="10"/>
  <c r="BW63" i="10"/>
  <c r="BV46" i="10"/>
  <c r="BW46" i="10"/>
  <c r="C120" i="33"/>
  <c r="CR10" i="10"/>
  <c r="CR50" i="10"/>
  <c r="CZ18" i="10"/>
  <c r="CZ23" i="10"/>
  <c r="HK23" i="10" s="1"/>
  <c r="CZ33" i="10"/>
  <c r="HK33" i="10" s="1"/>
  <c r="CZ40" i="10"/>
  <c r="CZ60" i="10"/>
  <c r="HK60" i="10" s="1"/>
  <c r="CZ3" i="10"/>
  <c r="HK3" i="10" s="1"/>
  <c r="CZ11" i="10"/>
  <c r="HK11" i="10" s="1"/>
  <c r="CZ20" i="10"/>
  <c r="HK20" i="10" s="1"/>
  <c r="CZ32" i="10"/>
  <c r="HK32" i="10" s="1"/>
  <c r="CZ39" i="10"/>
  <c r="HK39" i="10" s="1"/>
  <c r="CZ46" i="10"/>
  <c r="CZ51" i="10"/>
  <c r="HK51" i="10" s="1"/>
  <c r="CZ36" i="10"/>
  <c r="HK36" i="10" s="1"/>
  <c r="CZ10" i="10"/>
  <c r="HK10" i="10" s="1"/>
  <c r="CZ38" i="10"/>
  <c r="HK38" i="10" s="1"/>
  <c r="D100" i="33"/>
  <c r="CR36" i="10"/>
  <c r="C130" i="33"/>
  <c r="CR40" i="10"/>
  <c r="CR52" i="10"/>
  <c r="CR60" i="10"/>
  <c r="CR5" i="10"/>
  <c r="CR16" i="10"/>
  <c r="CR25" i="10"/>
  <c r="CR37" i="10"/>
  <c r="CR44" i="10"/>
  <c r="CR49" i="10"/>
  <c r="CR57" i="10"/>
  <c r="CR4" i="10"/>
  <c r="CR13" i="10"/>
  <c r="CR56" i="10"/>
  <c r="CR64" i="10"/>
  <c r="CR17" i="10"/>
  <c r="CR30" i="10"/>
  <c r="CR47" i="10"/>
  <c r="CR18" i="10"/>
  <c r="CR23" i="10"/>
  <c r="CR33" i="10"/>
  <c r="CR38" i="10"/>
  <c r="CR14" i="10"/>
  <c r="CR6" i="10"/>
  <c r="CR19" i="10"/>
  <c r="CR26" i="10"/>
  <c r="CR43" i="10"/>
  <c r="CR29" i="10"/>
  <c r="CR51" i="10"/>
  <c r="K568" i="30"/>
  <c r="CR12" i="10"/>
  <c r="CR48" i="10"/>
  <c r="CR3" i="10"/>
  <c r="CR20" i="10"/>
  <c r="CR32" i="10"/>
  <c r="CR24" i="10"/>
  <c r="CR9" i="10"/>
  <c r="CR31" i="10"/>
  <c r="CR41" i="10"/>
  <c r="K555" i="30"/>
  <c r="I569" i="30"/>
  <c r="C139" i="33"/>
  <c r="C109" i="33"/>
  <c r="C143" i="33"/>
  <c r="C101" i="33"/>
  <c r="C140" i="33"/>
  <c r="D395" i="30"/>
  <c r="D381" i="30"/>
  <c r="C98" i="33"/>
  <c r="C121" i="33"/>
  <c r="C114" i="33"/>
  <c r="C99" i="33"/>
  <c r="I561" i="30"/>
  <c r="C149" i="33"/>
  <c r="E212" i="35"/>
  <c r="C104" i="33"/>
  <c r="C108" i="33"/>
  <c r="C133" i="33"/>
  <c r="C105" i="33"/>
  <c r="D386" i="30"/>
  <c r="C123" i="33"/>
  <c r="C106" i="33"/>
  <c r="C122" i="33"/>
  <c r="C152" i="33"/>
  <c r="C156" i="33"/>
  <c r="C110" i="33"/>
  <c r="I425" i="30"/>
  <c r="D380" i="30"/>
  <c r="C95" i="33"/>
  <c r="C146" i="33"/>
  <c r="C144" i="33"/>
  <c r="I439" i="30"/>
  <c r="I567" i="30"/>
  <c r="K567" i="30"/>
  <c r="C124" i="33"/>
  <c r="C148" i="33"/>
  <c r="C142" i="33"/>
  <c r="C150" i="33"/>
  <c r="C97" i="33"/>
  <c r="C128" i="33"/>
  <c r="C115" i="33"/>
  <c r="D390" i="30"/>
  <c r="C131" i="33"/>
  <c r="D388" i="30"/>
  <c r="C127" i="33"/>
  <c r="C96" i="33"/>
  <c r="C118" i="33"/>
  <c r="C154" i="33"/>
  <c r="C132" i="33"/>
  <c r="C102" i="33"/>
  <c r="D394" i="30"/>
  <c r="C141" i="33"/>
  <c r="D387" i="30"/>
  <c r="C125" i="33"/>
  <c r="C111" i="33"/>
  <c r="D391" i="30"/>
  <c r="C135" i="33"/>
  <c r="C136" i="33"/>
  <c r="C138" i="33"/>
  <c r="D389" i="30"/>
  <c r="C129" i="33"/>
  <c r="D382" i="30"/>
  <c r="C103" i="33"/>
  <c r="C116" i="33"/>
  <c r="C112" i="33"/>
  <c r="D384" i="30"/>
  <c r="C117" i="33"/>
  <c r="I434" i="30"/>
  <c r="AB8" i="38"/>
  <c r="AB47" i="38"/>
  <c r="AB64" i="38"/>
  <c r="AB52" i="38"/>
  <c r="AB57" i="38"/>
  <c r="AB21" i="38"/>
  <c r="AB54" i="38"/>
  <c r="AB16" i="38"/>
  <c r="AB48" i="38"/>
  <c r="AB7" i="38"/>
  <c r="AB20" i="38"/>
  <c r="AB39" i="38"/>
  <c r="AB11" i="38"/>
  <c r="AB14" i="38"/>
  <c r="AB46" i="38"/>
  <c r="AB55" i="38"/>
  <c r="AB18" i="38"/>
  <c r="AB56" i="38"/>
  <c r="AB17" i="38"/>
  <c r="AB25" i="38"/>
  <c r="AB59" i="38"/>
  <c r="AB29" i="38"/>
  <c r="AB40" i="38"/>
  <c r="AB6" i="38"/>
  <c r="AB42" i="38"/>
  <c r="AB13" i="38"/>
  <c r="AB19" i="38"/>
  <c r="AB24" i="38"/>
  <c r="AB50" i="38"/>
  <c r="AB23" i="38"/>
  <c r="AB44" i="38"/>
  <c r="AB12" i="38"/>
  <c r="AB27" i="38"/>
  <c r="AB22" i="38"/>
  <c r="AB60" i="38"/>
  <c r="AB65" i="38"/>
  <c r="AB63" i="38"/>
  <c r="AB51" i="38"/>
  <c r="AB33" i="38"/>
  <c r="AB37" i="38"/>
  <c r="AB28" i="38"/>
  <c r="AB66" i="38"/>
  <c r="AB15" i="38"/>
  <c r="AB38" i="38"/>
  <c r="AB53" i="38"/>
  <c r="AB41" i="38"/>
  <c r="AB45" i="38"/>
  <c r="AB43" i="38"/>
  <c r="AB32" i="38"/>
  <c r="AB58" i="38"/>
  <c r="AB31" i="38"/>
  <c r="AB62" i="38"/>
  <c r="AB36" i="38"/>
  <c r="AB35" i="38"/>
  <c r="AB30" i="38"/>
  <c r="AB61" i="38"/>
  <c r="AB26" i="38"/>
  <c r="AB10" i="38"/>
  <c r="AB34" i="38"/>
  <c r="AB49" i="38"/>
  <c r="AB9" i="38"/>
  <c r="AB5" i="38"/>
  <c r="E200" i="35"/>
  <c r="E260" i="35"/>
  <c r="E228" i="35"/>
  <c r="E243" i="35"/>
  <c r="E244" i="35"/>
  <c r="I554" i="30"/>
  <c r="K554" i="30"/>
  <c r="I556" i="30"/>
  <c r="K556" i="30"/>
  <c r="I558" i="30"/>
  <c r="K558" i="30"/>
  <c r="K560" i="30"/>
  <c r="I560" i="30"/>
  <c r="I562" i="30"/>
  <c r="K562" i="30"/>
  <c r="E261" i="35"/>
  <c r="E203" i="35"/>
  <c r="E215" i="35"/>
  <c r="E257" i="35"/>
  <c r="E206" i="35"/>
  <c r="E235" i="35"/>
  <c r="E218" i="35"/>
  <c r="E230" i="35"/>
  <c r="E236" i="35"/>
  <c r="E240" i="35"/>
  <c r="E219" i="35"/>
  <c r="E213" i="35"/>
  <c r="E247" i="35"/>
  <c r="E224" i="35"/>
  <c r="E233" i="35"/>
  <c r="E254" i="35"/>
  <c r="E242" i="35"/>
  <c r="E202" i="35"/>
  <c r="E201" i="35"/>
  <c r="E214" i="35"/>
  <c r="E255" i="35"/>
  <c r="E253" i="35"/>
  <c r="E246" i="35"/>
  <c r="E227" i="35"/>
  <c r="E229" i="35"/>
  <c r="E232" i="35"/>
  <c r="E250" i="35"/>
  <c r="E207" i="35"/>
  <c r="E256" i="35"/>
  <c r="E249" i="35"/>
  <c r="E238" i="35"/>
  <c r="E210" i="35"/>
  <c r="E248" i="35"/>
  <c r="E258" i="35"/>
  <c r="E222" i="35"/>
  <c r="E205" i="35"/>
  <c r="E245" i="35"/>
  <c r="E223" i="35"/>
  <c r="E226" i="35"/>
  <c r="E209" i="35"/>
  <c r="E221" i="35"/>
  <c r="E204" i="35"/>
  <c r="E234" i="35"/>
  <c r="E217" i="35"/>
  <c r="E220" i="35"/>
  <c r="E237" i="35"/>
  <c r="E225" i="35"/>
  <c r="E252" i="35"/>
  <c r="E208" i="35"/>
  <c r="E241" i="35"/>
  <c r="E251" i="35"/>
  <c r="E259" i="35"/>
  <c r="E211" i="35"/>
  <c r="E239" i="35"/>
  <c r="E231" i="35"/>
  <c r="AC213" i="35" l="1"/>
  <c r="AC237" i="35"/>
  <c r="AC223" i="35"/>
  <c r="AC231" i="35"/>
  <c r="AC247" i="35"/>
  <c r="AC243" i="35"/>
  <c r="AC255" i="35"/>
  <c r="AC259" i="35"/>
  <c r="AC251" i="35"/>
  <c r="AC225" i="35"/>
  <c r="AC207" i="35"/>
  <c r="AC227" i="35"/>
  <c r="AC203" i="35"/>
  <c r="AC211" i="35"/>
  <c r="AC215" i="35"/>
  <c r="AC219" i="35"/>
  <c r="AC235" i="35"/>
  <c r="AC220" i="35"/>
  <c r="AC239" i="35"/>
  <c r="AC228" i="35"/>
  <c r="AC254" i="35"/>
  <c r="AC242" i="35"/>
  <c r="A782" i="33"/>
  <c r="A707" i="33"/>
  <c r="A781" i="33"/>
  <c r="A706" i="33"/>
  <c r="AE500" i="46" a="1"/>
  <c r="AE500" i="46" s="1"/>
  <c r="AE287" i="45" a="1"/>
  <c r="AE287" i="45" s="1"/>
  <c r="HK18" i="10"/>
  <c r="GX40" i="10"/>
  <c r="GX58" i="10"/>
  <c r="HK40" i="10"/>
  <c r="GX34" i="10"/>
  <c r="HK46" i="10"/>
  <c r="GX18" i="10"/>
  <c r="HK34" i="10"/>
  <c r="HK58" i="10"/>
  <c r="GX46" i="10"/>
  <c r="HJ40" i="10"/>
  <c r="HC14" i="10"/>
  <c r="HC50" i="10"/>
  <c r="HC54" i="10"/>
  <c r="HC31" i="10"/>
  <c r="HC20" i="10"/>
  <c r="HC26" i="10"/>
  <c r="HC38" i="10"/>
  <c r="HC47" i="10"/>
  <c r="HC56" i="10"/>
  <c r="HC49" i="10"/>
  <c r="HC16" i="10"/>
  <c r="HC40" i="10"/>
  <c r="HC10" i="10"/>
  <c r="HC46" i="10"/>
  <c r="HC15" i="10"/>
  <c r="HC45" i="10"/>
  <c r="HC7" i="10"/>
  <c r="HC32" i="10"/>
  <c r="HC43" i="10"/>
  <c r="HC57" i="10"/>
  <c r="HC52" i="10"/>
  <c r="HC35" i="10"/>
  <c r="HC9" i="10"/>
  <c r="HC3" i="10"/>
  <c r="HC51" i="10"/>
  <c r="HC19" i="10"/>
  <c r="HC33" i="10"/>
  <c r="HC30" i="10"/>
  <c r="HC13" i="10"/>
  <c r="HC44" i="10"/>
  <c r="HC5" i="10"/>
  <c r="HC11" i="10"/>
  <c r="HC22" i="10"/>
  <c r="HC28" i="10"/>
  <c r="HC53" i="10"/>
  <c r="HC59" i="10"/>
  <c r="HC41" i="10"/>
  <c r="HC12" i="10"/>
  <c r="HC64" i="10"/>
  <c r="HC25" i="10"/>
  <c r="HC24" i="10"/>
  <c r="HC48" i="10"/>
  <c r="HC29" i="10"/>
  <c r="HC6" i="10"/>
  <c r="HC23" i="10"/>
  <c r="HC17" i="10"/>
  <c r="HC4" i="10"/>
  <c r="HC37" i="10"/>
  <c r="HC60" i="10"/>
  <c r="HC36" i="10"/>
  <c r="HC62" i="10"/>
  <c r="HC39" i="10"/>
  <c r="HC58" i="10"/>
  <c r="HC42" i="10"/>
  <c r="HC61" i="10"/>
  <c r="HC34" i="10"/>
  <c r="HC63" i="10"/>
  <c r="HC27" i="10"/>
  <c r="HC8" i="10"/>
  <c r="HC18" i="10"/>
  <c r="HC21" i="10"/>
  <c r="HC55" i="10"/>
  <c r="B423" i="30"/>
  <c r="D99" i="33"/>
  <c r="DT85" i="10"/>
  <c r="EL52" i="10"/>
  <c r="IW52" i="10" s="1"/>
  <c r="IG52" i="10"/>
  <c r="EL11" i="10"/>
  <c r="IW11" i="10" s="1"/>
  <c r="IG11" i="10"/>
  <c r="EL56" i="10"/>
  <c r="IW56" i="10" s="1"/>
  <c r="IG56" i="10"/>
  <c r="EL35" i="10"/>
  <c r="IW35" i="10" s="1"/>
  <c r="IG35" i="10"/>
  <c r="EL60" i="10"/>
  <c r="IW60" i="10" s="1"/>
  <c r="IG60" i="10"/>
  <c r="EL48" i="10"/>
  <c r="IW48" i="10" s="1"/>
  <c r="IG48" i="10"/>
  <c r="EL8" i="10"/>
  <c r="IW8" i="10" s="1"/>
  <c r="IG8" i="10"/>
  <c r="ED57" i="10"/>
  <c r="IO57" i="10" s="1"/>
  <c r="HY57" i="10"/>
  <c r="ED29" i="10"/>
  <c r="IO29" i="10" s="1"/>
  <c r="HY29" i="10"/>
  <c r="EL58" i="10"/>
  <c r="IW58" i="10" s="1"/>
  <c r="IG58" i="10"/>
  <c r="ED21" i="10"/>
  <c r="IO21" i="10" s="1"/>
  <c r="HY21" i="10"/>
  <c r="EL54" i="10"/>
  <c r="IW54" i="10" s="1"/>
  <c r="IG54" i="10"/>
  <c r="EL31" i="10"/>
  <c r="IW31" i="10" s="1"/>
  <c r="IG31" i="10"/>
  <c r="EL50" i="10"/>
  <c r="IW50" i="10" s="1"/>
  <c r="IG50" i="10"/>
  <c r="ED9" i="10"/>
  <c r="IO9" i="10" s="1"/>
  <c r="HY9" i="10"/>
  <c r="ED17" i="10"/>
  <c r="IO17" i="10" s="1"/>
  <c r="HY17" i="10"/>
  <c r="EL18" i="10"/>
  <c r="IW18" i="10" s="1"/>
  <c r="IG18" i="10"/>
  <c r="EL46" i="10"/>
  <c r="IW46" i="10" s="1"/>
  <c r="IG46" i="10"/>
  <c r="ED41" i="10"/>
  <c r="IO41" i="10" s="1"/>
  <c r="HY41" i="10"/>
  <c r="EL10" i="10"/>
  <c r="IW10" i="10" s="1"/>
  <c r="IG10" i="10"/>
  <c r="ED37" i="10"/>
  <c r="IO37" i="10" s="1"/>
  <c r="HY37" i="10"/>
  <c r="EL63" i="10"/>
  <c r="IW63" i="10" s="1"/>
  <c r="IG63" i="10"/>
  <c r="EL44" i="10"/>
  <c r="IW44" i="10" s="1"/>
  <c r="IG44" i="10"/>
  <c r="EL59" i="10"/>
  <c r="IW59" i="10" s="1"/>
  <c r="IG59" i="10"/>
  <c r="EL55" i="10"/>
  <c r="IW55" i="10" s="1"/>
  <c r="IG55" i="10"/>
  <c r="EL28" i="10"/>
  <c r="IW28" i="10" s="1"/>
  <c r="IG28" i="10"/>
  <c r="EL16" i="10"/>
  <c r="IW16" i="10" s="1"/>
  <c r="IG16" i="10"/>
  <c r="EL20" i="10"/>
  <c r="IW20" i="10" s="1"/>
  <c r="IG20" i="10"/>
  <c r="EL24" i="10"/>
  <c r="IW24" i="10" s="1"/>
  <c r="IG24" i="10"/>
  <c r="ED13" i="10"/>
  <c r="IO13" i="10" s="1"/>
  <c r="HY13" i="10"/>
  <c r="EL38" i="10"/>
  <c r="IW38" i="10" s="1"/>
  <c r="IG38" i="10"/>
  <c r="EM63" i="10"/>
  <c r="IX63" i="10" s="1"/>
  <c r="IH63" i="10"/>
  <c r="EM64" i="10"/>
  <c r="IX64" i="10" s="1"/>
  <c r="IH64" i="10"/>
  <c r="EM45" i="10"/>
  <c r="IX45" i="10" s="1"/>
  <c r="IH45" i="10"/>
  <c r="EM36" i="10"/>
  <c r="IX36" i="10" s="1"/>
  <c r="IH36" i="10"/>
  <c r="EM23" i="10"/>
  <c r="IX23" i="10" s="1"/>
  <c r="IH23" i="10"/>
  <c r="EM20" i="10"/>
  <c r="IX20" i="10" s="1"/>
  <c r="IH20" i="10"/>
  <c r="EM19" i="10"/>
  <c r="IX19" i="10" s="1"/>
  <c r="IH19" i="10"/>
  <c r="EM16" i="10"/>
  <c r="IX16" i="10" s="1"/>
  <c r="IH16" i="10"/>
  <c r="EM53" i="10"/>
  <c r="IX53" i="10" s="1"/>
  <c r="IH53" i="10"/>
  <c r="EM34" i="10"/>
  <c r="IX34" i="10" s="1"/>
  <c r="IH34" i="10"/>
  <c r="EM55" i="10"/>
  <c r="IX55" i="10" s="1"/>
  <c r="IH55" i="10"/>
  <c r="EM56" i="10"/>
  <c r="IX56" i="10" s="1"/>
  <c r="IH56" i="10"/>
  <c r="EM37" i="10"/>
  <c r="IX37" i="10" s="1"/>
  <c r="IH37" i="10"/>
  <c r="EM24" i="10"/>
  <c r="IX24" i="10" s="1"/>
  <c r="IH24" i="10"/>
  <c r="EM38" i="10"/>
  <c r="IX38" i="10" s="1"/>
  <c r="IH38" i="10"/>
  <c r="EM4" i="10"/>
  <c r="IX4" i="10" s="1"/>
  <c r="IH4" i="10"/>
  <c r="EM30" i="10"/>
  <c r="IX30" i="10" s="1"/>
  <c r="IH30" i="10"/>
  <c r="EM7" i="10"/>
  <c r="IX7" i="10" s="1"/>
  <c r="IH7" i="10"/>
  <c r="EM39" i="10"/>
  <c r="IX39" i="10" s="1"/>
  <c r="IH39" i="10"/>
  <c r="EM35" i="10"/>
  <c r="IX35" i="10" s="1"/>
  <c r="IH35" i="10"/>
  <c r="EM32" i="10"/>
  <c r="IX32" i="10" s="1"/>
  <c r="IH32" i="10"/>
  <c r="ED19" i="10"/>
  <c r="IO19" i="10" s="1"/>
  <c r="HY19" i="10"/>
  <c r="ED27" i="10"/>
  <c r="IO27" i="10" s="1"/>
  <c r="HY27" i="10"/>
  <c r="ED12" i="10"/>
  <c r="IO12" i="10" s="1"/>
  <c r="HY12" i="10"/>
  <c r="ED39" i="10"/>
  <c r="IO39" i="10" s="1"/>
  <c r="HY39" i="10"/>
  <c r="ED32" i="10"/>
  <c r="IO32" i="10" s="1"/>
  <c r="HY32" i="10"/>
  <c r="ED4" i="10"/>
  <c r="IO4" i="10" s="1"/>
  <c r="HY4" i="10"/>
  <c r="ED64" i="10"/>
  <c r="IO64" i="10" s="1"/>
  <c r="HY64" i="10"/>
  <c r="ED15" i="10"/>
  <c r="IO15" i="10" s="1"/>
  <c r="HY15" i="10"/>
  <c r="EL49" i="10"/>
  <c r="IW49" i="10" s="1"/>
  <c r="IG49" i="10"/>
  <c r="EL53" i="10"/>
  <c r="IW53" i="10" s="1"/>
  <c r="IG53" i="10"/>
  <c r="ED14" i="10"/>
  <c r="IO14" i="10" s="1"/>
  <c r="HY14" i="10"/>
  <c r="EL45" i="10"/>
  <c r="IW45" i="10" s="1"/>
  <c r="IG45" i="10"/>
  <c r="ED22" i="10"/>
  <c r="IO22" i="10" s="1"/>
  <c r="HY22" i="10"/>
  <c r="ED34" i="10"/>
  <c r="IO34" i="10" s="1"/>
  <c r="HY34" i="10"/>
  <c r="ED5" i="10"/>
  <c r="IO5" i="10" s="1"/>
  <c r="HY5" i="10"/>
  <c r="ED26" i="10"/>
  <c r="IO26" i="10" s="1"/>
  <c r="HY26" i="10"/>
  <c r="ED62" i="10"/>
  <c r="IO62" i="10" s="1"/>
  <c r="HY62" i="10"/>
  <c r="EL25" i="10"/>
  <c r="IW25" i="10" s="1"/>
  <c r="IG25" i="10"/>
  <c r="EL3" i="10"/>
  <c r="IW3" i="10" s="1"/>
  <c r="IG3" i="10"/>
  <c r="EL61" i="10"/>
  <c r="IW61" i="10" s="1"/>
  <c r="IG61" i="10"/>
  <c r="EL33" i="10"/>
  <c r="IW33" i="10" s="1"/>
  <c r="IG33" i="10"/>
  <c r="ED6" i="10"/>
  <c r="IO6" i="10" s="1"/>
  <c r="HY6" i="10"/>
  <c r="ED47" i="10"/>
  <c r="IO47" i="10" s="1"/>
  <c r="HY47" i="10"/>
  <c r="ED36" i="10"/>
  <c r="IO36" i="10" s="1"/>
  <c r="HY36" i="10"/>
  <c r="ED43" i="10"/>
  <c r="IO43" i="10" s="1"/>
  <c r="HY43" i="10"/>
  <c r="ED51" i="10"/>
  <c r="IO51" i="10" s="1"/>
  <c r="HY51" i="10"/>
  <c r="ED40" i="10"/>
  <c r="IO40" i="10" s="1"/>
  <c r="HY40" i="10"/>
  <c r="ED23" i="10"/>
  <c r="IO23" i="10" s="1"/>
  <c r="HY23" i="10"/>
  <c r="ED7" i="10"/>
  <c r="IO7" i="10" s="1"/>
  <c r="HY7" i="10"/>
  <c r="ED42" i="10"/>
  <c r="IO42" i="10" s="1"/>
  <c r="HY42" i="10"/>
  <c r="ED30" i="10"/>
  <c r="IO30" i="10" s="1"/>
  <c r="HY30" i="10"/>
  <c r="EM46" i="10"/>
  <c r="IX46" i="10" s="1"/>
  <c r="IH46" i="10"/>
  <c r="EM31" i="10"/>
  <c r="IX31" i="10" s="1"/>
  <c r="IH31" i="10"/>
  <c r="EM26" i="10"/>
  <c r="IX26" i="10" s="1"/>
  <c r="IH26" i="10"/>
  <c r="EM61" i="10"/>
  <c r="IX61" i="10" s="1"/>
  <c r="IH61" i="10"/>
  <c r="EM54" i="10"/>
  <c r="IX54" i="10" s="1"/>
  <c r="IH54" i="10"/>
  <c r="EM43" i="10"/>
  <c r="IX43" i="10" s="1"/>
  <c r="IH43" i="10"/>
  <c r="EM44" i="10"/>
  <c r="IX44" i="10" s="1"/>
  <c r="IH44" i="10"/>
  <c r="EM41" i="10"/>
  <c r="IX41" i="10" s="1"/>
  <c r="IH41" i="10"/>
  <c r="EM42" i="10"/>
  <c r="IX42" i="10" s="1"/>
  <c r="IH42" i="10"/>
  <c r="EL19" i="10"/>
  <c r="IW19" i="10" s="1"/>
  <c r="IG19" i="10"/>
  <c r="EL27" i="10"/>
  <c r="IW27" i="10" s="1"/>
  <c r="IG27" i="10"/>
  <c r="EL12" i="10"/>
  <c r="IW12" i="10" s="1"/>
  <c r="IG12" i="10"/>
  <c r="EL39" i="10"/>
  <c r="IW39" i="10" s="1"/>
  <c r="IG39" i="10"/>
  <c r="EL32" i="10"/>
  <c r="IW32" i="10" s="1"/>
  <c r="IG32" i="10"/>
  <c r="EL4" i="10"/>
  <c r="IW4" i="10" s="1"/>
  <c r="IG4" i="10"/>
  <c r="EL64" i="10"/>
  <c r="IW64" i="10" s="1"/>
  <c r="IG64" i="10"/>
  <c r="EL15" i="10"/>
  <c r="IW15" i="10" s="1"/>
  <c r="IG15" i="10"/>
  <c r="ED49" i="10"/>
  <c r="IO49" i="10" s="1"/>
  <c r="HY49" i="10"/>
  <c r="ED53" i="10"/>
  <c r="IO53" i="10" s="1"/>
  <c r="HY53" i="10"/>
  <c r="EL14" i="10"/>
  <c r="IW14" i="10" s="1"/>
  <c r="IG14" i="10"/>
  <c r="ED45" i="10"/>
  <c r="IO45" i="10" s="1"/>
  <c r="HY45" i="10"/>
  <c r="EL22" i="10"/>
  <c r="IW22" i="10" s="1"/>
  <c r="IG22" i="10"/>
  <c r="EL34" i="10"/>
  <c r="IW34" i="10" s="1"/>
  <c r="IG34" i="10"/>
  <c r="EL5" i="10"/>
  <c r="IW5" i="10" s="1"/>
  <c r="IG5" i="10"/>
  <c r="EL26" i="10"/>
  <c r="IW26" i="10" s="1"/>
  <c r="IG26" i="10"/>
  <c r="EL62" i="10"/>
  <c r="IW62" i="10" s="1"/>
  <c r="IG62" i="10"/>
  <c r="ED25" i="10"/>
  <c r="IO25" i="10" s="1"/>
  <c r="HY25" i="10"/>
  <c r="ED3" i="10"/>
  <c r="IO3" i="10" s="1"/>
  <c r="HY3" i="10"/>
  <c r="ED61" i="10"/>
  <c r="IO61" i="10" s="1"/>
  <c r="HY61" i="10"/>
  <c r="ED33" i="10"/>
  <c r="IO33" i="10" s="1"/>
  <c r="HY33" i="10"/>
  <c r="EL6" i="10"/>
  <c r="IW6" i="10" s="1"/>
  <c r="IG6" i="10"/>
  <c r="EL47" i="10"/>
  <c r="IW47" i="10" s="1"/>
  <c r="IG47" i="10"/>
  <c r="EL36" i="10"/>
  <c r="IW36" i="10" s="1"/>
  <c r="IG36" i="10"/>
  <c r="EL43" i="10"/>
  <c r="IW43" i="10" s="1"/>
  <c r="IG43" i="10"/>
  <c r="EL51" i="10"/>
  <c r="IW51" i="10" s="1"/>
  <c r="IG51" i="10"/>
  <c r="EL40" i="10"/>
  <c r="IW40" i="10" s="1"/>
  <c r="IG40" i="10"/>
  <c r="EL23" i="10"/>
  <c r="IW23" i="10" s="1"/>
  <c r="IG23" i="10"/>
  <c r="EL7" i="10"/>
  <c r="IW7" i="10" s="1"/>
  <c r="IG7" i="10"/>
  <c r="EL42" i="10"/>
  <c r="IW42" i="10" s="1"/>
  <c r="IG42" i="10"/>
  <c r="EL30" i="10"/>
  <c r="IW30" i="10" s="1"/>
  <c r="IG30" i="10"/>
  <c r="EM29" i="10"/>
  <c r="IX29" i="10" s="1"/>
  <c r="IH29" i="10"/>
  <c r="EM12" i="10"/>
  <c r="IX12" i="10" s="1"/>
  <c r="IH12" i="10"/>
  <c r="EM6" i="10"/>
  <c r="IX6" i="10" s="1"/>
  <c r="IH6" i="10"/>
  <c r="EM59" i="10"/>
  <c r="IX59" i="10" s="1"/>
  <c r="IH59" i="10"/>
  <c r="EM60" i="10"/>
  <c r="IX60" i="10" s="1"/>
  <c r="IH60" i="10"/>
  <c r="EM57" i="10"/>
  <c r="IX57" i="10" s="1"/>
  <c r="IH57" i="10"/>
  <c r="EM58" i="10"/>
  <c r="IX58" i="10" s="1"/>
  <c r="IH58" i="10"/>
  <c r="EM10" i="10"/>
  <c r="IX10" i="10" s="1"/>
  <c r="IH10" i="10"/>
  <c r="EM11" i="10"/>
  <c r="IX11" i="10" s="1"/>
  <c r="IH11" i="10"/>
  <c r="EM5" i="10"/>
  <c r="IX5" i="10" s="1"/>
  <c r="IH5" i="10"/>
  <c r="EM15" i="10"/>
  <c r="IX15" i="10" s="1"/>
  <c r="IH15" i="10"/>
  <c r="EM17" i="10"/>
  <c r="IX17" i="10" s="1"/>
  <c r="IH17" i="10"/>
  <c r="EM62" i="10"/>
  <c r="IX62" i="10" s="1"/>
  <c r="IH62" i="10"/>
  <c r="EM51" i="10"/>
  <c r="IX51" i="10" s="1"/>
  <c r="IH51" i="10"/>
  <c r="EM52" i="10"/>
  <c r="IX52" i="10" s="1"/>
  <c r="IH52" i="10"/>
  <c r="EM49" i="10"/>
  <c r="IX49" i="10" s="1"/>
  <c r="IH49" i="10"/>
  <c r="EM50" i="10"/>
  <c r="IX50" i="10" s="1"/>
  <c r="IH50" i="10"/>
  <c r="EM22" i="10"/>
  <c r="IX22" i="10" s="1"/>
  <c r="IH22" i="10"/>
  <c r="EM3" i="10"/>
  <c r="IX3" i="10" s="1"/>
  <c r="IH3" i="10"/>
  <c r="ED52" i="10"/>
  <c r="IO52" i="10" s="1"/>
  <c r="HY52" i="10"/>
  <c r="ED11" i="10"/>
  <c r="IO11" i="10" s="1"/>
  <c r="HY11" i="10"/>
  <c r="ED56" i="10"/>
  <c r="IO56" i="10" s="1"/>
  <c r="HY56" i="10"/>
  <c r="ED35" i="10"/>
  <c r="IO35" i="10" s="1"/>
  <c r="HY35" i="10"/>
  <c r="ED60" i="10"/>
  <c r="IO60" i="10" s="1"/>
  <c r="HY60" i="10"/>
  <c r="ED48" i="10"/>
  <c r="IO48" i="10" s="1"/>
  <c r="HY48" i="10"/>
  <c r="ED8" i="10"/>
  <c r="IO8" i="10" s="1"/>
  <c r="HY8" i="10"/>
  <c r="EL57" i="10"/>
  <c r="IW57" i="10" s="1"/>
  <c r="IG57" i="10"/>
  <c r="EL29" i="10"/>
  <c r="IW29" i="10" s="1"/>
  <c r="IG29" i="10"/>
  <c r="ED58" i="10"/>
  <c r="IO58" i="10" s="1"/>
  <c r="HY58" i="10"/>
  <c r="EL21" i="10"/>
  <c r="IW21" i="10" s="1"/>
  <c r="IG21" i="10"/>
  <c r="ED54" i="10"/>
  <c r="IO54" i="10" s="1"/>
  <c r="HY54" i="10"/>
  <c r="ED31" i="10"/>
  <c r="IO31" i="10" s="1"/>
  <c r="HY31" i="10"/>
  <c r="ED50" i="10"/>
  <c r="IO50" i="10" s="1"/>
  <c r="HY50" i="10"/>
  <c r="EL9" i="10"/>
  <c r="IW9" i="10" s="1"/>
  <c r="IG9" i="10"/>
  <c r="EL17" i="10"/>
  <c r="IW17" i="10" s="1"/>
  <c r="IG17" i="10"/>
  <c r="ED18" i="10"/>
  <c r="IO18" i="10" s="1"/>
  <c r="HY18" i="10"/>
  <c r="ED46" i="10"/>
  <c r="IO46" i="10" s="1"/>
  <c r="HY46" i="10"/>
  <c r="EL41" i="10"/>
  <c r="IW41" i="10" s="1"/>
  <c r="IG41" i="10"/>
  <c r="ED10" i="10"/>
  <c r="IO10" i="10" s="1"/>
  <c r="HY10" i="10"/>
  <c r="EL37" i="10"/>
  <c r="IW37" i="10" s="1"/>
  <c r="IG37" i="10"/>
  <c r="ED63" i="10"/>
  <c r="IO63" i="10" s="1"/>
  <c r="HY63" i="10"/>
  <c r="ED44" i="10"/>
  <c r="IO44" i="10" s="1"/>
  <c r="HY44" i="10"/>
  <c r="ED59" i="10"/>
  <c r="IO59" i="10" s="1"/>
  <c r="HY59" i="10"/>
  <c r="ED55" i="10"/>
  <c r="IO55" i="10" s="1"/>
  <c r="HY55" i="10"/>
  <c r="ED28" i="10"/>
  <c r="IO28" i="10" s="1"/>
  <c r="HY28" i="10"/>
  <c r="ED16" i="10"/>
  <c r="IO16" i="10" s="1"/>
  <c r="HY16" i="10"/>
  <c r="ED20" i="10"/>
  <c r="IO20" i="10" s="1"/>
  <c r="HY20" i="10"/>
  <c r="ED24" i="10"/>
  <c r="IO24" i="10" s="1"/>
  <c r="HY24" i="10"/>
  <c r="EL13" i="10"/>
  <c r="IW13" i="10" s="1"/>
  <c r="IG13" i="10"/>
  <c r="ED38" i="10"/>
  <c r="IO38" i="10" s="1"/>
  <c r="HY38" i="10"/>
  <c r="EM40" i="10"/>
  <c r="IX40" i="10" s="1"/>
  <c r="IH40" i="10"/>
  <c r="EM13" i="10"/>
  <c r="IX13" i="10" s="1"/>
  <c r="IH13" i="10"/>
  <c r="EM47" i="10"/>
  <c r="IX47" i="10" s="1"/>
  <c r="IH47" i="10"/>
  <c r="EM48" i="10"/>
  <c r="IX48" i="10" s="1"/>
  <c r="IH48" i="10"/>
  <c r="EM9" i="10"/>
  <c r="IX9" i="10" s="1"/>
  <c r="IH9" i="10"/>
  <c r="EM33" i="10"/>
  <c r="IX33" i="10" s="1"/>
  <c r="IH33" i="10"/>
  <c r="EM18" i="10"/>
  <c r="IX18" i="10" s="1"/>
  <c r="IH18" i="10"/>
  <c r="EM25" i="10"/>
  <c r="IX25" i="10" s="1"/>
  <c r="IH25" i="10"/>
  <c r="EM14" i="10"/>
  <c r="IX14" i="10" s="1"/>
  <c r="IH14" i="10"/>
  <c r="I427" i="30"/>
  <c r="D151" i="33"/>
  <c r="B439" i="30"/>
  <c r="B427" i="30"/>
  <c r="CU27" i="10"/>
  <c r="CL35" i="10"/>
  <c r="CL63" i="10"/>
  <c r="D119" i="33"/>
  <c r="D137" i="33"/>
  <c r="B434" i="30"/>
  <c r="N495" i="30"/>
  <c r="CL42" i="10"/>
  <c r="CL15" i="10"/>
  <c r="G383" i="30"/>
  <c r="DC15" i="10"/>
  <c r="HN15" i="10" s="1"/>
  <c r="CU8" i="10"/>
  <c r="DC8" i="10"/>
  <c r="HN8" i="10" s="1"/>
  <c r="CL59" i="10"/>
  <c r="CL27" i="10"/>
  <c r="CL8" i="10"/>
  <c r="G385" i="30"/>
  <c r="DC27" i="10"/>
  <c r="HN27" i="10" s="1"/>
  <c r="O29" i="38"/>
  <c r="P29" i="38" s="1"/>
  <c r="B158" i="32"/>
  <c r="O23" i="38"/>
  <c r="P23" i="38" s="1"/>
  <c r="O1020" i="33"/>
  <c r="N1020" i="33"/>
  <c r="M1008" i="33"/>
  <c r="B146" i="32" s="1"/>
  <c r="M1029" i="33"/>
  <c r="N1029" i="33" s="1"/>
  <c r="M1025" i="33"/>
  <c r="M1009" i="33"/>
  <c r="M1023" i="33"/>
  <c r="N1023" i="33" s="1"/>
  <c r="M1040" i="33"/>
  <c r="B178" i="32" s="1"/>
  <c r="D155" i="33"/>
  <c r="M1036" i="33"/>
  <c r="O39" i="38" s="1"/>
  <c r="P39" i="38" s="1"/>
  <c r="M1047" i="33"/>
  <c r="O1047" i="33" s="1"/>
  <c r="M1053" i="33"/>
  <c r="O1053" i="33" s="1"/>
  <c r="M1055" i="33"/>
  <c r="M1003" i="33"/>
  <c r="M1017" i="33"/>
  <c r="M1015" i="33"/>
  <c r="M1019" i="33"/>
  <c r="M1049" i="33"/>
  <c r="M1005" i="33"/>
  <c r="M1024" i="33"/>
  <c r="B162" i="32" s="1"/>
  <c r="M1043" i="33"/>
  <c r="B181" i="32" s="1"/>
  <c r="M1012" i="33"/>
  <c r="B150" i="32" s="1"/>
  <c r="M1051" i="33"/>
  <c r="B189" i="32" s="1"/>
  <c r="M1035" i="33"/>
  <c r="B173" i="32" s="1"/>
  <c r="D153" i="33"/>
  <c r="M1004" i="33"/>
  <c r="N1004" i="33" s="1"/>
  <c r="M1039" i="33"/>
  <c r="N1039" i="33" s="1"/>
  <c r="M1016" i="33"/>
  <c r="B154" i="32" s="1"/>
  <c r="M1045" i="33"/>
  <c r="B183" i="32" s="1"/>
  <c r="M1033" i="33"/>
  <c r="M1063" i="33"/>
  <c r="M1011" i="33"/>
  <c r="M1057" i="33"/>
  <c r="M1013" i="33"/>
  <c r="M1028" i="33"/>
  <c r="M1061" i="33"/>
  <c r="M1031" i="33"/>
  <c r="M1059" i="33"/>
  <c r="DC42" i="10"/>
  <c r="HN42" i="10" s="1"/>
  <c r="DT120" i="10"/>
  <c r="J554" i="31" s="1"/>
  <c r="I438" i="30"/>
  <c r="O1060" i="33"/>
  <c r="CU15" i="10"/>
  <c r="D107" i="33"/>
  <c r="DC53" i="10"/>
  <c r="HN53" i="10" s="1"/>
  <c r="B425" i="30"/>
  <c r="D147" i="33"/>
  <c r="B438" i="30"/>
  <c r="CL36" i="10"/>
  <c r="DC63" i="10"/>
  <c r="HN63" i="10" s="1"/>
  <c r="I440" i="30"/>
  <c r="CL38" i="10"/>
  <c r="CL21" i="10"/>
  <c r="CU63" i="10"/>
  <c r="D113" i="33"/>
  <c r="CU21" i="10"/>
  <c r="B440" i="30"/>
  <c r="DC34" i="10"/>
  <c r="HN34" i="10" s="1"/>
  <c r="DC59" i="10"/>
  <c r="HN59" i="10" s="1"/>
  <c r="DC55" i="10"/>
  <c r="HN55" i="10" s="1"/>
  <c r="DU126" i="10"/>
  <c r="K560" i="31" s="1"/>
  <c r="DU97" i="10"/>
  <c r="N490" i="30" s="1"/>
  <c r="G396" i="30"/>
  <c r="CU59" i="10"/>
  <c r="CU34" i="10"/>
  <c r="CL34" i="10"/>
  <c r="CL55" i="10"/>
  <c r="G397" i="30"/>
  <c r="CU55" i="10"/>
  <c r="D126" i="33"/>
  <c r="CU45" i="10"/>
  <c r="B424" i="30"/>
  <c r="B432" i="30"/>
  <c r="DU101" i="10"/>
  <c r="N492" i="30" s="1"/>
  <c r="CU42" i="10"/>
  <c r="D145" i="33"/>
  <c r="CU61" i="10"/>
  <c r="DC45" i="10"/>
  <c r="HN45" i="10" s="1"/>
  <c r="CU53" i="10"/>
  <c r="CL61" i="10"/>
  <c r="G398" i="30"/>
  <c r="N493" i="30"/>
  <c r="CL53" i="10"/>
  <c r="DC31" i="10"/>
  <c r="HN31" i="10" s="1"/>
  <c r="CL45" i="10"/>
  <c r="G392" i="30"/>
  <c r="DC61" i="10"/>
  <c r="HN61" i="10" s="1"/>
  <c r="D134" i="33"/>
  <c r="DC21" i="10"/>
  <c r="HN21" i="10" s="1"/>
  <c r="N1054" i="33"/>
  <c r="B192" i="32"/>
  <c r="N1014" i="33"/>
  <c r="B152" i="32"/>
  <c r="N1060" i="33"/>
  <c r="B198" i="32"/>
  <c r="N1044" i="33"/>
  <c r="B182" i="32"/>
  <c r="N1026" i="33"/>
  <c r="B164" i="32"/>
  <c r="B955" i="31"/>
  <c r="A690" i="31"/>
  <c r="D430" i="31"/>
  <c r="D301" i="31"/>
  <c r="D172" i="31"/>
  <c r="A820" i="31"/>
  <c r="A560" i="31"/>
  <c r="B954" i="31"/>
  <c r="A689" i="31"/>
  <c r="D300" i="31"/>
  <c r="A819" i="31"/>
  <c r="D429" i="31"/>
  <c r="D171" i="31"/>
  <c r="A559" i="31"/>
  <c r="O65" i="38"/>
  <c r="P65" i="38" s="1"/>
  <c r="B200" i="32"/>
  <c r="I200" i="35"/>
  <c r="Y200" i="35" s="1"/>
  <c r="D103" i="33"/>
  <c r="D102" i="33"/>
  <c r="DC11" i="10"/>
  <c r="HN11" i="10" s="1"/>
  <c r="O47" i="38"/>
  <c r="P47" i="38" s="1"/>
  <c r="O1044" i="33"/>
  <c r="J523" i="31"/>
  <c r="M487" i="30"/>
  <c r="J528" i="31"/>
  <c r="K497" i="30"/>
  <c r="J524" i="31"/>
  <c r="K522" i="31"/>
  <c r="K538" i="31"/>
  <c r="K679" i="31"/>
  <c r="I679" i="31"/>
  <c r="I667" i="31"/>
  <c r="K667" i="31"/>
  <c r="K686" i="31"/>
  <c r="I686" i="31"/>
  <c r="K683" i="31"/>
  <c r="I683" i="31"/>
  <c r="K669" i="31"/>
  <c r="I669" i="31"/>
  <c r="I660" i="31"/>
  <c r="K660" i="31"/>
  <c r="J667" i="31"/>
  <c r="H667" i="31"/>
  <c r="J531" i="31"/>
  <c r="M490" i="30"/>
  <c r="J553" i="31"/>
  <c r="J533" i="31"/>
  <c r="M491" i="30"/>
  <c r="J539" i="31"/>
  <c r="M493" i="30"/>
  <c r="J525" i="31"/>
  <c r="DT101" i="10"/>
  <c r="J557" i="31"/>
  <c r="M500" i="30"/>
  <c r="J560" i="31"/>
  <c r="K540" i="31"/>
  <c r="J519" i="31"/>
  <c r="K554" i="31"/>
  <c r="K484" i="30"/>
  <c r="J549" i="31"/>
  <c r="J552" i="31"/>
  <c r="K485" i="30"/>
  <c r="K492" i="30"/>
  <c r="J483" i="30"/>
  <c r="DU69" i="10"/>
  <c r="J490" i="30"/>
  <c r="J489" i="30"/>
  <c r="DU95" i="10"/>
  <c r="J491" i="30"/>
  <c r="DU99" i="10"/>
  <c r="K673" i="31"/>
  <c r="I673" i="31"/>
  <c r="J545" i="31"/>
  <c r="M496" i="30"/>
  <c r="J546" i="31"/>
  <c r="K486" i="30"/>
  <c r="J540" i="31"/>
  <c r="K528" i="31"/>
  <c r="K519" i="31"/>
  <c r="J543" i="31"/>
  <c r="M495" i="30"/>
  <c r="K498" i="30"/>
  <c r="K499" i="30"/>
  <c r="J503" i="31"/>
  <c r="M483" i="30"/>
  <c r="J556" i="31"/>
  <c r="I672" i="31"/>
  <c r="K672" i="31"/>
  <c r="K654" i="31"/>
  <c r="I654" i="31"/>
  <c r="I676" i="31"/>
  <c r="K676" i="31"/>
  <c r="K655" i="31"/>
  <c r="I655" i="31"/>
  <c r="K682" i="31"/>
  <c r="I682" i="31"/>
  <c r="J542" i="31"/>
  <c r="J538" i="31"/>
  <c r="J522" i="31"/>
  <c r="J529" i="31"/>
  <c r="M489" i="30"/>
  <c r="J530" i="31"/>
  <c r="K488" i="30"/>
  <c r="J541" i="31"/>
  <c r="M494" i="30"/>
  <c r="J500" i="30"/>
  <c r="DU123" i="10"/>
  <c r="J487" i="30"/>
  <c r="DU89" i="10"/>
  <c r="J494" i="30"/>
  <c r="DU107" i="10"/>
  <c r="J496" i="30"/>
  <c r="DU111" i="10"/>
  <c r="J482" i="30"/>
  <c r="DU65" i="10"/>
  <c r="DT65" i="10"/>
  <c r="AA244" i="35"/>
  <c r="AA232" i="35"/>
  <c r="A961" i="33"/>
  <c r="A573" i="33"/>
  <c r="A1059" i="33"/>
  <c r="A640" i="33"/>
  <c r="A506" i="33"/>
  <c r="A439" i="33"/>
  <c r="A218" i="33"/>
  <c r="A373" i="33"/>
  <c r="B64" i="10"/>
  <c r="D237" i="31"/>
  <c r="A154" i="33"/>
  <c r="A849" i="33" s="1"/>
  <c r="D366" i="31"/>
  <c r="A959" i="35"/>
  <c r="A199" i="32"/>
  <c r="A756" i="31"/>
  <c r="A111" i="32"/>
  <c r="A1093" i="35"/>
  <c r="A891" i="35"/>
  <c r="A1410" i="35"/>
  <c r="A825" i="35"/>
  <c r="A210" i="27"/>
  <c r="A1300" i="35"/>
  <c r="A341" i="35"/>
  <c r="B891" i="31"/>
  <c r="A496" i="31"/>
  <c r="B123" i="30"/>
  <c r="A287" i="27"/>
  <c r="A1476" i="35"/>
  <c r="A1160" i="35"/>
  <c r="A493" i="35"/>
  <c r="A259" i="35"/>
  <c r="D108" i="31"/>
  <c r="A64" i="38"/>
  <c r="A87" i="27"/>
  <c r="A1026" i="35"/>
  <c r="A576" i="35"/>
  <c r="A408" i="35"/>
  <c r="A626" i="31"/>
  <c r="A1060" i="33"/>
  <c r="A641" i="33"/>
  <c r="A507" i="33"/>
  <c r="A962" i="33"/>
  <c r="A574" i="33"/>
  <c r="A374" i="33"/>
  <c r="A219" i="33"/>
  <c r="A440" i="33"/>
  <c r="A155" i="33"/>
  <c r="A850" i="33" s="1"/>
  <c r="D238" i="31"/>
  <c r="D367" i="31"/>
  <c r="A960" i="35"/>
  <c r="A200" i="32"/>
  <c r="A757" i="31"/>
  <c r="A112" i="32"/>
  <c r="A892" i="35"/>
  <c r="A1094" i="35"/>
  <c r="A211" i="27"/>
  <c r="A1301" i="35"/>
  <c r="A1161" i="35"/>
  <c r="A494" i="35"/>
  <c r="A342" i="35"/>
  <c r="A260" i="35"/>
  <c r="B892" i="31"/>
  <c r="A497" i="31"/>
  <c r="D109" i="31"/>
  <c r="A65" i="38"/>
  <c r="A288" i="27"/>
  <c r="B124" i="30"/>
  <c r="A88" i="27"/>
  <c r="A1477" i="35"/>
  <c r="A1411" i="35"/>
  <c r="A1027" i="35"/>
  <c r="A577" i="35"/>
  <c r="A409" i="35"/>
  <c r="A627" i="31"/>
  <c r="A826" i="35"/>
  <c r="B447" i="30"/>
  <c r="L453" i="30"/>
  <c r="I445" i="30"/>
  <c r="I452" i="30"/>
  <c r="L447" i="30"/>
  <c r="L443" i="30"/>
  <c r="E444" i="30"/>
  <c r="E457" i="30"/>
  <c r="B455" i="30"/>
  <c r="L459" i="30"/>
  <c r="L458" i="30"/>
  <c r="B449" i="30"/>
  <c r="I441" i="30"/>
  <c r="I455" i="30"/>
  <c r="I442" i="30"/>
  <c r="Z213" i="35"/>
  <c r="Z204" i="35"/>
  <c r="I447" i="30"/>
  <c r="L446" i="30"/>
  <c r="L444" i="30"/>
  <c r="I449" i="30"/>
  <c r="L457" i="30"/>
  <c r="E458" i="30"/>
  <c r="B448" i="30"/>
  <c r="B454" i="30"/>
  <c r="B445" i="30"/>
  <c r="I451" i="30"/>
  <c r="I454" i="30"/>
  <c r="E446" i="30"/>
  <c r="B452" i="30"/>
  <c r="I456" i="30"/>
  <c r="O17" i="38"/>
  <c r="P17" i="38" s="1"/>
  <c r="B456" i="30"/>
  <c r="B441" i="30"/>
  <c r="B450" i="30"/>
  <c r="E453" i="30"/>
  <c r="E459" i="30"/>
  <c r="I443" i="30"/>
  <c r="I448" i="30"/>
  <c r="B443" i="30"/>
  <c r="B451" i="30"/>
  <c r="I450" i="30"/>
  <c r="DT114" i="10"/>
  <c r="DU114" i="10"/>
  <c r="DT72" i="10"/>
  <c r="DU72" i="10"/>
  <c r="DU92" i="10"/>
  <c r="DT92" i="10"/>
  <c r="DT76" i="10"/>
  <c r="DU76" i="10"/>
  <c r="DU66" i="10"/>
  <c r="DT66" i="10"/>
  <c r="DT113" i="10"/>
  <c r="DU113" i="10"/>
  <c r="DT80" i="10"/>
  <c r="DU80" i="10"/>
  <c r="AA238" i="35"/>
  <c r="AA202" i="35"/>
  <c r="Y206" i="35"/>
  <c r="Z229" i="35"/>
  <c r="AB257" i="35"/>
  <c r="AB201" i="35"/>
  <c r="AB261" i="35"/>
  <c r="Y228" i="35"/>
  <c r="AA254" i="35"/>
  <c r="Y226" i="35"/>
  <c r="DT79" i="10"/>
  <c r="DU79" i="10"/>
  <c r="DU87" i="10"/>
  <c r="DT87" i="10"/>
  <c r="DT78" i="10"/>
  <c r="DU78" i="10"/>
  <c r="DU116" i="10"/>
  <c r="DT116" i="10"/>
  <c r="DT67" i="10"/>
  <c r="DU67" i="10"/>
  <c r="DT73" i="10"/>
  <c r="DU73" i="10"/>
  <c r="DU125" i="10"/>
  <c r="DT125" i="10"/>
  <c r="DT77" i="10"/>
  <c r="DU77" i="10"/>
  <c r="DT70" i="10"/>
  <c r="DU70" i="10"/>
  <c r="DU98" i="10"/>
  <c r="DT98" i="10"/>
  <c r="DT81" i="10"/>
  <c r="DU81" i="10"/>
  <c r="DU110" i="10"/>
  <c r="DT110" i="10"/>
  <c r="DU117" i="10"/>
  <c r="DT117" i="10"/>
  <c r="DT71" i="10"/>
  <c r="DU71" i="10"/>
  <c r="DU121" i="10"/>
  <c r="DT121" i="10"/>
  <c r="DU100" i="10"/>
  <c r="DT100" i="10"/>
  <c r="DU102" i="10"/>
  <c r="DT102" i="10"/>
  <c r="DT86" i="10"/>
  <c r="DU86" i="10"/>
  <c r="DT84" i="10"/>
  <c r="DU84" i="10"/>
  <c r="DT68" i="10"/>
  <c r="DU68" i="10"/>
  <c r="DT74" i="10"/>
  <c r="DU74" i="10"/>
  <c r="DT83" i="10"/>
  <c r="DU83" i="10"/>
  <c r="DT124" i="10"/>
  <c r="DU124" i="10"/>
  <c r="DT82" i="10"/>
  <c r="DU82" i="10"/>
  <c r="DT75" i="10"/>
  <c r="DU75" i="10"/>
  <c r="DU93" i="10"/>
  <c r="DT93" i="10"/>
  <c r="Z203" i="35"/>
  <c r="AA248" i="35"/>
  <c r="AA249" i="35"/>
  <c r="AA246" i="35"/>
  <c r="AA250" i="35"/>
  <c r="AB241" i="35"/>
  <c r="AA236" i="35"/>
  <c r="AA245" i="35"/>
  <c r="AB240" i="35"/>
  <c r="AA234" i="35"/>
  <c r="AA216" i="35"/>
  <c r="AB208" i="35"/>
  <c r="Z221" i="35"/>
  <c r="Y222" i="35"/>
  <c r="Z217" i="35"/>
  <c r="AB233" i="35"/>
  <c r="N1050" i="33"/>
  <c r="O1050" i="33"/>
  <c r="O53" i="38"/>
  <c r="P53" i="38" s="1"/>
  <c r="N1058" i="33"/>
  <c r="O61" i="38"/>
  <c r="P61" i="38" s="1"/>
  <c r="O1058" i="33"/>
  <c r="M1010" i="33"/>
  <c r="B148" i="32" s="1"/>
  <c r="M1006" i="33"/>
  <c r="M1046" i="33"/>
  <c r="O1054" i="33"/>
  <c r="N1062" i="33"/>
  <c r="M1018" i="33"/>
  <c r="M1034" i="33"/>
  <c r="B172" i="32" s="1"/>
  <c r="M1030" i="33"/>
  <c r="B168" i="32" s="1"/>
  <c r="M1042" i="33"/>
  <c r="O57" i="38"/>
  <c r="P57" i="38" s="1"/>
  <c r="O1062" i="33"/>
  <c r="M1022" i="33"/>
  <c r="M1038" i="33"/>
  <c r="B176" i="32" s="1"/>
  <c r="Z237" i="35"/>
  <c r="AA213" i="35"/>
  <c r="M1007" i="33"/>
  <c r="B145" i="32" s="1"/>
  <c r="M1048" i="33"/>
  <c r="B186" i="32" s="1"/>
  <c r="M1037" i="33"/>
  <c r="B175" i="32" s="1"/>
  <c r="M1041" i="33"/>
  <c r="B179" i="32" s="1"/>
  <c r="M1027" i="33"/>
  <c r="B165" i="32" s="1"/>
  <c r="M1032" i="33"/>
  <c r="B170" i="32" s="1"/>
  <c r="M1052" i="33"/>
  <c r="B190" i="32" s="1"/>
  <c r="M1021" i="33"/>
  <c r="B159" i="32" s="1"/>
  <c r="M1056" i="33"/>
  <c r="B194" i="32" s="1"/>
  <c r="Z214" i="35"/>
  <c r="AA209" i="35"/>
  <c r="AB220" i="35"/>
  <c r="Z201" i="35"/>
  <c r="AA204" i="35"/>
  <c r="AA206" i="35"/>
  <c r="AA239" i="35"/>
  <c r="Z247" i="35"/>
  <c r="Z235" i="35"/>
  <c r="AB243" i="35"/>
  <c r="Y255" i="35"/>
  <c r="Z259" i="35"/>
  <c r="Y251" i="35"/>
  <c r="Z219" i="35"/>
  <c r="AA210" i="35"/>
  <c r="Z241" i="35"/>
  <c r="AB237" i="35"/>
  <c r="AB204" i="35"/>
  <c r="Y220" i="35"/>
  <c r="AA261" i="35"/>
  <c r="Y209" i="35"/>
  <c r="AA226" i="35"/>
  <c r="AA259" i="35"/>
  <c r="Z222" i="35"/>
  <c r="AA221" i="35"/>
  <c r="AA237" i="35"/>
  <c r="AA230" i="35"/>
  <c r="Y204" i="35"/>
  <c r="Y236" i="35"/>
  <c r="Z202" i="35"/>
  <c r="Y237" i="35"/>
  <c r="Z210" i="35"/>
  <c r="AB210" i="35"/>
  <c r="AB206" i="35"/>
  <c r="AB226" i="35"/>
  <c r="AB253" i="35"/>
  <c r="Y246" i="35"/>
  <c r="AB239" i="35"/>
  <c r="Q217" i="35"/>
  <c r="Q209" i="35"/>
  <c r="Q210" i="35"/>
  <c r="Q214" i="35"/>
  <c r="Q213" i="35"/>
  <c r="Q257" i="35"/>
  <c r="Z228" i="35"/>
  <c r="Z226" i="35"/>
  <c r="Y257" i="35"/>
  <c r="Y229" i="35"/>
  <c r="AA253" i="35"/>
  <c r="AB217" i="35"/>
  <c r="AB202" i="35"/>
  <c r="Q212" i="35"/>
  <c r="Y235" i="35"/>
  <c r="Q227" i="35"/>
  <c r="Y239" i="35"/>
  <c r="AA251" i="35"/>
  <c r="Z233" i="35"/>
  <c r="Z253" i="35"/>
  <c r="Z245" i="35"/>
  <c r="Y214" i="35"/>
  <c r="Y221" i="35"/>
  <c r="Y249" i="35"/>
  <c r="Y216" i="35"/>
  <c r="AB214" i="35"/>
  <c r="AA217" i="35"/>
  <c r="AA233" i="35"/>
  <c r="AA201" i="35"/>
  <c r="AB222" i="35"/>
  <c r="AA222" i="35"/>
  <c r="AB221" i="35"/>
  <c r="AB244" i="35"/>
  <c r="Z230" i="35"/>
  <c r="AA235" i="35"/>
  <c r="Q259" i="35"/>
  <c r="Q207" i="35"/>
  <c r="AA243" i="35"/>
  <c r="Y247" i="35"/>
  <c r="Z243" i="35"/>
  <c r="AB255" i="35"/>
  <c r="Y259" i="35"/>
  <c r="Q241" i="35"/>
  <c r="Q237" i="35"/>
  <c r="Q249" i="35"/>
  <c r="Q253" i="35"/>
  <c r="Q202" i="35"/>
  <c r="Z206" i="35"/>
  <c r="Z234" i="35"/>
  <c r="Y217" i="35"/>
  <c r="Y238" i="35"/>
  <c r="Y243" i="35"/>
  <c r="Y261" i="35"/>
  <c r="Z208" i="35"/>
  <c r="AA228" i="35"/>
  <c r="AB228" i="35"/>
  <c r="AA257" i="35"/>
  <c r="AA214" i="35"/>
  <c r="AA229" i="35"/>
  <c r="AB249" i="35"/>
  <c r="AB229" i="35"/>
  <c r="Z246" i="35"/>
  <c r="Y250" i="35"/>
  <c r="S216" i="35"/>
  <c r="Y207" i="35"/>
  <c r="AA203" i="35"/>
  <c r="AA223" i="35"/>
  <c r="Y211" i="35"/>
  <c r="AA215" i="35"/>
  <c r="AB219" i="35"/>
  <c r="Q208" i="35"/>
  <c r="Q220" i="35"/>
  <c r="Q221" i="35"/>
  <c r="Q245" i="35"/>
  <c r="Q229" i="35"/>
  <c r="Q255" i="35"/>
  <c r="Q247" i="35"/>
  <c r="Q206" i="35"/>
  <c r="Q261" i="35"/>
  <c r="Y233" i="35"/>
  <c r="Y253" i="35"/>
  <c r="Y213" i="35"/>
  <c r="Y245" i="35"/>
  <c r="Y202" i="35"/>
  <c r="Y241" i="35"/>
  <c r="Z261" i="35"/>
  <c r="Z220" i="35"/>
  <c r="Y208" i="35"/>
  <c r="Z249" i="35"/>
  <c r="Y210" i="35"/>
  <c r="Z216" i="35"/>
  <c r="AB216" i="35"/>
  <c r="AB209" i="35"/>
  <c r="AB247" i="35"/>
  <c r="AA208" i="35"/>
  <c r="AB245" i="35"/>
  <c r="AB213" i="35"/>
  <c r="AB251" i="35"/>
  <c r="AA255" i="35"/>
  <c r="AA247" i="35"/>
  <c r="AB203" i="35"/>
  <c r="AB259" i="35"/>
  <c r="AB234" i="35"/>
  <c r="Y244" i="35"/>
  <c r="AB230" i="35"/>
  <c r="Y254" i="35"/>
  <c r="Z250" i="35"/>
  <c r="AB236" i="35"/>
  <c r="Z232" i="35"/>
  <c r="Z240" i="35"/>
  <c r="Y248" i="35"/>
  <c r="Q251" i="35"/>
  <c r="Q234" i="35"/>
  <c r="Q226" i="35"/>
  <c r="Q222" i="35"/>
  <c r="Q238" i="35"/>
  <c r="Q201" i="35"/>
  <c r="Q233" i="35"/>
  <c r="Q243" i="35"/>
  <c r="Q228" i="35"/>
  <c r="Y201" i="35"/>
  <c r="Z251" i="35"/>
  <c r="Y234" i="35"/>
  <c r="Z209" i="35"/>
  <c r="Z255" i="35"/>
  <c r="Z238" i="35"/>
  <c r="Z223" i="35"/>
  <c r="Q216" i="35"/>
  <c r="Z257" i="35"/>
  <c r="AA220" i="35"/>
  <c r="AB238" i="35"/>
  <c r="AA241" i="35"/>
  <c r="Y230" i="35"/>
  <c r="AB254" i="35"/>
  <c r="AB246" i="35"/>
  <c r="Z254" i="35"/>
  <c r="AB250" i="35"/>
  <c r="Z239" i="35"/>
  <c r="AB235" i="35"/>
  <c r="Q215" i="35"/>
  <c r="Z236" i="35"/>
  <c r="Y223" i="35"/>
  <c r="Y203" i="35"/>
  <c r="Z227" i="35"/>
  <c r="AB232" i="35"/>
  <c r="AA211" i="35"/>
  <c r="AA240" i="35"/>
  <c r="AB227" i="35"/>
  <c r="AA207" i="35"/>
  <c r="Z244" i="35"/>
  <c r="Z248" i="35"/>
  <c r="Y231" i="35"/>
  <c r="AB231" i="35"/>
  <c r="AA231" i="35"/>
  <c r="Z231" i="35"/>
  <c r="AA219" i="35"/>
  <c r="Q223" i="35"/>
  <c r="Q232" i="35"/>
  <c r="Q240" i="35"/>
  <c r="Q203" i="35"/>
  <c r="Z215" i="35"/>
  <c r="Y232" i="35"/>
  <c r="Z211" i="35"/>
  <c r="Z207" i="35"/>
  <c r="Y240" i="35"/>
  <c r="Y227" i="35"/>
  <c r="AB207" i="35"/>
  <c r="AB211" i="35"/>
  <c r="AB223" i="35"/>
  <c r="AA227" i="35"/>
  <c r="AB248" i="35"/>
  <c r="DC3" i="10"/>
  <c r="HN3" i="10" s="1"/>
  <c r="Y219" i="35"/>
  <c r="AA260" i="35"/>
  <c r="AB260" i="35"/>
  <c r="Y260" i="35"/>
  <c r="Z260" i="35"/>
  <c r="AB212" i="35"/>
  <c r="Y212" i="35"/>
  <c r="AA212" i="35"/>
  <c r="Z212" i="35"/>
  <c r="Z258" i="35"/>
  <c r="AA258" i="35"/>
  <c r="AB258" i="35"/>
  <c r="Y258" i="35"/>
  <c r="Y224" i="35"/>
  <c r="Z224" i="35"/>
  <c r="AA224" i="35"/>
  <c r="AB224" i="35"/>
  <c r="AB205" i="35"/>
  <c r="AA205" i="35"/>
  <c r="Z205" i="35"/>
  <c r="Y205" i="35"/>
  <c r="AA218" i="35"/>
  <c r="Z218" i="35"/>
  <c r="Y218" i="35"/>
  <c r="AB218" i="35"/>
  <c r="Y242" i="35"/>
  <c r="Z242" i="35"/>
  <c r="AA242" i="35"/>
  <c r="AB242" i="35"/>
  <c r="AA256" i="35"/>
  <c r="Z256" i="35"/>
  <c r="Y256" i="35"/>
  <c r="AB256" i="35"/>
  <c r="Y252" i="35"/>
  <c r="AB252" i="35"/>
  <c r="AA252" i="35"/>
  <c r="Z252" i="35"/>
  <c r="AA225" i="35"/>
  <c r="Z225" i="35"/>
  <c r="AB225" i="35"/>
  <c r="Y225" i="35"/>
  <c r="Q211" i="35"/>
  <c r="Q236" i="35"/>
  <c r="Y215" i="35"/>
  <c r="AB215" i="35"/>
  <c r="CL28" i="10"/>
  <c r="EF47" i="10"/>
  <c r="IQ47" i="10" s="1"/>
  <c r="EF35" i="10"/>
  <c r="IQ35" i="10" s="1"/>
  <c r="EF59" i="10"/>
  <c r="IQ59" i="10" s="1"/>
  <c r="EF51" i="10"/>
  <c r="IQ51" i="10" s="1"/>
  <c r="R216" i="35"/>
  <c r="EF10" i="10"/>
  <c r="IQ10" i="10" s="1"/>
  <c r="EF30" i="10"/>
  <c r="IQ30" i="10" s="1"/>
  <c r="EF6" i="10"/>
  <c r="IQ6" i="10" s="1"/>
  <c r="EF26" i="10"/>
  <c r="IQ26" i="10" s="1"/>
  <c r="EF14" i="10"/>
  <c r="IQ14" i="10" s="1"/>
  <c r="EF18" i="10"/>
  <c r="IQ18" i="10" s="1"/>
  <c r="EF22" i="10"/>
  <c r="IQ22" i="10" s="1"/>
  <c r="EF63" i="10"/>
  <c r="IQ63" i="10" s="1"/>
  <c r="EF43" i="10"/>
  <c r="IQ43" i="10" s="1"/>
  <c r="T216" i="35"/>
  <c r="CU28" i="10"/>
  <c r="EF34" i="10"/>
  <c r="IQ34" i="10" s="1"/>
  <c r="EF42" i="10"/>
  <c r="IQ42" i="10" s="1"/>
  <c r="EF50" i="10"/>
  <c r="IQ50" i="10" s="1"/>
  <c r="EF38" i="10"/>
  <c r="IQ38" i="10" s="1"/>
  <c r="EF46" i="10"/>
  <c r="IQ46" i="10" s="1"/>
  <c r="EF58" i="10"/>
  <c r="IQ58" i="10" s="1"/>
  <c r="EF62" i="10"/>
  <c r="IQ62" i="10" s="1"/>
  <c r="EF54" i="10"/>
  <c r="IQ54" i="10" s="1"/>
  <c r="EF39" i="10"/>
  <c r="IQ39" i="10" s="1"/>
  <c r="EF55" i="10"/>
  <c r="IQ55" i="10" s="1"/>
  <c r="D120" i="33"/>
  <c r="EF3" i="10"/>
  <c r="IQ3" i="10" s="1"/>
  <c r="EF15" i="10"/>
  <c r="IQ15" i="10" s="1"/>
  <c r="EF41" i="10"/>
  <c r="IQ41" i="10" s="1"/>
  <c r="EF61" i="10"/>
  <c r="IQ61" i="10" s="1"/>
  <c r="EF13" i="10"/>
  <c r="IQ13" i="10" s="1"/>
  <c r="EF33" i="10"/>
  <c r="IQ33" i="10" s="1"/>
  <c r="EF5" i="10"/>
  <c r="IQ5" i="10" s="1"/>
  <c r="EF37" i="10"/>
  <c r="IQ37" i="10" s="1"/>
  <c r="EF9" i="10"/>
  <c r="IQ9" i="10" s="1"/>
  <c r="EF19" i="10"/>
  <c r="IQ19" i="10" s="1"/>
  <c r="EF52" i="10"/>
  <c r="IQ52" i="10" s="1"/>
  <c r="EF27" i="10"/>
  <c r="IQ27" i="10" s="1"/>
  <c r="EF11" i="10"/>
  <c r="IQ11" i="10" s="1"/>
  <c r="EF12" i="10"/>
  <c r="IQ12" i="10" s="1"/>
  <c r="EF56" i="10"/>
  <c r="IQ56" i="10" s="1"/>
  <c r="EF32" i="10"/>
  <c r="IQ32" i="10" s="1"/>
  <c r="EF60" i="10"/>
  <c r="IQ60" i="10" s="1"/>
  <c r="EF4" i="10"/>
  <c r="IQ4" i="10" s="1"/>
  <c r="EF48" i="10"/>
  <c r="IQ48" i="10" s="1"/>
  <c r="EF64" i="10"/>
  <c r="IQ64" i="10" s="1"/>
  <c r="EF8" i="10"/>
  <c r="IQ8" i="10" s="1"/>
  <c r="EF24" i="10"/>
  <c r="IQ24" i="10" s="1"/>
  <c r="EF31" i="10"/>
  <c r="IQ31" i="10" s="1"/>
  <c r="EF57" i="10"/>
  <c r="IQ57" i="10" s="1"/>
  <c r="EF49" i="10"/>
  <c r="IQ49" i="10" s="1"/>
  <c r="EF29" i="10"/>
  <c r="IQ29" i="10" s="1"/>
  <c r="EF53" i="10"/>
  <c r="IQ53" i="10" s="1"/>
  <c r="EF17" i="10"/>
  <c r="IQ17" i="10" s="1"/>
  <c r="EF21" i="10"/>
  <c r="IQ21" i="10" s="1"/>
  <c r="EF45" i="10"/>
  <c r="IQ45" i="10" s="1"/>
  <c r="EF25" i="10"/>
  <c r="IQ25" i="10" s="1"/>
  <c r="EF20" i="10"/>
  <c r="IQ20" i="10" s="1"/>
  <c r="EF44" i="10"/>
  <c r="IQ44" i="10" s="1"/>
  <c r="EF36" i="10"/>
  <c r="IQ36" i="10" s="1"/>
  <c r="EF28" i="10"/>
  <c r="IQ28" i="10" s="1"/>
  <c r="EF40" i="10"/>
  <c r="IQ40" i="10" s="1"/>
  <c r="EF16" i="10"/>
  <c r="IQ16" i="10" s="1"/>
  <c r="EF23" i="10"/>
  <c r="IQ23" i="10" s="1"/>
  <c r="EF7" i="10"/>
  <c r="IQ7" i="10" s="1"/>
  <c r="D109" i="33"/>
  <c r="DC24" i="10"/>
  <c r="HN24" i="10" s="1"/>
  <c r="G381" i="30"/>
  <c r="DX3" i="10"/>
  <c r="II3" i="10" s="1"/>
  <c r="DX15" i="10"/>
  <c r="II15" i="10" s="1"/>
  <c r="DX41" i="10"/>
  <c r="II41" i="10" s="1"/>
  <c r="DX61" i="10"/>
  <c r="II61" i="10" s="1"/>
  <c r="DX13" i="10"/>
  <c r="II13" i="10" s="1"/>
  <c r="DX33" i="10"/>
  <c r="II33" i="10" s="1"/>
  <c r="DX5" i="10"/>
  <c r="II5" i="10" s="1"/>
  <c r="DX37" i="10"/>
  <c r="II37" i="10" s="1"/>
  <c r="DX9" i="10"/>
  <c r="II9" i="10" s="1"/>
  <c r="DX19" i="10"/>
  <c r="II19" i="10" s="1"/>
  <c r="DX52" i="10"/>
  <c r="II52" i="10" s="1"/>
  <c r="DX27" i="10"/>
  <c r="II27" i="10" s="1"/>
  <c r="DX11" i="10"/>
  <c r="II11" i="10" s="1"/>
  <c r="DX12" i="10"/>
  <c r="II12" i="10" s="1"/>
  <c r="DX56" i="10"/>
  <c r="II56" i="10" s="1"/>
  <c r="DX32" i="10"/>
  <c r="II32" i="10" s="1"/>
  <c r="DX60" i="10"/>
  <c r="II60" i="10" s="1"/>
  <c r="DX4" i="10"/>
  <c r="II4" i="10" s="1"/>
  <c r="DX48" i="10"/>
  <c r="II48" i="10" s="1"/>
  <c r="DX64" i="10"/>
  <c r="II64" i="10" s="1"/>
  <c r="DX8" i="10"/>
  <c r="II8" i="10" s="1"/>
  <c r="DX24" i="10"/>
  <c r="II24" i="10" s="1"/>
  <c r="DX31" i="10"/>
  <c r="II31" i="10" s="1"/>
  <c r="DX57" i="10"/>
  <c r="II57" i="10" s="1"/>
  <c r="DX49" i="10"/>
  <c r="II49" i="10" s="1"/>
  <c r="DX29" i="10"/>
  <c r="II29" i="10" s="1"/>
  <c r="DX53" i="10"/>
  <c r="II53" i="10" s="1"/>
  <c r="DX17" i="10"/>
  <c r="II17" i="10" s="1"/>
  <c r="DX21" i="10"/>
  <c r="II21" i="10" s="1"/>
  <c r="DX45" i="10"/>
  <c r="II45" i="10" s="1"/>
  <c r="DX25" i="10"/>
  <c r="II25" i="10" s="1"/>
  <c r="DX20" i="10"/>
  <c r="II20" i="10" s="1"/>
  <c r="DX44" i="10"/>
  <c r="II44" i="10" s="1"/>
  <c r="DX36" i="10"/>
  <c r="II36" i="10" s="1"/>
  <c r="DX28" i="10"/>
  <c r="II28" i="10" s="1"/>
  <c r="DX40" i="10"/>
  <c r="II40" i="10" s="1"/>
  <c r="DX16" i="10"/>
  <c r="II16" i="10" s="1"/>
  <c r="DX23" i="10"/>
  <c r="II23" i="10" s="1"/>
  <c r="DX7" i="10"/>
  <c r="II7" i="10" s="1"/>
  <c r="DX63" i="10"/>
  <c r="II63" i="10" s="1"/>
  <c r="DX47" i="10"/>
  <c r="II47" i="10" s="1"/>
  <c r="DX39" i="10"/>
  <c r="II39" i="10" s="1"/>
  <c r="DX35" i="10"/>
  <c r="II35" i="10" s="1"/>
  <c r="DX59" i="10"/>
  <c r="II59" i="10" s="1"/>
  <c r="DX43" i="10"/>
  <c r="II43" i="10" s="1"/>
  <c r="DX55" i="10"/>
  <c r="II55" i="10" s="1"/>
  <c r="DX51" i="10"/>
  <c r="II51" i="10" s="1"/>
  <c r="DX10" i="10"/>
  <c r="II10" i="10" s="1"/>
  <c r="DX30" i="10"/>
  <c r="II30" i="10" s="1"/>
  <c r="DX6" i="10"/>
  <c r="II6" i="10" s="1"/>
  <c r="DX26" i="10"/>
  <c r="II26" i="10" s="1"/>
  <c r="DX14" i="10"/>
  <c r="II14" i="10" s="1"/>
  <c r="DX18" i="10"/>
  <c r="II18" i="10" s="1"/>
  <c r="DX22" i="10"/>
  <c r="II22" i="10" s="1"/>
  <c r="DX34" i="10"/>
  <c r="II34" i="10" s="1"/>
  <c r="DX42" i="10"/>
  <c r="II42" i="10" s="1"/>
  <c r="DX50" i="10"/>
  <c r="II50" i="10" s="1"/>
  <c r="DX38" i="10"/>
  <c r="II38" i="10" s="1"/>
  <c r="DX46" i="10"/>
  <c r="II46" i="10" s="1"/>
  <c r="DX58" i="10"/>
  <c r="II58" i="10" s="1"/>
  <c r="DX62" i="10"/>
  <c r="II62" i="10" s="1"/>
  <c r="DX54" i="10"/>
  <c r="II54" i="10" s="1"/>
  <c r="I435" i="30"/>
  <c r="DC41" i="10"/>
  <c r="HN41" i="10" s="1"/>
  <c r="B430" i="30"/>
  <c r="DC20" i="10"/>
  <c r="HN20" i="10" s="1"/>
  <c r="DC7" i="10"/>
  <c r="HN7" i="10" s="1"/>
  <c r="DH27" i="10"/>
  <c r="DP27" i="10"/>
  <c r="IA27" i="10" s="1"/>
  <c r="DP10" i="10"/>
  <c r="IA10" i="10" s="1"/>
  <c r="DP33" i="10"/>
  <c r="IA33" i="10" s="1"/>
  <c r="DP38" i="10"/>
  <c r="IA38" i="10" s="1"/>
  <c r="DP6" i="10"/>
  <c r="IA6" i="10" s="1"/>
  <c r="DH51" i="10"/>
  <c r="DP51" i="10"/>
  <c r="IA51" i="10" s="1"/>
  <c r="DP49" i="10"/>
  <c r="IA49" i="10" s="1"/>
  <c r="DP56" i="10"/>
  <c r="IA56" i="10" s="1"/>
  <c r="DP60" i="10"/>
  <c r="IA60" i="10" s="1"/>
  <c r="DP48" i="10"/>
  <c r="IA48" i="10" s="1"/>
  <c r="DP8" i="10"/>
  <c r="IA8" i="10" s="1"/>
  <c r="DP28" i="10"/>
  <c r="IA28" i="10" s="1"/>
  <c r="DP20" i="10"/>
  <c r="IA20" i="10" s="1"/>
  <c r="DH15" i="10"/>
  <c r="DP15" i="10"/>
  <c r="IA15" i="10" s="1"/>
  <c r="DH43" i="10"/>
  <c r="DP43" i="10"/>
  <c r="IA43" i="10" s="1"/>
  <c r="DP26" i="10"/>
  <c r="IA26" i="10" s="1"/>
  <c r="DP58" i="10"/>
  <c r="IA58" i="10" s="1"/>
  <c r="DP14" i="10"/>
  <c r="IA14" i="10" s="1"/>
  <c r="DP21" i="10"/>
  <c r="IA21" i="10" s="1"/>
  <c r="DP45" i="10"/>
  <c r="IA45" i="10" s="1"/>
  <c r="DP41" i="10"/>
  <c r="IA41" i="10" s="1"/>
  <c r="DH23" i="10"/>
  <c r="DP23" i="10"/>
  <c r="IA23" i="10" s="1"/>
  <c r="V216" i="35"/>
  <c r="DP46" i="10"/>
  <c r="IA46" i="10" s="1"/>
  <c r="DH3" i="10"/>
  <c r="DP3" i="10"/>
  <c r="IA3" i="10" s="1"/>
  <c r="DP52" i="10"/>
  <c r="IA52" i="10" s="1"/>
  <c r="DP13" i="10"/>
  <c r="IA13" i="10" s="1"/>
  <c r="DP37" i="10"/>
  <c r="IA37" i="10" s="1"/>
  <c r="DP40" i="10"/>
  <c r="IA40" i="10" s="1"/>
  <c r="DH35" i="10"/>
  <c r="DP35" i="10"/>
  <c r="IA35" i="10" s="1"/>
  <c r="DP44" i="10"/>
  <c r="IA44" i="10" s="1"/>
  <c r="DH59" i="10"/>
  <c r="DP59" i="10"/>
  <c r="IA59" i="10" s="1"/>
  <c r="DP29" i="10"/>
  <c r="IA29" i="10" s="1"/>
  <c r="DP53" i="10"/>
  <c r="IA53" i="10" s="1"/>
  <c r="DP17" i="10"/>
  <c r="IA17" i="10" s="1"/>
  <c r="DH47" i="10"/>
  <c r="DP47" i="10"/>
  <c r="IA47" i="10" s="1"/>
  <c r="DH11" i="10"/>
  <c r="DP11" i="10"/>
  <c r="IA11" i="10" s="1"/>
  <c r="DP50" i="10"/>
  <c r="IA50" i="10" s="1"/>
  <c r="DP30" i="10"/>
  <c r="IA30" i="10" s="1"/>
  <c r="DP9" i="10"/>
  <c r="IA9" i="10" s="1"/>
  <c r="DP42" i="10"/>
  <c r="IA42" i="10" s="1"/>
  <c r="DP57" i="10"/>
  <c r="IA57" i="10" s="1"/>
  <c r="DP12" i="10"/>
  <c r="IA12" i="10" s="1"/>
  <c r="DH39" i="10"/>
  <c r="DP39" i="10"/>
  <c r="IA39" i="10" s="1"/>
  <c r="DP32" i="10"/>
  <c r="IA32" i="10" s="1"/>
  <c r="DP4" i="10"/>
  <c r="IA4" i="10" s="1"/>
  <c r="DP64" i="10"/>
  <c r="IA64" i="10" s="1"/>
  <c r="DP16" i="10"/>
  <c r="IA16" i="10" s="1"/>
  <c r="DH31" i="10"/>
  <c r="DP31" i="10"/>
  <c r="IA31" i="10" s="1"/>
  <c r="DP62" i="10"/>
  <c r="IA62" i="10" s="1"/>
  <c r="DP18" i="10"/>
  <c r="IA18" i="10" s="1"/>
  <c r="DP54" i="10"/>
  <c r="IA54" i="10" s="1"/>
  <c r="DP22" i="10"/>
  <c r="IA22" i="10" s="1"/>
  <c r="DH7" i="10"/>
  <c r="DP7" i="10"/>
  <c r="IA7" i="10" s="1"/>
  <c r="DC9" i="10"/>
  <c r="HN9" i="10" s="1"/>
  <c r="B431" i="30"/>
  <c r="X216" i="35"/>
  <c r="CU62" i="10"/>
  <c r="DC37" i="10"/>
  <c r="HN37" i="10" s="1"/>
  <c r="DH63" i="10"/>
  <c r="DP63" i="10"/>
  <c r="IA63" i="10" s="1"/>
  <c r="DP61" i="10"/>
  <c r="IA61" i="10" s="1"/>
  <c r="DP5" i="10"/>
  <c r="IA5" i="10" s="1"/>
  <c r="DP24" i="10"/>
  <c r="IA24" i="10" s="1"/>
  <c r="DH19" i="10"/>
  <c r="DP19" i="10"/>
  <c r="IA19" i="10" s="1"/>
  <c r="DP34" i="10"/>
  <c r="IA34" i="10" s="1"/>
  <c r="DP36" i="10"/>
  <c r="IA36" i="10" s="1"/>
  <c r="DP25" i="10"/>
  <c r="IA25" i="10" s="1"/>
  <c r="DH55" i="10"/>
  <c r="DP55" i="10"/>
  <c r="IA55" i="10" s="1"/>
  <c r="DC32" i="10"/>
  <c r="HN32" i="10" s="1"/>
  <c r="DC64" i="10"/>
  <c r="HN64" i="10" s="1"/>
  <c r="DC22" i="10"/>
  <c r="HN22" i="10" s="1"/>
  <c r="DC48" i="10"/>
  <c r="HN48" i="10" s="1"/>
  <c r="DC33" i="10"/>
  <c r="HN33" i="10" s="1"/>
  <c r="CU11" i="10"/>
  <c r="DC26" i="10"/>
  <c r="HN26" i="10" s="1"/>
  <c r="DC10" i="10"/>
  <c r="HN10" i="10" s="1"/>
  <c r="DH24" i="10"/>
  <c r="DH26" i="10"/>
  <c r="DH58" i="10"/>
  <c r="DH14" i="10"/>
  <c r="DH21" i="10"/>
  <c r="DH45" i="10"/>
  <c r="DH10" i="10"/>
  <c r="DH33" i="10"/>
  <c r="DH38" i="10"/>
  <c r="DH6" i="10"/>
  <c r="DH57" i="10"/>
  <c r="DH12" i="10"/>
  <c r="DH32" i="10"/>
  <c r="DH4" i="10"/>
  <c r="DH64" i="10"/>
  <c r="DH16" i="10"/>
  <c r="DH44" i="10"/>
  <c r="DH29" i="10"/>
  <c r="DH53" i="10"/>
  <c r="DH17" i="10"/>
  <c r="DH61" i="10"/>
  <c r="DH41" i="10"/>
  <c r="DH46" i="10"/>
  <c r="DH52" i="10"/>
  <c r="DH13" i="10"/>
  <c r="DH37" i="10"/>
  <c r="DH40" i="10"/>
  <c r="DH34" i="10"/>
  <c r="DH62" i="10"/>
  <c r="DH18" i="10"/>
  <c r="DH54" i="10"/>
  <c r="DH22" i="10"/>
  <c r="DH5" i="10"/>
  <c r="DH50" i="10"/>
  <c r="DH30" i="10"/>
  <c r="DH9" i="10"/>
  <c r="DH42" i="10"/>
  <c r="DH49" i="10"/>
  <c r="DH56" i="10"/>
  <c r="DH60" i="10"/>
  <c r="DH48" i="10"/>
  <c r="DH8" i="10"/>
  <c r="DH28" i="10"/>
  <c r="DH20" i="10"/>
  <c r="DH36" i="10"/>
  <c r="DH25" i="10"/>
  <c r="DC25" i="10"/>
  <c r="HN25" i="10" s="1"/>
  <c r="CU39" i="10"/>
  <c r="DC44" i="10"/>
  <c r="HN44" i="10" s="1"/>
  <c r="DC17" i="10"/>
  <c r="HN17" i="10" s="1"/>
  <c r="D138" i="33"/>
  <c r="DC4" i="10"/>
  <c r="HN4" i="10" s="1"/>
  <c r="DC5" i="10"/>
  <c r="HN5" i="10" s="1"/>
  <c r="DC35" i="10"/>
  <c r="HN35" i="10" s="1"/>
  <c r="DC56" i="10"/>
  <c r="HN56" i="10" s="1"/>
  <c r="DC19" i="10"/>
  <c r="HN19" i="10" s="1"/>
  <c r="DC52" i="10"/>
  <c r="HN52" i="10" s="1"/>
  <c r="DC46" i="10"/>
  <c r="HN46" i="10" s="1"/>
  <c r="DC23" i="10"/>
  <c r="HN23" i="10" s="1"/>
  <c r="DC50" i="10"/>
  <c r="HN50" i="10" s="1"/>
  <c r="DC28" i="10"/>
  <c r="HN28" i="10" s="1"/>
  <c r="DC29" i="10"/>
  <c r="HN29" i="10" s="1"/>
  <c r="DC60" i="10"/>
  <c r="HN60" i="10" s="1"/>
  <c r="DC49" i="10"/>
  <c r="HN49" i="10" s="1"/>
  <c r="D156" i="33"/>
  <c r="DC36" i="10"/>
  <c r="HN36" i="10" s="1"/>
  <c r="DC57" i="10"/>
  <c r="HN57" i="10" s="1"/>
  <c r="DC62" i="10"/>
  <c r="HN62" i="10" s="1"/>
  <c r="CU22" i="10"/>
  <c r="CU10" i="10"/>
  <c r="CU35" i="10"/>
  <c r="DC43" i="10"/>
  <c r="HN43" i="10" s="1"/>
  <c r="DC13" i="10"/>
  <c r="HN13" i="10" s="1"/>
  <c r="DC54" i="10"/>
  <c r="HN54" i="10" s="1"/>
  <c r="DC38" i="10"/>
  <c r="HN38" i="10" s="1"/>
  <c r="DC39" i="10"/>
  <c r="HN39" i="10" s="1"/>
  <c r="DC18" i="10"/>
  <c r="HN18" i="10" s="1"/>
  <c r="DC12" i="10"/>
  <c r="HN12" i="10" s="1"/>
  <c r="DC30" i="10"/>
  <c r="HN30" i="10" s="1"/>
  <c r="DC51" i="10"/>
  <c r="HN51" i="10" s="1"/>
  <c r="DC58" i="10"/>
  <c r="HN58" i="10" s="1"/>
  <c r="CL3" i="10"/>
  <c r="DC16" i="10"/>
  <c r="HN16" i="10" s="1"/>
  <c r="CU58" i="10"/>
  <c r="DC6" i="10"/>
  <c r="HN6" i="10" s="1"/>
  <c r="DC14" i="10"/>
  <c r="HN14" i="10" s="1"/>
  <c r="DC40" i="10"/>
  <c r="HN40" i="10" s="1"/>
  <c r="DC47" i="10"/>
  <c r="HN47" i="10" s="1"/>
  <c r="D116" i="33"/>
  <c r="E427" i="30"/>
  <c r="CU25" i="10"/>
  <c r="D132" i="33"/>
  <c r="B428" i="30"/>
  <c r="B426" i="30"/>
  <c r="CU49" i="10"/>
  <c r="CU60" i="10"/>
  <c r="D121" i="33"/>
  <c r="B422" i="30"/>
  <c r="D144" i="33"/>
  <c r="D111" i="33"/>
  <c r="D101" i="33"/>
  <c r="CU19" i="10"/>
  <c r="CU31" i="10"/>
  <c r="CL11" i="10"/>
  <c r="B433" i="30"/>
  <c r="CL47" i="10"/>
  <c r="GW47" i="10" s="1"/>
  <c r="G393" i="30"/>
  <c r="CU41" i="10"/>
  <c r="CU3" i="10"/>
  <c r="CU50" i="10"/>
  <c r="CU54" i="10"/>
  <c r="CU30" i="10"/>
  <c r="CU44" i="10"/>
  <c r="CU16" i="10"/>
  <c r="CU52" i="10"/>
  <c r="CU36" i="10"/>
  <c r="CU43" i="10"/>
  <c r="CU23" i="10"/>
  <c r="CU17" i="10"/>
  <c r="CU33" i="10"/>
  <c r="CU24" i="10"/>
  <c r="D96" i="33"/>
  <c r="CU48" i="10"/>
  <c r="CU32" i="10"/>
  <c r="D136" i="33"/>
  <c r="CL7" i="10"/>
  <c r="GW7" i="10" s="1"/>
  <c r="CL37" i="10"/>
  <c r="CU51" i="10"/>
  <c r="CU47" i="10"/>
  <c r="CU64" i="10"/>
  <c r="CU4" i="10"/>
  <c r="CU37" i="10"/>
  <c r="CU5" i="10"/>
  <c r="CU40" i="10"/>
  <c r="CU6" i="10"/>
  <c r="CU18" i="10"/>
  <c r="CU9" i="10"/>
  <c r="CU20" i="10"/>
  <c r="CL13" i="10"/>
  <c r="D115" i="33"/>
  <c r="D148" i="33"/>
  <c r="D98" i="33"/>
  <c r="CU29" i="10"/>
  <c r="CU46" i="10"/>
  <c r="CU7" i="10"/>
  <c r="CU56" i="10"/>
  <c r="CU13" i="10"/>
  <c r="CU57" i="10"/>
  <c r="D130" i="33"/>
  <c r="CU26" i="10"/>
  <c r="CU14" i="10"/>
  <c r="CU38" i="10"/>
  <c r="CU12" i="10"/>
  <c r="DB8" i="10"/>
  <c r="HM8" i="10" s="1"/>
  <c r="I423" i="30"/>
  <c r="D139" i="33"/>
  <c r="D117" i="33"/>
  <c r="B435" i="30"/>
  <c r="CL50" i="10"/>
  <c r="CL24" i="10"/>
  <c r="CL10" i="10"/>
  <c r="CL58" i="10"/>
  <c r="CL29" i="10"/>
  <c r="G386" i="30"/>
  <c r="CL48" i="10"/>
  <c r="CL18" i="10"/>
  <c r="CL32" i="10"/>
  <c r="CL57" i="10"/>
  <c r="CL62" i="10"/>
  <c r="CL22" i="10"/>
  <c r="G389" i="30"/>
  <c r="CL16" i="10"/>
  <c r="G384" i="30"/>
  <c r="G391" i="30"/>
  <c r="F388" i="30"/>
  <c r="G382" i="30"/>
  <c r="CL4" i="10"/>
  <c r="CL5" i="10"/>
  <c r="CL14" i="10"/>
  <c r="CL56" i="10"/>
  <c r="F383" i="30"/>
  <c r="G390" i="30"/>
  <c r="CL12" i="10"/>
  <c r="CL64" i="10"/>
  <c r="CL41" i="10"/>
  <c r="G380" i="30"/>
  <c r="G388" i="30"/>
  <c r="CL60" i="10"/>
  <c r="D150" i="33"/>
  <c r="D114" i="33"/>
  <c r="CL39" i="10"/>
  <c r="D122" i="33"/>
  <c r="D129" i="33"/>
  <c r="D112" i="33"/>
  <c r="D135" i="33"/>
  <c r="D133" i="33"/>
  <c r="I437" i="30"/>
  <c r="B437" i="30"/>
  <c r="D143" i="33"/>
  <c r="G395" i="30"/>
  <c r="CL51" i="10"/>
  <c r="D149" i="33"/>
  <c r="D142" i="33"/>
  <c r="D127" i="33"/>
  <c r="D123" i="33"/>
  <c r="S212" i="35"/>
  <c r="D146" i="33"/>
  <c r="D154" i="33"/>
  <c r="D131" i="33"/>
  <c r="V212" i="35"/>
  <c r="R212" i="35"/>
  <c r="X212" i="35"/>
  <c r="T212" i="35"/>
  <c r="Q219" i="35"/>
  <c r="R219" i="35"/>
  <c r="X219" i="35"/>
  <c r="V219" i="35"/>
  <c r="T219" i="35"/>
  <c r="S219" i="35"/>
  <c r="Q218" i="35"/>
  <c r="V218" i="35"/>
  <c r="R218" i="35"/>
  <c r="T218" i="35"/>
  <c r="X218" i="35"/>
  <c r="S218" i="35"/>
  <c r="V215" i="35"/>
  <c r="V201" i="35"/>
  <c r="T201" i="35"/>
  <c r="V232" i="35"/>
  <c r="R233" i="35"/>
  <c r="T233" i="35"/>
  <c r="R206" i="35"/>
  <c r="V228" i="35"/>
  <c r="S251" i="35"/>
  <c r="S253" i="35"/>
  <c r="V253" i="35"/>
  <c r="T234" i="35"/>
  <c r="V213" i="35"/>
  <c r="X213" i="35"/>
  <c r="R217" i="35"/>
  <c r="X202" i="35"/>
  <c r="R255" i="35"/>
  <c r="V255" i="35"/>
  <c r="X214" i="35"/>
  <c r="V214" i="35"/>
  <c r="T238" i="35"/>
  <c r="V238" i="35"/>
  <c r="S226" i="35"/>
  <c r="S207" i="35"/>
  <c r="T222" i="35"/>
  <c r="S222" i="35"/>
  <c r="X203" i="35"/>
  <c r="R203" i="35"/>
  <c r="T243" i="35"/>
  <c r="T240" i="35"/>
  <c r="X240" i="35"/>
  <c r="V237" i="35"/>
  <c r="X237" i="35"/>
  <c r="S259" i="35"/>
  <c r="S261" i="35"/>
  <c r="V261" i="35"/>
  <c r="X257" i="35"/>
  <c r="S227" i="35"/>
  <c r="T220" i="35"/>
  <c r="R221" i="35"/>
  <c r="T221" i="35"/>
  <c r="R208" i="35"/>
  <c r="V249" i="35"/>
  <c r="X247" i="35"/>
  <c r="R210" i="35"/>
  <c r="V229" i="35"/>
  <c r="X229" i="35"/>
  <c r="Q246" i="35"/>
  <c r="T246" i="35"/>
  <c r="R246" i="35"/>
  <c r="S246" i="35"/>
  <c r="X246" i="35"/>
  <c r="V246" i="35"/>
  <c r="Q252" i="35"/>
  <c r="R252" i="35"/>
  <c r="X252" i="35"/>
  <c r="V252" i="35"/>
  <c r="S252" i="35"/>
  <c r="T252" i="35"/>
  <c r="Q204" i="35"/>
  <c r="R204" i="35"/>
  <c r="V204" i="35"/>
  <c r="X204" i="35"/>
  <c r="T204" i="35"/>
  <c r="S204" i="35"/>
  <c r="Q258" i="35"/>
  <c r="X258" i="35"/>
  <c r="S258" i="35"/>
  <c r="R258" i="35"/>
  <c r="T258" i="35"/>
  <c r="V258" i="35"/>
  <c r="Q224" i="35"/>
  <c r="R224" i="35"/>
  <c r="X224" i="35"/>
  <c r="S224" i="35"/>
  <c r="V224" i="35"/>
  <c r="T224" i="35"/>
  <c r="Q235" i="35"/>
  <c r="T235" i="35"/>
  <c r="S235" i="35"/>
  <c r="V235" i="35"/>
  <c r="R235" i="35"/>
  <c r="X235" i="35"/>
  <c r="Q244" i="35"/>
  <c r="V244" i="35"/>
  <c r="X244" i="35"/>
  <c r="S244" i="35"/>
  <c r="R244" i="35"/>
  <c r="T244" i="35"/>
  <c r="Q260" i="35"/>
  <c r="T260" i="35"/>
  <c r="V260" i="35"/>
  <c r="R260" i="35"/>
  <c r="X260" i="35"/>
  <c r="S260" i="35"/>
  <c r="X215" i="35"/>
  <c r="R215" i="35"/>
  <c r="S201" i="35"/>
  <c r="X201" i="35"/>
  <c r="S232" i="35"/>
  <c r="X236" i="35"/>
  <c r="T236" i="35"/>
  <c r="V233" i="35"/>
  <c r="S233" i="35"/>
  <c r="S206" i="35"/>
  <c r="T206" i="35"/>
  <c r="T228" i="35"/>
  <c r="T251" i="35"/>
  <c r="X253" i="35"/>
  <c r="V234" i="35"/>
  <c r="R209" i="35"/>
  <c r="R245" i="35"/>
  <c r="T245" i="35"/>
  <c r="V217" i="35"/>
  <c r="T217" i="35"/>
  <c r="S202" i="35"/>
  <c r="T202" i="35"/>
  <c r="S255" i="35"/>
  <c r="T211" i="35"/>
  <c r="V211" i="35"/>
  <c r="X238" i="35"/>
  <c r="T226" i="35"/>
  <c r="X223" i="35"/>
  <c r="V223" i="35"/>
  <c r="V222" i="35"/>
  <c r="R222" i="35"/>
  <c r="S203" i="35"/>
  <c r="X243" i="35"/>
  <c r="R241" i="35"/>
  <c r="T241" i="35"/>
  <c r="S240" i="35"/>
  <c r="T259" i="35"/>
  <c r="X261" i="35"/>
  <c r="R257" i="35"/>
  <c r="T257" i="35"/>
  <c r="X220" i="35"/>
  <c r="S220" i="35"/>
  <c r="S221" i="35"/>
  <c r="S208" i="35"/>
  <c r="S249" i="35"/>
  <c r="T247" i="35"/>
  <c r="V210" i="35"/>
  <c r="T210" i="35"/>
  <c r="Q239" i="35"/>
  <c r="V239" i="35"/>
  <c r="R239" i="35"/>
  <c r="T239" i="35"/>
  <c r="X239" i="35"/>
  <c r="S239" i="35"/>
  <c r="Q205" i="35"/>
  <c r="T205" i="35"/>
  <c r="R205" i="35"/>
  <c r="X205" i="35"/>
  <c r="V205" i="35"/>
  <c r="S205" i="35"/>
  <c r="Q248" i="35"/>
  <c r="V248" i="35"/>
  <c r="R248" i="35"/>
  <c r="T248" i="35"/>
  <c r="S248" i="35"/>
  <c r="X248" i="35"/>
  <c r="Q256" i="35"/>
  <c r="X256" i="35"/>
  <c r="V256" i="35"/>
  <c r="R256" i="35"/>
  <c r="S256" i="35"/>
  <c r="T256" i="35"/>
  <c r="Q242" i="35"/>
  <c r="R242" i="35"/>
  <c r="S242" i="35"/>
  <c r="V242" i="35"/>
  <c r="X242" i="35"/>
  <c r="T242" i="35"/>
  <c r="S215" i="35"/>
  <c r="X232" i="35"/>
  <c r="S236" i="35"/>
  <c r="X233" i="35"/>
  <c r="V206" i="35"/>
  <c r="S228" i="35"/>
  <c r="X251" i="35"/>
  <c r="R253" i="35"/>
  <c r="T253" i="35"/>
  <c r="X234" i="35"/>
  <c r="R213" i="35"/>
  <c r="T213" i="35"/>
  <c r="V209" i="35"/>
  <c r="T209" i="35"/>
  <c r="S245" i="35"/>
  <c r="S217" i="35"/>
  <c r="X217" i="35"/>
  <c r="X255" i="35"/>
  <c r="X211" i="35"/>
  <c r="R211" i="35"/>
  <c r="R214" i="35"/>
  <c r="T214" i="35"/>
  <c r="R238" i="35"/>
  <c r="V226" i="35"/>
  <c r="X226" i="35"/>
  <c r="X207" i="35"/>
  <c r="V207" i="35"/>
  <c r="T223" i="35"/>
  <c r="R223" i="35"/>
  <c r="X222" i="35"/>
  <c r="R243" i="35"/>
  <c r="V243" i="35"/>
  <c r="V241" i="35"/>
  <c r="S241" i="35"/>
  <c r="R240" i="35"/>
  <c r="V240" i="35"/>
  <c r="R237" i="35"/>
  <c r="T237" i="35"/>
  <c r="X259" i="35"/>
  <c r="R261" i="35"/>
  <c r="T261" i="35"/>
  <c r="V257" i="35"/>
  <c r="T227" i="35"/>
  <c r="V227" i="35"/>
  <c r="R220" i="35"/>
  <c r="V221" i="35"/>
  <c r="X221" i="35"/>
  <c r="T208" i="35"/>
  <c r="X249" i="35"/>
  <c r="R247" i="35"/>
  <c r="V247" i="35"/>
  <c r="S210" i="35"/>
  <c r="R229" i="35"/>
  <c r="T229" i="35"/>
  <c r="Q250" i="35"/>
  <c r="T250" i="35"/>
  <c r="R250" i="35"/>
  <c r="V250" i="35"/>
  <c r="S250" i="35"/>
  <c r="X250" i="35"/>
  <c r="Q225" i="35"/>
  <c r="T225" i="35"/>
  <c r="V225" i="35"/>
  <c r="R225" i="35"/>
  <c r="X225" i="35"/>
  <c r="S225" i="35"/>
  <c r="Q231" i="35"/>
  <c r="T231" i="35"/>
  <c r="X231" i="35"/>
  <c r="S231" i="35"/>
  <c r="V231" i="35"/>
  <c r="R231" i="35"/>
  <c r="Q254" i="35"/>
  <c r="T254" i="35"/>
  <c r="V254" i="35"/>
  <c r="S254" i="35"/>
  <c r="R254" i="35"/>
  <c r="X254" i="35"/>
  <c r="Q230" i="35"/>
  <c r="R230" i="35"/>
  <c r="V230" i="35"/>
  <c r="S230" i="35"/>
  <c r="T230" i="35"/>
  <c r="X230" i="35"/>
  <c r="T215" i="35"/>
  <c r="R201" i="35"/>
  <c r="R232" i="35"/>
  <c r="T232" i="35"/>
  <c r="R236" i="35"/>
  <c r="V236" i="35"/>
  <c r="X206" i="35"/>
  <c r="R228" i="35"/>
  <c r="X228" i="35"/>
  <c r="R251" i="35"/>
  <c r="V251" i="35"/>
  <c r="S234" i="35"/>
  <c r="R234" i="35"/>
  <c r="S213" i="35"/>
  <c r="S209" i="35"/>
  <c r="X209" i="35"/>
  <c r="V245" i="35"/>
  <c r="X245" i="35"/>
  <c r="V202" i="35"/>
  <c r="R202" i="35"/>
  <c r="T255" i="35"/>
  <c r="S211" i="35"/>
  <c r="S214" i="35"/>
  <c r="S238" i="35"/>
  <c r="R226" i="35"/>
  <c r="T207" i="35"/>
  <c r="R207" i="35"/>
  <c r="S223" i="35"/>
  <c r="T203" i="35"/>
  <c r="V203" i="35"/>
  <c r="S243" i="35"/>
  <c r="X241" i="35"/>
  <c r="S237" i="35"/>
  <c r="R259" i="35"/>
  <c r="V259" i="35"/>
  <c r="S257" i="35"/>
  <c r="X227" i="35"/>
  <c r="R227" i="35"/>
  <c r="V220" i="35"/>
  <c r="X208" i="35"/>
  <c r="V208" i="35"/>
  <c r="R249" i="35"/>
  <c r="T249" i="35"/>
  <c r="S247" i="35"/>
  <c r="X210" i="35"/>
  <c r="S229" i="35"/>
  <c r="D128" i="33"/>
  <c r="I426" i="30"/>
  <c r="I428" i="30"/>
  <c r="I431" i="30"/>
  <c r="I433" i="30"/>
  <c r="B436" i="30"/>
  <c r="D141" i="33"/>
  <c r="I424" i="30"/>
  <c r="G387" i="30"/>
  <c r="CL33" i="10"/>
  <c r="I429" i="30"/>
  <c r="I432" i="30"/>
  <c r="B429" i="30"/>
  <c r="D125" i="33"/>
  <c r="G394" i="30"/>
  <c r="CL49" i="10"/>
  <c r="I430" i="30"/>
  <c r="I422" i="30"/>
  <c r="I436" i="30"/>
  <c r="D152" i="33"/>
  <c r="D106" i="33"/>
  <c r="D104" i="33"/>
  <c r="D110" i="33"/>
  <c r="D105" i="33"/>
  <c r="D108" i="33"/>
  <c r="D97" i="33"/>
  <c r="D95" i="33"/>
  <c r="D118" i="33"/>
  <c r="D140" i="33"/>
  <c r="D124" i="33"/>
  <c r="CL30" i="10"/>
  <c r="CL46" i="10"/>
  <c r="CL23" i="10"/>
  <c r="CL25" i="10"/>
  <c r="CL52" i="10"/>
  <c r="CL31" i="10"/>
  <c r="CL43" i="10"/>
  <c r="CL19" i="10"/>
  <c r="CL40" i="10"/>
  <c r="CL26" i="10"/>
  <c r="CL20" i="10"/>
  <c r="CL9" i="10"/>
  <c r="CL54" i="10"/>
  <c r="CL6" i="10"/>
  <c r="CL44" i="10"/>
  <c r="CL17" i="10"/>
  <c r="AC200" i="35" l="1"/>
  <c r="A783" i="33"/>
  <c r="A708" i="33"/>
  <c r="A784" i="33"/>
  <c r="A709" i="33"/>
  <c r="AE503" i="46" a="1"/>
  <c r="AE503" i="46" s="1"/>
  <c r="AE290" i="45" a="1"/>
  <c r="AE290" i="45" s="1"/>
  <c r="B171" i="32"/>
  <c r="N1033" i="33"/>
  <c r="HF14" i="10"/>
  <c r="HF13" i="10"/>
  <c r="HF29" i="10"/>
  <c r="HF6" i="10"/>
  <c r="HF4" i="10"/>
  <c r="HF48" i="10"/>
  <c r="HF17" i="10"/>
  <c r="HF52" i="10"/>
  <c r="HF54" i="10"/>
  <c r="HF31" i="10"/>
  <c r="HF49" i="10"/>
  <c r="HF25" i="10"/>
  <c r="HF35" i="10"/>
  <c r="HS28" i="10"/>
  <c r="HS56" i="10"/>
  <c r="HS30" i="10"/>
  <c r="HS54" i="10"/>
  <c r="HS40" i="10"/>
  <c r="HS46" i="10"/>
  <c r="HS53" i="10"/>
  <c r="HS64" i="10"/>
  <c r="HS57" i="10"/>
  <c r="HS10" i="10"/>
  <c r="HS58" i="10"/>
  <c r="HS55" i="10"/>
  <c r="HF62" i="10"/>
  <c r="HS59" i="10"/>
  <c r="HS51" i="10"/>
  <c r="HF59" i="10"/>
  <c r="HF21" i="10"/>
  <c r="HF27" i="10"/>
  <c r="HF26" i="10"/>
  <c r="HF56" i="10"/>
  <c r="HF20" i="10"/>
  <c r="HF40" i="10"/>
  <c r="HF64" i="10"/>
  <c r="HF23" i="10"/>
  <c r="HF16" i="10"/>
  <c r="HF50" i="10"/>
  <c r="HF19" i="10"/>
  <c r="HF10" i="10"/>
  <c r="HS25" i="10"/>
  <c r="HS8" i="10"/>
  <c r="HS49" i="10"/>
  <c r="HS50" i="10"/>
  <c r="HS18" i="10"/>
  <c r="HS37" i="10"/>
  <c r="HS41" i="10"/>
  <c r="HS29" i="10"/>
  <c r="HS4" i="10"/>
  <c r="HS6" i="10"/>
  <c r="HS45" i="10"/>
  <c r="HS26" i="10"/>
  <c r="HF11" i="10"/>
  <c r="HS19" i="10"/>
  <c r="HS7" i="10"/>
  <c r="HS39" i="10"/>
  <c r="HS11" i="10"/>
  <c r="HS3" i="10"/>
  <c r="HS23" i="10"/>
  <c r="HS43" i="10"/>
  <c r="HF53" i="10"/>
  <c r="HF42" i="10"/>
  <c r="HF45" i="10"/>
  <c r="HF15" i="10"/>
  <c r="HF8" i="10"/>
  <c r="HF7" i="10"/>
  <c r="HF9" i="10"/>
  <c r="HF47" i="10"/>
  <c r="HF24" i="10"/>
  <c r="HF44" i="10"/>
  <c r="HF22" i="10"/>
  <c r="HS36" i="10"/>
  <c r="HS48" i="10"/>
  <c r="HS42" i="10"/>
  <c r="HS5" i="10"/>
  <c r="HS62" i="10"/>
  <c r="HS13" i="10"/>
  <c r="HS61" i="10"/>
  <c r="HS44" i="10"/>
  <c r="HS32" i="10"/>
  <c r="HS38" i="10"/>
  <c r="HS21" i="10"/>
  <c r="HS24" i="10"/>
  <c r="HS63" i="10"/>
  <c r="HS27" i="10"/>
  <c r="HF63" i="10"/>
  <c r="HF12" i="10"/>
  <c r="HF5" i="10"/>
  <c r="HF43" i="10"/>
  <c r="HF3" i="10"/>
  <c r="HF38" i="10"/>
  <c r="HF57" i="10"/>
  <c r="HF46" i="10"/>
  <c r="HF18" i="10"/>
  <c r="HF37" i="10"/>
  <c r="HF51" i="10"/>
  <c r="HF32" i="10"/>
  <c r="HF33" i="10"/>
  <c r="HF36" i="10"/>
  <c r="HF30" i="10"/>
  <c r="HF41" i="10"/>
  <c r="HF60" i="10"/>
  <c r="HF58" i="10"/>
  <c r="HF39" i="10"/>
  <c r="HS20" i="10"/>
  <c r="HS60" i="10"/>
  <c r="HS9" i="10"/>
  <c r="HS22" i="10"/>
  <c r="HS34" i="10"/>
  <c r="HS52" i="10"/>
  <c r="HS17" i="10"/>
  <c r="HS16" i="10"/>
  <c r="HS12" i="10"/>
  <c r="HS33" i="10"/>
  <c r="HS14" i="10"/>
  <c r="HS31" i="10"/>
  <c r="HS47" i="10"/>
  <c r="HS35" i="10"/>
  <c r="HS15" i="10"/>
  <c r="HF28" i="10"/>
  <c r="HF61" i="10"/>
  <c r="HF55" i="10"/>
  <c r="HF34" i="10"/>
  <c r="CK51" i="10"/>
  <c r="GV51" i="10" s="1"/>
  <c r="GW51" i="10"/>
  <c r="CK41" i="10"/>
  <c r="GV41" i="10" s="1"/>
  <c r="GW41" i="10"/>
  <c r="CK4" i="10"/>
  <c r="GV4" i="10" s="1"/>
  <c r="GW4" i="10"/>
  <c r="CK62" i="10"/>
  <c r="GV62" i="10" s="1"/>
  <c r="GW62" i="10"/>
  <c r="CK48" i="10"/>
  <c r="GV48" i="10" s="1"/>
  <c r="GW48" i="10"/>
  <c r="CK10" i="10"/>
  <c r="GV10" i="10" s="1"/>
  <c r="GW10" i="10"/>
  <c r="CK34" i="10"/>
  <c r="GW34" i="10"/>
  <c r="CK8" i="10"/>
  <c r="GV8" i="10" s="1"/>
  <c r="GW8" i="10"/>
  <c r="CK42" i="10"/>
  <c r="GW42" i="10"/>
  <c r="CK54" i="10"/>
  <c r="GV54" i="10" s="1"/>
  <c r="GW54" i="10"/>
  <c r="CK40" i="10"/>
  <c r="GW40" i="10"/>
  <c r="CK52" i="10"/>
  <c r="GV52" i="10" s="1"/>
  <c r="GW52" i="10"/>
  <c r="CK49" i="10"/>
  <c r="GV49" i="10" s="1"/>
  <c r="GW49" i="10"/>
  <c r="CK60" i="10"/>
  <c r="GV60" i="10" s="1"/>
  <c r="GW60" i="10"/>
  <c r="CK64" i="10"/>
  <c r="GV64" i="10" s="1"/>
  <c r="GW64" i="10"/>
  <c r="CK56" i="10"/>
  <c r="GV56" i="10" s="1"/>
  <c r="GW56" i="10"/>
  <c r="CK16" i="10"/>
  <c r="GV16" i="10" s="1"/>
  <c r="GW16" i="10"/>
  <c r="CK57" i="10"/>
  <c r="GV57" i="10" s="1"/>
  <c r="GW57" i="10"/>
  <c r="CK24" i="10"/>
  <c r="GV24" i="10" s="1"/>
  <c r="GW24" i="10"/>
  <c r="CK11" i="10"/>
  <c r="GV11" i="10" s="1"/>
  <c r="GW11" i="10"/>
  <c r="CK28" i="10"/>
  <c r="GV28" i="10" s="1"/>
  <c r="GW28" i="10"/>
  <c r="CK45" i="10"/>
  <c r="GV45" i="10" s="1"/>
  <c r="GW45" i="10"/>
  <c r="CK21" i="10"/>
  <c r="GV21" i="10" s="1"/>
  <c r="GW21" i="10"/>
  <c r="CK36" i="10"/>
  <c r="CN36" i="10" s="1"/>
  <c r="GY36" i="10" s="1"/>
  <c r="GW36" i="10"/>
  <c r="CK27" i="10"/>
  <c r="GV27" i="10" s="1"/>
  <c r="GW27" i="10"/>
  <c r="CK63" i="10"/>
  <c r="GV63" i="10" s="1"/>
  <c r="GW63" i="10"/>
  <c r="CK6" i="10"/>
  <c r="GV6" i="10" s="1"/>
  <c r="GW6" i="10"/>
  <c r="CK26" i="10"/>
  <c r="GV26" i="10" s="1"/>
  <c r="GW26" i="10"/>
  <c r="CK31" i="10"/>
  <c r="GV31" i="10" s="1"/>
  <c r="GW31" i="10"/>
  <c r="CK46" i="10"/>
  <c r="GW46" i="10"/>
  <c r="CK9" i="10"/>
  <c r="GV9" i="10" s="1"/>
  <c r="GW9" i="10"/>
  <c r="CK25" i="10"/>
  <c r="GV25" i="10" s="1"/>
  <c r="GW25" i="10"/>
  <c r="CK30" i="10"/>
  <c r="GV30" i="10" s="1"/>
  <c r="GW30" i="10"/>
  <c r="CK39" i="10"/>
  <c r="GV39" i="10" s="1"/>
  <c r="GW39" i="10"/>
  <c r="CK12" i="10"/>
  <c r="GV12" i="10" s="1"/>
  <c r="GW12" i="10"/>
  <c r="CK14" i="10"/>
  <c r="GV14" i="10" s="1"/>
  <c r="GW14" i="10"/>
  <c r="CK32" i="10"/>
  <c r="GV32" i="10" s="1"/>
  <c r="GW32" i="10"/>
  <c r="CK29" i="10"/>
  <c r="GV29" i="10" s="1"/>
  <c r="GW29" i="10"/>
  <c r="CK50" i="10"/>
  <c r="GV50" i="10" s="1"/>
  <c r="GW50" i="10"/>
  <c r="CK13" i="10"/>
  <c r="GV13" i="10" s="1"/>
  <c r="GW13" i="10"/>
  <c r="CK37" i="10"/>
  <c r="GV37" i="10" s="1"/>
  <c r="GW37" i="10"/>
  <c r="CK61" i="10"/>
  <c r="GV61" i="10" s="1"/>
  <c r="GW61" i="10"/>
  <c r="CK38" i="10"/>
  <c r="GV38" i="10" s="1"/>
  <c r="GW38" i="10"/>
  <c r="CK59" i="10"/>
  <c r="CS59" i="10" s="1"/>
  <c r="HD59" i="10" s="1"/>
  <c r="GW59" i="10"/>
  <c r="CK35" i="10"/>
  <c r="GV35" i="10" s="1"/>
  <c r="GW35" i="10"/>
  <c r="CK17" i="10"/>
  <c r="GV17" i="10" s="1"/>
  <c r="GW17" i="10"/>
  <c r="CK19" i="10"/>
  <c r="GV19" i="10" s="1"/>
  <c r="GW19" i="10"/>
  <c r="CK44" i="10"/>
  <c r="GV44" i="10" s="1"/>
  <c r="GW44" i="10"/>
  <c r="CK20" i="10"/>
  <c r="GV20" i="10" s="1"/>
  <c r="GW20" i="10"/>
  <c r="CK43" i="10"/>
  <c r="GV43" i="10" s="1"/>
  <c r="GW43" i="10"/>
  <c r="CK23" i="10"/>
  <c r="GV23" i="10" s="1"/>
  <c r="GW23" i="10"/>
  <c r="CK33" i="10"/>
  <c r="GV33" i="10" s="1"/>
  <c r="GW33" i="10"/>
  <c r="CK5" i="10"/>
  <c r="GV5" i="10" s="1"/>
  <c r="GW5" i="10"/>
  <c r="CK22" i="10"/>
  <c r="GV22" i="10" s="1"/>
  <c r="GW22" i="10"/>
  <c r="CK18" i="10"/>
  <c r="GW18" i="10"/>
  <c r="CK58" i="10"/>
  <c r="GW58" i="10"/>
  <c r="CK3" i="10"/>
  <c r="GV3" i="10" s="1"/>
  <c r="GW3" i="10"/>
  <c r="CK53" i="10"/>
  <c r="GV53" i="10" s="1"/>
  <c r="GW53" i="10"/>
  <c r="CK55" i="10"/>
  <c r="GV55" i="10" s="1"/>
  <c r="GW55" i="10"/>
  <c r="CK15" i="10"/>
  <c r="GV15" i="10" s="1"/>
  <c r="GW15" i="10"/>
  <c r="B191" i="32"/>
  <c r="CT27" i="10"/>
  <c r="HE27" i="10" s="1"/>
  <c r="L425" i="30"/>
  <c r="DB15" i="10"/>
  <c r="HM15" i="10" s="1"/>
  <c r="O11" i="38"/>
  <c r="P11" i="38" s="1"/>
  <c r="O54" i="38"/>
  <c r="P54" i="38" s="1"/>
  <c r="O1023" i="33"/>
  <c r="B185" i="32"/>
  <c r="O26" i="38"/>
  <c r="P26" i="38" s="1"/>
  <c r="O1039" i="33"/>
  <c r="O42" i="38"/>
  <c r="P42" i="38" s="1"/>
  <c r="O50" i="38"/>
  <c r="P50" i="38" s="1"/>
  <c r="O1051" i="33"/>
  <c r="N1051" i="33"/>
  <c r="DA34" i="10"/>
  <c r="CT8" i="10"/>
  <c r="HE8" i="10" s="1"/>
  <c r="B161" i="32"/>
  <c r="B177" i="32"/>
  <c r="L427" i="30"/>
  <c r="DB27" i="10"/>
  <c r="HM27" i="10" s="1"/>
  <c r="F397" i="30"/>
  <c r="F392" i="30"/>
  <c r="CT55" i="10"/>
  <c r="HE55" i="10" s="1"/>
  <c r="CT34" i="10"/>
  <c r="HE34" i="10" s="1"/>
  <c r="E438" i="30"/>
  <c r="B174" i="32"/>
  <c r="O1004" i="33"/>
  <c r="O1036" i="33"/>
  <c r="CS34" i="10"/>
  <c r="HD34" i="10" s="1"/>
  <c r="DB53" i="10"/>
  <c r="HM53" i="10" s="1"/>
  <c r="N1036" i="33"/>
  <c r="F385" i="30"/>
  <c r="CS42" i="10"/>
  <c r="HD42" i="10" s="1"/>
  <c r="N1012" i="33"/>
  <c r="O1043" i="33"/>
  <c r="DA42" i="10"/>
  <c r="HL42" i="10" s="1"/>
  <c r="O46" i="38"/>
  <c r="P46" i="38" s="1"/>
  <c r="N1043" i="33"/>
  <c r="K535" i="31"/>
  <c r="I665" i="31" s="1"/>
  <c r="DB55" i="10"/>
  <c r="HM55" i="10" s="1"/>
  <c r="B147" i="32"/>
  <c r="O12" i="38"/>
  <c r="P12" i="38" s="1"/>
  <c r="O1009" i="33"/>
  <c r="N1009" i="33"/>
  <c r="O56" i="38"/>
  <c r="P56" i="38" s="1"/>
  <c r="N1024" i="33"/>
  <c r="O32" i="38"/>
  <c r="P32" i="38" s="1"/>
  <c r="CT15" i="10"/>
  <c r="HE15" i="10" s="1"/>
  <c r="N1016" i="33"/>
  <c r="E425" i="30"/>
  <c r="O1016" i="33"/>
  <c r="O19" i="38"/>
  <c r="P19" i="38" s="1"/>
  <c r="N1035" i="33"/>
  <c r="DB42" i="10"/>
  <c r="HM42" i="10" s="1"/>
  <c r="N1011" i="33"/>
  <c r="O14" i="38"/>
  <c r="P14" i="38" s="1"/>
  <c r="O1011" i="33"/>
  <c r="O6" i="38"/>
  <c r="P6" i="38" s="1"/>
  <c r="B141" i="32"/>
  <c r="O1029" i="33"/>
  <c r="O7" i="38"/>
  <c r="P7" i="38" s="1"/>
  <c r="R200" i="35"/>
  <c r="N1047" i="33"/>
  <c r="B167" i="32"/>
  <c r="O1012" i="33"/>
  <c r="N1040" i="33"/>
  <c r="O15" i="38"/>
  <c r="P15" i="38" s="1"/>
  <c r="S200" i="35"/>
  <c r="X200" i="35"/>
  <c r="Q200" i="35"/>
  <c r="AA200" i="35"/>
  <c r="Z200" i="35"/>
  <c r="B142" i="32"/>
  <c r="CT21" i="10"/>
  <c r="HE21" i="10" s="1"/>
  <c r="T200" i="35"/>
  <c r="V200" i="35"/>
  <c r="AB200" i="35"/>
  <c r="N1045" i="33"/>
  <c r="N1013" i="33"/>
  <c r="B151" i="32"/>
  <c r="O16" i="38"/>
  <c r="P16" i="38" s="1"/>
  <c r="O1013" i="33"/>
  <c r="N1025" i="33"/>
  <c r="B163" i="32"/>
  <c r="O28" i="38"/>
  <c r="P28" i="38" s="1"/>
  <c r="O1025" i="33"/>
  <c r="O34" i="38"/>
  <c r="P34" i="38" s="1"/>
  <c r="O1031" i="33"/>
  <c r="N1031" i="33"/>
  <c r="B169" i="32"/>
  <c r="N1057" i="33"/>
  <c r="B195" i="32"/>
  <c r="O60" i="38"/>
  <c r="P60" i="38" s="1"/>
  <c r="O1057" i="33"/>
  <c r="N1049" i="33"/>
  <c r="O1049" i="33"/>
  <c r="B187" i="32"/>
  <c r="O52" i="38"/>
  <c r="P52" i="38" s="1"/>
  <c r="O1005" i="33"/>
  <c r="B143" i="32"/>
  <c r="N1005" i="33"/>
  <c r="O8" i="38"/>
  <c r="P8" i="38" s="1"/>
  <c r="N1017" i="33"/>
  <c r="B155" i="32"/>
  <c r="O20" i="38"/>
  <c r="P20" i="38" s="1"/>
  <c r="O1017" i="33"/>
  <c r="O1061" i="33"/>
  <c r="B199" i="32"/>
  <c r="O64" i="38"/>
  <c r="P64" i="38" s="1"/>
  <c r="N1061" i="33"/>
  <c r="N1019" i="33"/>
  <c r="O1019" i="33"/>
  <c r="B157" i="32"/>
  <c r="O22" i="38"/>
  <c r="P22" i="38" s="1"/>
  <c r="B193" i="32"/>
  <c r="O58" i="38"/>
  <c r="P58" i="38" s="1"/>
  <c r="O1055" i="33"/>
  <c r="N1055" i="33"/>
  <c r="B197" i="32"/>
  <c r="N1059" i="33"/>
  <c r="O62" i="38"/>
  <c r="P62" i="38" s="1"/>
  <c r="O1059" i="33"/>
  <c r="B140" i="32"/>
  <c r="N1002" i="33"/>
  <c r="O1002" i="33"/>
  <c r="O5" i="38"/>
  <c r="P5" i="38" s="1"/>
  <c r="O31" i="38"/>
  <c r="P31" i="38" s="1"/>
  <c r="N1028" i="33"/>
  <c r="O1028" i="33"/>
  <c r="B166" i="32"/>
  <c r="O1063" i="33"/>
  <c r="N1063" i="33"/>
  <c r="B201" i="32"/>
  <c r="O66" i="38"/>
  <c r="P66" i="38" s="1"/>
  <c r="O1015" i="33"/>
  <c r="B153" i="32"/>
  <c r="O18" i="38"/>
  <c r="P18" i="38" s="1"/>
  <c r="N1015" i="33"/>
  <c r="O1003" i="33"/>
  <c r="O1040" i="33"/>
  <c r="B149" i="32"/>
  <c r="N1053" i="33"/>
  <c r="N1003" i="33"/>
  <c r="O1033" i="33"/>
  <c r="O27" i="38"/>
  <c r="P27" i="38" s="1"/>
  <c r="O1024" i="33"/>
  <c r="O1035" i="33"/>
  <c r="O48" i="38"/>
  <c r="P48" i="38" s="1"/>
  <c r="O38" i="38"/>
  <c r="P38" i="38" s="1"/>
  <c r="N1008" i="33"/>
  <c r="O36" i="38"/>
  <c r="P36" i="38" s="1"/>
  <c r="O1045" i="33"/>
  <c r="O43" i="38"/>
  <c r="P43" i="38" s="1"/>
  <c r="O1008" i="33"/>
  <c r="E434" i="30"/>
  <c r="K531" i="31"/>
  <c r="K661" i="31" s="1"/>
  <c r="E440" i="30"/>
  <c r="CT61" i="10"/>
  <c r="DB63" i="10"/>
  <c r="HM63" i="10" s="1"/>
  <c r="CT63" i="10"/>
  <c r="HE63" i="10" s="1"/>
  <c r="DB34" i="10"/>
  <c r="CN34" i="10"/>
  <c r="GY34" i="10" s="1"/>
  <c r="DA63" i="10"/>
  <c r="HL63" i="10" s="1"/>
  <c r="EA3" i="10"/>
  <c r="IL3" i="10" s="1"/>
  <c r="DA21" i="10"/>
  <c r="HL21" i="10" s="1"/>
  <c r="L440" i="30"/>
  <c r="DB36" i="10"/>
  <c r="HM36" i="10" s="1"/>
  <c r="F396" i="30"/>
  <c r="DB59" i="10"/>
  <c r="HM59" i="10" s="1"/>
  <c r="DB21" i="10"/>
  <c r="HM21" i="10" s="1"/>
  <c r="DB61" i="10"/>
  <c r="L439" i="30"/>
  <c r="L438" i="30"/>
  <c r="E439" i="30"/>
  <c r="DA55" i="10"/>
  <c r="HL55" i="10" s="1"/>
  <c r="CT59" i="10"/>
  <c r="CK7" i="10"/>
  <c r="GV7" i="10" s="1"/>
  <c r="CT53" i="10"/>
  <c r="HE53" i="10" s="1"/>
  <c r="CT45" i="10"/>
  <c r="HE45" i="10" s="1"/>
  <c r="CK47" i="10"/>
  <c r="GV47" i="10" s="1"/>
  <c r="CT42" i="10"/>
  <c r="HE42" i="10" s="1"/>
  <c r="D458" i="30"/>
  <c r="E148" i="33"/>
  <c r="F148" i="33" s="1"/>
  <c r="H148" i="33" s="1"/>
  <c r="H214" i="33" s="1"/>
  <c r="E138" i="33"/>
  <c r="F138" i="33" s="1"/>
  <c r="H138" i="33" s="1"/>
  <c r="H204" i="33" s="1"/>
  <c r="B510" i="30"/>
  <c r="J458" i="30"/>
  <c r="DB45" i="10"/>
  <c r="HM45" i="10" s="1"/>
  <c r="E454" i="30"/>
  <c r="C458" i="30"/>
  <c r="E121" i="33"/>
  <c r="F121" i="33" s="1"/>
  <c r="H121" i="33" s="1"/>
  <c r="H187" i="33" s="1"/>
  <c r="DK63" i="10"/>
  <c r="HV63" i="10" s="1"/>
  <c r="D459" i="30"/>
  <c r="CT3" i="10"/>
  <c r="HE3" i="10" s="1"/>
  <c r="E122" i="33"/>
  <c r="F122" i="33" s="1"/>
  <c r="H122" i="33" s="1"/>
  <c r="H188" i="33" s="1"/>
  <c r="E146" i="33"/>
  <c r="F146" i="33" s="1"/>
  <c r="H146" i="33" s="1"/>
  <c r="H212" i="33" s="1"/>
  <c r="DK19" i="10"/>
  <c r="HV19" i="10" s="1"/>
  <c r="DK23" i="10"/>
  <c r="HV23" i="10" s="1"/>
  <c r="B519" i="30"/>
  <c r="I505" i="30"/>
  <c r="L434" i="30"/>
  <c r="D453" i="30"/>
  <c r="J446" i="30"/>
  <c r="D457" i="30"/>
  <c r="E134" i="33"/>
  <c r="F134" i="33" s="1"/>
  <c r="H134" i="33" s="1"/>
  <c r="E97" i="33"/>
  <c r="F97" i="33" s="1"/>
  <c r="H97" i="33" s="1"/>
  <c r="H163" i="33" s="1"/>
  <c r="E105" i="33"/>
  <c r="F105" i="33" s="1"/>
  <c r="H105" i="33" s="1"/>
  <c r="H171" i="33" s="1"/>
  <c r="I518" i="30"/>
  <c r="I517" i="30"/>
  <c r="F398" i="30"/>
  <c r="E120" i="33"/>
  <c r="F120" i="33" s="1"/>
  <c r="H120" i="33" s="1"/>
  <c r="H186" i="33" s="1"/>
  <c r="B512" i="30"/>
  <c r="D444" i="30"/>
  <c r="J444" i="30"/>
  <c r="D446" i="30"/>
  <c r="J457" i="30"/>
  <c r="E442" i="30"/>
  <c r="L451" i="30"/>
  <c r="E112" i="33"/>
  <c r="F112" i="33" s="1"/>
  <c r="H112" i="33" s="1"/>
  <c r="H178" i="33" s="1"/>
  <c r="E101" i="33"/>
  <c r="F101" i="33" s="1"/>
  <c r="H101" i="33" s="1"/>
  <c r="H167" i="33" s="1"/>
  <c r="CN42" i="10"/>
  <c r="GY42" i="10" s="1"/>
  <c r="B478" i="30"/>
  <c r="EI20" i="10"/>
  <c r="IT20" i="10" s="1"/>
  <c r="I513" i="30"/>
  <c r="N1022" i="33"/>
  <c r="B160" i="32"/>
  <c r="O1046" i="33"/>
  <c r="B184" i="32"/>
  <c r="F393" i="30"/>
  <c r="N1018" i="33"/>
  <c r="B156" i="32"/>
  <c r="N1006" i="33"/>
  <c r="B144" i="32"/>
  <c r="F381" i="30"/>
  <c r="N1042" i="33"/>
  <c r="B180" i="32"/>
  <c r="CT28" i="10"/>
  <c r="HE28" i="10" s="1"/>
  <c r="O1018" i="33"/>
  <c r="O21" i="38"/>
  <c r="P21" i="38" s="1"/>
  <c r="K509" i="31"/>
  <c r="J516" i="31"/>
  <c r="J517" i="31"/>
  <c r="K518" i="31"/>
  <c r="J520" i="31"/>
  <c r="K536" i="31"/>
  <c r="K534" i="31"/>
  <c r="J555" i="31"/>
  <c r="M499" i="30"/>
  <c r="K505" i="31"/>
  <c r="K551" i="31"/>
  <c r="N498" i="30"/>
  <c r="K544" i="31"/>
  <c r="K504" i="31"/>
  <c r="J511" i="31"/>
  <c r="M485" i="30"/>
  <c r="K559" i="31"/>
  <c r="K507" i="31"/>
  <c r="N484" i="30"/>
  <c r="K501" i="31"/>
  <c r="K550" i="31"/>
  <c r="K513" i="31"/>
  <c r="K510" i="31"/>
  <c r="K526" i="31"/>
  <c r="J499" i="31"/>
  <c r="M482" i="30"/>
  <c r="K545" i="31"/>
  <c r="N496" i="30"/>
  <c r="K541" i="31"/>
  <c r="N494" i="30"/>
  <c r="H659" i="31"/>
  <c r="J659" i="31"/>
  <c r="I690" i="31"/>
  <c r="K690" i="31"/>
  <c r="H682" i="31"/>
  <c r="J682" i="31"/>
  <c r="J649" i="31"/>
  <c r="H649" i="31"/>
  <c r="H690" i="31"/>
  <c r="J690" i="31"/>
  <c r="J663" i="31"/>
  <c r="H663" i="31"/>
  <c r="J527" i="31"/>
  <c r="M488" i="30"/>
  <c r="J509" i="31"/>
  <c r="K558" i="31"/>
  <c r="K502" i="31"/>
  <c r="J518" i="31"/>
  <c r="K555" i="31"/>
  <c r="N499" i="30"/>
  <c r="J505" i="31"/>
  <c r="K515" i="31"/>
  <c r="J532" i="31"/>
  <c r="J504" i="31"/>
  <c r="J507" i="31"/>
  <c r="M484" i="30"/>
  <c r="J501" i="31"/>
  <c r="J521" i="31"/>
  <c r="M486" i="30"/>
  <c r="J513" i="31"/>
  <c r="K547" i="31"/>
  <c r="N497" i="30"/>
  <c r="J500" i="31"/>
  <c r="J510" i="31"/>
  <c r="K506" i="31"/>
  <c r="K548" i="31"/>
  <c r="K557" i="31"/>
  <c r="N500" i="30"/>
  <c r="J671" i="31"/>
  <c r="H671" i="31"/>
  <c r="J660" i="31"/>
  <c r="H660" i="31"/>
  <c r="I947" i="31"/>
  <c r="G947" i="31"/>
  <c r="K947" i="31"/>
  <c r="J673" i="31"/>
  <c r="H673" i="31"/>
  <c r="I658" i="31"/>
  <c r="K658" i="31"/>
  <c r="K529" i="31"/>
  <c r="N489" i="30"/>
  <c r="J535" i="31"/>
  <c r="M492" i="30"/>
  <c r="J669" i="31"/>
  <c r="H669" i="31"/>
  <c r="J661" i="31"/>
  <c r="H661" i="31"/>
  <c r="I948" i="31"/>
  <c r="K948" i="31"/>
  <c r="G948" i="31"/>
  <c r="I668" i="31"/>
  <c r="K668" i="31"/>
  <c r="H654" i="31"/>
  <c r="J654" i="31"/>
  <c r="H684" i="31"/>
  <c r="J684" i="31"/>
  <c r="K508" i="31"/>
  <c r="J502" i="31"/>
  <c r="J534" i="31"/>
  <c r="J544" i="31"/>
  <c r="J515" i="31"/>
  <c r="K512" i="31"/>
  <c r="K514" i="31"/>
  <c r="J547" i="31"/>
  <c r="M497" i="30"/>
  <c r="K500" i="31"/>
  <c r="J526" i="31"/>
  <c r="J506" i="31"/>
  <c r="J548" i="31"/>
  <c r="K499" i="31"/>
  <c r="N482" i="30"/>
  <c r="J652" i="31"/>
  <c r="H652" i="31"/>
  <c r="H668" i="31"/>
  <c r="J668" i="31"/>
  <c r="J633" i="31"/>
  <c r="H633" i="31"/>
  <c r="J675" i="31"/>
  <c r="H675" i="31"/>
  <c r="K533" i="31"/>
  <c r="N491" i="30"/>
  <c r="K503" i="31"/>
  <c r="N483" i="30"/>
  <c r="H679" i="31"/>
  <c r="J679" i="31"/>
  <c r="K684" i="31"/>
  <c r="I684" i="31"/>
  <c r="I670" i="31"/>
  <c r="K670" i="31"/>
  <c r="J655" i="31"/>
  <c r="H655" i="31"/>
  <c r="H683" i="31"/>
  <c r="J683" i="31"/>
  <c r="J653" i="31"/>
  <c r="H653" i="31"/>
  <c r="K527" i="31"/>
  <c r="N488" i="30"/>
  <c r="K516" i="31"/>
  <c r="J558" i="31"/>
  <c r="K517" i="31"/>
  <c r="J508" i="31"/>
  <c r="K520" i="31"/>
  <c r="J536" i="31"/>
  <c r="J551" i="31"/>
  <c r="M498" i="30"/>
  <c r="K532" i="31"/>
  <c r="K511" i="31"/>
  <c r="N485" i="30"/>
  <c r="J559" i="31"/>
  <c r="J550" i="31"/>
  <c r="J512" i="31"/>
  <c r="K521" i="31"/>
  <c r="N486" i="30"/>
  <c r="J514" i="31"/>
  <c r="K523" i="31"/>
  <c r="N487" i="30"/>
  <c r="H672" i="31"/>
  <c r="J672" i="31"/>
  <c r="G920" i="31"/>
  <c r="K920" i="31"/>
  <c r="I920" i="31"/>
  <c r="G919" i="31"/>
  <c r="I919" i="31"/>
  <c r="K919" i="31"/>
  <c r="J686" i="31"/>
  <c r="H686" i="31"/>
  <c r="K649" i="31"/>
  <c r="I649" i="31"/>
  <c r="J670" i="31"/>
  <c r="H670" i="31"/>
  <c r="H676" i="31"/>
  <c r="J676" i="31"/>
  <c r="J687" i="31"/>
  <c r="H687" i="31"/>
  <c r="G951" i="31"/>
  <c r="K951" i="31"/>
  <c r="I951" i="31"/>
  <c r="I652" i="31"/>
  <c r="K652" i="31"/>
  <c r="J658" i="31"/>
  <c r="H658" i="31"/>
  <c r="A1061" i="33"/>
  <c r="A642" i="33"/>
  <c r="A508" i="33"/>
  <c r="A963" i="33"/>
  <c r="A575" i="33"/>
  <c r="A375" i="33"/>
  <c r="A441" i="33"/>
  <c r="A220" i="33"/>
  <c r="A964" i="33"/>
  <c r="A576" i="33"/>
  <c r="A1062" i="33"/>
  <c r="A643" i="33"/>
  <c r="A509" i="33"/>
  <c r="A442" i="33"/>
  <c r="A376" i="33"/>
  <c r="A221" i="33"/>
  <c r="A156" i="33"/>
  <c r="A851" i="33" s="1"/>
  <c r="D239" i="31"/>
  <c r="D368" i="31"/>
  <c r="A961" i="35"/>
  <c r="A201" i="32"/>
  <c r="A113" i="32"/>
  <c r="A758" i="31"/>
  <c r="A893" i="35"/>
  <c r="A1095" i="35"/>
  <c r="A289" i="27"/>
  <c r="A1412" i="35"/>
  <c r="A89" i="27"/>
  <c r="A1028" i="35"/>
  <c r="A578" i="35"/>
  <c r="A410" i="35"/>
  <c r="A628" i="31"/>
  <c r="B125" i="30"/>
  <c r="A1478" i="35"/>
  <c r="A1162" i="35"/>
  <c r="A827" i="35"/>
  <c r="A495" i="35"/>
  <c r="A261" i="35"/>
  <c r="D110" i="31"/>
  <c r="A66" i="38"/>
  <c r="A212" i="27"/>
  <c r="A1302" i="35"/>
  <c r="A343" i="35"/>
  <c r="B893" i="31"/>
  <c r="A498" i="31"/>
  <c r="E448" i="30"/>
  <c r="E445" i="30"/>
  <c r="L449" i="30"/>
  <c r="O1042" i="33"/>
  <c r="K444" i="30"/>
  <c r="E452" i="30"/>
  <c r="E447" i="30"/>
  <c r="L452" i="30"/>
  <c r="E443" i="30"/>
  <c r="K453" i="30"/>
  <c r="L454" i="30"/>
  <c r="L456" i="30"/>
  <c r="L455" i="30"/>
  <c r="L441" i="30"/>
  <c r="O45" i="38"/>
  <c r="P45" i="38" s="1"/>
  <c r="E450" i="30"/>
  <c r="E456" i="30"/>
  <c r="K458" i="30"/>
  <c r="E449" i="30"/>
  <c r="E451" i="30"/>
  <c r="L450" i="30"/>
  <c r="L442" i="30"/>
  <c r="K459" i="30"/>
  <c r="K457" i="30"/>
  <c r="K446" i="30"/>
  <c r="E441" i="30"/>
  <c r="E455" i="30"/>
  <c r="L445" i="30"/>
  <c r="L448" i="30"/>
  <c r="B488" i="30"/>
  <c r="B476" i="30"/>
  <c r="B495" i="30"/>
  <c r="E127" i="33"/>
  <c r="F127" i="33" s="1"/>
  <c r="H127" i="33" s="1"/>
  <c r="H193" i="33" s="1"/>
  <c r="B490" i="30"/>
  <c r="B489" i="30"/>
  <c r="DK55" i="10"/>
  <c r="B498" i="30"/>
  <c r="E151" i="33"/>
  <c r="F151" i="33" s="1"/>
  <c r="H151" i="33" s="1"/>
  <c r="H217" i="33" s="1"/>
  <c r="B499" i="30"/>
  <c r="B497" i="30"/>
  <c r="DK15" i="10"/>
  <c r="HV15" i="10" s="1"/>
  <c r="B485" i="30"/>
  <c r="E99" i="33"/>
  <c r="F99" i="33" s="1"/>
  <c r="H99" i="33" s="1"/>
  <c r="H165" i="33" s="1"/>
  <c r="B483" i="30"/>
  <c r="B473" i="30"/>
  <c r="B492" i="30"/>
  <c r="DK11" i="10"/>
  <c r="HV11" i="10" s="1"/>
  <c r="B484" i="30"/>
  <c r="B482" i="30"/>
  <c r="E135" i="33"/>
  <c r="F135" i="33" s="1"/>
  <c r="H135" i="33" s="1"/>
  <c r="B493" i="30"/>
  <c r="B500" i="30"/>
  <c r="E117" i="33"/>
  <c r="F117" i="33" s="1"/>
  <c r="H117" i="33" s="1"/>
  <c r="H183" i="33" s="1"/>
  <c r="B486" i="30"/>
  <c r="B477" i="30"/>
  <c r="B496" i="30"/>
  <c r="B491" i="30"/>
  <c r="B494" i="30"/>
  <c r="E119" i="33"/>
  <c r="F119" i="33" s="1"/>
  <c r="H119" i="33" s="1"/>
  <c r="H185" i="33" s="1"/>
  <c r="B487" i="30"/>
  <c r="O1006" i="33"/>
  <c r="O9" i="38"/>
  <c r="P9" i="38" s="1"/>
  <c r="O1022" i="33"/>
  <c r="N1030" i="33"/>
  <c r="O1030" i="33"/>
  <c r="O33" i="38"/>
  <c r="P33" i="38" s="1"/>
  <c r="N1034" i="33"/>
  <c r="O37" i="38"/>
  <c r="P37" i="38" s="1"/>
  <c r="O1034" i="33"/>
  <c r="N1038" i="33"/>
  <c r="O1038" i="33"/>
  <c r="O41" i="38"/>
  <c r="P41" i="38" s="1"/>
  <c r="N1010" i="33"/>
  <c r="O13" i="38"/>
  <c r="P13" i="38" s="1"/>
  <c r="O1010" i="33"/>
  <c r="O25" i="38"/>
  <c r="P25" i="38" s="1"/>
  <c r="O49" i="38"/>
  <c r="P49" i="38" s="1"/>
  <c r="N1046" i="33"/>
  <c r="N1041" i="33"/>
  <c r="O44" i="38"/>
  <c r="P44" i="38" s="1"/>
  <c r="O1041" i="33"/>
  <c r="N1052" i="33"/>
  <c r="O55" i="38"/>
  <c r="P55" i="38" s="1"/>
  <c r="O1052" i="33"/>
  <c r="N1037" i="33"/>
  <c r="O1037" i="33"/>
  <c r="O40" i="38"/>
  <c r="P40" i="38" s="1"/>
  <c r="O1021" i="33"/>
  <c r="N1021" i="33"/>
  <c r="O24" i="38"/>
  <c r="P24" i="38" s="1"/>
  <c r="N1032" i="33"/>
  <c r="O1032" i="33"/>
  <c r="O35" i="38"/>
  <c r="P35" i="38" s="1"/>
  <c r="N1048" i="33"/>
  <c r="O51" i="38"/>
  <c r="P51" i="38" s="1"/>
  <c r="O1048" i="33"/>
  <c r="N1056" i="33"/>
  <c r="O59" i="38"/>
  <c r="P59" i="38" s="1"/>
  <c r="O1056" i="33"/>
  <c r="N1027" i="33"/>
  <c r="O30" i="38"/>
  <c r="P30" i="38" s="1"/>
  <c r="O1027" i="33"/>
  <c r="N1007" i="33"/>
  <c r="O10" i="38"/>
  <c r="P10" i="38" s="1"/>
  <c r="O1007" i="33"/>
  <c r="I510" i="30"/>
  <c r="I508" i="30"/>
  <c r="E113" i="33"/>
  <c r="B481" i="30"/>
  <c r="B514" i="30"/>
  <c r="B468" i="30"/>
  <c r="I512" i="30"/>
  <c r="DK27" i="10"/>
  <c r="HV27" i="10" s="1"/>
  <c r="I515" i="30"/>
  <c r="I470" i="30"/>
  <c r="B504" i="30"/>
  <c r="E116" i="33"/>
  <c r="E153" i="33"/>
  <c r="I478" i="30"/>
  <c r="E147" i="33"/>
  <c r="CT18" i="10"/>
  <c r="B518" i="30"/>
  <c r="EI39" i="10"/>
  <c r="IT39" i="10" s="1"/>
  <c r="I511" i="30"/>
  <c r="I514" i="30"/>
  <c r="EI31" i="10"/>
  <c r="IT31" i="10" s="1"/>
  <c r="EI61" i="10"/>
  <c r="IT61" i="10" s="1"/>
  <c r="EI45" i="10"/>
  <c r="IT45" i="10" s="1"/>
  <c r="EI55" i="10"/>
  <c r="IT55" i="10" s="1"/>
  <c r="EI30" i="10"/>
  <c r="IT30" i="10" s="1"/>
  <c r="EI59" i="10"/>
  <c r="IT59" i="10" s="1"/>
  <c r="B464" i="30"/>
  <c r="DK7" i="10"/>
  <c r="HV7" i="10" s="1"/>
  <c r="EI42" i="10"/>
  <c r="IT42" i="10" s="1"/>
  <c r="CO8" i="10"/>
  <c r="GZ8" i="10" s="1"/>
  <c r="E131" i="33"/>
  <c r="F131" i="33" s="1"/>
  <c r="H131" i="33" s="1"/>
  <c r="EI7" i="10"/>
  <c r="IT7" i="10" s="1"/>
  <c r="EI18" i="10"/>
  <c r="IT18" i="10" s="1"/>
  <c r="EA45" i="10"/>
  <c r="IL45" i="10" s="1"/>
  <c r="EI26" i="10"/>
  <c r="IT26" i="10" s="1"/>
  <c r="B515" i="30"/>
  <c r="B517" i="30"/>
  <c r="EI11" i="10"/>
  <c r="IT11" i="10" s="1"/>
  <c r="EI63" i="10"/>
  <c r="IT63" i="10" s="1"/>
  <c r="CT7" i="10"/>
  <c r="DA38" i="10"/>
  <c r="HL38" i="10" s="1"/>
  <c r="B474" i="30"/>
  <c r="B470" i="30"/>
  <c r="I467" i="30"/>
  <c r="DK43" i="10"/>
  <c r="HV43" i="10" s="1"/>
  <c r="EI40" i="10"/>
  <c r="IT40" i="10" s="1"/>
  <c r="EI36" i="10"/>
  <c r="IT36" i="10" s="1"/>
  <c r="EI17" i="10"/>
  <c r="IT17" i="10" s="1"/>
  <c r="EI29" i="10"/>
  <c r="IT29" i="10" s="1"/>
  <c r="EI57" i="10"/>
  <c r="IT57" i="10" s="1"/>
  <c r="EI24" i="10"/>
  <c r="IT24" i="10" s="1"/>
  <c r="EI64" i="10"/>
  <c r="IT64" i="10" s="1"/>
  <c r="EI4" i="10"/>
  <c r="IT4" i="10" s="1"/>
  <c r="EI32" i="10"/>
  <c r="IT32" i="10" s="1"/>
  <c r="EI12" i="10"/>
  <c r="IT12" i="10" s="1"/>
  <c r="I509" i="30"/>
  <c r="EI37" i="10"/>
  <c r="IT37" i="10" s="1"/>
  <c r="EI33" i="10"/>
  <c r="IT33" i="10" s="1"/>
  <c r="I507" i="30"/>
  <c r="EI62" i="10"/>
  <c r="IT62" i="10" s="1"/>
  <c r="EI46" i="10"/>
  <c r="IT46" i="10" s="1"/>
  <c r="EI50" i="10"/>
  <c r="IT50" i="10" s="1"/>
  <c r="EI34" i="10"/>
  <c r="IT34" i="10" s="1"/>
  <c r="EI51" i="10"/>
  <c r="IT51" i="10" s="1"/>
  <c r="EI35" i="10"/>
  <c r="IT35" i="10" s="1"/>
  <c r="E437" i="30"/>
  <c r="E108" i="33"/>
  <c r="EI23" i="10"/>
  <c r="IT23" i="10" s="1"/>
  <c r="I516" i="30"/>
  <c r="EI27" i="10"/>
  <c r="IT27" i="10" s="1"/>
  <c r="EI19" i="10"/>
  <c r="IT19" i="10" s="1"/>
  <c r="I522" i="30"/>
  <c r="EI15" i="10"/>
  <c r="IT15" i="10" s="1"/>
  <c r="I520" i="30"/>
  <c r="EI43" i="10"/>
  <c r="IT43" i="10" s="1"/>
  <c r="EI22" i="10"/>
  <c r="IT22" i="10" s="1"/>
  <c r="EI14" i="10"/>
  <c r="IT14" i="10" s="1"/>
  <c r="EI6" i="10"/>
  <c r="IT6" i="10" s="1"/>
  <c r="EI10" i="10"/>
  <c r="IT10" i="10" s="1"/>
  <c r="I521" i="30"/>
  <c r="I465" i="30"/>
  <c r="I519" i="30"/>
  <c r="DS14" i="10"/>
  <c r="ID14" i="10" s="1"/>
  <c r="EI16" i="10"/>
  <c r="IT16" i="10" s="1"/>
  <c r="EI28" i="10"/>
  <c r="IT28" i="10" s="1"/>
  <c r="EI44" i="10"/>
  <c r="IT44" i="10" s="1"/>
  <c r="EI25" i="10"/>
  <c r="IT25" i="10" s="1"/>
  <c r="EI21" i="10"/>
  <c r="IT21" i="10" s="1"/>
  <c r="EI53" i="10"/>
  <c r="IT53" i="10" s="1"/>
  <c r="EI49" i="10"/>
  <c r="IT49" i="10" s="1"/>
  <c r="EI8" i="10"/>
  <c r="IT8" i="10" s="1"/>
  <c r="EI48" i="10"/>
  <c r="IT48" i="10" s="1"/>
  <c r="EI60" i="10"/>
  <c r="IT60" i="10" s="1"/>
  <c r="EI56" i="10"/>
  <c r="IT56" i="10" s="1"/>
  <c r="EI52" i="10"/>
  <c r="IT52" i="10" s="1"/>
  <c r="EI9" i="10"/>
  <c r="IT9" i="10" s="1"/>
  <c r="EI5" i="10"/>
  <c r="IT5" i="10" s="1"/>
  <c r="EI13" i="10"/>
  <c r="IT13" i="10" s="1"/>
  <c r="EI41" i="10"/>
  <c r="IT41" i="10" s="1"/>
  <c r="EI3" i="10"/>
  <c r="IT3" i="10" s="1"/>
  <c r="EI54" i="10"/>
  <c r="IT54" i="10" s="1"/>
  <c r="EI58" i="10"/>
  <c r="IT58" i="10" s="1"/>
  <c r="EI38" i="10"/>
  <c r="IT38" i="10" s="1"/>
  <c r="EI47" i="10"/>
  <c r="IT47" i="10" s="1"/>
  <c r="EA54" i="10"/>
  <c r="IL54" i="10" s="1"/>
  <c r="EA38" i="10"/>
  <c r="IL38" i="10" s="1"/>
  <c r="EA22" i="10"/>
  <c r="IL22" i="10" s="1"/>
  <c r="EA6" i="10"/>
  <c r="IL6" i="10" s="1"/>
  <c r="B520" i="30"/>
  <c r="EA39" i="10"/>
  <c r="IL39" i="10" s="1"/>
  <c r="EA23" i="10"/>
  <c r="IL23" i="10" s="1"/>
  <c r="EA24" i="10"/>
  <c r="IL24" i="10" s="1"/>
  <c r="EA4" i="10"/>
  <c r="IL4" i="10" s="1"/>
  <c r="EA32" i="10"/>
  <c r="IL32" i="10" s="1"/>
  <c r="EA11" i="10"/>
  <c r="IL11" i="10" s="1"/>
  <c r="EA19" i="10"/>
  <c r="IL19" i="10" s="1"/>
  <c r="B513" i="30"/>
  <c r="E104" i="33"/>
  <c r="E139" i="33"/>
  <c r="F139" i="33" s="1"/>
  <c r="H139" i="33" s="1"/>
  <c r="E156" i="33"/>
  <c r="DK47" i="10"/>
  <c r="HV47" i="10" s="1"/>
  <c r="DK31" i="10"/>
  <c r="HV31" i="10" s="1"/>
  <c r="DK35" i="10"/>
  <c r="HV35" i="10" s="1"/>
  <c r="DS25" i="10"/>
  <c r="ID25" i="10" s="1"/>
  <c r="EA62" i="10"/>
  <c r="IL62" i="10" s="1"/>
  <c r="EA50" i="10"/>
  <c r="IL50" i="10" s="1"/>
  <c r="EA18" i="10"/>
  <c r="IL18" i="10" s="1"/>
  <c r="EA30" i="10"/>
  <c r="IL30" i="10" s="1"/>
  <c r="EA43" i="10"/>
  <c r="IL43" i="10" s="1"/>
  <c r="EA47" i="10"/>
  <c r="IL47" i="10" s="1"/>
  <c r="EA16" i="10"/>
  <c r="IL16" i="10" s="1"/>
  <c r="EA36" i="10"/>
  <c r="IL36" i="10" s="1"/>
  <c r="EA20" i="10"/>
  <c r="IL20" i="10" s="1"/>
  <c r="EA17" i="10"/>
  <c r="IL17" i="10" s="1"/>
  <c r="EA29" i="10"/>
  <c r="IL29" i="10" s="1"/>
  <c r="EA57" i="10"/>
  <c r="IL57" i="10" s="1"/>
  <c r="EA8" i="10"/>
  <c r="IL8" i="10" s="1"/>
  <c r="EA56" i="10"/>
  <c r="IL56" i="10" s="1"/>
  <c r="B509" i="30"/>
  <c r="EA9" i="10"/>
  <c r="IL9" i="10" s="1"/>
  <c r="EA5" i="10"/>
  <c r="IL5" i="10" s="1"/>
  <c r="EA13" i="10"/>
  <c r="IL13" i="10" s="1"/>
  <c r="EA41" i="10"/>
  <c r="IL41" i="10" s="1"/>
  <c r="B522" i="30"/>
  <c r="B508" i="30"/>
  <c r="E125" i="33"/>
  <c r="F125" i="33" s="1"/>
  <c r="H125" i="33" s="1"/>
  <c r="B471" i="30"/>
  <c r="EA58" i="10"/>
  <c r="IL58" i="10" s="1"/>
  <c r="EA42" i="10"/>
  <c r="IL42" i="10" s="1"/>
  <c r="EA14" i="10"/>
  <c r="IL14" i="10" s="1"/>
  <c r="EA10" i="10"/>
  <c r="IL10" i="10" s="1"/>
  <c r="B521" i="30"/>
  <c r="EA63" i="10"/>
  <c r="IL63" i="10" s="1"/>
  <c r="EA40" i="10"/>
  <c r="IL40" i="10" s="1"/>
  <c r="B516" i="30"/>
  <c r="EA64" i="10"/>
  <c r="IL64" i="10" s="1"/>
  <c r="EA60" i="10"/>
  <c r="IL60" i="10" s="1"/>
  <c r="EA12" i="10"/>
  <c r="IL12" i="10" s="1"/>
  <c r="EA52" i="10"/>
  <c r="IL52" i="10" s="1"/>
  <c r="B506" i="30"/>
  <c r="B511" i="30"/>
  <c r="DK12" i="10"/>
  <c r="HV12" i="10" s="1"/>
  <c r="EA46" i="10"/>
  <c r="IL46" i="10" s="1"/>
  <c r="EA34" i="10"/>
  <c r="IL34" i="10" s="1"/>
  <c r="EA26" i="10"/>
  <c r="IL26" i="10" s="1"/>
  <c r="EA51" i="10"/>
  <c r="IL51" i="10" s="1"/>
  <c r="EA35" i="10"/>
  <c r="IL35" i="10" s="1"/>
  <c r="B505" i="30"/>
  <c r="EA28" i="10"/>
  <c r="IL28" i="10" s="1"/>
  <c r="EA44" i="10"/>
  <c r="IL44" i="10" s="1"/>
  <c r="EA25" i="10"/>
  <c r="IL25" i="10" s="1"/>
  <c r="EA21" i="10"/>
  <c r="IL21" i="10" s="1"/>
  <c r="EA53" i="10"/>
  <c r="IL53" i="10" s="1"/>
  <c r="EA49" i="10"/>
  <c r="IL49" i="10" s="1"/>
  <c r="EA31" i="10"/>
  <c r="IL31" i="10" s="1"/>
  <c r="EA48" i="10"/>
  <c r="IL48" i="10" s="1"/>
  <c r="EA37" i="10"/>
  <c r="IL37" i="10" s="1"/>
  <c r="EA33" i="10"/>
  <c r="IL33" i="10" s="1"/>
  <c r="EA61" i="10"/>
  <c r="IL61" i="10" s="1"/>
  <c r="B507" i="30"/>
  <c r="DS5" i="10"/>
  <c r="ID5" i="10" s="1"/>
  <c r="EA55" i="10"/>
  <c r="IL55" i="10" s="1"/>
  <c r="EA59" i="10"/>
  <c r="IL59" i="10" s="1"/>
  <c r="EA27" i="10"/>
  <c r="IL27" i="10" s="1"/>
  <c r="EA15" i="10"/>
  <c r="IL15" i="10" s="1"/>
  <c r="DS57" i="10"/>
  <c r="ID57" i="10" s="1"/>
  <c r="DS29" i="10"/>
  <c r="ID29" i="10" s="1"/>
  <c r="EA7" i="10"/>
  <c r="IL7" i="10" s="1"/>
  <c r="DA36" i="10"/>
  <c r="HL36" i="10" s="1"/>
  <c r="E115" i="33"/>
  <c r="E141" i="33"/>
  <c r="F141" i="33" s="1"/>
  <c r="H141" i="33" s="1"/>
  <c r="E129" i="33"/>
  <c r="F129" i="33" s="1"/>
  <c r="H129" i="33" s="1"/>
  <c r="I463" i="30"/>
  <c r="DK51" i="10"/>
  <c r="HV51" i="10" s="1"/>
  <c r="I469" i="30"/>
  <c r="DS36" i="10"/>
  <c r="ID36" i="10" s="1"/>
  <c r="DS49" i="10"/>
  <c r="ID49" i="10" s="1"/>
  <c r="E136" i="33"/>
  <c r="F136" i="33" s="1"/>
  <c r="H136" i="33" s="1"/>
  <c r="E137" i="33"/>
  <c r="I479" i="30"/>
  <c r="DB47" i="10"/>
  <c r="HM47" i="10" s="1"/>
  <c r="B465" i="30"/>
  <c r="E111" i="33"/>
  <c r="F111" i="33" s="1"/>
  <c r="H111" i="33" s="1"/>
  <c r="E103" i="33"/>
  <c r="E430" i="30"/>
  <c r="E124" i="33"/>
  <c r="F124" i="33" s="1"/>
  <c r="H124" i="33" s="1"/>
  <c r="I477" i="30"/>
  <c r="I481" i="30"/>
  <c r="I475" i="30"/>
  <c r="DB60" i="10"/>
  <c r="HM60" i="10" s="1"/>
  <c r="DS13" i="10"/>
  <c r="ID13" i="10" s="1"/>
  <c r="DS41" i="10"/>
  <c r="ID41" i="10" s="1"/>
  <c r="DS33" i="10"/>
  <c r="ID33" i="10" s="1"/>
  <c r="E102" i="33"/>
  <c r="DB28" i="10"/>
  <c r="HM28" i="10" s="1"/>
  <c r="I464" i="30"/>
  <c r="B467" i="30"/>
  <c r="B480" i="30"/>
  <c r="B472" i="30"/>
  <c r="DK59" i="10"/>
  <c r="HV59" i="10" s="1"/>
  <c r="DS40" i="10"/>
  <c r="ID40" i="10" s="1"/>
  <c r="DS60" i="10"/>
  <c r="ID60" i="10" s="1"/>
  <c r="E96" i="33"/>
  <c r="F96" i="33" s="1"/>
  <c r="H96" i="33" s="1"/>
  <c r="H162" i="33" s="1"/>
  <c r="E106" i="33"/>
  <c r="F106" i="33" s="1"/>
  <c r="H106" i="33" s="1"/>
  <c r="DB41" i="10"/>
  <c r="HM41" i="10" s="1"/>
  <c r="DA28" i="10"/>
  <c r="HL28" i="10" s="1"/>
  <c r="E155" i="33"/>
  <c r="DS61" i="10"/>
  <c r="ID61" i="10" s="1"/>
  <c r="E149" i="33"/>
  <c r="I473" i="30"/>
  <c r="DS9" i="10"/>
  <c r="ID9" i="10" s="1"/>
  <c r="DS17" i="10"/>
  <c r="ID17" i="10" s="1"/>
  <c r="DS21" i="10"/>
  <c r="ID21" i="10" s="1"/>
  <c r="DS10" i="10"/>
  <c r="ID10" i="10" s="1"/>
  <c r="E107" i="33"/>
  <c r="I471" i="30"/>
  <c r="I480" i="30"/>
  <c r="I472" i="30"/>
  <c r="L423" i="30"/>
  <c r="B466" i="30"/>
  <c r="DS31" i="10"/>
  <c r="ID31" i="10" s="1"/>
  <c r="DS16" i="10"/>
  <c r="ID16" i="10" s="1"/>
  <c r="DS39" i="10"/>
  <c r="ID39" i="10" s="1"/>
  <c r="DS12" i="10"/>
  <c r="ID12" i="10" s="1"/>
  <c r="DS53" i="10"/>
  <c r="ID53" i="10" s="1"/>
  <c r="DS37" i="10"/>
  <c r="ID37" i="10" s="1"/>
  <c r="DS8" i="10"/>
  <c r="ID8" i="10" s="1"/>
  <c r="I476" i="30"/>
  <c r="DS55" i="10"/>
  <c r="ID55" i="10" s="1"/>
  <c r="DS3" i="10"/>
  <c r="ID3" i="10" s="1"/>
  <c r="DS20" i="10"/>
  <c r="ID20" i="10" s="1"/>
  <c r="DB32" i="10"/>
  <c r="HM32" i="10" s="1"/>
  <c r="B475" i="30"/>
  <c r="B479" i="30"/>
  <c r="DB7" i="10"/>
  <c r="HM7" i="10" s="1"/>
  <c r="DK16" i="10"/>
  <c r="HV16" i="10" s="1"/>
  <c r="DS30" i="10"/>
  <c r="ID30" i="10" s="1"/>
  <c r="DS35" i="10"/>
  <c r="ID35" i="10" s="1"/>
  <c r="DS26" i="10"/>
  <c r="ID26" i="10" s="1"/>
  <c r="DS6" i="10"/>
  <c r="ID6" i="10" s="1"/>
  <c r="B463" i="30"/>
  <c r="B469" i="30"/>
  <c r="I474" i="30"/>
  <c r="I466" i="30"/>
  <c r="DK4" i="10"/>
  <c r="HV4" i="10" s="1"/>
  <c r="DK33" i="10"/>
  <c r="HV33" i="10" s="1"/>
  <c r="DS7" i="10"/>
  <c r="ID7" i="10" s="1"/>
  <c r="DS22" i="10"/>
  <c r="ID22" i="10" s="1"/>
  <c r="DS18" i="10"/>
  <c r="ID18" i="10" s="1"/>
  <c r="DS64" i="10"/>
  <c r="ID64" i="10" s="1"/>
  <c r="DS32" i="10"/>
  <c r="ID32" i="10" s="1"/>
  <c r="DS11" i="10"/>
  <c r="ID11" i="10" s="1"/>
  <c r="DS47" i="10"/>
  <c r="ID47" i="10" s="1"/>
  <c r="DS59" i="10"/>
  <c r="ID59" i="10" s="1"/>
  <c r="DS44" i="10"/>
  <c r="ID44" i="10" s="1"/>
  <c r="DS52" i="10"/>
  <c r="ID52" i="10" s="1"/>
  <c r="DS46" i="10"/>
  <c r="ID46" i="10" s="1"/>
  <c r="DS28" i="10"/>
  <c r="ID28" i="10" s="1"/>
  <c r="DS48" i="10"/>
  <c r="ID48" i="10" s="1"/>
  <c r="E95" i="33"/>
  <c r="F95" i="33" s="1"/>
  <c r="E123" i="33"/>
  <c r="I468" i="30"/>
  <c r="DK3" i="10"/>
  <c r="HV3" i="10" s="1"/>
  <c r="DK39" i="10"/>
  <c r="HV39" i="10" s="1"/>
  <c r="DS50" i="10"/>
  <c r="ID50" i="10" s="1"/>
  <c r="DS45" i="10"/>
  <c r="ID45" i="10" s="1"/>
  <c r="DS56" i="10"/>
  <c r="ID56" i="10" s="1"/>
  <c r="DS51" i="10"/>
  <c r="ID51" i="10" s="1"/>
  <c r="DA35" i="10"/>
  <c r="HL35" i="10" s="1"/>
  <c r="E130" i="33"/>
  <c r="F130" i="33" s="1"/>
  <c r="H130" i="33" s="1"/>
  <c r="E143" i="33"/>
  <c r="F143" i="33" s="1"/>
  <c r="H143" i="33" s="1"/>
  <c r="DS34" i="10"/>
  <c r="ID34" i="10" s="1"/>
  <c r="DS19" i="10"/>
  <c r="ID19" i="10" s="1"/>
  <c r="DS24" i="10"/>
  <c r="ID24" i="10" s="1"/>
  <c r="DS63" i="10"/>
  <c r="ID63" i="10" s="1"/>
  <c r="DS54" i="10"/>
  <c r="ID54" i="10" s="1"/>
  <c r="DS62" i="10"/>
  <c r="ID62" i="10" s="1"/>
  <c r="DS4" i="10"/>
  <c r="ID4" i="10" s="1"/>
  <c r="DS42" i="10"/>
  <c r="ID42" i="10" s="1"/>
  <c r="DS23" i="10"/>
  <c r="ID23" i="10" s="1"/>
  <c r="DS58" i="10"/>
  <c r="ID58" i="10" s="1"/>
  <c r="DS43" i="10"/>
  <c r="ID43" i="10" s="1"/>
  <c r="DS15" i="10"/>
  <c r="ID15" i="10" s="1"/>
  <c r="DS38" i="10"/>
  <c r="ID38" i="10" s="1"/>
  <c r="DS27" i="10"/>
  <c r="ID27" i="10" s="1"/>
  <c r="CO63" i="10"/>
  <c r="GZ63" i="10" s="1"/>
  <c r="E110" i="33"/>
  <c r="F110" i="33" s="1"/>
  <c r="H110" i="33" s="1"/>
  <c r="L435" i="30"/>
  <c r="F382" i="30"/>
  <c r="E432" i="30"/>
  <c r="CS11" i="10"/>
  <c r="HD11" i="10" s="1"/>
  <c r="E424" i="30"/>
  <c r="CS24" i="10"/>
  <c r="HD24" i="10" s="1"/>
  <c r="DK37" i="10"/>
  <c r="HV37" i="10" s="1"/>
  <c r="DK44" i="10"/>
  <c r="HV44" i="10" s="1"/>
  <c r="DK64" i="10"/>
  <c r="HV64" i="10" s="1"/>
  <c r="DK32" i="10"/>
  <c r="HV32" i="10" s="1"/>
  <c r="DK57" i="10"/>
  <c r="HV57" i="10" s="1"/>
  <c r="DK38" i="10"/>
  <c r="HV38" i="10" s="1"/>
  <c r="DK10" i="10"/>
  <c r="HV10" i="10" s="1"/>
  <c r="DK45" i="10"/>
  <c r="HV45" i="10" s="1"/>
  <c r="DK14" i="10"/>
  <c r="HV14" i="10" s="1"/>
  <c r="DK24" i="10"/>
  <c r="HV24" i="10" s="1"/>
  <c r="F380" i="30"/>
  <c r="DB38" i="10"/>
  <c r="HM38" i="10" s="1"/>
  <c r="E145" i="33"/>
  <c r="E150" i="33"/>
  <c r="DK53" i="10"/>
  <c r="HV53" i="10" s="1"/>
  <c r="DK21" i="10"/>
  <c r="HV21" i="10" s="1"/>
  <c r="DK58" i="10"/>
  <c r="HV58" i="10" s="1"/>
  <c r="DK48" i="10"/>
  <c r="HV48" i="10" s="1"/>
  <c r="DK22" i="10"/>
  <c r="HV22" i="10" s="1"/>
  <c r="E144" i="33"/>
  <c r="E109" i="33"/>
  <c r="F109" i="33" s="1"/>
  <c r="H109" i="33" s="1"/>
  <c r="DK20" i="10"/>
  <c r="HV20" i="10" s="1"/>
  <c r="DK60" i="10"/>
  <c r="HV60" i="10" s="1"/>
  <c r="DK9" i="10"/>
  <c r="HV9" i="10" s="1"/>
  <c r="DK54" i="10"/>
  <c r="HV54" i="10" s="1"/>
  <c r="DK62" i="10"/>
  <c r="HV62" i="10" s="1"/>
  <c r="DK34" i="10"/>
  <c r="HV34" i="10" s="1"/>
  <c r="DK36" i="10"/>
  <c r="HV36" i="10" s="1"/>
  <c r="DK50" i="10"/>
  <c r="HV50" i="10" s="1"/>
  <c r="E133" i="33"/>
  <c r="F133" i="33" s="1"/>
  <c r="H133" i="33" s="1"/>
  <c r="E140" i="33"/>
  <c r="DK25" i="10"/>
  <c r="HV25" i="10" s="1"/>
  <c r="DK28" i="10"/>
  <c r="HV28" i="10" s="1"/>
  <c r="DK56" i="10"/>
  <c r="HV56" i="10" s="1"/>
  <c r="DK13" i="10"/>
  <c r="HV13" i="10" s="1"/>
  <c r="DK46" i="10"/>
  <c r="HV46" i="10" s="1"/>
  <c r="DK61" i="10"/>
  <c r="HV61" i="10" s="1"/>
  <c r="DK42" i="10"/>
  <c r="HV42" i="10" s="1"/>
  <c r="E154" i="33"/>
  <c r="E128" i="33"/>
  <c r="F128" i="33" s="1"/>
  <c r="H128" i="33" s="1"/>
  <c r="E126" i="33"/>
  <c r="DK8" i="10"/>
  <c r="HV8" i="10" s="1"/>
  <c r="DK49" i="10"/>
  <c r="HV49" i="10" s="1"/>
  <c r="DK30" i="10"/>
  <c r="HV30" i="10" s="1"/>
  <c r="DK5" i="10"/>
  <c r="HV5" i="10" s="1"/>
  <c r="DK18" i="10"/>
  <c r="HV18" i="10" s="1"/>
  <c r="DK40" i="10"/>
  <c r="HV40" i="10" s="1"/>
  <c r="DK52" i="10"/>
  <c r="HV52" i="10" s="1"/>
  <c r="DK41" i="10"/>
  <c r="HV41" i="10" s="1"/>
  <c r="DK17" i="10"/>
  <c r="HV17" i="10" s="1"/>
  <c r="DK29" i="10"/>
  <c r="HV29" i="10" s="1"/>
  <c r="DK6" i="10"/>
  <c r="HV6" i="10" s="1"/>
  <c r="DK26" i="10"/>
  <c r="HV26" i="10" s="1"/>
  <c r="E100" i="33"/>
  <c r="E142" i="33"/>
  <c r="E98" i="33"/>
  <c r="F98" i="33" s="1"/>
  <c r="H98" i="33" s="1"/>
  <c r="E152" i="33"/>
  <c r="E114" i="33"/>
  <c r="E118" i="33"/>
  <c r="E132" i="33"/>
  <c r="F132" i="33" s="1"/>
  <c r="H132" i="33" s="1"/>
  <c r="CN8" i="10"/>
  <c r="GY8" i="10" s="1"/>
  <c r="CN63" i="10"/>
  <c r="GY63" i="10" s="1"/>
  <c r="E428" i="30"/>
  <c r="CT14" i="10"/>
  <c r="HE14" i="10" s="1"/>
  <c r="CT17" i="10"/>
  <c r="HE17" i="10" s="1"/>
  <c r="CT52" i="10"/>
  <c r="HE52" i="10" s="1"/>
  <c r="CT40" i="10"/>
  <c r="HE40" i="10" s="1"/>
  <c r="CT64" i="10"/>
  <c r="HE64" i="10" s="1"/>
  <c r="CT9" i="10"/>
  <c r="HE9" i="10" s="1"/>
  <c r="CT13" i="10"/>
  <c r="HE13" i="10" s="1"/>
  <c r="E435" i="30"/>
  <c r="CT19" i="10"/>
  <c r="HE19" i="10" s="1"/>
  <c r="CT29" i="10"/>
  <c r="HE29" i="10" s="1"/>
  <c r="CT50" i="10"/>
  <c r="HE50" i="10" s="1"/>
  <c r="CT23" i="10"/>
  <c r="HE23" i="10" s="1"/>
  <c r="CT38" i="10"/>
  <c r="HE38" i="10" s="1"/>
  <c r="CT51" i="10"/>
  <c r="HE51" i="10" s="1"/>
  <c r="E431" i="30"/>
  <c r="E433" i="30"/>
  <c r="CS21" i="10"/>
  <c r="HD21" i="10" s="1"/>
  <c r="CO27" i="10"/>
  <c r="GZ27" i="10" s="1"/>
  <c r="CS27" i="10"/>
  <c r="HD27" i="10" s="1"/>
  <c r="CO39" i="10"/>
  <c r="GZ39" i="10" s="1"/>
  <c r="DA50" i="10"/>
  <c r="HL50" i="10" s="1"/>
  <c r="E423" i="30"/>
  <c r="CS55" i="10"/>
  <c r="HD55" i="10" s="1"/>
  <c r="CS28" i="10"/>
  <c r="HD28" i="10" s="1"/>
  <c r="CT6" i="10"/>
  <c r="HE6" i="10" s="1"/>
  <c r="CS45" i="10"/>
  <c r="HD45" i="10" s="1"/>
  <c r="CN55" i="10"/>
  <c r="GY55" i="10" s="1"/>
  <c r="E389" i="30"/>
  <c r="CS35" i="10"/>
  <c r="HD35" i="10" s="1"/>
  <c r="CS36" i="10"/>
  <c r="HD36" i="10" s="1"/>
  <c r="CS8" i="10"/>
  <c r="HD8" i="10" s="1"/>
  <c r="CT47" i="10"/>
  <c r="HE47" i="10" s="1"/>
  <c r="CS15" i="10"/>
  <c r="HD15" i="10" s="1"/>
  <c r="CS38" i="10"/>
  <c r="HD38" i="10" s="1"/>
  <c r="CO55" i="10"/>
  <c r="GZ55" i="10" s="1"/>
  <c r="E396" i="30"/>
  <c r="F389" i="30"/>
  <c r="CS63" i="10"/>
  <c r="HD63" i="10" s="1"/>
  <c r="DA58" i="10"/>
  <c r="DB52" i="10"/>
  <c r="HM52" i="10" s="1"/>
  <c r="DB17" i="10"/>
  <c r="HM17" i="10" s="1"/>
  <c r="DB13" i="10"/>
  <c r="HM13" i="10" s="1"/>
  <c r="DB20" i="10"/>
  <c r="HM20" i="10" s="1"/>
  <c r="DB23" i="10"/>
  <c r="HM23" i="10" s="1"/>
  <c r="DB40" i="10"/>
  <c r="L430" i="30"/>
  <c r="DB10" i="10"/>
  <c r="HM10" i="10" s="1"/>
  <c r="DB57" i="10"/>
  <c r="HM57" i="10" s="1"/>
  <c r="DB5" i="10"/>
  <c r="HM5" i="10" s="1"/>
  <c r="DB64" i="10"/>
  <c r="HM64" i="10" s="1"/>
  <c r="DB16" i="10"/>
  <c r="HM16" i="10" s="1"/>
  <c r="L436" i="30"/>
  <c r="L428" i="30"/>
  <c r="DB24" i="10"/>
  <c r="HM24" i="10" s="1"/>
  <c r="DB58" i="10"/>
  <c r="DB56" i="10"/>
  <c r="HM56" i="10" s="1"/>
  <c r="DB26" i="10"/>
  <c r="HM26" i="10" s="1"/>
  <c r="DB54" i="10"/>
  <c r="HM54" i="10" s="1"/>
  <c r="DB30" i="10"/>
  <c r="HM30" i="10" s="1"/>
  <c r="DB62" i="10"/>
  <c r="HM62" i="10" s="1"/>
  <c r="DB29" i="10"/>
  <c r="HM29" i="10" s="1"/>
  <c r="DB14" i="10"/>
  <c r="HM14" i="10" s="1"/>
  <c r="DB19" i="10"/>
  <c r="HM19" i="10" s="1"/>
  <c r="DB48" i="10"/>
  <c r="HM48" i="10" s="1"/>
  <c r="DB46" i="10"/>
  <c r="DB51" i="10"/>
  <c r="HM51" i="10" s="1"/>
  <c r="DB50" i="10"/>
  <c r="HM50" i="10" s="1"/>
  <c r="CN27" i="10"/>
  <c r="GY27" i="10" s="1"/>
  <c r="E385" i="30"/>
  <c r="F390" i="30"/>
  <c r="DA5" i="10"/>
  <c r="HL5" i="10" s="1"/>
  <c r="DA22" i="10"/>
  <c r="HL22" i="10" s="1"/>
  <c r="DA32" i="10"/>
  <c r="HL32" i="10" s="1"/>
  <c r="DA17" i="10"/>
  <c r="HL17" i="10" s="1"/>
  <c r="DA30" i="10"/>
  <c r="HL30" i="10" s="1"/>
  <c r="DA62" i="10"/>
  <c r="HL62" i="10" s="1"/>
  <c r="CT58" i="10"/>
  <c r="HE58" i="10" s="1"/>
  <c r="CO28" i="10"/>
  <c r="GZ28" i="10" s="1"/>
  <c r="CN28" i="10"/>
  <c r="GY28" i="10" s="1"/>
  <c r="DA54" i="10"/>
  <c r="HL54" i="10" s="1"/>
  <c r="DA57" i="10"/>
  <c r="HL57" i="10" s="1"/>
  <c r="DA48" i="10"/>
  <c r="HL48" i="10" s="1"/>
  <c r="CN9" i="10"/>
  <c r="GY9" i="10" s="1"/>
  <c r="F391" i="30"/>
  <c r="F386" i="30"/>
  <c r="F384" i="30"/>
  <c r="CN40" i="10"/>
  <c r="GY40" i="10" s="1"/>
  <c r="DA23" i="10"/>
  <c r="HL23" i="10" s="1"/>
  <c r="CO21" i="10"/>
  <c r="GZ21" i="10" s="1"/>
  <c r="CN21" i="10"/>
  <c r="GY21" i="10" s="1"/>
  <c r="DA64" i="10"/>
  <c r="HL64" i="10" s="1"/>
  <c r="DA56" i="10"/>
  <c r="HL56" i="10" s="1"/>
  <c r="CO38" i="10"/>
  <c r="GZ38" i="10" s="1"/>
  <c r="CN38" i="10"/>
  <c r="GY38" i="10" s="1"/>
  <c r="DA18" i="10"/>
  <c r="CT36" i="10"/>
  <c r="HE36" i="10" s="1"/>
  <c r="DB35" i="10"/>
  <c r="HM35" i="10" s="1"/>
  <c r="DB12" i="10"/>
  <c r="HM12" i="10" s="1"/>
  <c r="DB22" i="10"/>
  <c r="HM22" i="10" s="1"/>
  <c r="CT22" i="10"/>
  <c r="HE22" i="10" s="1"/>
  <c r="CT41" i="10"/>
  <c r="HE41" i="10" s="1"/>
  <c r="L437" i="30"/>
  <c r="CT31" i="10"/>
  <c r="HE31" i="10" s="1"/>
  <c r="F395" i="30"/>
  <c r="CT57" i="10"/>
  <c r="HE57" i="10" s="1"/>
  <c r="CT44" i="10"/>
  <c r="HE44" i="10" s="1"/>
  <c r="DB9" i="10"/>
  <c r="HM9" i="10" s="1"/>
  <c r="CT62" i="10"/>
  <c r="HE62" i="10" s="1"/>
  <c r="DB18" i="10"/>
  <c r="DB49" i="10"/>
  <c r="HM49" i="10" s="1"/>
  <c r="CT24" i="10"/>
  <c r="HE24" i="10" s="1"/>
  <c r="E383" i="30"/>
  <c r="CT25" i="10"/>
  <c r="HE25" i="10" s="1"/>
  <c r="E426" i="30"/>
  <c r="I504" i="30"/>
  <c r="L429" i="30"/>
  <c r="DB33" i="10"/>
  <c r="HM33" i="10" s="1"/>
  <c r="DB44" i="10"/>
  <c r="HM44" i="10" s="1"/>
  <c r="DB25" i="10"/>
  <c r="HM25" i="10" s="1"/>
  <c r="L426" i="30"/>
  <c r="DB3" i="10"/>
  <c r="HM3" i="10" s="1"/>
  <c r="L422" i="30"/>
  <c r="F394" i="30"/>
  <c r="E422" i="30"/>
  <c r="E429" i="30"/>
  <c r="CT33" i="10"/>
  <c r="HE33" i="10" s="1"/>
  <c r="DB11" i="10"/>
  <c r="HM11" i="10" s="1"/>
  <c r="L424" i="30"/>
  <c r="E392" i="30"/>
  <c r="E388" i="30"/>
  <c r="E436" i="30"/>
  <c r="CT49" i="10"/>
  <c r="HE49" i="10" s="1"/>
  <c r="F387" i="30"/>
  <c r="DB37" i="10"/>
  <c r="HM37" i="10" s="1"/>
  <c r="L431" i="30"/>
  <c r="CT11" i="10"/>
  <c r="HE11" i="10" s="1"/>
  <c r="I506" i="30"/>
  <c r="DB39" i="10"/>
  <c r="HM39" i="10" s="1"/>
  <c r="L432" i="30"/>
  <c r="L433" i="30"/>
  <c r="DB43" i="10"/>
  <c r="HM43" i="10" s="1"/>
  <c r="CT32" i="10"/>
  <c r="HE32" i="10" s="1"/>
  <c r="CT10" i="10"/>
  <c r="HE10" i="10" s="1"/>
  <c r="CT12" i="10"/>
  <c r="HE12" i="10" s="1"/>
  <c r="CT48" i="10"/>
  <c r="HE48" i="10" s="1"/>
  <c r="CT60" i="10"/>
  <c r="HE60" i="10" s="1"/>
  <c r="CT4" i="10"/>
  <c r="HE4" i="10" s="1"/>
  <c r="CT16" i="10"/>
  <c r="HE16" i="10" s="1"/>
  <c r="DB6" i="10"/>
  <c r="HM6" i="10" s="1"/>
  <c r="DB31" i="10"/>
  <c r="HM31" i="10" s="1"/>
  <c r="DB4" i="10"/>
  <c r="HM4" i="10" s="1"/>
  <c r="CT54" i="10"/>
  <c r="HE54" i="10" s="1"/>
  <c r="DA25" i="10"/>
  <c r="HL25" i="10" s="1"/>
  <c r="CT26" i="10"/>
  <c r="HE26" i="10" s="1"/>
  <c r="CN35" i="10"/>
  <c r="GY35" i="10" s="1"/>
  <c r="CO35" i="10"/>
  <c r="GZ35" i="10" s="1"/>
  <c r="CT35" i="10"/>
  <c r="HE35" i="10" s="1"/>
  <c r="CT5" i="10"/>
  <c r="HE5" i="10" s="1"/>
  <c r="CO45" i="10"/>
  <c r="GZ45" i="10" s="1"/>
  <c r="CN45" i="10"/>
  <c r="GY45" i="10" s="1"/>
  <c r="CO15" i="10"/>
  <c r="GZ15" i="10" s="1"/>
  <c r="CN15" i="10"/>
  <c r="GY15" i="10" s="1"/>
  <c r="CT56" i="10"/>
  <c r="HE56" i="10" s="1"/>
  <c r="CT39" i="10"/>
  <c r="HE39" i="10" s="1"/>
  <c r="CT20" i="10"/>
  <c r="HE20" i="10" s="1"/>
  <c r="CT46" i="10"/>
  <c r="HE46" i="10" s="1"/>
  <c r="CT30" i="10"/>
  <c r="HE30" i="10" s="1"/>
  <c r="CT37" i="10"/>
  <c r="HE37" i="10" s="1"/>
  <c r="CT43" i="10"/>
  <c r="HE43" i="10" s="1"/>
  <c r="A785" i="33" l="1"/>
  <c r="A710" i="33"/>
  <c r="AO733" i="46"/>
  <c r="I1158" i="46"/>
  <c r="Q1158" i="46" s="1"/>
  <c r="AB978" i="46"/>
  <c r="HE18" i="10"/>
  <c r="AE502" i="46" a="1"/>
  <c r="AE502" i="46" s="1"/>
  <c r="AE289" i="45" a="1"/>
  <c r="AE289" i="45" s="1"/>
  <c r="K309" i="45"/>
  <c r="K310" i="45" s="1"/>
  <c r="K311" i="45" s="1"/>
  <c r="HM34" i="10"/>
  <c r="GV58" i="10"/>
  <c r="GV46" i="10"/>
  <c r="HL18" i="10"/>
  <c r="HM58" i="10"/>
  <c r="HL58" i="10"/>
  <c r="GV18" i="10"/>
  <c r="GV40" i="10"/>
  <c r="HM18" i="10"/>
  <c r="HM46" i="10"/>
  <c r="HM40" i="10"/>
  <c r="DA27" i="10"/>
  <c r="HL27" i="10" s="1"/>
  <c r="D439" i="30"/>
  <c r="HE59" i="10"/>
  <c r="DA8" i="10"/>
  <c r="HL8" i="10" s="1"/>
  <c r="DA15" i="10"/>
  <c r="HL15" i="10" s="1"/>
  <c r="K440" i="30"/>
  <c r="HM61" i="10"/>
  <c r="CN59" i="10"/>
  <c r="GV59" i="10"/>
  <c r="CO59" i="10"/>
  <c r="CO36" i="10"/>
  <c r="GV36" i="10"/>
  <c r="D423" i="30"/>
  <c r="HE7" i="10"/>
  <c r="DA59" i="10"/>
  <c r="HL59" i="10" s="1"/>
  <c r="E397" i="30"/>
  <c r="E479" i="30"/>
  <c r="HV55" i="10"/>
  <c r="D440" i="30"/>
  <c r="HE61" i="10"/>
  <c r="DE34" i="10"/>
  <c r="HP34" i="10" s="1"/>
  <c r="HL34" i="10"/>
  <c r="CO42" i="10"/>
  <c r="GV42" i="10"/>
  <c r="CO34" i="10"/>
  <c r="GV34" i="10"/>
  <c r="D427" i="30"/>
  <c r="K425" i="30"/>
  <c r="CW42" i="10"/>
  <c r="HH42" i="10" s="1"/>
  <c r="DE42" i="10"/>
  <c r="HP42" i="10" s="1"/>
  <c r="I661" i="31"/>
  <c r="K427" i="30"/>
  <c r="D438" i="30"/>
  <c r="C497" i="31"/>
  <c r="G627" i="31" s="1"/>
  <c r="CW34" i="10"/>
  <c r="HH34" i="10" s="1"/>
  <c r="G548" i="35"/>
  <c r="CV34" i="10"/>
  <c r="HG34" i="10" s="1"/>
  <c r="G556" i="35"/>
  <c r="B470" i="31"/>
  <c r="F600" i="31" s="1"/>
  <c r="DJ19" i="10"/>
  <c r="HU19" i="10" s="1"/>
  <c r="B468" i="31"/>
  <c r="DD42" i="10"/>
  <c r="HO42" i="10" s="1"/>
  <c r="K665" i="31"/>
  <c r="D425" i="30"/>
  <c r="CV42" i="10"/>
  <c r="HG42" i="10" s="1"/>
  <c r="K438" i="30"/>
  <c r="K434" i="30"/>
  <c r="DD34" i="10"/>
  <c r="HO34" i="10" s="1"/>
  <c r="D434" i="30"/>
  <c r="DZ9" i="10"/>
  <c r="IK9" i="10" s="1"/>
  <c r="E464" i="30"/>
  <c r="E465" i="30"/>
  <c r="G573" i="35"/>
  <c r="J438" i="30"/>
  <c r="CW59" i="10"/>
  <c r="HH59" i="10" s="1"/>
  <c r="DJ11" i="10"/>
  <c r="HU11" i="10" s="1"/>
  <c r="CV59" i="10"/>
  <c r="C439" i="30"/>
  <c r="K439" i="30"/>
  <c r="DA7" i="10"/>
  <c r="HL7" i="10" s="1"/>
  <c r="DJ55" i="10"/>
  <c r="HU55" i="10" s="1"/>
  <c r="DR14" i="10"/>
  <c r="IC14" i="10" s="1"/>
  <c r="EH20" i="10"/>
  <c r="IS20" i="10" s="1"/>
  <c r="DI63" i="10"/>
  <c r="HT63" i="10" s="1"/>
  <c r="B442" i="31"/>
  <c r="D572" i="31" s="1"/>
  <c r="D450" i="30"/>
  <c r="D445" i="30"/>
  <c r="DJ8" i="10"/>
  <c r="HU8" i="10" s="1"/>
  <c r="DJ20" i="10"/>
  <c r="HU20" i="10" s="1"/>
  <c r="DI38" i="10"/>
  <c r="HT38" i="10" s="1"/>
  <c r="C443" i="30"/>
  <c r="DE36" i="10"/>
  <c r="HP36" i="10" s="1"/>
  <c r="D448" i="30"/>
  <c r="DE57" i="10"/>
  <c r="HP57" i="10" s="1"/>
  <c r="DA46" i="10"/>
  <c r="DJ41" i="10"/>
  <c r="HU41" i="10" s="1"/>
  <c r="DJ5" i="10"/>
  <c r="HU5" i="10" s="1"/>
  <c r="DJ28" i="10"/>
  <c r="HU28" i="10" s="1"/>
  <c r="DJ50" i="10"/>
  <c r="HU50" i="10" s="1"/>
  <c r="DJ54" i="10"/>
  <c r="HU54" i="10" s="1"/>
  <c r="L466" i="30"/>
  <c r="DI3" i="10"/>
  <c r="HT3" i="10" s="1"/>
  <c r="DR7" i="10"/>
  <c r="IC7" i="10" s="1"/>
  <c r="DI55" i="10"/>
  <c r="HT55" i="10" s="1"/>
  <c r="CS53" i="10"/>
  <c r="HD53" i="10" s="1"/>
  <c r="CN53" i="10"/>
  <c r="GY53" i="10" s="1"/>
  <c r="DA53" i="10"/>
  <c r="HL53" i="10" s="1"/>
  <c r="CO53" i="10"/>
  <c r="GZ53" i="10" s="1"/>
  <c r="D454" i="30"/>
  <c r="C449" i="30"/>
  <c r="C457" i="30"/>
  <c r="DJ18" i="10"/>
  <c r="HU18" i="10" s="1"/>
  <c r="DJ42" i="10"/>
  <c r="HU42" i="10" s="1"/>
  <c r="DJ62" i="10"/>
  <c r="HU62" i="10" s="1"/>
  <c r="DJ48" i="10"/>
  <c r="HU48" i="10" s="1"/>
  <c r="DR11" i="10"/>
  <c r="IC11" i="10" s="1"/>
  <c r="E485" i="30"/>
  <c r="D452" i="30"/>
  <c r="D451" i="30"/>
  <c r="F458" i="30"/>
  <c r="DJ63" i="10"/>
  <c r="HU63" i="10" s="1"/>
  <c r="D443" i="30"/>
  <c r="D447" i="30"/>
  <c r="CO26" i="10"/>
  <c r="GZ26" i="10" s="1"/>
  <c r="DJ23" i="10"/>
  <c r="HU23" i="10" s="1"/>
  <c r="J442" i="30"/>
  <c r="C446" i="30"/>
  <c r="DJ6" i="10"/>
  <c r="HU6" i="10" s="1"/>
  <c r="DJ52" i="10"/>
  <c r="HU52" i="10" s="1"/>
  <c r="DJ30" i="10"/>
  <c r="HU30" i="10" s="1"/>
  <c r="DJ46" i="10"/>
  <c r="HU46" i="10" s="1"/>
  <c r="DJ36" i="10"/>
  <c r="HU36" i="10" s="1"/>
  <c r="DJ9" i="10"/>
  <c r="HU9" i="10" s="1"/>
  <c r="DJ21" i="10"/>
  <c r="HU21" i="10" s="1"/>
  <c r="DR43" i="10"/>
  <c r="IC43" i="10" s="1"/>
  <c r="DR4" i="10"/>
  <c r="IC4" i="10" s="1"/>
  <c r="DR24" i="10"/>
  <c r="IC24" i="10" s="1"/>
  <c r="DR28" i="10"/>
  <c r="IC28" i="10" s="1"/>
  <c r="DR59" i="10"/>
  <c r="IC59" i="10" s="1"/>
  <c r="L471" i="30"/>
  <c r="DQ8" i="10"/>
  <c r="IB8" i="10" s="1"/>
  <c r="DR39" i="10"/>
  <c r="IC39" i="10" s="1"/>
  <c r="DZ61" i="10"/>
  <c r="IK61" i="10" s="1"/>
  <c r="DE38" i="10"/>
  <c r="HP38" i="10" s="1"/>
  <c r="E468" i="30"/>
  <c r="B476" i="31"/>
  <c r="J445" i="30"/>
  <c r="D455" i="30"/>
  <c r="DJ17" i="10"/>
  <c r="HU17" i="10" s="1"/>
  <c r="DJ56" i="10"/>
  <c r="HU56" i="10" s="1"/>
  <c r="DR51" i="10"/>
  <c r="IC51" i="10" s="1"/>
  <c r="DR33" i="10"/>
  <c r="IC33" i="10" s="1"/>
  <c r="G458" i="30"/>
  <c r="K441" i="30"/>
  <c r="DA43" i="10"/>
  <c r="HL43" i="10" s="1"/>
  <c r="D449" i="30"/>
  <c r="DA4" i="10"/>
  <c r="HL4" i="10" s="1"/>
  <c r="CN6" i="10"/>
  <c r="GY6" i="10" s="1"/>
  <c r="DA44" i="10"/>
  <c r="HL44" i="10" s="1"/>
  <c r="C444" i="30"/>
  <c r="C453" i="30"/>
  <c r="DJ29" i="10"/>
  <c r="HU29" i="10" s="1"/>
  <c r="DJ40" i="10"/>
  <c r="HU40" i="10" s="1"/>
  <c r="DJ13" i="10"/>
  <c r="HU13" i="10" s="1"/>
  <c r="DJ34" i="10"/>
  <c r="HU34" i="10" s="1"/>
  <c r="DJ60" i="10"/>
  <c r="HU60" i="10" s="1"/>
  <c r="DJ22" i="10"/>
  <c r="HU22" i="10" s="1"/>
  <c r="DJ10" i="10"/>
  <c r="HU10" i="10" s="1"/>
  <c r="DJ64" i="10"/>
  <c r="HU64" i="10" s="1"/>
  <c r="DR27" i="10"/>
  <c r="IC27" i="10" s="1"/>
  <c r="DR19" i="10"/>
  <c r="IC19" i="10" s="1"/>
  <c r="J449" i="30"/>
  <c r="DR46" i="10"/>
  <c r="IC46" i="10" s="1"/>
  <c r="DR47" i="10"/>
  <c r="IC47" i="10" s="1"/>
  <c r="DJ4" i="10"/>
  <c r="HU4" i="10" s="1"/>
  <c r="DQ3" i="10"/>
  <c r="IB3" i="10" s="1"/>
  <c r="D442" i="30"/>
  <c r="E398" i="30"/>
  <c r="CS61" i="10"/>
  <c r="HD61" i="10" s="1"/>
  <c r="CO61" i="10"/>
  <c r="GZ61" i="10" s="1"/>
  <c r="DA61" i="10"/>
  <c r="HL61" i="10" s="1"/>
  <c r="CN61" i="10"/>
  <c r="GY61" i="10" s="1"/>
  <c r="DA45" i="10"/>
  <c r="CO46" i="10"/>
  <c r="GZ46" i="10" s="1"/>
  <c r="CN50" i="10"/>
  <c r="GY50" i="10" s="1"/>
  <c r="CO50" i="10"/>
  <c r="GZ50" i="10" s="1"/>
  <c r="G914" i="31"/>
  <c r="I914" i="31"/>
  <c r="K914" i="31"/>
  <c r="K651" i="31"/>
  <c r="I651" i="31"/>
  <c r="H680" i="31"/>
  <c r="J680" i="31"/>
  <c r="J689" i="31"/>
  <c r="H689" i="31"/>
  <c r="J681" i="31"/>
  <c r="H681" i="31"/>
  <c r="H666" i="31"/>
  <c r="J666" i="31"/>
  <c r="J638" i="31"/>
  <c r="H638" i="31"/>
  <c r="J688" i="31"/>
  <c r="H688" i="31"/>
  <c r="I646" i="31"/>
  <c r="K646" i="31"/>
  <c r="H948" i="31"/>
  <c r="F948" i="31"/>
  <c r="J948" i="31"/>
  <c r="K633" i="31"/>
  <c r="I633" i="31"/>
  <c r="H678" i="31"/>
  <c r="J678" i="31"/>
  <c r="H636" i="31"/>
  <c r="J636" i="31"/>
  <c r="H656" i="31"/>
  <c r="J656" i="31"/>
  <c r="I630" i="31"/>
  <c r="K630" i="31"/>
  <c r="F949" i="31"/>
  <c r="J949" i="31"/>
  <c r="H949" i="31"/>
  <c r="K659" i="31"/>
  <c r="I659" i="31"/>
  <c r="I687" i="31"/>
  <c r="K687" i="31"/>
  <c r="I636" i="31"/>
  <c r="K636" i="31"/>
  <c r="J630" i="31"/>
  <c r="H630" i="31"/>
  <c r="H651" i="31"/>
  <c r="J651" i="31"/>
  <c r="K632" i="31"/>
  <c r="I632" i="31"/>
  <c r="H639" i="31"/>
  <c r="J639" i="31"/>
  <c r="F947" i="31"/>
  <c r="H947" i="31"/>
  <c r="J947" i="31"/>
  <c r="J629" i="31"/>
  <c r="H629" i="31"/>
  <c r="I640" i="31"/>
  <c r="K640" i="31"/>
  <c r="K680" i="31"/>
  <c r="I680" i="31"/>
  <c r="I634" i="31"/>
  <c r="K634" i="31"/>
  <c r="K674" i="31"/>
  <c r="I674" i="31"/>
  <c r="K664" i="31"/>
  <c r="I664" i="31"/>
  <c r="I666" i="31"/>
  <c r="K666" i="31"/>
  <c r="K648" i="31"/>
  <c r="I648" i="31"/>
  <c r="J646" i="31"/>
  <c r="H646" i="31"/>
  <c r="K653" i="31"/>
  <c r="I653" i="31"/>
  <c r="K662" i="31"/>
  <c r="I662" i="31"/>
  <c r="F918" i="31"/>
  <c r="J918" i="31"/>
  <c r="H918" i="31"/>
  <c r="H920" i="31"/>
  <c r="F920" i="31"/>
  <c r="J920" i="31"/>
  <c r="I949" i="31"/>
  <c r="K949" i="31"/>
  <c r="G949" i="31"/>
  <c r="I644" i="31"/>
  <c r="K644" i="31"/>
  <c r="J645" i="31"/>
  <c r="H645" i="31"/>
  <c r="H664" i="31"/>
  <c r="J664" i="31"/>
  <c r="H632" i="31"/>
  <c r="J632" i="31"/>
  <c r="J665" i="31"/>
  <c r="H665" i="31"/>
  <c r="K677" i="31"/>
  <c r="I677" i="31"/>
  <c r="J643" i="31"/>
  <c r="H643" i="31"/>
  <c r="H662" i="31"/>
  <c r="J662" i="31"/>
  <c r="F914" i="31"/>
  <c r="H914" i="31"/>
  <c r="J914" i="31"/>
  <c r="K675" i="31"/>
  <c r="I675" i="31"/>
  <c r="K637" i="31"/>
  <c r="I637" i="31"/>
  <c r="K681" i="31"/>
  <c r="I681" i="31"/>
  <c r="K917" i="31"/>
  <c r="G917" i="31"/>
  <c r="I917" i="31"/>
  <c r="J952" i="31"/>
  <c r="H952" i="31"/>
  <c r="F952" i="31"/>
  <c r="J951" i="31"/>
  <c r="F951" i="31"/>
  <c r="H951" i="31"/>
  <c r="H642" i="31"/>
  <c r="J642" i="31"/>
  <c r="I650" i="31"/>
  <c r="K650" i="31"/>
  <c r="I647" i="31"/>
  <c r="K647" i="31"/>
  <c r="I629" i="31"/>
  <c r="K629" i="31"/>
  <c r="F919" i="31"/>
  <c r="H919" i="31"/>
  <c r="J919" i="31"/>
  <c r="K678" i="31"/>
  <c r="I678" i="31"/>
  <c r="J640" i="31"/>
  <c r="H640" i="31"/>
  <c r="H631" i="31"/>
  <c r="J631" i="31"/>
  <c r="K685" i="31"/>
  <c r="I685" i="31"/>
  <c r="H648" i="31"/>
  <c r="J648" i="31"/>
  <c r="K688" i="31"/>
  <c r="I688" i="31"/>
  <c r="K671" i="31"/>
  <c r="I671" i="31"/>
  <c r="I656" i="31"/>
  <c r="K656" i="31"/>
  <c r="I643" i="31"/>
  <c r="K643" i="31"/>
  <c r="I631" i="31"/>
  <c r="K631" i="31"/>
  <c r="J641" i="31"/>
  <c r="H641" i="31"/>
  <c r="J685" i="31"/>
  <c r="H685" i="31"/>
  <c r="H650" i="31"/>
  <c r="J650" i="31"/>
  <c r="J647" i="31"/>
  <c r="H647" i="31"/>
  <c r="K639" i="31"/>
  <c r="I639" i="31"/>
  <c r="H644" i="31"/>
  <c r="J644" i="31"/>
  <c r="I641" i="31"/>
  <c r="K641" i="31"/>
  <c r="K657" i="31"/>
  <c r="I657" i="31"/>
  <c r="K663" i="31"/>
  <c r="I663" i="31"/>
  <c r="H898" i="31"/>
  <c r="J898" i="31"/>
  <c r="F898" i="31"/>
  <c r="H917" i="31"/>
  <c r="J917" i="31"/>
  <c r="F917" i="31"/>
  <c r="J677" i="31"/>
  <c r="H677" i="31"/>
  <c r="I642" i="31"/>
  <c r="K642" i="31"/>
  <c r="H674" i="31"/>
  <c r="J674" i="31"/>
  <c r="I638" i="31"/>
  <c r="K638" i="31"/>
  <c r="J637" i="31"/>
  <c r="H637" i="31"/>
  <c r="H634" i="31"/>
  <c r="J634" i="31"/>
  <c r="K645" i="31"/>
  <c r="I645" i="31"/>
  <c r="J635" i="31"/>
  <c r="H635" i="31"/>
  <c r="J657" i="31"/>
  <c r="H657" i="31"/>
  <c r="K689" i="31"/>
  <c r="I689" i="31"/>
  <c r="I635" i="31"/>
  <c r="K635" i="31"/>
  <c r="E466" i="30"/>
  <c r="DI15" i="10"/>
  <c r="HT15" i="10" s="1"/>
  <c r="DJ15" i="10"/>
  <c r="HU15" i="10" s="1"/>
  <c r="A965" i="33"/>
  <c r="A577" i="33"/>
  <c r="A1063" i="33"/>
  <c r="A644" i="33"/>
  <c r="A510" i="33"/>
  <c r="A443" i="33"/>
  <c r="A222" i="33"/>
  <c r="A377" i="33"/>
  <c r="K445" i="30"/>
  <c r="K452" i="30"/>
  <c r="K443" i="30"/>
  <c r="K449" i="30"/>
  <c r="K451" i="30"/>
  <c r="N459" i="30"/>
  <c r="D437" i="30"/>
  <c r="D456" i="30"/>
  <c r="N458" i="30"/>
  <c r="K455" i="30"/>
  <c r="K454" i="30"/>
  <c r="K447" i="30"/>
  <c r="D441" i="30"/>
  <c r="M459" i="30"/>
  <c r="K450" i="30"/>
  <c r="M458" i="30"/>
  <c r="K448" i="30"/>
  <c r="D422" i="30"/>
  <c r="K442" i="30"/>
  <c r="K456" i="30"/>
  <c r="DJ49" i="10"/>
  <c r="HU49" i="10" s="1"/>
  <c r="E496" i="30"/>
  <c r="DI45" i="10"/>
  <c r="E494" i="30"/>
  <c r="E463" i="30"/>
  <c r="E482" i="30"/>
  <c r="E495" i="30"/>
  <c r="D485" i="30"/>
  <c r="EH33" i="10"/>
  <c r="IS33" i="10" s="1"/>
  <c r="EH36" i="10"/>
  <c r="IS36" i="10" s="1"/>
  <c r="C498" i="30"/>
  <c r="DJ7" i="10"/>
  <c r="HU7" i="10" s="1"/>
  <c r="E483" i="30"/>
  <c r="E487" i="30"/>
  <c r="DJ27" i="10"/>
  <c r="HU27" i="10" s="1"/>
  <c r="D498" i="30"/>
  <c r="E505" i="30"/>
  <c r="E467" i="30"/>
  <c r="E486" i="30"/>
  <c r="C485" i="30"/>
  <c r="E471" i="30"/>
  <c r="E490" i="30"/>
  <c r="D484" i="30"/>
  <c r="E481" i="30"/>
  <c r="E500" i="30"/>
  <c r="E497" i="30"/>
  <c r="L509" i="30"/>
  <c r="EH26" i="10"/>
  <c r="IS26" i="10" s="1"/>
  <c r="DZ58" i="10"/>
  <c r="IK58" i="10" s="1"/>
  <c r="E491" i="30"/>
  <c r="E473" i="30"/>
  <c r="E492" i="30"/>
  <c r="DJ33" i="10"/>
  <c r="HU33" i="10" s="1"/>
  <c r="E489" i="30"/>
  <c r="E499" i="30"/>
  <c r="E488" i="30"/>
  <c r="DJ43" i="10"/>
  <c r="HU43" i="10" s="1"/>
  <c r="E493" i="30"/>
  <c r="E484" i="30"/>
  <c r="E498" i="30"/>
  <c r="DJ14" i="10"/>
  <c r="HU14" i="10" s="1"/>
  <c r="DJ57" i="10"/>
  <c r="HU57" i="10" s="1"/>
  <c r="DJ31" i="10"/>
  <c r="HU31" i="10" s="1"/>
  <c r="C489" i="31"/>
  <c r="G619" i="31" s="1"/>
  <c r="DZ55" i="10"/>
  <c r="IK55" i="10" s="1"/>
  <c r="I396" i="30"/>
  <c r="F152" i="33"/>
  <c r="H152" i="33" s="1"/>
  <c r="H218" i="33" s="1"/>
  <c r="F100" i="33"/>
  <c r="H100" i="33" s="1"/>
  <c r="H166" i="33" s="1"/>
  <c r="F126" i="33"/>
  <c r="H126" i="33" s="1"/>
  <c r="H192" i="33" s="1"/>
  <c r="F144" i="33"/>
  <c r="H144" i="33" s="1"/>
  <c r="H210" i="33" s="1"/>
  <c r="F102" i="33"/>
  <c r="H102" i="33" s="1"/>
  <c r="H168" i="33" s="1"/>
  <c r="H190" i="33"/>
  <c r="F153" i="33"/>
  <c r="H153" i="33" s="1"/>
  <c r="H219" i="33" s="1"/>
  <c r="F113" i="33"/>
  <c r="H113" i="33" s="1"/>
  <c r="H179" i="33" s="1"/>
  <c r="F140" i="33"/>
  <c r="H140" i="33" s="1"/>
  <c r="H206" i="33" s="1"/>
  <c r="F150" i="33"/>
  <c r="H150" i="33" s="1"/>
  <c r="H216" i="33" s="1"/>
  <c r="F114" i="33"/>
  <c r="H114" i="33" s="1"/>
  <c r="H180" i="33" s="1"/>
  <c r="H164" i="33"/>
  <c r="H194" i="33"/>
  <c r="F145" i="33"/>
  <c r="H145" i="33" s="1"/>
  <c r="H211" i="33" s="1"/>
  <c r="H172" i="33"/>
  <c r="H177" i="33"/>
  <c r="F137" i="33"/>
  <c r="H137" i="33" s="1"/>
  <c r="H203" i="33" s="1"/>
  <c r="H207" i="33"/>
  <c r="F156" i="33"/>
  <c r="H156" i="33" s="1"/>
  <c r="H222" i="33" s="1"/>
  <c r="F116" i="33"/>
  <c r="H116" i="33" s="1"/>
  <c r="H182" i="33" s="1"/>
  <c r="F149" i="33"/>
  <c r="H149" i="33" s="1"/>
  <c r="H215" i="33" s="1"/>
  <c r="H175" i="33"/>
  <c r="F108" i="33"/>
  <c r="H108" i="33" s="1"/>
  <c r="H174" i="33" s="1"/>
  <c r="F154" i="33"/>
  <c r="H154" i="33" s="1"/>
  <c r="H220" i="33" s="1"/>
  <c r="H176" i="33"/>
  <c r="H209" i="33"/>
  <c r="H95" i="33"/>
  <c r="H161" i="33" s="1"/>
  <c r="F107" i="33"/>
  <c r="H107" i="33" s="1"/>
  <c r="H173" i="33" s="1"/>
  <c r="F155" i="33"/>
  <c r="H155" i="33" s="1"/>
  <c r="H221" i="33" s="1"/>
  <c r="F103" i="33"/>
  <c r="H103" i="33" s="1"/>
  <c r="H169" i="33" s="1"/>
  <c r="H191" i="33"/>
  <c r="H205" i="33"/>
  <c r="F147" i="33"/>
  <c r="H147" i="33" s="1"/>
  <c r="H213" i="33" s="1"/>
  <c r="F123" i="33"/>
  <c r="H123" i="33" s="1"/>
  <c r="H189" i="33" s="1"/>
  <c r="F104" i="33"/>
  <c r="H104" i="33" s="1"/>
  <c r="H170" i="33" s="1"/>
  <c r="F142" i="33"/>
  <c r="H142" i="33" s="1"/>
  <c r="H208" i="33" s="1"/>
  <c r="F115" i="33"/>
  <c r="H115" i="33" s="1"/>
  <c r="H181" i="33" s="1"/>
  <c r="F118" i="33"/>
  <c r="H118" i="33" s="1"/>
  <c r="H184" i="33" s="1"/>
  <c r="EH56" i="10"/>
  <c r="IS56" i="10" s="1"/>
  <c r="DR55" i="10"/>
  <c r="IC55" i="10" s="1"/>
  <c r="L479" i="30"/>
  <c r="L522" i="30"/>
  <c r="DZ6" i="10"/>
  <c r="IK6" i="10" s="1"/>
  <c r="DZ29" i="10"/>
  <c r="IK29" i="10" s="1"/>
  <c r="EH19" i="10"/>
  <c r="IS19" i="10" s="1"/>
  <c r="EH48" i="10"/>
  <c r="IS48" i="10" s="1"/>
  <c r="DZ38" i="10"/>
  <c r="IK38" i="10" s="1"/>
  <c r="DZ24" i="10"/>
  <c r="IK24" i="10" s="1"/>
  <c r="EH16" i="10"/>
  <c r="IS16" i="10" s="1"/>
  <c r="EH9" i="10"/>
  <c r="IS9" i="10" s="1"/>
  <c r="E514" i="30"/>
  <c r="E515" i="30"/>
  <c r="DZ27" i="10"/>
  <c r="IK27" i="10" s="1"/>
  <c r="E510" i="30"/>
  <c r="EH14" i="10"/>
  <c r="IS14" i="10" s="1"/>
  <c r="E469" i="30"/>
  <c r="DR35" i="10"/>
  <c r="IC35" i="10" s="1"/>
  <c r="EH23" i="10"/>
  <c r="IS23" i="10" s="1"/>
  <c r="DR15" i="10"/>
  <c r="IC15" i="10" s="1"/>
  <c r="EH49" i="10"/>
  <c r="IS49" i="10" s="1"/>
  <c r="DR57" i="10"/>
  <c r="IC57" i="10" s="1"/>
  <c r="L520" i="30"/>
  <c r="DI27" i="10"/>
  <c r="HT27" i="10" s="1"/>
  <c r="EH44" i="10"/>
  <c r="IS44" i="10" s="1"/>
  <c r="DJ61" i="10"/>
  <c r="HU61" i="10" s="1"/>
  <c r="DR49" i="10"/>
  <c r="IC49" i="10" s="1"/>
  <c r="EH61" i="10"/>
  <c r="IS61" i="10" s="1"/>
  <c r="EH55" i="10"/>
  <c r="IS55" i="10" s="1"/>
  <c r="EH18" i="10"/>
  <c r="IS18" i="10" s="1"/>
  <c r="EH29" i="10"/>
  <c r="IS29" i="10" s="1"/>
  <c r="EH10" i="10"/>
  <c r="IS10" i="10" s="1"/>
  <c r="L467" i="30"/>
  <c r="EH40" i="10"/>
  <c r="IS40" i="10" s="1"/>
  <c r="EH57" i="10"/>
  <c r="IS57" i="10" s="1"/>
  <c r="DZ23" i="10"/>
  <c r="IK23" i="10" s="1"/>
  <c r="EH43" i="10"/>
  <c r="IS43" i="10" s="1"/>
  <c r="DZ45" i="10"/>
  <c r="IK45" i="10" s="1"/>
  <c r="EH30" i="10"/>
  <c r="IS30" i="10" s="1"/>
  <c r="EH62" i="10"/>
  <c r="IS62" i="10" s="1"/>
  <c r="EH32" i="10"/>
  <c r="IS32" i="10" s="1"/>
  <c r="E506" i="30"/>
  <c r="EH6" i="10"/>
  <c r="IS6" i="10" s="1"/>
  <c r="DZ48" i="10"/>
  <c r="IK48" i="10" s="1"/>
  <c r="H396" i="30"/>
  <c r="H385" i="30"/>
  <c r="DR41" i="10"/>
  <c r="IC41" i="10" s="1"/>
  <c r="DZ63" i="10"/>
  <c r="IK63" i="10" s="1"/>
  <c r="CO30" i="10"/>
  <c r="GZ30" i="10" s="1"/>
  <c r="L516" i="30"/>
  <c r="EH59" i="10"/>
  <c r="IS59" i="10" s="1"/>
  <c r="EH28" i="10"/>
  <c r="IS28" i="10" s="1"/>
  <c r="CO40" i="10"/>
  <c r="GZ40" i="10" s="1"/>
  <c r="EH47" i="10"/>
  <c r="IS47" i="10" s="1"/>
  <c r="L521" i="30"/>
  <c r="E516" i="30"/>
  <c r="EH45" i="10"/>
  <c r="IS45" i="10" s="1"/>
  <c r="DJ58" i="10"/>
  <c r="HU58" i="10" s="1"/>
  <c r="EH35" i="10"/>
  <c r="IS35" i="10" s="1"/>
  <c r="DZ52" i="10"/>
  <c r="IK52" i="10" s="1"/>
  <c r="E513" i="30"/>
  <c r="DZ19" i="10"/>
  <c r="IK19" i="10" s="1"/>
  <c r="DJ47" i="10"/>
  <c r="HU47" i="10" s="1"/>
  <c r="L474" i="30"/>
  <c r="EH46" i="10"/>
  <c r="IS46" i="10" s="1"/>
  <c r="E519" i="30"/>
  <c r="DZ40" i="10"/>
  <c r="IK40" i="10" s="1"/>
  <c r="DJ59" i="10"/>
  <c r="HU59" i="10" s="1"/>
  <c r="DZ32" i="10"/>
  <c r="IK32" i="10" s="1"/>
  <c r="DZ14" i="10"/>
  <c r="IK14" i="10" s="1"/>
  <c r="EH24" i="10"/>
  <c r="IS24" i="10" s="1"/>
  <c r="DZ64" i="10"/>
  <c r="IK64" i="10" s="1"/>
  <c r="DZ17" i="10"/>
  <c r="IK17" i="10" s="1"/>
  <c r="EH7" i="10"/>
  <c r="IS7" i="10" s="1"/>
  <c r="EH38" i="10"/>
  <c r="IS38" i="10" s="1"/>
  <c r="DR29" i="10"/>
  <c r="IC29" i="10" s="1"/>
  <c r="DJ45" i="10"/>
  <c r="HU45" i="10" s="1"/>
  <c r="DZ12" i="10"/>
  <c r="IK12" i="10" s="1"/>
  <c r="E475" i="30"/>
  <c r="DJ32" i="10"/>
  <c r="HU32" i="10" s="1"/>
  <c r="EH41" i="10"/>
  <c r="IS41" i="10" s="1"/>
  <c r="DR5" i="10"/>
  <c r="IC5" i="10" s="1"/>
  <c r="DZ8" i="10"/>
  <c r="IK8" i="10" s="1"/>
  <c r="EH42" i="10"/>
  <c r="IS42" i="10" s="1"/>
  <c r="B461" i="31"/>
  <c r="F591" i="31" s="1"/>
  <c r="C442" i="31"/>
  <c r="G572" i="31" s="1"/>
  <c r="DZ4" i="10"/>
  <c r="IK4" i="10" s="1"/>
  <c r="E478" i="30"/>
  <c r="L507" i="30"/>
  <c r="DZ44" i="10"/>
  <c r="IK44" i="10" s="1"/>
  <c r="CN24" i="10"/>
  <c r="GY24" i="10" s="1"/>
  <c r="DI24" i="10"/>
  <c r="HT24" i="10" s="1"/>
  <c r="EH50" i="10"/>
  <c r="IS50" i="10" s="1"/>
  <c r="EH63" i="10"/>
  <c r="IS63" i="10" s="1"/>
  <c r="CN17" i="10"/>
  <c r="GY17" i="10" s="1"/>
  <c r="DR25" i="10"/>
  <c r="IC25" i="10" s="1"/>
  <c r="E474" i="30"/>
  <c r="EH15" i="10"/>
  <c r="IS15" i="10" s="1"/>
  <c r="EH22" i="10"/>
  <c r="IS22" i="10" s="1"/>
  <c r="EH25" i="10"/>
  <c r="IS25" i="10" s="1"/>
  <c r="DZ22" i="10"/>
  <c r="IK22" i="10" s="1"/>
  <c r="DR13" i="10"/>
  <c r="IC13" i="10" s="1"/>
  <c r="DQ55" i="10"/>
  <c r="IB55" i="10" s="1"/>
  <c r="DZ10" i="10"/>
  <c r="IK10" i="10" s="1"/>
  <c r="DQ60" i="10"/>
  <c r="IB60" i="10" s="1"/>
  <c r="DZ59" i="10"/>
  <c r="IK59" i="10" s="1"/>
  <c r="DI35" i="10"/>
  <c r="HT35" i="10" s="1"/>
  <c r="EH60" i="10"/>
  <c r="IS60" i="10" s="1"/>
  <c r="DR60" i="10"/>
  <c r="IC60" i="10" s="1"/>
  <c r="DZ42" i="10"/>
  <c r="IK42" i="10" s="1"/>
  <c r="EH21" i="10"/>
  <c r="IS21" i="10" s="1"/>
  <c r="EH53" i="10"/>
  <c r="IS53" i="10" s="1"/>
  <c r="E512" i="30"/>
  <c r="CN54" i="10"/>
  <c r="GY54" i="10" s="1"/>
  <c r="DZ26" i="10"/>
  <c r="IK26" i="10" s="1"/>
  <c r="L469" i="30"/>
  <c r="DZ60" i="10"/>
  <c r="IK60" i="10" s="1"/>
  <c r="DZ57" i="10"/>
  <c r="IK57" i="10" s="1"/>
  <c r="DQ20" i="10"/>
  <c r="IB20" i="10" s="1"/>
  <c r="EH5" i="10"/>
  <c r="IS5" i="10" s="1"/>
  <c r="CS13" i="10"/>
  <c r="HD13" i="10" s="1"/>
  <c r="DR21" i="10"/>
  <c r="IC21" i="10" s="1"/>
  <c r="DQ21" i="10"/>
  <c r="IB21" i="10" s="1"/>
  <c r="EH8" i="10"/>
  <c r="IS8" i="10" s="1"/>
  <c r="EH27" i="10"/>
  <c r="IS27" i="10" s="1"/>
  <c r="DQ31" i="10"/>
  <c r="IB31" i="10" s="1"/>
  <c r="DJ35" i="10"/>
  <c r="HU35" i="10" s="1"/>
  <c r="DR31" i="10"/>
  <c r="IC31" i="10" s="1"/>
  <c r="EH54" i="10"/>
  <c r="IS54" i="10" s="1"/>
  <c r="EH64" i="10"/>
  <c r="IS64" i="10" s="1"/>
  <c r="E517" i="30"/>
  <c r="DZ36" i="10"/>
  <c r="IK36" i="10" s="1"/>
  <c r="DQ29" i="10"/>
  <c r="IB29" i="10" s="1"/>
  <c r="DR36" i="10"/>
  <c r="IC36" i="10" s="1"/>
  <c r="DQ36" i="10"/>
  <c r="IB36" i="10" s="1"/>
  <c r="EH34" i="10"/>
  <c r="IS34" i="10" s="1"/>
  <c r="G552" i="35"/>
  <c r="D509" i="30"/>
  <c r="DZ15" i="10"/>
  <c r="IK15" i="10" s="1"/>
  <c r="DJ51" i="10"/>
  <c r="HU51" i="10" s="1"/>
  <c r="E470" i="30"/>
  <c r="DZ18" i="10"/>
  <c r="IK18" i="10" s="1"/>
  <c r="DJ12" i="10"/>
  <c r="HU12" i="10" s="1"/>
  <c r="CN37" i="10"/>
  <c r="GY37" i="10" s="1"/>
  <c r="C461" i="31"/>
  <c r="G591" i="31" s="1"/>
  <c r="L505" i="30"/>
  <c r="DZ62" i="10"/>
  <c r="IK62" i="10" s="1"/>
  <c r="E476" i="30"/>
  <c r="DZ34" i="10"/>
  <c r="IK34" i="10" s="1"/>
  <c r="DZ21" i="10"/>
  <c r="IK21" i="10" s="1"/>
  <c r="CO3" i="10"/>
  <c r="GZ3" i="10" s="1"/>
  <c r="CO37" i="10"/>
  <c r="GZ37" i="10" s="1"/>
  <c r="DR9" i="10"/>
  <c r="IC9" i="10" s="1"/>
  <c r="DD36" i="10"/>
  <c r="HO36" i="10" s="1"/>
  <c r="I385" i="30"/>
  <c r="CW8" i="10"/>
  <c r="HH8" i="10" s="1"/>
  <c r="DZ41" i="10"/>
  <c r="IK41" i="10" s="1"/>
  <c r="DI59" i="10"/>
  <c r="HT59" i="10" s="1"/>
  <c r="DQ57" i="10"/>
  <c r="IB57" i="10" s="1"/>
  <c r="E522" i="30"/>
  <c r="DZ53" i="10"/>
  <c r="IK53" i="10" s="1"/>
  <c r="DZ28" i="10"/>
  <c r="IK28" i="10" s="1"/>
  <c r="DZ7" i="10"/>
  <c r="IK7" i="10" s="1"/>
  <c r="E509" i="30"/>
  <c r="E521" i="30"/>
  <c r="E520" i="30"/>
  <c r="E507" i="30"/>
  <c r="DJ16" i="10"/>
  <c r="HU16" i="10" s="1"/>
  <c r="L477" i="30"/>
  <c r="CW55" i="10"/>
  <c r="HH55" i="10" s="1"/>
  <c r="DJ24" i="10"/>
  <c r="HU24" i="10" s="1"/>
  <c r="DQ61" i="10"/>
  <c r="IB61" i="10" s="1"/>
  <c r="DJ39" i="10"/>
  <c r="HU39" i="10" s="1"/>
  <c r="E472" i="30"/>
  <c r="E477" i="30"/>
  <c r="K435" i="30"/>
  <c r="DQ13" i="10"/>
  <c r="IB13" i="10" s="1"/>
  <c r="DR30" i="10"/>
  <c r="IC30" i="10" s="1"/>
  <c r="DQ17" i="10"/>
  <c r="IB17" i="10" s="1"/>
  <c r="DR17" i="10"/>
  <c r="IC17" i="10" s="1"/>
  <c r="L470" i="30"/>
  <c r="DJ37" i="10"/>
  <c r="HU37" i="10" s="1"/>
  <c r="E480" i="30"/>
  <c r="DR61" i="10"/>
  <c r="IC61" i="10" s="1"/>
  <c r="L481" i="30"/>
  <c r="DJ53" i="10"/>
  <c r="HU53" i="10" s="1"/>
  <c r="DR10" i="10"/>
  <c r="IC10" i="10" s="1"/>
  <c r="DR40" i="10"/>
  <c r="IC40" i="10" s="1"/>
  <c r="DR16" i="10"/>
  <c r="IC16" i="10" s="1"/>
  <c r="DI53" i="10"/>
  <c r="HT53" i="10" s="1"/>
  <c r="DR26" i="10"/>
  <c r="IC26" i="10" s="1"/>
  <c r="DD38" i="10"/>
  <c r="HO38" i="10" s="1"/>
  <c r="CV38" i="10"/>
  <c r="HG38" i="10" s="1"/>
  <c r="K423" i="30"/>
  <c r="DQ35" i="10"/>
  <c r="IB35" i="10" s="1"/>
  <c r="DR20" i="10"/>
  <c r="IC20" i="10" s="1"/>
  <c r="DQ53" i="10"/>
  <c r="IB53" i="10" s="1"/>
  <c r="DR53" i="10"/>
  <c r="IC53" i="10" s="1"/>
  <c r="L472" i="30"/>
  <c r="DJ25" i="10"/>
  <c r="HU25" i="10" s="1"/>
  <c r="L478" i="30"/>
  <c r="DJ3" i="10"/>
  <c r="HU3" i="10" s="1"/>
  <c r="L463" i="30"/>
  <c r="DR12" i="10"/>
  <c r="IC12" i="10" s="1"/>
  <c r="DR37" i="10"/>
  <c r="IC37" i="10" s="1"/>
  <c r="DR6" i="10"/>
  <c r="IC6" i="10" s="1"/>
  <c r="DR8" i="10"/>
  <c r="IC8" i="10" s="1"/>
  <c r="L473" i="30"/>
  <c r="DR38" i="10"/>
  <c r="IC38" i="10" s="1"/>
  <c r="DQ38" i="10"/>
  <c r="IB38" i="10" s="1"/>
  <c r="DQ24" i="10"/>
  <c r="IB24" i="10" s="1"/>
  <c r="DQ5" i="10"/>
  <c r="IB5" i="10" s="1"/>
  <c r="DQ47" i="10"/>
  <c r="IB47" i="10" s="1"/>
  <c r="CO6" i="10"/>
  <c r="GZ6" i="10" s="1"/>
  <c r="DJ44" i="10"/>
  <c r="HU44" i="10" s="1"/>
  <c r="DJ38" i="10"/>
  <c r="HU38" i="10" s="1"/>
  <c r="E382" i="30"/>
  <c r="DA14" i="10"/>
  <c r="HL14" i="10" s="1"/>
  <c r="DQ14" i="10"/>
  <c r="IB14" i="10" s="1"/>
  <c r="DQ15" i="10"/>
  <c r="IB15" i="10" s="1"/>
  <c r="DQ30" i="10"/>
  <c r="IB30" i="10" s="1"/>
  <c r="DR62" i="10"/>
  <c r="IC62" i="10" s="1"/>
  <c r="DQ62" i="10"/>
  <c r="IB62" i="10" s="1"/>
  <c r="DQ19" i="10"/>
  <c r="IB19" i="10" s="1"/>
  <c r="DQ51" i="10"/>
  <c r="IB51" i="10" s="1"/>
  <c r="DQ48" i="10"/>
  <c r="IB48" i="10" s="1"/>
  <c r="DR48" i="10"/>
  <c r="IC48" i="10" s="1"/>
  <c r="DQ11" i="10"/>
  <c r="IB11" i="10" s="1"/>
  <c r="L465" i="30"/>
  <c r="DR18" i="10"/>
  <c r="IC18" i="10" s="1"/>
  <c r="DQ18" i="10"/>
  <c r="IB18" i="10" s="1"/>
  <c r="DR23" i="10"/>
  <c r="IC23" i="10" s="1"/>
  <c r="DQ23" i="10"/>
  <c r="IB23" i="10" s="1"/>
  <c r="DQ45" i="10"/>
  <c r="IB45" i="10" s="1"/>
  <c r="L475" i="30"/>
  <c r="CN46" i="10"/>
  <c r="GY46" i="10" s="1"/>
  <c r="CN11" i="10"/>
  <c r="GY11" i="10" s="1"/>
  <c r="DA33" i="10"/>
  <c r="HL33" i="10" s="1"/>
  <c r="DQ33" i="10"/>
  <c r="IB33" i="10" s="1"/>
  <c r="DR45" i="10"/>
  <c r="IC45" i="10" s="1"/>
  <c r="DA12" i="10"/>
  <c r="HL12" i="10" s="1"/>
  <c r="DQ12" i="10"/>
  <c r="IB12" i="10" s="1"/>
  <c r="DA41" i="10"/>
  <c r="HL41" i="10" s="1"/>
  <c r="DQ41" i="10"/>
  <c r="IB41" i="10" s="1"/>
  <c r="DI43" i="10"/>
  <c r="HT43" i="10" s="1"/>
  <c r="DQ43" i="10"/>
  <c r="IB43" i="10" s="1"/>
  <c r="DQ42" i="10"/>
  <c r="IB42" i="10" s="1"/>
  <c r="DR42" i="10"/>
  <c r="IC42" i="10" s="1"/>
  <c r="DR54" i="10"/>
  <c r="IC54" i="10" s="1"/>
  <c r="DQ54" i="10"/>
  <c r="IB54" i="10" s="1"/>
  <c r="DQ34" i="10"/>
  <c r="IB34" i="10" s="1"/>
  <c r="DR34" i="10"/>
  <c r="IC34" i="10" s="1"/>
  <c r="DQ56" i="10"/>
  <c r="IB56" i="10" s="1"/>
  <c r="DR56" i="10"/>
  <c r="IC56" i="10" s="1"/>
  <c r="DR50" i="10"/>
  <c r="IC50" i="10" s="1"/>
  <c r="DQ50" i="10"/>
  <c r="IB50" i="10" s="1"/>
  <c r="DQ28" i="10"/>
  <c r="IB28" i="10" s="1"/>
  <c r="DR44" i="10"/>
  <c r="IC44" i="10" s="1"/>
  <c r="DQ44" i="10"/>
  <c r="IB44" i="10" s="1"/>
  <c r="DQ32" i="10"/>
  <c r="IB32" i="10" s="1"/>
  <c r="DR32" i="10"/>
  <c r="IC32" i="10" s="1"/>
  <c r="DQ22" i="10"/>
  <c r="IB22" i="10" s="1"/>
  <c r="DR22" i="10"/>
  <c r="IC22" i="10" s="1"/>
  <c r="DQ25" i="10"/>
  <c r="IB25" i="10" s="1"/>
  <c r="DA6" i="10"/>
  <c r="HL6" i="10" s="1"/>
  <c r="DQ6" i="10"/>
  <c r="IB6" i="10" s="1"/>
  <c r="DA26" i="10"/>
  <c r="HL26" i="10" s="1"/>
  <c r="DQ26" i="10"/>
  <c r="IB26" i="10" s="1"/>
  <c r="E390" i="30"/>
  <c r="DQ39" i="10"/>
  <c r="IB39" i="10" s="1"/>
  <c r="DR52" i="10"/>
  <c r="IC52" i="10" s="1"/>
  <c r="DQ52" i="10"/>
  <c r="IB52" i="10" s="1"/>
  <c r="CO11" i="10"/>
  <c r="GZ11" i="10" s="1"/>
  <c r="L476" i="30"/>
  <c r="DA49" i="10"/>
  <c r="HL49" i="10" s="1"/>
  <c r="DQ49" i="10"/>
  <c r="IB49" i="10" s="1"/>
  <c r="DA16" i="10"/>
  <c r="HL16" i="10" s="1"/>
  <c r="DQ16" i="10"/>
  <c r="IB16" i="10" s="1"/>
  <c r="DA40" i="10"/>
  <c r="DQ40" i="10"/>
  <c r="IB40" i="10" s="1"/>
  <c r="DA9" i="10"/>
  <c r="HL9" i="10" s="1"/>
  <c r="DQ9" i="10"/>
  <c r="IB9" i="10" s="1"/>
  <c r="DA37" i="10"/>
  <c r="HL37" i="10" s="1"/>
  <c r="DQ37" i="10"/>
  <c r="IB37" i="10" s="1"/>
  <c r="L468" i="30"/>
  <c r="DQ27" i="10"/>
  <c r="IB27" i="10" s="1"/>
  <c r="DR58" i="10"/>
  <c r="IC58" i="10" s="1"/>
  <c r="DQ58" i="10"/>
  <c r="IB58" i="10" s="1"/>
  <c r="DQ4" i="10"/>
  <c r="IB4" i="10" s="1"/>
  <c r="DQ63" i="10"/>
  <c r="IB63" i="10" s="1"/>
  <c r="DR63" i="10"/>
  <c r="IC63" i="10" s="1"/>
  <c r="DQ10" i="10"/>
  <c r="IB10" i="10" s="1"/>
  <c r="DQ46" i="10"/>
  <c r="IB46" i="10" s="1"/>
  <c r="L480" i="30"/>
  <c r="DQ59" i="10"/>
  <c r="IB59" i="10" s="1"/>
  <c r="DR64" i="10"/>
  <c r="IC64" i="10" s="1"/>
  <c r="DQ64" i="10"/>
  <c r="IB64" i="10" s="1"/>
  <c r="DQ7" i="10"/>
  <c r="IB7" i="10" s="1"/>
  <c r="L464" i="30"/>
  <c r="L517" i="30"/>
  <c r="CS10" i="10"/>
  <c r="HD10" i="10" s="1"/>
  <c r="DI10" i="10"/>
  <c r="HT10" i="10" s="1"/>
  <c r="DI12" i="10"/>
  <c r="HT12" i="10" s="1"/>
  <c r="DI16" i="10"/>
  <c r="HT16" i="10" s="1"/>
  <c r="DI14" i="10"/>
  <c r="HT14" i="10" s="1"/>
  <c r="DI64" i="10"/>
  <c r="HT64" i="10" s="1"/>
  <c r="DI57" i="10"/>
  <c r="HT57" i="10" s="1"/>
  <c r="DA11" i="10"/>
  <c r="HL11" i="10" s="1"/>
  <c r="DI11" i="10"/>
  <c r="HT11" i="10" s="1"/>
  <c r="DI23" i="10"/>
  <c r="HT23" i="10" s="1"/>
  <c r="CN23" i="10"/>
  <c r="GY23" i="10" s="1"/>
  <c r="CV63" i="10"/>
  <c r="HG63" i="10" s="1"/>
  <c r="DA51" i="10"/>
  <c r="HL51" i="10" s="1"/>
  <c r="DI51" i="10"/>
  <c r="HT51" i="10" s="1"/>
  <c r="CN10" i="10"/>
  <c r="GY10" i="10" s="1"/>
  <c r="DA19" i="10"/>
  <c r="HL19" i="10" s="1"/>
  <c r="DI19" i="10"/>
  <c r="HT19" i="10" s="1"/>
  <c r="DA3" i="10"/>
  <c r="HL3" i="10" s="1"/>
  <c r="E380" i="30"/>
  <c r="CO23" i="10"/>
  <c r="GZ23" i="10" s="1"/>
  <c r="CN3" i="10"/>
  <c r="GY3" i="10" s="1"/>
  <c r="DA31" i="10"/>
  <c r="HL31" i="10" s="1"/>
  <c r="DI31" i="10"/>
  <c r="HT31" i="10" s="1"/>
  <c r="DA47" i="10"/>
  <c r="HL47" i="10" s="1"/>
  <c r="DI47" i="10"/>
  <c r="HT47" i="10" s="1"/>
  <c r="CS3" i="10"/>
  <c r="HD3" i="10" s="1"/>
  <c r="DI32" i="10"/>
  <c r="HT32" i="10" s="1"/>
  <c r="DI33" i="10"/>
  <c r="HT33" i="10" s="1"/>
  <c r="DI4" i="10"/>
  <c r="HT4" i="10" s="1"/>
  <c r="DI37" i="10"/>
  <c r="HT37" i="10" s="1"/>
  <c r="DI39" i="10"/>
  <c r="HT39" i="10" s="1"/>
  <c r="DI7" i="10"/>
  <c r="HT7" i="10" s="1"/>
  <c r="DI58" i="10"/>
  <c r="HT58" i="10" s="1"/>
  <c r="DI44" i="10"/>
  <c r="HT44" i="10" s="1"/>
  <c r="DI21" i="10"/>
  <c r="HT21" i="10" s="1"/>
  <c r="DA24" i="10"/>
  <c r="HL24" i="10" s="1"/>
  <c r="CO24" i="10"/>
  <c r="GZ24" i="10" s="1"/>
  <c r="DI26" i="10"/>
  <c r="HT26" i="10" s="1"/>
  <c r="DI5" i="10"/>
  <c r="HT5" i="10" s="1"/>
  <c r="DI17" i="10"/>
  <c r="HT17" i="10" s="1"/>
  <c r="DI40" i="10"/>
  <c r="HT40" i="10" s="1"/>
  <c r="DI42" i="10"/>
  <c r="HT42" i="10" s="1"/>
  <c r="DI56" i="10"/>
  <c r="HT56" i="10" s="1"/>
  <c r="DI25" i="10"/>
  <c r="HT25" i="10" s="1"/>
  <c r="DI36" i="10"/>
  <c r="HT36" i="10" s="1"/>
  <c r="DI54" i="10"/>
  <c r="HT54" i="10" s="1"/>
  <c r="DI60" i="10"/>
  <c r="HT60" i="10" s="1"/>
  <c r="DI22" i="10"/>
  <c r="HT22" i="10" s="1"/>
  <c r="DI29" i="10"/>
  <c r="HT29" i="10" s="1"/>
  <c r="DI49" i="10"/>
  <c r="HT49" i="10" s="1"/>
  <c r="DI46" i="10"/>
  <c r="HT46" i="10" s="1"/>
  <c r="DI6" i="10"/>
  <c r="HT6" i="10" s="1"/>
  <c r="DI41" i="10"/>
  <c r="HT41" i="10" s="1"/>
  <c r="DI18" i="10"/>
  <c r="HT18" i="10" s="1"/>
  <c r="DI30" i="10"/>
  <c r="HT30" i="10" s="1"/>
  <c r="DI8" i="10"/>
  <c r="HT8" i="10" s="1"/>
  <c r="DI61" i="10"/>
  <c r="HT61" i="10" s="1"/>
  <c r="DI13" i="10"/>
  <c r="HT13" i="10" s="1"/>
  <c r="DI34" i="10"/>
  <c r="HT34" i="10" s="1"/>
  <c r="DJ26" i="10"/>
  <c r="HU26" i="10" s="1"/>
  <c r="DI52" i="10"/>
  <c r="HT52" i="10" s="1"/>
  <c r="DI28" i="10"/>
  <c r="HT28" i="10" s="1"/>
  <c r="DI50" i="10"/>
  <c r="HT50" i="10" s="1"/>
  <c r="DI62" i="10"/>
  <c r="HT62" i="10" s="1"/>
  <c r="DI9" i="10"/>
  <c r="HT9" i="10" s="1"/>
  <c r="DI20" i="10"/>
  <c r="HT20" i="10" s="1"/>
  <c r="DI48" i="10"/>
  <c r="HT48" i="10" s="1"/>
  <c r="CO9" i="10"/>
  <c r="GZ9" i="10" s="1"/>
  <c r="CN39" i="10"/>
  <c r="GY39" i="10" s="1"/>
  <c r="DA60" i="10"/>
  <c r="HL60" i="10" s="1"/>
  <c r="CN58" i="10"/>
  <c r="GY58" i="10" s="1"/>
  <c r="DA10" i="10"/>
  <c r="HL10" i="10" s="1"/>
  <c r="CO10" i="10"/>
  <c r="GZ10" i="10" s="1"/>
  <c r="DA39" i="10"/>
  <c r="HL39" i="10" s="1"/>
  <c r="B489" i="31"/>
  <c r="F619" i="31" s="1"/>
  <c r="B497" i="31"/>
  <c r="DA52" i="10"/>
  <c r="HL52" i="10" s="1"/>
  <c r="DA20" i="10"/>
  <c r="HL20" i="10" s="1"/>
  <c r="DA13" i="10"/>
  <c r="HL13" i="10" s="1"/>
  <c r="CN13" i="10"/>
  <c r="GY13" i="10" s="1"/>
  <c r="CO13" i="10"/>
  <c r="GZ13" i="10" s="1"/>
  <c r="CO54" i="10"/>
  <c r="GZ54" i="10" s="1"/>
  <c r="G522" i="35"/>
  <c r="CO58" i="10"/>
  <c r="GZ58" i="10" s="1"/>
  <c r="DA29" i="10"/>
  <c r="HL29" i="10" s="1"/>
  <c r="D468" i="31"/>
  <c r="B728" i="31" s="1"/>
  <c r="DZ47" i="10"/>
  <c r="IK47" i="10" s="1"/>
  <c r="G542" i="35"/>
  <c r="CW28" i="10"/>
  <c r="HH28" i="10" s="1"/>
  <c r="CW63" i="10"/>
  <c r="HH63" i="10" s="1"/>
  <c r="G577" i="35"/>
  <c r="CV28" i="10"/>
  <c r="HG28" i="10" s="1"/>
  <c r="DE55" i="10"/>
  <c r="HP55" i="10" s="1"/>
  <c r="DD55" i="10"/>
  <c r="HO55" i="10" s="1"/>
  <c r="D431" i="30"/>
  <c r="D432" i="30"/>
  <c r="CS51" i="10"/>
  <c r="HD51" i="10" s="1"/>
  <c r="CS48" i="10"/>
  <c r="HD48" i="10" s="1"/>
  <c r="CS19" i="10"/>
  <c r="HD19" i="10" s="1"/>
  <c r="CS7" i="10"/>
  <c r="HD7" i="10" s="1"/>
  <c r="E381" i="30"/>
  <c r="CN7" i="10"/>
  <c r="GY7" i="10" s="1"/>
  <c r="CO7" i="10"/>
  <c r="GZ7" i="10" s="1"/>
  <c r="D433" i="30"/>
  <c r="CO19" i="10"/>
  <c r="GZ19" i="10" s="1"/>
  <c r="CS43" i="10"/>
  <c r="HD43" i="10" s="1"/>
  <c r="CO20" i="10"/>
  <c r="GZ20" i="10" s="1"/>
  <c r="CW36" i="10"/>
  <c r="HH36" i="10" s="1"/>
  <c r="G535" i="35"/>
  <c r="C438" i="30"/>
  <c r="CS12" i="10"/>
  <c r="HD12" i="10" s="1"/>
  <c r="CS40" i="10"/>
  <c r="HD40" i="10" s="1"/>
  <c r="CS57" i="10"/>
  <c r="HD57" i="10" s="1"/>
  <c r="CS32" i="10"/>
  <c r="HD32" i="10" s="1"/>
  <c r="CS41" i="10"/>
  <c r="HD41" i="10" s="1"/>
  <c r="CS58" i="10"/>
  <c r="HD58" i="10" s="1"/>
  <c r="CS50" i="10"/>
  <c r="HD50" i="10" s="1"/>
  <c r="D429" i="30"/>
  <c r="CV36" i="10"/>
  <c r="HG36" i="10" s="1"/>
  <c r="CS20" i="10"/>
  <c r="HD20" i="10" s="1"/>
  <c r="CS60" i="10"/>
  <c r="HD60" i="10" s="1"/>
  <c r="CS14" i="10"/>
  <c r="HD14" i="10" s="1"/>
  <c r="D435" i="30"/>
  <c r="CN52" i="10"/>
  <c r="GY52" i="10" s="1"/>
  <c r="CN19" i="10"/>
  <c r="GY19" i="10" s="1"/>
  <c r="CN20" i="10"/>
  <c r="GY20" i="10" s="1"/>
  <c r="CS25" i="10"/>
  <c r="HD25" i="10" s="1"/>
  <c r="CW21" i="10"/>
  <c r="HH21" i="10" s="1"/>
  <c r="D436" i="30"/>
  <c r="G550" i="35"/>
  <c r="CS18" i="10"/>
  <c r="CS16" i="10"/>
  <c r="HD16" i="10" s="1"/>
  <c r="CS64" i="10"/>
  <c r="HD64" i="10" s="1"/>
  <c r="CS9" i="10"/>
  <c r="HD9" i="10" s="1"/>
  <c r="CS54" i="10"/>
  <c r="CS30" i="10"/>
  <c r="HD30" i="10" s="1"/>
  <c r="CS26" i="10"/>
  <c r="HD26" i="10" s="1"/>
  <c r="CS22" i="10"/>
  <c r="HD22" i="10" s="1"/>
  <c r="CS47" i="10"/>
  <c r="HD47" i="10" s="1"/>
  <c r="E393" i="30"/>
  <c r="CO47" i="10"/>
  <c r="GZ47" i="10" s="1"/>
  <c r="CN47" i="10"/>
  <c r="GY47" i="10" s="1"/>
  <c r="CW38" i="10"/>
  <c r="HH38" i="10" s="1"/>
  <c r="CV8" i="10"/>
  <c r="HG8" i="10" s="1"/>
  <c r="CS37" i="10"/>
  <c r="HD37" i="10" s="1"/>
  <c r="CS39" i="10"/>
  <c r="HD39" i="10" s="1"/>
  <c r="CS31" i="10"/>
  <c r="HD31" i="10" s="1"/>
  <c r="CS33" i="10"/>
  <c r="HD33" i="10" s="1"/>
  <c r="D426" i="30"/>
  <c r="CS56" i="10"/>
  <c r="HD56" i="10" s="1"/>
  <c r="CS52" i="10"/>
  <c r="HD52" i="10" s="1"/>
  <c r="CS29" i="10"/>
  <c r="HD29" i="10" s="1"/>
  <c r="CO29" i="10"/>
  <c r="GZ29" i="10" s="1"/>
  <c r="CO52" i="10"/>
  <c r="GZ52" i="10" s="1"/>
  <c r="CV55" i="10"/>
  <c r="HG55" i="10" s="1"/>
  <c r="D430" i="30"/>
  <c r="CV21" i="10"/>
  <c r="HG21" i="10" s="1"/>
  <c r="D424" i="30"/>
  <c r="CS49" i="10"/>
  <c r="HD49" i="10" s="1"/>
  <c r="G569" i="35"/>
  <c r="D428" i="30"/>
  <c r="CS4" i="10"/>
  <c r="HD4" i="10" s="1"/>
  <c r="CS23" i="10"/>
  <c r="HD23" i="10" s="1"/>
  <c r="CS6" i="10"/>
  <c r="HD6" i="10" s="1"/>
  <c r="CS44" i="10"/>
  <c r="HD44" i="10" s="1"/>
  <c r="CS62" i="10"/>
  <c r="HD62" i="10" s="1"/>
  <c r="CS17" i="10"/>
  <c r="HD17" i="10" s="1"/>
  <c r="CS5" i="10"/>
  <c r="HD5" i="10" s="1"/>
  <c r="CS46" i="10"/>
  <c r="HD46" i="10" s="1"/>
  <c r="CN29" i="10"/>
  <c r="GY29" i="10" s="1"/>
  <c r="G476" i="31"/>
  <c r="E736" i="31" s="1"/>
  <c r="K428" i="30"/>
  <c r="L511" i="30"/>
  <c r="K426" i="30"/>
  <c r="J427" i="30"/>
  <c r="DD50" i="10"/>
  <c r="HO50" i="10" s="1"/>
  <c r="K437" i="30"/>
  <c r="K433" i="30"/>
  <c r="K432" i="30"/>
  <c r="K431" i="30"/>
  <c r="K422" i="30"/>
  <c r="K430" i="30"/>
  <c r="DD48" i="10"/>
  <c r="HO48" i="10" s="1"/>
  <c r="DD57" i="10"/>
  <c r="HO57" i="10" s="1"/>
  <c r="K424" i="30"/>
  <c r="K429" i="30"/>
  <c r="DE18" i="10"/>
  <c r="HP18" i="10" s="1"/>
  <c r="K436" i="30"/>
  <c r="DE23" i="10"/>
  <c r="HP23" i="10" s="1"/>
  <c r="DE28" i="10"/>
  <c r="HP28" i="10" s="1"/>
  <c r="DD27" i="10"/>
  <c r="HO27" i="10" s="1"/>
  <c r="DE50" i="10"/>
  <c r="HP50" i="10" s="1"/>
  <c r="C627" i="31"/>
  <c r="G541" i="35"/>
  <c r="DE27" i="10"/>
  <c r="HP27" i="10" s="1"/>
  <c r="E627" i="31"/>
  <c r="CV27" i="10"/>
  <c r="HG27" i="10" s="1"/>
  <c r="CO17" i="10"/>
  <c r="GZ17" i="10" s="1"/>
  <c r="CW27" i="10"/>
  <c r="HH27" i="10" s="1"/>
  <c r="C427" i="30"/>
  <c r="H383" i="30"/>
  <c r="I390" i="30"/>
  <c r="C455" i="31"/>
  <c r="CN14" i="10"/>
  <c r="GY14" i="10" s="1"/>
  <c r="CO14" i="10"/>
  <c r="GZ14" i="10" s="1"/>
  <c r="I388" i="30"/>
  <c r="B472" i="31"/>
  <c r="CO16" i="10"/>
  <c r="GZ16" i="10" s="1"/>
  <c r="CN16" i="10"/>
  <c r="GY16" i="10" s="1"/>
  <c r="CO56" i="10"/>
  <c r="GZ56" i="10" s="1"/>
  <c r="CN56" i="10"/>
  <c r="GY56" i="10" s="1"/>
  <c r="CO64" i="10"/>
  <c r="GZ64" i="10" s="1"/>
  <c r="CN64" i="10"/>
  <c r="GY64" i="10" s="1"/>
  <c r="CN57" i="10"/>
  <c r="GY57" i="10" s="1"/>
  <c r="CO57" i="10"/>
  <c r="GZ57" i="10" s="1"/>
  <c r="C462" i="31"/>
  <c r="CO60" i="10"/>
  <c r="GZ60" i="10" s="1"/>
  <c r="CN60" i="10"/>
  <c r="GY60" i="10" s="1"/>
  <c r="I383" i="30"/>
  <c r="B474" i="31"/>
  <c r="D604" i="31" s="1"/>
  <c r="CO44" i="10"/>
  <c r="GZ44" i="10" s="1"/>
  <c r="H392" i="30"/>
  <c r="H388" i="30"/>
  <c r="DZ50" i="10"/>
  <c r="IK50" i="10" s="1"/>
  <c r="CN18" i="10"/>
  <c r="GY18" i="10" s="1"/>
  <c r="CO18" i="10"/>
  <c r="GZ18" i="10" s="1"/>
  <c r="C472" i="31"/>
  <c r="DD21" i="10"/>
  <c r="HO21" i="10" s="1"/>
  <c r="DE21" i="10"/>
  <c r="HP21" i="10" s="1"/>
  <c r="DE63" i="10"/>
  <c r="HP63" i="10" s="1"/>
  <c r="DD63" i="10"/>
  <c r="HO63" i="10" s="1"/>
  <c r="D598" i="31"/>
  <c r="B598" i="31"/>
  <c r="F598" i="31"/>
  <c r="CO32" i="10"/>
  <c r="GZ32" i="10" s="1"/>
  <c r="CN32" i="10"/>
  <c r="GY32" i="10" s="1"/>
  <c r="CN5" i="10"/>
  <c r="GY5" i="10" s="1"/>
  <c r="CO5" i="10"/>
  <c r="GZ5" i="10" s="1"/>
  <c r="CO41" i="10"/>
  <c r="GZ41" i="10" s="1"/>
  <c r="CN41" i="10"/>
  <c r="GY41" i="10" s="1"/>
  <c r="CO22" i="10"/>
  <c r="GZ22" i="10" s="1"/>
  <c r="CN22" i="10"/>
  <c r="GY22" i="10" s="1"/>
  <c r="CN26" i="10"/>
  <c r="GY26" i="10" s="1"/>
  <c r="CN44" i="10"/>
  <c r="GY44" i="10" s="1"/>
  <c r="CN30" i="10"/>
  <c r="GY30" i="10" s="1"/>
  <c r="E386" i="30"/>
  <c r="I392" i="30"/>
  <c r="CO4" i="10"/>
  <c r="GZ4" i="10" s="1"/>
  <c r="CN4" i="10"/>
  <c r="GY4" i="10" s="1"/>
  <c r="CN12" i="10"/>
  <c r="GY12" i="10" s="1"/>
  <c r="CO12" i="10"/>
  <c r="GZ12" i="10" s="1"/>
  <c r="B455" i="31"/>
  <c r="CO48" i="10"/>
  <c r="GZ48" i="10" s="1"/>
  <c r="CN48" i="10"/>
  <c r="GY48" i="10" s="1"/>
  <c r="B462" i="31"/>
  <c r="CO62" i="10"/>
  <c r="GZ62" i="10" s="1"/>
  <c r="CN62" i="10"/>
  <c r="GY62" i="10" s="1"/>
  <c r="DD28" i="10"/>
  <c r="HO28" i="10" s="1"/>
  <c r="DD23" i="10"/>
  <c r="HO23" i="10" s="1"/>
  <c r="L508" i="30"/>
  <c r="EH52" i="10"/>
  <c r="IS52" i="10" s="1"/>
  <c r="DZ51" i="10"/>
  <c r="IK51" i="10" s="1"/>
  <c r="L518" i="30"/>
  <c r="EH12" i="10"/>
  <c r="IS12" i="10" s="1"/>
  <c r="DE48" i="10"/>
  <c r="HP48" i="10" s="1"/>
  <c r="DE22" i="10"/>
  <c r="HP22" i="10" s="1"/>
  <c r="EH4" i="10"/>
  <c r="IS4" i="10" s="1"/>
  <c r="DD22" i="10"/>
  <c r="HO22" i="10" s="1"/>
  <c r="DZ13" i="10"/>
  <c r="IK13" i="10" s="1"/>
  <c r="L519" i="30"/>
  <c r="EH51" i="10"/>
  <c r="IS51" i="10" s="1"/>
  <c r="E395" i="30"/>
  <c r="CO51" i="10"/>
  <c r="GZ51" i="10" s="1"/>
  <c r="CN51" i="10"/>
  <c r="GY51" i="10" s="1"/>
  <c r="L512" i="30"/>
  <c r="L515" i="30"/>
  <c r="G538" i="35"/>
  <c r="CW24" i="10"/>
  <c r="HH24" i="10" s="1"/>
  <c r="CV24" i="10"/>
  <c r="HG24" i="10" s="1"/>
  <c r="DD18" i="10"/>
  <c r="HO18" i="10" s="1"/>
  <c r="E391" i="30"/>
  <c r="EH58" i="10"/>
  <c r="IS58" i="10" s="1"/>
  <c r="DE54" i="10"/>
  <c r="HP54" i="10" s="1"/>
  <c r="EH3" i="10"/>
  <c r="IS3" i="10" s="1"/>
  <c r="L504" i="30"/>
  <c r="C434" i="30"/>
  <c r="G559" i="35"/>
  <c r="C430" i="30"/>
  <c r="G549" i="35"/>
  <c r="EH31" i="10"/>
  <c r="IS31" i="10" s="1"/>
  <c r="L510" i="30"/>
  <c r="EH39" i="10"/>
  <c r="IS39" i="10" s="1"/>
  <c r="L514" i="30"/>
  <c r="J430" i="30"/>
  <c r="DD35" i="10"/>
  <c r="HO35" i="10" s="1"/>
  <c r="DE35" i="10"/>
  <c r="HP35" i="10" s="1"/>
  <c r="C424" i="30"/>
  <c r="G525" i="35"/>
  <c r="E504" i="30"/>
  <c r="E384" i="30"/>
  <c r="E394" i="30"/>
  <c r="CO49" i="10"/>
  <c r="GZ49" i="10" s="1"/>
  <c r="CN49" i="10"/>
  <c r="GY49" i="10" s="1"/>
  <c r="DD54" i="10"/>
  <c r="HO54" i="10" s="1"/>
  <c r="C425" i="30"/>
  <c r="G529" i="35"/>
  <c r="DZ25" i="10"/>
  <c r="IK25" i="10" s="1"/>
  <c r="E508" i="30"/>
  <c r="EH37" i="10"/>
  <c r="IS37" i="10" s="1"/>
  <c r="L513" i="30"/>
  <c r="EH11" i="10"/>
  <c r="IS11" i="10" s="1"/>
  <c r="L506" i="30"/>
  <c r="E387" i="30"/>
  <c r="CO33" i="10"/>
  <c r="GZ33" i="10" s="1"/>
  <c r="CN33" i="10"/>
  <c r="GY33" i="10" s="1"/>
  <c r="E518" i="30"/>
  <c r="DZ49" i="10"/>
  <c r="IK49" i="10" s="1"/>
  <c r="E511" i="30"/>
  <c r="DZ33" i="10"/>
  <c r="IK33" i="10" s="1"/>
  <c r="DE56" i="10"/>
  <c r="HP56" i="10" s="1"/>
  <c r="DD56" i="10"/>
  <c r="HO56" i="10" s="1"/>
  <c r="DE58" i="10"/>
  <c r="HP58" i="10" s="1"/>
  <c r="DD58" i="10"/>
  <c r="HO58" i="10" s="1"/>
  <c r="DZ31" i="10"/>
  <c r="IK31" i="10" s="1"/>
  <c r="DZ16" i="10"/>
  <c r="IK16" i="10" s="1"/>
  <c r="EH17" i="10"/>
  <c r="IS17" i="10" s="1"/>
  <c r="EH13" i="10"/>
  <c r="IS13" i="10" s="1"/>
  <c r="B443" i="31"/>
  <c r="DZ43" i="10"/>
  <c r="IK43" i="10" s="1"/>
  <c r="CV11" i="10"/>
  <c r="HG11" i="10" s="1"/>
  <c r="CW11" i="10"/>
  <c r="HH11" i="10" s="1"/>
  <c r="C437" i="31"/>
  <c r="CN31" i="10"/>
  <c r="GY31" i="10" s="1"/>
  <c r="CO31" i="10"/>
  <c r="GZ31" i="10" s="1"/>
  <c r="DZ5" i="10"/>
  <c r="IK5" i="10" s="1"/>
  <c r="DZ56" i="10"/>
  <c r="IK56" i="10" s="1"/>
  <c r="B479" i="31"/>
  <c r="CV35" i="10"/>
  <c r="HG35" i="10" s="1"/>
  <c r="CW35" i="10"/>
  <c r="HH35" i="10" s="1"/>
  <c r="CN43" i="10"/>
  <c r="GY43" i="10" s="1"/>
  <c r="CO43" i="10"/>
  <c r="GZ43" i="10" s="1"/>
  <c r="DZ30" i="10"/>
  <c r="IK30" i="10" s="1"/>
  <c r="DZ20" i="10"/>
  <c r="IK20" i="10" s="1"/>
  <c r="CW45" i="10"/>
  <c r="HH45" i="10" s="1"/>
  <c r="CV45" i="10"/>
  <c r="HG45" i="10" s="1"/>
  <c r="DZ3" i="10"/>
  <c r="IK3" i="10" s="1"/>
  <c r="DZ37" i="10"/>
  <c r="IK37" i="10" s="1"/>
  <c r="CV15" i="10"/>
  <c r="HG15" i="10" s="1"/>
  <c r="CW15" i="10"/>
  <c r="HH15" i="10" s="1"/>
  <c r="C479" i="31"/>
  <c r="C469" i="31"/>
  <c r="CN25" i="10"/>
  <c r="GY25" i="10" s="1"/>
  <c r="CO25" i="10"/>
  <c r="GZ25" i="10" s="1"/>
  <c r="C449" i="31"/>
  <c r="C473" i="31"/>
  <c r="DZ46" i="10"/>
  <c r="IK46" i="10" s="1"/>
  <c r="DR3" i="10"/>
  <c r="IC3" i="10" s="1"/>
  <c r="DZ39" i="10"/>
  <c r="IK39" i="10" s="1"/>
  <c r="B449" i="31"/>
  <c r="DZ35" i="10"/>
  <c r="IK35" i="10" s="1"/>
  <c r="B469" i="31"/>
  <c r="DZ11" i="10"/>
  <c r="IK11" i="10" s="1"/>
  <c r="DZ54" i="10"/>
  <c r="IK54" i="10" s="1"/>
  <c r="U978" i="46" l="1"/>
  <c r="AJ978" i="46" s="1"/>
  <c r="S980" i="46" s="1"/>
  <c r="AO795" i="46"/>
  <c r="I1196" i="46"/>
  <c r="M1196" i="46" s="1"/>
  <c r="AE1159" i="46"/>
  <c r="K1160" i="46" s="1"/>
  <c r="W1160" i="46" s="1"/>
  <c r="AC1160" i="46" s="1"/>
  <c r="AA1166" i="46"/>
  <c r="L1199" i="46"/>
  <c r="S1159" i="46"/>
  <c r="P1166" i="46"/>
  <c r="M1182" i="46"/>
  <c r="I1183" i="46" s="1"/>
  <c r="M1177" i="46"/>
  <c r="R1177" i="46" s="1"/>
  <c r="Q1197" i="46"/>
  <c r="AC1179" i="46"/>
  <c r="AL1179" i="46" s="1"/>
  <c r="AH682" i="46"/>
  <c r="AH702" i="46"/>
  <c r="HD18" i="10"/>
  <c r="AE501" i="46" a="1"/>
  <c r="AE501" i="46" s="1"/>
  <c r="AE288" i="45" a="1"/>
  <c r="AE288" i="45" s="1"/>
  <c r="L350" i="45"/>
  <c r="L396" i="45"/>
  <c r="O401" i="45" s="1"/>
  <c r="L395" i="45"/>
  <c r="O398" i="45" s="1"/>
  <c r="N341" i="45"/>
  <c r="AN341" i="45" s="1"/>
  <c r="HL40" i="10"/>
  <c r="HL46" i="10"/>
  <c r="J439" i="30"/>
  <c r="DD8" i="10"/>
  <c r="G468" i="31"/>
  <c r="E728" i="31" s="1"/>
  <c r="DE8" i="10"/>
  <c r="HP8" i="10" s="1"/>
  <c r="DE15" i="10"/>
  <c r="HP15" i="10" s="1"/>
  <c r="DE59" i="10"/>
  <c r="DD59" i="10"/>
  <c r="DD15" i="10"/>
  <c r="HO15" i="10" s="1"/>
  <c r="J425" i="30"/>
  <c r="J434" i="30"/>
  <c r="HL45" i="10"/>
  <c r="GZ34" i="10"/>
  <c r="C468" i="31"/>
  <c r="GY59" i="10"/>
  <c r="H397" i="30"/>
  <c r="B493" i="31"/>
  <c r="CV54" i="10"/>
  <c r="HG54" i="10" s="1"/>
  <c r="HD54" i="10"/>
  <c r="GZ42" i="10"/>
  <c r="C476" i="31"/>
  <c r="GZ36" i="10"/>
  <c r="C470" i="31"/>
  <c r="I559" i="35"/>
  <c r="HT45" i="10"/>
  <c r="F439" i="30"/>
  <c r="HG59" i="10"/>
  <c r="GZ59" i="10"/>
  <c r="I397" i="30"/>
  <c r="C493" i="31"/>
  <c r="E476" i="31"/>
  <c r="C736" i="31" s="1"/>
  <c r="B600" i="31"/>
  <c r="E468" i="31"/>
  <c r="C728" i="31" s="1"/>
  <c r="D600" i="31"/>
  <c r="F476" i="31"/>
  <c r="D736" i="31" s="1"/>
  <c r="C445" i="31"/>
  <c r="C480" i="31"/>
  <c r="G610" i="31" s="1"/>
  <c r="C464" i="31"/>
  <c r="E594" i="31" s="1"/>
  <c r="D476" i="31"/>
  <c r="B736" i="31" s="1"/>
  <c r="G470" i="31"/>
  <c r="E730" i="31" s="1"/>
  <c r="G491" i="31"/>
  <c r="E751" i="31" s="1"/>
  <c r="DY61" i="10"/>
  <c r="IJ61" i="10" s="1"/>
  <c r="E493" i="31"/>
  <c r="C753" i="31" s="1"/>
  <c r="G439" i="30"/>
  <c r="I569" i="35"/>
  <c r="I552" i="35"/>
  <c r="DD45" i="10"/>
  <c r="HO45" i="10" s="1"/>
  <c r="DM38" i="10"/>
  <c r="HX38" i="10" s="1"/>
  <c r="K476" i="30"/>
  <c r="K478" i="30"/>
  <c r="CV13" i="10"/>
  <c r="HG13" i="10" s="1"/>
  <c r="K474" i="30"/>
  <c r="I529" i="35"/>
  <c r="D522" i="30"/>
  <c r="F572" i="31"/>
  <c r="D479" i="30"/>
  <c r="K480" i="30"/>
  <c r="D465" i="30"/>
  <c r="K473" i="30"/>
  <c r="F468" i="31"/>
  <c r="D728" i="31" s="1"/>
  <c r="C619" i="31"/>
  <c r="D493" i="31"/>
  <c r="B753" i="31" s="1"/>
  <c r="K470" i="30"/>
  <c r="DL63" i="10"/>
  <c r="HW63" i="10" s="1"/>
  <c r="F470" i="31"/>
  <c r="D730" i="31" s="1"/>
  <c r="D470" i="30"/>
  <c r="I577" i="35"/>
  <c r="K471" i="30"/>
  <c r="C475" i="30"/>
  <c r="DM63" i="10"/>
  <c r="HX63" i="10" s="1"/>
  <c r="E572" i="31"/>
  <c r="D468" i="30"/>
  <c r="DE46" i="10"/>
  <c r="HP46" i="10" s="1"/>
  <c r="C474" i="31"/>
  <c r="E604" i="31" s="1"/>
  <c r="B591" i="31"/>
  <c r="K464" i="30"/>
  <c r="D591" i="31"/>
  <c r="K468" i="30"/>
  <c r="D520" i="30"/>
  <c r="B572" i="31"/>
  <c r="DE45" i="10"/>
  <c r="HP45" i="10" s="1"/>
  <c r="B440" i="31"/>
  <c r="F570" i="31" s="1"/>
  <c r="K465" i="30"/>
  <c r="DL55" i="10"/>
  <c r="HW55" i="10" s="1"/>
  <c r="DD46" i="10"/>
  <c r="HO46" i="10" s="1"/>
  <c r="B484" i="31"/>
  <c r="D614" i="31" s="1"/>
  <c r="DU8" i="10"/>
  <c r="C460" i="31"/>
  <c r="E590" i="31" s="1"/>
  <c r="DM55" i="10"/>
  <c r="HX55" i="10" s="1"/>
  <c r="C479" i="30"/>
  <c r="G472" i="31"/>
  <c r="E732" i="31" s="1"/>
  <c r="C440" i="31"/>
  <c r="G570" i="31" s="1"/>
  <c r="H380" i="30"/>
  <c r="F444" i="30"/>
  <c r="C441" i="30"/>
  <c r="C455" i="30"/>
  <c r="C451" i="30"/>
  <c r="C454" i="30"/>
  <c r="J450" i="30"/>
  <c r="J455" i="30"/>
  <c r="EG22" i="10"/>
  <c r="IR22" i="10" s="1"/>
  <c r="D477" i="30"/>
  <c r="DD53" i="10"/>
  <c r="HO53" i="10" s="1"/>
  <c r="DE53" i="10"/>
  <c r="HP53" i="10" s="1"/>
  <c r="G443" i="30"/>
  <c r="C448" i="30"/>
  <c r="C450" i="30"/>
  <c r="D472" i="31"/>
  <c r="B732" i="31" s="1"/>
  <c r="C456" i="30"/>
  <c r="G527" i="35"/>
  <c r="DL62" i="10"/>
  <c r="HW62" i="10" s="1"/>
  <c r="J454" i="30"/>
  <c r="J447" i="30"/>
  <c r="DU27" i="10"/>
  <c r="IF27" i="10" s="1"/>
  <c r="DU45" i="10"/>
  <c r="IF45" i="10" s="1"/>
  <c r="K469" i="30"/>
  <c r="EG5" i="10"/>
  <c r="IR5" i="10" s="1"/>
  <c r="EG30" i="10"/>
  <c r="IR30" i="10" s="1"/>
  <c r="EG57" i="10"/>
  <c r="IR57" i="10" s="1"/>
  <c r="D469" i="30"/>
  <c r="D464" i="30"/>
  <c r="B495" i="31"/>
  <c r="H398" i="30"/>
  <c r="B487" i="31"/>
  <c r="G449" i="30"/>
  <c r="DT28" i="10"/>
  <c r="IE28" i="10" s="1"/>
  <c r="DT24" i="10"/>
  <c r="IE24" i="10" s="1"/>
  <c r="K472" i="30"/>
  <c r="EG62" i="10"/>
  <c r="IR62" i="10" s="1"/>
  <c r="C459" i="30"/>
  <c r="G575" i="35"/>
  <c r="CW61" i="10"/>
  <c r="HH61" i="10" s="1"/>
  <c r="CV61" i="10"/>
  <c r="HG61" i="10" s="1"/>
  <c r="C440" i="30"/>
  <c r="J441" i="30"/>
  <c r="F606" i="31"/>
  <c r="D606" i="31"/>
  <c r="B606" i="31"/>
  <c r="C572" i="31"/>
  <c r="EG58" i="10"/>
  <c r="IR58" i="10" s="1"/>
  <c r="F446" i="30"/>
  <c r="DY35" i="10"/>
  <c r="IJ35" i="10" s="1"/>
  <c r="F453" i="30"/>
  <c r="F443" i="30"/>
  <c r="DM15" i="10"/>
  <c r="HX15" i="10" s="1"/>
  <c r="G446" i="30"/>
  <c r="CV5" i="10"/>
  <c r="HG5" i="10" s="1"/>
  <c r="CW57" i="10"/>
  <c r="HH57" i="10" s="1"/>
  <c r="C442" i="30"/>
  <c r="EG20" i="10"/>
  <c r="IR20" i="10" s="1"/>
  <c r="B492" i="31"/>
  <c r="F622" i="31" s="1"/>
  <c r="J456" i="30"/>
  <c r="DU44" i="10"/>
  <c r="IF44" i="10" s="1"/>
  <c r="DU34" i="10"/>
  <c r="IF34" i="10" s="1"/>
  <c r="DU42" i="10"/>
  <c r="IF42" i="10" s="1"/>
  <c r="DY63" i="10"/>
  <c r="IJ63" i="10" s="1"/>
  <c r="EG18" i="10"/>
  <c r="EG23" i="10"/>
  <c r="IR23" i="10" s="1"/>
  <c r="K479" i="30"/>
  <c r="DM45" i="10"/>
  <c r="HX45" i="10" s="1"/>
  <c r="J459" i="30"/>
  <c r="J440" i="30"/>
  <c r="DD61" i="10"/>
  <c r="HO61" i="10" s="1"/>
  <c r="DE61" i="10"/>
  <c r="HP61" i="10" s="1"/>
  <c r="G567" i="35"/>
  <c r="CV53" i="10"/>
  <c r="HG53" i="10" s="1"/>
  <c r="CW53" i="10"/>
  <c r="HH53" i="10" s="1"/>
  <c r="DY11" i="10"/>
  <c r="IJ11" i="10" s="1"/>
  <c r="EG17" i="10"/>
  <c r="IR17" i="10" s="1"/>
  <c r="D462" i="31"/>
  <c r="B722" i="31" s="1"/>
  <c r="J480" i="30"/>
  <c r="DU53" i="10"/>
  <c r="IF53" i="10" s="1"/>
  <c r="DY15" i="10"/>
  <c r="IJ15" i="10" s="1"/>
  <c r="EG54" i="10"/>
  <c r="IR54" i="10" s="1"/>
  <c r="EG27" i="10"/>
  <c r="IR27" i="10" s="1"/>
  <c r="EG38" i="10"/>
  <c r="EG28" i="10"/>
  <c r="IR28" i="10" s="1"/>
  <c r="E619" i="31"/>
  <c r="F449" i="30"/>
  <c r="EG4" i="10"/>
  <c r="IR4" i="10" s="1"/>
  <c r="H390" i="30"/>
  <c r="G444" i="30"/>
  <c r="G453" i="30"/>
  <c r="B451" i="31"/>
  <c r="D581" i="31" s="1"/>
  <c r="C466" i="30"/>
  <c r="CV23" i="10"/>
  <c r="HG23" i="10" s="1"/>
  <c r="C447" i="30"/>
  <c r="C445" i="30"/>
  <c r="C452" i="30"/>
  <c r="CW13" i="10"/>
  <c r="HH13" i="10" s="1"/>
  <c r="E462" i="31"/>
  <c r="C722" i="31" s="1"/>
  <c r="C484" i="31"/>
  <c r="G614" i="31" s="1"/>
  <c r="J443" i="30"/>
  <c r="DU37" i="10"/>
  <c r="IF37" i="10" s="1"/>
  <c r="DU40" i="10"/>
  <c r="IF40" i="10" s="1"/>
  <c r="J448" i="30"/>
  <c r="K511" i="30"/>
  <c r="DY59" i="10"/>
  <c r="IJ59" i="10" s="1"/>
  <c r="K467" i="30"/>
  <c r="EG46" i="10"/>
  <c r="IR46" i="10" s="1"/>
  <c r="EG32" i="10"/>
  <c r="IR32" i="10" s="1"/>
  <c r="EG44" i="10"/>
  <c r="IR44" i="10" s="1"/>
  <c r="D474" i="30"/>
  <c r="D466" i="30"/>
  <c r="J453" i="30"/>
  <c r="C495" i="31"/>
  <c r="I398" i="30"/>
  <c r="J452" i="30"/>
  <c r="C487" i="31"/>
  <c r="G517" i="35"/>
  <c r="DY3" i="10"/>
  <c r="IJ3" i="10" s="1"/>
  <c r="DY27" i="10"/>
  <c r="IJ27" i="10" s="1"/>
  <c r="K518" i="30"/>
  <c r="J900" i="31"/>
  <c r="F900" i="31"/>
  <c r="H900" i="31"/>
  <c r="G922" i="31"/>
  <c r="I922" i="31"/>
  <c r="K922" i="31"/>
  <c r="J912" i="31"/>
  <c r="H912" i="31"/>
  <c r="F912" i="31"/>
  <c r="J950" i="31"/>
  <c r="F950" i="31"/>
  <c r="H950" i="31"/>
  <c r="I950" i="31"/>
  <c r="G950" i="31"/>
  <c r="K950" i="31"/>
  <c r="F905" i="31"/>
  <c r="J905" i="31"/>
  <c r="H905" i="31"/>
  <c r="I915" i="31"/>
  <c r="G915" i="31"/>
  <c r="K915" i="31"/>
  <c r="K909" i="31"/>
  <c r="G909" i="31"/>
  <c r="I909" i="31"/>
  <c r="I918" i="31"/>
  <c r="K918" i="31"/>
  <c r="G918" i="31"/>
  <c r="I913" i="31"/>
  <c r="K913" i="31"/>
  <c r="G913" i="31"/>
  <c r="H904" i="31"/>
  <c r="J904" i="31"/>
  <c r="F904" i="31"/>
  <c r="H916" i="31"/>
  <c r="F916" i="31"/>
  <c r="J916" i="31"/>
  <c r="G901" i="31"/>
  <c r="I901" i="31"/>
  <c r="K901" i="31"/>
  <c r="G898" i="31"/>
  <c r="K898" i="31"/>
  <c r="I898" i="31"/>
  <c r="H899" i="31"/>
  <c r="J899" i="31"/>
  <c r="F899" i="31"/>
  <c r="G903" i="31"/>
  <c r="I903" i="31"/>
  <c r="K903" i="31"/>
  <c r="I907" i="31"/>
  <c r="G907" i="31"/>
  <c r="K907" i="31"/>
  <c r="H909" i="31"/>
  <c r="F909" i="31"/>
  <c r="J909" i="31"/>
  <c r="I921" i="31"/>
  <c r="K921" i="31"/>
  <c r="G921" i="31"/>
  <c r="F910" i="31"/>
  <c r="H910" i="31"/>
  <c r="J910" i="31"/>
  <c r="I899" i="31"/>
  <c r="K899" i="31"/>
  <c r="G899" i="31"/>
  <c r="I905" i="31"/>
  <c r="G905" i="31"/>
  <c r="K905" i="31"/>
  <c r="G897" i="31"/>
  <c r="K897" i="31"/>
  <c r="I897" i="31"/>
  <c r="H901" i="31"/>
  <c r="J901" i="31"/>
  <c r="F901" i="31"/>
  <c r="H903" i="31"/>
  <c r="F903" i="31"/>
  <c r="J903" i="31"/>
  <c r="J922" i="31"/>
  <c r="F922" i="31"/>
  <c r="H922" i="31"/>
  <c r="I910" i="31"/>
  <c r="K910" i="31"/>
  <c r="G910" i="31"/>
  <c r="H902" i="31"/>
  <c r="F902" i="31"/>
  <c r="J902" i="31"/>
  <c r="G904" i="31"/>
  <c r="I904" i="31"/>
  <c r="K904" i="31"/>
  <c r="F906" i="31"/>
  <c r="J906" i="31"/>
  <c r="H906" i="31"/>
  <c r="I912" i="31"/>
  <c r="K912" i="31"/>
  <c r="G912" i="31"/>
  <c r="F907" i="31"/>
  <c r="J907" i="31"/>
  <c r="H907" i="31"/>
  <c r="K902" i="31"/>
  <c r="G902" i="31"/>
  <c r="I902" i="31"/>
  <c r="H897" i="31"/>
  <c r="J897" i="31"/>
  <c r="F897" i="31"/>
  <c r="H911" i="31"/>
  <c r="F911" i="31"/>
  <c r="J911" i="31"/>
  <c r="I952" i="31"/>
  <c r="G952" i="31"/>
  <c r="K952" i="31"/>
  <c r="I911" i="31"/>
  <c r="G911" i="31"/>
  <c r="K911" i="31"/>
  <c r="G900" i="31"/>
  <c r="I900" i="31"/>
  <c r="K900" i="31"/>
  <c r="K906" i="31"/>
  <c r="G906" i="31"/>
  <c r="I906" i="31"/>
  <c r="H915" i="31"/>
  <c r="F915" i="31"/>
  <c r="J915" i="31"/>
  <c r="I908" i="31"/>
  <c r="K908" i="31"/>
  <c r="G908" i="31"/>
  <c r="J913" i="31"/>
  <c r="F913" i="31"/>
  <c r="H913" i="31"/>
  <c r="J908" i="31"/>
  <c r="H908" i="31"/>
  <c r="F908" i="31"/>
  <c r="F921" i="31"/>
  <c r="J921" i="31"/>
  <c r="H921" i="31"/>
  <c r="I916" i="31"/>
  <c r="G916" i="31"/>
  <c r="K916" i="31"/>
  <c r="E591" i="31"/>
  <c r="DL15" i="10"/>
  <c r="HW15" i="10" s="1"/>
  <c r="DM24" i="10"/>
  <c r="HX24" i="10" s="1"/>
  <c r="DY55" i="10"/>
  <c r="IJ55" i="10" s="1"/>
  <c r="DT35" i="10"/>
  <c r="IE35" i="10" s="1"/>
  <c r="DY38" i="10"/>
  <c r="IJ38" i="10" s="1"/>
  <c r="M449" i="30"/>
  <c r="M446" i="30"/>
  <c r="N457" i="30"/>
  <c r="N449" i="30"/>
  <c r="M453" i="30"/>
  <c r="N444" i="30"/>
  <c r="DD39" i="10"/>
  <c r="HO39" i="10" s="1"/>
  <c r="J451" i="30"/>
  <c r="N446" i="30"/>
  <c r="M457" i="30"/>
  <c r="N453" i="30"/>
  <c r="M444" i="30"/>
  <c r="D489" i="31"/>
  <c r="B749" i="31" s="1"/>
  <c r="F457" i="30"/>
  <c r="G457" i="30"/>
  <c r="D492" i="30"/>
  <c r="C499" i="30"/>
  <c r="D497" i="30"/>
  <c r="C490" i="30"/>
  <c r="C500" i="30"/>
  <c r="C495" i="30"/>
  <c r="D491" i="30"/>
  <c r="EG36" i="10"/>
  <c r="IR36" i="10" s="1"/>
  <c r="D495" i="30"/>
  <c r="D487" i="30"/>
  <c r="D483" i="30"/>
  <c r="C494" i="30"/>
  <c r="F485" i="30"/>
  <c r="C491" i="30"/>
  <c r="D486" i="30"/>
  <c r="G485" i="30"/>
  <c r="F498" i="30"/>
  <c r="C488" i="30"/>
  <c r="G498" i="30"/>
  <c r="C483" i="30"/>
  <c r="C489" i="30"/>
  <c r="C497" i="30"/>
  <c r="D482" i="30"/>
  <c r="C487" i="30"/>
  <c r="D489" i="30"/>
  <c r="C493" i="30"/>
  <c r="C482" i="30"/>
  <c r="D490" i="30"/>
  <c r="D500" i="30"/>
  <c r="G494" i="30"/>
  <c r="C496" i="30"/>
  <c r="C486" i="30"/>
  <c r="C492" i="30"/>
  <c r="C484" i="30"/>
  <c r="D494" i="30"/>
  <c r="D499" i="30"/>
  <c r="D488" i="30"/>
  <c r="D493" i="30"/>
  <c r="D496" i="30"/>
  <c r="EG56" i="10"/>
  <c r="IR56" i="10" s="1"/>
  <c r="EG55" i="10"/>
  <c r="IR55" i="10" s="1"/>
  <c r="K520" i="30"/>
  <c r="D516" i="30"/>
  <c r="C468" i="30"/>
  <c r="DY47" i="10"/>
  <c r="IJ47" i="10" s="1"/>
  <c r="K521" i="30"/>
  <c r="EG59" i="10"/>
  <c r="IR59" i="10" s="1"/>
  <c r="EG48" i="10"/>
  <c r="IR48" i="10" s="1"/>
  <c r="K466" i="30"/>
  <c r="D521" i="30"/>
  <c r="EG25" i="10"/>
  <c r="IR25" i="10" s="1"/>
  <c r="DL27" i="10"/>
  <c r="HW27" i="10" s="1"/>
  <c r="DT55" i="10"/>
  <c r="D478" i="30"/>
  <c r="EG50" i="10"/>
  <c r="IR50" i="10" s="1"/>
  <c r="DU61" i="10"/>
  <c r="IF61" i="10" s="1"/>
  <c r="D472" i="30"/>
  <c r="J481" i="30"/>
  <c r="DY24" i="10"/>
  <c r="IJ24" i="10" s="1"/>
  <c r="K522" i="30"/>
  <c r="K515" i="30"/>
  <c r="DM27" i="10"/>
  <c r="HX27" i="10" s="1"/>
  <c r="DL35" i="10"/>
  <c r="HW35" i="10" s="1"/>
  <c r="I541" i="35"/>
  <c r="DM23" i="10"/>
  <c r="HX23" i="10" s="1"/>
  <c r="D463" i="30"/>
  <c r="DM39" i="10"/>
  <c r="HX39" i="10" s="1"/>
  <c r="D471" i="30"/>
  <c r="D476" i="30"/>
  <c r="DY7" i="10"/>
  <c r="IJ7" i="10" s="1"/>
  <c r="DU21" i="10"/>
  <c r="IF21" i="10" s="1"/>
  <c r="DM8" i="10"/>
  <c r="HX8" i="10" s="1"/>
  <c r="K481" i="30"/>
  <c r="K477" i="30"/>
  <c r="K512" i="30"/>
  <c r="K505" i="30"/>
  <c r="EG7" i="10"/>
  <c r="IR7" i="10" s="1"/>
  <c r="EG43" i="10"/>
  <c r="IR43" i="10" s="1"/>
  <c r="DT15" i="10"/>
  <c r="IE15" i="10" s="1"/>
  <c r="DT51" i="10"/>
  <c r="IE51" i="10" s="1"/>
  <c r="K507" i="30"/>
  <c r="I556" i="35"/>
  <c r="DM3" i="10"/>
  <c r="HX3" i="10" s="1"/>
  <c r="D481" i="30"/>
  <c r="DT18" i="10"/>
  <c r="IE18" i="10" s="1"/>
  <c r="I538" i="35"/>
  <c r="EG21" i="10"/>
  <c r="IR21" i="10" s="1"/>
  <c r="EG35" i="10"/>
  <c r="IR35" i="10" s="1"/>
  <c r="DT19" i="10"/>
  <c r="IE19" i="10" s="1"/>
  <c r="K517" i="30"/>
  <c r="D480" i="30"/>
  <c r="DY45" i="10"/>
  <c r="IJ45" i="10" s="1"/>
  <c r="D475" i="30"/>
  <c r="DY64" i="10"/>
  <c r="IJ64" i="10" s="1"/>
  <c r="EG61" i="10"/>
  <c r="IR61" i="10" s="1"/>
  <c r="DL45" i="10"/>
  <c r="HW45" i="10" s="1"/>
  <c r="DL3" i="10"/>
  <c r="HW3" i="10" s="1"/>
  <c r="I517" i="35"/>
  <c r="DT21" i="10"/>
  <c r="IE21" i="10" s="1"/>
  <c r="DD20" i="10"/>
  <c r="HO20" i="10" s="1"/>
  <c r="DM10" i="10"/>
  <c r="HX10" i="10" s="1"/>
  <c r="DU55" i="10"/>
  <c r="IF55" i="10" s="1"/>
  <c r="I380" i="30"/>
  <c r="C463" i="30"/>
  <c r="C471" i="31"/>
  <c r="G601" i="31" s="1"/>
  <c r="I389" i="30"/>
  <c r="DY8" i="10"/>
  <c r="IJ8" i="10" s="1"/>
  <c r="K516" i="30"/>
  <c r="EG45" i="10"/>
  <c r="IR45" i="10" s="1"/>
  <c r="DM60" i="10"/>
  <c r="HX60" i="10" s="1"/>
  <c r="C478" i="30"/>
  <c r="J479" i="30"/>
  <c r="EG15" i="10"/>
  <c r="IR15" i="10" s="1"/>
  <c r="I543" i="35"/>
  <c r="DE39" i="10"/>
  <c r="HP39" i="10" s="1"/>
  <c r="B444" i="31"/>
  <c r="D574" i="31" s="1"/>
  <c r="EG42" i="10"/>
  <c r="IR42" i="10" s="1"/>
  <c r="EG63" i="10"/>
  <c r="IR63" i="10" s="1"/>
  <c r="DM29" i="10"/>
  <c r="HX29" i="10" s="1"/>
  <c r="B471" i="31"/>
  <c r="D601" i="31" s="1"/>
  <c r="B457" i="31"/>
  <c r="D587" i="31" s="1"/>
  <c r="DM61" i="10"/>
  <c r="HX61" i="10" s="1"/>
  <c r="J432" i="30"/>
  <c r="H389" i="30"/>
  <c r="DT17" i="10"/>
  <c r="IE17" i="10" s="1"/>
  <c r="G438" i="30"/>
  <c r="E442" i="31"/>
  <c r="C702" i="31" s="1"/>
  <c r="DY42" i="10"/>
  <c r="IJ42" i="10" s="1"/>
  <c r="DL59" i="10"/>
  <c r="HW59" i="10" s="1"/>
  <c r="DM59" i="10"/>
  <c r="HX59" i="10" s="1"/>
  <c r="C486" i="31"/>
  <c r="G616" i="31" s="1"/>
  <c r="DU4" i="10"/>
  <c r="IF4" i="10" s="1"/>
  <c r="B458" i="31"/>
  <c r="F588" i="31" s="1"/>
  <c r="K508" i="30"/>
  <c r="EG64" i="10"/>
  <c r="IR64" i="10" s="1"/>
  <c r="EG51" i="10"/>
  <c r="IR51" i="10" s="1"/>
  <c r="EG12" i="10"/>
  <c r="IR12" i="10" s="1"/>
  <c r="EG14" i="10"/>
  <c r="IR14" i="10" s="1"/>
  <c r="DM35" i="10"/>
  <c r="HX35" i="10" s="1"/>
  <c r="DL19" i="10"/>
  <c r="HW19" i="10" s="1"/>
  <c r="J469" i="30"/>
  <c r="DL18" i="10"/>
  <c r="HW18" i="10" s="1"/>
  <c r="CW10" i="10"/>
  <c r="HH10" i="10" s="1"/>
  <c r="I549" i="35"/>
  <c r="B488" i="31"/>
  <c r="F618" i="31" s="1"/>
  <c r="DU49" i="10"/>
  <c r="IF49" i="10" s="1"/>
  <c r="DE12" i="10"/>
  <c r="HP12" i="10" s="1"/>
  <c r="EG52" i="10"/>
  <c r="IR52" i="10" s="1"/>
  <c r="EG19" i="10"/>
  <c r="IR19" i="10" s="1"/>
  <c r="EG11" i="10"/>
  <c r="IR11" i="10" s="1"/>
  <c r="EG37" i="10"/>
  <c r="IR37" i="10" s="1"/>
  <c r="EG40" i="10"/>
  <c r="IR40" i="10" s="1"/>
  <c r="EG49" i="10"/>
  <c r="IR49" i="10" s="1"/>
  <c r="EG26" i="10"/>
  <c r="IR26" i="10" s="1"/>
  <c r="DT38" i="10"/>
  <c r="IE38" i="10" s="1"/>
  <c r="B445" i="31"/>
  <c r="F575" i="31" s="1"/>
  <c r="DL11" i="10"/>
  <c r="HW11" i="10" s="1"/>
  <c r="H382" i="30"/>
  <c r="C471" i="30"/>
  <c r="EG29" i="10"/>
  <c r="IR29" i="10" s="1"/>
  <c r="EG13" i="10"/>
  <c r="IR13" i="10" s="1"/>
  <c r="EG39" i="10"/>
  <c r="IR39" i="10" s="1"/>
  <c r="EG60" i="10"/>
  <c r="IR60" i="10" s="1"/>
  <c r="EG24" i="10"/>
  <c r="IR24" i="10" s="1"/>
  <c r="EG41" i="10"/>
  <c r="IR41" i="10" s="1"/>
  <c r="EG34" i="10"/>
  <c r="IR34" i="10" s="1"/>
  <c r="EG8" i="10"/>
  <c r="IR8" i="10" s="1"/>
  <c r="EG10" i="10"/>
  <c r="IR10" i="10" s="1"/>
  <c r="DU36" i="10"/>
  <c r="IF36" i="10" s="1"/>
  <c r="C591" i="31"/>
  <c r="B473" i="31"/>
  <c r="D603" i="31" s="1"/>
  <c r="I520" i="35"/>
  <c r="EG47" i="10"/>
  <c r="IR47" i="10" s="1"/>
  <c r="EG31" i="10"/>
  <c r="IR31" i="10" s="1"/>
  <c r="EG3" i="10"/>
  <c r="IR3" i="10" s="1"/>
  <c r="EG9" i="10"/>
  <c r="IR9" i="10" s="1"/>
  <c r="EG16" i="10"/>
  <c r="IR16" i="10" s="1"/>
  <c r="EG6" i="10"/>
  <c r="IR6" i="10" s="1"/>
  <c r="EG33" i="10"/>
  <c r="IR33" i="10" s="1"/>
  <c r="DT36" i="10"/>
  <c r="IE36" i="10" s="1"/>
  <c r="DY36" i="10"/>
  <c r="IJ36" i="10" s="1"/>
  <c r="K509" i="30"/>
  <c r="EG53" i="10"/>
  <c r="IR53" i="10" s="1"/>
  <c r="K506" i="30"/>
  <c r="K510" i="30"/>
  <c r="K513" i="30"/>
  <c r="K514" i="30"/>
  <c r="K519" i="30"/>
  <c r="K504" i="30"/>
  <c r="D513" i="30"/>
  <c r="DY25" i="10"/>
  <c r="IJ25" i="10" s="1"/>
  <c r="DY60" i="10"/>
  <c r="IJ60" i="10" s="1"/>
  <c r="DY41" i="10"/>
  <c r="IJ41" i="10" s="1"/>
  <c r="DY12" i="10"/>
  <c r="IJ12" i="10" s="1"/>
  <c r="D504" i="30"/>
  <c r="B619" i="31"/>
  <c r="C457" i="31"/>
  <c r="C587" i="31" s="1"/>
  <c r="C453" i="31"/>
  <c r="E583" i="31" s="1"/>
  <c r="D510" i="30"/>
  <c r="DL37" i="10"/>
  <c r="HW37" i="10" s="1"/>
  <c r="D511" i="30"/>
  <c r="D518" i="30"/>
  <c r="D508" i="30"/>
  <c r="DE19" i="10"/>
  <c r="HP19" i="10" s="1"/>
  <c r="C480" i="30"/>
  <c r="DY44" i="10"/>
  <c r="IJ44" i="10" s="1"/>
  <c r="DY23" i="10"/>
  <c r="IJ23" i="10" s="1"/>
  <c r="DY52" i="10"/>
  <c r="IJ52" i="10" s="1"/>
  <c r="DY31" i="10"/>
  <c r="IJ31" i="10" s="1"/>
  <c r="DY37" i="10"/>
  <c r="IJ37" i="10" s="1"/>
  <c r="DY26" i="10"/>
  <c r="IJ26" i="10" s="1"/>
  <c r="DY54" i="10"/>
  <c r="IJ54" i="10" s="1"/>
  <c r="DY18" i="10"/>
  <c r="IJ18" i="10" s="1"/>
  <c r="DY34" i="10"/>
  <c r="IJ34" i="10" s="1"/>
  <c r="D506" i="30"/>
  <c r="DY17" i="10"/>
  <c r="IJ17" i="10" s="1"/>
  <c r="DY50" i="10"/>
  <c r="IJ50" i="10" s="1"/>
  <c r="DY13" i="10"/>
  <c r="IJ13" i="10" s="1"/>
  <c r="D514" i="30"/>
  <c r="D515" i="30"/>
  <c r="DT9" i="10"/>
  <c r="IE9" i="10" s="1"/>
  <c r="I573" i="35"/>
  <c r="B480" i="31"/>
  <c r="F610" i="31" s="1"/>
  <c r="DY5" i="10"/>
  <c r="IJ5" i="10" s="1"/>
  <c r="CV62" i="10"/>
  <c r="HG62" i="10" s="1"/>
  <c r="DY62" i="10"/>
  <c r="IJ62" i="10" s="1"/>
  <c r="DY49" i="10"/>
  <c r="IJ49" i="10" s="1"/>
  <c r="DY14" i="10"/>
  <c r="IJ14" i="10" s="1"/>
  <c r="DY20" i="10"/>
  <c r="IJ20" i="10" s="1"/>
  <c r="CV58" i="10"/>
  <c r="HG58" i="10" s="1"/>
  <c r="DY58" i="10"/>
  <c r="IJ58" i="10" s="1"/>
  <c r="DY32" i="10"/>
  <c r="IJ32" i="10" s="1"/>
  <c r="DY40" i="10"/>
  <c r="IJ40" i="10" s="1"/>
  <c r="DY48" i="10"/>
  <c r="IJ48" i="10" s="1"/>
  <c r="DU13" i="10"/>
  <c r="IF13" i="10" s="1"/>
  <c r="D505" i="30"/>
  <c r="D507" i="30"/>
  <c r="D519" i="30"/>
  <c r="DY46" i="10"/>
  <c r="IJ46" i="10" s="1"/>
  <c r="DY57" i="10"/>
  <c r="IJ57" i="10" s="1"/>
  <c r="DY43" i="10"/>
  <c r="IJ43" i="10" s="1"/>
  <c r="DY19" i="10"/>
  <c r="IJ19" i="10" s="1"/>
  <c r="DY51" i="10"/>
  <c r="IJ51" i="10" s="1"/>
  <c r="D512" i="30"/>
  <c r="E489" i="31"/>
  <c r="C749" i="31" s="1"/>
  <c r="CW46" i="10"/>
  <c r="HH46" i="10" s="1"/>
  <c r="B453" i="31"/>
  <c r="F583" i="31" s="1"/>
  <c r="C443" i="31"/>
  <c r="G573" i="31" s="1"/>
  <c r="D473" i="30"/>
  <c r="DY6" i="10"/>
  <c r="IJ6" i="10" s="1"/>
  <c r="DY4" i="10"/>
  <c r="IJ4" i="10" s="1"/>
  <c r="DY29" i="10"/>
  <c r="IJ29" i="10" s="1"/>
  <c r="DY56" i="10"/>
  <c r="IJ56" i="10" s="1"/>
  <c r="DY33" i="10"/>
  <c r="IJ33" i="10" s="1"/>
  <c r="DY39" i="10"/>
  <c r="IJ39" i="10" s="1"/>
  <c r="DY22" i="10"/>
  <c r="IJ22" i="10" s="1"/>
  <c r="DY30" i="10"/>
  <c r="IJ30" i="10" s="1"/>
  <c r="DY9" i="10"/>
  <c r="IJ9" i="10" s="1"/>
  <c r="DY16" i="10"/>
  <c r="IJ16" i="10" s="1"/>
  <c r="D497" i="31"/>
  <c r="B757" i="31" s="1"/>
  <c r="D517" i="30"/>
  <c r="DY10" i="10"/>
  <c r="IJ10" i="10" s="1"/>
  <c r="DY21" i="10"/>
  <c r="IJ21" i="10" s="1"/>
  <c r="DY28" i="10"/>
  <c r="IJ28" i="10" s="1"/>
  <c r="DY53" i="10"/>
  <c r="IJ53" i="10" s="1"/>
  <c r="DM54" i="10"/>
  <c r="HX54" i="10" s="1"/>
  <c r="DU15" i="10"/>
  <c r="IF15" i="10" s="1"/>
  <c r="I535" i="35"/>
  <c r="G543" i="35"/>
  <c r="DT46" i="10"/>
  <c r="IE46" i="10" s="1"/>
  <c r="DU35" i="10"/>
  <c r="IF35" i="10" s="1"/>
  <c r="DE6" i="10"/>
  <c r="HP6" i="10" s="1"/>
  <c r="DM17" i="10"/>
  <c r="HX17" i="10" s="1"/>
  <c r="DE9" i="10"/>
  <c r="HP9" i="10" s="1"/>
  <c r="DL22" i="10"/>
  <c r="HW22" i="10" s="1"/>
  <c r="CW29" i="10"/>
  <c r="HH29" i="10" s="1"/>
  <c r="CV16" i="10"/>
  <c r="HG16" i="10" s="1"/>
  <c r="E497" i="31"/>
  <c r="C757" i="31" s="1"/>
  <c r="DE3" i="10"/>
  <c r="HP3" i="10" s="1"/>
  <c r="J466" i="30"/>
  <c r="G523" i="35"/>
  <c r="DL24" i="10"/>
  <c r="HW24" i="10" s="1"/>
  <c r="DD6" i="10"/>
  <c r="HO6" i="10" s="1"/>
  <c r="DT50" i="10"/>
  <c r="IE50" i="10" s="1"/>
  <c r="DU47" i="10"/>
  <c r="IF47" i="10" s="1"/>
  <c r="I561" i="35"/>
  <c r="DT54" i="10"/>
  <c r="IE54" i="10" s="1"/>
  <c r="DM16" i="10"/>
  <c r="HX16" i="10" s="1"/>
  <c r="DT52" i="10"/>
  <c r="IE52" i="10" s="1"/>
  <c r="DU10" i="10"/>
  <c r="IF10" i="10" s="1"/>
  <c r="DT61" i="10"/>
  <c r="IE61" i="10" s="1"/>
  <c r="DE37" i="10"/>
  <c r="HP37" i="10" s="1"/>
  <c r="DU26" i="10"/>
  <c r="IF26" i="10" s="1"/>
  <c r="DE11" i="10"/>
  <c r="HP11" i="10" s="1"/>
  <c r="F461" i="31"/>
  <c r="D721" i="31" s="1"/>
  <c r="DT27" i="10"/>
  <c r="IE27" i="10" s="1"/>
  <c r="DM53" i="10"/>
  <c r="HX53" i="10" s="1"/>
  <c r="DM11" i="10"/>
  <c r="HX11" i="10" s="1"/>
  <c r="CV10" i="10"/>
  <c r="HG10" i="10" s="1"/>
  <c r="I567" i="35"/>
  <c r="I551" i="35"/>
  <c r="DT11" i="10"/>
  <c r="IE11" i="10" s="1"/>
  <c r="DT37" i="10"/>
  <c r="IE37" i="10" s="1"/>
  <c r="DL53" i="10"/>
  <c r="HW53" i="10" s="1"/>
  <c r="CW3" i="10"/>
  <c r="HH3" i="10" s="1"/>
  <c r="DD9" i="10"/>
  <c r="HO9" i="10" s="1"/>
  <c r="I525" i="35"/>
  <c r="C422" i="30"/>
  <c r="J467" i="30"/>
  <c r="DD19" i="10"/>
  <c r="HO19" i="10" s="1"/>
  <c r="DT63" i="10"/>
  <c r="IE63" i="10" s="1"/>
  <c r="J463" i="30"/>
  <c r="CV46" i="10"/>
  <c r="HG46" i="10" s="1"/>
  <c r="CV3" i="10"/>
  <c r="HG3" i="10" s="1"/>
  <c r="DM37" i="10"/>
  <c r="HX37" i="10" s="1"/>
  <c r="G524" i="35"/>
  <c r="DU46" i="10"/>
  <c r="IF46" i="10" s="1"/>
  <c r="D467" i="30"/>
  <c r="F472" i="31"/>
  <c r="D732" i="31" s="1"/>
  <c r="C465" i="30"/>
  <c r="DT45" i="10"/>
  <c r="IE45" i="10" s="1"/>
  <c r="DM4" i="10"/>
  <c r="HX4" i="10" s="1"/>
  <c r="DE24" i="10"/>
  <c r="HP24" i="10" s="1"/>
  <c r="CV32" i="10"/>
  <c r="HG32" i="10" s="1"/>
  <c r="DL47" i="10"/>
  <c r="HW47" i="10" s="1"/>
  <c r="DT59" i="10"/>
  <c r="IE59" i="10" s="1"/>
  <c r="G534" i="35"/>
  <c r="J424" i="30"/>
  <c r="DL4" i="10"/>
  <c r="HW4" i="10" s="1"/>
  <c r="CW32" i="10"/>
  <c r="HH32" i="10" s="1"/>
  <c r="DM47" i="10"/>
  <c r="HX47" i="10" s="1"/>
  <c r="G546" i="35"/>
  <c r="DT43" i="10"/>
  <c r="IE43" i="10" s="1"/>
  <c r="DD11" i="10"/>
  <c r="HO11" i="10" s="1"/>
  <c r="C476" i="30"/>
  <c r="DU58" i="10"/>
  <c r="IF58" i="10" s="1"/>
  <c r="DT53" i="10"/>
  <c r="IE53" i="10" s="1"/>
  <c r="J471" i="30"/>
  <c r="DD24" i="10"/>
  <c r="HO24" i="10" s="1"/>
  <c r="I518" i="35"/>
  <c r="G489" i="31"/>
  <c r="E749" i="31" s="1"/>
  <c r="G576" i="35"/>
  <c r="DT20" i="10"/>
  <c r="IE20" i="10" s="1"/>
  <c r="DT8" i="10"/>
  <c r="IE8" i="10" s="1"/>
  <c r="K463" i="30"/>
  <c r="DU18" i="10"/>
  <c r="IF18" i="10" s="1"/>
  <c r="DT23" i="10"/>
  <c r="IE23" i="10" s="1"/>
  <c r="DU11" i="10"/>
  <c r="IF11" i="10" s="1"/>
  <c r="DL57" i="10"/>
  <c r="HW57" i="10" s="1"/>
  <c r="I550" i="35"/>
  <c r="I555" i="35"/>
  <c r="DL12" i="10"/>
  <c r="HW12" i="10" s="1"/>
  <c r="J476" i="30"/>
  <c r="J422" i="30"/>
  <c r="J431" i="30"/>
  <c r="I554" i="35"/>
  <c r="J470" i="30"/>
  <c r="DT10" i="10"/>
  <c r="IE10" i="10" s="1"/>
  <c r="I382" i="30"/>
  <c r="I521" i="35"/>
  <c r="DU9" i="10"/>
  <c r="IF9" i="10" s="1"/>
  <c r="DU54" i="10"/>
  <c r="IF54" i="10" s="1"/>
  <c r="DT42" i="10"/>
  <c r="IE42" i="10" s="1"/>
  <c r="J475" i="30"/>
  <c r="DU38" i="10"/>
  <c r="IF38" i="10" s="1"/>
  <c r="J473" i="30"/>
  <c r="DL41" i="10"/>
  <c r="HW41" i="10" s="1"/>
  <c r="DM34" i="10"/>
  <c r="HX34" i="10" s="1"/>
  <c r="DM41" i="10"/>
  <c r="HX41" i="10" s="1"/>
  <c r="DL60" i="10"/>
  <c r="HW60" i="10" s="1"/>
  <c r="DL46" i="10"/>
  <c r="HW46" i="10" s="1"/>
  <c r="DL61" i="10"/>
  <c r="HW61" i="10" s="1"/>
  <c r="DL21" i="10"/>
  <c r="HW21" i="10" s="1"/>
  <c r="I548" i="35"/>
  <c r="I575" i="35"/>
  <c r="DM21" i="10"/>
  <c r="HX21" i="10" s="1"/>
  <c r="DT47" i="10"/>
  <c r="IE47" i="10" s="1"/>
  <c r="DD37" i="10"/>
  <c r="HO37" i="10" s="1"/>
  <c r="DL40" i="10"/>
  <c r="HW40" i="10" s="1"/>
  <c r="DE13" i="10"/>
  <c r="HP13" i="10" s="1"/>
  <c r="DE40" i="10"/>
  <c r="HP40" i="10" s="1"/>
  <c r="C488" i="31"/>
  <c r="G618" i="31" s="1"/>
  <c r="DT30" i="10"/>
  <c r="IE30" i="10" s="1"/>
  <c r="C481" i="30"/>
  <c r="DE10" i="10"/>
  <c r="HP10" i="10" s="1"/>
  <c r="J468" i="30"/>
  <c r="DU28" i="10"/>
  <c r="IF28" i="10" s="1"/>
  <c r="DU6" i="10"/>
  <c r="IF6" i="10" s="1"/>
  <c r="DU50" i="10"/>
  <c r="IF50" i="10" s="1"/>
  <c r="DL29" i="10"/>
  <c r="HW29" i="10" s="1"/>
  <c r="DL34" i="10"/>
  <c r="HW34" i="10" s="1"/>
  <c r="DD3" i="10"/>
  <c r="HO3" i="10" s="1"/>
  <c r="DT6" i="10"/>
  <c r="IE6" i="10" s="1"/>
  <c r="DM46" i="10"/>
  <c r="HX46" i="10" s="1"/>
  <c r="DM57" i="10"/>
  <c r="HX57" i="10" s="1"/>
  <c r="DM12" i="10"/>
  <c r="HX12" i="10" s="1"/>
  <c r="DM36" i="10"/>
  <c r="HX36" i="10" s="1"/>
  <c r="I571" i="35"/>
  <c r="DL36" i="10"/>
  <c r="HW36" i="10" s="1"/>
  <c r="I574" i="35"/>
  <c r="I560" i="35"/>
  <c r="I526" i="35"/>
  <c r="J465" i="30"/>
  <c r="DT39" i="10"/>
  <c r="IE39" i="10" s="1"/>
  <c r="DM40" i="10"/>
  <c r="HX40" i="10" s="1"/>
  <c r="DU39" i="10"/>
  <c r="IF39" i="10" s="1"/>
  <c r="DL56" i="10"/>
  <c r="HW56" i="10" s="1"/>
  <c r="DD10" i="10"/>
  <c r="HO10" i="10" s="1"/>
  <c r="DD13" i="10"/>
  <c r="HO13" i="10" s="1"/>
  <c r="DL38" i="10"/>
  <c r="HW38" i="10" s="1"/>
  <c r="DD40" i="10"/>
  <c r="HO40" i="10" s="1"/>
  <c r="C492" i="31"/>
  <c r="G622" i="31" s="1"/>
  <c r="DU59" i="10"/>
  <c r="IF59" i="10" s="1"/>
  <c r="DU63" i="10"/>
  <c r="IF63" i="10" s="1"/>
  <c r="J472" i="30"/>
  <c r="DT40" i="10"/>
  <c r="IE40" i="10" s="1"/>
  <c r="DT44" i="10"/>
  <c r="IE44" i="10" s="1"/>
  <c r="DT34" i="10"/>
  <c r="IE34" i="10" s="1"/>
  <c r="K475" i="30"/>
  <c r="DU23" i="10"/>
  <c r="IF23" i="10" s="1"/>
  <c r="DU24" i="10"/>
  <c r="IF24" i="10" s="1"/>
  <c r="DM19" i="10"/>
  <c r="HX19" i="10" s="1"/>
  <c r="DM9" i="10"/>
  <c r="HX9" i="10" s="1"/>
  <c r="C473" i="30"/>
  <c r="DL32" i="10"/>
  <c r="HW32" i="10" s="1"/>
  <c r="C458" i="31"/>
  <c r="DM51" i="10"/>
  <c r="HX51" i="10" s="1"/>
  <c r="DL50" i="10"/>
  <c r="HW50" i="10" s="1"/>
  <c r="DM32" i="10"/>
  <c r="HX32" i="10" s="1"/>
  <c r="I565" i="35"/>
  <c r="I537" i="35"/>
  <c r="M438" i="30"/>
  <c r="DU52" i="10"/>
  <c r="IF52" i="10" s="1"/>
  <c r="DL8" i="10"/>
  <c r="HW8" i="10" s="1"/>
  <c r="DM64" i="10"/>
  <c r="HX64" i="10" s="1"/>
  <c r="B437" i="31"/>
  <c r="F567" i="31" s="1"/>
  <c r="D619" i="31"/>
  <c r="DL10" i="10"/>
  <c r="HW10" i="10" s="1"/>
  <c r="B454" i="31"/>
  <c r="B584" i="31" s="1"/>
  <c r="I546" i="35"/>
  <c r="I553" i="35"/>
  <c r="DL39" i="10"/>
  <c r="HW39" i="10" s="1"/>
  <c r="DM50" i="10"/>
  <c r="HX50" i="10" s="1"/>
  <c r="C454" i="31"/>
  <c r="C584" i="31" s="1"/>
  <c r="DL23" i="10"/>
  <c r="HW23" i="10" s="1"/>
  <c r="DL9" i="10"/>
  <c r="HW9" i="10" s="1"/>
  <c r="DL51" i="10"/>
  <c r="HW51" i="10" s="1"/>
  <c r="I523" i="35"/>
  <c r="I533" i="35"/>
  <c r="I524" i="35"/>
  <c r="I564" i="35"/>
  <c r="G560" i="35"/>
  <c r="F489" i="31"/>
  <c r="D749" i="31" s="1"/>
  <c r="G518" i="35"/>
  <c r="N438" i="30"/>
  <c r="B486" i="31"/>
  <c r="C472" i="30"/>
  <c r="DL54" i="10"/>
  <c r="HW54" i="10" s="1"/>
  <c r="DL17" i="10"/>
  <c r="HW17" i="10" s="1"/>
  <c r="I531" i="35"/>
  <c r="I532" i="35"/>
  <c r="I568" i="35"/>
  <c r="DL26" i="10"/>
  <c r="HW26" i="10" s="1"/>
  <c r="DM42" i="10"/>
  <c r="HX42" i="10" s="1"/>
  <c r="DL42" i="10"/>
  <c r="HW42" i="10" s="1"/>
  <c r="DL13" i="10"/>
  <c r="HW13" i="10" s="1"/>
  <c r="DM22" i="10"/>
  <c r="HX22" i="10" s="1"/>
  <c r="I536" i="35"/>
  <c r="DM6" i="10"/>
  <c r="HX6" i="10" s="1"/>
  <c r="I522" i="35"/>
  <c r="F627" i="31"/>
  <c r="B627" i="31"/>
  <c r="DM13" i="10"/>
  <c r="HX13" i="10" s="1"/>
  <c r="DL6" i="10"/>
  <c r="HW6" i="10" s="1"/>
  <c r="DM18" i="10"/>
  <c r="HX18" i="10" s="1"/>
  <c r="I527" i="35"/>
  <c r="D627" i="31"/>
  <c r="I576" i="35"/>
  <c r="I534" i="35"/>
  <c r="DL28" i="10"/>
  <c r="HW28" i="10" s="1"/>
  <c r="DL20" i="10"/>
  <c r="HW20" i="10" s="1"/>
  <c r="DM62" i="10"/>
  <c r="HX62" i="10" s="1"/>
  <c r="DM28" i="10"/>
  <c r="HX28" i="10" s="1"/>
  <c r="DM20" i="10"/>
  <c r="HX20" i="10" s="1"/>
  <c r="I542" i="35"/>
  <c r="DL58" i="10"/>
  <c r="HW58" i="10" s="1"/>
  <c r="DU20" i="10"/>
  <c r="IF20" i="10" s="1"/>
  <c r="G544" i="35"/>
  <c r="DD29" i="10"/>
  <c r="HO29" i="10" s="1"/>
  <c r="C447" i="31"/>
  <c r="DE20" i="10"/>
  <c r="HP20" i="10" s="1"/>
  <c r="CV30" i="10"/>
  <c r="HG30" i="10" s="1"/>
  <c r="CW30" i="10"/>
  <c r="HH30" i="10" s="1"/>
  <c r="CV9" i="10"/>
  <c r="HG9" i="10" s="1"/>
  <c r="E470" i="31"/>
  <c r="C730" i="31" s="1"/>
  <c r="I572" i="35"/>
  <c r="CV41" i="10"/>
  <c r="HG41" i="10" s="1"/>
  <c r="CW18" i="10"/>
  <c r="HH18" i="10" s="1"/>
  <c r="DT4" i="10"/>
  <c r="IE4" i="10" s="1"/>
  <c r="DE29" i="10"/>
  <c r="HP29" i="10" s="1"/>
  <c r="DT58" i="10"/>
  <c r="IE58" i="10" s="1"/>
  <c r="B447" i="31"/>
  <c r="DT13" i="10"/>
  <c r="IE13" i="10" s="1"/>
  <c r="C444" i="31"/>
  <c r="CW9" i="10"/>
  <c r="HH9" i="10" s="1"/>
  <c r="CW23" i="10"/>
  <c r="HH23" i="10" s="1"/>
  <c r="DM58" i="10"/>
  <c r="HX58" i="10" s="1"/>
  <c r="G537" i="35"/>
  <c r="G555" i="35"/>
  <c r="CW20" i="10"/>
  <c r="HH20" i="10" s="1"/>
  <c r="DU30" i="10"/>
  <c r="IF30" i="10" s="1"/>
  <c r="CV57" i="10"/>
  <c r="HG57" i="10" s="1"/>
  <c r="CV56" i="10"/>
  <c r="HG56" i="10" s="1"/>
  <c r="DU19" i="10"/>
  <c r="IF19" i="10" s="1"/>
  <c r="CV48" i="10"/>
  <c r="HG48" i="10" s="1"/>
  <c r="G562" i="35"/>
  <c r="CV20" i="10"/>
  <c r="HG20" i="10" s="1"/>
  <c r="G571" i="35"/>
  <c r="G533" i="35"/>
  <c r="G452" i="31"/>
  <c r="E712" i="31" s="1"/>
  <c r="I530" i="35"/>
  <c r="DL7" i="10"/>
  <c r="HW7" i="10" s="1"/>
  <c r="DM7" i="10"/>
  <c r="HX7" i="10" s="1"/>
  <c r="G519" i="35"/>
  <c r="CV18" i="10"/>
  <c r="HG18" i="10" s="1"/>
  <c r="CW41" i="10"/>
  <c r="HH41" i="10" s="1"/>
  <c r="CW40" i="10"/>
  <c r="HH40" i="10" s="1"/>
  <c r="CW37" i="10"/>
  <c r="HH37" i="10" s="1"/>
  <c r="J478" i="30"/>
  <c r="C431" i="30"/>
  <c r="CV60" i="10"/>
  <c r="HG60" i="10" s="1"/>
  <c r="G564" i="35"/>
  <c r="CV50" i="10"/>
  <c r="HG50" i="10" s="1"/>
  <c r="CW60" i="10"/>
  <c r="HH60" i="10" s="1"/>
  <c r="CV37" i="10"/>
  <c r="HG37" i="10" s="1"/>
  <c r="CV19" i="10"/>
  <c r="HG19" i="10" s="1"/>
  <c r="CW52" i="10"/>
  <c r="HH52" i="10" s="1"/>
  <c r="DU51" i="10"/>
  <c r="IF51" i="10" s="1"/>
  <c r="G566" i="35"/>
  <c r="CW64" i="10"/>
  <c r="HH64" i="10" s="1"/>
  <c r="G578" i="35"/>
  <c r="C464" i="30"/>
  <c r="CW19" i="10"/>
  <c r="HH19" i="10" s="1"/>
  <c r="CV52" i="10"/>
  <c r="HG52" i="10" s="1"/>
  <c r="F457" i="31"/>
  <c r="D717" i="31" s="1"/>
  <c r="G551" i="35"/>
  <c r="DM48" i="10"/>
  <c r="HX48" i="10" s="1"/>
  <c r="DM52" i="10"/>
  <c r="HX52" i="10" s="1"/>
  <c r="I566" i="35"/>
  <c r="DL16" i="10"/>
  <c r="HW16" i="10" s="1"/>
  <c r="DL52" i="10"/>
  <c r="HW52" i="10" s="1"/>
  <c r="DL64" i="10"/>
  <c r="HW64" i="10" s="1"/>
  <c r="I578" i="35"/>
  <c r="DL48" i="10"/>
  <c r="HW48" i="10" s="1"/>
  <c r="I562" i="35"/>
  <c r="DE16" i="10"/>
  <c r="HP16" i="10" s="1"/>
  <c r="DD16" i="10"/>
  <c r="HO16" i="10" s="1"/>
  <c r="D458" i="31"/>
  <c r="B718" i="31" s="1"/>
  <c r="J464" i="30"/>
  <c r="DU7" i="10"/>
  <c r="IF7" i="10" s="1"/>
  <c r="D470" i="31"/>
  <c r="B730" i="31" s="1"/>
  <c r="CV6" i="10"/>
  <c r="HG6" i="10" s="1"/>
  <c r="CW54" i="10"/>
  <c r="HH54" i="10" s="1"/>
  <c r="CV40" i="10"/>
  <c r="HG40" i="10" s="1"/>
  <c r="G430" i="30"/>
  <c r="G553" i="35"/>
  <c r="E458" i="31"/>
  <c r="C718" i="31" s="1"/>
  <c r="G530" i="35"/>
  <c r="D455" i="31"/>
  <c r="B715" i="31" s="1"/>
  <c r="C463" i="31"/>
  <c r="H393" i="30"/>
  <c r="B481" i="31"/>
  <c r="G561" i="35"/>
  <c r="C435" i="30"/>
  <c r="CV47" i="10"/>
  <c r="HG47" i="10" s="1"/>
  <c r="CW47" i="10"/>
  <c r="HH47" i="10" s="1"/>
  <c r="CV64" i="10"/>
  <c r="HG64" i="10" s="1"/>
  <c r="CW58" i="10"/>
  <c r="HH58" i="10" s="1"/>
  <c r="G572" i="35"/>
  <c r="DD52" i="10"/>
  <c r="HO52" i="10" s="1"/>
  <c r="DE52" i="10"/>
  <c r="HP52" i="10" s="1"/>
  <c r="C441" i="31"/>
  <c r="I381" i="30"/>
  <c r="C423" i="30"/>
  <c r="CW7" i="10"/>
  <c r="HH7" i="10" s="1"/>
  <c r="G521" i="35"/>
  <c r="CV7" i="10"/>
  <c r="HG7" i="10" s="1"/>
  <c r="CW48" i="10"/>
  <c r="HH48" i="10" s="1"/>
  <c r="CW4" i="10"/>
  <c r="HH4" i="10" s="1"/>
  <c r="D442" i="31"/>
  <c r="B702" i="31" s="1"/>
  <c r="CW39" i="10"/>
  <c r="HH39" i="10" s="1"/>
  <c r="CW6" i="10"/>
  <c r="HH6" i="10" s="1"/>
  <c r="F434" i="30"/>
  <c r="F430" i="30"/>
  <c r="G424" i="30"/>
  <c r="G457" i="31"/>
  <c r="E717" i="31" s="1"/>
  <c r="DD12" i="10"/>
  <c r="HO12" i="10" s="1"/>
  <c r="F427" i="30"/>
  <c r="DT7" i="10"/>
  <c r="IE7" i="10" s="1"/>
  <c r="B463" i="31"/>
  <c r="CW62" i="10"/>
  <c r="HH62" i="10" s="1"/>
  <c r="F438" i="30"/>
  <c r="CV29" i="10"/>
  <c r="HG29" i="10" s="1"/>
  <c r="CW56" i="10"/>
  <c r="HH56" i="10" s="1"/>
  <c r="J435" i="30"/>
  <c r="DD47" i="10"/>
  <c r="HO47" i="10" s="1"/>
  <c r="DE47" i="10"/>
  <c r="HP47" i="10" s="1"/>
  <c r="J423" i="30"/>
  <c r="DE7" i="10"/>
  <c r="HP7" i="10" s="1"/>
  <c r="DD7" i="10"/>
  <c r="HO7" i="10" s="1"/>
  <c r="F425" i="30"/>
  <c r="D488" i="31"/>
  <c r="B748" i="31" s="1"/>
  <c r="DT29" i="10"/>
  <c r="IE29" i="10" s="1"/>
  <c r="DU29" i="10"/>
  <c r="IF29" i="10" s="1"/>
  <c r="CV39" i="10"/>
  <c r="HG39" i="10" s="1"/>
  <c r="G425" i="30"/>
  <c r="G434" i="30"/>
  <c r="F424" i="30"/>
  <c r="C451" i="31"/>
  <c r="G581" i="31" s="1"/>
  <c r="C432" i="30"/>
  <c r="G520" i="35"/>
  <c r="G554" i="35"/>
  <c r="G568" i="35"/>
  <c r="G570" i="35"/>
  <c r="CV4" i="10"/>
  <c r="HG4" i="10" s="1"/>
  <c r="G427" i="30"/>
  <c r="CW5" i="10"/>
  <c r="HH5" i="10" s="1"/>
  <c r="E472" i="31"/>
  <c r="C732" i="31" s="1"/>
  <c r="C481" i="31"/>
  <c r="I393" i="30"/>
  <c r="G532" i="35"/>
  <c r="E455" i="31"/>
  <c r="C715" i="31" s="1"/>
  <c r="G574" i="35"/>
  <c r="CW50" i="10"/>
  <c r="HH50" i="10" s="1"/>
  <c r="H381" i="30"/>
  <c r="B441" i="31"/>
  <c r="G492" i="31"/>
  <c r="E752" i="31" s="1"/>
  <c r="G488" i="31"/>
  <c r="E748" i="31" s="1"/>
  <c r="F452" i="31"/>
  <c r="D712" i="31" s="1"/>
  <c r="G456" i="31"/>
  <c r="E716" i="31" s="1"/>
  <c r="F462" i="31"/>
  <c r="D722" i="31" s="1"/>
  <c r="I558" i="35"/>
  <c r="G455" i="31"/>
  <c r="E715" i="31" s="1"/>
  <c r="DL14" i="10"/>
  <c r="HW14" i="10" s="1"/>
  <c r="C470" i="30"/>
  <c r="DM5" i="10"/>
  <c r="HX5" i="10" s="1"/>
  <c r="C467" i="30"/>
  <c r="I540" i="35"/>
  <c r="F490" i="31"/>
  <c r="D750" i="31" s="1"/>
  <c r="C474" i="30"/>
  <c r="F497" i="31"/>
  <c r="D757" i="31" s="1"/>
  <c r="DE4" i="10"/>
  <c r="HP4" i="10" s="1"/>
  <c r="DE17" i="10"/>
  <c r="HP17" i="10" s="1"/>
  <c r="F491" i="31"/>
  <c r="D751" i="31" s="1"/>
  <c r="F484" i="31"/>
  <c r="D744" i="31" s="1"/>
  <c r="F492" i="31"/>
  <c r="D752" i="31" s="1"/>
  <c r="G490" i="31"/>
  <c r="E750" i="31" s="1"/>
  <c r="F455" i="31"/>
  <c r="D715" i="31" s="1"/>
  <c r="I519" i="35"/>
  <c r="N427" i="30"/>
  <c r="G484" i="31"/>
  <c r="E744" i="31" s="1"/>
  <c r="F482" i="31"/>
  <c r="D742" i="31" s="1"/>
  <c r="C469" i="30"/>
  <c r="J426" i="30"/>
  <c r="DM26" i="10"/>
  <c r="HX26" i="10" s="1"/>
  <c r="F488" i="31"/>
  <c r="D748" i="31" s="1"/>
  <c r="N425" i="30"/>
  <c r="C477" i="30"/>
  <c r="F456" i="31"/>
  <c r="D716" i="31" s="1"/>
  <c r="G482" i="31"/>
  <c r="E742" i="31" s="1"/>
  <c r="I544" i="35"/>
  <c r="G497" i="31"/>
  <c r="E757" i="31" s="1"/>
  <c r="DE14" i="10"/>
  <c r="HP14" i="10" s="1"/>
  <c r="M427" i="30"/>
  <c r="G462" i="31"/>
  <c r="E722" i="31" s="1"/>
  <c r="CW26" i="10"/>
  <c r="HH26" i="10" s="1"/>
  <c r="DL5" i="10"/>
  <c r="HW5" i="10" s="1"/>
  <c r="CW22" i="10"/>
  <c r="HH22" i="10" s="1"/>
  <c r="G558" i="35"/>
  <c r="E461" i="31"/>
  <c r="C721" i="31" s="1"/>
  <c r="CV22" i="10"/>
  <c r="HG22" i="10" s="1"/>
  <c r="G536" i="35"/>
  <c r="DD17" i="10"/>
  <c r="HO17" i="10" s="1"/>
  <c r="DD4" i="10"/>
  <c r="HO4" i="10" s="1"/>
  <c r="G461" i="31"/>
  <c r="E721" i="31" s="1"/>
  <c r="CW17" i="10"/>
  <c r="HH17" i="10" s="1"/>
  <c r="F604" i="31"/>
  <c r="I570" i="35"/>
  <c r="G540" i="35"/>
  <c r="G531" i="35"/>
  <c r="J477" i="30"/>
  <c r="CV17" i="10"/>
  <c r="HG17" i="10" s="1"/>
  <c r="DM56" i="10"/>
  <c r="HX56" i="10" s="1"/>
  <c r="DM33" i="10"/>
  <c r="HX33" i="10" s="1"/>
  <c r="B604" i="31"/>
  <c r="DU17" i="10"/>
  <c r="IF17" i="10" s="1"/>
  <c r="DL33" i="10"/>
  <c r="HW33" i="10" s="1"/>
  <c r="I547" i="35"/>
  <c r="CW44" i="10"/>
  <c r="HH44" i="10" s="1"/>
  <c r="DD14" i="10"/>
  <c r="HO14" i="10" s="1"/>
  <c r="DL49" i="10"/>
  <c r="HW49" i="10" s="1"/>
  <c r="DU56" i="10"/>
  <c r="IF56" i="10" s="1"/>
  <c r="DT56" i="10"/>
  <c r="IE56" i="10" s="1"/>
  <c r="D461" i="31"/>
  <c r="B721" i="31" s="1"/>
  <c r="CV44" i="10"/>
  <c r="HG44" i="10" s="1"/>
  <c r="CW16" i="10"/>
  <c r="HH16" i="10" s="1"/>
  <c r="DT49" i="10"/>
  <c r="IE49" i="10" s="1"/>
  <c r="DM44" i="10"/>
  <c r="HX44" i="10" s="1"/>
  <c r="DM14" i="10"/>
  <c r="HX14" i="10" s="1"/>
  <c r="I528" i="35"/>
  <c r="C863" i="31"/>
  <c r="BL34" i="10" s="1"/>
  <c r="I391" i="30"/>
  <c r="DE44" i="10"/>
  <c r="HP44" i="10" s="1"/>
  <c r="B456" i="31"/>
  <c r="DE41" i="10"/>
  <c r="HP41" i="10" s="1"/>
  <c r="DD41" i="10"/>
  <c r="HO41" i="10" s="1"/>
  <c r="B439" i="31"/>
  <c r="B466" i="31"/>
  <c r="DU64" i="10"/>
  <c r="IF64" i="10" s="1"/>
  <c r="DT64" i="10"/>
  <c r="IE64" i="10" s="1"/>
  <c r="B490" i="31"/>
  <c r="C450" i="31"/>
  <c r="CW14" i="10"/>
  <c r="HH14" i="10" s="1"/>
  <c r="G528" i="35"/>
  <c r="CV14" i="10"/>
  <c r="HG14" i="10" s="1"/>
  <c r="H384" i="30"/>
  <c r="CV26" i="10"/>
  <c r="HG26" i="10" s="1"/>
  <c r="H391" i="30"/>
  <c r="B464" i="31"/>
  <c r="F594" i="31" s="1"/>
  <c r="DM30" i="10"/>
  <c r="HX30" i="10" s="1"/>
  <c r="DL30" i="10"/>
  <c r="HW30" i="10" s="1"/>
  <c r="B496" i="31"/>
  <c r="DT12" i="10"/>
  <c r="IE12" i="10" s="1"/>
  <c r="DU12" i="10"/>
  <c r="IF12" i="10" s="1"/>
  <c r="B438" i="31"/>
  <c r="DD44" i="10"/>
  <c r="HO44" i="10" s="1"/>
  <c r="DT41" i="10"/>
  <c r="IE41" i="10" s="1"/>
  <c r="DU41" i="10"/>
  <c r="IF41" i="10" s="1"/>
  <c r="DE5" i="10"/>
  <c r="HP5" i="10" s="1"/>
  <c r="DD5" i="10"/>
  <c r="HO5" i="10" s="1"/>
  <c r="E602" i="31"/>
  <c r="G602" i="31"/>
  <c r="C602" i="31"/>
  <c r="DE26" i="10"/>
  <c r="HP26" i="10" s="1"/>
  <c r="DD26" i="10"/>
  <c r="HO26" i="10" s="1"/>
  <c r="DE60" i="10"/>
  <c r="HP60" i="10" s="1"/>
  <c r="DD60" i="10"/>
  <c r="HO60" i="10" s="1"/>
  <c r="E592" i="31"/>
  <c r="C592" i="31"/>
  <c r="G592" i="31"/>
  <c r="B491" i="31"/>
  <c r="B498" i="31"/>
  <c r="C490" i="31"/>
  <c r="B448" i="31"/>
  <c r="I384" i="30"/>
  <c r="DD62" i="10"/>
  <c r="HO62" i="10" s="1"/>
  <c r="DE62" i="10"/>
  <c r="HP62" i="10" s="1"/>
  <c r="F592" i="31"/>
  <c r="D592" i="31"/>
  <c r="B592" i="31"/>
  <c r="C482" i="31"/>
  <c r="DE30" i="10"/>
  <c r="HP30" i="10" s="1"/>
  <c r="DD30" i="10"/>
  <c r="HO30" i="10" s="1"/>
  <c r="DU60" i="10"/>
  <c r="IF60" i="10" s="1"/>
  <c r="DT60" i="10"/>
  <c r="IE60" i="10" s="1"/>
  <c r="C491" i="31"/>
  <c r="C585" i="31"/>
  <c r="G585" i="31"/>
  <c r="E585" i="31"/>
  <c r="I386" i="30"/>
  <c r="B460" i="31"/>
  <c r="F590" i="31" s="1"/>
  <c r="DT26" i="10"/>
  <c r="IE26" i="10" s="1"/>
  <c r="DL44" i="10"/>
  <c r="HW44" i="10" s="1"/>
  <c r="C496" i="31"/>
  <c r="DU48" i="10"/>
  <c r="IF48" i="10" s="1"/>
  <c r="DT48" i="10"/>
  <c r="IE48" i="10" s="1"/>
  <c r="G526" i="35"/>
  <c r="CW12" i="10"/>
  <c r="HH12" i="10" s="1"/>
  <c r="C446" i="31"/>
  <c r="C438" i="31"/>
  <c r="C456" i="31"/>
  <c r="B475" i="31"/>
  <c r="C439" i="31"/>
  <c r="DE32" i="10"/>
  <c r="HP32" i="10" s="1"/>
  <c r="DD32" i="10"/>
  <c r="HO32" i="10" s="1"/>
  <c r="C466" i="31"/>
  <c r="C452" i="31"/>
  <c r="C478" i="31"/>
  <c r="CV12" i="10"/>
  <c r="HG12" i="10" s="1"/>
  <c r="B494" i="31"/>
  <c r="C498" i="31"/>
  <c r="DU14" i="10"/>
  <c r="IF14" i="10" s="1"/>
  <c r="DT14" i="10"/>
  <c r="IE14" i="10" s="1"/>
  <c r="H386" i="30"/>
  <c r="DT62" i="10"/>
  <c r="IE62" i="10" s="1"/>
  <c r="DU62" i="10"/>
  <c r="IF62" i="10" s="1"/>
  <c r="B482" i="31"/>
  <c r="B585" i="31"/>
  <c r="D585" i="31"/>
  <c r="F585" i="31"/>
  <c r="B446" i="31"/>
  <c r="B478" i="31"/>
  <c r="DT22" i="10"/>
  <c r="IE22" i="10" s="1"/>
  <c r="DU22" i="10"/>
  <c r="IF22" i="10" s="1"/>
  <c r="C475" i="31"/>
  <c r="DT5" i="10"/>
  <c r="IE5" i="10" s="1"/>
  <c r="DU5" i="10"/>
  <c r="IF5" i="10" s="1"/>
  <c r="DU32" i="10"/>
  <c r="IF32" i="10" s="1"/>
  <c r="DT32" i="10"/>
  <c r="IE32" i="10" s="1"/>
  <c r="DU16" i="10"/>
  <c r="IF16" i="10" s="1"/>
  <c r="DT16" i="10"/>
  <c r="IE16" i="10" s="1"/>
  <c r="B452" i="31"/>
  <c r="C494" i="31"/>
  <c r="DT57" i="10"/>
  <c r="IE57" i="10" s="1"/>
  <c r="DU57" i="10"/>
  <c r="IF57" i="10" s="1"/>
  <c r="DD64" i="10"/>
  <c r="HO64" i="10" s="1"/>
  <c r="DE64" i="10"/>
  <c r="HP64" i="10" s="1"/>
  <c r="B450" i="31"/>
  <c r="D602" i="31"/>
  <c r="B602" i="31"/>
  <c r="F602" i="31"/>
  <c r="C448" i="31"/>
  <c r="DM49" i="10"/>
  <c r="HX49" i="10" s="1"/>
  <c r="I563" i="35"/>
  <c r="DU33" i="10"/>
  <c r="IF33" i="10" s="1"/>
  <c r="DT33" i="10"/>
  <c r="IE33" i="10" s="1"/>
  <c r="H395" i="30"/>
  <c r="B485" i="31"/>
  <c r="I395" i="30"/>
  <c r="C485" i="31"/>
  <c r="DE51" i="10"/>
  <c r="HP51" i="10" s="1"/>
  <c r="J437" i="30"/>
  <c r="DD51" i="10"/>
  <c r="HO51" i="10" s="1"/>
  <c r="G449" i="31"/>
  <c r="E709" i="31" s="1"/>
  <c r="CW51" i="10"/>
  <c r="HH51" i="10" s="1"/>
  <c r="G565" i="35"/>
  <c r="CV51" i="10"/>
  <c r="HG51" i="10" s="1"/>
  <c r="C437" i="30"/>
  <c r="DT25" i="10"/>
  <c r="IE25" i="10" s="1"/>
  <c r="DU25" i="10"/>
  <c r="IF25" i="10" s="1"/>
  <c r="DL43" i="10"/>
  <c r="HW43" i="10" s="1"/>
  <c r="I557" i="35"/>
  <c r="DM43" i="10"/>
  <c r="HX43" i="10" s="1"/>
  <c r="C433" i="30"/>
  <c r="G557" i="35"/>
  <c r="H387" i="30"/>
  <c r="B467" i="31"/>
  <c r="C436" i="30"/>
  <c r="G563" i="35"/>
  <c r="CV49" i="10"/>
  <c r="HG49" i="10" s="1"/>
  <c r="CW49" i="10"/>
  <c r="HH49" i="10" s="1"/>
  <c r="C426" i="30"/>
  <c r="G539" i="35"/>
  <c r="I387" i="30"/>
  <c r="C467" i="31"/>
  <c r="H394" i="30"/>
  <c r="B483" i="31"/>
  <c r="J428" i="30"/>
  <c r="I394" i="30"/>
  <c r="C483" i="31"/>
  <c r="G469" i="31"/>
  <c r="E729" i="31" s="1"/>
  <c r="N430" i="30"/>
  <c r="C428" i="30"/>
  <c r="G545" i="35"/>
  <c r="C429" i="30"/>
  <c r="G547" i="35"/>
  <c r="CV33" i="10"/>
  <c r="HG33" i="10" s="1"/>
  <c r="CW33" i="10"/>
  <c r="HH33" i="10" s="1"/>
  <c r="J429" i="30"/>
  <c r="DE33" i="10"/>
  <c r="HP33" i="10" s="1"/>
  <c r="DD33" i="10"/>
  <c r="HO33" i="10" s="1"/>
  <c r="J436" i="30"/>
  <c r="DE49" i="10"/>
  <c r="HP49" i="10" s="1"/>
  <c r="DD49" i="10"/>
  <c r="HO49" i="10" s="1"/>
  <c r="F469" i="31"/>
  <c r="D729" i="31" s="1"/>
  <c r="M430" i="30"/>
  <c r="J433" i="30"/>
  <c r="DD43" i="10"/>
  <c r="HO43" i="10" s="1"/>
  <c r="DE43" i="10"/>
  <c r="HP43" i="10" s="1"/>
  <c r="J474" i="30"/>
  <c r="DU43" i="10"/>
  <c r="IF43" i="10" s="1"/>
  <c r="I539" i="35"/>
  <c r="I545" i="35"/>
  <c r="G575" i="31"/>
  <c r="F579" i="31"/>
  <c r="G603" i="31"/>
  <c r="G579" i="31"/>
  <c r="G609" i="31"/>
  <c r="G567" i="31"/>
  <c r="F599" i="31"/>
  <c r="G599" i="31"/>
  <c r="F609" i="31"/>
  <c r="F573" i="31"/>
  <c r="B573" i="31"/>
  <c r="D573" i="31"/>
  <c r="DT31" i="10"/>
  <c r="IE31" i="10" s="1"/>
  <c r="DU31" i="10"/>
  <c r="IF31" i="10" s="1"/>
  <c r="DM31" i="10"/>
  <c r="HX31" i="10" s="1"/>
  <c r="DL31" i="10"/>
  <c r="HW31" i="10" s="1"/>
  <c r="DM25" i="10"/>
  <c r="HX25" i="10" s="1"/>
  <c r="DL25" i="10"/>
  <c r="HW25" i="10" s="1"/>
  <c r="DD31" i="10"/>
  <c r="HO31" i="10" s="1"/>
  <c r="DE31" i="10"/>
  <c r="HP31" i="10" s="1"/>
  <c r="DE25" i="10"/>
  <c r="HP25" i="10" s="1"/>
  <c r="DD25" i="10"/>
  <c r="HO25" i="10" s="1"/>
  <c r="E567" i="31"/>
  <c r="E579" i="31"/>
  <c r="C579" i="31"/>
  <c r="CV25" i="10"/>
  <c r="HG25" i="10" s="1"/>
  <c r="CW25" i="10"/>
  <c r="HH25" i="10" s="1"/>
  <c r="D449" i="31"/>
  <c r="B709" i="31" s="1"/>
  <c r="CV31" i="10"/>
  <c r="HG31" i="10" s="1"/>
  <c r="CW31" i="10"/>
  <c r="HH31" i="10" s="1"/>
  <c r="D599" i="31"/>
  <c r="B599" i="31"/>
  <c r="D579" i="31"/>
  <c r="B579" i="31"/>
  <c r="DU3" i="10"/>
  <c r="IF3" i="10" s="1"/>
  <c r="DT3" i="10"/>
  <c r="IE3" i="10" s="1"/>
  <c r="C459" i="31"/>
  <c r="E449" i="31"/>
  <c r="C709" i="31" s="1"/>
  <c r="B477" i="31"/>
  <c r="D469" i="31"/>
  <c r="B729" i="31" s="1"/>
  <c r="B609" i="31"/>
  <c r="D609" i="31"/>
  <c r="C465" i="31"/>
  <c r="C567" i="31"/>
  <c r="D445" i="31"/>
  <c r="B705" i="31" s="1"/>
  <c r="D479" i="31"/>
  <c r="B739" i="31" s="1"/>
  <c r="C477" i="31"/>
  <c r="E445" i="31"/>
  <c r="C705" i="31" s="1"/>
  <c r="E575" i="31"/>
  <c r="C575" i="31"/>
  <c r="E603" i="31"/>
  <c r="C603" i="31"/>
  <c r="B459" i="31"/>
  <c r="E599" i="31"/>
  <c r="C599" i="31"/>
  <c r="E469" i="31"/>
  <c r="C729" i="31" s="1"/>
  <c r="B465" i="31"/>
  <c r="C609" i="31"/>
  <c r="E609" i="31"/>
  <c r="E479" i="31"/>
  <c r="C739" i="31" s="1"/>
  <c r="CW43" i="10"/>
  <c r="HH43" i="10" s="1"/>
  <c r="CV43" i="10"/>
  <c r="HG43" i="10" s="1"/>
  <c r="S979" i="46" l="1"/>
  <c r="W979" i="46"/>
  <c r="Q979" i="46"/>
  <c r="I979" i="46"/>
  <c r="AH769" i="46"/>
  <c r="AO769" i="46" s="1"/>
  <c r="AO774" i="46" s="1"/>
  <c r="J817" i="46" s="1"/>
  <c r="AO815" i="46"/>
  <c r="AH664" i="46"/>
  <c r="AO664" i="46" s="1"/>
  <c r="AO674" i="46" s="1"/>
  <c r="I1180" i="46"/>
  <c r="I1184" i="46" s="1"/>
  <c r="Y1179" i="46"/>
  <c r="AS1217" i="46"/>
  <c r="AS1218" i="46"/>
  <c r="AS1215" i="46"/>
  <c r="AS1216" i="46"/>
  <c r="AS1220" i="46"/>
  <c r="AS1221" i="46"/>
  <c r="U1177" i="46"/>
  <c r="AO702" i="46"/>
  <c r="AO712" i="46" s="1"/>
  <c r="AO682" i="46"/>
  <c r="AO692" i="46" s="1"/>
  <c r="AO636" i="46"/>
  <c r="AO616" i="46"/>
  <c r="Y395" i="45"/>
  <c r="AB398" i="45" s="1"/>
  <c r="Y396" i="45"/>
  <c r="AB401" i="45" s="1"/>
  <c r="Y961" i="46"/>
  <c r="AB966" i="46" s="1"/>
  <c r="O967" i="46" s="1"/>
  <c r="X967" i="46" s="1"/>
  <c r="Y960" i="46"/>
  <c r="AB963" i="46" s="1"/>
  <c r="O964" i="46" s="1"/>
  <c r="X964" i="46" s="1"/>
  <c r="AC350" i="45"/>
  <c r="Y352" i="45" s="1"/>
  <c r="K353" i="45" s="1"/>
  <c r="W414" i="45"/>
  <c r="S414" i="45"/>
  <c r="Q414" i="45"/>
  <c r="I414" i="45"/>
  <c r="AJ413" i="45"/>
  <c r="S415" i="45" s="1"/>
  <c r="C610" i="31"/>
  <c r="F449" i="31"/>
  <c r="D709" i="31" s="1"/>
  <c r="M425" i="30"/>
  <c r="HO8" i="10"/>
  <c r="F442" i="31"/>
  <c r="D702" i="31" s="1"/>
  <c r="G442" i="31"/>
  <c r="E702" i="31" s="1"/>
  <c r="HP59" i="10"/>
  <c r="G493" i="31"/>
  <c r="E753" i="31" s="1"/>
  <c r="N439" i="30"/>
  <c r="HO59" i="10"/>
  <c r="F493" i="31"/>
  <c r="D753" i="31" s="1"/>
  <c r="M439" i="30"/>
  <c r="EJ18" i="10"/>
  <c r="IU18" i="10" s="1"/>
  <c r="IR18" i="10"/>
  <c r="C623" i="31"/>
  <c r="G623" i="31"/>
  <c r="E623" i="31"/>
  <c r="G598" i="31"/>
  <c r="E598" i="31"/>
  <c r="C598" i="31"/>
  <c r="EK38" i="10"/>
  <c r="IV38" i="10" s="1"/>
  <c r="IR38" i="10"/>
  <c r="G606" i="31"/>
  <c r="E606" i="31"/>
  <c r="C606" i="31"/>
  <c r="D623" i="31"/>
  <c r="F623" i="31"/>
  <c r="B623" i="31"/>
  <c r="K442" i="31"/>
  <c r="I572" i="31" s="1"/>
  <c r="IF8" i="10"/>
  <c r="J489" i="31"/>
  <c r="J619" i="31" s="1"/>
  <c r="IE55" i="10"/>
  <c r="G600" i="31"/>
  <c r="E600" i="31"/>
  <c r="C600" i="31"/>
  <c r="EK27" i="10"/>
  <c r="IV27" i="10" s="1"/>
  <c r="C865" i="31"/>
  <c r="BL36" i="10" s="1"/>
  <c r="F415" i="33" s="1"/>
  <c r="E610" i="31"/>
  <c r="G594" i="31"/>
  <c r="C594" i="31"/>
  <c r="C522" i="30"/>
  <c r="I458" i="31"/>
  <c r="O588" i="31" s="1"/>
  <c r="G475" i="30"/>
  <c r="EK23" i="10"/>
  <c r="IV23" i="10" s="1"/>
  <c r="I472" i="31"/>
  <c r="M602" i="31" s="1"/>
  <c r="C521" i="30"/>
  <c r="EK44" i="10"/>
  <c r="IV44" i="10" s="1"/>
  <c r="EC59" i="10"/>
  <c r="IN59" i="10" s="1"/>
  <c r="EJ23" i="10"/>
  <c r="IU23" i="10" s="1"/>
  <c r="H573" i="35"/>
  <c r="EC61" i="10"/>
  <c r="IN61" i="10" s="1"/>
  <c r="EB61" i="10"/>
  <c r="H575" i="35"/>
  <c r="D447" i="31"/>
  <c r="B707" i="31" s="1"/>
  <c r="EK54" i="10"/>
  <c r="IV54" i="10" s="1"/>
  <c r="EC11" i="10"/>
  <c r="IN11" i="10" s="1"/>
  <c r="B570" i="31"/>
  <c r="C506" i="30"/>
  <c r="EJ35" i="10"/>
  <c r="IU35" i="10" s="1"/>
  <c r="G604" i="31"/>
  <c r="M434" i="30"/>
  <c r="C604" i="31"/>
  <c r="F614" i="31"/>
  <c r="F479" i="31"/>
  <c r="D739" i="31" s="1"/>
  <c r="C837" i="31"/>
  <c r="BL8" i="10" s="1"/>
  <c r="F387" i="33" s="1"/>
  <c r="EB11" i="10"/>
  <c r="IM11" i="10" s="1"/>
  <c r="EJ54" i="10"/>
  <c r="IU54" i="10" s="1"/>
  <c r="H525" i="35"/>
  <c r="E491" i="31"/>
  <c r="C751" i="31" s="1"/>
  <c r="K487" i="31"/>
  <c r="K617" i="31" s="1"/>
  <c r="I489" i="31"/>
  <c r="M619" i="31" s="1"/>
  <c r="E614" i="31"/>
  <c r="C614" i="31"/>
  <c r="C856" i="31"/>
  <c r="BL27" i="10" s="1"/>
  <c r="F406" i="33" s="1"/>
  <c r="EK56" i="10"/>
  <c r="IV56" i="10" s="1"/>
  <c r="G466" i="30"/>
  <c r="J458" i="31"/>
  <c r="H588" i="31" s="1"/>
  <c r="H489" i="31"/>
  <c r="L619" i="31" s="1"/>
  <c r="EK17" i="10"/>
  <c r="IV17" i="10" s="1"/>
  <c r="G590" i="31"/>
  <c r="H529" i="35"/>
  <c r="H497" i="31"/>
  <c r="N627" i="31" s="1"/>
  <c r="EB15" i="10"/>
  <c r="IM15" i="10" s="1"/>
  <c r="EC15" i="10"/>
  <c r="IN15" i="10" s="1"/>
  <c r="C507" i="30"/>
  <c r="J509" i="30"/>
  <c r="EJ28" i="10"/>
  <c r="IU28" i="10" s="1"/>
  <c r="D439" i="31"/>
  <c r="B699" i="31" s="1"/>
  <c r="F479" i="30"/>
  <c r="D622" i="31"/>
  <c r="C520" i="30"/>
  <c r="G468" i="30"/>
  <c r="EJ17" i="10"/>
  <c r="IU17" i="10" s="1"/>
  <c r="B622" i="31"/>
  <c r="EJ56" i="10"/>
  <c r="IU56" i="10" s="1"/>
  <c r="EJ36" i="10"/>
  <c r="IU36" i="10" s="1"/>
  <c r="F581" i="31"/>
  <c r="K468" i="31"/>
  <c r="I598" i="31" s="1"/>
  <c r="N472" i="30"/>
  <c r="B581" i="31"/>
  <c r="EB63" i="10"/>
  <c r="IM63" i="10" s="1"/>
  <c r="J512" i="30"/>
  <c r="F413" i="33"/>
  <c r="G458" i="31"/>
  <c r="E718" i="31" s="1"/>
  <c r="E444" i="31"/>
  <c r="C704" i="31" s="1"/>
  <c r="EC63" i="10"/>
  <c r="IN63" i="10" s="1"/>
  <c r="EK28" i="10"/>
  <c r="IV28" i="10" s="1"/>
  <c r="EB55" i="10"/>
  <c r="H577" i="35"/>
  <c r="EK4" i="10"/>
  <c r="IV4" i="10" s="1"/>
  <c r="D443" i="31"/>
  <c r="B703" i="31" s="1"/>
  <c r="D584" i="31"/>
  <c r="C570" i="31"/>
  <c r="I497" i="31"/>
  <c r="O627" i="31" s="1"/>
  <c r="G480" i="31"/>
  <c r="E740" i="31" s="1"/>
  <c r="C590" i="31"/>
  <c r="N434" i="30"/>
  <c r="G479" i="31"/>
  <c r="E739" i="31" s="1"/>
  <c r="K479" i="31"/>
  <c r="I609" i="31" s="1"/>
  <c r="E570" i="31"/>
  <c r="H496" i="31"/>
  <c r="N626" i="31" s="1"/>
  <c r="EK57" i="10"/>
  <c r="IV57" i="10" s="1"/>
  <c r="N475" i="30"/>
  <c r="EJ57" i="10"/>
  <c r="IU57" i="10" s="1"/>
  <c r="K474" i="31"/>
  <c r="K604" i="31" s="1"/>
  <c r="K478" i="31"/>
  <c r="I608" i="31" s="1"/>
  <c r="G479" i="30"/>
  <c r="H569" i="35"/>
  <c r="D570" i="31"/>
  <c r="C512" i="30"/>
  <c r="EJ58" i="10"/>
  <c r="IU58" i="10" s="1"/>
  <c r="EJ22" i="10"/>
  <c r="IU22" i="10" s="1"/>
  <c r="F480" i="31"/>
  <c r="D740" i="31" s="1"/>
  <c r="EC55" i="10"/>
  <c r="IN55" i="10" s="1"/>
  <c r="EK22" i="10"/>
  <c r="IV22" i="10" s="1"/>
  <c r="EC35" i="10"/>
  <c r="IN35" i="10" s="1"/>
  <c r="G587" i="31"/>
  <c r="EC38" i="10"/>
  <c r="IN38" i="10" s="1"/>
  <c r="B614" i="31"/>
  <c r="F454" i="31"/>
  <c r="D714" i="31" s="1"/>
  <c r="F466" i="30"/>
  <c r="EC27" i="10"/>
  <c r="IN27" i="10" s="1"/>
  <c r="EB27" i="10"/>
  <c r="IM27" i="10" s="1"/>
  <c r="C509" i="30"/>
  <c r="M432" i="30"/>
  <c r="D492" i="31"/>
  <c r="B752" i="31" s="1"/>
  <c r="J462" i="31"/>
  <c r="H592" i="31" s="1"/>
  <c r="EK36" i="10"/>
  <c r="IV36" i="10" s="1"/>
  <c r="H541" i="35"/>
  <c r="H552" i="35"/>
  <c r="E601" i="31"/>
  <c r="N432" i="30"/>
  <c r="C601" i="31"/>
  <c r="E464" i="31"/>
  <c r="C724" i="31" s="1"/>
  <c r="F473" i="31"/>
  <c r="D733" i="31" s="1"/>
  <c r="EJ27" i="10"/>
  <c r="IU27" i="10" s="1"/>
  <c r="F440" i="31"/>
  <c r="D700" i="31" s="1"/>
  <c r="EB38" i="10"/>
  <c r="IM38" i="10" s="1"/>
  <c r="M471" i="30"/>
  <c r="G453" i="31"/>
  <c r="E713" i="31" s="1"/>
  <c r="EB59" i="10"/>
  <c r="H576" i="35"/>
  <c r="G445" i="30"/>
  <c r="N476" i="30"/>
  <c r="F487" i="31"/>
  <c r="D747" i="31" s="1"/>
  <c r="K461" i="31"/>
  <c r="I591" i="31" s="1"/>
  <c r="EB35" i="10"/>
  <c r="IM35" i="10" s="1"/>
  <c r="G447" i="30"/>
  <c r="F445" i="30"/>
  <c r="F587" i="31"/>
  <c r="G473" i="31"/>
  <c r="E733" i="31" s="1"/>
  <c r="F444" i="31"/>
  <c r="D704" i="31" s="1"/>
  <c r="F442" i="30"/>
  <c r="G446" i="31"/>
  <c r="E706" i="31" s="1"/>
  <c r="E498" i="31"/>
  <c r="C758" i="31" s="1"/>
  <c r="E475" i="31"/>
  <c r="C735" i="31" s="1"/>
  <c r="D490" i="31"/>
  <c r="B750" i="31" s="1"/>
  <c r="D475" i="31"/>
  <c r="B735" i="31" s="1"/>
  <c r="K476" i="31"/>
  <c r="I606" i="31" s="1"/>
  <c r="N468" i="30"/>
  <c r="K445" i="31"/>
  <c r="K575" i="31" s="1"/>
  <c r="E447" i="31"/>
  <c r="C707" i="31" s="1"/>
  <c r="K492" i="31"/>
  <c r="K622" i="31" s="1"/>
  <c r="M480" i="30"/>
  <c r="M472" i="30"/>
  <c r="D444" i="31"/>
  <c r="B704" i="31" s="1"/>
  <c r="J484" i="31"/>
  <c r="H614" i="31" s="1"/>
  <c r="EK12" i="10"/>
  <c r="IV12" i="10" s="1"/>
  <c r="EJ15" i="10"/>
  <c r="IU15" i="10" s="1"/>
  <c r="EK20" i="10"/>
  <c r="IV20" i="10" s="1"/>
  <c r="K489" i="31"/>
  <c r="K619" i="31" s="1"/>
  <c r="J453" i="31"/>
  <c r="J583" i="31" s="1"/>
  <c r="M466" i="30"/>
  <c r="G625" i="31"/>
  <c r="E625" i="31"/>
  <c r="C625" i="31"/>
  <c r="EJ38" i="10"/>
  <c r="IU38" i="10" s="1"/>
  <c r="F459" i="30"/>
  <c r="F440" i="30"/>
  <c r="D495" i="31"/>
  <c r="B755" i="31" s="1"/>
  <c r="D486" i="31"/>
  <c r="B746" i="31" s="1"/>
  <c r="K485" i="31"/>
  <c r="K615" i="31" s="1"/>
  <c r="D491" i="31"/>
  <c r="B751" i="31" s="1"/>
  <c r="E452" i="31"/>
  <c r="C712" i="31" s="1"/>
  <c r="D480" i="31"/>
  <c r="B740" i="31" s="1"/>
  <c r="E463" i="31"/>
  <c r="C723" i="31" s="1"/>
  <c r="M478" i="30"/>
  <c r="K495" i="31"/>
  <c r="K625" i="31" s="1"/>
  <c r="F468" i="30"/>
  <c r="EK48" i="10"/>
  <c r="IV48" i="10" s="1"/>
  <c r="M440" i="30"/>
  <c r="F495" i="31"/>
  <c r="D755" i="31" s="1"/>
  <c r="EJ24" i="10"/>
  <c r="IU24" i="10" s="1"/>
  <c r="F489" i="30"/>
  <c r="G489" i="30"/>
  <c r="F471" i="30"/>
  <c r="F441" i="30"/>
  <c r="F451" i="30"/>
  <c r="G454" i="30"/>
  <c r="D452" i="31"/>
  <c r="B712" i="31" s="1"/>
  <c r="M465" i="30"/>
  <c r="J495" i="31"/>
  <c r="H625" i="31" s="1"/>
  <c r="N471" i="30"/>
  <c r="J470" i="31"/>
  <c r="H600" i="31" s="1"/>
  <c r="G481" i="30"/>
  <c r="EJ59" i="10"/>
  <c r="IU59" i="10" s="1"/>
  <c r="E487" i="31"/>
  <c r="C747" i="31" s="1"/>
  <c r="C871" i="31"/>
  <c r="BL42" i="10" s="1"/>
  <c r="G459" i="30"/>
  <c r="G440" i="30"/>
  <c r="E495" i="31"/>
  <c r="C755" i="31" s="1"/>
  <c r="F617" i="31"/>
  <c r="B617" i="31"/>
  <c r="D617" i="31"/>
  <c r="F431" i="30"/>
  <c r="M474" i="30"/>
  <c r="M468" i="30"/>
  <c r="K447" i="31"/>
  <c r="K577" i="31" s="1"/>
  <c r="I442" i="31"/>
  <c r="M572" i="31" s="1"/>
  <c r="E617" i="31"/>
  <c r="G617" i="31"/>
  <c r="C617" i="31"/>
  <c r="F452" i="30"/>
  <c r="F447" i="30"/>
  <c r="D457" i="31"/>
  <c r="B717" i="31" s="1"/>
  <c r="EJ46" i="10"/>
  <c r="IU46" i="10" s="1"/>
  <c r="G452" i="30"/>
  <c r="H549" i="35"/>
  <c r="EJ20" i="10"/>
  <c r="IU20" i="10" s="1"/>
  <c r="G441" i="30"/>
  <c r="G442" i="30"/>
  <c r="F454" i="30"/>
  <c r="D494" i="31"/>
  <c r="B754" i="31" s="1"/>
  <c r="G483" i="30"/>
  <c r="D482" i="31"/>
  <c r="B742" i="31" s="1"/>
  <c r="J481" i="31"/>
  <c r="J611" i="31" s="1"/>
  <c r="E466" i="31"/>
  <c r="C726" i="31" s="1"/>
  <c r="M475" i="30"/>
  <c r="K444" i="31"/>
  <c r="K574" i="31" s="1"/>
  <c r="N466" i="30"/>
  <c r="D496" i="31"/>
  <c r="B756" i="31" s="1"/>
  <c r="J472" i="31"/>
  <c r="H602" i="31" s="1"/>
  <c r="EK46" i="10"/>
  <c r="IV46" i="10" s="1"/>
  <c r="G463" i="30"/>
  <c r="M479" i="30"/>
  <c r="D487" i="31"/>
  <c r="B747" i="31" s="1"/>
  <c r="G495" i="31"/>
  <c r="E755" i="31" s="1"/>
  <c r="N440" i="30"/>
  <c r="EK18" i="10"/>
  <c r="IV18" i="10" s="1"/>
  <c r="F625" i="31"/>
  <c r="B625" i="31"/>
  <c r="D625" i="31"/>
  <c r="G487" i="31"/>
  <c r="E747" i="31" s="1"/>
  <c r="E494" i="31"/>
  <c r="C754" i="31" s="1"/>
  <c r="G440" i="31"/>
  <c r="E700" i="31" s="1"/>
  <c r="EB28" i="10"/>
  <c r="IM28" i="10" s="1"/>
  <c r="EB36" i="10"/>
  <c r="IM36" i="10" s="1"/>
  <c r="EC42" i="10"/>
  <c r="IN42" i="10" s="1"/>
  <c r="EB24" i="10"/>
  <c r="IM24" i="10" s="1"/>
  <c r="EB13" i="10"/>
  <c r="IM13" i="10" s="1"/>
  <c r="D583" i="31"/>
  <c r="F603" i="31"/>
  <c r="D575" i="31"/>
  <c r="B583" i="31"/>
  <c r="B603" i="31"/>
  <c r="C573" i="31"/>
  <c r="F584" i="31"/>
  <c r="J520" i="30"/>
  <c r="EJ37" i="10"/>
  <c r="IU37" i="10" s="1"/>
  <c r="J521" i="30"/>
  <c r="I495" i="31"/>
  <c r="M625" i="31" s="1"/>
  <c r="H461" i="31"/>
  <c r="L591" i="31" s="1"/>
  <c r="J451" i="31"/>
  <c r="J581" i="31" s="1"/>
  <c r="EJ55" i="10"/>
  <c r="G450" i="31"/>
  <c r="E710" i="31" s="1"/>
  <c r="C622" i="31"/>
  <c r="D450" i="31"/>
  <c r="B710" i="31" s="1"/>
  <c r="N447" i="30"/>
  <c r="M445" i="30"/>
  <c r="M455" i="30"/>
  <c r="G448" i="30"/>
  <c r="F455" i="30"/>
  <c r="N442" i="30"/>
  <c r="E473" i="31"/>
  <c r="C733" i="31" s="1"/>
  <c r="G451" i="30"/>
  <c r="N451" i="30"/>
  <c r="N445" i="30"/>
  <c r="N452" i="30"/>
  <c r="N455" i="30"/>
  <c r="M448" i="30"/>
  <c r="F448" i="30"/>
  <c r="G456" i="30"/>
  <c r="N456" i="30"/>
  <c r="M441" i="30"/>
  <c r="G431" i="30"/>
  <c r="G450" i="30"/>
  <c r="N450" i="30"/>
  <c r="M452" i="30"/>
  <c r="N448" i="30"/>
  <c r="N441" i="30"/>
  <c r="N454" i="30"/>
  <c r="F450" i="30"/>
  <c r="M450" i="30"/>
  <c r="M443" i="30"/>
  <c r="F422" i="30"/>
  <c r="N443" i="30"/>
  <c r="M447" i="30"/>
  <c r="G455" i="30"/>
  <c r="F456" i="30"/>
  <c r="M456" i="30"/>
  <c r="M442" i="30"/>
  <c r="M454" i="30"/>
  <c r="G422" i="30"/>
  <c r="M451" i="30"/>
  <c r="G486" i="30"/>
  <c r="F483" i="30"/>
  <c r="F500" i="30"/>
  <c r="G500" i="30"/>
  <c r="F494" i="30"/>
  <c r="G488" i="30"/>
  <c r="G493" i="30"/>
  <c r="F497" i="30"/>
  <c r="G491" i="30"/>
  <c r="F491" i="30"/>
  <c r="G490" i="30"/>
  <c r="F499" i="30"/>
  <c r="G482" i="30"/>
  <c r="F490" i="30"/>
  <c r="F486" i="30"/>
  <c r="F493" i="30"/>
  <c r="F495" i="30"/>
  <c r="G484" i="30"/>
  <c r="F482" i="30"/>
  <c r="G492" i="30"/>
  <c r="F488" i="30"/>
  <c r="G496" i="30"/>
  <c r="F496" i="30"/>
  <c r="F492" i="30"/>
  <c r="G497" i="30"/>
  <c r="G495" i="30"/>
  <c r="F484" i="30"/>
  <c r="G499" i="30"/>
  <c r="G487" i="30"/>
  <c r="F487" i="30"/>
  <c r="K438" i="31"/>
  <c r="I568" i="31" s="1"/>
  <c r="EK63" i="10"/>
  <c r="IV63" i="10" s="1"/>
  <c r="H493" i="31"/>
  <c r="N623" i="31" s="1"/>
  <c r="EJ9" i="10"/>
  <c r="IU9" i="10" s="1"/>
  <c r="EJ48" i="10"/>
  <c r="IU48" i="10" s="1"/>
  <c r="EC64" i="10"/>
  <c r="IN64" i="10" s="1"/>
  <c r="EB46" i="10"/>
  <c r="IM46" i="10" s="1"/>
  <c r="J508" i="30"/>
  <c r="EK6" i="10"/>
  <c r="IV6" i="10" s="1"/>
  <c r="D471" i="31"/>
  <c r="B731" i="31" s="1"/>
  <c r="C616" i="31"/>
  <c r="E616" i="31"/>
  <c r="B601" i="31"/>
  <c r="B574" i="31"/>
  <c r="EK55" i="10"/>
  <c r="IV55" i="10" s="1"/>
  <c r="I454" i="31"/>
  <c r="O584" i="31" s="1"/>
  <c r="I456" i="31"/>
  <c r="O586" i="31" s="1"/>
  <c r="I446" i="31"/>
  <c r="O576" i="31" s="1"/>
  <c r="F480" i="30"/>
  <c r="J440" i="31"/>
  <c r="H570" i="31" s="1"/>
  <c r="EK19" i="10"/>
  <c r="IV19" i="10" s="1"/>
  <c r="H556" i="35"/>
  <c r="EB42" i="10"/>
  <c r="IM42" i="10" s="1"/>
  <c r="EB8" i="10"/>
  <c r="IM8" i="10" s="1"/>
  <c r="EB16" i="10"/>
  <c r="IM16" i="10" s="1"/>
  <c r="I452" i="31"/>
  <c r="M582" i="31" s="1"/>
  <c r="EC16" i="10"/>
  <c r="IN16" i="10" s="1"/>
  <c r="EJ61" i="10"/>
  <c r="IU61" i="10" s="1"/>
  <c r="EB30" i="10"/>
  <c r="IM30" i="10" s="1"/>
  <c r="EC48" i="10"/>
  <c r="IN48" i="10" s="1"/>
  <c r="EK21" i="10"/>
  <c r="IV21" i="10" s="1"/>
  <c r="N481" i="30"/>
  <c r="EK59" i="10"/>
  <c r="IV59" i="10" s="1"/>
  <c r="EB45" i="10"/>
  <c r="IM45" i="10" s="1"/>
  <c r="H559" i="35"/>
  <c r="EK15" i="10"/>
  <c r="IV15" i="10" s="1"/>
  <c r="EJ21" i="10"/>
  <c r="IU21" i="10" s="1"/>
  <c r="EK61" i="10"/>
  <c r="IV61" i="10" s="1"/>
  <c r="EC45" i="10"/>
  <c r="IN45" i="10" s="1"/>
  <c r="C516" i="30"/>
  <c r="J522" i="30"/>
  <c r="G471" i="30"/>
  <c r="EC19" i="10"/>
  <c r="IN19" i="10" s="1"/>
  <c r="EB3" i="10"/>
  <c r="IM3" i="10" s="1"/>
  <c r="I461" i="31"/>
  <c r="O591" i="31" s="1"/>
  <c r="H517" i="35"/>
  <c r="EC24" i="10"/>
  <c r="IN24" i="10" s="1"/>
  <c r="H454" i="31"/>
  <c r="L584" i="31" s="1"/>
  <c r="F465" i="30"/>
  <c r="EJ50" i="10"/>
  <c r="IU50" i="10" s="1"/>
  <c r="EK50" i="10"/>
  <c r="IV50" i="10" s="1"/>
  <c r="H445" i="31"/>
  <c r="L575" i="31" s="1"/>
  <c r="J513" i="30"/>
  <c r="EJ19" i="10"/>
  <c r="IU19" i="10" s="1"/>
  <c r="H533" i="35"/>
  <c r="H480" i="31"/>
  <c r="L610" i="31" s="1"/>
  <c r="I457" i="31"/>
  <c r="M587" i="31" s="1"/>
  <c r="J510" i="30"/>
  <c r="EK35" i="10"/>
  <c r="IV35" i="10" s="1"/>
  <c r="N479" i="30"/>
  <c r="I476" i="31"/>
  <c r="M606" i="31" s="1"/>
  <c r="J452" i="31"/>
  <c r="J582" i="31" s="1"/>
  <c r="J474" i="31"/>
  <c r="H604" i="31" s="1"/>
  <c r="I447" i="31"/>
  <c r="O577" i="31" s="1"/>
  <c r="EB64" i="10"/>
  <c r="IM64" i="10" s="1"/>
  <c r="F463" i="30"/>
  <c r="H452" i="31"/>
  <c r="N582" i="31" s="1"/>
  <c r="I494" i="31"/>
  <c r="M624" i="31" s="1"/>
  <c r="G478" i="30"/>
  <c r="I463" i="31"/>
  <c r="O593" i="31" s="1"/>
  <c r="G473" i="30"/>
  <c r="H564" i="35"/>
  <c r="EJ29" i="10"/>
  <c r="IU29" i="10" s="1"/>
  <c r="K455" i="31"/>
  <c r="K585" i="31" s="1"/>
  <c r="EC8" i="10"/>
  <c r="IN8" i="10" s="1"/>
  <c r="H538" i="35"/>
  <c r="I473" i="31"/>
  <c r="M603" i="31" s="1"/>
  <c r="H578" i="35"/>
  <c r="M481" i="30"/>
  <c r="N477" i="30"/>
  <c r="J485" i="31"/>
  <c r="H615" i="31" s="1"/>
  <c r="J455" i="31"/>
  <c r="J488" i="31"/>
  <c r="J618" i="31" s="1"/>
  <c r="EJ13" i="10"/>
  <c r="IU13" i="10" s="1"/>
  <c r="EB32" i="10"/>
  <c r="IM32" i="10" s="1"/>
  <c r="J493" i="31"/>
  <c r="J623" i="31" s="1"/>
  <c r="EJ63" i="10"/>
  <c r="IU63" i="10" s="1"/>
  <c r="F478" i="30"/>
  <c r="H468" i="31"/>
  <c r="N598" i="31" s="1"/>
  <c r="I462" i="31"/>
  <c r="O592" i="31" s="1"/>
  <c r="H522" i="35"/>
  <c r="J480" i="31"/>
  <c r="J610" i="31" s="1"/>
  <c r="EC6" i="10"/>
  <c r="IN6" i="10" s="1"/>
  <c r="F476" i="30"/>
  <c r="EJ39" i="10"/>
  <c r="IU39" i="10" s="1"/>
  <c r="H532" i="35"/>
  <c r="EK9" i="10"/>
  <c r="IV9" i="10" s="1"/>
  <c r="EK39" i="10"/>
  <c r="IV39" i="10" s="1"/>
  <c r="EK24" i="10"/>
  <c r="IV24" i="10" s="1"/>
  <c r="H471" i="31"/>
  <c r="N601" i="31" s="1"/>
  <c r="I480" i="31"/>
  <c r="O610" i="31" s="1"/>
  <c r="J514" i="30"/>
  <c r="EJ6" i="10"/>
  <c r="IU6" i="10" s="1"/>
  <c r="EJ14" i="10"/>
  <c r="IU14" i="10" s="1"/>
  <c r="F475" i="30"/>
  <c r="H475" i="31"/>
  <c r="L605" i="31" s="1"/>
  <c r="EJ10" i="10"/>
  <c r="IU10" i="10" s="1"/>
  <c r="EC36" i="10"/>
  <c r="IN36" i="10" s="1"/>
  <c r="J443" i="31"/>
  <c r="J573" i="31" s="1"/>
  <c r="EB19" i="10"/>
  <c r="IM19" i="10" s="1"/>
  <c r="EB23" i="10"/>
  <c r="IM23" i="10" s="1"/>
  <c r="E480" i="31"/>
  <c r="C740" i="31" s="1"/>
  <c r="C504" i="30"/>
  <c r="EK45" i="10"/>
  <c r="IV45" i="10" s="1"/>
  <c r="I444" i="31"/>
  <c r="M574" i="31" s="1"/>
  <c r="EC21" i="10"/>
  <c r="IN21" i="10" s="1"/>
  <c r="EB21" i="10"/>
  <c r="IM21" i="10" s="1"/>
  <c r="H537" i="35"/>
  <c r="J507" i="30"/>
  <c r="EC23" i="10"/>
  <c r="IN23" i="10" s="1"/>
  <c r="G583" i="31"/>
  <c r="G480" i="30"/>
  <c r="EJ45" i="10"/>
  <c r="IU45" i="10" s="1"/>
  <c r="I487" i="31"/>
  <c r="M617" i="31" s="1"/>
  <c r="H540" i="35"/>
  <c r="EK52" i="10"/>
  <c r="IV52" i="10" s="1"/>
  <c r="I451" i="31"/>
  <c r="O581" i="31" s="1"/>
  <c r="EC3" i="10"/>
  <c r="IN3" i="10" s="1"/>
  <c r="C583" i="31"/>
  <c r="H495" i="31"/>
  <c r="L625" i="31" s="1"/>
  <c r="J516" i="30"/>
  <c r="EK26" i="10"/>
  <c r="IV26" i="10" s="1"/>
  <c r="H491" i="31"/>
  <c r="L621" i="31" s="1"/>
  <c r="H487" i="31"/>
  <c r="L617" i="31" s="1"/>
  <c r="EB57" i="10"/>
  <c r="IM57" i="10" s="1"/>
  <c r="H524" i="35"/>
  <c r="D437" i="31"/>
  <c r="B697" i="31" s="1"/>
  <c r="B587" i="31"/>
  <c r="C852" i="31" s="1"/>
  <c r="BL23" i="10" s="1"/>
  <c r="F402" i="33" s="1"/>
  <c r="F601" i="31"/>
  <c r="I493" i="31"/>
  <c r="M623" i="31" s="1"/>
  <c r="D616" i="31"/>
  <c r="B610" i="31"/>
  <c r="D610" i="31"/>
  <c r="C513" i="30"/>
  <c r="B588" i="31"/>
  <c r="J497" i="31"/>
  <c r="J506" i="30"/>
  <c r="J445" i="31"/>
  <c r="J575" i="31" s="1"/>
  <c r="I445" i="31"/>
  <c r="M575" i="31" s="1"/>
  <c r="H451" i="31"/>
  <c r="L581" i="31" s="1"/>
  <c r="H485" i="31"/>
  <c r="L615" i="31" s="1"/>
  <c r="B616" i="31"/>
  <c r="H463" i="31"/>
  <c r="L593" i="31" s="1"/>
  <c r="H568" i="35"/>
  <c r="H531" i="35"/>
  <c r="H558" i="35"/>
  <c r="C884" i="31"/>
  <c r="H560" i="35"/>
  <c r="K483" i="31"/>
  <c r="K613" i="31" s="1"/>
  <c r="E573" i="31"/>
  <c r="F616" i="31"/>
  <c r="N424" i="30"/>
  <c r="F463" i="31"/>
  <c r="D723" i="31" s="1"/>
  <c r="I484" i="31"/>
  <c r="M614" i="31" s="1"/>
  <c r="I498" i="31"/>
  <c r="O628" i="31" s="1"/>
  <c r="E618" i="31"/>
  <c r="H566" i="35"/>
  <c r="EK40" i="10"/>
  <c r="IV40" i="10" s="1"/>
  <c r="D588" i="31"/>
  <c r="EK42" i="10"/>
  <c r="IV42" i="10" s="1"/>
  <c r="EJ42" i="10"/>
  <c r="IU42" i="10" s="1"/>
  <c r="F574" i="31"/>
  <c r="B618" i="31"/>
  <c r="H456" i="31"/>
  <c r="N586" i="31" s="1"/>
  <c r="I443" i="31"/>
  <c r="M573" i="31" s="1"/>
  <c r="H453" i="31"/>
  <c r="N583" i="31" s="1"/>
  <c r="EJ34" i="10"/>
  <c r="IU34" i="10" s="1"/>
  <c r="EK34" i="10"/>
  <c r="IV34" i="10" s="1"/>
  <c r="K470" i="31"/>
  <c r="EJ8" i="10"/>
  <c r="IU8" i="10" s="1"/>
  <c r="EK8" i="10"/>
  <c r="IV8" i="10" s="1"/>
  <c r="EC56" i="10"/>
  <c r="IN56" i="10" s="1"/>
  <c r="G437" i="31"/>
  <c r="E697" i="31" s="1"/>
  <c r="E587" i="31"/>
  <c r="B575" i="31"/>
  <c r="EB56" i="10"/>
  <c r="IM56" i="10" s="1"/>
  <c r="EC30" i="10"/>
  <c r="IN30" i="10" s="1"/>
  <c r="F472" i="30"/>
  <c r="EB39" i="10"/>
  <c r="IM39" i="10" s="1"/>
  <c r="H518" i="35"/>
  <c r="J504" i="30"/>
  <c r="D618" i="31"/>
  <c r="H550" i="35"/>
  <c r="H554" i="35"/>
  <c r="H574" i="35"/>
  <c r="H526" i="35"/>
  <c r="H530" i="35"/>
  <c r="H544" i="35"/>
  <c r="EJ53" i="10"/>
  <c r="IU53" i="10" s="1"/>
  <c r="EK53" i="10"/>
  <c r="IV53" i="10" s="1"/>
  <c r="N452" i="31"/>
  <c r="H712" i="31" s="1"/>
  <c r="EK13" i="10"/>
  <c r="IV13" i="10" s="1"/>
  <c r="EK58" i="10"/>
  <c r="IV58" i="10" s="1"/>
  <c r="EK37" i="10"/>
  <c r="IV37" i="10" s="1"/>
  <c r="EB41" i="10"/>
  <c r="IM41" i="10" s="1"/>
  <c r="H534" i="35"/>
  <c r="G443" i="31"/>
  <c r="E703" i="31" s="1"/>
  <c r="EC9" i="10"/>
  <c r="IN9" i="10" s="1"/>
  <c r="EK3" i="10"/>
  <c r="IV3" i="10" s="1"/>
  <c r="G445" i="31"/>
  <c r="E705" i="31" s="1"/>
  <c r="EC22" i="10"/>
  <c r="IN22" i="10" s="1"/>
  <c r="H520" i="35"/>
  <c r="EB48" i="10"/>
  <c r="IM48" i="10" s="1"/>
  <c r="EC41" i="10"/>
  <c r="IN41" i="10" s="1"/>
  <c r="H546" i="35"/>
  <c r="H542" i="35"/>
  <c r="EC28" i="10"/>
  <c r="IN28" i="10" s="1"/>
  <c r="H527" i="35"/>
  <c r="K481" i="31"/>
  <c r="K611" i="31" s="1"/>
  <c r="K460" i="31"/>
  <c r="I590" i="31" s="1"/>
  <c r="J479" i="31"/>
  <c r="J609" i="31" s="1"/>
  <c r="K480" i="31"/>
  <c r="I610" i="31" s="1"/>
  <c r="H457" i="31"/>
  <c r="L587" i="31" s="1"/>
  <c r="EJ3" i="10"/>
  <c r="IU3" i="10" s="1"/>
  <c r="I450" i="31"/>
  <c r="M580" i="31" s="1"/>
  <c r="EB10" i="10"/>
  <c r="IM10" i="10" s="1"/>
  <c r="H562" i="35"/>
  <c r="EK29" i="10"/>
  <c r="IV29" i="10" s="1"/>
  <c r="H555" i="35"/>
  <c r="I488" i="31"/>
  <c r="O618" i="31" s="1"/>
  <c r="H458" i="31"/>
  <c r="L588" i="31" s="1"/>
  <c r="D466" i="31"/>
  <c r="B726" i="31" s="1"/>
  <c r="EB29" i="10"/>
  <c r="IM29" i="10" s="1"/>
  <c r="H523" i="35"/>
  <c r="H519" i="35"/>
  <c r="EC13" i="10"/>
  <c r="IN13" i="10" s="1"/>
  <c r="H570" i="35"/>
  <c r="H567" i="35"/>
  <c r="EC53" i="10"/>
  <c r="IN53" i="10" s="1"/>
  <c r="EB53" i="10"/>
  <c r="IM53" i="10" s="1"/>
  <c r="H535" i="35"/>
  <c r="H548" i="35"/>
  <c r="EB34" i="10"/>
  <c r="IM34" i="10" s="1"/>
  <c r="EC34" i="10"/>
  <c r="IN34" i="10" s="1"/>
  <c r="EC10" i="10"/>
  <c r="IN10" i="10" s="1"/>
  <c r="EB37" i="10"/>
  <c r="IM37" i="10" s="1"/>
  <c r="H551" i="35"/>
  <c r="H536" i="35"/>
  <c r="F464" i="30"/>
  <c r="E443" i="31"/>
  <c r="C703" i="31" s="1"/>
  <c r="I481" i="31"/>
  <c r="M611" i="31" s="1"/>
  <c r="H441" i="31"/>
  <c r="L571" i="31" s="1"/>
  <c r="H438" i="31"/>
  <c r="N568" i="31" s="1"/>
  <c r="H498" i="31"/>
  <c r="N628" i="31" s="1"/>
  <c r="I471" i="31"/>
  <c r="M601" i="31" s="1"/>
  <c r="K488" i="31"/>
  <c r="I618" i="31" s="1"/>
  <c r="EC44" i="10"/>
  <c r="IN44" i="10" s="1"/>
  <c r="EC62" i="10"/>
  <c r="IN62" i="10" s="1"/>
  <c r="N422" i="30"/>
  <c r="EC32" i="10"/>
  <c r="IN32" i="10" s="1"/>
  <c r="N431" i="30"/>
  <c r="J461" i="31"/>
  <c r="J591" i="31" s="1"/>
  <c r="J486" i="31"/>
  <c r="J616" i="31" s="1"/>
  <c r="K440" i="31"/>
  <c r="I570" i="31" s="1"/>
  <c r="J454" i="31"/>
  <c r="H584" i="31" s="1"/>
  <c r="G471" i="31"/>
  <c r="E731" i="31" s="1"/>
  <c r="EC18" i="10"/>
  <c r="IN18" i="10" s="1"/>
  <c r="H455" i="31"/>
  <c r="L585" i="31" s="1"/>
  <c r="G472" i="30"/>
  <c r="I470" i="31"/>
  <c r="M600" i="31" s="1"/>
  <c r="F453" i="31"/>
  <c r="D713" i="31" s="1"/>
  <c r="EC46" i="10"/>
  <c r="IN46" i="10" s="1"/>
  <c r="F443" i="31"/>
  <c r="D703" i="31" s="1"/>
  <c r="G584" i="31"/>
  <c r="G476" i="30"/>
  <c r="H494" i="31"/>
  <c r="N624" i="31" s="1"/>
  <c r="D484" i="31"/>
  <c r="B744" i="31" s="1"/>
  <c r="EC5" i="10"/>
  <c r="IN5" i="10" s="1"/>
  <c r="H481" i="31"/>
  <c r="L611" i="31" s="1"/>
  <c r="EC29" i="10"/>
  <c r="IN29" i="10" s="1"/>
  <c r="EK11" i="10"/>
  <c r="IV11" i="10" s="1"/>
  <c r="F445" i="31"/>
  <c r="D705" i="31" s="1"/>
  <c r="F481" i="30"/>
  <c r="G465" i="30"/>
  <c r="EB5" i="10"/>
  <c r="IM5" i="10" s="1"/>
  <c r="M431" i="30"/>
  <c r="EK10" i="10"/>
  <c r="IV10" i="10" s="1"/>
  <c r="H470" i="31"/>
  <c r="N600" i="31" s="1"/>
  <c r="E437" i="31"/>
  <c r="C697" i="31" s="1"/>
  <c r="D464" i="31"/>
  <c r="B724" i="31" s="1"/>
  <c r="I485" i="31"/>
  <c r="M615" i="31" s="1"/>
  <c r="EC12" i="10"/>
  <c r="IN12" i="10" s="1"/>
  <c r="F471" i="31"/>
  <c r="D731" i="31" s="1"/>
  <c r="EJ11" i="10"/>
  <c r="IU11" i="10" s="1"/>
  <c r="G447" i="31"/>
  <c r="E707" i="31" s="1"/>
  <c r="H466" i="31"/>
  <c r="N596" i="31" s="1"/>
  <c r="I438" i="31"/>
  <c r="O568" i="31" s="1"/>
  <c r="M424" i="30"/>
  <c r="I475" i="31"/>
  <c r="M605" i="31" s="1"/>
  <c r="H472" i="31"/>
  <c r="L602" i="31" s="1"/>
  <c r="H460" i="31"/>
  <c r="N590" i="31" s="1"/>
  <c r="E453" i="31"/>
  <c r="C713" i="31" s="1"/>
  <c r="D454" i="31"/>
  <c r="B714" i="31" s="1"/>
  <c r="EJ40" i="10"/>
  <c r="IU40" i="10" s="1"/>
  <c r="F474" i="31"/>
  <c r="D734" i="31" s="1"/>
  <c r="F458" i="31"/>
  <c r="D718" i="31" s="1"/>
  <c r="H443" i="31"/>
  <c r="L573" i="31" s="1"/>
  <c r="EC52" i="10"/>
  <c r="IN52" i="10" s="1"/>
  <c r="K486" i="31"/>
  <c r="K616" i="31" s="1"/>
  <c r="K457" i="31"/>
  <c r="K587" i="31" s="1"/>
  <c r="E454" i="31"/>
  <c r="C714" i="31" s="1"/>
  <c r="H446" i="31"/>
  <c r="N576" i="31" s="1"/>
  <c r="H490" i="31"/>
  <c r="N620" i="31" s="1"/>
  <c r="H488" i="31"/>
  <c r="N618" i="31" s="1"/>
  <c r="F473" i="30"/>
  <c r="H444" i="31"/>
  <c r="N574" i="31" s="1"/>
  <c r="I491" i="31"/>
  <c r="O621" i="31" s="1"/>
  <c r="I453" i="31"/>
  <c r="M583" i="31" s="1"/>
  <c r="E622" i="31"/>
  <c r="G463" i="31"/>
  <c r="E723" i="31" s="1"/>
  <c r="J442" i="31"/>
  <c r="H473" i="31"/>
  <c r="L603" i="31" s="1"/>
  <c r="J464" i="31"/>
  <c r="H594" i="31" s="1"/>
  <c r="EB9" i="10"/>
  <c r="IM9" i="10" s="1"/>
  <c r="J457" i="31"/>
  <c r="J587" i="31" s="1"/>
  <c r="EB12" i="10"/>
  <c r="IM12" i="10" s="1"/>
  <c r="H543" i="35"/>
  <c r="EB62" i="10"/>
  <c r="IM62" i="10" s="1"/>
  <c r="EB60" i="10"/>
  <c r="IM60" i="10" s="1"/>
  <c r="H484" i="31"/>
  <c r="N614" i="31" s="1"/>
  <c r="I468" i="31"/>
  <c r="H442" i="31"/>
  <c r="N572" i="31" s="1"/>
  <c r="J487" i="31"/>
  <c r="M463" i="30"/>
  <c r="M469" i="30"/>
  <c r="K475" i="31"/>
  <c r="I605" i="31" s="1"/>
  <c r="K458" i="31"/>
  <c r="N480" i="30"/>
  <c r="K493" i="31"/>
  <c r="J476" i="31"/>
  <c r="J444" i="31"/>
  <c r="H474" i="31"/>
  <c r="N604" i="31" s="1"/>
  <c r="N463" i="30"/>
  <c r="F437" i="31"/>
  <c r="D697" i="31" s="1"/>
  <c r="N474" i="30"/>
  <c r="M467" i="30"/>
  <c r="J450" i="31"/>
  <c r="H580" i="31" s="1"/>
  <c r="K439" i="31"/>
  <c r="K569" i="31" s="1"/>
  <c r="J456" i="31"/>
  <c r="H586" i="31" s="1"/>
  <c r="K496" i="31"/>
  <c r="I626" i="31" s="1"/>
  <c r="K482" i="31"/>
  <c r="K612" i="31" s="1"/>
  <c r="J494" i="31"/>
  <c r="H624" i="31" s="1"/>
  <c r="J475" i="31"/>
  <c r="H605" i="31" s="1"/>
  <c r="J446" i="31"/>
  <c r="J576" i="31" s="1"/>
  <c r="J498" i="31"/>
  <c r="J628" i="31" s="1"/>
  <c r="K451" i="31"/>
  <c r="K581" i="31" s="1"/>
  <c r="M422" i="30"/>
  <c r="G474" i="31"/>
  <c r="E734" i="31" s="1"/>
  <c r="I466" i="31"/>
  <c r="O596" i="31" s="1"/>
  <c r="H440" i="31"/>
  <c r="N570" i="31" s="1"/>
  <c r="I440" i="31"/>
  <c r="O570" i="31" s="1"/>
  <c r="N464" i="30"/>
  <c r="N478" i="30"/>
  <c r="F447" i="31"/>
  <c r="D707" i="31" s="1"/>
  <c r="G444" i="31"/>
  <c r="E704" i="31" s="1"/>
  <c r="N465" i="30"/>
  <c r="K456" i="31"/>
  <c r="I586" i="31" s="1"/>
  <c r="J460" i="31"/>
  <c r="H590" i="31" s="1"/>
  <c r="K453" i="31"/>
  <c r="K583" i="31" s="1"/>
  <c r="J447" i="31"/>
  <c r="J577" i="31" s="1"/>
  <c r="I474" i="31"/>
  <c r="O604" i="31" s="1"/>
  <c r="K450" i="31"/>
  <c r="I580" i="31" s="1"/>
  <c r="J439" i="31"/>
  <c r="J569" i="31" s="1"/>
  <c r="J496" i="31"/>
  <c r="J626" i="31" s="1"/>
  <c r="J448" i="31"/>
  <c r="H578" i="31" s="1"/>
  <c r="K494" i="31"/>
  <c r="I624" i="31" s="1"/>
  <c r="K498" i="31"/>
  <c r="K628" i="31" s="1"/>
  <c r="J490" i="31"/>
  <c r="H620" i="31" s="1"/>
  <c r="J438" i="31"/>
  <c r="J468" i="31"/>
  <c r="K497" i="31"/>
  <c r="M473" i="30"/>
  <c r="K484" i="31"/>
  <c r="M476" i="30"/>
  <c r="K472" i="31"/>
  <c r="N470" i="30"/>
  <c r="J491" i="31"/>
  <c r="J621" i="31" s="1"/>
  <c r="K466" i="31"/>
  <c r="I596" i="31" s="1"/>
  <c r="J482" i="31"/>
  <c r="H612" i="31" s="1"/>
  <c r="K446" i="31"/>
  <c r="I576" i="31" s="1"/>
  <c r="J463" i="31"/>
  <c r="J593" i="31" s="1"/>
  <c r="K462" i="31"/>
  <c r="K452" i="31"/>
  <c r="J478" i="31"/>
  <c r="J608" i="31" s="1"/>
  <c r="K443" i="31"/>
  <c r="K573" i="31" s="1"/>
  <c r="N469" i="30"/>
  <c r="N467" i="30"/>
  <c r="M470" i="30"/>
  <c r="K491" i="31"/>
  <c r="I621" i="31" s="1"/>
  <c r="J466" i="31"/>
  <c r="J596" i="31" s="1"/>
  <c r="K448" i="31"/>
  <c r="I578" i="31" s="1"/>
  <c r="M477" i="30"/>
  <c r="K490" i="31"/>
  <c r="I620" i="31" s="1"/>
  <c r="I455" i="31"/>
  <c r="M585" i="31" s="1"/>
  <c r="K463" i="31"/>
  <c r="K593" i="31" s="1"/>
  <c r="K464" i="31"/>
  <c r="K594" i="31" s="1"/>
  <c r="J492" i="31"/>
  <c r="J622" i="31" s="1"/>
  <c r="K454" i="31"/>
  <c r="K584" i="31" s="1"/>
  <c r="N473" i="30"/>
  <c r="C618" i="31"/>
  <c r="EC37" i="10"/>
  <c r="IN37" i="10" s="1"/>
  <c r="EB6" i="10"/>
  <c r="IM6" i="10" s="1"/>
  <c r="B567" i="31"/>
  <c r="G448" i="31"/>
  <c r="E708" i="31" s="1"/>
  <c r="E584" i="31"/>
  <c r="H476" i="31"/>
  <c r="N606" i="31" s="1"/>
  <c r="F450" i="31"/>
  <c r="D710" i="31" s="1"/>
  <c r="G588" i="31"/>
  <c r="E588" i="31"/>
  <c r="C588" i="31"/>
  <c r="E457" i="31"/>
  <c r="C717" i="31" s="1"/>
  <c r="EJ26" i="10"/>
  <c r="IU26" i="10" s="1"/>
  <c r="D440" i="31"/>
  <c r="B700" i="31" s="1"/>
  <c r="D567" i="31"/>
  <c r="H571" i="35"/>
  <c r="F446" i="31"/>
  <c r="D706" i="31" s="1"/>
  <c r="H492" i="31"/>
  <c r="L622" i="31" s="1"/>
  <c r="I492" i="31"/>
  <c r="H447" i="31"/>
  <c r="L577" i="31" s="1"/>
  <c r="C892" i="31"/>
  <c r="BL63" i="10" s="1"/>
  <c r="I467" i="31"/>
  <c r="M597" i="31" s="1"/>
  <c r="H462" i="31"/>
  <c r="N592" i="31" s="1"/>
  <c r="H486" i="31"/>
  <c r="N616" i="31" s="1"/>
  <c r="I486" i="31"/>
  <c r="O616" i="31" s="1"/>
  <c r="I482" i="31"/>
  <c r="O612" i="31" s="1"/>
  <c r="H467" i="31"/>
  <c r="L597" i="31" s="1"/>
  <c r="G464" i="30"/>
  <c r="I439" i="31"/>
  <c r="M569" i="31" s="1"/>
  <c r="H482" i="31"/>
  <c r="N612" i="31" s="1"/>
  <c r="H450" i="31"/>
  <c r="L580" i="31" s="1"/>
  <c r="I496" i="31"/>
  <c r="I441" i="31"/>
  <c r="M571" i="31" s="1"/>
  <c r="G454" i="31"/>
  <c r="E714" i="31" s="1"/>
  <c r="E474" i="31"/>
  <c r="C734" i="31" s="1"/>
  <c r="D453" i="31"/>
  <c r="B713" i="31" s="1"/>
  <c r="D577" i="31"/>
  <c r="B577" i="31"/>
  <c r="F577" i="31"/>
  <c r="EB40" i="10"/>
  <c r="IM40" i="10" s="1"/>
  <c r="EB20" i="10"/>
  <c r="IM20" i="10" s="1"/>
  <c r="EC57" i="10"/>
  <c r="IN57" i="10" s="1"/>
  <c r="EB50" i="10"/>
  <c r="IM50" i="10" s="1"/>
  <c r="E574" i="31"/>
  <c r="G574" i="31"/>
  <c r="C574" i="31"/>
  <c r="G577" i="31"/>
  <c r="E577" i="31"/>
  <c r="C577" i="31"/>
  <c r="EB52" i="10"/>
  <c r="IM52" i="10" s="1"/>
  <c r="EC40" i="10"/>
  <c r="IN40" i="10" s="1"/>
  <c r="EC20" i="10"/>
  <c r="IN20" i="10" s="1"/>
  <c r="E460" i="31"/>
  <c r="C720" i="31" s="1"/>
  <c r="EB18" i="10"/>
  <c r="IM18" i="10" s="1"/>
  <c r="EJ52" i="10"/>
  <c r="IU52" i="10" s="1"/>
  <c r="E478" i="31"/>
  <c r="C738" i="31" s="1"/>
  <c r="EJ12" i="10"/>
  <c r="IU12" i="10" s="1"/>
  <c r="H572" i="35"/>
  <c r="EC58" i="10"/>
  <c r="IN58" i="10" s="1"/>
  <c r="EB58" i="10"/>
  <c r="IM58" i="10" s="1"/>
  <c r="E440" i="31"/>
  <c r="C700" i="31" s="1"/>
  <c r="H553" i="35"/>
  <c r="EC39" i="10"/>
  <c r="IN39" i="10" s="1"/>
  <c r="C514" i="30"/>
  <c r="E471" i="31"/>
  <c r="C731" i="31" s="1"/>
  <c r="EC50" i="10"/>
  <c r="IN50" i="10" s="1"/>
  <c r="E486" i="31"/>
  <c r="C746" i="31" s="1"/>
  <c r="EC60" i="10"/>
  <c r="IN60" i="10" s="1"/>
  <c r="EC54" i="10"/>
  <c r="IN54" i="10" s="1"/>
  <c r="EB4" i="10"/>
  <c r="IM4" i="10" s="1"/>
  <c r="EB44" i="10"/>
  <c r="IM44" i="10" s="1"/>
  <c r="EB54" i="10"/>
  <c r="IM54" i="10" s="1"/>
  <c r="EC4" i="10"/>
  <c r="IN4" i="10" s="1"/>
  <c r="E581" i="31"/>
  <c r="C581" i="31"/>
  <c r="H619" i="31"/>
  <c r="H478" i="31"/>
  <c r="N608" i="31" s="1"/>
  <c r="EK16" i="10"/>
  <c r="IV16" i="10" s="1"/>
  <c r="EJ16" i="10"/>
  <c r="IU16" i="10" s="1"/>
  <c r="D448" i="31"/>
  <c r="B708" i="31" s="1"/>
  <c r="D451" i="31"/>
  <c r="B711" i="31" s="1"/>
  <c r="N435" i="30"/>
  <c r="G481" i="31"/>
  <c r="E741" i="31" s="1"/>
  <c r="E492" i="31"/>
  <c r="C752" i="31" s="1"/>
  <c r="G435" i="30"/>
  <c r="E481" i="31"/>
  <c r="C741" i="31" s="1"/>
  <c r="K441" i="31"/>
  <c r="K571" i="31" s="1"/>
  <c r="F426" i="30"/>
  <c r="D446" i="31"/>
  <c r="B706" i="31" s="1"/>
  <c r="E446" i="31"/>
  <c r="C706" i="31" s="1"/>
  <c r="G611" i="31"/>
  <c r="C611" i="31"/>
  <c r="E611" i="31"/>
  <c r="E439" i="31"/>
  <c r="C699" i="31" s="1"/>
  <c r="G441" i="31"/>
  <c r="E701" i="31" s="1"/>
  <c r="N423" i="30"/>
  <c r="J517" i="30"/>
  <c r="EJ47" i="10"/>
  <c r="IU47" i="10" s="1"/>
  <c r="EK47" i="10"/>
  <c r="IV47" i="10" s="1"/>
  <c r="D593" i="31"/>
  <c r="B593" i="31"/>
  <c r="F593" i="31"/>
  <c r="F423" i="30"/>
  <c r="D441" i="31"/>
  <c r="B701" i="31" s="1"/>
  <c r="C571" i="31"/>
  <c r="G571" i="31"/>
  <c r="E571" i="31"/>
  <c r="F435" i="30"/>
  <c r="D481" i="31"/>
  <c r="B741" i="31" s="1"/>
  <c r="G426" i="30"/>
  <c r="E448" i="31"/>
  <c r="C708" i="31" s="1"/>
  <c r="E484" i="31"/>
  <c r="C744" i="31" s="1"/>
  <c r="F432" i="30"/>
  <c r="C505" i="30"/>
  <c r="EB7" i="10"/>
  <c r="IM7" i="10" s="1"/>
  <c r="EC7" i="10"/>
  <c r="IN7" i="10" s="1"/>
  <c r="H521" i="35"/>
  <c r="F486" i="31"/>
  <c r="D746" i="31" s="1"/>
  <c r="G428" i="30"/>
  <c r="H439" i="31"/>
  <c r="L569" i="31" s="1"/>
  <c r="E488" i="31"/>
  <c r="C748" i="31" s="1"/>
  <c r="B465" i="35"/>
  <c r="K548" i="35" s="1"/>
  <c r="D460" i="31"/>
  <c r="B720" i="31" s="1"/>
  <c r="E450" i="31"/>
  <c r="C710" i="31" s="1"/>
  <c r="D478" i="31"/>
  <c r="B738" i="31" s="1"/>
  <c r="E451" i="31"/>
  <c r="C711" i="31" s="1"/>
  <c r="EJ4" i="10"/>
  <c r="IU4" i="10" s="1"/>
  <c r="D456" i="31"/>
  <c r="B716" i="31" s="1"/>
  <c r="E456" i="31"/>
  <c r="C716" i="31" s="1"/>
  <c r="F441" i="31"/>
  <c r="D701" i="31" s="1"/>
  <c r="M423" i="30"/>
  <c r="M435" i="30"/>
  <c r="F481" i="31"/>
  <c r="D741" i="31" s="1"/>
  <c r="E490" i="31"/>
  <c r="C750" i="31" s="1"/>
  <c r="E438" i="31"/>
  <c r="C698" i="31" s="1"/>
  <c r="E482" i="31"/>
  <c r="C742" i="31" s="1"/>
  <c r="D498" i="31"/>
  <c r="B758" i="31" s="1"/>
  <c r="EB47" i="10"/>
  <c r="IM47" i="10" s="1"/>
  <c r="C517" i="30"/>
  <c r="EC47" i="10"/>
  <c r="IN47" i="10" s="1"/>
  <c r="H561" i="35"/>
  <c r="D438" i="31"/>
  <c r="B698" i="31" s="1"/>
  <c r="D611" i="31"/>
  <c r="B611" i="31"/>
  <c r="F611" i="31"/>
  <c r="F433" i="30"/>
  <c r="EC26" i="10"/>
  <c r="IN26" i="10" s="1"/>
  <c r="EC17" i="10"/>
  <c r="IN17" i="10" s="1"/>
  <c r="G433" i="30"/>
  <c r="EB26" i="10"/>
  <c r="IM26" i="10" s="1"/>
  <c r="EB17" i="10"/>
  <c r="IM17" i="10" s="1"/>
  <c r="D473" i="31"/>
  <c r="B733" i="31" s="1"/>
  <c r="F428" i="30"/>
  <c r="B83" i="32"/>
  <c r="D571" i="31"/>
  <c r="B571" i="31"/>
  <c r="F571" i="31"/>
  <c r="J505" i="30"/>
  <c r="EJ7" i="10"/>
  <c r="IU7" i="10" s="1"/>
  <c r="EK7" i="10"/>
  <c r="IV7" i="10" s="1"/>
  <c r="D463" i="31"/>
  <c r="B723" i="31" s="1"/>
  <c r="E496" i="31"/>
  <c r="C756" i="31" s="1"/>
  <c r="M464" i="30"/>
  <c r="J441" i="31"/>
  <c r="G432" i="30"/>
  <c r="G423" i="30"/>
  <c r="E441" i="31"/>
  <c r="C701" i="31" s="1"/>
  <c r="G486" i="31"/>
  <c r="E746" i="31" s="1"/>
  <c r="G593" i="31"/>
  <c r="C593" i="31"/>
  <c r="E593" i="31"/>
  <c r="D474" i="31"/>
  <c r="B734" i="31" s="1"/>
  <c r="M426" i="30"/>
  <c r="M428" i="30"/>
  <c r="F467" i="30"/>
  <c r="G469" i="30"/>
  <c r="I483" i="31"/>
  <c r="O613" i="31" s="1"/>
  <c r="F475" i="31"/>
  <c r="D735" i="31" s="1"/>
  <c r="G470" i="30"/>
  <c r="N426" i="30"/>
  <c r="G467" i="30"/>
  <c r="G466" i="31"/>
  <c r="E726" i="31" s="1"/>
  <c r="F464" i="31"/>
  <c r="D724" i="31" s="1"/>
  <c r="G439" i="31"/>
  <c r="E699" i="31" s="1"/>
  <c r="G478" i="31"/>
  <c r="E738" i="31" s="1"/>
  <c r="I448" i="31"/>
  <c r="O578" i="31" s="1"/>
  <c r="F474" i="30"/>
  <c r="G474" i="30"/>
  <c r="G498" i="31"/>
  <c r="E758" i="31" s="1"/>
  <c r="G464" i="31"/>
  <c r="E724" i="31" s="1"/>
  <c r="F494" i="31"/>
  <c r="D754" i="31" s="1"/>
  <c r="F460" i="31"/>
  <c r="D720" i="31" s="1"/>
  <c r="H464" i="31"/>
  <c r="G475" i="31"/>
  <c r="E735" i="31" s="1"/>
  <c r="I478" i="31"/>
  <c r="O608" i="31" s="1"/>
  <c r="F448" i="31"/>
  <c r="D708" i="31" s="1"/>
  <c r="I490" i="31"/>
  <c r="F438" i="31"/>
  <c r="D698" i="31" s="1"/>
  <c r="F451" i="31"/>
  <c r="D711" i="31" s="1"/>
  <c r="G451" i="31"/>
  <c r="E711" i="31" s="1"/>
  <c r="G438" i="31"/>
  <c r="E698" i="31" s="1"/>
  <c r="G496" i="31"/>
  <c r="E756" i="31" s="1"/>
  <c r="G494" i="31"/>
  <c r="E754" i="31" s="1"/>
  <c r="F439" i="31"/>
  <c r="D699" i="31" s="1"/>
  <c r="F478" i="31"/>
  <c r="D738" i="31" s="1"/>
  <c r="I464" i="31"/>
  <c r="F470" i="30"/>
  <c r="I460" i="31"/>
  <c r="M590" i="31" s="1"/>
  <c r="N428" i="30"/>
  <c r="F469" i="30"/>
  <c r="F498" i="31"/>
  <c r="D758" i="31" s="1"/>
  <c r="F466" i="31"/>
  <c r="D726" i="31" s="1"/>
  <c r="F496" i="31"/>
  <c r="D756" i="31" s="1"/>
  <c r="G460" i="31"/>
  <c r="E720" i="31" s="1"/>
  <c r="F477" i="30"/>
  <c r="H448" i="31"/>
  <c r="EB22" i="10"/>
  <c r="IM22" i="10" s="1"/>
  <c r="EJ44" i="10"/>
  <c r="IU44" i="10" s="1"/>
  <c r="C869" i="31"/>
  <c r="BL40" i="10" s="1"/>
  <c r="D594" i="31"/>
  <c r="B594" i="31"/>
  <c r="D863" i="31"/>
  <c r="H483" i="31"/>
  <c r="L613" i="31" s="1"/>
  <c r="EK14" i="10"/>
  <c r="IV14" i="10" s="1"/>
  <c r="J483" i="31"/>
  <c r="J613" i="31" s="1"/>
  <c r="B590" i="31"/>
  <c r="J467" i="31"/>
  <c r="J597" i="31" s="1"/>
  <c r="D590" i="31"/>
  <c r="C850" i="31"/>
  <c r="F580" i="31"/>
  <c r="B580" i="31"/>
  <c r="D580" i="31"/>
  <c r="E628" i="31"/>
  <c r="C628" i="31"/>
  <c r="G628" i="31"/>
  <c r="G569" i="31"/>
  <c r="E569" i="31"/>
  <c r="C569" i="31"/>
  <c r="E586" i="31"/>
  <c r="G586" i="31"/>
  <c r="C586" i="31"/>
  <c r="C576" i="31"/>
  <c r="E576" i="31"/>
  <c r="G576" i="31"/>
  <c r="E626" i="31"/>
  <c r="G626" i="31"/>
  <c r="C626" i="31"/>
  <c r="EK30" i="10"/>
  <c r="IV30" i="10" s="1"/>
  <c r="EJ30" i="10"/>
  <c r="IU30" i="10" s="1"/>
  <c r="F578" i="31"/>
  <c r="B578" i="31"/>
  <c r="D578" i="31"/>
  <c r="F568" i="31"/>
  <c r="D568" i="31"/>
  <c r="B568" i="31"/>
  <c r="F605" i="31"/>
  <c r="B605" i="31"/>
  <c r="D605" i="31"/>
  <c r="E621" i="31"/>
  <c r="G621" i="31"/>
  <c r="C620" i="31"/>
  <c r="E620" i="31"/>
  <c r="G620" i="31"/>
  <c r="G580" i="31"/>
  <c r="C580" i="31"/>
  <c r="E580" i="31"/>
  <c r="F569" i="31"/>
  <c r="D569" i="31"/>
  <c r="B569" i="31"/>
  <c r="C867" i="31"/>
  <c r="BL38" i="10" s="1"/>
  <c r="E624" i="31"/>
  <c r="C624" i="31"/>
  <c r="G624" i="31"/>
  <c r="E605" i="31"/>
  <c r="G605" i="31"/>
  <c r="C605" i="31"/>
  <c r="F608" i="31"/>
  <c r="B608" i="31"/>
  <c r="D608" i="31"/>
  <c r="D612" i="31"/>
  <c r="F612" i="31"/>
  <c r="B612" i="31"/>
  <c r="G608" i="31"/>
  <c r="C608" i="31"/>
  <c r="E608" i="31"/>
  <c r="E612" i="31"/>
  <c r="G612" i="31"/>
  <c r="C612" i="31"/>
  <c r="D628" i="31"/>
  <c r="F628" i="31"/>
  <c r="B628" i="31"/>
  <c r="F626" i="31"/>
  <c r="D626" i="31"/>
  <c r="B626" i="31"/>
  <c r="F596" i="31"/>
  <c r="B596" i="31"/>
  <c r="D596" i="31"/>
  <c r="EK41" i="10"/>
  <c r="IV41" i="10" s="1"/>
  <c r="EJ41" i="10"/>
  <c r="IU41" i="10" s="1"/>
  <c r="B586" i="31"/>
  <c r="D586" i="31"/>
  <c r="F586" i="31"/>
  <c r="EK62" i="10"/>
  <c r="IV62" i="10" s="1"/>
  <c r="EJ62" i="10"/>
  <c r="IU62" i="10" s="1"/>
  <c r="D621" i="31"/>
  <c r="B621" i="31"/>
  <c r="F621" i="31"/>
  <c r="E578" i="31"/>
  <c r="C578" i="31"/>
  <c r="G578" i="31"/>
  <c r="EJ64" i="10"/>
  <c r="IU64" i="10" s="1"/>
  <c r="EK64" i="10"/>
  <c r="IV64" i="10" s="1"/>
  <c r="F582" i="31"/>
  <c r="B582" i="31"/>
  <c r="D582" i="31"/>
  <c r="B576" i="31"/>
  <c r="F576" i="31"/>
  <c r="D576" i="31"/>
  <c r="F624" i="31"/>
  <c r="B624" i="31"/>
  <c r="D624" i="31"/>
  <c r="E582" i="31"/>
  <c r="G582" i="31"/>
  <c r="C582" i="31"/>
  <c r="E596" i="31"/>
  <c r="G596" i="31"/>
  <c r="C596" i="31"/>
  <c r="EK32" i="10"/>
  <c r="IV32" i="10" s="1"/>
  <c r="EJ32" i="10"/>
  <c r="IU32" i="10" s="1"/>
  <c r="C568" i="31"/>
  <c r="E568" i="31"/>
  <c r="G568" i="31"/>
  <c r="C857" i="31"/>
  <c r="BL28" i="10" s="1"/>
  <c r="F407" i="33" s="1"/>
  <c r="EJ60" i="10"/>
  <c r="IU60" i="10" s="1"/>
  <c r="EK60" i="10"/>
  <c r="IV60" i="10" s="1"/>
  <c r="EJ5" i="10"/>
  <c r="IU5" i="10" s="1"/>
  <c r="EK5" i="10"/>
  <c r="IV5" i="10" s="1"/>
  <c r="H528" i="35"/>
  <c r="EC14" i="10"/>
  <c r="IN14" i="10" s="1"/>
  <c r="EB14" i="10"/>
  <c r="IM14" i="10" s="1"/>
  <c r="F620" i="31"/>
  <c r="B620" i="31"/>
  <c r="D620" i="31"/>
  <c r="G477" i="30"/>
  <c r="K467" i="31"/>
  <c r="I597" i="31" s="1"/>
  <c r="EK51" i="10"/>
  <c r="IV51" i="10" s="1"/>
  <c r="EJ51" i="10"/>
  <c r="IU51" i="10" s="1"/>
  <c r="J519" i="30"/>
  <c r="C615" i="31"/>
  <c r="G615" i="31"/>
  <c r="E615" i="31"/>
  <c r="G437" i="30"/>
  <c r="E485" i="31"/>
  <c r="C745" i="31" s="1"/>
  <c r="F485" i="31"/>
  <c r="D745" i="31" s="1"/>
  <c r="M437" i="30"/>
  <c r="N437" i="30"/>
  <c r="G485" i="31"/>
  <c r="E745" i="31" s="1"/>
  <c r="B615" i="31"/>
  <c r="F615" i="31"/>
  <c r="D615" i="31"/>
  <c r="F437" i="30"/>
  <c r="D485" i="31"/>
  <c r="B745" i="31" s="1"/>
  <c r="EC51" i="10"/>
  <c r="IN51" i="10" s="1"/>
  <c r="H565" i="35"/>
  <c r="EB51" i="10"/>
  <c r="IM51" i="10" s="1"/>
  <c r="C519" i="30"/>
  <c r="G483" i="31"/>
  <c r="E743" i="31" s="1"/>
  <c r="N436" i="30"/>
  <c r="G597" i="31"/>
  <c r="C597" i="31"/>
  <c r="E597" i="31"/>
  <c r="C508" i="30"/>
  <c r="H539" i="35"/>
  <c r="F436" i="30"/>
  <c r="D483" i="31"/>
  <c r="B743" i="31" s="1"/>
  <c r="EK43" i="10"/>
  <c r="IV43" i="10" s="1"/>
  <c r="J515" i="30"/>
  <c r="EJ43" i="10"/>
  <c r="IU43" i="10" s="1"/>
  <c r="M429" i="30"/>
  <c r="F467" i="31"/>
  <c r="D727" i="31" s="1"/>
  <c r="G429" i="30"/>
  <c r="E467" i="31"/>
  <c r="C727" i="31" s="1"/>
  <c r="C518" i="30"/>
  <c r="H563" i="35"/>
  <c r="EB49" i="10"/>
  <c r="IM49" i="10" s="1"/>
  <c r="EC49" i="10"/>
  <c r="IN49" i="10" s="1"/>
  <c r="B597" i="31"/>
  <c r="D597" i="31"/>
  <c r="F597" i="31"/>
  <c r="G477" i="31"/>
  <c r="E737" i="31" s="1"/>
  <c r="N433" i="30"/>
  <c r="J518" i="30"/>
  <c r="EJ49" i="10"/>
  <c r="IU49" i="10" s="1"/>
  <c r="EK49" i="10"/>
  <c r="IV49" i="10" s="1"/>
  <c r="N429" i="30"/>
  <c r="G467" i="31"/>
  <c r="E727" i="31" s="1"/>
  <c r="F429" i="30"/>
  <c r="D467" i="31"/>
  <c r="B727" i="31" s="1"/>
  <c r="C510" i="30"/>
  <c r="H545" i="35"/>
  <c r="G613" i="31"/>
  <c r="C613" i="31"/>
  <c r="E613" i="31"/>
  <c r="F613" i="31"/>
  <c r="B613" i="31"/>
  <c r="D613" i="31"/>
  <c r="F477" i="31"/>
  <c r="D737" i="31" s="1"/>
  <c r="M433" i="30"/>
  <c r="F483" i="31"/>
  <c r="D743" i="31" s="1"/>
  <c r="M436" i="30"/>
  <c r="J511" i="30"/>
  <c r="EK33" i="10"/>
  <c r="IV33" i="10" s="1"/>
  <c r="EJ33" i="10"/>
  <c r="IU33" i="10" s="1"/>
  <c r="C511" i="30"/>
  <c r="H547" i="35"/>
  <c r="EC33" i="10"/>
  <c r="IN33" i="10" s="1"/>
  <c r="EB33" i="10"/>
  <c r="IM33" i="10" s="1"/>
  <c r="G436" i="30"/>
  <c r="E483" i="31"/>
  <c r="C743" i="31" s="1"/>
  <c r="C515" i="30"/>
  <c r="H557" i="35"/>
  <c r="F607" i="31"/>
  <c r="F589" i="31"/>
  <c r="F595" i="31"/>
  <c r="G607" i="31"/>
  <c r="G595" i="31"/>
  <c r="G589" i="31"/>
  <c r="C838" i="31"/>
  <c r="BL9" i="10" s="1"/>
  <c r="F388" i="33" s="1"/>
  <c r="C874" i="31"/>
  <c r="BL45" i="10" s="1"/>
  <c r="C864" i="31"/>
  <c r="BL35" i="10" s="1"/>
  <c r="C844" i="31"/>
  <c r="BL15" i="10" s="1"/>
  <c r="F394" i="33" s="1"/>
  <c r="EK25" i="10"/>
  <c r="IV25" i="10" s="1"/>
  <c r="EJ25" i="10"/>
  <c r="IU25" i="10" s="1"/>
  <c r="F465" i="31"/>
  <c r="D725" i="31" s="1"/>
  <c r="F459" i="31"/>
  <c r="D719" i="31" s="1"/>
  <c r="G459" i="31"/>
  <c r="E719" i="31" s="1"/>
  <c r="EJ31" i="10"/>
  <c r="IU31" i="10" s="1"/>
  <c r="EK31" i="10"/>
  <c r="IV31" i="10" s="1"/>
  <c r="G465" i="31"/>
  <c r="E725" i="31" s="1"/>
  <c r="J473" i="31"/>
  <c r="H479" i="31"/>
  <c r="D477" i="31"/>
  <c r="B737" i="31" s="1"/>
  <c r="K449" i="31"/>
  <c r="I437" i="31"/>
  <c r="D595" i="31"/>
  <c r="B595" i="31"/>
  <c r="H469" i="31"/>
  <c r="D607" i="31"/>
  <c r="B607" i="31"/>
  <c r="C589" i="31"/>
  <c r="E589" i="31"/>
  <c r="J437" i="31"/>
  <c r="E459" i="31"/>
  <c r="C719" i="31" s="1"/>
  <c r="D459" i="31"/>
  <c r="B719" i="31" s="1"/>
  <c r="K471" i="31"/>
  <c r="K437" i="31"/>
  <c r="J471" i="31"/>
  <c r="I469" i="31"/>
  <c r="I479" i="31"/>
  <c r="E607" i="31"/>
  <c r="C607" i="31"/>
  <c r="K469" i="31"/>
  <c r="E595" i="31"/>
  <c r="C595" i="31"/>
  <c r="E465" i="31"/>
  <c r="C725" i="31" s="1"/>
  <c r="D465" i="31"/>
  <c r="B725" i="31" s="1"/>
  <c r="H449" i="31"/>
  <c r="K473" i="31"/>
  <c r="EB31" i="10"/>
  <c r="IM31" i="10" s="1"/>
  <c r="EC31" i="10"/>
  <c r="IN31" i="10" s="1"/>
  <c r="I449" i="31"/>
  <c r="E477" i="31"/>
  <c r="C737" i="31" s="1"/>
  <c r="EC43" i="10"/>
  <c r="IN43" i="10" s="1"/>
  <c r="EB43" i="10"/>
  <c r="IM43" i="10" s="1"/>
  <c r="J449" i="31"/>
  <c r="H437" i="31"/>
  <c r="B589" i="31"/>
  <c r="D589" i="31"/>
  <c r="J469" i="31"/>
  <c r="EB25" i="10"/>
  <c r="IM25" i="10" s="1"/>
  <c r="EC25" i="10"/>
  <c r="IN25" i="10" s="1"/>
  <c r="AE979" i="46" l="1"/>
  <c r="Z980" i="46" s="1"/>
  <c r="AE980" i="46" s="1"/>
  <c r="Y982" i="46" s="1"/>
  <c r="X753" i="46"/>
  <c r="AH753" i="46" s="1"/>
  <c r="AO753" i="46" s="1"/>
  <c r="T748" i="46"/>
  <c r="AH748" i="46" s="1"/>
  <c r="AO748" i="46" s="1"/>
  <c r="T744" i="46"/>
  <c r="AH744" i="46" s="1"/>
  <c r="AO744" i="46" s="1"/>
  <c r="X752" i="46"/>
  <c r="AH752" i="46" s="1"/>
  <c r="AO752" i="46" s="1"/>
  <c r="T750" i="46"/>
  <c r="X745" i="46"/>
  <c r="AH745" i="46" s="1"/>
  <c r="AO745" i="46" s="1"/>
  <c r="AH587" i="46"/>
  <c r="AO587" i="46" s="1"/>
  <c r="AH586" i="46"/>
  <c r="AO586" i="46" s="1"/>
  <c r="AH593" i="46"/>
  <c r="AO593" i="46" s="1"/>
  <c r="AH591" i="46"/>
  <c r="AO591" i="46" s="1"/>
  <c r="AH589" i="46"/>
  <c r="AO589" i="46" s="1"/>
  <c r="AH592" i="46"/>
  <c r="AO592" i="46" s="1"/>
  <c r="Q1217" i="46"/>
  <c r="M1195" i="46"/>
  <c r="I1195" i="46"/>
  <c r="O1137" i="46"/>
  <c r="Q1132" i="46"/>
  <c r="O1127" i="46"/>
  <c r="O1122" i="46"/>
  <c r="X936" i="46"/>
  <c r="AG936" i="46" s="1"/>
  <c r="X977" i="46"/>
  <c r="AE977" i="46" s="1"/>
  <c r="X976" i="46" s="1"/>
  <c r="AE976" i="46" s="1"/>
  <c r="S452" i="45"/>
  <c r="K453" i="45" s="1"/>
  <c r="V359" i="45"/>
  <c r="AC358" i="45" s="1"/>
  <c r="O399" i="45"/>
  <c r="X399" i="45" s="1"/>
  <c r="K354" i="45"/>
  <c r="AA354" i="45" s="1"/>
  <c r="Q463" i="45"/>
  <c r="AE414" i="45"/>
  <c r="O402" i="45"/>
  <c r="X402" i="45" s="1"/>
  <c r="C935" i="33"/>
  <c r="B935" i="33" s="1"/>
  <c r="E935" i="33" s="1"/>
  <c r="N509" i="30"/>
  <c r="E863" i="31"/>
  <c r="B85" i="32"/>
  <c r="B467" i="35"/>
  <c r="L550" i="35" s="1"/>
  <c r="O472" i="31"/>
  <c r="I732" i="31" s="1"/>
  <c r="K572" i="31"/>
  <c r="K837" i="31" s="1"/>
  <c r="G33" i="27" s="1"/>
  <c r="D865" i="31"/>
  <c r="E865" i="31"/>
  <c r="N470" i="31"/>
  <c r="F730" i="31" s="1"/>
  <c r="C888" i="31"/>
  <c r="E888" i="31" s="1"/>
  <c r="O461" i="31"/>
  <c r="I721" i="31" s="1"/>
  <c r="F520" i="30"/>
  <c r="IM55" i="10"/>
  <c r="L495" i="31"/>
  <c r="J755" i="31" s="1"/>
  <c r="IM61" i="10"/>
  <c r="M520" i="30"/>
  <c r="IU55" i="10"/>
  <c r="F521" i="30"/>
  <c r="IM59" i="10"/>
  <c r="G506" i="30"/>
  <c r="F522" i="30"/>
  <c r="K609" i="31"/>
  <c r="G522" i="30"/>
  <c r="C887" i="31"/>
  <c r="BL58" i="10" s="1"/>
  <c r="M588" i="31"/>
  <c r="L445" i="31"/>
  <c r="L705" i="31" s="1"/>
  <c r="N619" i="31"/>
  <c r="F506" i="30"/>
  <c r="M445" i="31"/>
  <c r="O457" i="31"/>
  <c r="G717" i="31" s="1"/>
  <c r="O462" i="31"/>
  <c r="M449" i="31"/>
  <c r="K709" i="31" s="1"/>
  <c r="N492" i="31"/>
  <c r="F752" i="31" s="1"/>
  <c r="M493" i="31"/>
  <c r="K753" i="31" s="1"/>
  <c r="G521" i="30"/>
  <c r="O602" i="31"/>
  <c r="K591" i="31"/>
  <c r="J588" i="31"/>
  <c r="N457" i="31"/>
  <c r="H717" i="31" s="1"/>
  <c r="B439" i="35"/>
  <c r="K522" i="35" s="1"/>
  <c r="C835" i="31"/>
  <c r="BL6" i="10" s="1"/>
  <c r="F385" i="33" s="1"/>
  <c r="O488" i="31"/>
  <c r="G748" i="31" s="1"/>
  <c r="N469" i="31"/>
  <c r="H729" i="31" s="1"/>
  <c r="O619" i="31"/>
  <c r="O478" i="31"/>
  <c r="I738" i="31" s="1"/>
  <c r="M495" i="31"/>
  <c r="K755" i="31" s="1"/>
  <c r="I604" i="31"/>
  <c r="I617" i="31"/>
  <c r="B57" i="32"/>
  <c r="E57" i="32" s="1"/>
  <c r="E837" i="31"/>
  <c r="D837" i="31"/>
  <c r="O456" i="31"/>
  <c r="G716" i="31" s="1"/>
  <c r="I619" i="31"/>
  <c r="N488" i="31"/>
  <c r="H748" i="31" s="1"/>
  <c r="C879" i="31"/>
  <c r="BL50" i="10" s="1"/>
  <c r="F429" i="33" s="1"/>
  <c r="L449" i="31"/>
  <c r="J709" i="31" s="1"/>
  <c r="M512" i="30"/>
  <c r="I575" i="31"/>
  <c r="I574" i="31"/>
  <c r="M461" i="31"/>
  <c r="M721" i="31" s="1"/>
  <c r="G509" i="30"/>
  <c r="M472" i="31"/>
  <c r="M732" i="31" s="1"/>
  <c r="I625" i="31"/>
  <c r="G507" i="30"/>
  <c r="I615" i="31"/>
  <c r="N461" i="31"/>
  <c r="H721" i="31" s="1"/>
  <c r="L627" i="31"/>
  <c r="L626" i="31"/>
  <c r="N449" i="31"/>
  <c r="F709" i="31" s="1"/>
  <c r="B458" i="35"/>
  <c r="K541" i="35" s="1"/>
  <c r="E856" i="31"/>
  <c r="L497" i="31"/>
  <c r="J757" i="31" s="1"/>
  <c r="M513" i="30"/>
  <c r="H611" i="31"/>
  <c r="B76" i="32"/>
  <c r="E76" i="32" s="1"/>
  <c r="D856" i="31"/>
  <c r="M507" i="30"/>
  <c r="M509" i="30"/>
  <c r="O470" i="31"/>
  <c r="I730" i="31" s="1"/>
  <c r="O490" i="31"/>
  <c r="G750" i="31" s="1"/>
  <c r="M627" i="31"/>
  <c r="O451" i="31"/>
  <c r="G711" i="31" s="1"/>
  <c r="O438" i="31"/>
  <c r="G698" i="31" s="1"/>
  <c r="J602" i="31"/>
  <c r="C846" i="31"/>
  <c r="BL17" i="10" s="1"/>
  <c r="F396" i="33" s="1"/>
  <c r="F507" i="30"/>
  <c r="N451" i="31"/>
  <c r="H711" i="31" s="1"/>
  <c r="L489" i="31"/>
  <c r="J749" i="31" s="1"/>
  <c r="N491" i="31"/>
  <c r="H751" i="31" s="1"/>
  <c r="G520" i="30"/>
  <c r="K608" i="31"/>
  <c r="M837" i="31"/>
  <c r="O572" i="31"/>
  <c r="K598" i="31"/>
  <c r="M489" i="31"/>
  <c r="K749" i="31" s="1"/>
  <c r="M497" i="31"/>
  <c r="M757" i="31" s="1"/>
  <c r="N462" i="31"/>
  <c r="F722" i="31" s="1"/>
  <c r="N490" i="31"/>
  <c r="F750" i="31" s="1"/>
  <c r="I577" i="31"/>
  <c r="O837" i="31"/>
  <c r="L462" i="31"/>
  <c r="L722" i="31" s="1"/>
  <c r="D850" i="31"/>
  <c r="BL21" i="10"/>
  <c r="F400" i="33" s="1"/>
  <c r="F414" i="33"/>
  <c r="F442" i="33"/>
  <c r="F424" i="33"/>
  <c r="F417" i="33"/>
  <c r="F419" i="33"/>
  <c r="B489" i="35"/>
  <c r="K572" i="35" s="1"/>
  <c r="S60" i="38" s="1"/>
  <c r="D884" i="31"/>
  <c r="BL55" i="10"/>
  <c r="C849" i="31"/>
  <c r="BL20" i="10" s="1"/>
  <c r="F399" i="33" s="1"/>
  <c r="F421" i="33"/>
  <c r="L461" i="31"/>
  <c r="J721" i="31" s="1"/>
  <c r="J600" i="31"/>
  <c r="G512" i="30"/>
  <c r="F509" i="30"/>
  <c r="M469" i="31"/>
  <c r="M864" i="31" s="1"/>
  <c r="O491" i="31"/>
  <c r="G751" i="31" s="1"/>
  <c r="L469" i="31"/>
  <c r="J729" i="31" s="1"/>
  <c r="I622" i="31"/>
  <c r="J592" i="31"/>
  <c r="M521" i="30"/>
  <c r="H581" i="31"/>
  <c r="N454" i="31"/>
  <c r="H714" i="31" s="1"/>
  <c r="J625" i="31"/>
  <c r="N456" i="31"/>
  <c r="H716" i="31" s="1"/>
  <c r="K606" i="31"/>
  <c r="L458" i="31"/>
  <c r="L718" i="31" s="1"/>
  <c r="N458" i="31"/>
  <c r="H718" i="31" s="1"/>
  <c r="N480" i="31"/>
  <c r="F740" i="31" s="1"/>
  <c r="H583" i="31"/>
  <c r="C890" i="31"/>
  <c r="O454" i="31"/>
  <c r="G714" i="31" s="1"/>
  <c r="L493" i="31"/>
  <c r="J753" i="31" s="1"/>
  <c r="O625" i="31"/>
  <c r="L470" i="31"/>
  <c r="L730" i="31" s="1"/>
  <c r="L472" i="31"/>
  <c r="J732" i="31" s="1"/>
  <c r="L447" i="31"/>
  <c r="L707" i="31" s="1"/>
  <c r="C868" i="31"/>
  <c r="BL39" i="10" s="1"/>
  <c r="N493" i="31"/>
  <c r="H753" i="31" s="1"/>
  <c r="M473" i="31"/>
  <c r="M733" i="31" s="1"/>
  <c r="M490" i="31"/>
  <c r="K750" i="31" s="1"/>
  <c r="O458" i="31"/>
  <c r="I718" i="31" s="1"/>
  <c r="N473" i="31"/>
  <c r="H733" i="31" s="1"/>
  <c r="L466" i="31"/>
  <c r="J726" i="31" s="1"/>
  <c r="O469" i="31"/>
  <c r="I729" i="31" s="1"/>
  <c r="N453" i="31"/>
  <c r="H713" i="31" s="1"/>
  <c r="N484" i="31"/>
  <c r="F744" i="31" s="1"/>
  <c r="O455" i="31"/>
  <c r="G715" i="31" s="1"/>
  <c r="L450" i="31"/>
  <c r="J710" i="31" s="1"/>
  <c r="N520" i="30"/>
  <c r="M456" i="31"/>
  <c r="M716" i="31" s="1"/>
  <c r="L473" i="31"/>
  <c r="L733" i="31" s="1"/>
  <c r="L480" i="31"/>
  <c r="L740" i="31" s="1"/>
  <c r="N443" i="31"/>
  <c r="H703" i="31" s="1"/>
  <c r="O497" i="31"/>
  <c r="I757" i="31" s="1"/>
  <c r="M476" i="31"/>
  <c r="N472" i="31"/>
  <c r="O445" i="31"/>
  <c r="G705" i="31" s="1"/>
  <c r="J614" i="31"/>
  <c r="L471" i="31"/>
  <c r="J731" i="31" s="1"/>
  <c r="F512" i="30"/>
  <c r="L444" i="31"/>
  <c r="J704" i="31" s="1"/>
  <c r="O471" i="31"/>
  <c r="G731" i="31" s="1"/>
  <c r="O446" i="31"/>
  <c r="G706" i="31" s="1"/>
  <c r="L491" i="31"/>
  <c r="L751" i="31" s="1"/>
  <c r="O460" i="31"/>
  <c r="I720" i="31" s="1"/>
  <c r="O486" i="31"/>
  <c r="I746" i="31" s="1"/>
  <c r="N479" i="31"/>
  <c r="H739" i="31" s="1"/>
  <c r="N497" i="31"/>
  <c r="H757" i="31" s="1"/>
  <c r="O495" i="31"/>
  <c r="I755" i="31" s="1"/>
  <c r="M450" i="31"/>
  <c r="M710" i="31" s="1"/>
  <c r="L442" i="31"/>
  <c r="J702" i="31" s="1"/>
  <c r="O453" i="31"/>
  <c r="G713" i="31" s="1"/>
  <c r="O452" i="31"/>
  <c r="C882" i="31"/>
  <c r="BL53" i="10" s="1"/>
  <c r="N445" i="31"/>
  <c r="F705" i="31" s="1"/>
  <c r="N437" i="31"/>
  <c r="H697" i="31" s="1"/>
  <c r="M455" i="31"/>
  <c r="K715" i="31" s="1"/>
  <c r="N495" i="31"/>
  <c r="F755" i="31" s="1"/>
  <c r="N471" i="31"/>
  <c r="H731" i="31" s="1"/>
  <c r="O437" i="31"/>
  <c r="G697" i="31" s="1"/>
  <c r="L475" i="31"/>
  <c r="L735" i="31" s="1"/>
  <c r="M437" i="31"/>
  <c r="K697" i="31" s="1"/>
  <c r="N440" i="31"/>
  <c r="H700" i="31" s="1"/>
  <c r="L476" i="31"/>
  <c r="L736" i="31" s="1"/>
  <c r="N463" i="31"/>
  <c r="F723" i="31" s="1"/>
  <c r="L498" i="31"/>
  <c r="J758" i="31" s="1"/>
  <c r="M482" i="31"/>
  <c r="M742" i="31" s="1"/>
  <c r="M498" i="31"/>
  <c r="M758" i="31" s="1"/>
  <c r="O480" i="31"/>
  <c r="G740" i="31" s="1"/>
  <c r="N489" i="31"/>
  <c r="H749" i="31" s="1"/>
  <c r="O482" i="31"/>
  <c r="B473" i="35"/>
  <c r="C939" i="35" s="1"/>
  <c r="B91" i="32"/>
  <c r="E871" i="31"/>
  <c r="D871" i="31"/>
  <c r="C848" i="31"/>
  <c r="L856" i="31"/>
  <c r="K568" i="31"/>
  <c r="N591" i="31"/>
  <c r="N856" i="31"/>
  <c r="C839" i="31"/>
  <c r="L623" i="31"/>
  <c r="O856" i="31"/>
  <c r="F516" i="30"/>
  <c r="L479" i="31"/>
  <c r="L874" i="31" s="1"/>
  <c r="M442" i="31"/>
  <c r="M702" i="31" s="1"/>
  <c r="M479" i="31"/>
  <c r="O874" i="31" s="1"/>
  <c r="M586" i="31"/>
  <c r="L582" i="31"/>
  <c r="O611" i="31"/>
  <c r="J594" i="31"/>
  <c r="M584" i="31"/>
  <c r="O440" i="31"/>
  <c r="G700" i="31" s="1"/>
  <c r="F504" i="30"/>
  <c r="J570" i="31"/>
  <c r="N482" i="31"/>
  <c r="F742" i="31" s="1"/>
  <c r="N610" i="31"/>
  <c r="H610" i="31"/>
  <c r="L586" i="31"/>
  <c r="N455" i="31"/>
  <c r="H715" i="31" s="1"/>
  <c r="M514" i="30"/>
  <c r="L464" i="31"/>
  <c r="L724" i="31" s="1"/>
  <c r="M439" i="31"/>
  <c r="K699" i="31" s="1"/>
  <c r="H623" i="31"/>
  <c r="M576" i="31"/>
  <c r="O443" i="31"/>
  <c r="G703" i="31" s="1"/>
  <c r="K618" i="31"/>
  <c r="N605" i="31"/>
  <c r="N507" i="30"/>
  <c r="H582" i="31"/>
  <c r="M458" i="31"/>
  <c r="M718" i="31" s="1"/>
  <c r="G516" i="30"/>
  <c r="M522" i="30"/>
  <c r="L490" i="31"/>
  <c r="J750" i="31" s="1"/>
  <c r="C881" i="31"/>
  <c r="C866" i="31"/>
  <c r="M470" i="31"/>
  <c r="O865" i="31" s="1"/>
  <c r="N512" i="30"/>
  <c r="B486" i="35"/>
  <c r="K569" i="35" s="1"/>
  <c r="E884" i="31"/>
  <c r="O489" i="31"/>
  <c r="B104" i="32"/>
  <c r="H591" i="31"/>
  <c r="J856" i="31" s="1"/>
  <c r="B175" i="27" s="1"/>
  <c r="H609" i="31"/>
  <c r="K586" i="31"/>
  <c r="L482" i="31"/>
  <c r="L742" i="31" s="1"/>
  <c r="L601" i="31"/>
  <c r="O474" i="31"/>
  <c r="I734" i="31" s="1"/>
  <c r="N514" i="30"/>
  <c r="O473" i="31"/>
  <c r="I733" i="31" s="1"/>
  <c r="H618" i="31"/>
  <c r="N621" i="31"/>
  <c r="I583" i="31"/>
  <c r="N615" i="31"/>
  <c r="O617" i="31"/>
  <c r="O580" i="31"/>
  <c r="C875" i="31"/>
  <c r="C840" i="31"/>
  <c r="O582" i="31"/>
  <c r="O623" i="31"/>
  <c r="M856" i="31"/>
  <c r="N593" i="31"/>
  <c r="H616" i="31"/>
  <c r="N575" i="31"/>
  <c r="J615" i="31"/>
  <c r="K605" i="31"/>
  <c r="N447" i="31"/>
  <c r="H707" i="31" s="1"/>
  <c r="M591" i="31"/>
  <c r="O624" i="31"/>
  <c r="L437" i="31"/>
  <c r="M577" i="31"/>
  <c r="L628" i="31"/>
  <c r="L598" i="31"/>
  <c r="O449" i="31"/>
  <c r="I709" i="31" s="1"/>
  <c r="K590" i="31"/>
  <c r="L457" i="31"/>
  <c r="J717" i="31" s="1"/>
  <c r="M628" i="31"/>
  <c r="N584" i="31"/>
  <c r="I585" i="31"/>
  <c r="O484" i="31"/>
  <c r="G744" i="31" s="1"/>
  <c r="N522" i="30"/>
  <c r="N625" i="31"/>
  <c r="M593" i="31"/>
  <c r="N521" i="30"/>
  <c r="O493" i="31"/>
  <c r="K610" i="31"/>
  <c r="I613" i="31"/>
  <c r="O606" i="31"/>
  <c r="M581" i="31"/>
  <c r="N837" i="31"/>
  <c r="M453" i="31"/>
  <c r="M713" i="31" s="1"/>
  <c r="L612" i="31"/>
  <c r="N516" i="30"/>
  <c r="L590" i="31"/>
  <c r="H575" i="31"/>
  <c r="O587" i="31"/>
  <c r="J604" i="31"/>
  <c r="L453" i="31"/>
  <c r="L713" i="31" s="1"/>
  <c r="N448" i="31"/>
  <c r="H708" i="31" s="1"/>
  <c r="O574" i="31"/>
  <c r="N444" i="31"/>
  <c r="F704" i="31" s="1"/>
  <c r="O479" i="31"/>
  <c r="I739" i="31" s="1"/>
  <c r="L439" i="31"/>
  <c r="J699" i="31" s="1"/>
  <c r="J620" i="31"/>
  <c r="H593" i="31"/>
  <c r="I569" i="31"/>
  <c r="K626" i="31"/>
  <c r="H621" i="31"/>
  <c r="O603" i="31"/>
  <c r="M610" i="31"/>
  <c r="J624" i="31"/>
  <c r="L583" i="31"/>
  <c r="H585" i="31"/>
  <c r="J585" i="31"/>
  <c r="H596" i="31"/>
  <c r="M604" i="31"/>
  <c r="M464" i="31"/>
  <c r="M724" i="31" s="1"/>
  <c r="M443" i="31"/>
  <c r="M703" i="31" s="1"/>
  <c r="J612" i="31"/>
  <c r="M592" i="31"/>
  <c r="L455" i="31"/>
  <c r="J715" i="31" s="1"/>
  <c r="J578" i="31"/>
  <c r="F514" i="30"/>
  <c r="M516" i="30"/>
  <c r="I581" i="31"/>
  <c r="H569" i="31"/>
  <c r="I616" i="31"/>
  <c r="H573" i="31"/>
  <c r="M457" i="31"/>
  <c r="K717" i="31" s="1"/>
  <c r="M440" i="31"/>
  <c r="K700" i="31" s="1"/>
  <c r="I628" i="31"/>
  <c r="M616" i="31"/>
  <c r="H576" i="31"/>
  <c r="O573" i="31"/>
  <c r="N581" i="31"/>
  <c r="N597" i="31"/>
  <c r="L614" i="31"/>
  <c r="G504" i="30"/>
  <c r="O569" i="31"/>
  <c r="I587" i="31"/>
  <c r="I852" i="31" s="1"/>
  <c r="N571" i="31"/>
  <c r="N588" i="31"/>
  <c r="N617" i="31"/>
  <c r="M596" i="31"/>
  <c r="O600" i="31"/>
  <c r="M447" i="31"/>
  <c r="K707" i="31" s="1"/>
  <c r="O585" i="31"/>
  <c r="C883" i="31"/>
  <c r="O614" i="31"/>
  <c r="L463" i="31"/>
  <c r="L723" i="31" s="1"/>
  <c r="F712" i="31"/>
  <c r="L454" i="31"/>
  <c r="L714" i="31" s="1"/>
  <c r="L616" i="31"/>
  <c r="O476" i="31"/>
  <c r="I612" i="31"/>
  <c r="O575" i="31"/>
  <c r="C853" i="31"/>
  <c r="M475" i="31"/>
  <c r="K735" i="31" s="1"/>
  <c r="J590" i="31"/>
  <c r="K550" i="35"/>
  <c r="N476" i="31"/>
  <c r="H627" i="31"/>
  <c r="J627" i="31"/>
  <c r="O487" i="31"/>
  <c r="N468" i="31"/>
  <c r="H587" i="31"/>
  <c r="M621" i="31"/>
  <c r="H577" i="31"/>
  <c r="O442" i="31"/>
  <c r="I600" i="31"/>
  <c r="K600" i="31"/>
  <c r="N487" i="31"/>
  <c r="N442" i="31"/>
  <c r="J580" i="31"/>
  <c r="K580" i="31"/>
  <c r="N587" i="31"/>
  <c r="H608" i="31"/>
  <c r="I611" i="31"/>
  <c r="O615" i="31"/>
  <c r="O571" i="31"/>
  <c r="K578" i="31"/>
  <c r="H628" i="31"/>
  <c r="H626" i="31"/>
  <c r="L620" i="31"/>
  <c r="O468" i="31"/>
  <c r="N510" i="30"/>
  <c r="N508" i="30"/>
  <c r="N439" i="31"/>
  <c r="F699" i="31" s="1"/>
  <c r="N498" i="31"/>
  <c r="H758" i="31" s="1"/>
  <c r="N496" i="31"/>
  <c r="F756" i="31" s="1"/>
  <c r="O475" i="31"/>
  <c r="G735" i="31" s="1"/>
  <c r="N460" i="31"/>
  <c r="N474" i="31"/>
  <c r="O463" i="31"/>
  <c r="O447" i="31"/>
  <c r="M510" i="30"/>
  <c r="M515" i="30"/>
  <c r="O494" i="31"/>
  <c r="I754" i="31" s="1"/>
  <c r="N466" i="31"/>
  <c r="H726" i="31" s="1"/>
  <c r="O496" i="31"/>
  <c r="I756" i="31" s="1"/>
  <c r="N478" i="31"/>
  <c r="H738" i="31" s="1"/>
  <c r="N446" i="31"/>
  <c r="N486" i="31"/>
  <c r="H746" i="31" s="1"/>
  <c r="O444" i="31"/>
  <c r="G704" i="31" s="1"/>
  <c r="N513" i="30"/>
  <c r="O492" i="31"/>
  <c r="G732" i="31"/>
  <c r="N494" i="31"/>
  <c r="H754" i="31" s="1"/>
  <c r="O466" i="31"/>
  <c r="I726" i="31" s="1"/>
  <c r="N464" i="31"/>
  <c r="H724" i="31" s="1"/>
  <c r="O448" i="31"/>
  <c r="I708" i="31" s="1"/>
  <c r="N438" i="31"/>
  <c r="H698" i="31" s="1"/>
  <c r="N450" i="31"/>
  <c r="H710" i="31" s="1"/>
  <c r="M508" i="30"/>
  <c r="N515" i="30"/>
  <c r="O439" i="31"/>
  <c r="G699" i="31" s="1"/>
  <c r="O498" i="31"/>
  <c r="G758" i="31" s="1"/>
  <c r="N475" i="31"/>
  <c r="F735" i="31" s="1"/>
  <c r="O464" i="31"/>
  <c r="I724" i="31" s="1"/>
  <c r="O450" i="31"/>
  <c r="I710" i="31" s="1"/>
  <c r="M506" i="30"/>
  <c r="N506" i="30"/>
  <c r="N504" i="30"/>
  <c r="M504" i="30"/>
  <c r="L487" i="31"/>
  <c r="I593" i="31"/>
  <c r="H622" i="31"/>
  <c r="M487" i="31"/>
  <c r="K570" i="31"/>
  <c r="J865" i="35"/>
  <c r="L837" i="31"/>
  <c r="M612" i="31"/>
  <c r="M468" i="31"/>
  <c r="J550" i="35"/>
  <c r="R38" i="38" s="1"/>
  <c r="L574" i="31"/>
  <c r="M618" i="31"/>
  <c r="L468" i="31"/>
  <c r="M462" i="31"/>
  <c r="L478" i="31"/>
  <c r="J738" i="31" s="1"/>
  <c r="M488" i="31"/>
  <c r="G514" i="30"/>
  <c r="L484" i="31"/>
  <c r="J744" i="31" s="1"/>
  <c r="L440" i="31"/>
  <c r="L700" i="31" s="1"/>
  <c r="L494" i="31"/>
  <c r="L754" i="31" s="1"/>
  <c r="M446" i="31"/>
  <c r="M706" i="31" s="1"/>
  <c r="M466" i="31"/>
  <c r="G508" i="30"/>
  <c r="F508" i="30"/>
  <c r="L451" i="31"/>
  <c r="J711" i="31" s="1"/>
  <c r="M451" i="31"/>
  <c r="K711" i="31" s="1"/>
  <c r="M494" i="31"/>
  <c r="M754" i="31" s="1"/>
  <c r="L492" i="31"/>
  <c r="L752" i="31" s="1"/>
  <c r="M454" i="31"/>
  <c r="K714" i="31" s="1"/>
  <c r="G513" i="30"/>
  <c r="L496" i="31"/>
  <c r="L443" i="31"/>
  <c r="J703" i="31" s="1"/>
  <c r="L448" i="31"/>
  <c r="L708" i="31" s="1"/>
  <c r="L460" i="31"/>
  <c r="L720" i="31" s="1"/>
  <c r="M460" i="31"/>
  <c r="K720" i="31" s="1"/>
  <c r="L438" i="31"/>
  <c r="L698" i="31" s="1"/>
  <c r="M492" i="31"/>
  <c r="K752" i="31" s="1"/>
  <c r="M474" i="31"/>
  <c r="M734" i="31" s="1"/>
  <c r="M491" i="31"/>
  <c r="M751" i="31" s="1"/>
  <c r="M486" i="31"/>
  <c r="M480" i="31"/>
  <c r="M452" i="31"/>
  <c r="M478" i="31"/>
  <c r="F513" i="30"/>
  <c r="F510" i="30"/>
  <c r="F515" i="30"/>
  <c r="G515" i="30"/>
  <c r="G510" i="30"/>
  <c r="M448" i="31"/>
  <c r="M708" i="31" s="1"/>
  <c r="L456" i="31"/>
  <c r="L716" i="31" s="1"/>
  <c r="M438" i="31"/>
  <c r="M698" i="31" s="1"/>
  <c r="L488" i="31"/>
  <c r="M484" i="31"/>
  <c r="M744" i="31" s="1"/>
  <c r="L452" i="31"/>
  <c r="L712" i="31" s="1"/>
  <c r="L486" i="31"/>
  <c r="L474" i="31"/>
  <c r="L734" i="31" s="1"/>
  <c r="L446" i="31"/>
  <c r="M463" i="31"/>
  <c r="K723" i="31" s="1"/>
  <c r="M496" i="31"/>
  <c r="M444" i="31"/>
  <c r="M471" i="31"/>
  <c r="J584" i="31"/>
  <c r="O601" i="31"/>
  <c r="J605" i="31"/>
  <c r="K624" i="31"/>
  <c r="K620" i="31"/>
  <c r="N573" i="31"/>
  <c r="K596" i="31"/>
  <c r="G721" i="31"/>
  <c r="N611" i="31"/>
  <c r="K621" i="31"/>
  <c r="J586" i="31"/>
  <c r="K576" i="31"/>
  <c r="L606" i="31"/>
  <c r="L568" i="31"/>
  <c r="L596" i="31"/>
  <c r="N602" i="31"/>
  <c r="N577" i="31"/>
  <c r="M570" i="31"/>
  <c r="L624" i="31"/>
  <c r="L570" i="31"/>
  <c r="L572" i="31"/>
  <c r="N585" i="31"/>
  <c r="C832" i="31"/>
  <c r="BL3" i="10" s="1"/>
  <c r="L576" i="31"/>
  <c r="O605" i="31"/>
  <c r="L600" i="31"/>
  <c r="L618" i="31"/>
  <c r="N603" i="31"/>
  <c r="M568" i="31"/>
  <c r="I584" i="31"/>
  <c r="J617" i="31"/>
  <c r="H617" i="31"/>
  <c r="I594" i="31"/>
  <c r="J572" i="31"/>
  <c r="H572" i="31"/>
  <c r="O583" i="31"/>
  <c r="C621" i="31"/>
  <c r="O598" i="31"/>
  <c r="M598" i="31"/>
  <c r="I592" i="31"/>
  <c r="K592" i="31"/>
  <c r="H598" i="31"/>
  <c r="J598" i="31"/>
  <c r="K623" i="31"/>
  <c r="I623" i="31"/>
  <c r="I588" i="31"/>
  <c r="K588" i="31"/>
  <c r="H606" i="31"/>
  <c r="J606" i="31"/>
  <c r="I573" i="31"/>
  <c r="L604" i="31"/>
  <c r="K627" i="31"/>
  <c r="I627" i="31"/>
  <c r="H574" i="31"/>
  <c r="J574" i="31"/>
  <c r="I582" i="31"/>
  <c r="K582" i="31"/>
  <c r="I602" i="31"/>
  <c r="K602" i="31"/>
  <c r="K614" i="31"/>
  <c r="I614" i="31"/>
  <c r="J568" i="31"/>
  <c r="H568" i="31"/>
  <c r="D937" i="33"/>
  <c r="N622" i="31"/>
  <c r="B112" i="32"/>
  <c r="E892" i="31"/>
  <c r="B494" i="35"/>
  <c r="B1161" i="35" s="1"/>
  <c r="L1161" i="35" s="1"/>
  <c r="D892" i="31"/>
  <c r="O597" i="31"/>
  <c r="E869" i="31"/>
  <c r="M622" i="31"/>
  <c r="O622" i="31"/>
  <c r="L592" i="31"/>
  <c r="L608" i="31"/>
  <c r="N580" i="31"/>
  <c r="M626" i="31"/>
  <c r="O626" i="31"/>
  <c r="C937" i="33"/>
  <c r="C842" i="31"/>
  <c r="BL13" i="10" s="1"/>
  <c r="F392" i="33" s="1"/>
  <c r="O590" i="31"/>
  <c r="B192" i="33"/>
  <c r="B755" i="33" s="1"/>
  <c r="J863" i="35"/>
  <c r="K597" i="31"/>
  <c r="L548" i="35"/>
  <c r="N613" i="31"/>
  <c r="C931" i="35"/>
  <c r="J548" i="35"/>
  <c r="R36" i="38" s="1"/>
  <c r="D935" i="33"/>
  <c r="M548" i="35"/>
  <c r="H597" i="31"/>
  <c r="B471" i="35"/>
  <c r="K554" i="35" s="1"/>
  <c r="M613" i="31"/>
  <c r="B89" i="32"/>
  <c r="C855" i="31"/>
  <c r="BL26" i="10" s="1"/>
  <c r="F405" i="33" s="1"/>
  <c r="D869" i="31"/>
  <c r="C858" i="31"/>
  <c r="BL29" i="10" s="1"/>
  <c r="F408" i="33" s="1"/>
  <c r="I571" i="31"/>
  <c r="J571" i="31"/>
  <c r="H571" i="31"/>
  <c r="C876" i="31"/>
  <c r="BL47" i="10" s="1"/>
  <c r="F426" i="33" s="1"/>
  <c r="F517" i="30"/>
  <c r="L481" i="31"/>
  <c r="M517" i="30"/>
  <c r="N481" i="31"/>
  <c r="M608" i="31"/>
  <c r="N569" i="31"/>
  <c r="H613" i="31"/>
  <c r="N505" i="30"/>
  <c r="O441" i="31"/>
  <c r="G505" i="30"/>
  <c r="M441" i="31"/>
  <c r="M505" i="30"/>
  <c r="N441" i="31"/>
  <c r="C836" i="31"/>
  <c r="BL7" i="10" s="1"/>
  <c r="F386" i="33" s="1"/>
  <c r="G517" i="30"/>
  <c r="M481" i="31"/>
  <c r="F505" i="30"/>
  <c r="L441" i="31"/>
  <c r="N517" i="30"/>
  <c r="O481" i="31"/>
  <c r="M578" i="31"/>
  <c r="L578" i="31"/>
  <c r="N578" i="31"/>
  <c r="O620" i="31"/>
  <c r="M620" i="31"/>
  <c r="N594" i="31"/>
  <c r="L594" i="31"/>
  <c r="C859" i="31"/>
  <c r="BL30" i="10" s="1"/>
  <c r="F409" i="33" s="1"/>
  <c r="O594" i="31"/>
  <c r="M594" i="31"/>
  <c r="C845" i="31"/>
  <c r="BL16" i="10" s="1"/>
  <c r="F395" i="33" s="1"/>
  <c r="E850" i="31"/>
  <c r="C841" i="31"/>
  <c r="BL12" i="10" s="1"/>
  <c r="F391" i="33" s="1"/>
  <c r="C834" i="31"/>
  <c r="BL5" i="10" s="1"/>
  <c r="C833" i="31"/>
  <c r="BL4" i="10" s="1"/>
  <c r="C851" i="31"/>
  <c r="BL22" i="10" s="1"/>
  <c r="F401" i="33" s="1"/>
  <c r="C877" i="31"/>
  <c r="BL48" i="10" s="1"/>
  <c r="F427" i="33" s="1"/>
  <c r="M857" i="31"/>
  <c r="B459" i="35"/>
  <c r="O857" i="31"/>
  <c r="B77" i="32"/>
  <c r="N857" i="31"/>
  <c r="L857" i="31"/>
  <c r="D857" i="31"/>
  <c r="C886" i="31"/>
  <c r="BL57" i="10" s="1"/>
  <c r="C861" i="31"/>
  <c r="BL32" i="10" s="1"/>
  <c r="C873" i="31"/>
  <c r="BL44" i="10" s="1"/>
  <c r="E867" i="31"/>
  <c r="C893" i="31"/>
  <c r="BL64" i="10" s="1"/>
  <c r="C847" i="31"/>
  <c r="BL18" i="10" s="1"/>
  <c r="D867" i="31"/>
  <c r="C885" i="31"/>
  <c r="BL56" i="10" s="1"/>
  <c r="C889" i="31"/>
  <c r="BL60" i="10" s="1"/>
  <c r="C891" i="31"/>
  <c r="BL62" i="10" s="1"/>
  <c r="B87" i="32"/>
  <c r="B469" i="35"/>
  <c r="B1136" i="35" s="1"/>
  <c r="L1136" i="35" s="1"/>
  <c r="C870" i="31"/>
  <c r="BL41" i="10" s="1"/>
  <c r="C843" i="31"/>
  <c r="BL14" i="10" s="1"/>
  <c r="F393" i="33" s="1"/>
  <c r="B70" i="32"/>
  <c r="B452" i="35"/>
  <c r="B46" i="27" s="1"/>
  <c r="L850" i="31"/>
  <c r="O850" i="31"/>
  <c r="N850" i="31"/>
  <c r="M850" i="31"/>
  <c r="E857" i="31"/>
  <c r="G519" i="30"/>
  <c r="M485" i="31"/>
  <c r="F519" i="30"/>
  <c r="L485" i="31"/>
  <c r="C880" i="31"/>
  <c r="BL51" i="10" s="1"/>
  <c r="M519" i="30"/>
  <c r="N485" i="31"/>
  <c r="N519" i="30"/>
  <c r="O485" i="31"/>
  <c r="L844" i="31"/>
  <c r="M844" i="31"/>
  <c r="O844" i="31"/>
  <c r="N844" i="31"/>
  <c r="L838" i="31"/>
  <c r="M838" i="31"/>
  <c r="O838" i="31"/>
  <c r="N838" i="31"/>
  <c r="B72" i="32"/>
  <c r="L852" i="31"/>
  <c r="M852" i="31"/>
  <c r="N852" i="31"/>
  <c r="O852" i="31"/>
  <c r="E874" i="31"/>
  <c r="N518" i="30"/>
  <c r="O483" i="31"/>
  <c r="C878" i="31"/>
  <c r="BL49" i="10" s="1"/>
  <c r="M518" i="30"/>
  <c r="N483" i="31"/>
  <c r="N511" i="30"/>
  <c r="O467" i="31"/>
  <c r="F518" i="30"/>
  <c r="L483" i="31"/>
  <c r="C862" i="31"/>
  <c r="BL33" i="10" s="1"/>
  <c r="G511" i="30"/>
  <c r="M467" i="31"/>
  <c r="F511" i="30"/>
  <c r="L467" i="31"/>
  <c r="M511" i="30"/>
  <c r="N467" i="31"/>
  <c r="G518" i="30"/>
  <c r="M483" i="31"/>
  <c r="H567" i="31"/>
  <c r="J567" i="31"/>
  <c r="M522" i="35"/>
  <c r="I567" i="31"/>
  <c r="K567" i="31"/>
  <c r="E852" i="31"/>
  <c r="D874" i="31"/>
  <c r="E864" i="31"/>
  <c r="E838" i="31"/>
  <c r="E844" i="31"/>
  <c r="D838" i="31"/>
  <c r="L567" i="31"/>
  <c r="N567" i="31"/>
  <c r="O567" i="31"/>
  <c r="M567" i="31"/>
  <c r="D852" i="31"/>
  <c r="D864" i="31"/>
  <c r="D844" i="31"/>
  <c r="B454" i="35"/>
  <c r="B440" i="35"/>
  <c r="B58" i="32"/>
  <c r="C854" i="31"/>
  <c r="BL25" i="10" s="1"/>
  <c r="F404" i="33" s="1"/>
  <c r="M1390" i="35"/>
  <c r="N1390" i="35" s="1"/>
  <c r="L1456" i="35" s="1"/>
  <c r="M1456" i="35" s="1"/>
  <c r="C860" i="31"/>
  <c r="BL31" i="10" s="1"/>
  <c r="C872" i="31"/>
  <c r="BL43" i="10" s="1"/>
  <c r="B84" i="32"/>
  <c r="B466" i="35"/>
  <c r="K549" i="35" s="1"/>
  <c r="B94" i="32"/>
  <c r="B476" i="35"/>
  <c r="K559" i="35" s="1"/>
  <c r="B64" i="32"/>
  <c r="B446" i="35"/>
  <c r="K529" i="35" s="1"/>
  <c r="B1000" i="35"/>
  <c r="M705" i="31"/>
  <c r="K705" i="31"/>
  <c r="K599" i="31"/>
  <c r="I599" i="31"/>
  <c r="M599" i="31"/>
  <c r="O599" i="31"/>
  <c r="K579" i="31"/>
  <c r="I579" i="31"/>
  <c r="J599" i="31"/>
  <c r="H599" i="31"/>
  <c r="M579" i="31"/>
  <c r="O579" i="31"/>
  <c r="K603" i="31"/>
  <c r="I603" i="31"/>
  <c r="L579" i="31"/>
  <c r="N579" i="31"/>
  <c r="M609" i="31"/>
  <c r="O609" i="31"/>
  <c r="J601" i="31"/>
  <c r="H601" i="31"/>
  <c r="K601" i="31"/>
  <c r="I601" i="31"/>
  <c r="L609" i="31"/>
  <c r="N609" i="31"/>
  <c r="J603" i="31"/>
  <c r="H603" i="31"/>
  <c r="J579" i="31"/>
  <c r="H579" i="31"/>
  <c r="L599" i="31"/>
  <c r="N599" i="31"/>
  <c r="B59" i="27"/>
  <c r="S36" i="38"/>
  <c r="B931" i="35"/>
  <c r="B1132" i="35"/>
  <c r="L1132" i="35" s="1"/>
  <c r="I863" i="35"/>
  <c r="B998" i="35"/>
  <c r="D998" i="35" s="1"/>
  <c r="K465" i="35"/>
  <c r="L465" i="35" s="1"/>
  <c r="B1065" i="35"/>
  <c r="J459" i="31"/>
  <c r="H459" i="31"/>
  <c r="K465" i="31"/>
  <c r="M459" i="31"/>
  <c r="N465" i="31"/>
  <c r="J477" i="31"/>
  <c r="H477" i="31"/>
  <c r="O459" i="31"/>
  <c r="L459" i="31"/>
  <c r="K459" i="31"/>
  <c r="L477" i="31"/>
  <c r="M465" i="31"/>
  <c r="L465" i="31"/>
  <c r="J465" i="31"/>
  <c r="H465" i="31"/>
  <c r="N477" i="31"/>
  <c r="K477" i="31"/>
  <c r="I465" i="31"/>
  <c r="O465" i="31"/>
  <c r="M477" i="31"/>
  <c r="I477" i="31"/>
  <c r="N459" i="31"/>
  <c r="I459" i="31"/>
  <c r="O477" i="31"/>
  <c r="L1206" i="35" l="1"/>
  <c r="M1206" i="35"/>
  <c r="F1206" i="35"/>
  <c r="E1206" i="35"/>
  <c r="L1210" i="35"/>
  <c r="M1210" i="35"/>
  <c r="F1210" i="35"/>
  <c r="E1210" i="35"/>
  <c r="L1235" i="35"/>
  <c r="F1235" i="35"/>
  <c r="M1235" i="35"/>
  <c r="E1235" i="35"/>
  <c r="D1065" i="35"/>
  <c r="H755" i="33"/>
  <c r="D755" i="33"/>
  <c r="U981" i="46"/>
  <c r="T751" i="46"/>
  <c r="AH751" i="46" s="1"/>
  <c r="AO751" i="46" s="1"/>
  <c r="AH750" i="46"/>
  <c r="AO750" i="46" s="1"/>
  <c r="AO596" i="46"/>
  <c r="S1195" i="46"/>
  <c r="O1201" i="46" s="1"/>
  <c r="I1202" i="46" s="1"/>
  <c r="J936" i="46"/>
  <c r="L937" i="46"/>
  <c r="L938" i="46"/>
  <c r="O1142" i="46"/>
  <c r="Z981" i="46"/>
  <c r="AC981" i="46"/>
  <c r="Q652" i="45"/>
  <c r="M630" i="45"/>
  <c r="I630" i="45"/>
  <c r="X371" i="45"/>
  <c r="O562" i="45"/>
  <c r="Q567" i="45"/>
  <c r="O557" i="45"/>
  <c r="O572" i="45"/>
  <c r="O577" i="45" s="1"/>
  <c r="X412" i="45"/>
  <c r="AE412" i="45" s="1"/>
  <c r="X411" i="45" s="1"/>
  <c r="AE411" i="45" s="1"/>
  <c r="Z415" i="45"/>
  <c r="AE415" i="45" s="1"/>
  <c r="F397" i="33"/>
  <c r="D941" i="33"/>
  <c r="C928" i="33"/>
  <c r="B928" i="33" s="1"/>
  <c r="E928" i="33" s="1"/>
  <c r="F928" i="33" s="1"/>
  <c r="C194" i="33"/>
  <c r="B823" i="33" s="1"/>
  <c r="G823" i="33" s="1"/>
  <c r="C193" i="33"/>
  <c r="B822" i="33" s="1"/>
  <c r="G822" i="33" s="1"/>
  <c r="B167" i="33"/>
  <c r="C173" i="33"/>
  <c r="B802" i="33" s="1"/>
  <c r="G802" i="33" s="1"/>
  <c r="C181" i="33"/>
  <c r="B810" i="33" s="1"/>
  <c r="G810" i="33" s="1"/>
  <c r="C203" i="33"/>
  <c r="B832" i="33" s="1"/>
  <c r="G832" i="33" s="1"/>
  <c r="C179" i="33"/>
  <c r="B808" i="33" s="1"/>
  <c r="G808" i="33" s="1"/>
  <c r="C213" i="33"/>
  <c r="C185" i="33"/>
  <c r="B814" i="33" s="1"/>
  <c r="G814" i="33" s="1"/>
  <c r="C909" i="33"/>
  <c r="B909" i="33" s="1"/>
  <c r="E909" i="33" s="1"/>
  <c r="B194" i="33"/>
  <c r="C924" i="33"/>
  <c r="B924" i="33" s="1"/>
  <c r="E924" i="33" s="1"/>
  <c r="C936" i="33"/>
  <c r="C941" i="33"/>
  <c r="B941" i="33" s="1"/>
  <c r="B213" i="33"/>
  <c r="B179" i="33"/>
  <c r="C166" i="33"/>
  <c r="B795" i="33" s="1"/>
  <c r="G795" i="33" s="1"/>
  <c r="C192" i="33"/>
  <c r="B821" i="33" s="1"/>
  <c r="G821" i="33" s="1"/>
  <c r="H730" i="31"/>
  <c r="D85" i="32"/>
  <c r="I837" i="31"/>
  <c r="N888" i="31"/>
  <c r="G837" i="31"/>
  <c r="M888" i="31"/>
  <c r="O888" i="31"/>
  <c r="L888" i="31"/>
  <c r="F108" i="32" s="1"/>
  <c r="L755" i="31"/>
  <c r="I716" i="31"/>
  <c r="D960" i="33"/>
  <c r="C217" i="33"/>
  <c r="B846" i="33" s="1"/>
  <c r="G846" i="33" s="1"/>
  <c r="B490" i="35"/>
  <c r="B1023" i="35" s="1"/>
  <c r="BL59" i="10"/>
  <c r="F438" i="33" s="1"/>
  <c r="B108" i="32"/>
  <c r="D108" i="32" s="1"/>
  <c r="D888" i="31"/>
  <c r="L709" i="31"/>
  <c r="M709" i="31"/>
  <c r="J837" i="35"/>
  <c r="M887" i="31"/>
  <c r="D887" i="31"/>
  <c r="E887" i="31"/>
  <c r="L887" i="31"/>
  <c r="O887" i="31"/>
  <c r="G107" i="32" s="1"/>
  <c r="B107" i="32"/>
  <c r="D107" i="32" s="1"/>
  <c r="N887" i="31"/>
  <c r="J705" i="31"/>
  <c r="O846" i="31"/>
  <c r="B448" i="35"/>
  <c r="K531" i="35" s="1"/>
  <c r="L884" i="31"/>
  <c r="L749" i="31"/>
  <c r="N884" i="31"/>
  <c r="M867" i="31"/>
  <c r="K732" i="31"/>
  <c r="D909" i="33"/>
  <c r="O867" i="31"/>
  <c r="I748" i="31"/>
  <c r="M753" i="31"/>
  <c r="B66" i="32"/>
  <c r="D66" i="32" s="1"/>
  <c r="N846" i="31"/>
  <c r="H752" i="31"/>
  <c r="H709" i="31"/>
  <c r="E835" i="31"/>
  <c r="D835" i="31"/>
  <c r="M846" i="31"/>
  <c r="J722" i="31"/>
  <c r="I717" i="31"/>
  <c r="H846" i="31"/>
  <c r="M729" i="31"/>
  <c r="E846" i="31"/>
  <c r="D846" i="31"/>
  <c r="O835" i="31"/>
  <c r="L846" i="31"/>
  <c r="H750" i="31"/>
  <c r="G722" i="31"/>
  <c r="I722" i="31"/>
  <c r="J733" i="31"/>
  <c r="C156" i="27"/>
  <c r="B166" i="33"/>
  <c r="E879" i="31"/>
  <c r="M755" i="31"/>
  <c r="F729" i="31"/>
  <c r="D84" i="32" s="1"/>
  <c r="B99" i="32"/>
  <c r="F717" i="31"/>
  <c r="J856" i="35"/>
  <c r="B481" i="35"/>
  <c r="K564" i="35" s="1"/>
  <c r="S52" i="38" s="1"/>
  <c r="D879" i="31"/>
  <c r="L835" i="31"/>
  <c r="N835" i="31"/>
  <c r="B437" i="35"/>
  <c r="J520" i="35" s="1"/>
  <c r="B55" i="32"/>
  <c r="E55" i="32" s="1"/>
  <c r="M835" i="31"/>
  <c r="G738" i="31"/>
  <c r="K729" i="31"/>
  <c r="G729" i="31"/>
  <c r="F748" i="31"/>
  <c r="K890" i="31"/>
  <c r="G86" i="27" s="1"/>
  <c r="M541" i="35"/>
  <c r="F721" i="31"/>
  <c r="L732" i="31"/>
  <c r="B451" i="35"/>
  <c r="K534" i="35" s="1"/>
  <c r="N864" i="31"/>
  <c r="B955" i="35"/>
  <c r="J887" i="35"/>
  <c r="M892" i="31"/>
  <c r="K721" i="31"/>
  <c r="F751" i="31"/>
  <c r="O849" i="31"/>
  <c r="H849" i="31"/>
  <c r="B1022" i="35"/>
  <c r="D1022" i="35" s="1"/>
  <c r="D928" i="33"/>
  <c r="D849" i="31"/>
  <c r="I698" i="31"/>
  <c r="I833" i="31" s="1"/>
  <c r="F711" i="31"/>
  <c r="G730" i="31"/>
  <c r="E85" i="32" s="1"/>
  <c r="N849" i="31"/>
  <c r="M572" i="35"/>
  <c r="N892" i="31"/>
  <c r="H722" i="31"/>
  <c r="H742" i="31"/>
  <c r="F877" i="31" s="1"/>
  <c r="I887" i="35"/>
  <c r="B1089" i="35"/>
  <c r="B83" i="27"/>
  <c r="E206" i="27" s="1"/>
  <c r="B1156" i="35"/>
  <c r="B1296" i="35" s="1"/>
  <c r="Z60" i="38" s="1"/>
  <c r="B185" i="33"/>
  <c r="M849" i="31"/>
  <c r="C922" i="33"/>
  <c r="B922" i="33" s="1"/>
  <c r="E922" i="33" s="1"/>
  <c r="L757" i="31"/>
  <c r="C955" i="35"/>
  <c r="K489" i="35"/>
  <c r="L489" i="35" s="1"/>
  <c r="B69" i="32"/>
  <c r="D69" i="32" s="1"/>
  <c r="E849" i="31"/>
  <c r="L849" i="31"/>
  <c r="L892" i="31"/>
  <c r="I750" i="31"/>
  <c r="I711" i="31"/>
  <c r="O884" i="31"/>
  <c r="I751" i="31"/>
  <c r="C956" i="33"/>
  <c r="B956" i="33" s="1"/>
  <c r="E956" i="33" s="1"/>
  <c r="M749" i="31"/>
  <c r="L704" i="31"/>
  <c r="F716" i="31"/>
  <c r="K742" i="31"/>
  <c r="E213" i="33"/>
  <c r="F213" i="33" s="1"/>
  <c r="J213" i="33" s="1"/>
  <c r="M884" i="31"/>
  <c r="L753" i="31"/>
  <c r="G57" i="32"/>
  <c r="B939" i="35"/>
  <c r="G939" i="35" s="1"/>
  <c r="L729" i="31"/>
  <c r="L864" i="31"/>
  <c r="K757" i="31"/>
  <c r="B1140" i="35"/>
  <c r="L1140" i="35" s="1"/>
  <c r="B1006" i="35"/>
  <c r="D1006" i="35" s="1"/>
  <c r="B1073" i="35"/>
  <c r="K473" i="35"/>
  <c r="L473" i="35" s="1"/>
  <c r="F700" i="31"/>
  <c r="F846" i="31"/>
  <c r="I871" i="35"/>
  <c r="E72" i="32"/>
  <c r="O892" i="31"/>
  <c r="E169" i="27"/>
  <c r="E182" i="27"/>
  <c r="F422" i="33"/>
  <c r="F410" i="33"/>
  <c r="F439" i="33"/>
  <c r="F443" i="33"/>
  <c r="F436" i="33"/>
  <c r="F383" i="33"/>
  <c r="H853" i="31"/>
  <c r="BL24" i="10"/>
  <c r="F403" i="33" s="1"/>
  <c r="B483" i="35"/>
  <c r="K566" i="35" s="1"/>
  <c r="BL52" i="10"/>
  <c r="F418" i="33"/>
  <c r="F437" i="33"/>
  <c r="F428" i="33"/>
  <c r="F430" i="33"/>
  <c r="F435" i="33"/>
  <c r="F384" i="33"/>
  <c r="B485" i="35"/>
  <c r="J568" i="35" s="1"/>
  <c r="R56" i="38" s="1"/>
  <c r="BL54" i="10"/>
  <c r="N840" i="31"/>
  <c r="BL11" i="10"/>
  <c r="F390" i="33" s="1"/>
  <c r="G839" i="31"/>
  <c r="BL10" i="10"/>
  <c r="F389" i="33" s="1"/>
  <c r="B492" i="35"/>
  <c r="K575" i="35" s="1"/>
  <c r="S63" i="38" s="1"/>
  <c r="BL61" i="10"/>
  <c r="F412" i="33"/>
  <c r="F420" i="33"/>
  <c r="F423" i="33"/>
  <c r="F382" i="33"/>
  <c r="L848" i="31"/>
  <c r="BL19" i="10"/>
  <c r="F398" i="33" s="1"/>
  <c r="F432" i="33"/>
  <c r="F434" i="33"/>
  <c r="F441" i="33"/>
  <c r="F411" i="33"/>
  <c r="B95" i="32"/>
  <c r="D95" i="32" s="1"/>
  <c r="BL46" i="10"/>
  <c r="B86" i="32"/>
  <c r="E86" i="32" s="1"/>
  <c r="BL37" i="10"/>
  <c r="J707" i="31"/>
  <c r="N890" i="31"/>
  <c r="F733" i="31"/>
  <c r="J868" i="31" s="1"/>
  <c r="B187" i="27" s="1"/>
  <c r="O864" i="31"/>
  <c r="G84" i="32" s="1"/>
  <c r="L702" i="31"/>
  <c r="L721" i="31"/>
  <c r="F739" i="31"/>
  <c r="D94" i="32" s="1"/>
  <c r="H857" i="31"/>
  <c r="I697" i="31"/>
  <c r="M750" i="31"/>
  <c r="J846" i="31"/>
  <c r="I935" i="33"/>
  <c r="J935" i="33" s="1"/>
  <c r="J735" i="31"/>
  <c r="F757" i="31"/>
  <c r="L726" i="31"/>
  <c r="H705" i="31"/>
  <c r="F697" i="31"/>
  <c r="M875" i="31"/>
  <c r="I706" i="31"/>
  <c r="G890" i="31"/>
  <c r="M890" i="31"/>
  <c r="F714" i="31"/>
  <c r="L890" i="31"/>
  <c r="I890" i="31"/>
  <c r="H723" i="31"/>
  <c r="J718" i="31"/>
  <c r="E890" i="31"/>
  <c r="O890" i="31"/>
  <c r="F935" i="33"/>
  <c r="F755" i="33" s="1"/>
  <c r="F909" i="33"/>
  <c r="F729" i="33" s="1"/>
  <c r="J890" i="31"/>
  <c r="B110" i="32"/>
  <c r="F718" i="31"/>
  <c r="K758" i="31"/>
  <c r="I731" i="31"/>
  <c r="F890" i="31"/>
  <c r="M868" i="31"/>
  <c r="K710" i="31"/>
  <c r="L758" i="31"/>
  <c r="G755" i="31"/>
  <c r="H890" i="31"/>
  <c r="O868" i="31"/>
  <c r="H755" i="31"/>
  <c r="B470" i="35"/>
  <c r="K553" i="35" s="1"/>
  <c r="B88" i="32"/>
  <c r="N867" i="31"/>
  <c r="I715" i="31"/>
  <c r="I714" i="31"/>
  <c r="F76" i="32"/>
  <c r="I705" i="31"/>
  <c r="F731" i="31"/>
  <c r="K733" i="31"/>
  <c r="E868" i="31"/>
  <c r="N868" i="31"/>
  <c r="L867" i="31"/>
  <c r="F713" i="31"/>
  <c r="D868" i="31"/>
  <c r="H740" i="31"/>
  <c r="F875" i="31" s="1"/>
  <c r="D890" i="31"/>
  <c r="K716" i="31"/>
  <c r="I848" i="31"/>
  <c r="L731" i="31"/>
  <c r="N865" i="31"/>
  <c r="F865" i="31"/>
  <c r="L865" i="31"/>
  <c r="F753" i="31"/>
  <c r="E883" i="31"/>
  <c r="F703" i="31"/>
  <c r="G720" i="31"/>
  <c r="J730" i="31"/>
  <c r="L868" i="31"/>
  <c r="F749" i="31"/>
  <c r="D104" i="32" s="1"/>
  <c r="J751" i="31"/>
  <c r="I713" i="31"/>
  <c r="G757" i="31"/>
  <c r="K892" i="31" s="1"/>
  <c r="J736" i="31"/>
  <c r="J740" i="31"/>
  <c r="L871" i="31"/>
  <c r="L556" i="35"/>
  <c r="J556" i="35"/>
  <c r="R44" i="38" s="1"/>
  <c r="J871" i="35"/>
  <c r="H732" i="31"/>
  <c r="F732" i="31"/>
  <c r="D87" i="32" s="1"/>
  <c r="M697" i="31"/>
  <c r="L875" i="31"/>
  <c r="G718" i="31"/>
  <c r="M715" i="31"/>
  <c r="K839" i="31"/>
  <c r="C943" i="33"/>
  <c r="B200" i="33"/>
  <c r="B763" i="33" s="1"/>
  <c r="B102" i="32"/>
  <c r="E882" i="31"/>
  <c r="B484" i="35"/>
  <c r="B67" i="27"/>
  <c r="N848" i="31"/>
  <c r="G746" i="31"/>
  <c r="H744" i="31"/>
  <c r="L710" i="31"/>
  <c r="D943" i="33"/>
  <c r="C200" i="33"/>
  <c r="B829" i="33" s="1"/>
  <c r="G829" i="33" s="1"/>
  <c r="G742" i="31"/>
  <c r="I742" i="31"/>
  <c r="K556" i="35"/>
  <c r="S44" i="38" s="1"/>
  <c r="G712" i="31"/>
  <c r="I712" i="31"/>
  <c r="N871" i="31"/>
  <c r="I740" i="31"/>
  <c r="K736" i="31"/>
  <c r="M871" i="31"/>
  <c r="M736" i="31"/>
  <c r="O871" i="31"/>
  <c r="D882" i="31"/>
  <c r="F856" i="31"/>
  <c r="M848" i="31"/>
  <c r="B68" i="32"/>
  <c r="E68" i="32" s="1"/>
  <c r="D848" i="31"/>
  <c r="O848" i="31"/>
  <c r="B450" i="35"/>
  <c r="K533" i="35" s="1"/>
  <c r="S21" i="38" s="1"/>
  <c r="E848" i="31"/>
  <c r="B434" i="35"/>
  <c r="K517" i="35" s="1"/>
  <c r="L832" i="31"/>
  <c r="B1276" i="35"/>
  <c r="Z40" i="38" s="1"/>
  <c r="B1272" i="35"/>
  <c r="Z36" i="38" s="1"/>
  <c r="B1301" i="35"/>
  <c r="Z65" i="38" s="1"/>
  <c r="K520" i="35"/>
  <c r="G708" i="31"/>
  <c r="J724" i="31"/>
  <c r="H847" i="31"/>
  <c r="K702" i="31"/>
  <c r="I703" i="31"/>
  <c r="I700" i="31"/>
  <c r="K703" i="31"/>
  <c r="H888" i="31"/>
  <c r="J697" i="31"/>
  <c r="E881" i="31"/>
  <c r="K713" i="31"/>
  <c r="O883" i="31"/>
  <c r="F888" i="31"/>
  <c r="M569" i="35"/>
  <c r="L883" i="31"/>
  <c r="F708" i="31"/>
  <c r="N866" i="31"/>
  <c r="H704" i="31"/>
  <c r="M839" i="31"/>
  <c r="G739" i="31"/>
  <c r="E94" i="32" s="1"/>
  <c r="M739" i="31"/>
  <c r="O839" i="31"/>
  <c r="G59" i="32" s="1"/>
  <c r="G76" i="32"/>
  <c r="M874" i="31"/>
  <c r="G94" i="32" s="1"/>
  <c r="G845" i="31"/>
  <c r="E839" i="31"/>
  <c r="B468" i="35"/>
  <c r="J866" i="35" s="1"/>
  <c r="D866" i="31"/>
  <c r="E866" i="31"/>
  <c r="L866" i="31"/>
  <c r="E875" i="31"/>
  <c r="B477" i="35"/>
  <c r="K560" i="35" s="1"/>
  <c r="B441" i="35"/>
  <c r="M524" i="35" s="1"/>
  <c r="D956" i="33"/>
  <c r="D875" i="31"/>
  <c r="I849" i="31"/>
  <c r="O866" i="31"/>
  <c r="L839" i="31"/>
  <c r="D839" i="31"/>
  <c r="I839" i="31"/>
  <c r="K739" i="31"/>
  <c r="L717" i="31"/>
  <c r="N839" i="31"/>
  <c r="B59" i="32"/>
  <c r="E59" i="32" s="1"/>
  <c r="J569" i="35"/>
  <c r="R57" i="38" s="1"/>
  <c r="N874" i="31"/>
  <c r="F94" i="32" s="1"/>
  <c r="B101" i="32"/>
  <c r="D881" i="31"/>
  <c r="O881" i="31"/>
  <c r="J739" i="31"/>
  <c r="L569" i="35"/>
  <c r="L739" i="31"/>
  <c r="J884" i="35"/>
  <c r="G756" i="31"/>
  <c r="K842" i="31"/>
  <c r="N881" i="31"/>
  <c r="F710" i="31"/>
  <c r="G724" i="31"/>
  <c r="G733" i="31"/>
  <c r="K868" i="31" s="1"/>
  <c r="C187" i="27" s="1"/>
  <c r="I858" i="31"/>
  <c r="J888" i="31"/>
  <c r="L697" i="31"/>
  <c r="M700" i="31"/>
  <c r="L715" i="31"/>
  <c r="M699" i="31"/>
  <c r="K730" i="31"/>
  <c r="M865" i="31"/>
  <c r="G85" i="32" s="1"/>
  <c r="F707" i="31"/>
  <c r="F715" i="31"/>
  <c r="J713" i="31"/>
  <c r="M730" i="31"/>
  <c r="K865" i="31" s="1"/>
  <c r="L750" i="31"/>
  <c r="O834" i="31"/>
  <c r="J714" i="31"/>
  <c r="G709" i="31"/>
  <c r="G734" i="31"/>
  <c r="E89" i="32" s="1"/>
  <c r="K718" i="31"/>
  <c r="D58" i="32"/>
  <c r="E58" i="32"/>
  <c r="D76" i="32"/>
  <c r="H856" i="31"/>
  <c r="J742" i="31"/>
  <c r="C951" i="33"/>
  <c r="I749" i="31"/>
  <c r="G749" i="31"/>
  <c r="E104" i="32" s="1"/>
  <c r="D99" i="32"/>
  <c r="E99" i="32"/>
  <c r="E87" i="32"/>
  <c r="G726" i="31"/>
  <c r="D77" i="32"/>
  <c r="E77" i="32"/>
  <c r="E66" i="32"/>
  <c r="E64" i="32"/>
  <c r="D70" i="32"/>
  <c r="E70" i="32"/>
  <c r="K848" i="31"/>
  <c r="G848" i="31"/>
  <c r="B936" i="33"/>
  <c r="E936" i="33" s="1"/>
  <c r="B937" i="33"/>
  <c r="G841" i="31"/>
  <c r="J752" i="31"/>
  <c r="O840" i="31"/>
  <c r="E853" i="31"/>
  <c r="G108" i="32"/>
  <c r="I843" i="31"/>
  <c r="B442" i="35"/>
  <c r="K525" i="35" s="1"/>
  <c r="B60" i="32"/>
  <c r="E840" i="31"/>
  <c r="M840" i="31"/>
  <c r="K889" i="31"/>
  <c r="K893" i="31"/>
  <c r="D959" i="33"/>
  <c r="D840" i="31"/>
  <c r="L840" i="31"/>
  <c r="D72" i="32"/>
  <c r="M832" i="31"/>
  <c r="F844" i="31"/>
  <c r="B52" i="32"/>
  <c r="N832" i="31"/>
  <c r="D883" i="31"/>
  <c r="I857" i="31"/>
  <c r="J859" i="31"/>
  <c r="D851" i="31"/>
  <c r="J851" i="31"/>
  <c r="H851" i="31"/>
  <c r="E836" i="31"/>
  <c r="G836" i="31"/>
  <c r="K836" i="31"/>
  <c r="I836" i="31"/>
  <c r="I888" i="31"/>
  <c r="K888" i="31"/>
  <c r="G888" i="31"/>
  <c r="I886" i="31"/>
  <c r="K886" i="31"/>
  <c r="G886" i="31"/>
  <c r="F887" i="31"/>
  <c r="H887" i="31"/>
  <c r="I867" i="31"/>
  <c r="G867" i="31"/>
  <c r="H852" i="31"/>
  <c r="J852" i="31"/>
  <c r="J848" i="31"/>
  <c r="H848" i="31"/>
  <c r="K850" i="31"/>
  <c r="K840" i="31"/>
  <c r="G840" i="31"/>
  <c r="I840" i="31"/>
  <c r="F840" i="31"/>
  <c r="J840" i="31"/>
  <c r="J844" i="31"/>
  <c r="B163" i="27" s="1"/>
  <c r="I846" i="31"/>
  <c r="F836" i="31"/>
  <c r="G850" i="31"/>
  <c r="H844" i="31"/>
  <c r="J893" i="31"/>
  <c r="D886" i="31"/>
  <c r="H886" i="31"/>
  <c r="J886" i="31"/>
  <c r="N855" i="31"/>
  <c r="K855" i="31"/>
  <c r="G855" i="31"/>
  <c r="I855" i="31"/>
  <c r="H855" i="31"/>
  <c r="F855" i="31"/>
  <c r="J857" i="31"/>
  <c r="F857" i="31"/>
  <c r="I887" i="31"/>
  <c r="K887" i="31"/>
  <c r="G887" i="31"/>
  <c r="G857" i="31"/>
  <c r="K857" i="31"/>
  <c r="I853" i="31"/>
  <c r="J853" i="31"/>
  <c r="G853" i="31"/>
  <c r="F853" i="31"/>
  <c r="B103" i="32"/>
  <c r="E103" i="32" s="1"/>
  <c r="H838" i="31"/>
  <c r="F838" i="31"/>
  <c r="F850" i="31"/>
  <c r="J850" i="31"/>
  <c r="K856" i="31"/>
  <c r="I856" i="31"/>
  <c r="G849" i="31"/>
  <c r="J836" i="31"/>
  <c r="K851" i="31"/>
  <c r="J855" i="31"/>
  <c r="F849" i="31"/>
  <c r="K867" i="31"/>
  <c r="F843" i="31"/>
  <c r="F886" i="31"/>
  <c r="G856" i="31"/>
  <c r="K853" i="31"/>
  <c r="F885" i="31"/>
  <c r="K885" i="31"/>
  <c r="H885" i="31"/>
  <c r="K844" i="31"/>
  <c r="C163" i="27" s="1"/>
  <c r="I844" i="31"/>
  <c r="G843" i="31"/>
  <c r="K843" i="31"/>
  <c r="J843" i="31"/>
  <c r="H843" i="31"/>
  <c r="D891" i="31"/>
  <c r="F847" i="31"/>
  <c r="K847" i="31"/>
  <c r="G847" i="31"/>
  <c r="J847" i="31"/>
  <c r="D834" i="31"/>
  <c r="O859" i="31"/>
  <c r="I859" i="31"/>
  <c r="G859" i="31"/>
  <c r="K859" i="31"/>
  <c r="D57" i="32"/>
  <c r="J837" i="31"/>
  <c r="F837" i="31"/>
  <c r="H837" i="31"/>
  <c r="F835" i="31"/>
  <c r="H835" i="31"/>
  <c r="N875" i="31"/>
  <c r="I850" i="31"/>
  <c r="J835" i="31"/>
  <c r="G846" i="31"/>
  <c r="F859" i="31"/>
  <c r="G851" i="31"/>
  <c r="G885" i="31"/>
  <c r="J885" i="31"/>
  <c r="H865" i="31"/>
  <c r="J841" i="31"/>
  <c r="G844" i="31"/>
  <c r="F852" i="31"/>
  <c r="E870" i="31"/>
  <c r="D889" i="31"/>
  <c r="J889" i="31"/>
  <c r="I889" i="31"/>
  <c r="H889" i="31"/>
  <c r="F889" i="31"/>
  <c r="D893" i="31"/>
  <c r="F893" i="31"/>
  <c r="I893" i="31"/>
  <c r="G893" i="31"/>
  <c r="H893" i="31"/>
  <c r="D877" i="31"/>
  <c r="K841" i="31"/>
  <c r="H841" i="31"/>
  <c r="I841" i="31"/>
  <c r="F841" i="31"/>
  <c r="I845" i="31"/>
  <c r="H845" i="31"/>
  <c r="J845" i="31"/>
  <c r="D876" i="31"/>
  <c r="G858" i="31"/>
  <c r="J858" i="31"/>
  <c r="K858" i="31"/>
  <c r="H858" i="31"/>
  <c r="J842" i="31"/>
  <c r="H842" i="31"/>
  <c r="I842" i="31"/>
  <c r="F842" i="31"/>
  <c r="G842" i="31"/>
  <c r="J839" i="31"/>
  <c r="F839" i="31"/>
  <c r="H839" i="31"/>
  <c r="G838" i="31"/>
  <c r="I838" i="31"/>
  <c r="K838" i="31"/>
  <c r="O832" i="31"/>
  <c r="E832" i="31"/>
  <c r="D832" i="31"/>
  <c r="K835" i="31"/>
  <c r="I835" i="31"/>
  <c r="G835" i="31"/>
  <c r="J865" i="31"/>
  <c r="G852" i="31"/>
  <c r="K852" i="31"/>
  <c r="J887" i="31"/>
  <c r="H850" i="31"/>
  <c r="K846" i="31"/>
  <c r="H836" i="31"/>
  <c r="H859" i="31"/>
  <c r="I851" i="31"/>
  <c r="I885" i="31"/>
  <c r="K845" i="31"/>
  <c r="G889" i="31"/>
  <c r="F851" i="31"/>
  <c r="K849" i="31"/>
  <c r="H840" i="31"/>
  <c r="F848" i="31"/>
  <c r="F845" i="31"/>
  <c r="I847" i="31"/>
  <c r="J849" i="31"/>
  <c r="F858" i="31"/>
  <c r="J838" i="31"/>
  <c r="D64" i="32"/>
  <c r="I758" i="31"/>
  <c r="G754" i="31"/>
  <c r="I744" i="31"/>
  <c r="G879" i="31" s="1"/>
  <c r="M735" i="31"/>
  <c r="L744" i="31"/>
  <c r="I753" i="31"/>
  <c r="G753" i="31"/>
  <c r="F107" i="32"/>
  <c r="M717" i="31"/>
  <c r="F758" i="31"/>
  <c r="F57" i="32"/>
  <c r="I735" i="31"/>
  <c r="J720" i="31"/>
  <c r="L738" i="31"/>
  <c r="K706" i="31"/>
  <c r="L699" i="31"/>
  <c r="M869" i="31"/>
  <c r="M707" i="31"/>
  <c r="K724" i="31"/>
  <c r="M711" i="31"/>
  <c r="K734" i="31"/>
  <c r="L703" i="31"/>
  <c r="O869" i="31"/>
  <c r="J700" i="31"/>
  <c r="F931" i="35"/>
  <c r="J723" i="31"/>
  <c r="B63" i="27"/>
  <c r="E36" i="38"/>
  <c r="D192" i="33"/>
  <c r="G736" i="31"/>
  <c r="E91" i="32" s="1"/>
  <c r="I736" i="31"/>
  <c r="K731" i="31"/>
  <c r="G710" i="31"/>
  <c r="M879" i="31"/>
  <c r="N853" i="31"/>
  <c r="O853" i="31"/>
  <c r="L853" i="31"/>
  <c r="B73" i="32"/>
  <c r="M853" i="31"/>
  <c r="B455" i="35"/>
  <c r="F736" i="31"/>
  <c r="H736" i="31"/>
  <c r="D853" i="31"/>
  <c r="I702" i="31"/>
  <c r="G702" i="31"/>
  <c r="M720" i="31"/>
  <c r="C198" i="33"/>
  <c r="B827" i="33" s="1"/>
  <c r="G827" i="33" s="1"/>
  <c r="K708" i="31"/>
  <c r="K744" i="31"/>
  <c r="F738" i="31"/>
  <c r="H702" i="31"/>
  <c r="F702" i="31"/>
  <c r="F728" i="31"/>
  <c r="H728" i="31"/>
  <c r="M731" i="31"/>
  <c r="M714" i="31"/>
  <c r="M866" i="31"/>
  <c r="J708" i="31"/>
  <c r="F726" i="31"/>
  <c r="K754" i="31"/>
  <c r="O879" i="31"/>
  <c r="M752" i="31"/>
  <c r="F746" i="31"/>
  <c r="L711" i="31"/>
  <c r="L881" i="31"/>
  <c r="K748" i="31"/>
  <c r="K751" i="31"/>
  <c r="J698" i="31"/>
  <c r="K698" i="31"/>
  <c r="N879" i="31"/>
  <c r="I704" i="31"/>
  <c r="G728" i="31"/>
  <c r="E83" i="32" s="1"/>
  <c r="I728" i="31"/>
  <c r="H747" i="31"/>
  <c r="F747" i="31"/>
  <c r="I747" i="31"/>
  <c r="G747" i="31"/>
  <c r="H735" i="31"/>
  <c r="H870" i="31" s="1"/>
  <c r="H756" i="31"/>
  <c r="F698" i="31"/>
  <c r="J833" i="31" s="1"/>
  <c r="B152" i="27" s="1"/>
  <c r="F724" i="31"/>
  <c r="F754" i="31"/>
  <c r="H699" i="31"/>
  <c r="I699" i="31"/>
  <c r="G707" i="31"/>
  <c r="I707" i="31"/>
  <c r="G752" i="31"/>
  <c r="I752" i="31"/>
  <c r="H734" i="31"/>
  <c r="F734" i="31"/>
  <c r="H706" i="31"/>
  <c r="F706" i="31"/>
  <c r="I723" i="31"/>
  <c r="G723" i="31"/>
  <c r="F720" i="31"/>
  <c r="H720" i="31"/>
  <c r="M722" i="31"/>
  <c r="K722" i="31"/>
  <c r="L869" i="31"/>
  <c r="J712" i="31"/>
  <c r="L748" i="31"/>
  <c r="L879" i="31"/>
  <c r="K747" i="31"/>
  <c r="M882" i="31"/>
  <c r="O882" i="31"/>
  <c r="M747" i="31"/>
  <c r="L747" i="31"/>
  <c r="J747" i="31"/>
  <c r="L882" i="31"/>
  <c r="N882" i="31"/>
  <c r="K494" i="35"/>
  <c r="L494" i="35" s="1"/>
  <c r="J716" i="31"/>
  <c r="M748" i="31"/>
  <c r="J748" i="31"/>
  <c r="J734" i="31"/>
  <c r="J754" i="31"/>
  <c r="J728" i="31"/>
  <c r="L728" i="31"/>
  <c r="L863" i="31"/>
  <c r="N863" i="31"/>
  <c r="N883" i="31"/>
  <c r="M883" i="31"/>
  <c r="M728" i="31"/>
  <c r="K728" i="31"/>
  <c r="M863" i="31"/>
  <c r="O863" i="31"/>
  <c r="K756" i="31"/>
  <c r="M756" i="31"/>
  <c r="L706" i="31"/>
  <c r="J706" i="31"/>
  <c r="J746" i="31"/>
  <c r="L746" i="31"/>
  <c r="M738" i="31"/>
  <c r="K738" i="31"/>
  <c r="O875" i="31"/>
  <c r="M740" i="31"/>
  <c r="K740" i="31"/>
  <c r="M723" i="31"/>
  <c r="M704" i="31"/>
  <c r="K704" i="31"/>
  <c r="M712" i="31"/>
  <c r="K712" i="31"/>
  <c r="M746" i="31"/>
  <c r="K746" i="31"/>
  <c r="L756" i="31"/>
  <c r="J756" i="31"/>
  <c r="N869" i="31"/>
  <c r="M726" i="31"/>
  <c r="K726" i="31"/>
  <c r="M881" i="31"/>
  <c r="M859" i="31"/>
  <c r="L834" i="31"/>
  <c r="D859" i="31"/>
  <c r="E192" i="33"/>
  <c r="L859" i="31"/>
  <c r="N859" i="31"/>
  <c r="B461" i="35"/>
  <c r="K544" i="35" s="1"/>
  <c r="B444" i="35"/>
  <c r="M842" i="31"/>
  <c r="B79" i="32"/>
  <c r="E79" i="32" s="1"/>
  <c r="E859" i="31"/>
  <c r="N842" i="31"/>
  <c r="D922" i="33"/>
  <c r="I892" i="35"/>
  <c r="B88" i="27"/>
  <c r="M834" i="31"/>
  <c r="N834" i="31"/>
  <c r="D964" i="33"/>
  <c r="C221" i="33"/>
  <c r="B850" i="33" s="1"/>
  <c r="G850" i="33" s="1"/>
  <c r="B1094" i="35"/>
  <c r="J869" i="35"/>
  <c r="K577" i="35"/>
  <c r="S65" i="38" s="1"/>
  <c r="M577" i="35"/>
  <c r="J577" i="35"/>
  <c r="R65" i="38" s="1"/>
  <c r="J892" i="35"/>
  <c r="L577" i="35"/>
  <c r="B960" i="35"/>
  <c r="C960" i="35"/>
  <c r="B1027" i="35"/>
  <c r="B221" i="33"/>
  <c r="C964" i="33"/>
  <c r="J554" i="35"/>
  <c r="R42" i="38" s="1"/>
  <c r="M855" i="31"/>
  <c r="E842" i="31"/>
  <c r="O842" i="31"/>
  <c r="B62" i="32"/>
  <c r="L554" i="35"/>
  <c r="L842" i="31"/>
  <c r="D842" i="31"/>
  <c r="B935" i="35"/>
  <c r="K452" i="35"/>
  <c r="L452" i="35" s="1"/>
  <c r="B1052" i="35"/>
  <c r="B198" i="33"/>
  <c r="N858" i="31"/>
  <c r="E851" i="31"/>
  <c r="B78" i="32"/>
  <c r="E78" i="32" s="1"/>
  <c r="B1002" i="35"/>
  <c r="D855" i="31"/>
  <c r="L855" i="31"/>
  <c r="E845" i="31"/>
  <c r="N845" i="31"/>
  <c r="B65" i="32"/>
  <c r="B447" i="35"/>
  <c r="B1114" i="35" s="1"/>
  <c r="E855" i="31"/>
  <c r="O855" i="31"/>
  <c r="B457" i="35"/>
  <c r="K540" i="35" s="1"/>
  <c r="L845" i="31"/>
  <c r="M858" i="31"/>
  <c r="B460" i="35"/>
  <c r="L858" i="31"/>
  <c r="D858" i="31"/>
  <c r="O858" i="31"/>
  <c r="B75" i="32"/>
  <c r="E75" i="32" s="1"/>
  <c r="E858" i="31"/>
  <c r="F77" i="32"/>
  <c r="J701" i="31"/>
  <c r="L701" i="31"/>
  <c r="K701" i="31"/>
  <c r="M701" i="31"/>
  <c r="F701" i="31"/>
  <c r="H701" i="31"/>
  <c r="F741" i="31"/>
  <c r="H741" i="31"/>
  <c r="M876" i="31"/>
  <c r="N876" i="31"/>
  <c r="B478" i="35"/>
  <c r="B944" i="35" s="1"/>
  <c r="B96" i="32"/>
  <c r="L876" i="31"/>
  <c r="O876" i="31"/>
  <c r="M836" i="31"/>
  <c r="B56" i="32"/>
  <c r="O836" i="31"/>
  <c r="B438" i="35"/>
  <c r="C904" i="35" s="1"/>
  <c r="N836" i="31"/>
  <c r="L836" i="31"/>
  <c r="I741" i="31"/>
  <c r="G741" i="31"/>
  <c r="K741" i="31"/>
  <c r="M741" i="31"/>
  <c r="I701" i="31"/>
  <c r="G701" i="31"/>
  <c r="E876" i="31"/>
  <c r="D836" i="31"/>
  <c r="L741" i="31"/>
  <c r="J741" i="31"/>
  <c r="I867" i="35"/>
  <c r="B1069" i="35"/>
  <c r="B918" i="35"/>
  <c r="K469" i="35"/>
  <c r="L469" i="35" s="1"/>
  <c r="I850" i="35"/>
  <c r="B1119" i="35"/>
  <c r="C935" i="35"/>
  <c r="B985" i="35"/>
  <c r="C918" i="35"/>
  <c r="D870" i="31"/>
  <c r="M845" i="31"/>
  <c r="O845" i="31"/>
  <c r="D845" i="31"/>
  <c r="L833" i="31"/>
  <c r="B53" i="32"/>
  <c r="E53" i="32" s="1"/>
  <c r="O833" i="31"/>
  <c r="M833" i="31"/>
  <c r="B435" i="35"/>
  <c r="N833" i="31"/>
  <c r="E833" i="31"/>
  <c r="E877" i="31"/>
  <c r="B436" i="35"/>
  <c r="B54" i="32"/>
  <c r="E834" i="31"/>
  <c r="D833" i="31"/>
  <c r="E886" i="31"/>
  <c r="L841" i="31"/>
  <c r="O841" i="31"/>
  <c r="N841" i="31"/>
  <c r="B443" i="35"/>
  <c r="M841" i="31"/>
  <c r="B61" i="32"/>
  <c r="E841" i="31"/>
  <c r="D841" i="31"/>
  <c r="C186" i="33"/>
  <c r="B815" i="33" s="1"/>
  <c r="G815" i="33" s="1"/>
  <c r="D929" i="33"/>
  <c r="B81" i="32"/>
  <c r="B463" i="35"/>
  <c r="M861" i="31"/>
  <c r="O861" i="31"/>
  <c r="N861" i="31"/>
  <c r="L861" i="31"/>
  <c r="K535" i="35"/>
  <c r="S23" i="38" s="1"/>
  <c r="J850" i="35"/>
  <c r="M535" i="35"/>
  <c r="O870" i="31"/>
  <c r="B472" i="35"/>
  <c r="N870" i="31"/>
  <c r="B90" i="32"/>
  <c r="L870" i="31"/>
  <c r="M870" i="31"/>
  <c r="B111" i="32"/>
  <c r="B493" i="35"/>
  <c r="O891" i="31"/>
  <c r="L891" i="31"/>
  <c r="M891" i="31"/>
  <c r="N891" i="31"/>
  <c r="L889" i="31"/>
  <c r="B491" i="35"/>
  <c r="C957" i="35" s="1"/>
  <c r="B109" i="32"/>
  <c r="M889" i="31"/>
  <c r="O889" i="31"/>
  <c r="N889" i="31"/>
  <c r="E889" i="31"/>
  <c r="M893" i="31"/>
  <c r="O893" i="31"/>
  <c r="B113" i="32"/>
  <c r="B495" i="35"/>
  <c r="J578" i="35" s="1"/>
  <c r="N893" i="31"/>
  <c r="L893" i="31"/>
  <c r="C929" i="33"/>
  <c r="B186" i="33"/>
  <c r="G77" i="32"/>
  <c r="L885" i="31"/>
  <c r="B487" i="35"/>
  <c r="I885" i="35" s="1"/>
  <c r="O885" i="31"/>
  <c r="B105" i="32"/>
  <c r="N885" i="31"/>
  <c r="M885" i="31"/>
  <c r="D885" i="31"/>
  <c r="E885" i="31"/>
  <c r="B196" i="33"/>
  <c r="C939" i="33"/>
  <c r="E179" i="33"/>
  <c r="F179" i="33" s="1"/>
  <c r="F70" i="32"/>
  <c r="E891" i="31"/>
  <c r="E893" i="31"/>
  <c r="L847" i="31"/>
  <c r="D847" i="31"/>
  <c r="M847" i="31"/>
  <c r="O847" i="31"/>
  <c r="B449" i="35"/>
  <c r="K449" i="35" s="1"/>
  <c r="L449" i="35" s="1"/>
  <c r="N847" i="31"/>
  <c r="B67" i="32"/>
  <c r="N873" i="31"/>
  <c r="B475" i="35"/>
  <c r="B93" i="32"/>
  <c r="O873" i="31"/>
  <c r="M873" i="31"/>
  <c r="E873" i="31"/>
  <c r="L873" i="31"/>
  <c r="B106" i="32"/>
  <c r="B488" i="35"/>
  <c r="B1155" i="35" s="1"/>
  <c r="M886" i="31"/>
  <c r="O886" i="31"/>
  <c r="L886" i="31"/>
  <c r="N886" i="31"/>
  <c r="M542" i="35"/>
  <c r="K542" i="35"/>
  <c r="S30" i="38" s="1"/>
  <c r="J857" i="35"/>
  <c r="N851" i="31"/>
  <c r="B71" i="32"/>
  <c r="L851" i="31"/>
  <c r="M851" i="31"/>
  <c r="O851" i="31"/>
  <c r="B453" i="35"/>
  <c r="I851" i="35" s="1"/>
  <c r="E847" i="31"/>
  <c r="G70" i="32"/>
  <c r="L843" i="31"/>
  <c r="E843" i="31"/>
  <c r="B63" i="32"/>
  <c r="M843" i="31"/>
  <c r="D843" i="31"/>
  <c r="O843" i="31"/>
  <c r="N843" i="31"/>
  <c r="B445" i="35"/>
  <c r="J528" i="35" s="1"/>
  <c r="K552" i="35"/>
  <c r="M552" i="35" s="1"/>
  <c r="J867" i="35"/>
  <c r="L552" i="35"/>
  <c r="J552" i="35"/>
  <c r="R40" i="38" s="1"/>
  <c r="E861" i="31"/>
  <c r="D939" i="33"/>
  <c r="C196" i="33"/>
  <c r="B825" i="33" s="1"/>
  <c r="G825" i="33" s="1"/>
  <c r="D861" i="31"/>
  <c r="N877" i="31"/>
  <c r="B97" i="32"/>
  <c r="L877" i="31"/>
  <c r="B479" i="35"/>
  <c r="K479" i="35" s="1"/>
  <c r="L479" i="35" s="1"/>
  <c r="M877" i="31"/>
  <c r="O877" i="31"/>
  <c r="D873" i="31"/>
  <c r="D946" i="33"/>
  <c r="L745" i="31"/>
  <c r="J745" i="31"/>
  <c r="F745" i="31"/>
  <c r="H745" i="31"/>
  <c r="K745" i="31"/>
  <c r="M745" i="31"/>
  <c r="I745" i="31"/>
  <c r="G745" i="31"/>
  <c r="N880" i="31"/>
  <c r="D880" i="31"/>
  <c r="O880" i="31"/>
  <c r="B100" i="32"/>
  <c r="L880" i="31"/>
  <c r="E880" i="31"/>
  <c r="B482" i="35"/>
  <c r="B76" i="27" s="1"/>
  <c r="M880" i="31"/>
  <c r="D910" i="33"/>
  <c r="C167" i="33"/>
  <c r="L860" i="31"/>
  <c r="O860" i="31"/>
  <c r="M860" i="31"/>
  <c r="N860" i="31"/>
  <c r="L872" i="31"/>
  <c r="O872" i="31"/>
  <c r="M872" i="31"/>
  <c r="N872" i="31"/>
  <c r="L862" i="31"/>
  <c r="M862" i="31"/>
  <c r="O862" i="31"/>
  <c r="N862" i="31"/>
  <c r="B456" i="35"/>
  <c r="K539" i="35" s="1"/>
  <c r="L854" i="31"/>
  <c r="O854" i="31"/>
  <c r="M854" i="31"/>
  <c r="N854" i="31"/>
  <c r="L878" i="31"/>
  <c r="M878" i="31"/>
  <c r="O878" i="31"/>
  <c r="N878" i="31"/>
  <c r="B80" i="32"/>
  <c r="M727" i="31"/>
  <c r="K727" i="31"/>
  <c r="I727" i="31"/>
  <c r="G727" i="31"/>
  <c r="K743" i="31"/>
  <c r="M743" i="31"/>
  <c r="B464" i="35"/>
  <c r="B82" i="32"/>
  <c r="E82" i="32" s="1"/>
  <c r="D862" i="31"/>
  <c r="E862" i="31"/>
  <c r="B480" i="35"/>
  <c r="E878" i="31"/>
  <c r="B98" i="32"/>
  <c r="L727" i="31"/>
  <c r="J727" i="31"/>
  <c r="J743" i="31"/>
  <c r="L743" i="31"/>
  <c r="H727" i="31"/>
  <c r="F727" i="31"/>
  <c r="F743" i="31"/>
  <c r="H743" i="31"/>
  <c r="G743" i="31"/>
  <c r="I743" i="31"/>
  <c r="D878" i="31"/>
  <c r="E166" i="33"/>
  <c r="F166" i="33" s="1"/>
  <c r="M523" i="35"/>
  <c r="K523" i="35"/>
  <c r="M537" i="35"/>
  <c r="K537" i="35"/>
  <c r="S25" i="38" s="1"/>
  <c r="E10" i="38"/>
  <c r="B193" i="33"/>
  <c r="D936" i="33"/>
  <c r="D854" i="31"/>
  <c r="E854" i="31"/>
  <c r="D924" i="33"/>
  <c r="E872" i="31"/>
  <c r="E860" i="31"/>
  <c r="D860" i="31"/>
  <c r="D872" i="31"/>
  <c r="B181" i="33"/>
  <c r="L179" i="32"/>
  <c r="AP44" i="38"/>
  <c r="AQ44" i="38" s="1"/>
  <c r="AC44" i="38"/>
  <c r="AD44" i="38" s="1"/>
  <c r="G72" i="32"/>
  <c r="B74" i="32"/>
  <c r="F58" i="32"/>
  <c r="J838" i="35"/>
  <c r="G58" i="32"/>
  <c r="F72" i="32"/>
  <c r="J852" i="35"/>
  <c r="E167" i="33"/>
  <c r="F167" i="33" s="1"/>
  <c r="C910" i="33"/>
  <c r="B462" i="35"/>
  <c r="I1065" i="35"/>
  <c r="J572" i="35"/>
  <c r="B175" i="33"/>
  <c r="B173" i="33"/>
  <c r="C916" i="33"/>
  <c r="C946" i="33"/>
  <c r="B203" i="33"/>
  <c r="J535" i="35"/>
  <c r="L549" i="35"/>
  <c r="J549" i="35"/>
  <c r="R37" i="38" s="1"/>
  <c r="J864" i="35"/>
  <c r="J844" i="35"/>
  <c r="D907" i="33"/>
  <c r="L559" i="35"/>
  <c r="J559" i="35"/>
  <c r="R47" i="38" s="1"/>
  <c r="J874" i="35"/>
  <c r="B92" i="32"/>
  <c r="B474" i="35"/>
  <c r="K557" i="35" s="1"/>
  <c r="D916" i="33"/>
  <c r="M529" i="35"/>
  <c r="F52" i="27"/>
  <c r="B1134" i="35"/>
  <c r="L1134" i="35" s="1"/>
  <c r="K467" i="35"/>
  <c r="L467" i="35" s="1"/>
  <c r="D1000" i="35"/>
  <c r="B61" i="27"/>
  <c r="B1067" i="35"/>
  <c r="B933" i="35"/>
  <c r="I865" i="35"/>
  <c r="K865" i="35" s="1"/>
  <c r="L865" i="35" s="1"/>
  <c r="C933" i="35"/>
  <c r="I737" i="31"/>
  <c r="G737" i="31"/>
  <c r="M737" i="31"/>
  <c r="K737" i="31"/>
  <c r="L719" i="31"/>
  <c r="J719" i="31"/>
  <c r="M719" i="31"/>
  <c r="K719" i="31"/>
  <c r="I725" i="31"/>
  <c r="G725" i="31"/>
  <c r="L737" i="31"/>
  <c r="J737" i="31"/>
  <c r="I719" i="31"/>
  <c r="G719" i="31"/>
  <c r="M725" i="31"/>
  <c r="K725" i="31"/>
  <c r="H719" i="31"/>
  <c r="F719" i="31"/>
  <c r="F725" i="31"/>
  <c r="H725" i="31"/>
  <c r="F737" i="31"/>
  <c r="H737" i="31"/>
  <c r="L725" i="31"/>
  <c r="J725" i="31"/>
  <c r="K607" i="31"/>
  <c r="I607" i="31"/>
  <c r="L607" i="31"/>
  <c r="N607" i="31"/>
  <c r="K595" i="31"/>
  <c r="I595" i="31"/>
  <c r="M589" i="31"/>
  <c r="O589" i="31"/>
  <c r="L595" i="31"/>
  <c r="N595" i="31"/>
  <c r="J595" i="31"/>
  <c r="H595" i="31"/>
  <c r="L589" i="31"/>
  <c r="N589" i="31"/>
  <c r="M607" i="31"/>
  <c r="O607" i="31"/>
  <c r="M595" i="31"/>
  <c r="O595" i="31"/>
  <c r="J607" i="31"/>
  <c r="H607" i="31"/>
  <c r="J589" i="31"/>
  <c r="H589" i="31"/>
  <c r="K589" i="31"/>
  <c r="I589" i="31"/>
  <c r="B259" i="27"/>
  <c r="K863" i="35"/>
  <c r="L863" i="35" s="1"/>
  <c r="B1071" i="35"/>
  <c r="S10" i="38"/>
  <c r="G931" i="35"/>
  <c r="B987" i="35"/>
  <c r="D987" i="35" s="1"/>
  <c r="C920" i="35"/>
  <c r="B920" i="35"/>
  <c r="B1054" i="35"/>
  <c r="B1121" i="35"/>
  <c r="I852" i="35"/>
  <c r="B48" i="27"/>
  <c r="K454" i="35"/>
  <c r="L454" i="35" s="1"/>
  <c r="B1090" i="35"/>
  <c r="B1126" i="35"/>
  <c r="B53" i="27"/>
  <c r="B1059" i="35"/>
  <c r="K459" i="35"/>
  <c r="L459" i="35" s="1"/>
  <c r="I857" i="35"/>
  <c r="B992" i="35"/>
  <c r="B925" i="35"/>
  <c r="C925" i="35"/>
  <c r="B246" i="27"/>
  <c r="B1106" i="35"/>
  <c r="B33" i="27"/>
  <c r="K439" i="35"/>
  <c r="L439" i="35" s="1"/>
  <c r="B1039" i="35"/>
  <c r="B972" i="35"/>
  <c r="I837" i="35"/>
  <c r="C905" i="35"/>
  <c r="B905" i="35"/>
  <c r="B1040" i="35"/>
  <c r="K440" i="35"/>
  <c r="L440" i="35" s="1"/>
  <c r="M1208" i="35" l="1"/>
  <c r="L1208" i="35"/>
  <c r="E1208" i="35"/>
  <c r="F1208" i="35"/>
  <c r="L1214" i="35"/>
  <c r="M1214" i="35"/>
  <c r="F1214" i="35"/>
  <c r="E1214" i="35"/>
  <c r="D1073" i="35"/>
  <c r="I1089" i="35"/>
  <c r="D1071" i="35"/>
  <c r="D1069" i="35"/>
  <c r="D1067" i="35"/>
  <c r="D1094" i="35"/>
  <c r="C846" i="33"/>
  <c r="C832" i="33"/>
  <c r="C827" i="33"/>
  <c r="E11" i="38"/>
  <c r="B796" i="33"/>
  <c r="G796" i="33" s="1"/>
  <c r="C810" i="33"/>
  <c r="C802" i="33"/>
  <c r="C825" i="33"/>
  <c r="C829" i="33"/>
  <c r="C821" i="33"/>
  <c r="C822" i="33"/>
  <c r="C795" i="33"/>
  <c r="C814" i="33"/>
  <c r="C823" i="33"/>
  <c r="C850" i="33"/>
  <c r="C815" i="33"/>
  <c r="F57" i="38"/>
  <c r="B842" i="33"/>
  <c r="G842" i="33" s="1"/>
  <c r="C808" i="33"/>
  <c r="H763" i="33"/>
  <c r="D763" i="33"/>
  <c r="K755" i="33"/>
  <c r="J755" i="33"/>
  <c r="K192" i="33"/>
  <c r="C755" i="33" s="1"/>
  <c r="L755" i="33" s="1"/>
  <c r="B680" i="33"/>
  <c r="H680" i="33" s="1"/>
  <c r="D196" i="33"/>
  <c r="B759" i="33"/>
  <c r="D198" i="33"/>
  <c r="B761" i="33"/>
  <c r="D166" i="33"/>
  <c r="B654" i="33" s="1"/>
  <c r="H654" i="33" s="1"/>
  <c r="B729" i="33"/>
  <c r="D186" i="33"/>
  <c r="B674" i="33" s="1"/>
  <c r="H674" i="33" s="1"/>
  <c r="B749" i="33"/>
  <c r="D185" i="33"/>
  <c r="B748" i="33"/>
  <c r="E38" i="38"/>
  <c r="B757" i="33"/>
  <c r="D167" i="33"/>
  <c r="B655" i="33" s="1"/>
  <c r="H655" i="33" s="1"/>
  <c r="B730" i="33"/>
  <c r="D175" i="33"/>
  <c r="B663" i="33" s="1"/>
  <c r="H663" i="33" s="1"/>
  <c r="B738" i="33"/>
  <c r="D181" i="33"/>
  <c r="B669" i="33" s="1"/>
  <c r="H669" i="33" s="1"/>
  <c r="B744" i="33"/>
  <c r="D193" i="33"/>
  <c r="B756" i="33"/>
  <c r="D173" i="33"/>
  <c r="B661" i="33" s="1"/>
  <c r="H661" i="33" s="1"/>
  <c r="B736" i="33"/>
  <c r="D221" i="33"/>
  <c r="B576" i="33" s="1"/>
  <c r="B784" i="33"/>
  <c r="D179" i="33"/>
  <c r="L467" i="33" s="1"/>
  <c r="B742" i="33"/>
  <c r="F748" i="33"/>
  <c r="D213" i="33"/>
  <c r="B701" i="33" s="1"/>
  <c r="H701" i="33" s="1"/>
  <c r="B776" i="33"/>
  <c r="D203" i="33"/>
  <c r="B766" i="33"/>
  <c r="I928" i="33"/>
  <c r="J928" i="33" s="1"/>
  <c r="E23" i="38"/>
  <c r="AO754" i="46"/>
  <c r="AS1200" i="46"/>
  <c r="AS1198" i="46"/>
  <c r="AS1201" i="46"/>
  <c r="AS1196" i="46"/>
  <c r="Y1197" i="46"/>
  <c r="I1198" i="46" s="1"/>
  <c r="AS1199" i="46"/>
  <c r="W1195" i="46"/>
  <c r="X1199" i="46"/>
  <c r="I1200" i="46" s="1"/>
  <c r="I1203" i="46" s="1"/>
  <c r="P1210" i="46" s="1"/>
  <c r="U1210" i="46" s="1"/>
  <c r="K1212" i="46" s="1"/>
  <c r="AS1202" i="46"/>
  <c r="AS1197" i="46"/>
  <c r="AJ981" i="46"/>
  <c r="Q1138" i="46" s="1"/>
  <c r="S1122" i="46"/>
  <c r="T942" i="46"/>
  <c r="I909" i="33"/>
  <c r="J909" i="33" s="1"/>
  <c r="E57" i="38"/>
  <c r="E194" i="33"/>
  <c r="F194" i="33" s="1"/>
  <c r="J194" i="33" s="1"/>
  <c r="I415" i="33" s="1"/>
  <c r="S630" i="45"/>
  <c r="K451" i="45"/>
  <c r="AJ451" i="45" s="1"/>
  <c r="O371" i="45"/>
  <c r="U416" i="45"/>
  <c r="Y417" i="45"/>
  <c r="Z416" i="45"/>
  <c r="AC416" i="45"/>
  <c r="Q458" i="45"/>
  <c r="C183" i="33"/>
  <c r="B812" i="33" s="1"/>
  <c r="G812" i="33" s="1"/>
  <c r="C206" i="33"/>
  <c r="B835" i="33" s="1"/>
  <c r="G835" i="33" s="1"/>
  <c r="C184" i="33"/>
  <c r="B813" i="33" s="1"/>
  <c r="G813" i="33" s="1"/>
  <c r="B188" i="33"/>
  <c r="B751" i="33" s="1"/>
  <c r="L210" i="35"/>
  <c r="J1111" i="35" s="1"/>
  <c r="C948" i="33"/>
  <c r="L209" i="35"/>
  <c r="C949" i="33"/>
  <c r="B949" i="33" s="1"/>
  <c r="E949" i="33" s="1"/>
  <c r="L261" i="35"/>
  <c r="L220" i="35"/>
  <c r="L253" i="35"/>
  <c r="J1154" i="35" s="1"/>
  <c r="L211" i="35"/>
  <c r="L212" i="35"/>
  <c r="C912" i="33"/>
  <c r="B210" i="33"/>
  <c r="E210" i="33" s="1"/>
  <c r="F210" i="33" s="1"/>
  <c r="J431" i="33" s="1"/>
  <c r="C938" i="33"/>
  <c r="B938" i="33" s="1"/>
  <c r="E938" i="33" s="1"/>
  <c r="L256" i="35"/>
  <c r="C177" i="33"/>
  <c r="B806" i="33" s="1"/>
  <c r="G806" i="33" s="1"/>
  <c r="C212" i="33"/>
  <c r="B841" i="33" s="1"/>
  <c r="G841" i="33" s="1"/>
  <c r="C178" i="33"/>
  <c r="B807" i="33" s="1"/>
  <c r="G807" i="33" s="1"/>
  <c r="L245" i="35"/>
  <c r="B178" i="33"/>
  <c r="D951" i="33"/>
  <c r="C907" i="33"/>
  <c r="B907" i="33" s="1"/>
  <c r="C189" i="33"/>
  <c r="B818" i="33" s="1"/>
  <c r="G818" i="33" s="1"/>
  <c r="C926" i="33"/>
  <c r="C191" i="33"/>
  <c r="B820" i="33" s="1"/>
  <c r="G820" i="33" s="1"/>
  <c r="D923" i="33"/>
  <c r="L207" i="35"/>
  <c r="J1108" i="35" s="1"/>
  <c r="B222" i="33"/>
  <c r="L203" i="35"/>
  <c r="L223" i="35"/>
  <c r="B215" i="33"/>
  <c r="L204" i="35"/>
  <c r="L208" i="35"/>
  <c r="J1109" i="35" s="1"/>
  <c r="L255" i="35"/>
  <c r="C955" i="33"/>
  <c r="B955" i="33" s="1"/>
  <c r="E955" i="33" s="1"/>
  <c r="C169" i="33"/>
  <c r="B798" i="33" s="1"/>
  <c r="G798" i="33" s="1"/>
  <c r="B204" i="33"/>
  <c r="C204" i="33"/>
  <c r="B833" i="33" s="1"/>
  <c r="G833" i="33" s="1"/>
  <c r="L243" i="35"/>
  <c r="L214" i="35"/>
  <c r="B208" i="33"/>
  <c r="B771" i="33" s="1"/>
  <c r="C918" i="33"/>
  <c r="B918" i="33" s="1"/>
  <c r="C164" i="33"/>
  <c r="B793" i="33" s="1"/>
  <c r="G793" i="33" s="1"/>
  <c r="C201" i="33"/>
  <c r="B830" i="33" s="1"/>
  <c r="G830" i="33" s="1"/>
  <c r="C927" i="33"/>
  <c r="L213" i="35"/>
  <c r="L219" i="35"/>
  <c r="C904" i="33"/>
  <c r="L257" i="35"/>
  <c r="C961" i="33"/>
  <c r="B961" i="33" s="1"/>
  <c r="E961" i="33" s="1"/>
  <c r="C906" i="33"/>
  <c r="B906" i="33" s="1"/>
  <c r="E906" i="33" s="1"/>
  <c r="L215" i="35"/>
  <c r="L217" i="35"/>
  <c r="L218" i="35"/>
  <c r="L221" i="35"/>
  <c r="B180" i="33"/>
  <c r="D925" i="33"/>
  <c r="C168" i="33"/>
  <c r="B797" i="33" s="1"/>
  <c r="G797" i="33" s="1"/>
  <c r="L224" i="35"/>
  <c r="C940" i="33"/>
  <c r="B940" i="33" s="1"/>
  <c r="E940" i="33" s="1"/>
  <c r="F940" i="33" s="1"/>
  <c r="F760" i="33" s="1"/>
  <c r="C197" i="33"/>
  <c r="B826" i="33" s="1"/>
  <c r="G826" i="33" s="1"/>
  <c r="C175" i="33"/>
  <c r="C216" i="33"/>
  <c r="B845" i="33" s="1"/>
  <c r="G845" i="33" s="1"/>
  <c r="C207" i="33"/>
  <c r="B836" i="33" s="1"/>
  <c r="G836" i="33" s="1"/>
  <c r="C215" i="33"/>
  <c r="C942" i="33"/>
  <c r="B942" i="33" s="1"/>
  <c r="E942" i="33" s="1"/>
  <c r="D931" i="33"/>
  <c r="L226" i="35"/>
  <c r="L216" i="35"/>
  <c r="C161" i="33"/>
  <c r="B790" i="33" s="1"/>
  <c r="G790" i="33" s="1"/>
  <c r="C199" i="33"/>
  <c r="B828" i="33" s="1"/>
  <c r="G828" i="33" s="1"/>
  <c r="L227" i="35"/>
  <c r="L205" i="35"/>
  <c r="J1106" i="35" s="1"/>
  <c r="L1106" i="35" s="1"/>
  <c r="C963" i="33"/>
  <c r="L254" i="35"/>
  <c r="L206" i="35"/>
  <c r="J1107" i="35" s="1"/>
  <c r="L225" i="35"/>
  <c r="C165" i="33"/>
  <c r="B794" i="33" s="1"/>
  <c r="G794" i="33" s="1"/>
  <c r="C195" i="33"/>
  <c r="B824" i="33" s="1"/>
  <c r="G824" i="33" s="1"/>
  <c r="D953" i="33"/>
  <c r="B177" i="33"/>
  <c r="L233" i="35"/>
  <c r="M233" i="35" s="1"/>
  <c r="AJ233" i="35" s="1"/>
  <c r="C959" i="33"/>
  <c r="B959" i="33" s="1"/>
  <c r="E959" i="33" s="1"/>
  <c r="D194" i="33"/>
  <c r="B682" i="33" s="1"/>
  <c r="H682" i="33" s="1"/>
  <c r="F38" i="38"/>
  <c r="J407" i="35"/>
  <c r="L258" i="35"/>
  <c r="J1159" i="35" s="1"/>
  <c r="G66" i="32"/>
  <c r="E107" i="32"/>
  <c r="K490" i="35"/>
  <c r="L490" i="35" s="1"/>
  <c r="G883" i="31"/>
  <c r="B956" i="35"/>
  <c r="B1157" i="35"/>
  <c r="C956" i="35"/>
  <c r="B84" i="27"/>
  <c r="B284" i="27" s="1"/>
  <c r="M531" i="35"/>
  <c r="B216" i="33"/>
  <c r="E60" i="38" s="1"/>
  <c r="I888" i="35"/>
  <c r="J846" i="35"/>
  <c r="J108" i="32"/>
  <c r="B217" i="33"/>
  <c r="B780" i="33" s="1"/>
  <c r="C960" i="33"/>
  <c r="B960" i="33" s="1"/>
  <c r="E960" i="33" s="1"/>
  <c r="J888" i="35"/>
  <c r="M573" i="35"/>
  <c r="K573" i="35"/>
  <c r="S61" i="38" s="1"/>
  <c r="E108" i="32"/>
  <c r="G55" i="32"/>
  <c r="G87" i="32"/>
  <c r="F104" i="32"/>
  <c r="J104" i="32" s="1"/>
  <c r="B164" i="33"/>
  <c r="F66" i="32"/>
  <c r="L108" i="32"/>
  <c r="C208" i="33"/>
  <c r="B837" i="33" s="1"/>
  <c r="G837" i="33" s="1"/>
  <c r="F883" i="31"/>
  <c r="H108" i="32"/>
  <c r="J877" i="31"/>
  <c r="B196" i="27" s="1"/>
  <c r="J866" i="31"/>
  <c r="B185" i="27" s="1"/>
  <c r="I864" i="31"/>
  <c r="K481" i="35"/>
  <c r="L481" i="35" s="1"/>
  <c r="J835" i="35"/>
  <c r="C947" i="35"/>
  <c r="B903" i="35"/>
  <c r="D918" i="33"/>
  <c r="J879" i="35"/>
  <c r="B1148" i="35"/>
  <c r="L1148" i="35" s="1"/>
  <c r="I879" i="35"/>
  <c r="B75" i="27"/>
  <c r="B275" i="27" s="1"/>
  <c r="M520" i="35"/>
  <c r="J564" i="35"/>
  <c r="R52" i="38" s="1"/>
  <c r="B1014" i="35"/>
  <c r="D1014" i="35" s="1"/>
  <c r="B947" i="35"/>
  <c r="M564" i="35"/>
  <c r="F84" i="32"/>
  <c r="L84" i="32" s="1"/>
  <c r="B1081" i="35"/>
  <c r="L564" i="35"/>
  <c r="J864" i="31"/>
  <c r="B183" i="27" s="1"/>
  <c r="C921" i="33"/>
  <c r="B921" i="33" s="1"/>
  <c r="D921" i="33"/>
  <c r="K832" i="31"/>
  <c r="C151" i="27" s="1"/>
  <c r="E95" i="32"/>
  <c r="F955" i="35"/>
  <c r="F55" i="32"/>
  <c r="H55" i="32" s="1"/>
  <c r="L553" i="35"/>
  <c r="J881" i="35"/>
  <c r="C209" i="27"/>
  <c r="E93" i="32"/>
  <c r="D920" i="33"/>
  <c r="I875" i="31"/>
  <c r="D55" i="32"/>
  <c r="I892" i="31"/>
  <c r="E84" i="32"/>
  <c r="E112" i="32"/>
  <c r="J553" i="35"/>
  <c r="R41" i="38" s="1"/>
  <c r="G864" i="31"/>
  <c r="K864" i="31"/>
  <c r="C183" i="27" s="1"/>
  <c r="G892" i="31"/>
  <c r="G955" i="35"/>
  <c r="J868" i="35"/>
  <c r="I1073" i="35"/>
  <c r="H877" i="31"/>
  <c r="H892" i="31"/>
  <c r="C340" i="33"/>
  <c r="M517" i="35"/>
  <c r="B540" i="33"/>
  <c r="L566" i="35"/>
  <c r="M568" i="35"/>
  <c r="F69" i="32"/>
  <c r="L69" i="32" s="1"/>
  <c r="K887" i="35"/>
  <c r="L887" i="35" s="1"/>
  <c r="C958" i="35"/>
  <c r="F29" i="38"/>
  <c r="K833" i="31"/>
  <c r="C152" i="27" s="1"/>
  <c r="G833" i="31"/>
  <c r="B607" i="33"/>
  <c r="J434" i="33"/>
  <c r="M534" i="35"/>
  <c r="J849" i="35"/>
  <c r="E29" i="38"/>
  <c r="L473" i="33"/>
  <c r="M473" i="33" s="1"/>
  <c r="G112" i="32"/>
  <c r="G104" i="32"/>
  <c r="B45" i="27"/>
  <c r="E168" i="27" s="1"/>
  <c r="E185" i="33"/>
  <c r="F185" i="33" s="1"/>
  <c r="J185" i="33" s="1"/>
  <c r="G95" i="32"/>
  <c r="B340" i="33"/>
  <c r="I832" i="35"/>
  <c r="B1025" i="35"/>
  <c r="D1025" i="35" s="1"/>
  <c r="G69" i="32"/>
  <c r="F112" i="32"/>
  <c r="B407" i="35"/>
  <c r="F88" i="32"/>
  <c r="E1089" i="35"/>
  <c r="E407" i="35"/>
  <c r="B1280" i="35"/>
  <c r="Z44" i="38" s="1"/>
  <c r="H286" i="27"/>
  <c r="B283" i="27"/>
  <c r="J283" i="27" s="1"/>
  <c r="D407" i="35"/>
  <c r="G407" i="35"/>
  <c r="E69" i="32"/>
  <c r="D363" i="35"/>
  <c r="H407" i="35"/>
  <c r="I924" i="33"/>
  <c r="J924" i="33" s="1"/>
  <c r="H363" i="35"/>
  <c r="C407" i="35"/>
  <c r="H864" i="31"/>
  <c r="B1159" i="35"/>
  <c r="B1299" i="35" s="1"/>
  <c r="Z63" i="38" s="1"/>
  <c r="J1115" i="35"/>
  <c r="M214" i="35"/>
  <c r="AJ214" i="35" s="1"/>
  <c r="K450" i="35"/>
  <c r="L450" i="35" s="1"/>
  <c r="M533" i="35"/>
  <c r="C363" i="35"/>
  <c r="F864" i="31"/>
  <c r="F868" i="31"/>
  <c r="M575" i="35"/>
  <c r="J890" i="35"/>
  <c r="G363" i="35"/>
  <c r="I363" i="35"/>
  <c r="H242" i="27"/>
  <c r="B1092" i="35"/>
  <c r="I922" i="33"/>
  <c r="J922" i="33" s="1"/>
  <c r="H868" i="31"/>
  <c r="F60" i="32"/>
  <c r="D88" i="32"/>
  <c r="I890" i="35"/>
  <c r="K492" i="35"/>
  <c r="L492" i="35" s="1"/>
  <c r="E363" i="35"/>
  <c r="J363" i="35"/>
  <c r="B363" i="35"/>
  <c r="B958" i="35"/>
  <c r="F874" i="31"/>
  <c r="B86" i="27"/>
  <c r="B286" i="27" s="1"/>
  <c r="J286" i="27" s="1"/>
  <c r="F939" i="35"/>
  <c r="K939" i="35" s="1"/>
  <c r="F110" i="32"/>
  <c r="F103" i="32"/>
  <c r="J883" i="35"/>
  <c r="L568" i="35"/>
  <c r="F68" i="32"/>
  <c r="J566" i="35"/>
  <c r="R54" i="38" s="1"/>
  <c r="M566" i="35"/>
  <c r="AM29" i="38"/>
  <c r="L517" i="35"/>
  <c r="K568" i="35"/>
  <c r="S56" i="38" s="1"/>
  <c r="K871" i="35"/>
  <c r="L871" i="35" s="1"/>
  <c r="K342" i="33"/>
  <c r="L342" i="33" s="1"/>
  <c r="H926" i="35"/>
  <c r="I926" i="35" s="1"/>
  <c r="H913" i="35"/>
  <c r="I913" i="35" s="1"/>
  <c r="H919" i="35"/>
  <c r="I919" i="35" s="1"/>
  <c r="G31" i="27"/>
  <c r="C154" i="27"/>
  <c r="G34" i="27"/>
  <c r="C157" i="27"/>
  <c r="H907" i="35"/>
  <c r="I907" i="35" s="1"/>
  <c r="G54" i="27"/>
  <c r="C177" i="27"/>
  <c r="F41" i="27"/>
  <c r="B164" i="27"/>
  <c r="F73" i="27"/>
  <c r="H957" i="35"/>
  <c r="I957" i="35" s="1"/>
  <c r="F31" i="27"/>
  <c r="B154" i="27"/>
  <c r="K321" i="33"/>
  <c r="L321" i="33" s="1"/>
  <c r="H905" i="35"/>
  <c r="I905" i="35" s="1"/>
  <c r="F43" i="27"/>
  <c r="B166" i="27"/>
  <c r="G49" i="27"/>
  <c r="C172" i="27"/>
  <c r="G63" i="27"/>
  <c r="C186" i="27"/>
  <c r="L186" i="27" s="1"/>
  <c r="G47" i="27"/>
  <c r="C170" i="27"/>
  <c r="G52" i="27"/>
  <c r="AG29" i="38" s="1"/>
  <c r="C175" i="27"/>
  <c r="F49" i="27"/>
  <c r="AG26" i="38" s="1"/>
  <c r="B172" i="27"/>
  <c r="F53" i="27"/>
  <c r="B176" i="27"/>
  <c r="L176" i="27" s="1"/>
  <c r="F89" i="27"/>
  <c r="B212" i="27"/>
  <c r="G84" i="27"/>
  <c r="C207" i="27"/>
  <c r="F84" i="27"/>
  <c r="B207" i="27"/>
  <c r="G35" i="27"/>
  <c r="C158" i="27"/>
  <c r="H916" i="35"/>
  <c r="I916" i="35" s="1"/>
  <c r="F61" i="27"/>
  <c r="B184" i="27"/>
  <c r="F35" i="27"/>
  <c r="B158" i="27"/>
  <c r="F54" i="27"/>
  <c r="B177" i="27"/>
  <c r="F37" i="27"/>
  <c r="B160" i="27"/>
  <c r="F33" i="27"/>
  <c r="AG10" i="38" s="1"/>
  <c r="B156" i="27"/>
  <c r="L156" i="27" s="1"/>
  <c r="H917" i="35"/>
  <c r="I917" i="35" s="1"/>
  <c r="F32" i="27"/>
  <c r="B155" i="27"/>
  <c r="F46" i="27"/>
  <c r="B169" i="27"/>
  <c r="G83" i="27"/>
  <c r="C206" i="27"/>
  <c r="H923" i="35"/>
  <c r="I923" i="35" s="1"/>
  <c r="G51" i="27"/>
  <c r="C174" i="27"/>
  <c r="F82" i="27"/>
  <c r="B205" i="27"/>
  <c r="F44" i="27"/>
  <c r="B167" i="27"/>
  <c r="G82" i="27"/>
  <c r="C205" i="27"/>
  <c r="H956" i="35"/>
  <c r="I956" i="35" s="1"/>
  <c r="G88" i="27"/>
  <c r="C211" i="27"/>
  <c r="L211" i="27" s="1"/>
  <c r="H958" i="35"/>
  <c r="I958" i="35" s="1"/>
  <c r="H914" i="35"/>
  <c r="I914" i="35" s="1"/>
  <c r="F45" i="27"/>
  <c r="B168" i="27"/>
  <c r="G41" i="27"/>
  <c r="C164" i="27"/>
  <c r="F83" i="27"/>
  <c r="B206" i="27"/>
  <c r="F38" i="27"/>
  <c r="B161" i="27"/>
  <c r="G37" i="27"/>
  <c r="C160" i="27"/>
  <c r="H961" i="35"/>
  <c r="I961" i="35" s="1"/>
  <c r="H927" i="35"/>
  <c r="I927" i="35" s="1"/>
  <c r="H903" i="35"/>
  <c r="I903" i="35" s="1"/>
  <c r="G43" i="27"/>
  <c r="C166" i="27"/>
  <c r="F39" i="27"/>
  <c r="B162" i="27"/>
  <c r="G81" i="27"/>
  <c r="C204" i="27"/>
  <c r="K370" i="33"/>
  <c r="L370" i="33" s="1"/>
  <c r="H954" i="35"/>
  <c r="I954" i="35" s="1"/>
  <c r="F51" i="27"/>
  <c r="B174" i="27"/>
  <c r="H918" i="35"/>
  <c r="I918" i="35" s="1"/>
  <c r="H921" i="35"/>
  <c r="I921" i="35" s="1"/>
  <c r="G53" i="27"/>
  <c r="C176" i="27"/>
  <c r="F36" i="27"/>
  <c r="B159" i="27"/>
  <c r="G36" i="27"/>
  <c r="C159" i="27"/>
  <c r="F48" i="27"/>
  <c r="B171" i="27"/>
  <c r="F55" i="27"/>
  <c r="B178" i="27"/>
  <c r="G89" i="27"/>
  <c r="C212" i="27"/>
  <c r="G61" i="27"/>
  <c r="C184" i="27"/>
  <c r="L184" i="27" s="1"/>
  <c r="G38" i="27"/>
  <c r="C161" i="27"/>
  <c r="F86" i="27"/>
  <c r="AF63" i="38" s="1"/>
  <c r="B209" i="27"/>
  <c r="F42" i="27"/>
  <c r="B165" i="27"/>
  <c r="F34" i="27"/>
  <c r="B157" i="27"/>
  <c r="G45" i="27"/>
  <c r="C168" i="27"/>
  <c r="G42" i="27"/>
  <c r="C165" i="27"/>
  <c r="G48" i="27"/>
  <c r="C171" i="27"/>
  <c r="H910" i="35"/>
  <c r="I910" i="35" s="1"/>
  <c r="K325" i="33"/>
  <c r="L325" i="33" s="1"/>
  <c r="H909" i="35"/>
  <c r="I909" i="35" s="1"/>
  <c r="F85" i="27"/>
  <c r="B208" i="27"/>
  <c r="H920" i="35"/>
  <c r="I920" i="35" s="1"/>
  <c r="F81" i="27"/>
  <c r="B204" i="27"/>
  <c r="G55" i="27"/>
  <c r="C178" i="27"/>
  <c r="H915" i="35"/>
  <c r="I915" i="35" s="1"/>
  <c r="G39" i="27"/>
  <c r="C162" i="27"/>
  <c r="H953" i="35"/>
  <c r="I953" i="35" s="1"/>
  <c r="H911" i="35"/>
  <c r="I911" i="35" s="1"/>
  <c r="H906" i="35"/>
  <c r="I906" i="35" s="1"/>
  <c r="H925" i="35"/>
  <c r="I925" i="35" s="1"/>
  <c r="H904" i="35"/>
  <c r="I904" i="35" s="1"/>
  <c r="H908" i="35"/>
  <c r="I908" i="35" s="1"/>
  <c r="G46" i="27"/>
  <c r="C169" i="27"/>
  <c r="H955" i="35"/>
  <c r="I955" i="35" s="1"/>
  <c r="G32" i="27"/>
  <c r="C155" i="27"/>
  <c r="F47" i="27"/>
  <c r="B170" i="27"/>
  <c r="H912" i="35"/>
  <c r="I912" i="35" s="1"/>
  <c r="G85" i="27"/>
  <c r="C208" i="27"/>
  <c r="G44" i="27"/>
  <c r="C167" i="27"/>
  <c r="H924" i="35"/>
  <c r="I924" i="35" s="1"/>
  <c r="E176" i="27"/>
  <c r="E199" i="27"/>
  <c r="E190" i="27"/>
  <c r="E207" i="27"/>
  <c r="E171" i="27"/>
  <c r="E211" i="27"/>
  <c r="E186" i="27"/>
  <c r="E156" i="27"/>
  <c r="E184" i="27"/>
  <c r="I937" i="33"/>
  <c r="J937" i="33" s="1"/>
  <c r="E937" i="33"/>
  <c r="F937" i="33" s="1"/>
  <c r="F757" i="33" s="1"/>
  <c r="I941" i="33"/>
  <c r="J941" i="33" s="1"/>
  <c r="E941" i="33"/>
  <c r="F941" i="33" s="1"/>
  <c r="F761" i="33" s="1"/>
  <c r="K331" i="33"/>
  <c r="L331" i="33" s="1"/>
  <c r="K327" i="33"/>
  <c r="L327" i="33" s="1"/>
  <c r="K320" i="33"/>
  <c r="L320" i="33" s="1"/>
  <c r="K326" i="33"/>
  <c r="L326" i="33" s="1"/>
  <c r="J1121" i="35"/>
  <c r="L1121" i="35" s="1"/>
  <c r="K336" i="33"/>
  <c r="L336" i="33" s="1"/>
  <c r="G402" i="35"/>
  <c r="K369" i="33"/>
  <c r="L369" i="33" s="1"/>
  <c r="K322" i="33"/>
  <c r="L322" i="33" s="1"/>
  <c r="J1126" i="35"/>
  <c r="L1126" i="35" s="1"/>
  <c r="K341" i="33"/>
  <c r="L341" i="33" s="1"/>
  <c r="K324" i="33"/>
  <c r="L324" i="33" s="1"/>
  <c r="J1156" i="35"/>
  <c r="L1156" i="35" s="1"/>
  <c r="K371" i="33"/>
  <c r="L371" i="33" s="1"/>
  <c r="J1113" i="35"/>
  <c r="K328" i="33"/>
  <c r="L328" i="33" s="1"/>
  <c r="I407" i="35"/>
  <c r="K374" i="33"/>
  <c r="L374" i="33" s="1"/>
  <c r="F416" i="33"/>
  <c r="F440" i="33"/>
  <c r="F431" i="33"/>
  <c r="H362" i="35"/>
  <c r="K329" i="33"/>
  <c r="L329" i="33" s="1"/>
  <c r="E368" i="35"/>
  <c r="K335" i="33"/>
  <c r="L335" i="33" s="1"/>
  <c r="H356" i="35"/>
  <c r="K323" i="33"/>
  <c r="L323" i="33" s="1"/>
  <c r="K373" i="33"/>
  <c r="L373" i="33" s="1"/>
  <c r="C477" i="35"/>
  <c r="J166" i="33"/>
  <c r="J387" i="33"/>
  <c r="J1117" i="35"/>
  <c r="K332" i="33"/>
  <c r="L332" i="33" s="1"/>
  <c r="E366" i="35"/>
  <c r="K333" i="33"/>
  <c r="L333" i="33" s="1"/>
  <c r="J1124" i="35"/>
  <c r="K339" i="33"/>
  <c r="L339" i="33" s="1"/>
  <c r="J517" i="35"/>
  <c r="R5" i="38" s="1"/>
  <c r="J1125" i="35"/>
  <c r="K340" i="33"/>
  <c r="L340" i="33" s="1"/>
  <c r="F425" i="33"/>
  <c r="F433" i="33"/>
  <c r="K330" i="33"/>
  <c r="L330" i="33" s="1"/>
  <c r="J167" i="33"/>
  <c r="J388" i="33"/>
  <c r="J179" i="33"/>
  <c r="K179" i="33" s="1"/>
  <c r="J400" i="33"/>
  <c r="M495" i="35"/>
  <c r="K377" i="33"/>
  <c r="L377" i="33" s="1"/>
  <c r="J1128" i="35"/>
  <c r="K343" i="33"/>
  <c r="L343" i="33" s="1"/>
  <c r="J1104" i="35"/>
  <c r="K319" i="33"/>
  <c r="L319" i="33" s="1"/>
  <c r="J1119" i="35"/>
  <c r="L1119" i="35" s="1"/>
  <c r="K334" i="33"/>
  <c r="L334" i="33" s="1"/>
  <c r="K337" i="33"/>
  <c r="L337" i="33" s="1"/>
  <c r="J1157" i="35"/>
  <c r="L1157" i="35" s="1"/>
  <c r="K372" i="33"/>
  <c r="L372" i="33" s="1"/>
  <c r="B382" i="35"/>
  <c r="J832" i="35"/>
  <c r="I382" i="35"/>
  <c r="H382" i="35"/>
  <c r="J892" i="31"/>
  <c r="D112" i="32"/>
  <c r="J832" i="31"/>
  <c r="B151" i="27" s="1"/>
  <c r="G382" i="35"/>
  <c r="F892" i="31"/>
  <c r="D52" i="32"/>
  <c r="I936" i="33"/>
  <c r="J936" i="33" s="1"/>
  <c r="D940" i="33"/>
  <c r="G832" i="31"/>
  <c r="G110" i="32"/>
  <c r="G88" i="32"/>
  <c r="I866" i="31"/>
  <c r="I956" i="33"/>
  <c r="J956" i="33" s="1"/>
  <c r="B197" i="33"/>
  <c r="C219" i="33"/>
  <c r="B848" i="33" s="1"/>
  <c r="G848" i="33" s="1"/>
  <c r="D962" i="33"/>
  <c r="C947" i="33"/>
  <c r="B947" i="33" s="1"/>
  <c r="E947" i="33" s="1"/>
  <c r="B267" i="27"/>
  <c r="F956" i="33"/>
  <c r="F776" i="33" s="1"/>
  <c r="F936" i="33"/>
  <c r="F756" i="33" s="1"/>
  <c r="B951" i="33"/>
  <c r="F959" i="33"/>
  <c r="D110" i="32"/>
  <c r="E110" i="32"/>
  <c r="G68" i="32"/>
  <c r="F867" i="31"/>
  <c r="F91" i="32"/>
  <c r="F884" i="31"/>
  <c r="J76" i="32"/>
  <c r="J884" i="31"/>
  <c r="H252" i="27"/>
  <c r="E382" i="35"/>
  <c r="C382" i="35"/>
  <c r="H884" i="31"/>
  <c r="H261" i="27"/>
  <c r="D382" i="35"/>
  <c r="B373" i="35"/>
  <c r="J382" i="35"/>
  <c r="F87" i="32"/>
  <c r="L87" i="32" s="1"/>
  <c r="H866" i="31"/>
  <c r="B1050" i="35"/>
  <c r="E102" i="32"/>
  <c r="I832" i="31"/>
  <c r="C916" i="35"/>
  <c r="D942" i="33"/>
  <c r="J875" i="31"/>
  <c r="H875" i="31"/>
  <c r="B1117" i="35"/>
  <c r="B1257" i="35" s="1"/>
  <c r="Z21" i="38" s="1"/>
  <c r="D86" i="32"/>
  <c r="F85" i="32"/>
  <c r="AM38" i="38" s="1"/>
  <c r="B219" i="33"/>
  <c r="B782" i="33" s="1"/>
  <c r="C962" i="33"/>
  <c r="I877" i="31"/>
  <c r="E373" i="35"/>
  <c r="F95" i="32"/>
  <c r="J95" i="32" s="1"/>
  <c r="D373" i="35"/>
  <c r="J373" i="35"/>
  <c r="J848" i="35"/>
  <c r="H373" i="35"/>
  <c r="D955" i="33"/>
  <c r="F866" i="31"/>
  <c r="G373" i="35"/>
  <c r="C373" i="35"/>
  <c r="I373" i="35"/>
  <c r="I366" i="35"/>
  <c r="G103" i="32"/>
  <c r="D68" i="32"/>
  <c r="K434" i="35"/>
  <c r="K877" i="31"/>
  <c r="J867" i="31"/>
  <c r="D908" i="33"/>
  <c r="F879" i="31"/>
  <c r="G877" i="31"/>
  <c r="B916" i="35"/>
  <c r="I848" i="35"/>
  <c r="J533" i="35"/>
  <c r="R21" i="38" s="1"/>
  <c r="H867" i="31"/>
  <c r="G91" i="32"/>
  <c r="D954" i="33"/>
  <c r="C211" i="33"/>
  <c r="B840" i="33" s="1"/>
  <c r="G840" i="33" s="1"/>
  <c r="B211" i="33"/>
  <c r="B774" i="33" s="1"/>
  <c r="C954" i="33"/>
  <c r="K567" i="35"/>
  <c r="S55" i="38" s="1"/>
  <c r="L567" i="35"/>
  <c r="B1084" i="35"/>
  <c r="B1017" i="35"/>
  <c r="D1017" i="35" s="1"/>
  <c r="B1151" i="35"/>
  <c r="L1151" i="35" s="1"/>
  <c r="J567" i="35"/>
  <c r="R55" i="38" s="1"/>
  <c r="J882" i="35"/>
  <c r="I882" i="35"/>
  <c r="K484" i="35"/>
  <c r="L484" i="35" s="1"/>
  <c r="M567" i="35"/>
  <c r="B78" i="27"/>
  <c r="B950" i="35"/>
  <c r="C950" i="35"/>
  <c r="B943" i="33"/>
  <c r="B983" i="35"/>
  <c r="D983" i="35" s="1"/>
  <c r="B44" i="27"/>
  <c r="B244" i="27" s="1"/>
  <c r="G881" i="31"/>
  <c r="E101" i="32"/>
  <c r="M556" i="35"/>
  <c r="E200" i="33"/>
  <c r="F200" i="33" s="1"/>
  <c r="J421" i="33" s="1"/>
  <c r="D200" i="33"/>
  <c r="F44" i="38"/>
  <c r="E44" i="38"/>
  <c r="C920" i="33"/>
  <c r="G101" i="32"/>
  <c r="G86" i="32"/>
  <c r="D938" i="33"/>
  <c r="C210" i="33"/>
  <c r="B839" i="33" s="1"/>
  <c r="G839" i="33" s="1"/>
  <c r="E100" i="32"/>
  <c r="F59" i="32"/>
  <c r="AM12" i="38" s="1"/>
  <c r="B1246" i="35"/>
  <c r="Z10" i="38" s="1"/>
  <c r="B1266" i="35"/>
  <c r="Z30" i="38" s="1"/>
  <c r="B1274" i="35"/>
  <c r="Z38" i="38" s="1"/>
  <c r="B1259" i="35"/>
  <c r="Z23" i="38" s="1"/>
  <c r="B1261" i="35"/>
  <c r="Z25" i="38" s="1"/>
  <c r="D912" i="33"/>
  <c r="H76" i="32"/>
  <c r="B1295" i="35"/>
  <c r="Z59" i="38" s="1"/>
  <c r="B1254" i="35"/>
  <c r="Z18" i="38" s="1"/>
  <c r="F75" i="32"/>
  <c r="D947" i="33"/>
  <c r="B1297" i="35"/>
  <c r="Z61" i="38" s="1"/>
  <c r="C923" i="33"/>
  <c r="B220" i="33"/>
  <c r="K551" i="35"/>
  <c r="E1052" i="35"/>
  <c r="I1069" i="35"/>
  <c r="M1388" i="35"/>
  <c r="N1388" i="35" s="1"/>
  <c r="L1454" i="35" s="1"/>
  <c r="M1454" i="35" s="1"/>
  <c r="B424" i="33"/>
  <c r="L491" i="33"/>
  <c r="M491" i="33" s="1"/>
  <c r="B417" i="33"/>
  <c r="L484" i="33"/>
  <c r="M484" i="33" s="1"/>
  <c r="B419" i="33"/>
  <c r="L486" i="33"/>
  <c r="M486" i="33" s="1"/>
  <c r="B402" i="33"/>
  <c r="L469" i="33"/>
  <c r="M469" i="33" s="1"/>
  <c r="B413" i="33"/>
  <c r="L480" i="33"/>
  <c r="M480" i="33" s="1"/>
  <c r="B394" i="33"/>
  <c r="L461" i="33"/>
  <c r="M461" i="33" s="1"/>
  <c r="K874" i="31"/>
  <c r="K441" i="35"/>
  <c r="L441" i="35" s="1"/>
  <c r="I839" i="35"/>
  <c r="B35" i="27"/>
  <c r="C907" i="35"/>
  <c r="B907" i="35"/>
  <c r="J839" i="35"/>
  <c r="K524" i="35"/>
  <c r="S12" i="38" s="1"/>
  <c r="B974" i="35"/>
  <c r="D974" i="35" s="1"/>
  <c r="B1041" i="35"/>
  <c r="B1108" i="35"/>
  <c r="L551" i="35"/>
  <c r="J551" i="35"/>
  <c r="R39" i="38" s="1"/>
  <c r="E204" i="33"/>
  <c r="F204" i="33" s="1"/>
  <c r="J425" i="33" s="1"/>
  <c r="D352" i="35"/>
  <c r="G60" i="32"/>
  <c r="G405" i="35"/>
  <c r="I874" i="31"/>
  <c r="J405" i="35"/>
  <c r="H874" i="31"/>
  <c r="H245" i="27"/>
  <c r="D405" i="35"/>
  <c r="E405" i="35"/>
  <c r="H366" i="35"/>
  <c r="C405" i="35"/>
  <c r="B195" i="33"/>
  <c r="L560" i="35"/>
  <c r="G874" i="31"/>
  <c r="G366" i="35"/>
  <c r="B366" i="35"/>
  <c r="B405" i="35"/>
  <c r="C366" i="35"/>
  <c r="H405" i="35"/>
  <c r="J1118" i="35"/>
  <c r="C965" i="33"/>
  <c r="C953" i="33"/>
  <c r="L104" i="32"/>
  <c r="F86" i="32"/>
  <c r="D366" i="35"/>
  <c r="J366" i="35"/>
  <c r="H284" i="27"/>
  <c r="I405" i="35"/>
  <c r="J875" i="35"/>
  <c r="J560" i="35"/>
  <c r="R48" i="38" s="1"/>
  <c r="D59" i="32"/>
  <c r="F832" i="31"/>
  <c r="C392" i="35"/>
  <c r="I868" i="31"/>
  <c r="I392" i="35"/>
  <c r="C369" i="35"/>
  <c r="D911" i="33"/>
  <c r="G834" i="31"/>
  <c r="G392" i="35"/>
  <c r="J392" i="35"/>
  <c r="H248" i="27"/>
  <c r="H369" i="35"/>
  <c r="H392" i="35"/>
  <c r="G891" i="31"/>
  <c r="G865" i="31"/>
  <c r="K349" i="33" s="1"/>
  <c r="L349" i="33" s="1"/>
  <c r="G868" i="31"/>
  <c r="B392" i="35"/>
  <c r="E392" i="35"/>
  <c r="E369" i="35"/>
  <c r="G369" i="35"/>
  <c r="J369" i="35"/>
  <c r="I369" i="35"/>
  <c r="G54" i="32"/>
  <c r="I865" i="31"/>
  <c r="E88" i="32"/>
  <c r="D392" i="35"/>
  <c r="H271" i="27"/>
  <c r="B369" i="35"/>
  <c r="D369" i="35"/>
  <c r="L76" i="32"/>
  <c r="B168" i="33"/>
  <c r="B731" i="33" s="1"/>
  <c r="C911" i="33"/>
  <c r="B357" i="35"/>
  <c r="AM61" i="38"/>
  <c r="J874" i="31"/>
  <c r="F101" i="32"/>
  <c r="H832" i="31"/>
  <c r="K869" i="31"/>
  <c r="I869" i="31"/>
  <c r="G869" i="31"/>
  <c r="D357" i="35"/>
  <c r="H352" i="35"/>
  <c r="H236" i="27"/>
  <c r="I884" i="31"/>
  <c r="J357" i="35"/>
  <c r="E352" i="35"/>
  <c r="J352" i="35"/>
  <c r="H231" i="27"/>
  <c r="H357" i="35"/>
  <c r="E81" i="32"/>
  <c r="I357" i="35"/>
  <c r="B352" i="35"/>
  <c r="I352" i="35"/>
  <c r="D365" i="35"/>
  <c r="C357" i="35"/>
  <c r="C352" i="35"/>
  <c r="C404" i="35"/>
  <c r="G884" i="31"/>
  <c r="E357" i="35"/>
  <c r="G357" i="35"/>
  <c r="G352" i="35"/>
  <c r="G365" i="35"/>
  <c r="E355" i="35"/>
  <c r="D109" i="32"/>
  <c r="E109" i="32"/>
  <c r="D111" i="32"/>
  <c r="E111" i="32"/>
  <c r="E52" i="32"/>
  <c r="D106" i="32"/>
  <c r="E106" i="32"/>
  <c r="D56" i="32"/>
  <c r="E56" i="32"/>
  <c r="E96" i="32"/>
  <c r="D54" i="32"/>
  <c r="E54" i="32"/>
  <c r="D113" i="32"/>
  <c r="E113" i="32"/>
  <c r="K884" i="31"/>
  <c r="M1398" i="35"/>
  <c r="N1398" i="35" s="1"/>
  <c r="L1464" i="35" s="1"/>
  <c r="M1464" i="35" s="1"/>
  <c r="D105" i="32"/>
  <c r="E105" i="32"/>
  <c r="E98" i="32"/>
  <c r="D97" i="32"/>
  <c r="E97" i="32"/>
  <c r="E92" i="32"/>
  <c r="G89" i="32"/>
  <c r="D90" i="32"/>
  <c r="E90" i="32"/>
  <c r="E80" i="32"/>
  <c r="E74" i="32"/>
  <c r="D67" i="32"/>
  <c r="E67" i="32"/>
  <c r="D65" i="32"/>
  <c r="E65" i="32"/>
  <c r="D71" i="32"/>
  <c r="E71" i="32"/>
  <c r="D61" i="32"/>
  <c r="E61" i="32"/>
  <c r="D73" i="32"/>
  <c r="E73" i="32"/>
  <c r="D63" i="32"/>
  <c r="E63" i="32"/>
  <c r="D62" i="32"/>
  <c r="E62" i="32"/>
  <c r="D60" i="32"/>
  <c r="E60" i="32"/>
  <c r="B263" i="27"/>
  <c r="I404" i="35"/>
  <c r="G404" i="35"/>
  <c r="B212" i="33"/>
  <c r="G79" i="32"/>
  <c r="D81" i="32"/>
  <c r="F10" i="38"/>
  <c r="F36" i="38"/>
  <c r="B625" i="33"/>
  <c r="B558" i="33"/>
  <c r="B618" i="33"/>
  <c r="B551" i="33"/>
  <c r="B528" i="33"/>
  <c r="B595" i="33"/>
  <c r="B603" i="33"/>
  <c r="B536" i="33"/>
  <c r="B620" i="33"/>
  <c r="B553" i="33"/>
  <c r="B614" i="33"/>
  <c r="B547" i="33"/>
  <c r="B910" i="33"/>
  <c r="B904" i="33"/>
  <c r="E904" i="33" s="1"/>
  <c r="B948" i="33"/>
  <c r="E948" i="33" s="1"/>
  <c r="B912" i="33"/>
  <c r="E912" i="33" s="1"/>
  <c r="B926" i="33"/>
  <c r="E926" i="33" s="1"/>
  <c r="F192" i="33"/>
  <c r="J413" i="33" s="1"/>
  <c r="B927" i="33"/>
  <c r="E927" i="33" s="1"/>
  <c r="B365" i="35"/>
  <c r="I365" i="35"/>
  <c r="H365" i="35"/>
  <c r="E365" i="35"/>
  <c r="C182" i="33"/>
  <c r="B811" i="33" s="1"/>
  <c r="G811" i="33" s="1"/>
  <c r="H244" i="27"/>
  <c r="J365" i="35"/>
  <c r="B206" i="33"/>
  <c r="L57" i="32"/>
  <c r="F99" i="32"/>
  <c r="J99" i="32" s="1"/>
  <c r="D103" i="32"/>
  <c r="K870" i="31"/>
  <c r="J527" i="35"/>
  <c r="R15" i="38" s="1"/>
  <c r="B163" i="33"/>
  <c r="B404" i="35"/>
  <c r="D404" i="35"/>
  <c r="H404" i="35"/>
  <c r="H283" i="27"/>
  <c r="J404" i="35"/>
  <c r="C365" i="35"/>
  <c r="E404" i="35"/>
  <c r="F873" i="31"/>
  <c r="M525" i="35"/>
  <c r="J840" i="35"/>
  <c r="AM10" i="38"/>
  <c r="F834" i="31"/>
  <c r="H374" i="35"/>
  <c r="D904" i="33"/>
  <c r="H253" i="27"/>
  <c r="AM60" i="38"/>
  <c r="D93" i="32"/>
  <c r="C958" i="33"/>
  <c r="B205" i="33"/>
  <c r="B374" i="35"/>
  <c r="G374" i="35"/>
  <c r="H57" i="32"/>
  <c r="B218" i="33"/>
  <c r="J374" i="35"/>
  <c r="B169" i="33"/>
  <c r="B161" i="33"/>
  <c r="B724" i="33" s="1"/>
  <c r="J57" i="32"/>
  <c r="C367" i="35"/>
  <c r="D374" i="35"/>
  <c r="E374" i="35"/>
  <c r="C374" i="35"/>
  <c r="I374" i="35"/>
  <c r="L107" i="32"/>
  <c r="G854" i="31"/>
  <c r="K880" i="31"/>
  <c r="D96" i="32"/>
  <c r="I883" i="31"/>
  <c r="I879" i="31"/>
  <c r="J860" i="31"/>
  <c r="B179" i="27" s="1"/>
  <c r="H872" i="31"/>
  <c r="K872" i="31"/>
  <c r="C191" i="27" s="1"/>
  <c r="I878" i="31"/>
  <c r="J862" i="31"/>
  <c r="B181" i="27" s="1"/>
  <c r="H880" i="31"/>
  <c r="G876" i="31"/>
  <c r="J876" i="31"/>
  <c r="F891" i="31"/>
  <c r="K862" i="31"/>
  <c r="C181" i="27" s="1"/>
  <c r="H854" i="31"/>
  <c r="I860" i="31"/>
  <c r="J878" i="31"/>
  <c r="J879" i="31"/>
  <c r="D100" i="32"/>
  <c r="D53" i="32"/>
  <c r="K863" i="31"/>
  <c r="I863" i="31"/>
  <c r="G863" i="31"/>
  <c r="D101" i="32"/>
  <c r="J881" i="31"/>
  <c r="H881" i="31"/>
  <c r="F881" i="31"/>
  <c r="D83" i="32"/>
  <c r="F863" i="31"/>
  <c r="J863" i="31"/>
  <c r="H863" i="31"/>
  <c r="K871" i="31"/>
  <c r="G871" i="31"/>
  <c r="I871" i="31"/>
  <c r="K878" i="31"/>
  <c r="K876" i="31"/>
  <c r="F862" i="31"/>
  <c r="I854" i="31"/>
  <c r="K875" i="31"/>
  <c r="K834" i="31"/>
  <c r="K861" i="31"/>
  <c r="J891" i="31"/>
  <c r="F880" i="31"/>
  <c r="H878" i="31"/>
  <c r="K883" i="31"/>
  <c r="H873" i="31"/>
  <c r="G860" i="31"/>
  <c r="K881" i="31"/>
  <c r="I873" i="31"/>
  <c r="G861" i="31"/>
  <c r="D91" i="32"/>
  <c r="J871" i="31"/>
  <c r="F871" i="31"/>
  <c r="H871" i="31"/>
  <c r="H879" i="31"/>
  <c r="K879" i="31"/>
  <c r="I876" i="31"/>
  <c r="F876" i="31"/>
  <c r="G862" i="31"/>
  <c r="F854" i="31"/>
  <c r="J854" i="31"/>
  <c r="J880" i="31"/>
  <c r="G875" i="31"/>
  <c r="K359" i="33" s="1"/>
  <c r="L359" i="33" s="1"/>
  <c r="F861" i="31"/>
  <c r="H861" i="31"/>
  <c r="K891" i="31"/>
  <c r="G880" i="31"/>
  <c r="F878" i="31"/>
  <c r="F872" i="31"/>
  <c r="G866" i="31"/>
  <c r="K866" i="31"/>
  <c r="J883" i="31"/>
  <c r="F833" i="31"/>
  <c r="K873" i="31"/>
  <c r="F860" i="31"/>
  <c r="K860" i="31"/>
  <c r="C179" i="27" s="1"/>
  <c r="G872" i="31"/>
  <c r="J872" i="31"/>
  <c r="B191" i="27" s="1"/>
  <c r="I862" i="31"/>
  <c r="H860" i="31"/>
  <c r="H891" i="31"/>
  <c r="J873" i="31"/>
  <c r="H876" i="31"/>
  <c r="H862" i="31"/>
  <c r="K854" i="31"/>
  <c r="H833" i="31"/>
  <c r="J834" i="31"/>
  <c r="H834" i="31"/>
  <c r="I861" i="31"/>
  <c r="I891" i="31"/>
  <c r="G878" i="31"/>
  <c r="H883" i="31"/>
  <c r="I870" i="31"/>
  <c r="I881" i="31"/>
  <c r="I880" i="31"/>
  <c r="D102" i="32"/>
  <c r="H882" i="31"/>
  <c r="J882" i="31"/>
  <c r="F882" i="31"/>
  <c r="D82" i="32"/>
  <c r="F29" i="27"/>
  <c r="B288" i="27"/>
  <c r="D89" i="32"/>
  <c r="H869" i="31"/>
  <c r="F869" i="31"/>
  <c r="J869" i="31"/>
  <c r="K882" i="31"/>
  <c r="I882" i="31"/>
  <c r="G882" i="31"/>
  <c r="G870" i="31"/>
  <c r="F870" i="31"/>
  <c r="I834" i="31"/>
  <c r="J861" i="31"/>
  <c r="I872" i="31"/>
  <c r="G873" i="31"/>
  <c r="J870" i="31"/>
  <c r="B1044" i="35"/>
  <c r="K444" i="35"/>
  <c r="L444" i="35" s="1"/>
  <c r="J842" i="35"/>
  <c r="I842" i="35"/>
  <c r="D80" i="32"/>
  <c r="D75" i="32"/>
  <c r="B977" i="35"/>
  <c r="D977" i="35" s="1"/>
  <c r="B1111" i="35"/>
  <c r="D79" i="32"/>
  <c r="D98" i="32"/>
  <c r="D78" i="32"/>
  <c r="M527" i="35"/>
  <c r="B38" i="27"/>
  <c r="K527" i="35"/>
  <c r="S15" i="38" s="1"/>
  <c r="D74" i="32"/>
  <c r="D92" i="32"/>
  <c r="C355" i="35"/>
  <c r="F102" i="32"/>
  <c r="D367" i="35"/>
  <c r="E367" i="35"/>
  <c r="H367" i="35"/>
  <c r="J367" i="35"/>
  <c r="G367" i="35"/>
  <c r="I367" i="35"/>
  <c r="H246" i="27"/>
  <c r="B367" i="35"/>
  <c r="K931" i="35"/>
  <c r="L58" i="32"/>
  <c r="B355" i="35"/>
  <c r="F89" i="32"/>
  <c r="D355" i="35"/>
  <c r="H234" i="27"/>
  <c r="I355" i="35"/>
  <c r="J107" i="32"/>
  <c r="J355" i="35"/>
  <c r="G355" i="35"/>
  <c r="H355" i="35"/>
  <c r="G99" i="32"/>
  <c r="C359" i="35"/>
  <c r="I359" i="35"/>
  <c r="G73" i="32"/>
  <c r="B1020" i="35"/>
  <c r="D1020" i="35" s="1"/>
  <c r="B1049" i="35"/>
  <c r="D359" i="35"/>
  <c r="C351" i="33"/>
  <c r="B328" i="33"/>
  <c r="B351" i="33"/>
  <c r="C353" i="33"/>
  <c r="C336" i="33"/>
  <c r="C328" i="33"/>
  <c r="B1116" i="35"/>
  <c r="B336" i="33"/>
  <c r="C358" i="33"/>
  <c r="B359" i="35"/>
  <c r="E359" i="35"/>
  <c r="C347" i="33"/>
  <c r="B347" i="33"/>
  <c r="I847" i="35"/>
  <c r="B358" i="33"/>
  <c r="J359" i="35"/>
  <c r="H359" i="35"/>
  <c r="B353" i="33"/>
  <c r="H238" i="27"/>
  <c r="G359" i="35"/>
  <c r="F73" i="32"/>
  <c r="C901" i="35"/>
  <c r="H107" i="32"/>
  <c r="J1122" i="35"/>
  <c r="B370" i="35"/>
  <c r="I370" i="35"/>
  <c r="G370" i="35"/>
  <c r="J370" i="35"/>
  <c r="H370" i="35"/>
  <c r="H249" i="27"/>
  <c r="C370" i="35"/>
  <c r="E370" i="35"/>
  <c r="D370" i="35"/>
  <c r="B968" i="35"/>
  <c r="D968" i="35" s="1"/>
  <c r="F79" i="32"/>
  <c r="M538" i="35"/>
  <c r="J853" i="35"/>
  <c r="C921" i="35"/>
  <c r="B921" i="35"/>
  <c r="K538" i="35"/>
  <c r="S26" i="38" s="1"/>
  <c r="B1055" i="35"/>
  <c r="B1122" i="35"/>
  <c r="K455" i="35"/>
  <c r="L455" i="35" s="1"/>
  <c r="I853" i="35"/>
  <c r="B49" i="27"/>
  <c r="B988" i="35"/>
  <c r="J538" i="35"/>
  <c r="L538" i="35" s="1"/>
  <c r="C925" i="33"/>
  <c r="B182" i="33"/>
  <c r="B184" i="33"/>
  <c r="F54" i="32"/>
  <c r="I1052" i="35"/>
  <c r="C910" i="35"/>
  <c r="B910" i="35"/>
  <c r="G83" i="32"/>
  <c r="F83" i="32"/>
  <c r="I376" i="35"/>
  <c r="E376" i="35"/>
  <c r="C376" i="35"/>
  <c r="G376" i="35"/>
  <c r="H255" i="27"/>
  <c r="J376" i="35"/>
  <c r="H376" i="35"/>
  <c r="D376" i="35"/>
  <c r="B376" i="35"/>
  <c r="I356" i="35"/>
  <c r="E198" i="33"/>
  <c r="G102" i="32"/>
  <c r="G960" i="35"/>
  <c r="I1094" i="35"/>
  <c r="B47" i="27"/>
  <c r="K867" i="35"/>
  <c r="L867" i="35" s="1"/>
  <c r="K850" i="35"/>
  <c r="L850" i="35" s="1"/>
  <c r="F62" i="32"/>
  <c r="D949" i="33"/>
  <c r="C913" i="35"/>
  <c r="C180" i="33"/>
  <c r="G354" i="35"/>
  <c r="C354" i="35"/>
  <c r="H233" i="27"/>
  <c r="B354" i="35"/>
  <c r="J354" i="35"/>
  <c r="H354" i="35"/>
  <c r="I354" i="35"/>
  <c r="E354" i="35"/>
  <c r="D354" i="35"/>
  <c r="F960" i="35"/>
  <c r="J356" i="35"/>
  <c r="I402" i="35"/>
  <c r="G356" i="35"/>
  <c r="B356" i="35"/>
  <c r="C356" i="35"/>
  <c r="B55" i="27"/>
  <c r="C915" i="35"/>
  <c r="C931" i="33"/>
  <c r="C188" i="33"/>
  <c r="M544" i="35"/>
  <c r="E356" i="35"/>
  <c r="D356" i="35"/>
  <c r="G62" i="32"/>
  <c r="B915" i="35"/>
  <c r="B982" i="35"/>
  <c r="J859" i="35"/>
  <c r="H235" i="27"/>
  <c r="B1038" i="35"/>
  <c r="B957" i="35"/>
  <c r="G957" i="35" s="1"/>
  <c r="D1002" i="35"/>
  <c r="B1105" i="35"/>
  <c r="B1024" i="35"/>
  <c r="I889" i="35"/>
  <c r="K892" i="35"/>
  <c r="L892" i="35" s="1"/>
  <c r="B85" i="27"/>
  <c r="B362" i="35"/>
  <c r="D1027" i="35"/>
  <c r="G75" i="32"/>
  <c r="E221" i="33"/>
  <c r="F221" i="33" s="1"/>
  <c r="C926" i="35"/>
  <c r="B1127" i="35"/>
  <c r="D372" i="35"/>
  <c r="F935" i="35"/>
  <c r="B964" i="33"/>
  <c r="E65" i="38"/>
  <c r="C948" i="35"/>
  <c r="B913" i="35"/>
  <c r="B980" i="35"/>
  <c r="D980" i="35" s="1"/>
  <c r="J845" i="35"/>
  <c r="B171" i="33"/>
  <c r="C914" i="33"/>
  <c r="B948" i="35"/>
  <c r="K443" i="35"/>
  <c r="L443" i="35" s="1"/>
  <c r="B1047" i="35"/>
  <c r="E42" i="38"/>
  <c r="K530" i="35"/>
  <c r="S18" i="38" s="1"/>
  <c r="M530" i="35"/>
  <c r="C171" i="33"/>
  <c r="B800" i="33" s="1"/>
  <c r="G800" i="33" s="1"/>
  <c r="D914" i="33"/>
  <c r="B37" i="27"/>
  <c r="K447" i="35"/>
  <c r="L447" i="35" s="1"/>
  <c r="I845" i="35"/>
  <c r="B41" i="27"/>
  <c r="G368" i="35"/>
  <c r="J368" i="35"/>
  <c r="E362" i="35"/>
  <c r="J1114" i="35"/>
  <c r="L1114" i="35" s="1"/>
  <c r="I362" i="35"/>
  <c r="D362" i="35"/>
  <c r="C362" i="35"/>
  <c r="H241" i="27"/>
  <c r="G362" i="35"/>
  <c r="J362" i="35"/>
  <c r="I833" i="35"/>
  <c r="B1035" i="35"/>
  <c r="D1035" i="35" s="1"/>
  <c r="B29" i="27"/>
  <c r="B901" i="35"/>
  <c r="K435" i="35"/>
  <c r="L435" i="35" s="1"/>
  <c r="B1102" i="35"/>
  <c r="L1102" i="35" s="1"/>
  <c r="E372" i="35"/>
  <c r="H372" i="35"/>
  <c r="B199" i="33"/>
  <c r="B762" i="33" s="1"/>
  <c r="B54" i="27"/>
  <c r="I858" i="35"/>
  <c r="B926" i="35"/>
  <c r="B993" i="35"/>
  <c r="B1060" i="35"/>
  <c r="D985" i="35"/>
  <c r="K460" i="35"/>
  <c r="L460" i="35" s="1"/>
  <c r="F78" i="32"/>
  <c r="F65" i="32"/>
  <c r="J1120" i="35"/>
  <c r="H247" i="27"/>
  <c r="C368" i="35"/>
  <c r="B368" i="35"/>
  <c r="B82" i="27"/>
  <c r="B1091" i="35"/>
  <c r="I368" i="35"/>
  <c r="K488" i="35"/>
  <c r="L488" i="35" s="1"/>
  <c r="K491" i="35"/>
  <c r="L491" i="35" s="1"/>
  <c r="D927" i="33"/>
  <c r="H368" i="35"/>
  <c r="D368" i="35"/>
  <c r="F61" i="32"/>
  <c r="D917" i="33"/>
  <c r="C174" i="33"/>
  <c r="B803" i="33" s="1"/>
  <c r="G803" i="33" s="1"/>
  <c r="K438" i="35"/>
  <c r="L438" i="35" s="1"/>
  <c r="G372" i="35"/>
  <c r="J855" i="35"/>
  <c r="M540" i="35"/>
  <c r="L77" i="32"/>
  <c r="J1127" i="35"/>
  <c r="C375" i="35"/>
  <c r="G375" i="35"/>
  <c r="E375" i="35"/>
  <c r="I375" i="35"/>
  <c r="B375" i="35"/>
  <c r="H375" i="35"/>
  <c r="D375" i="35"/>
  <c r="H254" i="27"/>
  <c r="J375" i="35"/>
  <c r="C930" i="33"/>
  <c r="B187" i="33"/>
  <c r="I836" i="35"/>
  <c r="B32" i="27"/>
  <c r="B904" i="35"/>
  <c r="F904" i="35" s="1"/>
  <c r="H251" i="27"/>
  <c r="I372" i="35"/>
  <c r="B372" i="35"/>
  <c r="J854" i="35"/>
  <c r="C187" i="33"/>
  <c r="B816" i="33" s="1"/>
  <c r="G816" i="33" s="1"/>
  <c r="D930" i="33"/>
  <c r="J372" i="35"/>
  <c r="B971" i="35"/>
  <c r="D971" i="35" s="1"/>
  <c r="S40" i="38"/>
  <c r="C372" i="35"/>
  <c r="H77" i="32"/>
  <c r="G78" i="32"/>
  <c r="M543" i="35"/>
  <c r="J858" i="35"/>
  <c r="K543" i="35"/>
  <c r="S31" i="38" s="1"/>
  <c r="B1012" i="35"/>
  <c r="C410" i="35"/>
  <c r="F56" i="32"/>
  <c r="C945" i="35"/>
  <c r="B165" i="33"/>
  <c r="C908" i="33"/>
  <c r="K521" i="35"/>
  <c r="S9" i="38" s="1"/>
  <c r="J836" i="35"/>
  <c r="M521" i="35"/>
  <c r="K561" i="35"/>
  <c r="S49" i="38" s="1"/>
  <c r="L561" i="35"/>
  <c r="J876" i="35"/>
  <c r="J561" i="35"/>
  <c r="R49" i="38" s="1"/>
  <c r="M561" i="35"/>
  <c r="B73" i="27"/>
  <c r="I410" i="35"/>
  <c r="J1105" i="35"/>
  <c r="D353" i="35"/>
  <c r="H232" i="27"/>
  <c r="J353" i="35"/>
  <c r="C353" i="35"/>
  <c r="B353" i="35"/>
  <c r="H353" i="35"/>
  <c r="G353" i="35"/>
  <c r="E353" i="35"/>
  <c r="I353" i="35"/>
  <c r="D948" i="33"/>
  <c r="C205" i="33"/>
  <c r="B834" i="33" s="1"/>
  <c r="G834" i="33" s="1"/>
  <c r="G56" i="32"/>
  <c r="G96" i="32"/>
  <c r="F96" i="32"/>
  <c r="H281" i="27"/>
  <c r="G935" i="35"/>
  <c r="D958" i="33"/>
  <c r="B402" i="35"/>
  <c r="J402" i="35"/>
  <c r="E40" i="38"/>
  <c r="G918" i="35"/>
  <c r="D402" i="35"/>
  <c r="AM30" i="38"/>
  <c r="F53" i="32"/>
  <c r="F105" i="32"/>
  <c r="G113" i="32"/>
  <c r="B986" i="35"/>
  <c r="D986" i="35" s="1"/>
  <c r="B919" i="35"/>
  <c r="K453" i="35"/>
  <c r="L453" i="35" s="1"/>
  <c r="B954" i="35"/>
  <c r="M539" i="35"/>
  <c r="J410" i="35"/>
  <c r="H289" i="27"/>
  <c r="J1162" i="35"/>
  <c r="F918" i="35"/>
  <c r="B1053" i="35"/>
  <c r="B1120" i="35"/>
  <c r="B1021" i="35"/>
  <c r="D410" i="35"/>
  <c r="H410" i="35"/>
  <c r="B410" i="35"/>
  <c r="B1088" i="35"/>
  <c r="C954" i="35"/>
  <c r="E410" i="35"/>
  <c r="G410" i="35"/>
  <c r="G81" i="32"/>
  <c r="G61" i="32"/>
  <c r="I841" i="35"/>
  <c r="B1043" i="35"/>
  <c r="B1110" i="35"/>
  <c r="B1146" i="35"/>
  <c r="L1146" i="35" s="1"/>
  <c r="F106" i="32"/>
  <c r="F67" i="32"/>
  <c r="C909" i="35"/>
  <c r="B976" i="35"/>
  <c r="D976" i="35" s="1"/>
  <c r="I877" i="35"/>
  <c r="B945" i="35"/>
  <c r="B174" i="33"/>
  <c r="C917" i="33"/>
  <c r="B909" i="35"/>
  <c r="B1079" i="35"/>
  <c r="B1154" i="35"/>
  <c r="G65" i="32"/>
  <c r="J1110" i="35"/>
  <c r="H358" i="35"/>
  <c r="H237" i="27"/>
  <c r="I358" i="35"/>
  <c r="B358" i="35"/>
  <c r="J358" i="35"/>
  <c r="D358" i="35"/>
  <c r="E358" i="35"/>
  <c r="G358" i="35"/>
  <c r="C358" i="35"/>
  <c r="C913" i="33"/>
  <c r="B170" i="33"/>
  <c r="C905" i="33"/>
  <c r="B162" i="33"/>
  <c r="G93" i="32"/>
  <c r="G67" i="32"/>
  <c r="K519" i="35"/>
  <c r="S7" i="38" s="1"/>
  <c r="M519" i="35"/>
  <c r="L519" i="35"/>
  <c r="J519" i="35"/>
  <c r="R7" i="38" s="1"/>
  <c r="J834" i="35"/>
  <c r="C162" i="33"/>
  <c r="B791" i="33" s="1"/>
  <c r="G791" i="33" s="1"/>
  <c r="D905" i="33"/>
  <c r="G53" i="32"/>
  <c r="F63" i="32"/>
  <c r="F109" i="32"/>
  <c r="F90" i="32"/>
  <c r="K526" i="35"/>
  <c r="S14" i="38" s="1"/>
  <c r="J841" i="35"/>
  <c r="M526" i="35"/>
  <c r="I394" i="35"/>
  <c r="J394" i="35"/>
  <c r="C394" i="35"/>
  <c r="E394" i="35"/>
  <c r="G394" i="35"/>
  <c r="H273" i="27"/>
  <c r="H394" i="35"/>
  <c r="D394" i="35"/>
  <c r="M479" i="35"/>
  <c r="B394" i="35"/>
  <c r="G105" i="32"/>
  <c r="G109" i="32"/>
  <c r="C170" i="33"/>
  <c r="B799" i="33" s="1"/>
  <c r="G799" i="33" s="1"/>
  <c r="D913" i="33"/>
  <c r="C163" i="33"/>
  <c r="B792" i="33" s="1"/>
  <c r="G792" i="33" s="1"/>
  <c r="D906" i="33"/>
  <c r="K518" i="35"/>
  <c r="S6" i="38" s="1"/>
  <c r="J518" i="35"/>
  <c r="R6" i="38" s="1"/>
  <c r="M518" i="35"/>
  <c r="J833" i="35"/>
  <c r="L518" i="35"/>
  <c r="B172" i="33"/>
  <c r="C915" i="33"/>
  <c r="I179" i="33"/>
  <c r="B929" i="33"/>
  <c r="J891" i="35"/>
  <c r="B1160" i="35"/>
  <c r="L1160" i="35" s="1"/>
  <c r="B1093" i="35"/>
  <c r="K493" i="35"/>
  <c r="L493" i="35" s="1"/>
  <c r="C959" i="35"/>
  <c r="J576" i="35"/>
  <c r="R64" i="38" s="1"/>
  <c r="B87" i="27"/>
  <c r="B1026" i="35"/>
  <c r="I891" i="35"/>
  <c r="K576" i="35"/>
  <c r="S64" i="38" s="1"/>
  <c r="L576" i="35"/>
  <c r="M576" i="35"/>
  <c r="B959" i="35"/>
  <c r="C176" i="33"/>
  <c r="B805" i="33" s="1"/>
  <c r="G805" i="33" s="1"/>
  <c r="D919" i="33"/>
  <c r="K536" i="35"/>
  <c r="S24" i="38" s="1"/>
  <c r="J851" i="35"/>
  <c r="K851" i="35" s="1"/>
  <c r="L851" i="35" s="1"/>
  <c r="M536" i="35"/>
  <c r="C919" i="35"/>
  <c r="M571" i="35"/>
  <c r="J886" i="35"/>
  <c r="K571" i="35"/>
  <c r="S59" i="38" s="1"/>
  <c r="I886" i="35"/>
  <c r="J1116" i="35"/>
  <c r="G364" i="35"/>
  <c r="D364" i="35"/>
  <c r="I364" i="35"/>
  <c r="B364" i="35"/>
  <c r="H364" i="35"/>
  <c r="E364" i="35"/>
  <c r="J364" i="35"/>
  <c r="C364" i="35"/>
  <c r="H243" i="27"/>
  <c r="C919" i="33"/>
  <c r="B176" i="33"/>
  <c r="C220" i="33"/>
  <c r="B849" i="33" s="1"/>
  <c r="G849" i="33" s="1"/>
  <c r="D963" i="33"/>
  <c r="B939" i="33"/>
  <c r="B214" i="33"/>
  <c r="C957" i="33"/>
  <c r="F113" i="32"/>
  <c r="F111" i="32"/>
  <c r="AM23" i="38"/>
  <c r="H70" i="32"/>
  <c r="K570" i="35"/>
  <c r="S58" i="38" s="1"/>
  <c r="J885" i="35"/>
  <c r="K885" i="35" s="1"/>
  <c r="L885" i="35" s="1"/>
  <c r="B81" i="27"/>
  <c r="M570" i="35"/>
  <c r="J1158" i="35"/>
  <c r="C406" i="35"/>
  <c r="I406" i="35"/>
  <c r="J406" i="35"/>
  <c r="B406" i="35"/>
  <c r="H406" i="35"/>
  <c r="E406" i="35"/>
  <c r="G406" i="35"/>
  <c r="D406" i="35"/>
  <c r="H285" i="27"/>
  <c r="B963" i="33"/>
  <c r="E963" i="33" s="1"/>
  <c r="B1087" i="35"/>
  <c r="C953" i="35"/>
  <c r="G97" i="32"/>
  <c r="B190" i="33"/>
  <c r="C933" i="33"/>
  <c r="D933" i="33"/>
  <c r="C190" i="33"/>
  <c r="B819" i="33" s="1"/>
  <c r="G819" i="33" s="1"/>
  <c r="J1112" i="35"/>
  <c r="H360" i="35"/>
  <c r="B360" i="35"/>
  <c r="C360" i="35"/>
  <c r="G360" i="35"/>
  <c r="H239" i="27"/>
  <c r="E360" i="35"/>
  <c r="J360" i="35"/>
  <c r="D360" i="35"/>
  <c r="I360" i="35"/>
  <c r="G63" i="32"/>
  <c r="G71" i="32"/>
  <c r="C202" i="33"/>
  <c r="B831" i="33" s="1"/>
  <c r="G831" i="33" s="1"/>
  <c r="D945" i="33"/>
  <c r="K558" i="35"/>
  <c r="J873" i="35"/>
  <c r="J558" i="35"/>
  <c r="R46" i="38" s="1"/>
  <c r="L558" i="35"/>
  <c r="K532" i="35"/>
  <c r="S20" i="38" s="1"/>
  <c r="M532" i="35"/>
  <c r="J847" i="35"/>
  <c r="B43" i="27"/>
  <c r="E196" i="33"/>
  <c r="F196" i="33" s="1"/>
  <c r="C402" i="35"/>
  <c r="E402" i="35"/>
  <c r="H402" i="35"/>
  <c r="E215" i="33"/>
  <c r="F215" i="33" s="1"/>
  <c r="K578" i="35"/>
  <c r="S66" i="38" s="1"/>
  <c r="M578" i="35"/>
  <c r="J893" i="35"/>
  <c r="B89" i="27"/>
  <c r="C961" i="35"/>
  <c r="B1162" i="35"/>
  <c r="B961" i="35"/>
  <c r="I893" i="35"/>
  <c r="K495" i="35"/>
  <c r="L495" i="35" s="1"/>
  <c r="B1028" i="35"/>
  <c r="B1095" i="35"/>
  <c r="C218" i="33"/>
  <c r="B847" i="33" s="1"/>
  <c r="G847" i="33" s="1"/>
  <c r="D961" i="33"/>
  <c r="J889" i="35"/>
  <c r="K574" i="35"/>
  <c r="S62" i="38" s="1"/>
  <c r="M574" i="35"/>
  <c r="B1158" i="35"/>
  <c r="G111" i="32"/>
  <c r="K555" i="35"/>
  <c r="J555" i="35"/>
  <c r="R43" i="38" s="1"/>
  <c r="C938" i="35"/>
  <c r="B1139" i="35"/>
  <c r="L1139" i="35" s="1"/>
  <c r="J870" i="35"/>
  <c r="B1072" i="35"/>
  <c r="I870" i="35"/>
  <c r="L555" i="35"/>
  <c r="B1005" i="35"/>
  <c r="B66" i="27"/>
  <c r="K472" i="35"/>
  <c r="L472" i="35" s="1"/>
  <c r="B938" i="35"/>
  <c r="F81" i="32"/>
  <c r="B1112" i="35"/>
  <c r="B39" i="27"/>
  <c r="M528" i="35"/>
  <c r="C911" i="35"/>
  <c r="K445" i="35"/>
  <c r="L445" i="35" s="1"/>
  <c r="B1045" i="35"/>
  <c r="K528" i="35"/>
  <c r="S16" i="38" s="1"/>
  <c r="I843" i="35"/>
  <c r="B911" i="35"/>
  <c r="J843" i="35"/>
  <c r="B978" i="35"/>
  <c r="C172" i="33"/>
  <c r="B801" i="33" s="1"/>
  <c r="G801" i="33" s="1"/>
  <c r="D915" i="33"/>
  <c r="B953" i="35"/>
  <c r="K487" i="35"/>
  <c r="L487" i="35" s="1"/>
  <c r="B202" i="33"/>
  <c r="C945" i="33"/>
  <c r="J877" i="35"/>
  <c r="J562" i="35"/>
  <c r="R50" i="38" s="1"/>
  <c r="K562" i="35"/>
  <c r="S50" i="38" s="1"/>
  <c r="M562" i="35"/>
  <c r="L562" i="35"/>
  <c r="F97" i="32"/>
  <c r="F71" i="32"/>
  <c r="H403" i="35"/>
  <c r="D403" i="35"/>
  <c r="J403" i="35"/>
  <c r="I403" i="35"/>
  <c r="J1155" i="35"/>
  <c r="L1155" i="35" s="1"/>
  <c r="C403" i="35"/>
  <c r="E403" i="35"/>
  <c r="H282" i="27"/>
  <c r="B403" i="35"/>
  <c r="G403" i="35"/>
  <c r="G106" i="32"/>
  <c r="F93" i="32"/>
  <c r="C222" i="33"/>
  <c r="D965" i="33"/>
  <c r="J70" i="32"/>
  <c r="L70" i="32"/>
  <c r="F23" i="38"/>
  <c r="C214" i="33"/>
  <c r="B843" i="33" s="1"/>
  <c r="G843" i="33" s="1"/>
  <c r="D957" i="33"/>
  <c r="E180" i="33"/>
  <c r="F180" i="33" s="1"/>
  <c r="E186" i="33"/>
  <c r="F186" i="33" s="1"/>
  <c r="E30" i="38"/>
  <c r="G90" i="32"/>
  <c r="L546" i="35"/>
  <c r="J861" i="35"/>
  <c r="J546" i="35"/>
  <c r="R34" i="38" s="1"/>
  <c r="K546" i="35"/>
  <c r="S34" i="38" s="1"/>
  <c r="M546" i="35"/>
  <c r="I861" i="35"/>
  <c r="B996" i="35"/>
  <c r="B1130" i="35"/>
  <c r="L1130" i="35" s="1"/>
  <c r="B929" i="35"/>
  <c r="C929" i="35"/>
  <c r="K463" i="35"/>
  <c r="L463" i="35" s="1"/>
  <c r="B57" i="27"/>
  <c r="B1063" i="35"/>
  <c r="E222" i="33"/>
  <c r="F222" i="33" s="1"/>
  <c r="K565" i="35"/>
  <c r="S53" i="38" s="1"/>
  <c r="L565" i="35"/>
  <c r="J880" i="35"/>
  <c r="M565" i="35"/>
  <c r="J565" i="35"/>
  <c r="R53" i="38" s="1"/>
  <c r="G100" i="32"/>
  <c r="C209" i="33"/>
  <c r="B838" i="33" s="1"/>
  <c r="G838" i="33" s="1"/>
  <c r="D952" i="33"/>
  <c r="C952" i="33"/>
  <c r="B209" i="33"/>
  <c r="F100" i="32"/>
  <c r="B201" i="33"/>
  <c r="B764" i="33" s="1"/>
  <c r="G64" i="27"/>
  <c r="C932" i="33"/>
  <c r="F64" i="27"/>
  <c r="K480" i="35"/>
  <c r="L480" i="35" s="1"/>
  <c r="I878" i="35"/>
  <c r="B946" i="35"/>
  <c r="B1013" i="35"/>
  <c r="B1080" i="35"/>
  <c r="B74" i="27"/>
  <c r="B1147" i="35"/>
  <c r="L1147" i="35" s="1"/>
  <c r="C946" i="35"/>
  <c r="G98" i="32"/>
  <c r="D950" i="33"/>
  <c r="F98" i="32"/>
  <c r="D934" i="33"/>
  <c r="F82" i="32"/>
  <c r="C934" i="33"/>
  <c r="B191" i="33"/>
  <c r="B207" i="33"/>
  <c r="C950" i="33"/>
  <c r="G82" i="32"/>
  <c r="K563" i="35"/>
  <c r="S51" i="38" s="1"/>
  <c r="J563" i="35"/>
  <c r="R51" i="38" s="1"/>
  <c r="L563" i="35"/>
  <c r="M563" i="35"/>
  <c r="J878" i="35"/>
  <c r="K547" i="35"/>
  <c r="S35" i="38" s="1"/>
  <c r="J547" i="35"/>
  <c r="R35" i="38" s="1"/>
  <c r="M547" i="35"/>
  <c r="J862" i="35"/>
  <c r="L547" i="35"/>
  <c r="I166" i="33"/>
  <c r="E175" i="33"/>
  <c r="F175" i="33" s="1"/>
  <c r="E193" i="33"/>
  <c r="F193" i="33" s="1"/>
  <c r="E181" i="33"/>
  <c r="F181" i="33" s="1"/>
  <c r="E1059" i="35"/>
  <c r="E1090" i="35"/>
  <c r="E1040" i="35"/>
  <c r="I1054" i="35"/>
  <c r="E1054" i="35"/>
  <c r="E1039" i="35"/>
  <c r="H361" i="35"/>
  <c r="C361" i="35"/>
  <c r="J860" i="35"/>
  <c r="K545" i="35"/>
  <c r="E37" i="38"/>
  <c r="D926" i="33"/>
  <c r="E25" i="38"/>
  <c r="D944" i="33"/>
  <c r="B189" i="33"/>
  <c r="M545" i="35"/>
  <c r="G64" i="32"/>
  <c r="AM47" i="38"/>
  <c r="L572" i="35"/>
  <c r="R60" i="38"/>
  <c r="L72" i="32"/>
  <c r="AM25" i="38"/>
  <c r="L578" i="35"/>
  <c r="R66" i="38"/>
  <c r="J58" i="32"/>
  <c r="AM11" i="38"/>
  <c r="M550" i="35"/>
  <c r="S38" i="38"/>
  <c r="L528" i="35"/>
  <c r="R16" i="38"/>
  <c r="L535" i="35"/>
  <c r="R23" i="38"/>
  <c r="H58" i="32"/>
  <c r="H72" i="32"/>
  <c r="J72" i="32"/>
  <c r="G80" i="32"/>
  <c r="F74" i="32"/>
  <c r="F80" i="32"/>
  <c r="F64" i="32"/>
  <c r="D932" i="33"/>
  <c r="B183" i="33"/>
  <c r="I167" i="33"/>
  <c r="C944" i="33"/>
  <c r="E178" i="33"/>
  <c r="F178" i="33" s="1"/>
  <c r="E22" i="38"/>
  <c r="E21" i="38"/>
  <c r="L94" i="32"/>
  <c r="M1369" i="35"/>
  <c r="N1369" i="35" s="1"/>
  <c r="L1435" i="35" s="1"/>
  <c r="M1435" i="35" s="1"/>
  <c r="M1407" i="35"/>
  <c r="N1407" i="35" s="1"/>
  <c r="L1473" i="35" s="1"/>
  <c r="M1473" i="35" s="1"/>
  <c r="M1403" i="35"/>
  <c r="N1403" i="35" s="1"/>
  <c r="L1469" i="35" s="1"/>
  <c r="M1469" i="35" s="1"/>
  <c r="M1382" i="35"/>
  <c r="N1382" i="35" s="1"/>
  <c r="L1448" i="35" s="1"/>
  <c r="M1448" i="35" s="1"/>
  <c r="M1406" i="35"/>
  <c r="N1406" i="35" s="1"/>
  <c r="L1472" i="35" s="1"/>
  <c r="M1472" i="35" s="1"/>
  <c r="M1375" i="35"/>
  <c r="N1375" i="35" s="1"/>
  <c r="L1441" i="35" s="1"/>
  <c r="M1441" i="35" s="1"/>
  <c r="M1371" i="35"/>
  <c r="N1371" i="35" s="1"/>
  <c r="L1437" i="35" s="1"/>
  <c r="M1437" i="35" s="1"/>
  <c r="F933" i="35"/>
  <c r="I1067" i="35"/>
  <c r="G92" i="32"/>
  <c r="J526" i="35"/>
  <c r="J570" i="35"/>
  <c r="J571" i="35"/>
  <c r="J532" i="35"/>
  <c r="L557" i="35"/>
  <c r="J557" i="35"/>
  <c r="R45" i="38" s="1"/>
  <c r="J872" i="35"/>
  <c r="E173" i="33"/>
  <c r="F173" i="33" s="1"/>
  <c r="E17" i="38"/>
  <c r="J522" i="35"/>
  <c r="J537" i="35"/>
  <c r="J542" i="35"/>
  <c r="J530" i="35"/>
  <c r="J574" i="35"/>
  <c r="E203" i="33"/>
  <c r="F203" i="33" s="1"/>
  <c r="J543" i="35"/>
  <c r="J573" i="35"/>
  <c r="J523" i="35"/>
  <c r="B946" i="33"/>
  <c r="J521" i="35"/>
  <c r="J536" i="35"/>
  <c r="J524" i="35"/>
  <c r="J575" i="35"/>
  <c r="B916" i="33"/>
  <c r="I434" i="33"/>
  <c r="I213" i="33"/>
  <c r="F52" i="32"/>
  <c r="F40" i="27"/>
  <c r="G40" i="27"/>
  <c r="G52" i="32"/>
  <c r="H94" i="32"/>
  <c r="F92" i="32"/>
  <c r="H240" i="27"/>
  <c r="I880" i="35"/>
  <c r="C944" i="35"/>
  <c r="F944" i="35" s="1"/>
  <c r="B906" i="35"/>
  <c r="I869" i="35"/>
  <c r="K869" i="35" s="1"/>
  <c r="L869" i="35" s="1"/>
  <c r="I838" i="35"/>
  <c r="K838" i="35" s="1"/>
  <c r="L838" i="35" s="1"/>
  <c r="C906" i="35"/>
  <c r="B1107" i="35"/>
  <c r="B1004" i="35"/>
  <c r="D1004" i="35" s="1"/>
  <c r="B973" i="35"/>
  <c r="D973" i="35" s="1"/>
  <c r="B34" i="27"/>
  <c r="I849" i="35"/>
  <c r="B1051" i="35"/>
  <c r="B990" i="35"/>
  <c r="D990" i="35" s="1"/>
  <c r="G933" i="35"/>
  <c r="K461" i="35"/>
  <c r="L461" i="35" s="1"/>
  <c r="K457" i="35"/>
  <c r="L457" i="35" s="1"/>
  <c r="J361" i="35"/>
  <c r="B261" i="27"/>
  <c r="B1128" i="35"/>
  <c r="S11" i="38"/>
  <c r="B65" i="27"/>
  <c r="E361" i="35"/>
  <c r="C937" i="35"/>
  <c r="B937" i="35"/>
  <c r="I844" i="35"/>
  <c r="I361" i="35"/>
  <c r="B361" i="35"/>
  <c r="K852" i="35"/>
  <c r="L852" i="35" s="1"/>
  <c r="B1104" i="35"/>
  <c r="B1015" i="35"/>
  <c r="B1082" i="35"/>
  <c r="B1149" i="35"/>
  <c r="L1149" i="35" s="1"/>
  <c r="B1057" i="35"/>
  <c r="B1124" i="35"/>
  <c r="B970" i="35"/>
  <c r="D970" i="35" s="1"/>
  <c r="K482" i="35"/>
  <c r="L482" i="35" s="1"/>
  <c r="C923" i="35"/>
  <c r="B984" i="35"/>
  <c r="D984" i="35" s="1"/>
  <c r="K451" i="35"/>
  <c r="L451" i="35" s="1"/>
  <c r="B1118" i="35"/>
  <c r="S22" i="38"/>
  <c r="C917" i="35"/>
  <c r="B917" i="35"/>
  <c r="C927" i="35"/>
  <c r="B1061" i="35"/>
  <c r="S32" i="38"/>
  <c r="B927" i="35"/>
  <c r="I859" i="35"/>
  <c r="B994" i="35"/>
  <c r="D994" i="35" s="1"/>
  <c r="I855" i="35"/>
  <c r="B923" i="35"/>
  <c r="B51" i="27"/>
  <c r="D361" i="35"/>
  <c r="G361" i="35"/>
  <c r="F920" i="35"/>
  <c r="S57" i="38"/>
  <c r="B72" i="27"/>
  <c r="I876" i="35"/>
  <c r="S54" i="38"/>
  <c r="K478" i="35"/>
  <c r="L478" i="35" s="1"/>
  <c r="B1145" i="35"/>
  <c r="L1145" i="35" s="1"/>
  <c r="B1011" i="35"/>
  <c r="K471" i="35"/>
  <c r="L471" i="35" s="1"/>
  <c r="B1138" i="35"/>
  <c r="L1138" i="35" s="1"/>
  <c r="B1078" i="35"/>
  <c r="S29" i="38"/>
  <c r="S28" i="38"/>
  <c r="S13" i="38"/>
  <c r="S19" i="38"/>
  <c r="S8" i="38"/>
  <c r="K837" i="35"/>
  <c r="L837" i="35" s="1"/>
  <c r="B248" i="27"/>
  <c r="I248" i="27" s="1"/>
  <c r="B1141" i="35"/>
  <c r="L1141" i="35" s="1"/>
  <c r="I866" i="35"/>
  <c r="G920" i="35"/>
  <c r="K437" i="35"/>
  <c r="L437" i="35" s="1"/>
  <c r="B31" i="27"/>
  <c r="I835" i="35"/>
  <c r="B1037" i="35"/>
  <c r="C903" i="35"/>
  <c r="V19" i="38"/>
  <c r="W19" i="38"/>
  <c r="B1113" i="35"/>
  <c r="K485" i="35"/>
  <c r="L485" i="35" s="1"/>
  <c r="B951" i="35"/>
  <c r="C951" i="35"/>
  <c r="B1018" i="35"/>
  <c r="B1152" i="35"/>
  <c r="L1152" i="35" s="1"/>
  <c r="I883" i="35"/>
  <c r="B79" i="27"/>
  <c r="B1085" i="35"/>
  <c r="I1071" i="35"/>
  <c r="B1016" i="35"/>
  <c r="B77" i="27"/>
  <c r="K483" i="35"/>
  <c r="L483" i="35" s="1"/>
  <c r="C949" i="35"/>
  <c r="I881" i="35"/>
  <c r="B1150" i="35"/>
  <c r="L1150" i="35" s="1"/>
  <c r="B1083" i="35"/>
  <c r="B949" i="35"/>
  <c r="B1074" i="35"/>
  <c r="B979" i="35"/>
  <c r="B1068" i="35"/>
  <c r="B1153" i="35"/>
  <c r="L1153" i="35" s="1"/>
  <c r="B1086" i="35"/>
  <c r="B952" i="35"/>
  <c r="B80" i="27"/>
  <c r="C952" i="35"/>
  <c r="K486" i="35"/>
  <c r="L486" i="35" s="1"/>
  <c r="B1019" i="35"/>
  <c r="I884" i="35"/>
  <c r="K464" i="35"/>
  <c r="L464" i="35" s="1"/>
  <c r="B930" i="35"/>
  <c r="B1064" i="35"/>
  <c r="C930" i="35"/>
  <c r="B1131" i="35"/>
  <c r="L1131" i="35" s="1"/>
  <c r="I862" i="35"/>
  <c r="B58" i="27"/>
  <c r="B997" i="35"/>
  <c r="B1115" i="35"/>
  <c r="B981" i="35"/>
  <c r="K448" i="35"/>
  <c r="L448" i="35" s="1"/>
  <c r="B42" i="27"/>
  <c r="I846" i="35"/>
  <c r="C914" i="35"/>
  <c r="B1048" i="35"/>
  <c r="B914" i="35"/>
  <c r="C448" i="35"/>
  <c r="B69" i="27"/>
  <c r="C941" i="35"/>
  <c r="B1075" i="35"/>
  <c r="K475" i="35"/>
  <c r="L475" i="35" s="1"/>
  <c r="B941" i="35"/>
  <c r="I873" i="35"/>
  <c r="B1142" i="35"/>
  <c r="L1142" i="35" s="1"/>
  <c r="B1008" i="35"/>
  <c r="B71" i="27"/>
  <c r="B1010" i="35"/>
  <c r="I875" i="35"/>
  <c r="B943" i="35"/>
  <c r="B1144" i="35"/>
  <c r="L1144" i="35" s="1"/>
  <c r="C943" i="35"/>
  <c r="B1077" i="35"/>
  <c r="K477" i="35"/>
  <c r="L477" i="35" s="1"/>
  <c r="I834" i="35"/>
  <c r="B969" i="35"/>
  <c r="B30" i="27"/>
  <c r="B1036" i="35"/>
  <c r="C902" i="35"/>
  <c r="B902" i="35"/>
  <c r="B1103" i="35"/>
  <c r="L1103" i="35" s="1"/>
  <c r="K436" i="35"/>
  <c r="L436" i="35" s="1"/>
  <c r="D972" i="35"/>
  <c r="K857" i="35"/>
  <c r="L857" i="35" s="1"/>
  <c r="B253" i="27"/>
  <c r="B36" i="27"/>
  <c r="B1109" i="35"/>
  <c r="B1042" i="35"/>
  <c r="C908" i="35"/>
  <c r="K442" i="35"/>
  <c r="L442" i="35" s="1"/>
  <c r="I840" i="35"/>
  <c r="B975" i="35"/>
  <c r="B908" i="35"/>
  <c r="B276" i="27"/>
  <c r="F905" i="35"/>
  <c r="G905" i="35"/>
  <c r="I1039" i="35"/>
  <c r="B233" i="27"/>
  <c r="F925" i="35"/>
  <c r="G925" i="35"/>
  <c r="D1023" i="35"/>
  <c r="J246" i="27"/>
  <c r="I246" i="27"/>
  <c r="D992" i="35"/>
  <c r="I1059" i="35"/>
  <c r="B52" i="27"/>
  <c r="B1125" i="35"/>
  <c r="K458" i="35"/>
  <c r="L458" i="35" s="1"/>
  <c r="B1058" i="35"/>
  <c r="B991" i="35"/>
  <c r="C924" i="35"/>
  <c r="B924" i="35"/>
  <c r="I856" i="35"/>
  <c r="I1090" i="35"/>
  <c r="I1040" i="35"/>
  <c r="M1205" i="35" l="1"/>
  <c r="E1205" i="35"/>
  <c r="L1205" i="35"/>
  <c r="F1205" i="35"/>
  <c r="L1227" i="35"/>
  <c r="M1227" i="35"/>
  <c r="F1227" i="35"/>
  <c r="E1227" i="35"/>
  <c r="L1226" i="35"/>
  <c r="M1226" i="35"/>
  <c r="F1226" i="35"/>
  <c r="E1226" i="35"/>
  <c r="M1212" i="35"/>
  <c r="L1212" i="35"/>
  <c r="E1212" i="35"/>
  <c r="F1212" i="35"/>
  <c r="L1223" i="35"/>
  <c r="F1223" i="35"/>
  <c r="M1223" i="35"/>
  <c r="E1223" i="35"/>
  <c r="L1234" i="35"/>
  <c r="M1234" i="35"/>
  <c r="F1234" i="35"/>
  <c r="E1234" i="35"/>
  <c r="L1222" i="35"/>
  <c r="M1222" i="35"/>
  <c r="F1222" i="35"/>
  <c r="E1222" i="35"/>
  <c r="K1180" i="35"/>
  <c r="G1180" i="35"/>
  <c r="J1180" i="35"/>
  <c r="H1180" i="35"/>
  <c r="M1177" i="35"/>
  <c r="E1177" i="35"/>
  <c r="F1177" i="35"/>
  <c r="L1177" i="35"/>
  <c r="M1216" i="35"/>
  <c r="L1216" i="35"/>
  <c r="E1216" i="35"/>
  <c r="F1216" i="35"/>
  <c r="K1229" i="35"/>
  <c r="G1229" i="35"/>
  <c r="J1229" i="35"/>
  <c r="H1229" i="35"/>
  <c r="M1220" i="35"/>
  <c r="L1220" i="35"/>
  <c r="E1220" i="35"/>
  <c r="F1220" i="35"/>
  <c r="F958" i="35"/>
  <c r="M1224" i="35"/>
  <c r="L1224" i="35"/>
  <c r="E1224" i="35"/>
  <c r="F1224" i="35"/>
  <c r="K1193" i="35"/>
  <c r="G1193" i="35"/>
  <c r="H1193" i="35"/>
  <c r="J1193" i="35"/>
  <c r="K1200" i="35"/>
  <c r="G1200" i="35"/>
  <c r="J1200" i="35"/>
  <c r="H1200" i="35"/>
  <c r="L1218" i="35"/>
  <c r="M1218" i="35"/>
  <c r="F1218" i="35"/>
  <c r="E1218" i="35"/>
  <c r="L1215" i="35"/>
  <c r="M1215" i="35"/>
  <c r="F1215" i="35"/>
  <c r="E1215" i="35"/>
  <c r="L1219" i="35"/>
  <c r="F1219" i="35"/>
  <c r="M1219" i="35"/>
  <c r="E1219" i="35"/>
  <c r="M1221" i="35"/>
  <c r="E1221" i="35"/>
  <c r="L1221" i="35"/>
  <c r="F1221" i="35"/>
  <c r="M1204" i="35"/>
  <c r="L1204" i="35"/>
  <c r="E1204" i="35"/>
  <c r="F1204" i="35"/>
  <c r="M1213" i="35"/>
  <c r="L1213" i="35"/>
  <c r="E1213" i="35"/>
  <c r="F1213" i="35"/>
  <c r="M1176" i="35"/>
  <c r="L1176" i="35"/>
  <c r="E1176" i="35"/>
  <c r="F1176" i="35"/>
  <c r="K1188" i="35"/>
  <c r="G1188" i="35"/>
  <c r="J1188" i="35"/>
  <c r="H1188" i="35"/>
  <c r="M1225" i="35"/>
  <c r="E1225" i="35"/>
  <c r="F1225" i="35"/>
  <c r="L1225" i="35"/>
  <c r="J1231" i="35"/>
  <c r="H1231" i="35"/>
  <c r="K1231" i="35"/>
  <c r="G1231" i="35"/>
  <c r="J1230" i="35"/>
  <c r="H1230" i="35"/>
  <c r="K1230" i="35"/>
  <c r="G1230" i="35"/>
  <c r="J1195" i="35"/>
  <c r="H1195" i="35"/>
  <c r="G1195" i="35"/>
  <c r="K1195" i="35"/>
  <c r="D1064" i="35"/>
  <c r="D1080" i="35"/>
  <c r="D1078" i="35"/>
  <c r="D1079" i="35"/>
  <c r="D1077" i="35"/>
  <c r="D1075" i="35"/>
  <c r="D1068" i="35"/>
  <c r="D1083" i="35"/>
  <c r="D1085" i="35"/>
  <c r="D1082" i="35"/>
  <c r="D1093" i="35"/>
  <c r="I1050" i="35"/>
  <c r="D1081" i="35"/>
  <c r="D1086" i="35"/>
  <c r="D1074" i="35"/>
  <c r="D1063" i="35"/>
  <c r="D1036" i="35"/>
  <c r="D1072" i="35"/>
  <c r="D1084" i="35"/>
  <c r="I1092" i="35"/>
  <c r="C330" i="33"/>
  <c r="C341" i="33"/>
  <c r="B341" i="33"/>
  <c r="L509" i="33"/>
  <c r="M509" i="33" s="1"/>
  <c r="D188" i="33"/>
  <c r="B676" i="33" s="1"/>
  <c r="H676" i="33" s="1"/>
  <c r="B541" i="33"/>
  <c r="B530" i="33"/>
  <c r="B442" i="33"/>
  <c r="C442" i="33" s="1"/>
  <c r="E188" i="33"/>
  <c r="F188" i="33" s="1"/>
  <c r="J188" i="33" s="1"/>
  <c r="I409" i="33" s="1"/>
  <c r="C376" i="33"/>
  <c r="B608" i="33"/>
  <c r="B597" i="33"/>
  <c r="L474" i="33"/>
  <c r="M474" i="33" s="1"/>
  <c r="L463" i="33"/>
  <c r="M463" i="33" s="1"/>
  <c r="B330" i="33"/>
  <c r="B376" i="33"/>
  <c r="B643" i="33"/>
  <c r="B407" i="33"/>
  <c r="B396" i="33"/>
  <c r="N192" i="33"/>
  <c r="M192" i="33"/>
  <c r="C334" i="33"/>
  <c r="B817" i="33"/>
  <c r="G817" i="33" s="1"/>
  <c r="C837" i="33"/>
  <c r="B844" i="33"/>
  <c r="G844" i="33" s="1"/>
  <c r="C820" i="33"/>
  <c r="C841" i="33"/>
  <c r="C813" i="33"/>
  <c r="C842" i="33"/>
  <c r="C796" i="33"/>
  <c r="C838" i="33"/>
  <c r="B851" i="33"/>
  <c r="G851" i="33" s="1"/>
  <c r="C803" i="33"/>
  <c r="C839" i="33"/>
  <c r="C836" i="33"/>
  <c r="C806" i="33"/>
  <c r="C835" i="33"/>
  <c r="E814" i="33"/>
  <c r="F814" i="33"/>
  <c r="C824" i="33"/>
  <c r="C828" i="33"/>
  <c r="C845" i="33"/>
  <c r="C818" i="33"/>
  <c r="C812" i="33"/>
  <c r="C805" i="33"/>
  <c r="C792" i="33"/>
  <c r="C791" i="33"/>
  <c r="C800" i="33"/>
  <c r="C811" i="33"/>
  <c r="C848" i="33"/>
  <c r="C794" i="33"/>
  <c r="C790" i="33"/>
  <c r="B804" i="33"/>
  <c r="G804" i="33" s="1"/>
  <c r="C833" i="33"/>
  <c r="E815" i="33"/>
  <c r="F815" i="33"/>
  <c r="E795" i="33"/>
  <c r="F795" i="33"/>
  <c r="C843" i="33"/>
  <c r="C801" i="33"/>
  <c r="C847" i="33"/>
  <c r="C849" i="33"/>
  <c r="E24" i="38"/>
  <c r="B809" i="33"/>
  <c r="G809" i="33" s="1"/>
  <c r="C826" i="33"/>
  <c r="C819" i="33"/>
  <c r="C799" i="33"/>
  <c r="C830" i="33"/>
  <c r="C798" i="33"/>
  <c r="F802" i="33"/>
  <c r="E802" i="33"/>
  <c r="C834" i="33"/>
  <c r="C816" i="33"/>
  <c r="C793" i="33"/>
  <c r="C831" i="33"/>
  <c r="C840" i="33"/>
  <c r="C797" i="33"/>
  <c r="C807" i="33"/>
  <c r="F808" i="33"/>
  <c r="E808" i="33"/>
  <c r="F810" i="33"/>
  <c r="E810" i="33"/>
  <c r="E846" i="33"/>
  <c r="F846" i="33"/>
  <c r="E177" i="33"/>
  <c r="F177" i="33" s="1"/>
  <c r="J177" i="33" s="1"/>
  <c r="E59" i="38"/>
  <c r="D216" i="33"/>
  <c r="B704" i="33" s="1"/>
  <c r="H704" i="33" s="1"/>
  <c r="E216" i="33"/>
  <c r="F216" i="33" s="1"/>
  <c r="J216" i="33" s="1"/>
  <c r="K216" i="33" s="1"/>
  <c r="C779" i="33" s="1"/>
  <c r="L731" i="33"/>
  <c r="J830" i="33"/>
  <c r="I830" i="33"/>
  <c r="H724" i="33"/>
  <c r="D724" i="33"/>
  <c r="L780" i="33"/>
  <c r="H756" i="33"/>
  <c r="D756" i="33"/>
  <c r="D757" i="33"/>
  <c r="H757" i="33"/>
  <c r="H761" i="33"/>
  <c r="D761" i="33"/>
  <c r="L782" i="33"/>
  <c r="D774" i="33"/>
  <c r="H774" i="33"/>
  <c r="L742" i="33"/>
  <c r="L744" i="33"/>
  <c r="L748" i="33"/>
  <c r="D759" i="33"/>
  <c r="H759" i="33"/>
  <c r="K763" i="33"/>
  <c r="J763" i="33"/>
  <c r="L751" i="33"/>
  <c r="G755" i="33"/>
  <c r="H764" i="33"/>
  <c r="D764" i="33"/>
  <c r="H762" i="33"/>
  <c r="D762" i="33"/>
  <c r="H771" i="33"/>
  <c r="D771" i="33"/>
  <c r="D766" i="33"/>
  <c r="H766" i="33"/>
  <c r="D784" i="33"/>
  <c r="H784" i="33"/>
  <c r="L738" i="33"/>
  <c r="L749" i="33"/>
  <c r="D776" i="33"/>
  <c r="H776" i="33"/>
  <c r="L736" i="33"/>
  <c r="L730" i="33"/>
  <c r="L729" i="33"/>
  <c r="B534" i="33"/>
  <c r="B400" i="33"/>
  <c r="F48" i="38"/>
  <c r="B368" i="33"/>
  <c r="M467" i="33"/>
  <c r="I601" i="33"/>
  <c r="C394" i="33"/>
  <c r="C661" i="33"/>
  <c r="G661" i="33"/>
  <c r="K193" i="33"/>
  <c r="B681" i="33"/>
  <c r="H681" i="33" s="1"/>
  <c r="B521" i="33"/>
  <c r="H521" i="33" s="1"/>
  <c r="L521" i="33" s="1"/>
  <c r="B568" i="33"/>
  <c r="B348" i="33"/>
  <c r="C413" i="33"/>
  <c r="G680" i="33"/>
  <c r="C680" i="33"/>
  <c r="C402" i="33"/>
  <c r="C669" i="33"/>
  <c r="G669" i="33"/>
  <c r="B601" i="33"/>
  <c r="B667" i="33"/>
  <c r="H667" i="33" s="1"/>
  <c r="K198" i="33"/>
  <c r="B686" i="33"/>
  <c r="H686" i="33" s="1"/>
  <c r="E19" i="38"/>
  <c r="I194" i="33"/>
  <c r="B615" i="33"/>
  <c r="K166" i="33"/>
  <c r="M166" i="33" s="1"/>
  <c r="C368" i="33"/>
  <c r="C400" i="33"/>
  <c r="G667" i="33"/>
  <c r="C667" i="33"/>
  <c r="B548" i="33"/>
  <c r="C419" i="33"/>
  <c r="C686" i="33"/>
  <c r="G686" i="33"/>
  <c r="K203" i="33"/>
  <c r="B691" i="33"/>
  <c r="H691" i="33" s="1"/>
  <c r="K221" i="33"/>
  <c r="B709" i="33"/>
  <c r="H709" i="33" s="1"/>
  <c r="B406" i="33"/>
  <c r="B673" i="33"/>
  <c r="H673" i="33" s="1"/>
  <c r="K196" i="33"/>
  <c r="B684" i="33"/>
  <c r="H684" i="33" s="1"/>
  <c r="C424" i="33"/>
  <c r="C691" i="33"/>
  <c r="G691" i="33"/>
  <c r="E48" i="38"/>
  <c r="L481" i="33"/>
  <c r="M481" i="33" s="1"/>
  <c r="K200" i="33"/>
  <c r="C763" i="33" s="1"/>
  <c r="L763" i="33" s="1"/>
  <c r="B688" i="33"/>
  <c r="H688" i="33" s="1"/>
  <c r="K167" i="33"/>
  <c r="M167" i="33" s="1"/>
  <c r="C396" i="33"/>
  <c r="G663" i="33"/>
  <c r="C663" i="33"/>
  <c r="C348" i="33"/>
  <c r="C407" i="33"/>
  <c r="G674" i="33"/>
  <c r="C674" i="33"/>
  <c r="B414" i="33"/>
  <c r="C417" i="33"/>
  <c r="G684" i="33"/>
  <c r="C684" i="33"/>
  <c r="E54" i="38"/>
  <c r="D191" i="33"/>
  <c r="B412" i="33" s="1"/>
  <c r="B754" i="33"/>
  <c r="D218" i="33"/>
  <c r="B706" i="33" s="1"/>
  <c r="H706" i="33" s="1"/>
  <c r="B781" i="33"/>
  <c r="D206" i="33"/>
  <c r="B769" i="33"/>
  <c r="D180" i="33"/>
  <c r="B668" i="33" s="1"/>
  <c r="H668" i="33" s="1"/>
  <c r="B743" i="33"/>
  <c r="D214" i="33"/>
  <c r="B702" i="33" s="1"/>
  <c r="H702" i="33" s="1"/>
  <c r="B777" i="33"/>
  <c r="D174" i="33"/>
  <c r="B662" i="33" s="1"/>
  <c r="H662" i="33" s="1"/>
  <c r="B737" i="33"/>
  <c r="D165" i="33"/>
  <c r="B653" i="33" s="1"/>
  <c r="H653" i="33" s="1"/>
  <c r="B728" i="33"/>
  <c r="D220" i="33"/>
  <c r="B783" i="33"/>
  <c r="D164" i="33"/>
  <c r="B652" i="33" s="1"/>
  <c r="H652" i="33" s="1"/>
  <c r="B727" i="33"/>
  <c r="D215" i="33"/>
  <c r="B703" i="33" s="1"/>
  <c r="H703" i="33" s="1"/>
  <c r="B778" i="33"/>
  <c r="E163" i="33"/>
  <c r="F163" i="33" s="1"/>
  <c r="J384" i="33" s="1"/>
  <c r="B726" i="33"/>
  <c r="D212" i="33"/>
  <c r="B700" i="33" s="1"/>
  <c r="H700" i="33" s="1"/>
  <c r="B775" i="33"/>
  <c r="B388" i="33"/>
  <c r="B322" i="33"/>
  <c r="L455" i="33"/>
  <c r="C322" i="33"/>
  <c r="B589" i="33"/>
  <c r="B522" i="33"/>
  <c r="L454" i="33"/>
  <c r="B321" i="33"/>
  <c r="B387" i="33"/>
  <c r="B588" i="33"/>
  <c r="C321" i="33"/>
  <c r="D183" i="33"/>
  <c r="B671" i="33" s="1"/>
  <c r="H671" i="33" s="1"/>
  <c r="B746" i="33"/>
  <c r="D187" i="33"/>
  <c r="B675" i="33" s="1"/>
  <c r="H675" i="33" s="1"/>
  <c r="B750" i="33"/>
  <c r="D204" i="33"/>
  <c r="B692" i="33" s="1"/>
  <c r="H692" i="33" s="1"/>
  <c r="B767" i="33"/>
  <c r="D210" i="33"/>
  <c r="B698" i="33" s="1"/>
  <c r="H698" i="33" s="1"/>
  <c r="B773" i="33"/>
  <c r="D202" i="33"/>
  <c r="L490" i="33" s="1"/>
  <c r="M490" i="33" s="1"/>
  <c r="B765" i="33"/>
  <c r="D222" i="33"/>
  <c r="B710" i="33" s="1"/>
  <c r="H710" i="33" s="1"/>
  <c r="B785" i="33"/>
  <c r="D178" i="33"/>
  <c r="B666" i="33" s="1"/>
  <c r="H666" i="33" s="1"/>
  <c r="B741" i="33"/>
  <c r="D190" i="33"/>
  <c r="B753" i="33"/>
  <c r="D176" i="33"/>
  <c r="B664" i="33" s="1"/>
  <c r="H664" i="33" s="1"/>
  <c r="B739" i="33"/>
  <c r="D162" i="33"/>
  <c r="B725" i="33"/>
  <c r="D184" i="33"/>
  <c r="B672" i="33" s="1"/>
  <c r="H672" i="33" s="1"/>
  <c r="B747" i="33"/>
  <c r="E205" i="33"/>
  <c r="B768" i="33"/>
  <c r="D195" i="33"/>
  <c r="L483" i="33" s="1"/>
  <c r="M483" i="33" s="1"/>
  <c r="B758" i="33"/>
  <c r="M179" i="33"/>
  <c r="C742" i="33"/>
  <c r="D742" i="33" s="1"/>
  <c r="C729" i="33"/>
  <c r="D189" i="33"/>
  <c r="B677" i="33" s="1"/>
  <c r="H677" i="33" s="1"/>
  <c r="B752" i="33"/>
  <c r="D209" i="33"/>
  <c r="B772" i="33"/>
  <c r="D172" i="33"/>
  <c r="B660" i="33" s="1"/>
  <c r="H660" i="33" s="1"/>
  <c r="B735" i="33"/>
  <c r="D169" i="33"/>
  <c r="B657" i="33" s="1"/>
  <c r="H657" i="33" s="1"/>
  <c r="B732" i="33"/>
  <c r="F779" i="33"/>
  <c r="F60" i="38"/>
  <c r="B779" i="33"/>
  <c r="K213" i="33"/>
  <c r="B635" i="33"/>
  <c r="B434" i="33"/>
  <c r="D207" i="33"/>
  <c r="B629" i="33" s="1"/>
  <c r="B770" i="33"/>
  <c r="D170" i="33"/>
  <c r="B658" i="33" s="1"/>
  <c r="H658" i="33" s="1"/>
  <c r="B733" i="33"/>
  <c r="D171" i="33"/>
  <c r="B659" i="33" s="1"/>
  <c r="H659" i="33" s="1"/>
  <c r="B734" i="33"/>
  <c r="D182" i="33"/>
  <c r="B670" i="33" s="1"/>
  <c r="H670" i="33" s="1"/>
  <c r="B745" i="33"/>
  <c r="D197" i="33"/>
  <c r="B352" i="33" s="1"/>
  <c r="B760" i="33"/>
  <c r="D177" i="33"/>
  <c r="B665" i="33" s="1"/>
  <c r="H665" i="33" s="1"/>
  <c r="B740" i="33"/>
  <c r="L501" i="33"/>
  <c r="B334" i="33"/>
  <c r="G568" i="33"/>
  <c r="G1019" i="35" s="1"/>
  <c r="H528" i="33"/>
  <c r="H530" i="33"/>
  <c r="H541" i="33"/>
  <c r="H536" i="33"/>
  <c r="J415" i="33"/>
  <c r="Q1024" i="46"/>
  <c r="S1007" i="46"/>
  <c r="K1008" i="46" s="1"/>
  <c r="M1027" i="46"/>
  <c r="Y1027" i="46" s="1"/>
  <c r="R1072" i="46"/>
  <c r="I1073" i="46" s="1"/>
  <c r="S1020" i="46"/>
  <c r="K1021" i="46" s="1"/>
  <c r="AN1025" i="46" s="1"/>
  <c r="Q1123" i="46"/>
  <c r="Y1123" i="46" s="1"/>
  <c r="K1075" i="46"/>
  <c r="O1011" i="46"/>
  <c r="P1212" i="46"/>
  <c r="I1213" i="46" s="1"/>
  <c r="Q1218" i="46" s="1"/>
  <c r="AJ1216" i="46" s="1"/>
  <c r="AF1010" i="46"/>
  <c r="AG1023" i="46"/>
  <c r="AA1076" i="46"/>
  <c r="AJ941" i="46"/>
  <c r="AJ942" i="46"/>
  <c r="S1137" i="46"/>
  <c r="Y1137" i="46" s="1"/>
  <c r="S1127" i="46"/>
  <c r="Y1127" i="46" s="1"/>
  <c r="Y1122" i="46"/>
  <c r="Q1143" i="46"/>
  <c r="AC1143" i="46" s="1"/>
  <c r="Y1138" i="46"/>
  <c r="E52" i="38"/>
  <c r="L510" i="33"/>
  <c r="M510" i="33" s="1"/>
  <c r="I959" i="33"/>
  <c r="J959" i="33" s="1"/>
  <c r="I940" i="33"/>
  <c r="J940" i="33" s="1"/>
  <c r="G540" i="33"/>
  <c r="G991" i="35" s="1"/>
  <c r="H540" i="33"/>
  <c r="C991" i="35" s="1"/>
  <c r="AS635" i="45"/>
  <c r="AS637" i="45"/>
  <c r="AS636" i="45"/>
  <c r="AS631" i="45"/>
  <c r="AS632" i="45"/>
  <c r="AS633" i="45"/>
  <c r="AS634" i="45"/>
  <c r="X634" i="45"/>
  <c r="I635" i="45" s="1"/>
  <c r="O636" i="45"/>
  <c r="I637" i="45" s="1"/>
  <c r="Y632" i="45"/>
  <c r="I633" i="45" s="1"/>
  <c r="W630" i="45"/>
  <c r="AA459" i="45"/>
  <c r="AA458" i="45"/>
  <c r="AJ416" i="45"/>
  <c r="P647" i="45" s="1"/>
  <c r="AG371" i="45"/>
  <c r="L238" i="35"/>
  <c r="L250" i="35"/>
  <c r="L228" i="35"/>
  <c r="L248" i="35"/>
  <c r="L249" i="35"/>
  <c r="E161" i="33"/>
  <c r="F161" i="33" s="1"/>
  <c r="J382" i="33" s="1"/>
  <c r="L202" i="35"/>
  <c r="L241" i="35"/>
  <c r="V25" i="38"/>
  <c r="W61" i="38"/>
  <c r="W22" i="38"/>
  <c r="W63" i="38"/>
  <c r="L244" i="35"/>
  <c r="W11" i="38"/>
  <c r="D1296" i="35"/>
  <c r="E208" i="33"/>
  <c r="F208" i="33" s="1"/>
  <c r="D208" i="33"/>
  <c r="B696" i="33" s="1"/>
  <c r="H696" i="33" s="1"/>
  <c r="L237" i="35"/>
  <c r="L201" i="35"/>
  <c r="L240" i="35"/>
  <c r="L239" i="35"/>
  <c r="L230" i="35"/>
  <c r="L231" i="35"/>
  <c r="L259" i="35"/>
  <c r="W21" i="38"/>
  <c r="W13" i="38"/>
  <c r="L247" i="35"/>
  <c r="V29" i="38"/>
  <c r="L246" i="35"/>
  <c r="L229" i="35"/>
  <c r="L222" i="35"/>
  <c r="W8" i="38"/>
  <c r="K194" i="33"/>
  <c r="C757" i="33" s="1"/>
  <c r="G757" i="33" s="1"/>
  <c r="B549" i="33"/>
  <c r="C349" i="33"/>
  <c r="B349" i="33"/>
  <c r="B616" i="33"/>
  <c r="B415" i="33"/>
  <c r="L482" i="33"/>
  <c r="F956" i="35"/>
  <c r="G29" i="27"/>
  <c r="H104" i="32"/>
  <c r="AG8" i="38"/>
  <c r="E349" i="35"/>
  <c r="L200" i="35"/>
  <c r="G401" i="35"/>
  <c r="L252" i="35"/>
  <c r="H385" i="35"/>
  <c r="L236" i="35"/>
  <c r="K348" i="33"/>
  <c r="L348" i="33" s="1"/>
  <c r="L232" i="35"/>
  <c r="M232" i="35" s="1"/>
  <c r="AM19" i="38"/>
  <c r="AK233" i="35"/>
  <c r="M494" i="35"/>
  <c r="L260" i="35"/>
  <c r="C494" i="35" s="1"/>
  <c r="K367" i="33"/>
  <c r="L367" i="33" s="1"/>
  <c r="L251" i="35"/>
  <c r="L234" i="35"/>
  <c r="C468" i="35" s="1"/>
  <c r="E384" i="35"/>
  <c r="L235" i="35"/>
  <c r="J391" i="35"/>
  <c r="L242" i="35"/>
  <c r="M242" i="35" s="1"/>
  <c r="G956" i="35"/>
  <c r="C319" i="33"/>
  <c r="H951" i="35"/>
  <c r="I951" i="35" s="1"/>
  <c r="E8" i="38"/>
  <c r="E164" i="33"/>
  <c r="F164" i="33" s="1"/>
  <c r="J164" i="33" s="1"/>
  <c r="I960" i="33"/>
  <c r="K888" i="35"/>
  <c r="L888" i="35" s="1"/>
  <c r="L207" i="27"/>
  <c r="D217" i="33"/>
  <c r="B705" i="33" s="1"/>
  <c r="H705" i="33" s="1"/>
  <c r="E217" i="33"/>
  <c r="F217" i="33" s="1"/>
  <c r="E61" i="38"/>
  <c r="F61" i="38"/>
  <c r="L66" i="32"/>
  <c r="J66" i="32"/>
  <c r="H66" i="32"/>
  <c r="C444" i="35"/>
  <c r="H84" i="32"/>
  <c r="F52" i="38"/>
  <c r="L55" i="32"/>
  <c r="E198" i="27"/>
  <c r="F62" i="27"/>
  <c r="F60" i="27"/>
  <c r="G947" i="35"/>
  <c r="AM37" i="38"/>
  <c r="B1288" i="35"/>
  <c r="Z52" i="38" s="1"/>
  <c r="I607" i="33"/>
  <c r="J84" i="32"/>
  <c r="AG59" i="38"/>
  <c r="K879" i="35"/>
  <c r="L879" i="35" s="1"/>
  <c r="K955" i="35"/>
  <c r="L955" i="35" s="1"/>
  <c r="G1089" i="35" s="1"/>
  <c r="I1081" i="35"/>
  <c r="I286" i="27"/>
  <c r="C492" i="35"/>
  <c r="V63" i="38"/>
  <c r="AF59" i="38"/>
  <c r="AF10" i="38"/>
  <c r="F947" i="35"/>
  <c r="L1115" i="35"/>
  <c r="G903" i="35"/>
  <c r="M258" i="35"/>
  <c r="J69" i="32"/>
  <c r="E1092" i="35"/>
  <c r="AL258" i="35"/>
  <c r="E209" i="27"/>
  <c r="F209" i="27" s="1"/>
  <c r="AG38" i="38"/>
  <c r="K890" i="35"/>
  <c r="L890" i="35" s="1"/>
  <c r="AM22" i="38"/>
  <c r="AM8" i="38"/>
  <c r="M218" i="35"/>
  <c r="G28" i="27"/>
  <c r="L1127" i="35"/>
  <c r="I396" i="35"/>
  <c r="H112" i="32"/>
  <c r="M227" i="35"/>
  <c r="M481" i="35"/>
  <c r="E385" i="35"/>
  <c r="G958" i="35"/>
  <c r="K958" i="35" s="1"/>
  <c r="L958" i="35" s="1"/>
  <c r="E1050" i="35"/>
  <c r="H275" i="27"/>
  <c r="I275" i="27" s="1"/>
  <c r="J275" i="27" s="1"/>
  <c r="J385" i="35"/>
  <c r="G60" i="27"/>
  <c r="J409" i="35"/>
  <c r="H409" i="35"/>
  <c r="AG25" i="38"/>
  <c r="J340" i="33"/>
  <c r="AG62" i="38"/>
  <c r="AG18" i="38"/>
  <c r="H391" i="35"/>
  <c r="C461" i="35"/>
  <c r="E391" i="35"/>
  <c r="I185" i="33"/>
  <c r="K185" i="33" s="1"/>
  <c r="C489" i="35"/>
  <c r="C459" i="35"/>
  <c r="L103" i="32"/>
  <c r="M210" i="35"/>
  <c r="K848" i="35"/>
  <c r="L848" i="35" s="1"/>
  <c r="J406" i="33"/>
  <c r="AF9" i="38"/>
  <c r="AF19" i="38"/>
  <c r="AF11" i="38"/>
  <c r="AF13" i="38"/>
  <c r="AF58" i="38"/>
  <c r="F363" i="35"/>
  <c r="F407" i="35"/>
  <c r="F340" i="33"/>
  <c r="I391" i="35"/>
  <c r="AL255" i="35"/>
  <c r="M225" i="35"/>
  <c r="M255" i="35"/>
  <c r="AG16" i="38"/>
  <c r="J540" i="33"/>
  <c r="E991" i="35" s="1"/>
  <c r="B381" i="35"/>
  <c r="I540" i="33"/>
  <c r="G381" i="35"/>
  <c r="K540" i="33"/>
  <c r="AM65" i="38"/>
  <c r="B385" i="35"/>
  <c r="G385" i="35"/>
  <c r="K832" i="35"/>
  <c r="L832" i="35" s="1"/>
  <c r="AG28" i="38"/>
  <c r="L168" i="27"/>
  <c r="H184" i="27"/>
  <c r="K363" i="35"/>
  <c r="B245" i="27"/>
  <c r="I245" i="27" s="1"/>
  <c r="I385" i="35"/>
  <c r="I283" i="27"/>
  <c r="C385" i="35"/>
  <c r="H288" i="27"/>
  <c r="I288" i="27" s="1"/>
  <c r="J288" i="27" s="1"/>
  <c r="L110" i="32"/>
  <c r="M236" i="35"/>
  <c r="H171" i="27"/>
  <c r="H264" i="27"/>
  <c r="D385" i="35"/>
  <c r="AM63" i="38"/>
  <c r="J112" i="32"/>
  <c r="H209" i="27"/>
  <c r="L1159" i="35"/>
  <c r="AM41" i="38"/>
  <c r="K849" i="35"/>
  <c r="L849" i="35" s="1"/>
  <c r="C440" i="35"/>
  <c r="L88" i="32"/>
  <c r="J396" i="35"/>
  <c r="E396" i="35"/>
  <c r="D396" i="35"/>
  <c r="G409" i="35"/>
  <c r="B409" i="35"/>
  <c r="AG58" i="38"/>
  <c r="H396" i="35"/>
  <c r="C396" i="35"/>
  <c r="G396" i="35"/>
  <c r="AF38" i="38"/>
  <c r="I409" i="35"/>
  <c r="E409" i="35"/>
  <c r="C467" i="35"/>
  <c r="AG11" i="38"/>
  <c r="D409" i="35"/>
  <c r="AM57" i="38"/>
  <c r="AG63" i="38"/>
  <c r="H88" i="32"/>
  <c r="C442" i="35"/>
  <c r="H69" i="32"/>
  <c r="C381" i="35"/>
  <c r="I927" i="33"/>
  <c r="J927" i="33" s="1"/>
  <c r="B396" i="35"/>
  <c r="L86" i="32"/>
  <c r="M243" i="35"/>
  <c r="AF18" i="38"/>
  <c r="H207" i="27"/>
  <c r="K839" i="35"/>
  <c r="L839" i="35" s="1"/>
  <c r="AG32" i="38"/>
  <c r="AG23" i="38"/>
  <c r="AG9" i="38"/>
  <c r="AF66" i="38"/>
  <c r="AG24" i="38"/>
  <c r="I381" i="35"/>
  <c r="AF32" i="38"/>
  <c r="H381" i="35"/>
  <c r="I961" i="33"/>
  <c r="J961" i="33" s="1"/>
  <c r="AF24" i="38"/>
  <c r="L1108" i="35"/>
  <c r="M256" i="35"/>
  <c r="M216" i="35"/>
  <c r="N179" i="33"/>
  <c r="H932" i="35"/>
  <c r="I932" i="35" s="1"/>
  <c r="J381" i="35"/>
  <c r="H87" i="32"/>
  <c r="AF26" i="38"/>
  <c r="H280" i="27"/>
  <c r="AG19" i="38"/>
  <c r="AF15" i="38"/>
  <c r="AG66" i="38"/>
  <c r="AF25" i="38"/>
  <c r="AG13" i="38"/>
  <c r="AF60" i="38"/>
  <c r="AF22" i="38"/>
  <c r="AG61" i="38"/>
  <c r="AF30" i="38"/>
  <c r="H68" i="32"/>
  <c r="D381" i="35"/>
  <c r="H260" i="27"/>
  <c r="E381" i="35"/>
  <c r="AM40" i="38"/>
  <c r="K407" i="35"/>
  <c r="L209" i="27"/>
  <c r="C458" i="35"/>
  <c r="B391" i="35"/>
  <c r="G391" i="35"/>
  <c r="AG22" i="38"/>
  <c r="E41" i="38"/>
  <c r="C391" i="35"/>
  <c r="E197" i="33"/>
  <c r="F197" i="33" s="1"/>
  <c r="J418" i="33" s="1"/>
  <c r="L1158" i="35"/>
  <c r="AF61" i="38"/>
  <c r="AF8" i="38"/>
  <c r="AF23" i="38"/>
  <c r="L101" i="32"/>
  <c r="C452" i="35"/>
  <c r="AM13" i="38"/>
  <c r="M206" i="35"/>
  <c r="M203" i="35"/>
  <c r="M220" i="35"/>
  <c r="M208" i="35"/>
  <c r="J960" i="33"/>
  <c r="F156" i="27"/>
  <c r="D391" i="35"/>
  <c r="C454" i="35"/>
  <c r="AF29" i="38"/>
  <c r="AM21" i="38"/>
  <c r="F41" i="38"/>
  <c r="L1112" i="35"/>
  <c r="L112" i="32"/>
  <c r="AG15" i="38"/>
  <c r="AG60" i="38"/>
  <c r="L60" i="32"/>
  <c r="L68" i="32"/>
  <c r="F184" i="27"/>
  <c r="H156" i="27"/>
  <c r="H270" i="27"/>
  <c r="C437" i="35"/>
  <c r="C446" i="35"/>
  <c r="AG30" i="38"/>
  <c r="M212" i="35"/>
  <c r="AF62" i="38"/>
  <c r="F171" i="27"/>
  <c r="AG20" i="38"/>
  <c r="F168" i="27"/>
  <c r="AG21" i="38"/>
  <c r="AF28" i="38"/>
  <c r="AG14" i="38"/>
  <c r="AF12" i="38"/>
  <c r="F207" i="27"/>
  <c r="H176" i="27"/>
  <c r="AF31" i="38"/>
  <c r="AL256" i="35"/>
  <c r="L1116" i="35"/>
  <c r="AF14" i="38"/>
  <c r="AG31" i="38"/>
  <c r="H103" i="32"/>
  <c r="H168" i="27"/>
  <c r="F169" i="27"/>
  <c r="I926" i="33"/>
  <c r="J926" i="33" s="1"/>
  <c r="L1154" i="35"/>
  <c r="AF20" i="38"/>
  <c r="AF16" i="38"/>
  <c r="I906" i="33"/>
  <c r="J906" i="33" s="1"/>
  <c r="K358" i="35"/>
  <c r="L1110" i="35"/>
  <c r="AG12" i="38"/>
  <c r="AF21" i="38"/>
  <c r="L171" i="27"/>
  <c r="F176" i="27"/>
  <c r="C457" i="35"/>
  <c r="C450" i="35"/>
  <c r="C490" i="35"/>
  <c r="AG6" i="38"/>
  <c r="I904" i="33"/>
  <c r="J904" i="33" s="1"/>
  <c r="M223" i="35"/>
  <c r="L1120" i="35"/>
  <c r="L1128" i="35"/>
  <c r="L1111" i="35"/>
  <c r="K361" i="35"/>
  <c r="F403" i="35"/>
  <c r="K362" i="35"/>
  <c r="K370" i="35"/>
  <c r="L1122" i="35"/>
  <c r="K359" i="35"/>
  <c r="K369" i="35"/>
  <c r="L1118" i="35"/>
  <c r="F366" i="35"/>
  <c r="G916" i="35"/>
  <c r="L1124" i="35"/>
  <c r="L1117" i="35"/>
  <c r="F360" i="35"/>
  <c r="F358" i="35"/>
  <c r="K410" i="35"/>
  <c r="L1162" i="35"/>
  <c r="K353" i="35"/>
  <c r="L1105" i="35"/>
  <c r="K356" i="35"/>
  <c r="K367" i="35"/>
  <c r="F404" i="35"/>
  <c r="K366" i="35"/>
  <c r="K373" i="35"/>
  <c r="L1104" i="35"/>
  <c r="L1125" i="35"/>
  <c r="L1113" i="35"/>
  <c r="L1109" i="35"/>
  <c r="L1107" i="35"/>
  <c r="K376" i="35"/>
  <c r="F361" i="35"/>
  <c r="K368" i="35"/>
  <c r="F392" i="35"/>
  <c r="F28" i="27"/>
  <c r="F364" i="35"/>
  <c r="K394" i="35"/>
  <c r="F375" i="35"/>
  <c r="F356" i="35"/>
  <c r="K354" i="35"/>
  <c r="F365" i="35"/>
  <c r="F369" i="35"/>
  <c r="K405" i="35"/>
  <c r="K372" i="35"/>
  <c r="F362" i="35"/>
  <c r="F354" i="35"/>
  <c r="F374" i="35"/>
  <c r="K365" i="35"/>
  <c r="K360" i="35"/>
  <c r="F410" i="35"/>
  <c r="F402" i="35"/>
  <c r="F368" i="35"/>
  <c r="F359" i="35"/>
  <c r="F355" i="35"/>
  <c r="F367" i="35"/>
  <c r="K404" i="35"/>
  <c r="K352" i="35"/>
  <c r="F357" i="35"/>
  <c r="K392" i="35"/>
  <c r="F382" i="35"/>
  <c r="K403" i="35"/>
  <c r="K406" i="35"/>
  <c r="F406" i="35"/>
  <c r="K364" i="35"/>
  <c r="F394" i="35"/>
  <c r="F353" i="35"/>
  <c r="F372" i="35"/>
  <c r="K375" i="35"/>
  <c r="F376" i="35"/>
  <c r="F370" i="35"/>
  <c r="K355" i="35"/>
  <c r="K374" i="35"/>
  <c r="K357" i="35"/>
  <c r="F352" i="35"/>
  <c r="F405" i="35"/>
  <c r="F373" i="35"/>
  <c r="K382" i="35"/>
  <c r="K402" i="35"/>
  <c r="H938" i="35"/>
  <c r="I938" i="35" s="1"/>
  <c r="G78" i="27"/>
  <c r="C201" i="27"/>
  <c r="L201" i="27" s="1"/>
  <c r="F79" i="27"/>
  <c r="B202" i="27"/>
  <c r="H946" i="35"/>
  <c r="I946" i="35" s="1"/>
  <c r="H929" i="35"/>
  <c r="I929" i="35" s="1"/>
  <c r="H922" i="35"/>
  <c r="I922" i="35" s="1"/>
  <c r="G75" i="27"/>
  <c r="C198" i="27"/>
  <c r="L198" i="27" s="1"/>
  <c r="F67" i="27"/>
  <c r="B190" i="27"/>
  <c r="G77" i="27"/>
  <c r="C200" i="27"/>
  <c r="L200" i="27" s="1"/>
  <c r="G30" i="27"/>
  <c r="C153" i="27"/>
  <c r="L153" i="27" s="1"/>
  <c r="G72" i="27"/>
  <c r="C195" i="27"/>
  <c r="L195" i="27" s="1"/>
  <c r="G67" i="27"/>
  <c r="C190" i="27"/>
  <c r="L190" i="27" s="1"/>
  <c r="F72" i="27"/>
  <c r="AF49" i="38" s="1"/>
  <c r="B195" i="27"/>
  <c r="H195" i="27" s="1"/>
  <c r="H902" i="35"/>
  <c r="I902" i="35" s="1"/>
  <c r="H941" i="35"/>
  <c r="I941" i="35" s="1"/>
  <c r="G65" i="27"/>
  <c r="C188" i="27"/>
  <c r="L188" i="27" s="1"/>
  <c r="F70" i="27"/>
  <c r="B193" i="27"/>
  <c r="H935" i="35"/>
  <c r="I935" i="35" s="1"/>
  <c r="L206" i="27"/>
  <c r="H206" i="27"/>
  <c r="F212" i="27"/>
  <c r="H212" i="27"/>
  <c r="F65" i="27"/>
  <c r="B188" i="27"/>
  <c r="H950" i="35"/>
  <c r="I950" i="35" s="1"/>
  <c r="F30" i="27"/>
  <c r="B153" i="27"/>
  <c r="H928" i="35"/>
  <c r="I928" i="35" s="1"/>
  <c r="G62" i="27"/>
  <c r="AG39" i="38" s="1"/>
  <c r="C185" i="27"/>
  <c r="H948" i="35"/>
  <c r="I948" i="35" s="1"/>
  <c r="G71" i="27"/>
  <c r="C194" i="27"/>
  <c r="L194" i="27" s="1"/>
  <c r="G74" i="27"/>
  <c r="C197" i="27"/>
  <c r="L197" i="27" s="1"/>
  <c r="K365" i="33"/>
  <c r="L365" i="33" s="1"/>
  <c r="H949" i="35"/>
  <c r="I949" i="35" s="1"/>
  <c r="G76" i="27"/>
  <c r="C199" i="27"/>
  <c r="L199" i="27" s="1"/>
  <c r="F63" i="27"/>
  <c r="AF40" i="38" s="1"/>
  <c r="B186" i="27"/>
  <c r="H952" i="35"/>
  <c r="I952" i="35" s="1"/>
  <c r="H945" i="35"/>
  <c r="I945" i="35" s="1"/>
  <c r="F57" i="27"/>
  <c r="B180" i="27"/>
  <c r="H937" i="35"/>
  <c r="I937" i="35" s="1"/>
  <c r="F78" i="27"/>
  <c r="B201" i="27"/>
  <c r="F69" i="27"/>
  <c r="B192" i="27"/>
  <c r="G69" i="27"/>
  <c r="C192" i="27"/>
  <c r="L192" i="27" s="1"/>
  <c r="G87" i="27"/>
  <c r="C210" i="27"/>
  <c r="L210" i="27" s="1"/>
  <c r="F76" i="27"/>
  <c r="B199" i="27"/>
  <c r="K360" i="33"/>
  <c r="L360" i="33" s="1"/>
  <c r="H944" i="35"/>
  <c r="I944" i="35" s="1"/>
  <c r="F87" i="27"/>
  <c r="B210" i="27"/>
  <c r="F59" i="27"/>
  <c r="B182" i="27"/>
  <c r="F75" i="27"/>
  <c r="B198" i="27"/>
  <c r="H959" i="35"/>
  <c r="I959" i="35" s="1"/>
  <c r="G70" i="27"/>
  <c r="C193" i="27"/>
  <c r="G73" i="27"/>
  <c r="AG50" i="38" s="1"/>
  <c r="C196" i="27"/>
  <c r="H196" i="27" s="1"/>
  <c r="F71" i="27"/>
  <c r="B194" i="27"/>
  <c r="H943" i="35"/>
  <c r="I943" i="35" s="1"/>
  <c r="H936" i="35"/>
  <c r="I936" i="35" s="1"/>
  <c r="F206" i="27"/>
  <c r="F66" i="27"/>
  <c r="B189" i="27"/>
  <c r="G50" i="27"/>
  <c r="C173" i="27"/>
  <c r="H901" i="35"/>
  <c r="I901" i="35" s="1"/>
  <c r="H940" i="35"/>
  <c r="I940" i="35" s="1"/>
  <c r="F50" i="27"/>
  <c r="AG27" i="38" s="1"/>
  <c r="B173" i="27"/>
  <c r="K355" i="33"/>
  <c r="L355" i="33" s="1"/>
  <c r="H939" i="35"/>
  <c r="I939" i="35" s="1"/>
  <c r="L939" i="35" s="1"/>
  <c r="G79" i="27"/>
  <c r="C202" i="27"/>
  <c r="L202" i="27" s="1"/>
  <c r="G57" i="27"/>
  <c r="C180" i="27"/>
  <c r="H930" i="35"/>
  <c r="I930" i="35" s="1"/>
  <c r="K347" i="33"/>
  <c r="L347" i="33" s="1"/>
  <c r="H931" i="35"/>
  <c r="I931" i="35" s="1"/>
  <c r="L931" i="35" s="1"/>
  <c r="F77" i="27"/>
  <c r="B200" i="27"/>
  <c r="G59" i="27"/>
  <c r="C182" i="27"/>
  <c r="L182" i="27" s="1"/>
  <c r="F74" i="27"/>
  <c r="B197" i="27"/>
  <c r="G66" i="27"/>
  <c r="C189" i="27"/>
  <c r="L189" i="27" s="1"/>
  <c r="G80" i="27"/>
  <c r="C203" i="27"/>
  <c r="K363" i="33"/>
  <c r="L363" i="33" s="1"/>
  <c r="H947" i="35"/>
  <c r="I947" i="35" s="1"/>
  <c r="H934" i="35"/>
  <c r="I934" i="35" s="1"/>
  <c r="F80" i="27"/>
  <c r="B203" i="27"/>
  <c r="H960" i="35"/>
  <c r="I960" i="35" s="1"/>
  <c r="F88" i="27"/>
  <c r="B211" i="27"/>
  <c r="H942" i="35"/>
  <c r="I942" i="35" s="1"/>
  <c r="L169" i="27"/>
  <c r="H169" i="27"/>
  <c r="H933" i="35"/>
  <c r="I933" i="35" s="1"/>
  <c r="H900" i="35"/>
  <c r="I900" i="35" s="1"/>
  <c r="E153" i="27"/>
  <c r="E200" i="27"/>
  <c r="E195" i="27"/>
  <c r="L157" i="27"/>
  <c r="E157" i="27"/>
  <c r="F157" i="27" s="1"/>
  <c r="H157" i="27"/>
  <c r="B274" i="27"/>
  <c r="E197" i="27"/>
  <c r="L160" i="27"/>
  <c r="E160" i="27"/>
  <c r="F160" i="27" s="1"/>
  <c r="H160" i="27"/>
  <c r="L208" i="27"/>
  <c r="E208" i="27"/>
  <c r="F208" i="27" s="1"/>
  <c r="H208" i="27"/>
  <c r="L178" i="27"/>
  <c r="E178" i="27"/>
  <c r="F178" i="27" s="1"/>
  <c r="H178" i="27"/>
  <c r="L170" i="27"/>
  <c r="E170" i="27"/>
  <c r="F170" i="27" s="1"/>
  <c r="H170" i="27"/>
  <c r="E201" i="27"/>
  <c r="L159" i="27"/>
  <c r="E159" i="27"/>
  <c r="F159" i="27" s="1"/>
  <c r="H159" i="27"/>
  <c r="L165" i="27"/>
  <c r="E165" i="27"/>
  <c r="F165" i="27" s="1"/>
  <c r="H165" i="27"/>
  <c r="E180" i="27"/>
  <c r="E189" i="27"/>
  <c r="E196" i="27"/>
  <c r="L155" i="27"/>
  <c r="E155" i="27"/>
  <c r="F155" i="27" s="1"/>
  <c r="H155" i="27"/>
  <c r="L152" i="27"/>
  <c r="E152" i="27"/>
  <c r="F152" i="27" s="1"/>
  <c r="H152" i="27"/>
  <c r="E164" i="27"/>
  <c r="F164" i="27" s="1"/>
  <c r="L164" i="27"/>
  <c r="H164" i="27"/>
  <c r="L172" i="27"/>
  <c r="E172" i="27"/>
  <c r="F172" i="27" s="1"/>
  <c r="H172" i="27"/>
  <c r="H158" i="27"/>
  <c r="L158" i="27"/>
  <c r="E158" i="27"/>
  <c r="F158" i="27" s="1"/>
  <c r="E194" i="27"/>
  <c r="E192" i="27"/>
  <c r="L181" i="27"/>
  <c r="E181" i="27"/>
  <c r="F181" i="27" s="1"/>
  <c r="H181" i="27"/>
  <c r="L203" i="27"/>
  <c r="E203" i="27"/>
  <c r="E202" i="27"/>
  <c r="H174" i="27"/>
  <c r="L174" i="27"/>
  <c r="E174" i="27"/>
  <c r="F174" i="27" s="1"/>
  <c r="E188" i="27"/>
  <c r="L166" i="27"/>
  <c r="E166" i="27"/>
  <c r="F166" i="27" s="1"/>
  <c r="H166" i="27"/>
  <c r="E210" i="27"/>
  <c r="L177" i="27"/>
  <c r="E177" i="27"/>
  <c r="F177" i="27" s="1"/>
  <c r="H177" i="27"/>
  <c r="B238" i="27"/>
  <c r="J238" i="27" s="1"/>
  <c r="L161" i="27"/>
  <c r="E161" i="27"/>
  <c r="F161" i="27" s="1"/>
  <c r="H161" i="27"/>
  <c r="L175" i="27"/>
  <c r="E175" i="27"/>
  <c r="F175" i="27" s="1"/>
  <c r="H175" i="27"/>
  <c r="L154" i="27"/>
  <c r="E154" i="27"/>
  <c r="F154" i="27" s="1"/>
  <c r="H154" i="27"/>
  <c r="L162" i="27"/>
  <c r="E162" i="27"/>
  <c r="F162" i="27" s="1"/>
  <c r="H162" i="27"/>
  <c r="E212" i="27"/>
  <c r="L212" i="27"/>
  <c r="L204" i="27"/>
  <c r="E204" i="27"/>
  <c r="F204" i="27" s="1"/>
  <c r="H204" i="27"/>
  <c r="L205" i="27"/>
  <c r="E205" i="27"/>
  <c r="F205" i="27" s="1"/>
  <c r="H205" i="27"/>
  <c r="L167" i="27"/>
  <c r="E167" i="27"/>
  <c r="F167" i="27" s="1"/>
  <c r="H167" i="27"/>
  <c r="I916" i="33"/>
  <c r="E916" i="33"/>
  <c r="I921" i="33"/>
  <c r="E921" i="33"/>
  <c r="F921" i="33" s="1"/>
  <c r="F741" i="33" s="1"/>
  <c r="I939" i="33"/>
  <c r="J939" i="33" s="1"/>
  <c r="E939" i="33"/>
  <c r="F939" i="33" s="1"/>
  <c r="F759" i="33" s="1"/>
  <c r="I907" i="33"/>
  <c r="E907" i="33"/>
  <c r="F907" i="33" s="1"/>
  <c r="F727" i="33" s="1"/>
  <c r="I918" i="33"/>
  <c r="E918" i="33"/>
  <c r="F918" i="33" s="1"/>
  <c r="F738" i="33" s="1"/>
  <c r="I964" i="33"/>
  <c r="J964" i="33" s="1"/>
  <c r="E964" i="33"/>
  <c r="F964" i="33" s="1"/>
  <c r="F784" i="33" s="1"/>
  <c r="I946" i="33"/>
  <c r="J946" i="33" s="1"/>
  <c r="E946" i="33"/>
  <c r="F946" i="33" s="1"/>
  <c r="F766" i="33" s="1"/>
  <c r="I929" i="33"/>
  <c r="E929" i="33"/>
  <c r="I910" i="33"/>
  <c r="E910" i="33"/>
  <c r="F910" i="33" s="1"/>
  <c r="I943" i="33"/>
  <c r="J943" i="33" s="1"/>
  <c r="E943" i="33"/>
  <c r="I951" i="33"/>
  <c r="J951" i="33" s="1"/>
  <c r="E951" i="33"/>
  <c r="F951" i="33" s="1"/>
  <c r="F771" i="33" s="1"/>
  <c r="M224" i="35"/>
  <c r="J203" i="33"/>
  <c r="I424" i="33" s="1"/>
  <c r="J424" i="33"/>
  <c r="J193" i="33"/>
  <c r="I414" i="33" s="1"/>
  <c r="J414" i="33"/>
  <c r="J180" i="33"/>
  <c r="K180" i="33" s="1"/>
  <c r="J401" i="33"/>
  <c r="M238" i="35"/>
  <c r="AJ238" i="35" s="1"/>
  <c r="K354" i="33"/>
  <c r="L354" i="33" s="1"/>
  <c r="M246" i="35"/>
  <c r="K362" i="33"/>
  <c r="L362" i="33" s="1"/>
  <c r="M229" i="35"/>
  <c r="AJ229" i="35" s="1"/>
  <c r="K345" i="33"/>
  <c r="L345" i="33" s="1"/>
  <c r="J1123" i="35"/>
  <c r="K338" i="33"/>
  <c r="L338" i="33" s="1"/>
  <c r="K350" i="33"/>
  <c r="L350" i="33" s="1"/>
  <c r="K368" i="33"/>
  <c r="L368" i="33" s="1"/>
  <c r="H263" i="27"/>
  <c r="I263" i="27" s="1"/>
  <c r="J263" i="27" s="1"/>
  <c r="K351" i="33"/>
  <c r="L351" i="33" s="1"/>
  <c r="F960" i="33"/>
  <c r="F780" i="33" s="1"/>
  <c r="F924" i="33"/>
  <c r="J196" i="33"/>
  <c r="J417" i="33"/>
  <c r="J221" i="33"/>
  <c r="J442" i="33"/>
  <c r="K366" i="33"/>
  <c r="L366" i="33" s="1"/>
  <c r="J1129" i="35"/>
  <c r="K344" i="33"/>
  <c r="L344" i="33" s="1"/>
  <c r="K364" i="33"/>
  <c r="L364" i="33" s="1"/>
  <c r="H110" i="32"/>
  <c r="F922" i="33"/>
  <c r="C409" i="35"/>
  <c r="K376" i="33"/>
  <c r="L376" i="33" s="1"/>
  <c r="K358" i="33"/>
  <c r="L358" i="33" s="1"/>
  <c r="K352" i="33"/>
  <c r="L352" i="33" s="1"/>
  <c r="K361" i="33"/>
  <c r="L361" i="33" s="1"/>
  <c r="J173" i="33"/>
  <c r="K173" i="33" s="1"/>
  <c r="J394" i="33"/>
  <c r="J178" i="33"/>
  <c r="K178" i="33" s="1"/>
  <c r="J399" i="33"/>
  <c r="J181" i="33"/>
  <c r="K181" i="33" s="1"/>
  <c r="J402" i="33"/>
  <c r="J175" i="33"/>
  <c r="K175" i="33" s="1"/>
  <c r="J396" i="33"/>
  <c r="J222" i="33"/>
  <c r="I443" i="33" s="1"/>
  <c r="J443" i="33"/>
  <c r="J186" i="33"/>
  <c r="K186" i="33" s="1"/>
  <c r="J407" i="33"/>
  <c r="D386" i="35"/>
  <c r="K353" i="33"/>
  <c r="L353" i="33" s="1"/>
  <c r="J215" i="33"/>
  <c r="K215" i="33" s="1"/>
  <c r="J436" i="33"/>
  <c r="C350" i="35"/>
  <c r="K317" i="33"/>
  <c r="L317" i="33" s="1"/>
  <c r="K356" i="33"/>
  <c r="L356" i="33" s="1"/>
  <c r="M230" i="35"/>
  <c r="AJ230" i="35" s="1"/>
  <c r="K346" i="33"/>
  <c r="L346" i="33" s="1"/>
  <c r="M493" i="35"/>
  <c r="K375" i="33"/>
  <c r="L375" i="33" s="1"/>
  <c r="M202" i="35"/>
  <c r="K318" i="33"/>
  <c r="L318" i="33" s="1"/>
  <c r="M241" i="35"/>
  <c r="K357" i="33"/>
  <c r="L357" i="33" s="1"/>
  <c r="C434" i="35"/>
  <c r="K316" i="33"/>
  <c r="L316" i="33" s="1"/>
  <c r="J192" i="33"/>
  <c r="I413" i="33" s="1"/>
  <c r="J210" i="33"/>
  <c r="I431" i="33" s="1"/>
  <c r="B418" i="33"/>
  <c r="J200" i="33"/>
  <c r="I421" i="33" s="1"/>
  <c r="C367" i="33"/>
  <c r="K212" i="33"/>
  <c r="C775" i="33" s="1"/>
  <c r="J204" i="33"/>
  <c r="I425" i="33" s="1"/>
  <c r="H85" i="32"/>
  <c r="I948" i="33"/>
  <c r="J948" i="33" s="1"/>
  <c r="L85" i="32"/>
  <c r="I912" i="33"/>
  <c r="J912" i="33" s="1"/>
  <c r="I942" i="33"/>
  <c r="J942" i="33" s="1"/>
  <c r="I938" i="33"/>
  <c r="J938" i="33" s="1"/>
  <c r="J383" i="35"/>
  <c r="E401" i="35"/>
  <c r="H384" i="35"/>
  <c r="I384" i="35"/>
  <c r="M235" i="35"/>
  <c r="D384" i="35"/>
  <c r="I955" i="33"/>
  <c r="J955" i="33" s="1"/>
  <c r="B383" i="35"/>
  <c r="G383" i="35"/>
  <c r="V61" i="38"/>
  <c r="H383" i="35"/>
  <c r="I949" i="33"/>
  <c r="J949" i="33" s="1"/>
  <c r="J401" i="35"/>
  <c r="B401" i="35"/>
  <c r="C401" i="35"/>
  <c r="J384" i="35"/>
  <c r="W29" i="38"/>
  <c r="F916" i="35"/>
  <c r="H349" i="35"/>
  <c r="I963" i="33"/>
  <c r="J963" i="33" s="1"/>
  <c r="D401" i="35"/>
  <c r="H401" i="35"/>
  <c r="I401" i="35"/>
  <c r="M486" i="35"/>
  <c r="G384" i="35"/>
  <c r="C384" i="35"/>
  <c r="B384" i="35"/>
  <c r="L102" i="32"/>
  <c r="L100" i="32"/>
  <c r="J100" i="32"/>
  <c r="I965" i="33"/>
  <c r="I947" i="33"/>
  <c r="J947" i="33" s="1"/>
  <c r="I261" i="27"/>
  <c r="J261" i="27" s="1"/>
  <c r="F54" i="38"/>
  <c r="F938" i="33"/>
  <c r="F758" i="33" s="1"/>
  <c r="B911" i="33"/>
  <c r="B965" i="33"/>
  <c r="E965" i="33" s="1"/>
  <c r="B920" i="33"/>
  <c r="B954" i="33"/>
  <c r="F912" i="33"/>
  <c r="F732" i="33" s="1"/>
  <c r="F942" i="33"/>
  <c r="F762" i="33" s="1"/>
  <c r="F963" i="33"/>
  <c r="F783" i="33" s="1"/>
  <c r="F906" i="33"/>
  <c r="F726" i="33" s="1"/>
  <c r="F926" i="33"/>
  <c r="F746" i="33" s="1"/>
  <c r="F961" i="33"/>
  <c r="F781" i="33" s="1"/>
  <c r="B923" i="33"/>
  <c r="B962" i="33"/>
  <c r="F949" i="33"/>
  <c r="F769" i="33" s="1"/>
  <c r="F927" i="33"/>
  <c r="F747" i="33" s="1"/>
  <c r="F948" i="33"/>
  <c r="F768" i="33" s="1"/>
  <c r="B953" i="33"/>
  <c r="I204" i="33"/>
  <c r="E64" i="38"/>
  <c r="H91" i="32"/>
  <c r="H101" i="32"/>
  <c r="L91" i="32"/>
  <c r="AM44" i="38"/>
  <c r="AM56" i="38"/>
  <c r="H95" i="32"/>
  <c r="D219" i="33"/>
  <c r="B707" i="33" s="1"/>
  <c r="H707" i="33" s="1"/>
  <c r="E219" i="33"/>
  <c r="F219" i="33" s="1"/>
  <c r="E63" i="38"/>
  <c r="L533" i="35"/>
  <c r="AM48" i="38"/>
  <c r="L95" i="32"/>
  <c r="B235" i="27"/>
  <c r="J235" i="27" s="1"/>
  <c r="AM39" i="38"/>
  <c r="D383" i="35"/>
  <c r="E383" i="35"/>
  <c r="H86" i="32"/>
  <c r="C383" i="35"/>
  <c r="H262" i="27"/>
  <c r="I383" i="35"/>
  <c r="I1041" i="35"/>
  <c r="E1041" i="35"/>
  <c r="K882" i="35"/>
  <c r="L882" i="35" s="1"/>
  <c r="H60" i="32"/>
  <c r="AM233" i="35"/>
  <c r="L75" i="32"/>
  <c r="D467" i="35"/>
  <c r="AE233" i="35"/>
  <c r="I349" i="35"/>
  <c r="B349" i="35"/>
  <c r="G349" i="35"/>
  <c r="AI233" i="35"/>
  <c r="AF233" i="35"/>
  <c r="H75" i="32"/>
  <c r="I200" i="33"/>
  <c r="B1291" i="35"/>
  <c r="Z55" i="38" s="1"/>
  <c r="AH233" i="35"/>
  <c r="G950" i="35"/>
  <c r="F950" i="35"/>
  <c r="AD233" i="35"/>
  <c r="B421" i="33"/>
  <c r="B622" i="33"/>
  <c r="L488" i="33"/>
  <c r="M488" i="33" s="1"/>
  <c r="B555" i="33"/>
  <c r="C355" i="33"/>
  <c r="B355" i="33"/>
  <c r="B278" i="27"/>
  <c r="I1084" i="35"/>
  <c r="D211" i="33"/>
  <c r="E55" i="38"/>
  <c r="E211" i="33"/>
  <c r="F211" i="33" s="1"/>
  <c r="J432" i="33" s="1"/>
  <c r="F907" i="35"/>
  <c r="C375" i="33"/>
  <c r="B575" i="33"/>
  <c r="H59" i="32"/>
  <c r="L508" i="33"/>
  <c r="M508" i="33" s="1"/>
  <c r="G907" i="35"/>
  <c r="B375" i="33"/>
  <c r="H257" i="27"/>
  <c r="B642" i="33"/>
  <c r="B441" i="33"/>
  <c r="E220" i="33"/>
  <c r="F220" i="33" s="1"/>
  <c r="J441" i="33" s="1"/>
  <c r="W38" i="38"/>
  <c r="L59" i="32"/>
  <c r="AG233" i="35"/>
  <c r="AL233" i="35"/>
  <c r="AM54" i="38"/>
  <c r="B1290" i="35"/>
  <c r="Z54" i="38" s="1"/>
  <c r="B1285" i="35"/>
  <c r="Z49" i="38" s="1"/>
  <c r="B1247" i="35"/>
  <c r="Z11" i="38" s="1"/>
  <c r="B1252" i="35"/>
  <c r="Z16" i="38" s="1"/>
  <c r="B1279" i="35"/>
  <c r="Z43" i="38" s="1"/>
  <c r="B1286" i="35"/>
  <c r="Z50" i="38" s="1"/>
  <c r="B1242" i="35"/>
  <c r="Z6" i="38" s="1"/>
  <c r="B1267" i="35"/>
  <c r="Z31" i="38" s="1"/>
  <c r="B1265" i="35"/>
  <c r="Z29" i="38" s="1"/>
  <c r="B1244" i="35"/>
  <c r="Z8" i="38" s="1"/>
  <c r="B1268" i="35"/>
  <c r="Z32" i="38" s="1"/>
  <c r="B1270" i="35"/>
  <c r="Z34" i="38" s="1"/>
  <c r="B1298" i="35"/>
  <c r="Z62" i="38" s="1"/>
  <c r="B1250" i="35"/>
  <c r="Z14" i="38" s="1"/>
  <c r="B1245" i="35"/>
  <c r="Z9" i="38" s="1"/>
  <c r="B1262" i="35"/>
  <c r="Z26" i="38" s="1"/>
  <c r="B1243" i="35"/>
  <c r="Z7" i="38" s="1"/>
  <c r="B1271" i="35"/>
  <c r="Z35" i="38" s="1"/>
  <c r="B1278" i="35"/>
  <c r="Z42" i="38" s="1"/>
  <c r="B1289" i="35"/>
  <c r="Z53" i="38" s="1"/>
  <c r="B1249" i="35"/>
  <c r="Z13" i="38" s="1"/>
  <c r="B1282" i="35"/>
  <c r="Z46" i="38" s="1"/>
  <c r="B1292" i="35"/>
  <c r="Z56" i="38" s="1"/>
  <c r="B1281" i="35"/>
  <c r="Z45" i="38" s="1"/>
  <c r="B1264" i="35"/>
  <c r="Z28" i="38" s="1"/>
  <c r="H52" i="32"/>
  <c r="B1302" i="35"/>
  <c r="Z66" i="38" s="1"/>
  <c r="B1300" i="35"/>
  <c r="Z64" i="38" s="1"/>
  <c r="E212" i="33"/>
  <c r="F212" i="33" s="1"/>
  <c r="J433" i="33" s="1"/>
  <c r="B1284" i="35"/>
  <c r="Z48" i="38" s="1"/>
  <c r="B1255" i="35"/>
  <c r="Z19" i="38" s="1"/>
  <c r="B1293" i="35"/>
  <c r="Z57" i="38" s="1"/>
  <c r="B1253" i="35"/>
  <c r="Z17" i="38" s="1"/>
  <c r="B1258" i="35"/>
  <c r="Z22" i="38" s="1"/>
  <c r="B1287" i="35"/>
  <c r="Z51" i="38" s="1"/>
  <c r="B1294" i="35"/>
  <c r="Z58" i="38" s="1"/>
  <c r="B1260" i="35"/>
  <c r="Z24" i="38" s="1"/>
  <c r="B1256" i="35"/>
  <c r="Z20" i="38" s="1"/>
  <c r="B1251" i="35"/>
  <c r="Z15" i="38" s="1"/>
  <c r="B1248" i="35"/>
  <c r="Z12" i="38" s="1"/>
  <c r="M1401" i="35"/>
  <c r="N1401" i="35" s="1"/>
  <c r="L1467" i="35" s="1"/>
  <c r="M1467" i="35" s="1"/>
  <c r="J1134" i="35"/>
  <c r="I1091" i="35"/>
  <c r="E1047" i="35"/>
  <c r="I1080" i="35"/>
  <c r="I1053" i="35"/>
  <c r="E1087" i="35"/>
  <c r="E1060" i="35"/>
  <c r="I1035" i="35"/>
  <c r="I1049" i="35"/>
  <c r="I1043" i="35"/>
  <c r="E1088" i="35"/>
  <c r="E1038" i="35"/>
  <c r="K853" i="35"/>
  <c r="V22" i="38"/>
  <c r="M1374" i="35"/>
  <c r="N1374" i="35" s="1"/>
  <c r="L1440" i="35" s="1"/>
  <c r="M1440" i="35" s="1"/>
  <c r="M1402" i="35"/>
  <c r="N1402" i="35" s="1"/>
  <c r="L1468" i="35" s="1"/>
  <c r="M1468" i="35" s="1"/>
  <c r="M1412" i="35"/>
  <c r="N1412" i="35" s="1"/>
  <c r="L1478" i="35" s="1"/>
  <c r="M1376" i="35"/>
  <c r="N1376" i="35" s="1"/>
  <c r="L1442" i="35" s="1"/>
  <c r="M1442" i="35" s="1"/>
  <c r="AP48" i="38"/>
  <c r="AQ48" i="38" s="1"/>
  <c r="L495" i="33"/>
  <c r="B391" i="33"/>
  <c r="L458" i="33"/>
  <c r="M458" i="33" s="1"/>
  <c r="B392" i="33"/>
  <c r="L459" i="33"/>
  <c r="M459" i="33" s="1"/>
  <c r="B437" i="33"/>
  <c r="L504" i="33"/>
  <c r="M504" i="33" s="1"/>
  <c r="B390" i="33"/>
  <c r="L457" i="33"/>
  <c r="M457" i="33" s="1"/>
  <c r="B433" i="33"/>
  <c r="L500" i="33"/>
  <c r="B410" i="33"/>
  <c r="L477" i="33"/>
  <c r="M477" i="33" s="1"/>
  <c r="B430" i="33"/>
  <c r="L497" i="33"/>
  <c r="M497" i="33" s="1"/>
  <c r="B423" i="33"/>
  <c r="B393" i="33"/>
  <c r="L460" i="33"/>
  <c r="M460" i="33" s="1"/>
  <c r="B403" i="33"/>
  <c r="L470" i="33"/>
  <c r="B416" i="33"/>
  <c r="B383" i="33"/>
  <c r="L450" i="33"/>
  <c r="M450" i="33" s="1"/>
  <c r="B395" i="33"/>
  <c r="L462" i="33"/>
  <c r="M462" i="33" s="1"/>
  <c r="B386" i="33"/>
  <c r="L453" i="33"/>
  <c r="M453" i="33" s="1"/>
  <c r="B405" i="33"/>
  <c r="L472" i="33"/>
  <c r="M472" i="33" s="1"/>
  <c r="B409" i="33"/>
  <c r="L476" i="33"/>
  <c r="M476" i="33" s="1"/>
  <c r="B427" i="33"/>
  <c r="L494" i="33"/>
  <c r="B411" i="33"/>
  <c r="L478" i="33"/>
  <c r="M478" i="33" s="1"/>
  <c r="B408" i="33"/>
  <c r="L475" i="33"/>
  <c r="B439" i="33"/>
  <c r="L506" i="33"/>
  <c r="D390" i="35"/>
  <c r="H390" i="35"/>
  <c r="J390" i="35"/>
  <c r="C493" i="35"/>
  <c r="M211" i="35"/>
  <c r="M209" i="35"/>
  <c r="M204" i="35"/>
  <c r="M226" i="35"/>
  <c r="M219" i="35"/>
  <c r="M247" i="35"/>
  <c r="M215" i="35"/>
  <c r="M261" i="35"/>
  <c r="M213" i="35"/>
  <c r="M254" i="35"/>
  <c r="M257" i="35"/>
  <c r="M245" i="35"/>
  <c r="M207" i="35"/>
  <c r="M205" i="35"/>
  <c r="M221" i="35"/>
  <c r="M217" i="35"/>
  <c r="M253" i="35"/>
  <c r="V11" i="38"/>
  <c r="F39" i="38"/>
  <c r="L187" i="32"/>
  <c r="E195" i="33"/>
  <c r="F195" i="33" s="1"/>
  <c r="J416" i="33" s="1"/>
  <c r="E39" i="38"/>
  <c r="E378" i="35"/>
  <c r="G378" i="35"/>
  <c r="B378" i="35"/>
  <c r="D378" i="35"/>
  <c r="K891" i="35"/>
  <c r="L891" i="35" s="1"/>
  <c r="H378" i="35"/>
  <c r="L99" i="32"/>
  <c r="C451" i="35"/>
  <c r="V8" i="38"/>
  <c r="J349" i="35"/>
  <c r="B285" i="27"/>
  <c r="I285" i="27" s="1"/>
  <c r="E408" i="35"/>
  <c r="AM7" i="38"/>
  <c r="D349" i="35"/>
  <c r="C349" i="35"/>
  <c r="L73" i="32"/>
  <c r="I643" i="33"/>
  <c r="H266" i="27"/>
  <c r="G408" i="35"/>
  <c r="C408" i="35"/>
  <c r="B367" i="33"/>
  <c r="H89" i="32"/>
  <c r="D408" i="35"/>
  <c r="B408" i="35"/>
  <c r="I408" i="35"/>
  <c r="F56" i="38"/>
  <c r="I210" i="33"/>
  <c r="H408" i="35"/>
  <c r="H287" i="27"/>
  <c r="J408" i="35"/>
  <c r="E56" i="38"/>
  <c r="W25" i="38"/>
  <c r="D168" i="33"/>
  <c r="B656" i="33" s="1"/>
  <c r="H656" i="33" s="1"/>
  <c r="E168" i="33"/>
  <c r="F168" i="33" s="1"/>
  <c r="E12" i="38"/>
  <c r="I603" i="33"/>
  <c r="V13" i="38"/>
  <c r="I390" i="35"/>
  <c r="AC52" i="38"/>
  <c r="AD52" i="38" s="1"/>
  <c r="L527" i="35"/>
  <c r="AF6" i="38"/>
  <c r="D387" i="35"/>
  <c r="H387" i="35"/>
  <c r="C390" i="35"/>
  <c r="E390" i="35"/>
  <c r="B390" i="35"/>
  <c r="H269" i="27"/>
  <c r="G390" i="35"/>
  <c r="I618" i="33"/>
  <c r="B634" i="33"/>
  <c r="B567" i="33"/>
  <c r="AM52" i="38"/>
  <c r="AM32" i="38"/>
  <c r="J103" i="32"/>
  <c r="K859" i="35"/>
  <c r="L859" i="35" s="1"/>
  <c r="V21" i="38"/>
  <c r="V28" i="38"/>
  <c r="W18" i="38"/>
  <c r="W58" i="38"/>
  <c r="V23" i="38"/>
  <c r="W30" i="38"/>
  <c r="W59" i="38"/>
  <c r="V17" i="38"/>
  <c r="W66" i="38"/>
  <c r="W15" i="38"/>
  <c r="W9" i="38"/>
  <c r="W32" i="38"/>
  <c r="I608" i="33"/>
  <c r="D205" i="33"/>
  <c r="F341" i="33"/>
  <c r="F21" i="38"/>
  <c r="F42" i="38"/>
  <c r="F47" i="38"/>
  <c r="F37" i="38"/>
  <c r="F22" i="38"/>
  <c r="F11" i="38"/>
  <c r="F8" i="38"/>
  <c r="F40" i="38"/>
  <c r="F65" i="38"/>
  <c r="F32" i="38"/>
  <c r="I595" i="33"/>
  <c r="F19" i="38"/>
  <c r="F25" i="38"/>
  <c r="I620" i="33"/>
  <c r="F5" i="38"/>
  <c r="B612" i="33"/>
  <c r="B545" i="33"/>
  <c r="B531" i="33"/>
  <c r="B609" i="33"/>
  <c r="B542" i="33"/>
  <c r="B638" i="33"/>
  <c r="B571" i="33"/>
  <c r="J541" i="33"/>
  <c r="E992" i="35" s="1"/>
  <c r="K541" i="33"/>
  <c r="I541" i="33"/>
  <c r="G541" i="33"/>
  <c r="G992" i="35" s="1"/>
  <c r="B544" i="33"/>
  <c r="B611" i="33"/>
  <c r="B594" i="33"/>
  <c r="B527" i="33"/>
  <c r="B592" i="33"/>
  <c r="B525" i="33"/>
  <c r="B596" i="33"/>
  <c r="B529" i="33"/>
  <c r="B587" i="33"/>
  <c r="B520" i="33"/>
  <c r="B610" i="33"/>
  <c r="B543" i="33"/>
  <c r="B640" i="33"/>
  <c r="B573" i="33"/>
  <c r="B628" i="33"/>
  <c r="B561" i="33"/>
  <c r="J553" i="33"/>
  <c r="E1004" i="35" s="1"/>
  <c r="K553" i="33"/>
  <c r="I553" i="33"/>
  <c r="G553" i="33"/>
  <c r="G1004" i="35" s="1"/>
  <c r="K528" i="33"/>
  <c r="I528" i="33"/>
  <c r="J528" i="33"/>
  <c r="E979" i="35" s="1"/>
  <c r="G528" i="33"/>
  <c r="G979" i="35" s="1"/>
  <c r="K551" i="33"/>
  <c r="I551" i="33"/>
  <c r="G551" i="33"/>
  <c r="G1002" i="35" s="1"/>
  <c r="J551" i="33"/>
  <c r="E1002" i="35" s="1"/>
  <c r="K548" i="33"/>
  <c r="I548" i="33"/>
  <c r="G548" i="33"/>
  <c r="G999" i="35" s="1"/>
  <c r="J548" i="33"/>
  <c r="E999" i="35" s="1"/>
  <c r="B631" i="33"/>
  <c r="B564" i="33"/>
  <c r="B584" i="33"/>
  <c r="B517" i="33"/>
  <c r="B606" i="33"/>
  <c r="B539" i="33"/>
  <c r="B591" i="33"/>
  <c r="B524" i="33"/>
  <c r="K547" i="33"/>
  <c r="I547" i="33"/>
  <c r="G547" i="33"/>
  <c r="G998" i="35" s="1"/>
  <c r="J547" i="33"/>
  <c r="E998" i="35" s="1"/>
  <c r="K536" i="33"/>
  <c r="I536" i="33"/>
  <c r="J536" i="33"/>
  <c r="E987" i="35" s="1"/>
  <c r="G536" i="33"/>
  <c r="G987" i="35" s="1"/>
  <c r="B593" i="33"/>
  <c r="B526" i="33"/>
  <c r="B604" i="33"/>
  <c r="B537" i="33"/>
  <c r="K576" i="33"/>
  <c r="I576" i="33"/>
  <c r="J576" i="33"/>
  <c r="E1027" i="35" s="1"/>
  <c r="G576" i="33"/>
  <c r="G1027" i="35" s="1"/>
  <c r="J530" i="33"/>
  <c r="E981" i="35" s="1"/>
  <c r="I530" i="33"/>
  <c r="G530" i="33"/>
  <c r="G981" i="35" s="1"/>
  <c r="K530" i="33"/>
  <c r="J558" i="33"/>
  <c r="E1009" i="35" s="1"/>
  <c r="I558" i="33"/>
  <c r="K558" i="33"/>
  <c r="G558" i="33"/>
  <c r="G1009" i="35" s="1"/>
  <c r="I387" i="33"/>
  <c r="I192" i="33"/>
  <c r="E218" i="33"/>
  <c r="F218" i="33" s="1"/>
  <c r="J439" i="33" s="1"/>
  <c r="I597" i="33"/>
  <c r="I406" i="33"/>
  <c r="I625" i="33"/>
  <c r="I388" i="33"/>
  <c r="J341" i="33"/>
  <c r="B327" i="33"/>
  <c r="B905" i="33"/>
  <c r="B320" i="33"/>
  <c r="B944" i="33"/>
  <c r="B919" i="33"/>
  <c r="C342" i="33"/>
  <c r="B932" i="33"/>
  <c r="C364" i="33"/>
  <c r="B931" i="33"/>
  <c r="F198" i="33"/>
  <c r="J419" i="33" s="1"/>
  <c r="F205" i="33"/>
  <c r="J426" i="33" s="1"/>
  <c r="B957" i="33"/>
  <c r="B915" i="33"/>
  <c r="C317" i="33"/>
  <c r="B913" i="33"/>
  <c r="B908" i="33"/>
  <c r="D161" i="33"/>
  <c r="C373" i="33"/>
  <c r="B958" i="33"/>
  <c r="M1408" i="35"/>
  <c r="N1408" i="35" s="1"/>
  <c r="L1474" i="35" s="1"/>
  <c r="C325" i="33"/>
  <c r="C327" i="33"/>
  <c r="F330" i="33"/>
  <c r="D163" i="33"/>
  <c r="E28" i="38"/>
  <c r="E184" i="33"/>
  <c r="F184" i="33" s="1"/>
  <c r="J405" i="33" s="1"/>
  <c r="E50" i="38"/>
  <c r="B361" i="33"/>
  <c r="E206" i="33"/>
  <c r="F206" i="33" s="1"/>
  <c r="J427" i="33" s="1"/>
  <c r="C361" i="33"/>
  <c r="E32" i="38"/>
  <c r="B373" i="33"/>
  <c r="E5" i="38"/>
  <c r="E62" i="38"/>
  <c r="B331" i="33"/>
  <c r="F348" i="33"/>
  <c r="F351" i="33"/>
  <c r="F358" i="33"/>
  <c r="F353" i="33"/>
  <c r="M463" i="35"/>
  <c r="E13" i="38"/>
  <c r="E169" i="33"/>
  <c r="F169" i="33" s="1"/>
  <c r="I378" i="35"/>
  <c r="C378" i="35"/>
  <c r="J378" i="35"/>
  <c r="V30" i="38"/>
  <c r="J358" i="33"/>
  <c r="C324" i="33"/>
  <c r="J353" i="33"/>
  <c r="F328" i="33"/>
  <c r="J376" i="33"/>
  <c r="I1047" i="35"/>
  <c r="H102" i="32"/>
  <c r="B324" i="33"/>
  <c r="B254" i="27"/>
  <c r="I254" i="27" s="1"/>
  <c r="B387" i="35"/>
  <c r="G387" i="35"/>
  <c r="F376" i="33"/>
  <c r="W23" i="38"/>
  <c r="L83" i="32"/>
  <c r="I387" i="35"/>
  <c r="C387" i="35"/>
  <c r="E387" i="35"/>
  <c r="J387" i="35"/>
  <c r="J330" i="33"/>
  <c r="K842" i="35"/>
  <c r="L842" i="35" s="1"/>
  <c r="E1044" i="35"/>
  <c r="I1044" i="35"/>
  <c r="K847" i="35"/>
  <c r="L847" i="35" s="1"/>
  <c r="F336" i="33"/>
  <c r="G926" i="35"/>
  <c r="H230" i="27"/>
  <c r="H351" i="35"/>
  <c r="H79" i="32"/>
  <c r="F915" i="35"/>
  <c r="G915" i="35"/>
  <c r="H54" i="32"/>
  <c r="B351" i="35"/>
  <c r="G351" i="35"/>
  <c r="J54" i="32"/>
  <c r="F913" i="35"/>
  <c r="G913" i="35"/>
  <c r="F957" i="35"/>
  <c r="K957" i="35" s="1"/>
  <c r="L957" i="35" s="1"/>
  <c r="K935" i="35"/>
  <c r="H99" i="32"/>
  <c r="V15" i="38"/>
  <c r="J79" i="32"/>
  <c r="J351" i="35"/>
  <c r="C351" i="35"/>
  <c r="AM42" i="38"/>
  <c r="I351" i="35"/>
  <c r="D351" i="35"/>
  <c r="E351" i="35"/>
  <c r="L89" i="32"/>
  <c r="AL257" i="35"/>
  <c r="B317" i="33"/>
  <c r="AK214" i="35"/>
  <c r="E1049" i="35"/>
  <c r="B255" i="27"/>
  <c r="I255" i="27" s="1"/>
  <c r="B247" i="27"/>
  <c r="J247" i="27" s="1"/>
  <c r="AL254" i="35"/>
  <c r="F919" i="35"/>
  <c r="B350" i="35"/>
  <c r="C337" i="33"/>
  <c r="B337" i="33"/>
  <c r="J351" i="33"/>
  <c r="B325" i="33"/>
  <c r="B342" i="33"/>
  <c r="B339" i="33"/>
  <c r="J336" i="33"/>
  <c r="J328" i="33"/>
  <c r="C338" i="33"/>
  <c r="AF41" i="38"/>
  <c r="D201" i="33"/>
  <c r="J83" i="32"/>
  <c r="H73" i="32"/>
  <c r="C343" i="33"/>
  <c r="B343" i="33"/>
  <c r="B364" i="33"/>
  <c r="B345" i="33"/>
  <c r="C320" i="33"/>
  <c r="E43" i="38"/>
  <c r="D199" i="33"/>
  <c r="B329" i="33"/>
  <c r="C339" i="33"/>
  <c r="J348" i="33"/>
  <c r="C344" i="33"/>
  <c r="C345" i="33"/>
  <c r="C329" i="33"/>
  <c r="C326" i="33"/>
  <c r="I614" i="33"/>
  <c r="B344" i="33"/>
  <c r="B326" i="33"/>
  <c r="B371" i="33"/>
  <c r="C371" i="33"/>
  <c r="J347" i="33"/>
  <c r="F347" i="33"/>
  <c r="AM26" i="38"/>
  <c r="G901" i="35"/>
  <c r="G921" i="35"/>
  <c r="F921" i="35"/>
  <c r="R26" i="38"/>
  <c r="E1091" i="35"/>
  <c r="D988" i="35"/>
  <c r="C455" i="35"/>
  <c r="B925" i="33"/>
  <c r="G388" i="35"/>
  <c r="H267" i="27"/>
  <c r="I267" i="27" s="1"/>
  <c r="J267" i="27" s="1"/>
  <c r="J388" i="35"/>
  <c r="D388" i="35"/>
  <c r="C388" i="35"/>
  <c r="I388" i="35"/>
  <c r="B388" i="35"/>
  <c r="E388" i="35"/>
  <c r="H388" i="35"/>
  <c r="AM55" i="38"/>
  <c r="E26" i="38"/>
  <c r="E182" i="33"/>
  <c r="B249" i="27"/>
  <c r="E1055" i="35"/>
  <c r="I1055" i="35"/>
  <c r="K841" i="35"/>
  <c r="L841" i="35" s="1"/>
  <c r="AM36" i="38"/>
  <c r="F910" i="35"/>
  <c r="I386" i="35"/>
  <c r="H265" i="27"/>
  <c r="G350" i="35"/>
  <c r="J350" i="35"/>
  <c r="E350" i="35"/>
  <c r="G386" i="35"/>
  <c r="J386" i="35"/>
  <c r="I1038" i="35"/>
  <c r="B229" i="27"/>
  <c r="D350" i="35"/>
  <c r="K845" i="35"/>
  <c r="L845" i="35" s="1"/>
  <c r="G948" i="35"/>
  <c r="G910" i="35"/>
  <c r="J89" i="32"/>
  <c r="C386" i="35"/>
  <c r="H386" i="35"/>
  <c r="E386" i="35"/>
  <c r="B386" i="35"/>
  <c r="H350" i="35"/>
  <c r="H229" i="27"/>
  <c r="I350" i="35"/>
  <c r="H83" i="32"/>
  <c r="V32" i="38"/>
  <c r="C447" i="35"/>
  <c r="I1060" i="35"/>
  <c r="W28" i="38"/>
  <c r="D982" i="35"/>
  <c r="H279" i="27"/>
  <c r="I400" i="35"/>
  <c r="D400" i="35"/>
  <c r="H400" i="35"/>
  <c r="M485" i="35"/>
  <c r="B400" i="35"/>
  <c r="E400" i="35"/>
  <c r="C400" i="35"/>
  <c r="J400" i="35"/>
  <c r="G400" i="35"/>
  <c r="C380" i="35"/>
  <c r="B380" i="35"/>
  <c r="D380" i="35"/>
  <c r="H259" i="27"/>
  <c r="I259" i="27" s="1"/>
  <c r="J259" i="27" s="1"/>
  <c r="H380" i="35"/>
  <c r="G380" i="35"/>
  <c r="I380" i="35"/>
  <c r="E380" i="35"/>
  <c r="J380" i="35"/>
  <c r="M465" i="35"/>
  <c r="K877" i="35"/>
  <c r="L877" i="35" s="1"/>
  <c r="H278" i="27"/>
  <c r="B399" i="35"/>
  <c r="H399" i="35"/>
  <c r="C399" i="35"/>
  <c r="G399" i="35"/>
  <c r="J399" i="35"/>
  <c r="I399" i="35"/>
  <c r="M484" i="35"/>
  <c r="D399" i="35"/>
  <c r="E399" i="35"/>
  <c r="L79" i="32"/>
  <c r="H105" i="32"/>
  <c r="C398" i="35"/>
  <c r="J398" i="35"/>
  <c r="D398" i="35"/>
  <c r="G398" i="35"/>
  <c r="H398" i="35"/>
  <c r="I398" i="35"/>
  <c r="M483" i="35"/>
  <c r="B398" i="35"/>
  <c r="H277" i="27"/>
  <c r="E398" i="35"/>
  <c r="K960" i="35"/>
  <c r="V58" i="38"/>
  <c r="H62" i="32"/>
  <c r="V10" i="38"/>
  <c r="W10" i="38"/>
  <c r="K918" i="35"/>
  <c r="L918" i="35" s="1"/>
  <c r="K836" i="35"/>
  <c r="L836" i="35" s="1"/>
  <c r="F948" i="35"/>
  <c r="C439" i="35"/>
  <c r="AM28" i="38"/>
  <c r="K889" i="35"/>
  <c r="L889" i="35" s="1"/>
  <c r="F954" i="35"/>
  <c r="I1087" i="35"/>
  <c r="E199" i="33"/>
  <c r="AM15" i="38"/>
  <c r="V26" i="38"/>
  <c r="W26" i="38"/>
  <c r="G904" i="35"/>
  <c r="K904" i="35" s="1"/>
  <c r="L904" i="35" s="1"/>
  <c r="W12" i="38"/>
  <c r="V12" i="38"/>
  <c r="C441" i="35"/>
  <c r="B282" i="27"/>
  <c r="I282" i="27" s="1"/>
  <c r="J75" i="32"/>
  <c r="E1053" i="35"/>
  <c r="V18" i="38"/>
  <c r="F901" i="35"/>
  <c r="D1024" i="35"/>
  <c r="E1043" i="35"/>
  <c r="K833" i="35"/>
  <c r="L833" i="35" s="1"/>
  <c r="B241" i="27"/>
  <c r="J241" i="27" s="1"/>
  <c r="K858" i="35"/>
  <c r="L858" i="35" s="1"/>
  <c r="AM18" i="38"/>
  <c r="W60" i="38"/>
  <c r="V60" i="38"/>
  <c r="D1012" i="35"/>
  <c r="M1411" i="35"/>
  <c r="N1411" i="35" s="1"/>
  <c r="L1477" i="35" s="1"/>
  <c r="I221" i="33"/>
  <c r="B237" i="27"/>
  <c r="J237" i="27" s="1"/>
  <c r="K855" i="35"/>
  <c r="L855" i="35" s="1"/>
  <c r="F926" i="35"/>
  <c r="V9" i="38"/>
  <c r="B914" i="33"/>
  <c r="E171" i="33"/>
  <c r="F171" i="33" s="1"/>
  <c r="E15" i="38"/>
  <c r="L78" i="32"/>
  <c r="L62" i="32"/>
  <c r="J62" i="32"/>
  <c r="I1079" i="35"/>
  <c r="G909" i="35"/>
  <c r="C481" i="35"/>
  <c r="D993" i="35"/>
  <c r="G954" i="35"/>
  <c r="I1088" i="35"/>
  <c r="D1021" i="35"/>
  <c r="L54" i="32"/>
  <c r="L105" i="32"/>
  <c r="B273" i="27"/>
  <c r="I273" i="27" s="1"/>
  <c r="J273" i="27" s="1"/>
  <c r="G953" i="35"/>
  <c r="J65" i="32"/>
  <c r="L65" i="32"/>
  <c r="C453" i="35"/>
  <c r="W31" i="38"/>
  <c r="V31" i="38"/>
  <c r="C460" i="35"/>
  <c r="AM31" i="38"/>
  <c r="H78" i="32"/>
  <c r="B232" i="27"/>
  <c r="I232" i="27" s="1"/>
  <c r="E31" i="38"/>
  <c r="E187" i="33"/>
  <c r="F187" i="33" s="1"/>
  <c r="B930" i="33"/>
  <c r="L67" i="32"/>
  <c r="V66" i="38"/>
  <c r="F945" i="35"/>
  <c r="G919" i="35"/>
  <c r="H63" i="32"/>
  <c r="C495" i="35"/>
  <c r="AL261" i="35"/>
  <c r="E165" i="33"/>
  <c r="E9" i="38"/>
  <c r="L56" i="32"/>
  <c r="H272" i="27"/>
  <c r="H393" i="35"/>
  <c r="M478" i="35"/>
  <c r="D393" i="35"/>
  <c r="G393" i="35"/>
  <c r="I393" i="35"/>
  <c r="C393" i="35"/>
  <c r="B393" i="35"/>
  <c r="J393" i="35"/>
  <c r="E393" i="35"/>
  <c r="E49" i="38"/>
  <c r="AL204" i="35"/>
  <c r="C438" i="35"/>
  <c r="J96" i="32"/>
  <c r="L96" i="32"/>
  <c r="H96" i="32"/>
  <c r="AM49" i="38"/>
  <c r="AM9" i="38"/>
  <c r="H56" i="32"/>
  <c r="L109" i="32"/>
  <c r="AM58" i="38"/>
  <c r="G945" i="35"/>
  <c r="F953" i="35"/>
  <c r="L63" i="32"/>
  <c r="C487" i="35"/>
  <c r="K861" i="35"/>
  <c r="L861" i="35" s="1"/>
  <c r="AM14" i="38"/>
  <c r="H61" i="32"/>
  <c r="H65" i="32"/>
  <c r="B917" i="33"/>
  <c r="F909" i="35"/>
  <c r="H106" i="32"/>
  <c r="L81" i="32"/>
  <c r="L106" i="32"/>
  <c r="E174" i="33"/>
  <c r="F174" i="33" s="1"/>
  <c r="E18" i="38"/>
  <c r="K870" i="35"/>
  <c r="L870" i="35" s="1"/>
  <c r="V59" i="38"/>
  <c r="E46" i="38"/>
  <c r="AM62" i="38"/>
  <c r="H109" i="32"/>
  <c r="H53" i="32"/>
  <c r="AM6" i="38"/>
  <c r="AM20" i="38"/>
  <c r="H67" i="32"/>
  <c r="E162" i="33"/>
  <c r="F162" i="33" s="1"/>
  <c r="E6" i="38"/>
  <c r="E14" i="38"/>
  <c r="E170" i="33"/>
  <c r="F170" i="33" s="1"/>
  <c r="K880" i="35"/>
  <c r="L880" i="35" s="1"/>
  <c r="L93" i="32"/>
  <c r="W50" i="38"/>
  <c r="V50" i="38"/>
  <c r="C479" i="35"/>
  <c r="H90" i="32"/>
  <c r="K886" i="35"/>
  <c r="L886" i="35" s="1"/>
  <c r="J53" i="32"/>
  <c r="L53" i="32"/>
  <c r="J61" i="32"/>
  <c r="L61" i="32"/>
  <c r="W14" i="38"/>
  <c r="V14" i="38"/>
  <c r="C443" i="35"/>
  <c r="I222" i="33"/>
  <c r="K222" i="33" s="1"/>
  <c r="C785" i="33" s="1"/>
  <c r="I186" i="33"/>
  <c r="AM24" i="38"/>
  <c r="H71" i="32"/>
  <c r="D978" i="35"/>
  <c r="I196" i="33"/>
  <c r="B933" i="33"/>
  <c r="AM66" i="38"/>
  <c r="H113" i="32"/>
  <c r="I1063" i="35"/>
  <c r="G929" i="35"/>
  <c r="F929" i="35"/>
  <c r="F30" i="38"/>
  <c r="E1045" i="35"/>
  <c r="I1045" i="35"/>
  <c r="D1028" i="35"/>
  <c r="F961" i="35"/>
  <c r="G961" i="35"/>
  <c r="I215" i="33"/>
  <c r="B243" i="27"/>
  <c r="E190" i="33"/>
  <c r="F190" i="33" s="1"/>
  <c r="V62" i="38"/>
  <c r="W62" i="38"/>
  <c r="B281" i="27"/>
  <c r="I281" i="27" s="1"/>
  <c r="J281" i="27" s="1"/>
  <c r="AM43" i="38"/>
  <c r="H111" i="32"/>
  <c r="AM64" i="38"/>
  <c r="M1386" i="35"/>
  <c r="N1386" i="35" s="1"/>
  <c r="L1452" i="35" s="1"/>
  <c r="V20" i="38"/>
  <c r="W20" i="38"/>
  <c r="AM59" i="38"/>
  <c r="B287" i="27"/>
  <c r="I1093" i="35"/>
  <c r="E172" i="33"/>
  <c r="F172" i="33" s="1"/>
  <c r="E16" i="38"/>
  <c r="F66" i="38"/>
  <c r="G938" i="35"/>
  <c r="F938" i="35"/>
  <c r="M555" i="35"/>
  <c r="S43" i="38"/>
  <c r="I1095" i="35"/>
  <c r="E1095" i="35"/>
  <c r="B289" i="27"/>
  <c r="M1410" i="35"/>
  <c r="N1410" i="35" s="1"/>
  <c r="L1476" i="35" s="1"/>
  <c r="J111" i="32"/>
  <c r="L111" i="32"/>
  <c r="E176" i="33"/>
  <c r="F176" i="33" s="1"/>
  <c r="E20" i="38"/>
  <c r="D1026" i="35"/>
  <c r="I400" i="33"/>
  <c r="B257" i="27"/>
  <c r="L113" i="32"/>
  <c r="C488" i="35"/>
  <c r="B945" i="33"/>
  <c r="G911" i="35"/>
  <c r="F911" i="35"/>
  <c r="B239" i="27"/>
  <c r="M1389" i="35"/>
  <c r="N1389" i="35" s="1"/>
  <c r="L1455" i="35" s="1"/>
  <c r="H81" i="32"/>
  <c r="AM34" i="38"/>
  <c r="B266" i="27"/>
  <c r="I1072" i="35"/>
  <c r="L97" i="32"/>
  <c r="L90" i="32"/>
  <c r="J90" i="32"/>
  <c r="E58" i="38"/>
  <c r="E214" i="33"/>
  <c r="C449" i="35"/>
  <c r="F959" i="35"/>
  <c r="G959" i="35"/>
  <c r="AM16" i="38"/>
  <c r="I180" i="33"/>
  <c r="AM50" i="38"/>
  <c r="H97" i="32"/>
  <c r="V16" i="38"/>
  <c r="W16" i="38"/>
  <c r="D996" i="35"/>
  <c r="AM46" i="38"/>
  <c r="H93" i="32"/>
  <c r="V24" i="38"/>
  <c r="W24" i="38"/>
  <c r="E202" i="33"/>
  <c r="F202" i="33" s="1"/>
  <c r="K843" i="35"/>
  <c r="L843" i="35" s="1"/>
  <c r="D1005" i="35"/>
  <c r="K893" i="35"/>
  <c r="L893" i="35" s="1"/>
  <c r="L71" i="32"/>
  <c r="J71" i="32"/>
  <c r="C445" i="35"/>
  <c r="C491" i="35"/>
  <c r="I644" i="33"/>
  <c r="AG41" i="38"/>
  <c r="E201" i="33"/>
  <c r="E45" i="38"/>
  <c r="H100" i="32"/>
  <c r="AM53" i="38"/>
  <c r="E209" i="33"/>
  <c r="B952" i="33"/>
  <c r="C397" i="35"/>
  <c r="H397" i="35"/>
  <c r="B397" i="35"/>
  <c r="G397" i="35"/>
  <c r="D397" i="35"/>
  <c r="H276" i="27"/>
  <c r="I276" i="27" s="1"/>
  <c r="J276" i="27" s="1"/>
  <c r="I397" i="35"/>
  <c r="J397" i="35"/>
  <c r="M482" i="35"/>
  <c r="E397" i="35"/>
  <c r="L98" i="32"/>
  <c r="F56" i="27"/>
  <c r="G68" i="27"/>
  <c r="F58" i="27"/>
  <c r="G58" i="27"/>
  <c r="G56" i="27"/>
  <c r="F68" i="27"/>
  <c r="AG45" i="38" s="1"/>
  <c r="F946" i="35"/>
  <c r="K878" i="35"/>
  <c r="L878" i="35" s="1"/>
  <c r="G946" i="35"/>
  <c r="D1013" i="35"/>
  <c r="H64" i="32"/>
  <c r="L82" i="32"/>
  <c r="AL203" i="35"/>
  <c r="AL206" i="35"/>
  <c r="AI214" i="35"/>
  <c r="AL214" i="35"/>
  <c r="AH214" i="35"/>
  <c r="AG214" i="35"/>
  <c r="AM214" i="35"/>
  <c r="AF214" i="35"/>
  <c r="AE214" i="35"/>
  <c r="AD214" i="35"/>
  <c r="B950" i="33"/>
  <c r="B934" i="33"/>
  <c r="I181" i="33"/>
  <c r="E207" i="33"/>
  <c r="F207" i="33" s="1"/>
  <c r="E51" i="38"/>
  <c r="H98" i="32"/>
  <c r="AM51" i="38"/>
  <c r="C379" i="35"/>
  <c r="D379" i="35"/>
  <c r="I379" i="35"/>
  <c r="H379" i="35"/>
  <c r="G379" i="35"/>
  <c r="M464" i="35"/>
  <c r="J379" i="35"/>
  <c r="E379" i="35"/>
  <c r="B379" i="35"/>
  <c r="H258" i="27"/>
  <c r="H274" i="27"/>
  <c r="G395" i="35"/>
  <c r="I395" i="35"/>
  <c r="C395" i="35"/>
  <c r="J395" i="35"/>
  <c r="E395" i="35"/>
  <c r="B395" i="35"/>
  <c r="H395" i="35"/>
  <c r="M480" i="35"/>
  <c r="D395" i="35"/>
  <c r="E35" i="38"/>
  <c r="E191" i="33"/>
  <c r="F191" i="33" s="1"/>
  <c r="AM35" i="38"/>
  <c r="H82" i="32"/>
  <c r="G927" i="35"/>
  <c r="I217" i="33"/>
  <c r="E189" i="33"/>
  <c r="F189" i="33" s="1"/>
  <c r="E27" i="38"/>
  <c r="E1037" i="35"/>
  <c r="I1061" i="35"/>
  <c r="E1061" i="35"/>
  <c r="E1058" i="35"/>
  <c r="E1048" i="35"/>
  <c r="E1057" i="35"/>
  <c r="E1042" i="35"/>
  <c r="I1051" i="35"/>
  <c r="E1051" i="35"/>
  <c r="H377" i="35"/>
  <c r="C377" i="35"/>
  <c r="H389" i="35"/>
  <c r="C389" i="35"/>
  <c r="C371" i="35"/>
  <c r="H371" i="35"/>
  <c r="E33" i="38"/>
  <c r="AM45" i="38"/>
  <c r="AM33" i="38"/>
  <c r="AC60" i="38"/>
  <c r="AD60" i="38" s="1"/>
  <c r="AC36" i="38"/>
  <c r="AD36" i="38" s="1"/>
  <c r="L160" i="32"/>
  <c r="AP25" i="38"/>
  <c r="AQ25" i="38" s="1"/>
  <c r="L164" i="32"/>
  <c r="AP29" i="38"/>
  <c r="AQ29" i="38" s="1"/>
  <c r="L177" i="32"/>
  <c r="AP42" i="38"/>
  <c r="AQ42" i="38" s="1"/>
  <c r="L190" i="32"/>
  <c r="AP55" i="38"/>
  <c r="AQ55" i="38" s="1"/>
  <c r="AC25" i="38"/>
  <c r="AD25" i="38" s="1"/>
  <c r="AC29" i="38"/>
  <c r="AD29" i="38" s="1"/>
  <c r="AC42" i="38"/>
  <c r="AD42" i="38" s="1"/>
  <c r="L192" i="32"/>
  <c r="AP57" i="38"/>
  <c r="AQ57" i="38" s="1"/>
  <c r="AC61" i="38"/>
  <c r="AD61" i="38" s="1"/>
  <c r="L158" i="32"/>
  <c r="AP23" i="38"/>
  <c r="AQ23" i="38" s="1"/>
  <c r="L195" i="32"/>
  <c r="AP60" i="38"/>
  <c r="AQ60" i="38" s="1"/>
  <c r="L171" i="32"/>
  <c r="AP36" i="38"/>
  <c r="AQ36" i="38" s="1"/>
  <c r="AC57" i="38"/>
  <c r="AD57" i="38" s="1"/>
  <c r="L196" i="32"/>
  <c r="AP61" i="38"/>
  <c r="AQ61" i="38" s="1"/>
  <c r="AC23" i="38"/>
  <c r="AD23" i="38" s="1"/>
  <c r="M554" i="35"/>
  <c r="S42" i="38"/>
  <c r="L52" i="32"/>
  <c r="AM5" i="38"/>
  <c r="L575" i="35"/>
  <c r="R63" i="38"/>
  <c r="L521" i="35"/>
  <c r="R9" i="38"/>
  <c r="L574" i="35"/>
  <c r="R62" i="38"/>
  <c r="L522" i="35"/>
  <c r="R10" i="38"/>
  <c r="L571" i="35"/>
  <c r="R59" i="38"/>
  <c r="L524" i="35"/>
  <c r="R12" i="38"/>
  <c r="L523" i="35"/>
  <c r="R11" i="38"/>
  <c r="L530" i="35"/>
  <c r="R18" i="38"/>
  <c r="L570" i="35"/>
  <c r="R58" i="38"/>
  <c r="L64" i="32"/>
  <c r="AM17" i="38"/>
  <c r="M560" i="35"/>
  <c r="S48" i="38"/>
  <c r="L573" i="35"/>
  <c r="R61" i="38"/>
  <c r="L542" i="35"/>
  <c r="R30" i="38"/>
  <c r="L526" i="35"/>
  <c r="R14" i="38"/>
  <c r="M558" i="35"/>
  <c r="S46" i="38"/>
  <c r="L74" i="32"/>
  <c r="L536" i="35"/>
  <c r="R24" i="38"/>
  <c r="L543" i="35"/>
  <c r="R31" i="38"/>
  <c r="L537" i="35"/>
  <c r="R25" i="38"/>
  <c r="L532" i="35"/>
  <c r="R20" i="38"/>
  <c r="E183" i="33"/>
  <c r="F183" i="33" s="1"/>
  <c r="G74" i="32"/>
  <c r="AM27" i="38" s="1"/>
  <c r="B389" i="35"/>
  <c r="I1057" i="35"/>
  <c r="I203" i="33"/>
  <c r="F59" i="38"/>
  <c r="D389" i="35"/>
  <c r="G389" i="35"/>
  <c r="E1296" i="35"/>
  <c r="G917" i="35"/>
  <c r="AG17" i="38"/>
  <c r="AF17" i="38"/>
  <c r="I1082" i="35"/>
  <c r="F927" i="35"/>
  <c r="G923" i="35"/>
  <c r="D1015" i="35"/>
  <c r="K933" i="35"/>
  <c r="D83" i="27"/>
  <c r="K83" i="27" s="1"/>
  <c r="G937" i="35"/>
  <c r="G906" i="35"/>
  <c r="F906" i="35"/>
  <c r="L92" i="32"/>
  <c r="M1384" i="35"/>
  <c r="N1384" i="35" s="1"/>
  <c r="L1450" i="35" s="1"/>
  <c r="M1450" i="35" s="1"/>
  <c r="M1356" i="35"/>
  <c r="N1356" i="35" s="1"/>
  <c r="L1422" i="35" s="1"/>
  <c r="M1422" i="35" s="1"/>
  <c r="M1370" i="35"/>
  <c r="N1370" i="35" s="1"/>
  <c r="L1436" i="35" s="1"/>
  <c r="M1436" i="35" s="1"/>
  <c r="M1395" i="35"/>
  <c r="N1395" i="35" s="1"/>
  <c r="L1461" i="35" s="1"/>
  <c r="M1461" i="35" s="1"/>
  <c r="M1387" i="35"/>
  <c r="N1387" i="35" s="1"/>
  <c r="L1453" i="35" s="1"/>
  <c r="M1453" i="35" s="1"/>
  <c r="M1359" i="35"/>
  <c r="N1359" i="35" s="1"/>
  <c r="L1425" i="35" s="1"/>
  <c r="M1425" i="35" s="1"/>
  <c r="M1383" i="35"/>
  <c r="N1383" i="35" s="1"/>
  <c r="L1449" i="35" s="1"/>
  <c r="M1449" i="35" s="1"/>
  <c r="M1353" i="35"/>
  <c r="N1353" i="35" s="1"/>
  <c r="L1419" i="35" s="1"/>
  <c r="M1419" i="35" s="1"/>
  <c r="M1409" i="35"/>
  <c r="N1409" i="35" s="1"/>
  <c r="L1475" i="35" s="1"/>
  <c r="M1475" i="35" s="1"/>
  <c r="M1400" i="35"/>
  <c r="N1400" i="35" s="1"/>
  <c r="L1466" i="35" s="1"/>
  <c r="M1466" i="35" s="1"/>
  <c r="M1385" i="35"/>
  <c r="N1385" i="35" s="1"/>
  <c r="L1451" i="35" s="1"/>
  <c r="M1451" i="35" s="1"/>
  <c r="F923" i="35"/>
  <c r="F937" i="35"/>
  <c r="J541" i="35"/>
  <c r="E47" i="38"/>
  <c r="F17" i="38"/>
  <c r="J534" i="35"/>
  <c r="J531" i="35"/>
  <c r="J540" i="35"/>
  <c r="J525" i="35"/>
  <c r="J529" i="35"/>
  <c r="J544" i="35"/>
  <c r="I193" i="33"/>
  <c r="I178" i="33"/>
  <c r="I175" i="33"/>
  <c r="L80" i="32"/>
  <c r="J80" i="32"/>
  <c r="H80" i="32"/>
  <c r="H92" i="32"/>
  <c r="J389" i="35"/>
  <c r="G944" i="35"/>
  <c r="K944" i="35" s="1"/>
  <c r="B265" i="27"/>
  <c r="K876" i="35"/>
  <c r="L876" i="35" s="1"/>
  <c r="B234" i="27"/>
  <c r="J234" i="27" s="1"/>
  <c r="K468" i="35"/>
  <c r="L468" i="35" s="1"/>
  <c r="H268" i="27"/>
  <c r="E389" i="35"/>
  <c r="K474" i="35"/>
  <c r="L474" i="35" s="1"/>
  <c r="I389" i="35"/>
  <c r="F917" i="35"/>
  <c r="K446" i="35"/>
  <c r="L446" i="35" s="1"/>
  <c r="C912" i="35"/>
  <c r="S17" i="38"/>
  <c r="F903" i="35"/>
  <c r="D979" i="35"/>
  <c r="B912" i="35"/>
  <c r="B40" i="27"/>
  <c r="W17" i="38"/>
  <c r="B1046" i="35"/>
  <c r="H250" i="27"/>
  <c r="D371" i="35"/>
  <c r="J371" i="35"/>
  <c r="G371" i="35"/>
  <c r="E371" i="35"/>
  <c r="I371" i="35"/>
  <c r="B371" i="35"/>
  <c r="K844" i="35"/>
  <c r="L844" i="35" s="1"/>
  <c r="K920" i="35"/>
  <c r="L920" i="35" s="1"/>
  <c r="I1078" i="35"/>
  <c r="B940" i="35"/>
  <c r="I872" i="35"/>
  <c r="C940" i="35"/>
  <c r="B1007" i="35"/>
  <c r="B68" i="27"/>
  <c r="D1011" i="35"/>
  <c r="B251" i="27"/>
  <c r="J251" i="27" s="1"/>
  <c r="M435" i="35"/>
  <c r="B1001" i="35"/>
  <c r="B272" i="27"/>
  <c r="S5" i="38"/>
  <c r="B231" i="27"/>
  <c r="J231" i="27" s="1"/>
  <c r="J248" i="27"/>
  <c r="K835" i="35"/>
  <c r="L835" i="35" s="1"/>
  <c r="C934" i="35"/>
  <c r="K866" i="35"/>
  <c r="L866" i="35" s="1"/>
  <c r="B1135" i="35"/>
  <c r="L1135" i="35" s="1"/>
  <c r="B62" i="27"/>
  <c r="B934" i="35"/>
  <c r="I1037" i="35"/>
  <c r="K846" i="35"/>
  <c r="L846" i="35" s="1"/>
  <c r="K883" i="35"/>
  <c r="L883" i="35" s="1"/>
  <c r="K862" i="35"/>
  <c r="L862" i="35" s="1"/>
  <c r="K834" i="35"/>
  <c r="L834" i="35" s="1"/>
  <c r="K881" i="35"/>
  <c r="L881" i="35" s="1"/>
  <c r="K856" i="35"/>
  <c r="L856" i="35" s="1"/>
  <c r="K840" i="35"/>
  <c r="L840" i="35" s="1"/>
  <c r="I1077" i="35"/>
  <c r="B271" i="27"/>
  <c r="D1008" i="35"/>
  <c r="B258" i="27"/>
  <c r="F952" i="35"/>
  <c r="G952" i="35"/>
  <c r="B277" i="27"/>
  <c r="I1036" i="35"/>
  <c r="B269" i="27"/>
  <c r="B242" i="27"/>
  <c r="G930" i="35"/>
  <c r="F930" i="35"/>
  <c r="I1086" i="35"/>
  <c r="G949" i="35"/>
  <c r="F949" i="35"/>
  <c r="D1016" i="35"/>
  <c r="I244" i="27"/>
  <c r="J244" i="27"/>
  <c r="I1085" i="35"/>
  <c r="D1018" i="35"/>
  <c r="B377" i="35"/>
  <c r="J377" i="35"/>
  <c r="G377" i="35"/>
  <c r="E377" i="35"/>
  <c r="D377" i="35"/>
  <c r="H256" i="27"/>
  <c r="I377" i="35"/>
  <c r="F943" i="35"/>
  <c r="G943" i="35"/>
  <c r="F941" i="35"/>
  <c r="G941" i="35"/>
  <c r="I1048" i="35"/>
  <c r="I1064" i="35"/>
  <c r="D1019" i="35"/>
  <c r="I1074" i="35"/>
  <c r="F951" i="35"/>
  <c r="G951" i="35"/>
  <c r="K925" i="35"/>
  <c r="L925" i="35" s="1"/>
  <c r="B230" i="27"/>
  <c r="K875" i="35"/>
  <c r="L875" i="35" s="1"/>
  <c r="V39" i="38"/>
  <c r="W39" i="38"/>
  <c r="K873" i="35"/>
  <c r="L873" i="35" s="1"/>
  <c r="I1075" i="35"/>
  <c r="B1133" i="35"/>
  <c r="L1133" i="35" s="1"/>
  <c r="B999" i="35"/>
  <c r="B1066" i="35"/>
  <c r="I864" i="35"/>
  <c r="B60" i="27"/>
  <c r="K466" i="35"/>
  <c r="L466" i="35" s="1"/>
  <c r="C932" i="35"/>
  <c r="B932" i="35"/>
  <c r="D448" i="35"/>
  <c r="E448" i="35" s="1"/>
  <c r="B1003" i="35"/>
  <c r="I868" i="35"/>
  <c r="B1137" i="35"/>
  <c r="L1137" i="35" s="1"/>
  <c r="B1070" i="35"/>
  <c r="B936" i="35"/>
  <c r="B64" i="27"/>
  <c r="C936" i="35"/>
  <c r="K470" i="35"/>
  <c r="L470" i="35" s="1"/>
  <c r="D997" i="35"/>
  <c r="K884" i="35"/>
  <c r="L884" i="35" s="1"/>
  <c r="I1068" i="35"/>
  <c r="B900" i="35"/>
  <c r="C900" i="35"/>
  <c r="L434" i="35"/>
  <c r="B28" i="27"/>
  <c r="B1101" i="35"/>
  <c r="L1101" i="35" s="1"/>
  <c r="B1034" i="35"/>
  <c r="D1034" i="35" s="1"/>
  <c r="B967" i="35"/>
  <c r="I1083" i="35"/>
  <c r="B279" i="27"/>
  <c r="G902" i="35"/>
  <c r="F902" i="35"/>
  <c r="D969" i="35"/>
  <c r="D1010" i="35"/>
  <c r="G914" i="35"/>
  <c r="F914" i="35"/>
  <c r="D981" i="35"/>
  <c r="B280" i="27"/>
  <c r="B1143" i="35"/>
  <c r="L1143" i="35" s="1"/>
  <c r="C942" i="35"/>
  <c r="B942" i="35"/>
  <c r="B70" i="27"/>
  <c r="B1009" i="35"/>
  <c r="B1076" i="35"/>
  <c r="K476" i="35"/>
  <c r="L476" i="35" s="1"/>
  <c r="I874" i="35"/>
  <c r="K956" i="35"/>
  <c r="L956" i="35" s="1"/>
  <c r="D991" i="35"/>
  <c r="I284" i="27"/>
  <c r="J284" i="27"/>
  <c r="F908" i="35"/>
  <c r="G908" i="35"/>
  <c r="J253" i="27"/>
  <c r="I253" i="27"/>
  <c r="F924" i="35"/>
  <c r="G924" i="35"/>
  <c r="I1058" i="35"/>
  <c r="B252" i="27"/>
  <c r="J233" i="27"/>
  <c r="I233" i="27"/>
  <c r="K905" i="35"/>
  <c r="L905" i="35" s="1"/>
  <c r="D975" i="35"/>
  <c r="I1042" i="35"/>
  <c r="B236" i="27"/>
  <c r="J1187" i="35" l="1"/>
  <c r="H1187" i="35"/>
  <c r="K1187" i="35"/>
  <c r="G1187" i="35"/>
  <c r="J1179" i="35"/>
  <c r="H1179" i="35"/>
  <c r="G1179" i="35"/>
  <c r="K1179" i="35"/>
  <c r="J1194" i="35"/>
  <c r="H1194" i="35"/>
  <c r="K1194" i="35"/>
  <c r="G1194" i="35"/>
  <c r="K1228" i="35"/>
  <c r="J1228" i="35"/>
  <c r="G1228" i="35"/>
  <c r="H1228" i="35"/>
  <c r="J1186" i="35"/>
  <c r="H1186" i="35"/>
  <c r="K1186" i="35"/>
  <c r="G1186" i="35"/>
  <c r="K1189" i="35"/>
  <c r="G1189" i="35"/>
  <c r="J1189" i="35"/>
  <c r="H1189" i="35"/>
  <c r="Y60" i="38"/>
  <c r="C1230" i="35"/>
  <c r="J1199" i="35"/>
  <c r="H1199" i="35"/>
  <c r="K1199" i="35"/>
  <c r="G1199" i="35"/>
  <c r="K1196" i="35"/>
  <c r="G1196" i="35"/>
  <c r="J1196" i="35"/>
  <c r="H1196" i="35"/>
  <c r="K1233" i="35"/>
  <c r="J1233" i="35"/>
  <c r="H1233" i="35"/>
  <c r="G1233" i="35"/>
  <c r="M1209" i="35"/>
  <c r="E1209" i="35"/>
  <c r="L1209" i="35"/>
  <c r="F1209" i="35"/>
  <c r="M1175" i="35"/>
  <c r="E1175" i="35"/>
  <c r="L1175" i="35"/>
  <c r="F1175" i="35"/>
  <c r="L1207" i="35"/>
  <c r="F1207" i="35"/>
  <c r="M1207" i="35"/>
  <c r="E1207" i="35"/>
  <c r="K1181" i="35"/>
  <c r="G1181" i="35"/>
  <c r="H1181" i="35"/>
  <c r="J1181" i="35"/>
  <c r="J1178" i="35"/>
  <c r="H1178" i="35"/>
  <c r="K1178" i="35"/>
  <c r="G1178" i="35"/>
  <c r="M1236" i="35"/>
  <c r="K1236" i="35"/>
  <c r="L1236" i="35"/>
  <c r="J1236" i="35"/>
  <c r="G1236" i="35"/>
  <c r="E1236" i="35"/>
  <c r="H1236" i="35"/>
  <c r="F1236" i="35"/>
  <c r="J1191" i="35"/>
  <c r="H1191" i="35"/>
  <c r="K1191" i="35"/>
  <c r="G1191" i="35"/>
  <c r="K1192" i="35"/>
  <c r="G1192" i="35"/>
  <c r="J1192" i="35"/>
  <c r="H1192" i="35"/>
  <c r="K1185" i="35"/>
  <c r="G1185" i="35"/>
  <c r="J1185" i="35"/>
  <c r="H1185" i="35"/>
  <c r="K1232" i="35"/>
  <c r="J1232" i="35"/>
  <c r="H1232" i="35"/>
  <c r="G1232" i="35"/>
  <c r="J1182" i="35"/>
  <c r="H1182" i="35"/>
  <c r="K1182" i="35"/>
  <c r="G1182" i="35"/>
  <c r="M1217" i="35"/>
  <c r="L1217" i="35"/>
  <c r="E1217" i="35"/>
  <c r="F1217" i="35"/>
  <c r="L1211" i="35"/>
  <c r="M1211" i="35"/>
  <c r="F1211" i="35"/>
  <c r="E1211" i="35"/>
  <c r="J1183" i="35"/>
  <c r="H1183" i="35"/>
  <c r="K1183" i="35"/>
  <c r="G1183" i="35"/>
  <c r="J1198" i="35"/>
  <c r="H1198" i="35"/>
  <c r="K1198" i="35"/>
  <c r="G1198" i="35"/>
  <c r="J1202" i="35"/>
  <c r="H1202" i="35"/>
  <c r="K1202" i="35"/>
  <c r="G1202" i="35"/>
  <c r="K1184" i="35"/>
  <c r="G1184" i="35"/>
  <c r="J1184" i="35"/>
  <c r="H1184" i="35"/>
  <c r="J1190" i="35"/>
  <c r="H1190" i="35"/>
  <c r="K1190" i="35"/>
  <c r="G1190" i="35"/>
  <c r="K1201" i="35"/>
  <c r="G1201" i="35"/>
  <c r="J1201" i="35"/>
  <c r="H1201" i="35"/>
  <c r="D1076" i="35"/>
  <c r="D1066" i="35"/>
  <c r="D1070" i="35"/>
  <c r="B598" i="33"/>
  <c r="B350" i="33"/>
  <c r="C350" i="33"/>
  <c r="L471" i="33"/>
  <c r="M471" i="33" s="1"/>
  <c r="I216" i="33"/>
  <c r="B557" i="33"/>
  <c r="B617" i="33"/>
  <c r="B404" i="33"/>
  <c r="C404" i="33" s="1"/>
  <c r="J437" i="33"/>
  <c r="N167" i="33"/>
  <c r="C730" i="33"/>
  <c r="H730" i="33" s="1"/>
  <c r="C331" i="33"/>
  <c r="B624" i="33"/>
  <c r="G709" i="33"/>
  <c r="K177" i="33"/>
  <c r="C709" i="33"/>
  <c r="B357" i="33"/>
  <c r="C357" i="33"/>
  <c r="B550" i="33"/>
  <c r="L464" i="33"/>
  <c r="M464" i="33" s="1"/>
  <c r="B538" i="33"/>
  <c r="B397" i="33"/>
  <c r="B338" i="33"/>
  <c r="B605" i="33"/>
  <c r="I188" i="33"/>
  <c r="N166" i="33"/>
  <c r="B546" i="33"/>
  <c r="K164" i="33"/>
  <c r="C346" i="33"/>
  <c r="B346" i="33"/>
  <c r="B613" i="33"/>
  <c r="J409" i="33"/>
  <c r="B319" i="33"/>
  <c r="I177" i="33"/>
  <c r="L479" i="33"/>
  <c r="M479" i="33" s="1"/>
  <c r="J398" i="33"/>
  <c r="I615" i="33"/>
  <c r="L452" i="33"/>
  <c r="C38" i="38"/>
  <c r="I38" i="38" s="1"/>
  <c r="L502" i="33"/>
  <c r="M502" i="33" s="1"/>
  <c r="B586" i="33"/>
  <c r="F368" i="33"/>
  <c r="J831" i="33"/>
  <c r="I831" i="33"/>
  <c r="C804" i="33"/>
  <c r="J820" i="33"/>
  <c r="I820" i="33"/>
  <c r="E798" i="33"/>
  <c r="F798" i="33"/>
  <c r="E847" i="33"/>
  <c r="F847" i="33"/>
  <c r="E811" i="33"/>
  <c r="F811" i="33"/>
  <c r="E805" i="33"/>
  <c r="F805" i="33"/>
  <c r="E845" i="33"/>
  <c r="F845" i="33"/>
  <c r="E796" i="33"/>
  <c r="F796" i="33"/>
  <c r="J790" i="33"/>
  <c r="I790" i="33"/>
  <c r="C844" i="33"/>
  <c r="E807" i="33"/>
  <c r="F807" i="33"/>
  <c r="F793" i="33"/>
  <c r="E793" i="33"/>
  <c r="F801" i="33"/>
  <c r="E801" i="33"/>
  <c r="F800" i="33"/>
  <c r="E800" i="33"/>
  <c r="E803" i="33"/>
  <c r="F803" i="33"/>
  <c r="C809" i="33"/>
  <c r="I791" i="33"/>
  <c r="J791" i="33"/>
  <c r="C851" i="33"/>
  <c r="E797" i="33"/>
  <c r="F797" i="33"/>
  <c r="F816" i="33"/>
  <c r="E816" i="33"/>
  <c r="E799" i="33"/>
  <c r="F799" i="33"/>
  <c r="E843" i="33"/>
  <c r="F843" i="33"/>
  <c r="F794" i="33"/>
  <c r="E794" i="33"/>
  <c r="E812" i="33"/>
  <c r="F812" i="33"/>
  <c r="E806" i="33"/>
  <c r="F806" i="33"/>
  <c r="E813" i="33"/>
  <c r="F813" i="33"/>
  <c r="J792" i="33"/>
  <c r="I792" i="33"/>
  <c r="J841" i="33"/>
  <c r="I841" i="33"/>
  <c r="C817" i="33"/>
  <c r="F848" i="33"/>
  <c r="E848" i="33"/>
  <c r="F818" i="33"/>
  <c r="E818" i="33"/>
  <c r="B428" i="33"/>
  <c r="N200" i="33"/>
  <c r="M200" i="33"/>
  <c r="L485" i="33"/>
  <c r="M485" i="33" s="1"/>
  <c r="B552" i="33"/>
  <c r="J552" i="33" s="1"/>
  <c r="E1003" i="35" s="1"/>
  <c r="I164" i="33"/>
  <c r="B362" i="33"/>
  <c r="C362" i="33"/>
  <c r="B562" i="33"/>
  <c r="C352" i="33"/>
  <c r="J368" i="33"/>
  <c r="N368" i="33" s="1"/>
  <c r="O368" i="33" s="1"/>
  <c r="K197" i="33"/>
  <c r="C760" i="33" s="1"/>
  <c r="L732" i="33"/>
  <c r="L747" i="33"/>
  <c r="L741" i="33"/>
  <c r="L727" i="33"/>
  <c r="L777" i="33"/>
  <c r="H754" i="33"/>
  <c r="D754" i="33"/>
  <c r="D730" i="33"/>
  <c r="K764" i="33"/>
  <c r="J764" i="33"/>
  <c r="K774" i="33"/>
  <c r="J774" i="33"/>
  <c r="L745" i="33"/>
  <c r="D767" i="33"/>
  <c r="H767" i="33"/>
  <c r="N730" i="33"/>
  <c r="O730" i="33"/>
  <c r="N738" i="33"/>
  <c r="O738" i="33"/>
  <c r="J838" i="33"/>
  <c r="I838" i="33"/>
  <c r="O744" i="33"/>
  <c r="N744" i="33"/>
  <c r="L735" i="33"/>
  <c r="D725" i="33"/>
  <c r="H725" i="33"/>
  <c r="H785" i="33"/>
  <c r="L785" i="33"/>
  <c r="D785" i="33"/>
  <c r="L775" i="33"/>
  <c r="D775" i="33"/>
  <c r="H775" i="33"/>
  <c r="D783" i="33"/>
  <c r="H783" i="33"/>
  <c r="L743" i="33"/>
  <c r="K759" i="33"/>
  <c r="J759" i="33"/>
  <c r="K761" i="33"/>
  <c r="J761" i="33"/>
  <c r="K724" i="33"/>
  <c r="J724" i="33"/>
  <c r="L740" i="33"/>
  <c r="L734" i="33"/>
  <c r="L750" i="33"/>
  <c r="K784" i="33"/>
  <c r="J784" i="33"/>
  <c r="K771" i="33"/>
  <c r="J771" i="33"/>
  <c r="H742" i="33"/>
  <c r="K757" i="33"/>
  <c r="J757" i="33"/>
  <c r="H779" i="33"/>
  <c r="L779" i="33"/>
  <c r="D779" i="33"/>
  <c r="H772" i="33"/>
  <c r="D772" i="33"/>
  <c r="D758" i="33"/>
  <c r="H758" i="33"/>
  <c r="L739" i="33"/>
  <c r="D765" i="33"/>
  <c r="H765" i="33"/>
  <c r="D726" i="33"/>
  <c r="H726" i="33"/>
  <c r="L728" i="33"/>
  <c r="H769" i="33"/>
  <c r="D769" i="33"/>
  <c r="O736" i="33"/>
  <c r="N736" i="33"/>
  <c r="L733" i="33"/>
  <c r="L746" i="33"/>
  <c r="D729" i="33"/>
  <c r="N751" i="33"/>
  <c r="O751" i="33"/>
  <c r="N742" i="33"/>
  <c r="O742" i="33"/>
  <c r="L757" i="33"/>
  <c r="N780" i="33"/>
  <c r="O780" i="33"/>
  <c r="L752" i="33"/>
  <c r="D768" i="33"/>
  <c r="H768" i="33"/>
  <c r="H753" i="33"/>
  <c r="D753" i="33"/>
  <c r="L778" i="33"/>
  <c r="L737" i="33"/>
  <c r="L781" i="33"/>
  <c r="O729" i="33"/>
  <c r="N729" i="33"/>
  <c r="K776" i="33"/>
  <c r="J776" i="33"/>
  <c r="K766" i="33"/>
  <c r="J766" i="33"/>
  <c r="K762" i="33"/>
  <c r="J762" i="33"/>
  <c r="N731" i="33"/>
  <c r="O731" i="33"/>
  <c r="L760" i="33"/>
  <c r="D760" i="33"/>
  <c r="G760" i="33" s="1"/>
  <c r="H760" i="33"/>
  <c r="H770" i="33"/>
  <c r="D770" i="33"/>
  <c r="D773" i="33"/>
  <c r="H773" i="33"/>
  <c r="H729" i="33"/>
  <c r="N749" i="33"/>
  <c r="O749" i="33"/>
  <c r="N748" i="33"/>
  <c r="O748" i="33"/>
  <c r="N782" i="33"/>
  <c r="O782" i="33"/>
  <c r="K756" i="33"/>
  <c r="J756" i="33"/>
  <c r="H534" i="33"/>
  <c r="J534" i="33"/>
  <c r="E985" i="35" s="1"/>
  <c r="I534" i="33"/>
  <c r="G534" i="33"/>
  <c r="G985" i="35" s="1"/>
  <c r="K534" i="33"/>
  <c r="C411" i="33"/>
  <c r="C678" i="33"/>
  <c r="G678" i="33"/>
  <c r="C405" i="33"/>
  <c r="G672" i="33"/>
  <c r="C672" i="33"/>
  <c r="C416" i="33"/>
  <c r="C683" i="33"/>
  <c r="G683" i="33"/>
  <c r="B435" i="33"/>
  <c r="C410" i="33"/>
  <c r="C677" i="33"/>
  <c r="G677" i="33"/>
  <c r="C392" i="33"/>
  <c r="C659" i="33"/>
  <c r="G659" i="33"/>
  <c r="J385" i="33"/>
  <c r="C415" i="33"/>
  <c r="G682" i="33"/>
  <c r="C682" i="33"/>
  <c r="K207" i="33"/>
  <c r="B695" i="33"/>
  <c r="H695" i="33" s="1"/>
  <c r="K206" i="33"/>
  <c r="B694" i="33"/>
  <c r="H694" i="33" s="1"/>
  <c r="C618" i="33"/>
  <c r="M417" i="33"/>
  <c r="D684" i="33" s="1"/>
  <c r="C597" i="33"/>
  <c r="J597" i="33" s="1"/>
  <c r="E663" i="33" s="1"/>
  <c r="C625" i="33"/>
  <c r="M424" i="33"/>
  <c r="D691" i="33" s="1"/>
  <c r="C766" i="33"/>
  <c r="L766" i="33" s="1"/>
  <c r="M203" i="33"/>
  <c r="N203" i="33"/>
  <c r="C756" i="33"/>
  <c r="M193" i="33"/>
  <c r="N193" i="33"/>
  <c r="K199" i="33"/>
  <c r="C762" i="33" s="1"/>
  <c r="L762" i="33" s="1"/>
  <c r="B687" i="33"/>
  <c r="H687" i="33" s="1"/>
  <c r="K163" i="33"/>
  <c r="C726" i="33" s="1"/>
  <c r="G726" i="33" s="1"/>
  <c r="B651" i="33"/>
  <c r="H651" i="33" s="1"/>
  <c r="C972" i="35"/>
  <c r="C387" i="33"/>
  <c r="C654" i="33"/>
  <c r="G654" i="33"/>
  <c r="C388" i="33"/>
  <c r="G655" i="33"/>
  <c r="C655" i="33"/>
  <c r="K220" i="33"/>
  <c r="B708" i="33"/>
  <c r="H708" i="33" s="1"/>
  <c r="C414" i="33"/>
  <c r="C681" i="33"/>
  <c r="G681" i="33"/>
  <c r="C441" i="33"/>
  <c r="G708" i="33"/>
  <c r="C708" i="33"/>
  <c r="B369" i="33"/>
  <c r="K205" i="33"/>
  <c r="C768" i="33" s="1"/>
  <c r="G768" i="33" s="1"/>
  <c r="B693" i="33"/>
  <c r="H693" i="33" s="1"/>
  <c r="C386" i="33"/>
  <c r="C653" i="33"/>
  <c r="G653" i="33"/>
  <c r="C403" i="33"/>
  <c r="C670" i="33"/>
  <c r="G670" i="33"/>
  <c r="C423" i="33"/>
  <c r="G690" i="33"/>
  <c r="C690" i="33"/>
  <c r="C433" i="33"/>
  <c r="G700" i="33"/>
  <c r="C700" i="33"/>
  <c r="C391" i="33"/>
  <c r="G658" i="33"/>
  <c r="C658" i="33"/>
  <c r="K209" i="33"/>
  <c r="B697" i="33"/>
  <c r="H697" i="33" s="1"/>
  <c r="K190" i="33"/>
  <c r="B678" i="33"/>
  <c r="H678" i="33" s="1"/>
  <c r="C759" i="33"/>
  <c r="L759" i="33" s="1"/>
  <c r="M196" i="33"/>
  <c r="N196" i="33"/>
  <c r="C761" i="33"/>
  <c r="N198" i="33"/>
  <c r="M198" i="33"/>
  <c r="C614" i="33"/>
  <c r="M413" i="33"/>
  <c r="D680" i="33" s="1"/>
  <c r="K201" i="33"/>
  <c r="C764" i="33" s="1"/>
  <c r="L764" i="33" s="1"/>
  <c r="B689" i="33"/>
  <c r="H689" i="33" s="1"/>
  <c r="C601" i="33"/>
  <c r="C595" i="33"/>
  <c r="K161" i="33"/>
  <c r="C724" i="33" s="1"/>
  <c r="L724" i="33" s="1"/>
  <c r="B649" i="33"/>
  <c r="H649" i="33" s="1"/>
  <c r="B569" i="33"/>
  <c r="K569" i="33" s="1"/>
  <c r="C439" i="33"/>
  <c r="G706" i="33"/>
  <c r="C706" i="33"/>
  <c r="C427" i="33"/>
  <c r="C694" i="33"/>
  <c r="G694" i="33"/>
  <c r="C395" i="33"/>
  <c r="C662" i="33"/>
  <c r="G662" i="33"/>
  <c r="C393" i="33"/>
  <c r="G660" i="33"/>
  <c r="C660" i="33"/>
  <c r="C430" i="33"/>
  <c r="C697" i="33"/>
  <c r="G697" i="33"/>
  <c r="C390" i="33"/>
  <c r="C657" i="33"/>
  <c r="G657" i="33"/>
  <c r="C428" i="33"/>
  <c r="G695" i="33"/>
  <c r="C695" i="33"/>
  <c r="K211" i="33"/>
  <c r="C774" i="33" s="1"/>
  <c r="L774" i="33" s="1"/>
  <c r="B699" i="33"/>
  <c r="H699" i="33" s="1"/>
  <c r="C421" i="33"/>
  <c r="G688" i="33"/>
  <c r="C688" i="33"/>
  <c r="K191" i="33"/>
  <c r="B679" i="33"/>
  <c r="H679" i="33" s="1"/>
  <c r="C608" i="33"/>
  <c r="C406" i="33"/>
  <c r="C673" i="33"/>
  <c r="G673" i="33"/>
  <c r="C620" i="33"/>
  <c r="M419" i="33"/>
  <c r="D686" i="33" s="1"/>
  <c r="K568" i="33"/>
  <c r="I568" i="33"/>
  <c r="J568" i="33"/>
  <c r="E1019" i="35" s="1"/>
  <c r="C643" i="33"/>
  <c r="M442" i="33"/>
  <c r="D709" i="33" s="1"/>
  <c r="C369" i="33"/>
  <c r="F369" i="33" s="1"/>
  <c r="B636" i="33"/>
  <c r="C418" i="33"/>
  <c r="C685" i="33"/>
  <c r="G685" i="33"/>
  <c r="C434" i="33"/>
  <c r="C701" i="33"/>
  <c r="G701" i="33"/>
  <c r="I521" i="33"/>
  <c r="G521" i="33"/>
  <c r="G972" i="35" s="1"/>
  <c r="J521" i="33"/>
  <c r="E972" i="35" s="1"/>
  <c r="K521" i="33"/>
  <c r="C603" i="33"/>
  <c r="J603" i="33" s="1"/>
  <c r="E669" i="33" s="1"/>
  <c r="C408" i="33"/>
  <c r="C675" i="33"/>
  <c r="G675" i="33"/>
  <c r="C409" i="33"/>
  <c r="G676" i="33"/>
  <c r="C676" i="33"/>
  <c r="C383" i="33"/>
  <c r="G650" i="33"/>
  <c r="C650" i="33"/>
  <c r="C397" i="33"/>
  <c r="G664" i="33"/>
  <c r="C664" i="33"/>
  <c r="C412" i="33"/>
  <c r="G679" i="33"/>
  <c r="C679" i="33"/>
  <c r="C437" i="33"/>
  <c r="G704" i="33"/>
  <c r="C704" i="33"/>
  <c r="B619" i="33"/>
  <c r="B685" i="33"/>
  <c r="H685" i="33" s="1"/>
  <c r="K195" i="33"/>
  <c r="B683" i="33"/>
  <c r="H683" i="33" s="1"/>
  <c r="K162" i="33"/>
  <c r="B650" i="33"/>
  <c r="H650" i="33" s="1"/>
  <c r="K202" i="33"/>
  <c r="B690" i="33"/>
  <c r="H690" i="33" s="1"/>
  <c r="C784" i="33"/>
  <c r="L784" i="33" s="1"/>
  <c r="M221" i="33"/>
  <c r="N221" i="33"/>
  <c r="F744" i="33"/>
  <c r="N185" i="33"/>
  <c r="C748" i="33"/>
  <c r="M501" i="33"/>
  <c r="I635" i="33"/>
  <c r="M186" i="33"/>
  <c r="C749" i="33"/>
  <c r="M178" i="33"/>
  <c r="C741" i="33"/>
  <c r="D741" i="33" s="1"/>
  <c r="N180" i="33"/>
  <c r="C743" i="33"/>
  <c r="D743" i="33" s="1"/>
  <c r="B600" i="33"/>
  <c r="C333" i="33"/>
  <c r="B399" i="33"/>
  <c r="B333" i="33"/>
  <c r="L466" i="33"/>
  <c r="B533" i="33"/>
  <c r="M455" i="33"/>
  <c r="I589" i="33"/>
  <c r="B385" i="33"/>
  <c r="B519" i="33"/>
  <c r="K210" i="33"/>
  <c r="C54" i="38" s="1"/>
  <c r="B632" i="33"/>
  <c r="B431" i="33"/>
  <c r="C365" i="33"/>
  <c r="L498" i="33"/>
  <c r="B565" i="33"/>
  <c r="B365" i="33"/>
  <c r="J322" i="33"/>
  <c r="F322" i="33"/>
  <c r="N215" i="33"/>
  <c r="C778" i="33"/>
  <c r="H778" i="33" s="1"/>
  <c r="M164" i="33"/>
  <c r="C727" i="33"/>
  <c r="D727" i="33" s="1"/>
  <c r="F742" i="33"/>
  <c r="F730" i="33"/>
  <c r="B443" i="33"/>
  <c r="C377" i="33"/>
  <c r="B644" i="33"/>
  <c r="B377" i="33"/>
  <c r="B577" i="33"/>
  <c r="B602" i="33"/>
  <c r="B535" i="33"/>
  <c r="B401" i="33"/>
  <c r="L468" i="33"/>
  <c r="B335" i="33"/>
  <c r="C335" i="33"/>
  <c r="K204" i="33"/>
  <c r="B425" i="33"/>
  <c r="L492" i="33"/>
  <c r="B626" i="33"/>
  <c r="B359" i="33"/>
  <c r="B559" i="33"/>
  <c r="C359" i="33"/>
  <c r="J321" i="33"/>
  <c r="F321" i="33"/>
  <c r="N177" i="33"/>
  <c r="C740" i="33"/>
  <c r="D740" i="33" s="1"/>
  <c r="N175" i="33"/>
  <c r="C738" i="33"/>
  <c r="N173" i="33"/>
  <c r="C736" i="33"/>
  <c r="B398" i="33"/>
  <c r="C332" i="33"/>
  <c r="B332" i="33"/>
  <c r="L465" i="33"/>
  <c r="B532" i="33"/>
  <c r="B599" i="33"/>
  <c r="N213" i="33"/>
  <c r="C776" i="33"/>
  <c r="M213" i="33"/>
  <c r="M454" i="33"/>
  <c r="I588" i="33"/>
  <c r="H522" i="33"/>
  <c r="J522" i="33"/>
  <c r="E973" i="35" s="1"/>
  <c r="K522" i="33"/>
  <c r="I522" i="33"/>
  <c r="G522" i="33"/>
  <c r="G973" i="35" s="1"/>
  <c r="M181" i="33"/>
  <c r="C744" i="33"/>
  <c r="F334" i="33"/>
  <c r="J334" i="33"/>
  <c r="B570" i="33"/>
  <c r="B436" i="33"/>
  <c r="L503" i="33"/>
  <c r="B370" i="33"/>
  <c r="C370" i="33"/>
  <c r="B637" i="33"/>
  <c r="H558" i="33"/>
  <c r="H544" i="33"/>
  <c r="H526" i="33"/>
  <c r="H539" i="33"/>
  <c r="M539" i="33" s="1"/>
  <c r="H573" i="33"/>
  <c r="H525" i="33"/>
  <c r="H538" i="33"/>
  <c r="H542" i="33"/>
  <c r="H548" i="33"/>
  <c r="H543" i="33"/>
  <c r="H527" i="33"/>
  <c r="H531" i="33"/>
  <c r="H553" i="33"/>
  <c r="M553" i="33" s="1"/>
  <c r="H520" i="33"/>
  <c r="H576" i="33"/>
  <c r="H547" i="33"/>
  <c r="H551" i="33"/>
  <c r="L551" i="33" s="1"/>
  <c r="H537" i="33"/>
  <c r="H524" i="33"/>
  <c r="H529" i="33"/>
  <c r="H571" i="33"/>
  <c r="K1012" i="46"/>
  <c r="V1031" i="46" s="1"/>
  <c r="AN1023" i="46"/>
  <c r="K1025" i="46" s="1"/>
  <c r="Z1031" i="46" s="1"/>
  <c r="I1077" i="46"/>
  <c r="X1109" i="46" s="1"/>
  <c r="M1110" i="46" s="1"/>
  <c r="Q1133" i="46" s="1"/>
  <c r="AE1027" i="46"/>
  <c r="AJ1137" i="46"/>
  <c r="AJ1217" i="46"/>
  <c r="AJ1121" i="46"/>
  <c r="AJ1122" i="46"/>
  <c r="AJ1142" i="46"/>
  <c r="AJ1141" i="46"/>
  <c r="AJ1136" i="46"/>
  <c r="G567" i="33"/>
  <c r="G1018" i="35" s="1"/>
  <c r="J550" i="33"/>
  <c r="E1001" i="35" s="1"/>
  <c r="K575" i="33"/>
  <c r="I638" i="45"/>
  <c r="P645" i="45" s="1"/>
  <c r="U645" i="45" s="1"/>
  <c r="K647" i="45" s="1"/>
  <c r="I648" i="45" s="1"/>
  <c r="Q653" i="45" s="1"/>
  <c r="AJ651" i="45" s="1"/>
  <c r="Q558" i="45"/>
  <c r="Y558" i="45" s="1"/>
  <c r="Q573" i="45"/>
  <c r="S442" i="45"/>
  <c r="K443" i="45" s="1"/>
  <c r="S455" i="45"/>
  <c r="K456" i="45" s="1"/>
  <c r="K510" i="45"/>
  <c r="AA511" i="45"/>
  <c r="R507" i="45"/>
  <c r="I508" i="45" s="1"/>
  <c r="AJ452" i="45"/>
  <c r="M462" i="45"/>
  <c r="Y462" i="45" s="1"/>
  <c r="O446" i="45"/>
  <c r="AF445" i="45"/>
  <c r="L373" i="45"/>
  <c r="L372" i="45"/>
  <c r="AG458" i="45"/>
  <c r="Q459" i="45"/>
  <c r="W459" i="45"/>
  <c r="J371" i="45"/>
  <c r="W40" i="38"/>
  <c r="M482" i="33"/>
  <c r="I616" i="33"/>
  <c r="W64" i="38"/>
  <c r="W5" i="38"/>
  <c r="W52" i="38"/>
  <c r="W57" i="38"/>
  <c r="I549" i="33"/>
  <c r="G549" i="33"/>
  <c r="G1000" i="35" s="1"/>
  <c r="J549" i="33"/>
  <c r="E1000" i="35" s="1"/>
  <c r="K549" i="33"/>
  <c r="K208" i="33"/>
  <c r="C771" i="33" s="1"/>
  <c r="L771" i="33" s="1"/>
  <c r="L496" i="33"/>
  <c r="B630" i="33"/>
  <c r="B563" i="33"/>
  <c r="B363" i="33"/>
  <c r="B429" i="33"/>
  <c r="C363" i="33"/>
  <c r="W43" i="38"/>
  <c r="V34" i="38"/>
  <c r="V46" i="38"/>
  <c r="V37" i="38"/>
  <c r="W65" i="38"/>
  <c r="W41" i="38"/>
  <c r="N194" i="33"/>
  <c r="M194" i="33"/>
  <c r="J208" i="33"/>
  <c r="I429" i="33" s="1"/>
  <c r="I208" i="33"/>
  <c r="J429" i="33"/>
  <c r="V47" i="38"/>
  <c r="F349" i="33"/>
  <c r="J349" i="33"/>
  <c r="C476" i="35"/>
  <c r="AP233" i="35"/>
  <c r="AP214" i="35"/>
  <c r="AL221" i="35"/>
  <c r="AJ221" i="35"/>
  <c r="AK257" i="35"/>
  <c r="AJ257" i="35"/>
  <c r="AG215" i="35"/>
  <c r="AJ215" i="35"/>
  <c r="AJ204" i="35"/>
  <c r="AK241" i="35"/>
  <c r="AH224" i="35"/>
  <c r="AJ224" i="35"/>
  <c r="AK223" i="35"/>
  <c r="AJ223" i="35"/>
  <c r="AK203" i="35"/>
  <c r="AJ203" i="35"/>
  <c r="AK256" i="35"/>
  <c r="AJ256" i="35"/>
  <c r="AJ225" i="35"/>
  <c r="AJ218" i="35"/>
  <c r="J1143" i="35"/>
  <c r="AJ235" i="35"/>
  <c r="AL205" i="35"/>
  <c r="AJ205" i="35"/>
  <c r="AJ254" i="35"/>
  <c r="J1148" i="35"/>
  <c r="AL209" i="35"/>
  <c r="AJ209" i="35"/>
  <c r="J1147" i="35"/>
  <c r="AJ212" i="35"/>
  <c r="AD206" i="35"/>
  <c r="AJ206" i="35"/>
  <c r="J1137" i="35"/>
  <c r="AK210" i="35"/>
  <c r="AJ210" i="35"/>
  <c r="AM258" i="35"/>
  <c r="AJ258" i="35"/>
  <c r="AJ232" i="35"/>
  <c r="AJ236" i="35"/>
  <c r="AK253" i="35"/>
  <c r="AJ253" i="35"/>
  <c r="AL207" i="35"/>
  <c r="AJ207" i="35"/>
  <c r="D447" i="35"/>
  <c r="AJ213" i="35"/>
  <c r="AJ219" i="35"/>
  <c r="AD211" i="35"/>
  <c r="AJ211" i="35"/>
  <c r="J1136" i="35"/>
  <c r="J1131" i="35"/>
  <c r="AL208" i="35"/>
  <c r="AJ208" i="35"/>
  <c r="AJ242" i="35"/>
  <c r="AJ241" i="35"/>
  <c r="AJ246" i="35"/>
  <c r="AK217" i="35"/>
  <c r="AJ217" i="35"/>
  <c r="J1146" i="35"/>
  <c r="AJ245" i="35"/>
  <c r="AE261" i="35"/>
  <c r="AJ261" i="35"/>
  <c r="AE226" i="35"/>
  <c r="AJ226" i="35"/>
  <c r="AK229" i="35"/>
  <c r="J1139" i="35"/>
  <c r="AK220" i="35"/>
  <c r="AJ220" i="35"/>
  <c r="AK216" i="35"/>
  <c r="AJ216" i="35"/>
  <c r="J1144" i="35"/>
  <c r="AJ243" i="35"/>
  <c r="J1133" i="35"/>
  <c r="AJ255" i="35"/>
  <c r="AK227" i="35"/>
  <c r="AJ227" i="35"/>
  <c r="AJ202" i="35"/>
  <c r="AJ247" i="35"/>
  <c r="AD258" i="35"/>
  <c r="J438" i="33"/>
  <c r="J217" i="33"/>
  <c r="K217" i="33" s="1"/>
  <c r="C780" i="33" s="1"/>
  <c r="B639" i="33"/>
  <c r="B572" i="33"/>
  <c r="C372" i="33"/>
  <c r="B438" i="33"/>
  <c r="L505" i="33"/>
  <c r="B372" i="33"/>
  <c r="AG52" i="38"/>
  <c r="AF42" i="38"/>
  <c r="AF39" i="38"/>
  <c r="AF27" i="38"/>
  <c r="H188" i="27"/>
  <c r="AH255" i="35"/>
  <c r="AI227" i="35"/>
  <c r="V57" i="38"/>
  <c r="AH227" i="35"/>
  <c r="H83" i="27"/>
  <c r="I83" i="27" s="1"/>
  <c r="AH60" i="38" s="1"/>
  <c r="AI60" i="38" s="1"/>
  <c r="AF227" i="35"/>
  <c r="D489" i="35"/>
  <c r="E489" i="35" s="1"/>
  <c r="H1089" i="35" s="1"/>
  <c r="AG227" i="35"/>
  <c r="AL227" i="35"/>
  <c r="M540" i="33"/>
  <c r="AE255" i="35"/>
  <c r="D1089" i="35"/>
  <c r="F1089" i="35" s="1"/>
  <c r="B1230" i="35" s="1"/>
  <c r="AK255" i="35"/>
  <c r="AD227" i="35"/>
  <c r="D461" i="35"/>
  <c r="E461" i="35" s="1"/>
  <c r="H1061" i="35" s="1"/>
  <c r="L540" i="33"/>
  <c r="AM255" i="35"/>
  <c r="AM227" i="35"/>
  <c r="AE227" i="35"/>
  <c r="K947" i="35"/>
  <c r="L947" i="35" s="1"/>
  <c r="G1081" i="35" s="1"/>
  <c r="AF210" i="35"/>
  <c r="M185" i="33"/>
  <c r="D444" i="35"/>
  <c r="E444" i="35" s="1"/>
  <c r="M444" i="35" s="1"/>
  <c r="AG37" i="38"/>
  <c r="AG5" i="38"/>
  <c r="AK258" i="35"/>
  <c r="AI210" i="35"/>
  <c r="AH210" i="35"/>
  <c r="AM210" i="35"/>
  <c r="AE258" i="35"/>
  <c r="I197" i="33"/>
  <c r="AG258" i="35"/>
  <c r="AI258" i="35"/>
  <c r="D492" i="35"/>
  <c r="E492" i="35" s="1"/>
  <c r="AG210" i="35"/>
  <c r="AL210" i="35"/>
  <c r="AF258" i="35"/>
  <c r="AH258" i="35"/>
  <c r="AE210" i="35"/>
  <c r="AD210" i="35"/>
  <c r="AK218" i="35"/>
  <c r="AH218" i="35"/>
  <c r="K903" i="35"/>
  <c r="L903" i="35" s="1"/>
  <c r="G1037" i="35" s="1"/>
  <c r="C1178" i="35" s="1"/>
  <c r="M1178" i="35" s="1"/>
  <c r="AG218" i="35"/>
  <c r="V41" i="38"/>
  <c r="AM218" i="35"/>
  <c r="AL218" i="35"/>
  <c r="AF218" i="35"/>
  <c r="AD218" i="35"/>
  <c r="AI218" i="35"/>
  <c r="D459" i="35"/>
  <c r="E459" i="35" s="1"/>
  <c r="H1059" i="35" s="1"/>
  <c r="C436" i="35"/>
  <c r="D452" i="35"/>
  <c r="E452" i="35" s="1"/>
  <c r="M452" i="35" s="1"/>
  <c r="AE218" i="35"/>
  <c r="AG256" i="35"/>
  <c r="K385" i="35"/>
  <c r="W37" i="38"/>
  <c r="AE208" i="35"/>
  <c r="L944" i="35"/>
  <c r="H72" i="27" s="1"/>
  <c r="I72" i="27" s="1"/>
  <c r="AH49" i="38" s="1"/>
  <c r="AI49" i="38" s="1"/>
  <c r="AG47" i="38"/>
  <c r="AH225" i="35"/>
  <c r="D490" i="35"/>
  <c r="E490" i="35" s="1"/>
  <c r="H1090" i="35" s="1"/>
  <c r="AH256" i="35"/>
  <c r="AE225" i="35"/>
  <c r="J197" i="33"/>
  <c r="I418" i="33" s="1"/>
  <c r="K381" i="35"/>
  <c r="AF37" i="38"/>
  <c r="AI203" i="35"/>
  <c r="AD225" i="35"/>
  <c r="AG225" i="35"/>
  <c r="L407" i="35"/>
  <c r="M407" i="35" s="1"/>
  <c r="K1092" i="35" s="1"/>
  <c r="D458" i="35"/>
  <c r="E458" i="35" s="1"/>
  <c r="H1058" i="35" s="1"/>
  <c r="AD224" i="35"/>
  <c r="V65" i="38"/>
  <c r="AI225" i="35"/>
  <c r="AF225" i="35"/>
  <c r="V40" i="38"/>
  <c r="AF256" i="35"/>
  <c r="AD256" i="35"/>
  <c r="E467" i="35"/>
  <c r="M467" i="35" s="1"/>
  <c r="AL224" i="35"/>
  <c r="AM203" i="35"/>
  <c r="AK225" i="35"/>
  <c r="AM225" i="35"/>
  <c r="AL225" i="35"/>
  <c r="AE256" i="35"/>
  <c r="AM256" i="35"/>
  <c r="AI256" i="35"/>
  <c r="N340" i="33"/>
  <c r="O340" i="33" s="1"/>
  <c r="AD243" i="35"/>
  <c r="AG255" i="35"/>
  <c r="AD255" i="35"/>
  <c r="C475" i="35"/>
  <c r="AF243" i="35"/>
  <c r="AF255" i="35"/>
  <c r="AI255" i="35"/>
  <c r="W46" i="38"/>
  <c r="AG216" i="35"/>
  <c r="L363" i="35"/>
  <c r="M363" i="35" s="1"/>
  <c r="D607" i="33"/>
  <c r="F991" i="35" s="1"/>
  <c r="J352" i="33"/>
  <c r="AF34" i="38"/>
  <c r="F391" i="35"/>
  <c r="AF208" i="35"/>
  <c r="F352" i="33"/>
  <c r="M260" i="35"/>
  <c r="K916" i="35"/>
  <c r="L916" i="35" s="1"/>
  <c r="H44" i="27" s="1"/>
  <c r="I44" i="27" s="1"/>
  <c r="AH21" i="38" s="1"/>
  <c r="AI21" i="38" s="1"/>
  <c r="K391" i="35"/>
  <c r="AE224" i="35"/>
  <c r="AF224" i="35"/>
  <c r="AM208" i="35"/>
  <c r="AI208" i="35"/>
  <c r="AG42" i="38"/>
  <c r="AK224" i="35"/>
  <c r="AK208" i="35"/>
  <c r="AI224" i="35"/>
  <c r="AM224" i="35"/>
  <c r="AH208" i="35"/>
  <c r="AG208" i="35"/>
  <c r="D442" i="35"/>
  <c r="E442" i="35" s="1"/>
  <c r="H1042" i="35" s="1"/>
  <c r="AG224" i="35"/>
  <c r="AD208" i="35"/>
  <c r="L373" i="35"/>
  <c r="M373" i="35" s="1"/>
  <c r="L382" i="35"/>
  <c r="M382" i="35" s="1"/>
  <c r="L392" i="35"/>
  <c r="M392" i="35" s="1"/>
  <c r="F396" i="35"/>
  <c r="AF206" i="35"/>
  <c r="N181" i="33"/>
  <c r="J245" i="27"/>
  <c r="I280" i="27"/>
  <c r="J280" i="27" s="1"/>
  <c r="AG206" i="35"/>
  <c r="F385" i="35"/>
  <c r="AF56" i="38"/>
  <c r="C470" i="35"/>
  <c r="L933" i="35"/>
  <c r="G1067" i="35" s="1"/>
  <c r="AM206" i="35"/>
  <c r="AI206" i="35"/>
  <c r="AK206" i="35"/>
  <c r="I619" i="33"/>
  <c r="AG56" i="38"/>
  <c r="D440" i="35"/>
  <c r="E440" i="35" s="1"/>
  <c r="H1040" i="35" s="1"/>
  <c r="AH206" i="35"/>
  <c r="AE206" i="35"/>
  <c r="V52" i="38"/>
  <c r="F409" i="35"/>
  <c r="L369" i="35"/>
  <c r="M369" i="35" s="1"/>
  <c r="K1054" i="35" s="1"/>
  <c r="F381" i="35"/>
  <c r="K409" i="35"/>
  <c r="K396" i="35"/>
  <c r="C466" i="35"/>
  <c r="AI243" i="35"/>
  <c r="AM243" i="35"/>
  <c r="AH216" i="35"/>
  <c r="W47" i="38"/>
  <c r="I235" i="27"/>
  <c r="D477" i="35"/>
  <c r="E477" i="35" s="1"/>
  <c r="H1077" i="35" s="1"/>
  <c r="AF5" i="38"/>
  <c r="AE243" i="35"/>
  <c r="AL243" i="35"/>
  <c r="AG49" i="38"/>
  <c r="AK243" i="35"/>
  <c r="AM223" i="35"/>
  <c r="AD216" i="35"/>
  <c r="AH243" i="35"/>
  <c r="AG243" i="35"/>
  <c r="AL235" i="35"/>
  <c r="L935" i="35"/>
  <c r="G1069" i="35" s="1"/>
  <c r="AF223" i="35"/>
  <c r="D457" i="35"/>
  <c r="E457" i="35" s="1"/>
  <c r="M457" i="35" s="1"/>
  <c r="AH220" i="35"/>
  <c r="AE220" i="35"/>
  <c r="AF216" i="35"/>
  <c r="H202" i="27"/>
  <c r="AG44" i="38"/>
  <c r="AF57" i="38"/>
  <c r="AF51" i="38"/>
  <c r="H210" i="27"/>
  <c r="AG34" i="38"/>
  <c r="AF48" i="38"/>
  <c r="AF55" i="38"/>
  <c r="AG53" i="38"/>
  <c r="H153" i="27"/>
  <c r="AH223" i="35"/>
  <c r="AF220" i="35"/>
  <c r="AD220" i="35"/>
  <c r="AI220" i="35"/>
  <c r="AM220" i="35"/>
  <c r="D450" i="35"/>
  <c r="E450" i="35" s="1"/>
  <c r="M450" i="35" s="1"/>
  <c r="F196" i="27"/>
  <c r="F200" i="27"/>
  <c r="H203" i="27"/>
  <c r="AF44" i="38"/>
  <c r="AG223" i="35"/>
  <c r="D454" i="35"/>
  <c r="E454" i="35" s="1"/>
  <c r="H1054" i="35" s="1"/>
  <c r="L196" i="27"/>
  <c r="H194" i="27"/>
  <c r="AF64" i="38"/>
  <c r="L960" i="35"/>
  <c r="G1094" i="35" s="1"/>
  <c r="AE223" i="35"/>
  <c r="AI223" i="35"/>
  <c r="AD223" i="35"/>
  <c r="AL223" i="35"/>
  <c r="F367" i="33"/>
  <c r="AL220" i="35"/>
  <c r="AG220" i="35"/>
  <c r="AM216" i="35"/>
  <c r="AI216" i="35"/>
  <c r="AL216" i="35"/>
  <c r="N164" i="33"/>
  <c r="F189" i="27"/>
  <c r="AF43" i="38"/>
  <c r="AF36" i="38"/>
  <c r="AF47" i="38"/>
  <c r="AF7" i="38"/>
  <c r="AE216" i="35"/>
  <c r="AG51" i="38"/>
  <c r="AE203" i="35"/>
  <c r="AF203" i="35"/>
  <c r="I266" i="27"/>
  <c r="J266" i="27" s="1"/>
  <c r="M180" i="33"/>
  <c r="F188" i="27"/>
  <c r="F201" i="27"/>
  <c r="F195" i="27"/>
  <c r="AF46" i="38"/>
  <c r="AG55" i="38"/>
  <c r="AG54" i="38"/>
  <c r="D437" i="35"/>
  <c r="E437" i="35" s="1"/>
  <c r="M437" i="35" s="1"/>
  <c r="AM202" i="35"/>
  <c r="AH203" i="35"/>
  <c r="C463" i="35"/>
  <c r="I238" i="27"/>
  <c r="AG57" i="38"/>
  <c r="M234" i="35"/>
  <c r="AJ234" i="35" s="1"/>
  <c r="H192" i="27"/>
  <c r="AG203" i="35"/>
  <c r="AD203" i="35"/>
  <c r="C472" i="35"/>
  <c r="AG40" i="38"/>
  <c r="AF50" i="38"/>
  <c r="F203" i="27"/>
  <c r="H200" i="27"/>
  <c r="H201" i="27"/>
  <c r="AF53" i="38"/>
  <c r="AF54" i="38"/>
  <c r="AG43" i="38"/>
  <c r="F202" i="27"/>
  <c r="H197" i="27"/>
  <c r="AG36" i="38"/>
  <c r="AG46" i="38"/>
  <c r="M200" i="35"/>
  <c r="J1101" i="35" s="1"/>
  <c r="D436" i="35"/>
  <c r="I274" i="27"/>
  <c r="J274" i="27" s="1"/>
  <c r="AI235" i="35"/>
  <c r="V38" i="38"/>
  <c r="AK235" i="35"/>
  <c r="AG7" i="38"/>
  <c r="AG64" i="38"/>
  <c r="AF52" i="38"/>
  <c r="M215" i="33"/>
  <c r="K188" i="33"/>
  <c r="F194" i="27"/>
  <c r="F197" i="27"/>
  <c r="F386" i="35"/>
  <c r="M228" i="35"/>
  <c r="M222" i="35"/>
  <c r="C469" i="35"/>
  <c r="J907" i="33"/>
  <c r="F210" i="27"/>
  <c r="F192" i="27"/>
  <c r="F153" i="27"/>
  <c r="F199" i="27"/>
  <c r="F379" i="35"/>
  <c r="K379" i="35"/>
  <c r="F180" i="27"/>
  <c r="H189" i="27"/>
  <c r="F371" i="35"/>
  <c r="F387" i="35"/>
  <c r="F390" i="35"/>
  <c r="K384" i="35"/>
  <c r="H180" i="27"/>
  <c r="L180" i="27"/>
  <c r="K401" i="35"/>
  <c r="D469" i="35"/>
  <c r="AH235" i="35"/>
  <c r="F349" i="35"/>
  <c r="AF235" i="35"/>
  <c r="AD235" i="35"/>
  <c r="AG235" i="35"/>
  <c r="AE235" i="35"/>
  <c r="AM235" i="35"/>
  <c r="F377" i="35"/>
  <c r="F389" i="35"/>
  <c r="K397" i="35"/>
  <c r="K393" i="35"/>
  <c r="F398" i="35"/>
  <c r="K398" i="35"/>
  <c r="K399" i="35"/>
  <c r="K380" i="35"/>
  <c r="K400" i="35"/>
  <c r="F350" i="35"/>
  <c r="K408" i="35"/>
  <c r="F401" i="35"/>
  <c r="F395" i="35"/>
  <c r="F397" i="35"/>
  <c r="F393" i="35"/>
  <c r="F380" i="35"/>
  <c r="F388" i="35"/>
  <c r="K390" i="35"/>
  <c r="F408" i="35"/>
  <c r="F378" i="35"/>
  <c r="K383" i="35"/>
  <c r="K377" i="35"/>
  <c r="K371" i="35"/>
  <c r="K389" i="35"/>
  <c r="K395" i="35"/>
  <c r="K351" i="35"/>
  <c r="F351" i="35"/>
  <c r="K387" i="35"/>
  <c r="K378" i="35"/>
  <c r="F384" i="35"/>
  <c r="F383" i="35"/>
  <c r="F399" i="35"/>
  <c r="K386" i="35"/>
  <c r="K350" i="35"/>
  <c r="K388" i="35"/>
  <c r="AM217" i="35"/>
  <c r="AI217" i="35"/>
  <c r="K349" i="35"/>
  <c r="G1073" i="35"/>
  <c r="H67" i="27"/>
  <c r="I67" i="27" s="1"/>
  <c r="AH44" i="38" s="1"/>
  <c r="AI44" i="38" s="1"/>
  <c r="G1065" i="35"/>
  <c r="H59" i="27"/>
  <c r="I59" i="27" s="1"/>
  <c r="AH36" i="38" s="1"/>
  <c r="AI36" i="38" s="1"/>
  <c r="G1038" i="35"/>
  <c r="D1038" i="35"/>
  <c r="F1038" i="35" s="1"/>
  <c r="H32" i="27"/>
  <c r="I32" i="27" s="1"/>
  <c r="AH9" i="38" s="1"/>
  <c r="AI9" i="38" s="1"/>
  <c r="F400" i="35"/>
  <c r="M177" i="33"/>
  <c r="N178" i="33"/>
  <c r="H211" i="27"/>
  <c r="F211" i="27"/>
  <c r="F198" i="27"/>
  <c r="H198" i="27"/>
  <c r="J198" i="27" s="1"/>
  <c r="H190" i="27"/>
  <c r="F190" i="27"/>
  <c r="D1039" i="35"/>
  <c r="F1039" i="35" s="1"/>
  <c r="B1180" i="35" s="1"/>
  <c r="G1039" i="35"/>
  <c r="C1180" i="35" s="1"/>
  <c r="H33" i="27"/>
  <c r="I33" i="27" s="1"/>
  <c r="AH10" i="38" s="1"/>
  <c r="AI10" i="38" s="1"/>
  <c r="D1059" i="35"/>
  <c r="F1059" i="35" s="1"/>
  <c r="B1200" i="35" s="1"/>
  <c r="G1059" i="35"/>
  <c r="C1200" i="35" s="1"/>
  <c r="H53" i="27"/>
  <c r="I53" i="27" s="1"/>
  <c r="AH30" i="38" s="1"/>
  <c r="AI30" i="38" s="1"/>
  <c r="G1092" i="35"/>
  <c r="D1092" i="35"/>
  <c r="F1092" i="35" s="1"/>
  <c r="B1233" i="35" s="1"/>
  <c r="E1233" i="35" s="1"/>
  <c r="H86" i="27"/>
  <c r="I86" i="27" s="1"/>
  <c r="AH63" i="38" s="1"/>
  <c r="AI63" i="38" s="1"/>
  <c r="D1091" i="35"/>
  <c r="F1091" i="35" s="1"/>
  <c r="B1232" i="35" s="1"/>
  <c r="E1232" i="35" s="1"/>
  <c r="G1091" i="35"/>
  <c r="C1232" i="35" s="1"/>
  <c r="L1232" i="35" s="1"/>
  <c r="H85" i="27"/>
  <c r="I85" i="27" s="1"/>
  <c r="AH62" i="38" s="1"/>
  <c r="AI62" i="38" s="1"/>
  <c r="N186" i="33"/>
  <c r="AG65" i="38"/>
  <c r="AF65" i="38"/>
  <c r="AG48" i="38"/>
  <c r="G1090" i="35"/>
  <c r="C1231" i="35" s="1"/>
  <c r="D1090" i="35"/>
  <c r="F1090" i="35" s="1"/>
  <c r="B1231" i="35" s="1"/>
  <c r="H84" i="27"/>
  <c r="I84" i="27" s="1"/>
  <c r="AH61" i="38" s="1"/>
  <c r="AI61" i="38" s="1"/>
  <c r="G1052" i="35"/>
  <c r="C1193" i="35" s="1"/>
  <c r="D1052" i="35"/>
  <c r="F1052" i="35" s="1"/>
  <c r="B1193" i="35" s="1"/>
  <c r="H46" i="27"/>
  <c r="I46" i="27" s="1"/>
  <c r="AH23" i="38" s="1"/>
  <c r="AI23" i="38" s="1"/>
  <c r="H182" i="27"/>
  <c r="F182" i="27"/>
  <c r="H199" i="27"/>
  <c r="J199" i="27" s="1"/>
  <c r="F186" i="27"/>
  <c r="H186" i="27"/>
  <c r="G1054" i="35"/>
  <c r="C1195" i="35" s="1"/>
  <c r="D1054" i="35"/>
  <c r="F1054" i="35" s="1"/>
  <c r="B1195" i="35" s="1"/>
  <c r="H48" i="27"/>
  <c r="I48" i="27" s="1"/>
  <c r="AH25" i="38" s="1"/>
  <c r="AI25" i="38" s="1"/>
  <c r="L853" i="35"/>
  <c r="L193" i="27"/>
  <c r="E193" i="27"/>
  <c r="F193" i="27" s="1"/>
  <c r="H193" i="27"/>
  <c r="L187" i="27"/>
  <c r="E187" i="27"/>
  <c r="F187" i="27" s="1"/>
  <c r="H187" i="27"/>
  <c r="L185" i="27"/>
  <c r="E185" i="27"/>
  <c r="F185" i="27" s="1"/>
  <c r="H185" i="27"/>
  <c r="L163" i="27"/>
  <c r="E163" i="27"/>
  <c r="F163" i="27" s="1"/>
  <c r="H163" i="27"/>
  <c r="L151" i="27"/>
  <c r="E151" i="27"/>
  <c r="F151" i="27" s="1"/>
  <c r="H151" i="27"/>
  <c r="J151" i="27" s="1"/>
  <c r="L191" i="27"/>
  <c r="E191" i="27"/>
  <c r="F191" i="27" s="1"/>
  <c r="H191" i="27"/>
  <c r="L183" i="27"/>
  <c r="E183" i="27"/>
  <c r="F183" i="27" s="1"/>
  <c r="H183" i="27"/>
  <c r="I934" i="33"/>
  <c r="J934" i="33" s="1"/>
  <c r="E934" i="33"/>
  <c r="F934" i="33" s="1"/>
  <c r="F754" i="33" s="1"/>
  <c r="I933" i="33"/>
  <c r="J933" i="33" s="1"/>
  <c r="E933" i="33"/>
  <c r="F933" i="33" s="1"/>
  <c r="F753" i="33" s="1"/>
  <c r="I914" i="33"/>
  <c r="E914" i="33"/>
  <c r="I908" i="33"/>
  <c r="E908" i="33"/>
  <c r="F908" i="33" s="1"/>
  <c r="F728" i="33" s="1"/>
  <c r="I957" i="33"/>
  <c r="E957" i="33"/>
  <c r="I931" i="33"/>
  <c r="E931" i="33"/>
  <c r="I919" i="33"/>
  <c r="E919" i="33"/>
  <c r="I953" i="33"/>
  <c r="J953" i="33" s="1"/>
  <c r="E953" i="33"/>
  <c r="F953" i="33" s="1"/>
  <c r="F773" i="33" s="1"/>
  <c r="I954" i="33"/>
  <c r="J954" i="33" s="1"/>
  <c r="E954" i="33"/>
  <c r="F954" i="33" s="1"/>
  <c r="F774" i="33" s="1"/>
  <c r="M175" i="33"/>
  <c r="J918" i="33"/>
  <c r="I950" i="33"/>
  <c r="J950" i="33" s="1"/>
  <c r="E950" i="33"/>
  <c r="F950" i="33" s="1"/>
  <c r="F770" i="33" s="1"/>
  <c r="I945" i="33"/>
  <c r="J945" i="33" s="1"/>
  <c r="E945" i="33"/>
  <c r="F945" i="33" s="1"/>
  <c r="F765" i="33" s="1"/>
  <c r="I958" i="33"/>
  <c r="E958" i="33"/>
  <c r="F958" i="33" s="1"/>
  <c r="F778" i="33" s="1"/>
  <c r="I913" i="33"/>
  <c r="E913" i="33"/>
  <c r="I944" i="33"/>
  <c r="J944" i="33" s="1"/>
  <c r="E944" i="33"/>
  <c r="F944" i="33" s="1"/>
  <c r="F764" i="33" s="1"/>
  <c r="I905" i="33"/>
  <c r="J905" i="33" s="1"/>
  <c r="E905" i="33"/>
  <c r="I962" i="33"/>
  <c r="E962" i="33"/>
  <c r="I920" i="33"/>
  <c r="E920" i="33"/>
  <c r="M173" i="33"/>
  <c r="J910" i="33"/>
  <c r="J921" i="33"/>
  <c r="I952" i="33"/>
  <c r="J952" i="33" s="1"/>
  <c r="E952" i="33"/>
  <c r="F952" i="33" s="1"/>
  <c r="F772" i="33" s="1"/>
  <c r="I930" i="33"/>
  <c r="E930" i="33"/>
  <c r="I925" i="33"/>
  <c r="E925" i="33"/>
  <c r="F925" i="33" s="1"/>
  <c r="F745" i="33" s="1"/>
  <c r="I932" i="33"/>
  <c r="E932" i="33"/>
  <c r="I923" i="33"/>
  <c r="E923" i="33"/>
  <c r="J965" i="33"/>
  <c r="I917" i="33"/>
  <c r="E917" i="33"/>
  <c r="I915" i="33"/>
  <c r="E915" i="33"/>
  <c r="F915" i="33" s="1"/>
  <c r="F735" i="33" s="1"/>
  <c r="I911" i="33"/>
  <c r="E911" i="33"/>
  <c r="J929" i="33"/>
  <c r="J916" i="33"/>
  <c r="J191" i="33"/>
  <c r="I412" i="33" s="1"/>
  <c r="J412" i="33"/>
  <c r="J172" i="33"/>
  <c r="J393" i="33"/>
  <c r="J171" i="33"/>
  <c r="J392" i="33"/>
  <c r="I609" i="33"/>
  <c r="M475" i="33"/>
  <c r="I604" i="33"/>
  <c r="M470" i="33"/>
  <c r="I634" i="33"/>
  <c r="M500" i="33"/>
  <c r="F947" i="33"/>
  <c r="H57" i="38"/>
  <c r="F607" i="33"/>
  <c r="J183" i="33"/>
  <c r="J404" i="33"/>
  <c r="J202" i="33"/>
  <c r="J423" i="33"/>
  <c r="J176" i="33"/>
  <c r="K176" i="33" s="1"/>
  <c r="J397" i="33"/>
  <c r="J170" i="33"/>
  <c r="J391" i="33"/>
  <c r="E588" i="33"/>
  <c r="F588" i="33"/>
  <c r="J219" i="33"/>
  <c r="K219" i="33" s="1"/>
  <c r="C782" i="33" s="1"/>
  <c r="J440" i="33"/>
  <c r="F955" i="33"/>
  <c r="M252" i="35"/>
  <c r="AJ252" i="35" s="1"/>
  <c r="C486" i="35"/>
  <c r="J190" i="33"/>
  <c r="J411" i="33"/>
  <c r="J162" i="33"/>
  <c r="J383" i="33"/>
  <c r="J169" i="33"/>
  <c r="K169" i="33" s="1"/>
  <c r="J390" i="33"/>
  <c r="J168" i="33"/>
  <c r="J389" i="33"/>
  <c r="I640" i="33"/>
  <c r="M506" i="33"/>
  <c r="I628" i="33"/>
  <c r="M494" i="33"/>
  <c r="I629" i="33"/>
  <c r="M495" i="33"/>
  <c r="F929" i="33"/>
  <c r="F904" i="33"/>
  <c r="J189" i="33"/>
  <c r="K189" i="33" s="1"/>
  <c r="J410" i="33"/>
  <c r="J207" i="33"/>
  <c r="J428" i="33"/>
  <c r="J174" i="33"/>
  <c r="K174" i="33" s="1"/>
  <c r="J395" i="33"/>
  <c r="J187" i="33"/>
  <c r="K187" i="33" s="1"/>
  <c r="J408" i="33"/>
  <c r="F916" i="33"/>
  <c r="F943" i="33"/>
  <c r="L57" i="38"/>
  <c r="M201" i="33"/>
  <c r="N201" i="33"/>
  <c r="J218" i="33"/>
  <c r="K218" i="33" s="1"/>
  <c r="C781" i="33" s="1"/>
  <c r="H781" i="33" s="1"/>
  <c r="J195" i="33"/>
  <c r="I416" i="33" s="1"/>
  <c r="N211" i="33"/>
  <c r="M211" i="33"/>
  <c r="M216" i="33"/>
  <c r="N216" i="33"/>
  <c r="N222" i="33"/>
  <c r="M222" i="33"/>
  <c r="N163" i="33"/>
  <c r="M163" i="33"/>
  <c r="J212" i="33"/>
  <c r="I433" i="33" s="1"/>
  <c r="I211" i="33"/>
  <c r="J211" i="33"/>
  <c r="I432" i="33" s="1"/>
  <c r="I184" i="33"/>
  <c r="J184" i="33"/>
  <c r="J205" i="33"/>
  <c r="I426" i="33" s="1"/>
  <c r="M205" i="33"/>
  <c r="N205" i="33"/>
  <c r="M212" i="33"/>
  <c r="N212" i="33"/>
  <c r="M197" i="33"/>
  <c r="N197" i="33"/>
  <c r="N199" i="33"/>
  <c r="M199" i="33"/>
  <c r="J206" i="33"/>
  <c r="I427" i="33" s="1"/>
  <c r="N161" i="33"/>
  <c r="M161" i="33"/>
  <c r="I198" i="33"/>
  <c r="J198" i="33"/>
  <c r="I419" i="33" s="1"/>
  <c r="J163" i="33"/>
  <c r="I384" i="33" s="1"/>
  <c r="J161" i="33"/>
  <c r="I382" i="33" s="1"/>
  <c r="L456" i="33"/>
  <c r="M456" i="33" s="1"/>
  <c r="J220" i="33"/>
  <c r="I441" i="33" s="1"/>
  <c r="L374" i="35"/>
  <c r="M374" i="35" s="1"/>
  <c r="K1059" i="35" s="1"/>
  <c r="I161" i="33"/>
  <c r="AI202" i="35"/>
  <c r="J209" i="27"/>
  <c r="AJ23" i="38"/>
  <c r="J171" i="27"/>
  <c r="AJ60" i="38"/>
  <c r="I642" i="33"/>
  <c r="C44" i="38"/>
  <c r="I44" i="38" s="1"/>
  <c r="F965" i="33"/>
  <c r="F785" i="33" s="1"/>
  <c r="G575" i="33"/>
  <c r="G1026" i="35" s="1"/>
  <c r="K907" i="35"/>
  <c r="L907" i="35" s="1"/>
  <c r="L365" i="35"/>
  <c r="M365" i="35" s="1"/>
  <c r="L352" i="35"/>
  <c r="M352" i="35" s="1"/>
  <c r="AK232" i="35"/>
  <c r="D451" i="35"/>
  <c r="E451" i="35" s="1"/>
  <c r="H1051" i="35" s="1"/>
  <c r="AC28" i="38"/>
  <c r="AD28" i="38" s="1"/>
  <c r="AD217" i="35"/>
  <c r="AE217" i="35"/>
  <c r="I220" i="33"/>
  <c r="AC56" i="38"/>
  <c r="AD56" i="38" s="1"/>
  <c r="AH217" i="35"/>
  <c r="AL217" i="35"/>
  <c r="AL238" i="35"/>
  <c r="F63" i="38"/>
  <c r="B440" i="33"/>
  <c r="L507" i="33"/>
  <c r="M507" i="33" s="1"/>
  <c r="B374" i="33"/>
  <c r="B574" i="33"/>
  <c r="B641" i="33"/>
  <c r="C374" i="33"/>
  <c r="AF217" i="35"/>
  <c r="AG217" i="35"/>
  <c r="I219" i="33"/>
  <c r="J375" i="33"/>
  <c r="AO233" i="35"/>
  <c r="AS233" i="35"/>
  <c r="V64" i="38"/>
  <c r="I278" i="27"/>
  <c r="J278" i="27" s="1"/>
  <c r="J575" i="33"/>
  <c r="E1026" i="35" s="1"/>
  <c r="I575" i="33"/>
  <c r="F375" i="33"/>
  <c r="L366" i="35"/>
  <c r="M366" i="35" s="1"/>
  <c r="L405" i="35"/>
  <c r="M405" i="35" s="1"/>
  <c r="K1090" i="35" s="1"/>
  <c r="J567" i="33"/>
  <c r="E1018" i="35" s="1"/>
  <c r="AX233" i="35"/>
  <c r="AU233" i="35"/>
  <c r="V5" i="38"/>
  <c r="AL202" i="35"/>
  <c r="AE202" i="35"/>
  <c r="AQ233" i="35"/>
  <c r="AK202" i="35"/>
  <c r="B633" i="33"/>
  <c r="C366" i="33"/>
  <c r="B566" i="33"/>
  <c r="B432" i="33"/>
  <c r="B366" i="33"/>
  <c r="L499" i="33"/>
  <c r="M499" i="33" s="1"/>
  <c r="J355" i="33"/>
  <c r="F355" i="33"/>
  <c r="I622" i="33"/>
  <c r="F55" i="38"/>
  <c r="K555" i="33"/>
  <c r="I555" i="33"/>
  <c r="J555" i="33"/>
  <c r="E1006" i="35" s="1"/>
  <c r="G555" i="33"/>
  <c r="G1006" i="35" s="1"/>
  <c r="AC55" i="38"/>
  <c r="AD55" i="38" s="1"/>
  <c r="AD202" i="35"/>
  <c r="AF202" i="35"/>
  <c r="AN233" i="35"/>
  <c r="AT233" i="35"/>
  <c r="AW233" i="35"/>
  <c r="N233" i="35" s="1"/>
  <c r="J1067" i="35" s="1"/>
  <c r="AY233" i="35"/>
  <c r="I257" i="27"/>
  <c r="J257" i="27" s="1"/>
  <c r="AH202" i="35"/>
  <c r="AG202" i="35"/>
  <c r="AV233" i="35"/>
  <c r="AR233" i="35"/>
  <c r="AZ233" i="35"/>
  <c r="K950" i="35"/>
  <c r="L950" i="35" s="1"/>
  <c r="B1275" i="35"/>
  <c r="Z39" i="38" s="1"/>
  <c r="H972" i="35"/>
  <c r="B1283" i="35"/>
  <c r="Z47" i="38" s="1"/>
  <c r="B1273" i="35"/>
  <c r="Z37" i="38" s="1"/>
  <c r="B1241" i="35"/>
  <c r="Z5" i="38" s="1"/>
  <c r="B1277" i="35"/>
  <c r="Z41" i="38" s="1"/>
  <c r="L183" i="32"/>
  <c r="AP28" i="38"/>
  <c r="AQ28" i="38" s="1"/>
  <c r="AP30" i="38"/>
  <c r="AQ30" i="38" s="1"/>
  <c r="L201" i="32"/>
  <c r="AC30" i="38"/>
  <c r="AD30" i="38" s="1"/>
  <c r="AP56" i="38"/>
  <c r="AQ56" i="38" s="1"/>
  <c r="M1394" i="35"/>
  <c r="N1394" i="35" s="1"/>
  <c r="L1460" i="35" s="1"/>
  <c r="AJ55" i="38"/>
  <c r="AJ36" i="38"/>
  <c r="AJ65" i="38"/>
  <c r="AJ63" i="38"/>
  <c r="AJ44" i="38"/>
  <c r="AJ52" i="38"/>
  <c r="F900" i="35"/>
  <c r="G900" i="35"/>
  <c r="M259" i="35"/>
  <c r="J1142" i="35"/>
  <c r="J1103" i="35"/>
  <c r="J1130" i="35"/>
  <c r="I237" i="27"/>
  <c r="L404" i="35"/>
  <c r="M404" i="35" s="1"/>
  <c r="K1089" i="35" s="1"/>
  <c r="M1381" i="35"/>
  <c r="N1381" i="35" s="1"/>
  <c r="L1447" i="35" s="1"/>
  <c r="L149" i="32"/>
  <c r="M1358" i="35"/>
  <c r="N1358" i="35" s="1"/>
  <c r="L1424" i="35" s="1"/>
  <c r="M1405" i="35"/>
  <c r="N1405" i="35" s="1"/>
  <c r="L1471" i="35" s="1"/>
  <c r="AC59" i="38" s="1"/>
  <c r="AD59" i="38" s="1"/>
  <c r="M1362" i="35"/>
  <c r="N1362" i="35" s="1"/>
  <c r="L1428" i="35" s="1"/>
  <c r="M1428" i="35" s="1"/>
  <c r="J350" i="33"/>
  <c r="E447" i="35"/>
  <c r="H1047" i="35" s="1"/>
  <c r="B422" i="33"/>
  <c r="L489" i="33"/>
  <c r="M489" i="33" s="1"/>
  <c r="B382" i="33"/>
  <c r="L449" i="33"/>
  <c r="B420" i="33"/>
  <c r="L487" i="33"/>
  <c r="M487" i="33" s="1"/>
  <c r="B384" i="33"/>
  <c r="L451" i="33"/>
  <c r="M451" i="33" s="1"/>
  <c r="B426" i="33"/>
  <c r="L493" i="33"/>
  <c r="H1044" i="35"/>
  <c r="J285" i="27"/>
  <c r="J232" i="27"/>
  <c r="I247" i="27"/>
  <c r="M240" i="35"/>
  <c r="M248" i="35"/>
  <c r="M244" i="35"/>
  <c r="M250" i="35"/>
  <c r="M231" i="35"/>
  <c r="M251" i="35"/>
  <c r="M201" i="35"/>
  <c r="M237" i="35"/>
  <c r="M239" i="35"/>
  <c r="M249" i="35"/>
  <c r="I567" i="33"/>
  <c r="K550" i="33"/>
  <c r="K567" i="33"/>
  <c r="J367" i="33"/>
  <c r="G550" i="33"/>
  <c r="G1001" i="35" s="1"/>
  <c r="I218" i="33"/>
  <c r="F350" i="33"/>
  <c r="I550" i="33"/>
  <c r="AP52" i="38"/>
  <c r="AQ52" i="38" s="1"/>
  <c r="I617" i="33"/>
  <c r="L357" i="35"/>
  <c r="I287" i="27"/>
  <c r="J287" i="27" s="1"/>
  <c r="I624" i="33"/>
  <c r="J325" i="33"/>
  <c r="I269" i="27"/>
  <c r="J269" i="27" s="1"/>
  <c r="C360" i="33"/>
  <c r="J254" i="27"/>
  <c r="F12" i="38"/>
  <c r="J361" i="33"/>
  <c r="B560" i="33"/>
  <c r="I168" i="33"/>
  <c r="B389" i="33"/>
  <c r="B323" i="33"/>
  <c r="B523" i="33"/>
  <c r="C323" i="33"/>
  <c r="B590" i="33"/>
  <c r="N341" i="33"/>
  <c r="O341" i="33" s="1"/>
  <c r="V43" i="38"/>
  <c r="B360" i="33"/>
  <c r="B627" i="33"/>
  <c r="D1264" i="35"/>
  <c r="I206" i="33"/>
  <c r="E1259" i="35"/>
  <c r="AG229" i="35"/>
  <c r="D61" i="27"/>
  <c r="K61" i="27" s="1"/>
  <c r="E1299" i="35"/>
  <c r="W6" i="38"/>
  <c r="V7" i="38"/>
  <c r="W34" i="38"/>
  <c r="J324" i="33"/>
  <c r="L367" i="35"/>
  <c r="C316" i="33"/>
  <c r="K926" i="35"/>
  <c r="L926" i="35" s="1"/>
  <c r="F7" i="38"/>
  <c r="F43" i="38"/>
  <c r="F33" i="38"/>
  <c r="F51" i="38"/>
  <c r="F46" i="38"/>
  <c r="F49" i="38"/>
  <c r="F15" i="38"/>
  <c r="F16" i="38"/>
  <c r="F31" i="38"/>
  <c r="F45" i="38"/>
  <c r="J342" i="33"/>
  <c r="F13" i="38"/>
  <c r="F27" i="38"/>
  <c r="F62" i="38"/>
  <c r="I195" i="33"/>
  <c r="I205" i="33"/>
  <c r="B316" i="33"/>
  <c r="F50" i="38"/>
  <c r="F28" i="38"/>
  <c r="J327" i="33"/>
  <c r="I163" i="33"/>
  <c r="F35" i="38"/>
  <c r="F53" i="38"/>
  <c r="F58" i="38"/>
  <c r="F34" i="38"/>
  <c r="F6" i="38"/>
  <c r="F64" i="38"/>
  <c r="F26" i="38"/>
  <c r="I212" i="33"/>
  <c r="F24" i="38"/>
  <c r="F327" i="33"/>
  <c r="I605" i="33"/>
  <c r="I596" i="33"/>
  <c r="J346" i="33"/>
  <c r="J526" i="33"/>
  <c r="E977" i="35" s="1"/>
  <c r="M526" i="33"/>
  <c r="I526" i="33"/>
  <c r="G526" i="33"/>
  <c r="G977" i="35" s="1"/>
  <c r="K526" i="33"/>
  <c r="K539" i="33"/>
  <c r="I539" i="33"/>
  <c r="G539" i="33"/>
  <c r="G990" i="35" s="1"/>
  <c r="J539" i="33"/>
  <c r="E990" i="35" s="1"/>
  <c r="K564" i="33"/>
  <c r="I564" i="33"/>
  <c r="J564" i="33"/>
  <c r="E1015" i="35" s="1"/>
  <c r="G564" i="33"/>
  <c r="G1015" i="35" s="1"/>
  <c r="J561" i="33"/>
  <c r="E1012" i="35" s="1"/>
  <c r="K561" i="33"/>
  <c r="I561" i="33"/>
  <c r="G561" i="33"/>
  <c r="G1012" i="35" s="1"/>
  <c r="J538" i="33"/>
  <c r="E989" i="35" s="1"/>
  <c r="K538" i="33"/>
  <c r="G538" i="33"/>
  <c r="G989" i="35" s="1"/>
  <c r="I538" i="33"/>
  <c r="B621" i="33"/>
  <c r="B554" i="33"/>
  <c r="J557" i="33"/>
  <c r="E1008" i="35" s="1"/>
  <c r="K557" i="33"/>
  <c r="I557" i="33"/>
  <c r="G557" i="33"/>
  <c r="G1008" i="35" s="1"/>
  <c r="K543" i="33"/>
  <c r="I543" i="33"/>
  <c r="G543" i="33"/>
  <c r="G994" i="35" s="1"/>
  <c r="J543" i="33"/>
  <c r="E994" i="35" s="1"/>
  <c r="J529" i="33"/>
  <c r="E980" i="35" s="1"/>
  <c r="C980" i="35"/>
  <c r="K529" i="33"/>
  <c r="I529" i="33"/>
  <c r="G529" i="33"/>
  <c r="G980" i="35" s="1"/>
  <c r="K527" i="33"/>
  <c r="I527" i="33"/>
  <c r="G527" i="33"/>
  <c r="G978" i="35" s="1"/>
  <c r="J527" i="33"/>
  <c r="E978" i="35" s="1"/>
  <c r="K571" i="33"/>
  <c r="I571" i="33"/>
  <c r="J571" i="33"/>
  <c r="E1022" i="35" s="1"/>
  <c r="G571" i="33"/>
  <c r="G1022" i="35" s="1"/>
  <c r="K531" i="33"/>
  <c r="I531" i="33"/>
  <c r="G531" i="33"/>
  <c r="G982" i="35" s="1"/>
  <c r="J531" i="33"/>
  <c r="E982" i="35" s="1"/>
  <c r="J545" i="33"/>
  <c r="E996" i="35" s="1"/>
  <c r="K545" i="33"/>
  <c r="I545" i="33"/>
  <c r="G545" i="33"/>
  <c r="G996" i="35" s="1"/>
  <c r="B583" i="33"/>
  <c r="B516" i="33"/>
  <c r="J537" i="33"/>
  <c r="E988" i="35" s="1"/>
  <c r="K537" i="33"/>
  <c r="I537" i="33"/>
  <c r="G537" i="33"/>
  <c r="G988" i="35" s="1"/>
  <c r="K524" i="33"/>
  <c r="I524" i="33"/>
  <c r="J524" i="33"/>
  <c r="E975" i="35" s="1"/>
  <c r="G524" i="33"/>
  <c r="G975" i="35" s="1"/>
  <c r="J517" i="33"/>
  <c r="E968" i="35" s="1"/>
  <c r="K517" i="33"/>
  <c r="I517" i="33"/>
  <c r="G517" i="33"/>
  <c r="G968" i="35" s="1"/>
  <c r="B623" i="33"/>
  <c r="B556" i="33"/>
  <c r="B585" i="33"/>
  <c r="B518" i="33"/>
  <c r="J546" i="33"/>
  <c r="E997" i="35" s="1"/>
  <c r="I546" i="33"/>
  <c r="G546" i="33"/>
  <c r="G997" i="35" s="1"/>
  <c r="K546" i="33"/>
  <c r="J573" i="33"/>
  <c r="E1024" i="35" s="1"/>
  <c r="K573" i="33"/>
  <c r="I573" i="33"/>
  <c r="G573" i="33"/>
  <c r="G1024" i="35" s="1"/>
  <c r="K520" i="33"/>
  <c r="I520" i="33"/>
  <c r="J520" i="33"/>
  <c r="E971" i="35" s="1"/>
  <c r="G520" i="33"/>
  <c r="G971" i="35" s="1"/>
  <c r="J525" i="33"/>
  <c r="E976" i="35" s="1"/>
  <c r="K525" i="33"/>
  <c r="I525" i="33"/>
  <c r="G525" i="33"/>
  <c r="G976" i="35" s="1"/>
  <c r="J562" i="33"/>
  <c r="E1013" i="35" s="1"/>
  <c r="I562" i="33"/>
  <c r="G562" i="33"/>
  <c r="G1013" i="35" s="1"/>
  <c r="K562" i="33"/>
  <c r="K544" i="33"/>
  <c r="I544" i="33"/>
  <c r="J544" i="33"/>
  <c r="E995" i="35" s="1"/>
  <c r="G544" i="33"/>
  <c r="G995" i="35" s="1"/>
  <c r="J542" i="33"/>
  <c r="E993" i="35" s="1"/>
  <c r="I542" i="33"/>
  <c r="G542" i="33"/>
  <c r="G993" i="35" s="1"/>
  <c r="K542" i="33"/>
  <c r="J569" i="33"/>
  <c r="E1020" i="35" s="1"/>
  <c r="M521" i="33"/>
  <c r="F324" i="33"/>
  <c r="F325" i="33"/>
  <c r="I438" i="33"/>
  <c r="I396" i="33"/>
  <c r="I584" i="33"/>
  <c r="J317" i="33"/>
  <c r="J373" i="33"/>
  <c r="I398" i="33"/>
  <c r="I399" i="33"/>
  <c r="I169" i="33"/>
  <c r="I385" i="33"/>
  <c r="J320" i="33"/>
  <c r="I611" i="33"/>
  <c r="J364" i="33"/>
  <c r="N328" i="33"/>
  <c r="O328" i="33" s="1"/>
  <c r="N351" i="33"/>
  <c r="O351" i="33" s="1"/>
  <c r="E759" i="33" s="1"/>
  <c r="N330" i="33"/>
  <c r="O330" i="33" s="1"/>
  <c r="I591" i="33"/>
  <c r="F331" i="33"/>
  <c r="F165" i="33"/>
  <c r="J386" i="33" s="1"/>
  <c r="C985" i="35"/>
  <c r="M534" i="33"/>
  <c r="C1027" i="35"/>
  <c r="C1009" i="35"/>
  <c r="M558" i="33"/>
  <c r="F201" i="33"/>
  <c r="J422" i="33" s="1"/>
  <c r="F199" i="33"/>
  <c r="J420" i="33" s="1"/>
  <c r="C992" i="35"/>
  <c r="M541" i="33"/>
  <c r="M536" i="33"/>
  <c r="F361" i="33"/>
  <c r="L197" i="32"/>
  <c r="AP62" i="38"/>
  <c r="AQ62" i="38" s="1"/>
  <c r="M551" i="33"/>
  <c r="M1474" i="35"/>
  <c r="AC62" i="38"/>
  <c r="AD62" i="38" s="1"/>
  <c r="C999" i="35"/>
  <c r="M548" i="33"/>
  <c r="F209" i="33"/>
  <c r="J430" i="33" s="1"/>
  <c r="F182" i="33"/>
  <c r="J403" i="33" s="1"/>
  <c r="F344" i="33"/>
  <c r="C979" i="35"/>
  <c r="M528" i="33"/>
  <c r="C318" i="33"/>
  <c r="F329" i="33"/>
  <c r="C981" i="35"/>
  <c r="M530" i="33"/>
  <c r="AE241" i="35"/>
  <c r="D463" i="35"/>
  <c r="AF241" i="35"/>
  <c r="AF229" i="35"/>
  <c r="AI241" i="35"/>
  <c r="AM229" i="35"/>
  <c r="AI229" i="35"/>
  <c r="AL253" i="35"/>
  <c r="AH241" i="35"/>
  <c r="AD241" i="35"/>
  <c r="AD229" i="35"/>
  <c r="AE229" i="35"/>
  <c r="F214" i="33"/>
  <c r="J435" i="33" s="1"/>
  <c r="AM241" i="35"/>
  <c r="D475" i="35"/>
  <c r="AL241" i="35"/>
  <c r="AG241" i="35"/>
  <c r="AH229" i="35"/>
  <c r="AL229" i="35"/>
  <c r="N358" i="33"/>
  <c r="O358" i="33" s="1"/>
  <c r="E766" i="33" s="1"/>
  <c r="E1251" i="35"/>
  <c r="C987" i="35"/>
  <c r="I598" i="33"/>
  <c r="F326" i="33"/>
  <c r="D597" i="33"/>
  <c r="M576" i="33"/>
  <c r="L528" i="33"/>
  <c r="N336" i="33"/>
  <c r="O336" i="33" s="1"/>
  <c r="E744" i="33" s="1"/>
  <c r="I594" i="33"/>
  <c r="I592" i="33"/>
  <c r="F338" i="33"/>
  <c r="B318" i="33"/>
  <c r="J362" i="33"/>
  <c r="F362" i="33"/>
  <c r="J331" i="33"/>
  <c r="I613" i="33"/>
  <c r="N376" i="33"/>
  <c r="O376" i="33" s="1"/>
  <c r="E784" i="33" s="1"/>
  <c r="F364" i="33"/>
  <c r="N353" i="33"/>
  <c r="O353" i="33" s="1"/>
  <c r="E761" i="33" s="1"/>
  <c r="N348" i="33"/>
  <c r="O348" i="33" s="1"/>
  <c r="I681" i="33" s="1"/>
  <c r="J681" i="33" s="1"/>
  <c r="D1251" i="35"/>
  <c r="D38" i="27"/>
  <c r="K38" i="27" s="1"/>
  <c r="F373" i="33"/>
  <c r="F317" i="33"/>
  <c r="J338" i="33"/>
  <c r="J337" i="33"/>
  <c r="F345" i="33"/>
  <c r="AD213" i="35"/>
  <c r="I587" i="33"/>
  <c r="I230" i="27"/>
  <c r="J230" i="27" s="1"/>
  <c r="W7" i="38"/>
  <c r="L530" i="33"/>
  <c r="I612" i="33"/>
  <c r="F320" i="33"/>
  <c r="F342" i="33"/>
  <c r="F357" i="33"/>
  <c r="AI213" i="35"/>
  <c r="C36" i="38"/>
  <c r="G36" i="38" s="1"/>
  <c r="K915" i="35"/>
  <c r="L915" i="35" s="1"/>
  <c r="L355" i="35"/>
  <c r="K913" i="35"/>
  <c r="L913" i="35" s="1"/>
  <c r="K909" i="35"/>
  <c r="L909" i="35" s="1"/>
  <c r="K919" i="35"/>
  <c r="L919" i="35" s="1"/>
  <c r="AH213" i="35"/>
  <c r="AG213" i="35"/>
  <c r="AE213" i="35"/>
  <c r="AM213" i="35"/>
  <c r="AF213" i="35"/>
  <c r="AL213" i="35"/>
  <c r="L356" i="35"/>
  <c r="L359" i="35"/>
  <c r="AK245" i="35"/>
  <c r="AK247" i="35"/>
  <c r="AK254" i="35"/>
  <c r="AK261" i="35"/>
  <c r="AK211" i="35"/>
  <c r="AK236" i="35"/>
  <c r="AK212" i="35"/>
  <c r="AK205" i="35"/>
  <c r="J255" i="27"/>
  <c r="F346" i="33"/>
  <c r="I631" i="33"/>
  <c r="I593" i="33"/>
  <c r="L553" i="33"/>
  <c r="C1004" i="35"/>
  <c r="J326" i="33"/>
  <c r="AK207" i="35"/>
  <c r="AK213" i="35"/>
  <c r="AK226" i="35"/>
  <c r="AK242" i="35"/>
  <c r="J357" i="33"/>
  <c r="F339" i="33"/>
  <c r="AK215" i="35"/>
  <c r="AK219" i="35"/>
  <c r="AK238" i="35"/>
  <c r="C435" i="35"/>
  <c r="F337" i="33"/>
  <c r="AK221" i="35"/>
  <c r="AK209" i="35"/>
  <c r="AK204" i="35"/>
  <c r="AL211" i="35"/>
  <c r="AL226" i="35"/>
  <c r="I229" i="27"/>
  <c r="J229" i="27" s="1"/>
  <c r="L370" i="35"/>
  <c r="J329" i="33"/>
  <c r="J343" i="33"/>
  <c r="F343" i="33"/>
  <c r="N347" i="33"/>
  <c r="O347" i="33" s="1"/>
  <c r="J371" i="33"/>
  <c r="F371" i="33"/>
  <c r="J344" i="33"/>
  <c r="I606" i="33"/>
  <c r="B354" i="33"/>
  <c r="C354" i="33"/>
  <c r="J345" i="33"/>
  <c r="I638" i="33"/>
  <c r="I437" i="33"/>
  <c r="J339" i="33"/>
  <c r="L376" i="35"/>
  <c r="C52" i="38"/>
  <c r="I610" i="33"/>
  <c r="B356" i="33"/>
  <c r="C356" i="33"/>
  <c r="K948" i="35"/>
  <c r="L948" i="35" s="1"/>
  <c r="M1372" i="35"/>
  <c r="N1372" i="35" s="1"/>
  <c r="L1438" i="35" s="1"/>
  <c r="AF221" i="35"/>
  <c r="AI221" i="35"/>
  <c r="AD221" i="35"/>
  <c r="AG221" i="35"/>
  <c r="AE221" i="35"/>
  <c r="AM221" i="35"/>
  <c r="AH221" i="35"/>
  <c r="D455" i="35"/>
  <c r="E455" i="35" s="1"/>
  <c r="K901" i="35"/>
  <c r="L901" i="35" s="1"/>
  <c r="I249" i="27"/>
  <c r="J249" i="27"/>
  <c r="C473" i="35"/>
  <c r="I265" i="27"/>
  <c r="J265" i="27" s="1"/>
  <c r="J282" i="27"/>
  <c r="W44" i="38"/>
  <c r="V44" i="38"/>
  <c r="K921" i="35"/>
  <c r="L921" i="35" s="1"/>
  <c r="K910" i="35"/>
  <c r="L910" i="35" s="1"/>
  <c r="V6" i="38"/>
  <c r="C471" i="35"/>
  <c r="W42" i="38"/>
  <c r="V42" i="38"/>
  <c r="D620" i="33"/>
  <c r="C484" i="35"/>
  <c r="W36" i="38"/>
  <c r="V36" i="38"/>
  <c r="V56" i="38"/>
  <c r="W56" i="38"/>
  <c r="I279" i="27"/>
  <c r="J279" i="27" s="1"/>
  <c r="C465" i="35"/>
  <c r="C485" i="35"/>
  <c r="W55" i="38"/>
  <c r="V55" i="38"/>
  <c r="L362" i="35"/>
  <c r="C483" i="35"/>
  <c r="W48" i="38"/>
  <c r="V48" i="38"/>
  <c r="V54" i="38"/>
  <c r="W54" i="38"/>
  <c r="K953" i="35"/>
  <c r="L953" i="35" s="1"/>
  <c r="L372" i="35"/>
  <c r="K945" i="35"/>
  <c r="L945" i="35" s="1"/>
  <c r="D595" i="33"/>
  <c r="K954" i="35"/>
  <c r="L954" i="35" s="1"/>
  <c r="AF205" i="35"/>
  <c r="AE205" i="35"/>
  <c r="D439" i="35"/>
  <c r="E439" i="35" s="1"/>
  <c r="AI205" i="35"/>
  <c r="AM205" i="35"/>
  <c r="AH205" i="35"/>
  <c r="AG205" i="35"/>
  <c r="AD205" i="35"/>
  <c r="L354" i="35"/>
  <c r="I241" i="27"/>
  <c r="AH207" i="35"/>
  <c r="AI207" i="35"/>
  <c r="AF207" i="35"/>
  <c r="AG207" i="35"/>
  <c r="AD207" i="35"/>
  <c r="D441" i="35"/>
  <c r="E441" i="35" s="1"/>
  <c r="AM207" i="35"/>
  <c r="AE207" i="35"/>
  <c r="AF247" i="35"/>
  <c r="D643" i="33"/>
  <c r="M1477" i="35"/>
  <c r="AC65" i="38"/>
  <c r="AD65" i="38" s="1"/>
  <c r="L576" i="33"/>
  <c r="I442" i="33"/>
  <c r="AP65" i="38"/>
  <c r="AQ65" i="38" s="1"/>
  <c r="L200" i="32"/>
  <c r="D495" i="35"/>
  <c r="E495" i="35" s="1"/>
  <c r="I171" i="33"/>
  <c r="L368" i="35"/>
  <c r="L375" i="35"/>
  <c r="AE247" i="35"/>
  <c r="AM247" i="35"/>
  <c r="AG226" i="35"/>
  <c r="AH247" i="35"/>
  <c r="L353" i="35"/>
  <c r="AI261" i="35"/>
  <c r="AH261" i="35"/>
  <c r="AM261" i="35"/>
  <c r="AF261" i="35"/>
  <c r="L402" i="35"/>
  <c r="D481" i="35"/>
  <c r="AG247" i="35"/>
  <c r="AI247" i="35"/>
  <c r="AD247" i="35"/>
  <c r="AL247" i="35"/>
  <c r="AG261" i="35"/>
  <c r="AD261" i="35"/>
  <c r="AF226" i="35"/>
  <c r="AM226" i="35"/>
  <c r="AD226" i="35"/>
  <c r="AE219" i="35"/>
  <c r="AH219" i="35"/>
  <c r="AF219" i="35"/>
  <c r="AL219" i="35"/>
  <c r="AI219" i="35"/>
  <c r="AM219" i="35"/>
  <c r="AG219" i="35"/>
  <c r="AD219" i="35"/>
  <c r="D453" i="35"/>
  <c r="E453" i="35" s="1"/>
  <c r="L358" i="35"/>
  <c r="L410" i="35"/>
  <c r="I187" i="33"/>
  <c r="AH226" i="35"/>
  <c r="D460" i="35"/>
  <c r="E460" i="35" s="1"/>
  <c r="AI226" i="35"/>
  <c r="I272" i="27"/>
  <c r="J272" i="27" s="1"/>
  <c r="AG253" i="35"/>
  <c r="AM253" i="35"/>
  <c r="K38" i="38"/>
  <c r="G38" i="38"/>
  <c r="AI204" i="35"/>
  <c r="AG204" i="35"/>
  <c r="AD204" i="35"/>
  <c r="AH204" i="35"/>
  <c r="D438" i="35"/>
  <c r="E438" i="35" s="1"/>
  <c r="AM204" i="35"/>
  <c r="AE204" i="35"/>
  <c r="AF204" i="35"/>
  <c r="F9" i="38"/>
  <c r="W49" i="38"/>
  <c r="V49" i="38"/>
  <c r="C478" i="35"/>
  <c r="AE253" i="35"/>
  <c r="D487" i="35"/>
  <c r="E487" i="35" s="1"/>
  <c r="AI253" i="35"/>
  <c r="AH253" i="35"/>
  <c r="AF253" i="35"/>
  <c r="AD253" i="35"/>
  <c r="K938" i="35"/>
  <c r="L938" i="35" s="1"/>
  <c r="AH215" i="35"/>
  <c r="AM215" i="35"/>
  <c r="AG211" i="35"/>
  <c r="AF211" i="35"/>
  <c r="AH211" i="35"/>
  <c r="L406" i="35"/>
  <c r="K929" i="35"/>
  <c r="L929" i="35" s="1"/>
  <c r="D1299" i="35"/>
  <c r="L394" i="35"/>
  <c r="I174" i="33"/>
  <c r="D601" i="33"/>
  <c r="AF215" i="35"/>
  <c r="L403" i="35"/>
  <c r="F18" i="38"/>
  <c r="AD209" i="35"/>
  <c r="AE209" i="35"/>
  <c r="AH209" i="35"/>
  <c r="D443" i="35"/>
  <c r="E443" i="35" s="1"/>
  <c r="AF209" i="35"/>
  <c r="AI209" i="35"/>
  <c r="AM209" i="35"/>
  <c r="AG209" i="35"/>
  <c r="D479" i="35"/>
  <c r="AH245" i="35"/>
  <c r="AE245" i="35"/>
  <c r="I162" i="33"/>
  <c r="AL245" i="35"/>
  <c r="AF238" i="35"/>
  <c r="AH238" i="35"/>
  <c r="AE238" i="35"/>
  <c r="AM245" i="35"/>
  <c r="F14" i="38"/>
  <c r="AF245" i="35"/>
  <c r="K959" i="35"/>
  <c r="L959" i="35" s="1"/>
  <c r="AI215" i="35"/>
  <c r="AE215" i="35"/>
  <c r="AM238" i="35"/>
  <c r="AG238" i="35"/>
  <c r="AD238" i="35"/>
  <c r="AG245" i="35"/>
  <c r="E7" i="38"/>
  <c r="AI245" i="35"/>
  <c r="D86" i="27"/>
  <c r="J86" i="27" s="1"/>
  <c r="D608" i="33"/>
  <c r="AL215" i="35"/>
  <c r="AI238" i="35"/>
  <c r="AD245" i="35"/>
  <c r="I170" i="33"/>
  <c r="AI257" i="35"/>
  <c r="AM257" i="35"/>
  <c r="AG257" i="35"/>
  <c r="D491" i="35"/>
  <c r="E491" i="35" s="1"/>
  <c r="AE257" i="35"/>
  <c r="AD257" i="35"/>
  <c r="AF257" i="35"/>
  <c r="AH257" i="35"/>
  <c r="D445" i="35"/>
  <c r="E445" i="35" s="1"/>
  <c r="L541" i="33"/>
  <c r="D449" i="35"/>
  <c r="E449" i="35" s="1"/>
  <c r="E66" i="38"/>
  <c r="M1452" i="35"/>
  <c r="AC40" i="38"/>
  <c r="AD40" i="38" s="1"/>
  <c r="M1396" i="35"/>
  <c r="N1396" i="35" s="1"/>
  <c r="L1462" i="35" s="1"/>
  <c r="M1476" i="35"/>
  <c r="AC64" i="38"/>
  <c r="AD64" i="38" s="1"/>
  <c r="I190" i="33"/>
  <c r="AE211" i="35"/>
  <c r="AM211" i="35"/>
  <c r="I401" i="33"/>
  <c r="AD215" i="35"/>
  <c r="L364" i="35"/>
  <c r="E34" i="38"/>
  <c r="M1455" i="35"/>
  <c r="AC43" i="38"/>
  <c r="AD43" i="38" s="1"/>
  <c r="I239" i="27"/>
  <c r="J239" i="27"/>
  <c r="AH254" i="35"/>
  <c r="AD254" i="35"/>
  <c r="AE254" i="35"/>
  <c r="AI254" i="35"/>
  <c r="D488" i="35"/>
  <c r="E488" i="35" s="1"/>
  <c r="AF254" i="35"/>
  <c r="AG254" i="35"/>
  <c r="AM254" i="35"/>
  <c r="D472" i="35"/>
  <c r="J289" i="27"/>
  <c r="I289" i="27"/>
  <c r="I172" i="33"/>
  <c r="L534" i="33"/>
  <c r="J243" i="27"/>
  <c r="I243" i="27"/>
  <c r="I417" i="33"/>
  <c r="M1478" i="35"/>
  <c r="AC66" i="38"/>
  <c r="AD66" i="38" s="1"/>
  <c r="F20" i="38"/>
  <c r="L175" i="32"/>
  <c r="AP40" i="38"/>
  <c r="AQ40" i="38" s="1"/>
  <c r="I436" i="33"/>
  <c r="C66" i="38"/>
  <c r="K66" i="38" s="1"/>
  <c r="AI211" i="35"/>
  <c r="I202" i="33"/>
  <c r="L178" i="32"/>
  <c r="AP43" i="38"/>
  <c r="AQ43" i="38" s="1"/>
  <c r="K911" i="35"/>
  <c r="L911" i="35" s="1"/>
  <c r="C23" i="38"/>
  <c r="I176" i="33"/>
  <c r="AP64" i="38"/>
  <c r="AQ64" i="38" s="1"/>
  <c r="L199" i="32"/>
  <c r="D618" i="33"/>
  <c r="L360" i="35"/>
  <c r="K961" i="35"/>
  <c r="L961" i="35" s="1"/>
  <c r="I407" i="33"/>
  <c r="AF33" i="38"/>
  <c r="AG33" i="38"/>
  <c r="E53" i="38"/>
  <c r="W53" i="38"/>
  <c r="V53" i="38"/>
  <c r="C482" i="35"/>
  <c r="K946" i="35"/>
  <c r="L946" i="35" s="1"/>
  <c r="AF35" i="38"/>
  <c r="AF45" i="38"/>
  <c r="AG35" i="38"/>
  <c r="K927" i="35"/>
  <c r="L927" i="35" s="1"/>
  <c r="C56" i="38"/>
  <c r="I56" i="38" s="1"/>
  <c r="E1274" i="35"/>
  <c r="C474" i="35"/>
  <c r="D1274" i="35"/>
  <c r="I258" i="27"/>
  <c r="J258" i="27" s="1"/>
  <c r="AY214" i="35"/>
  <c r="N214" i="35"/>
  <c r="AS214" i="35"/>
  <c r="AX214" i="35"/>
  <c r="AZ214" i="35"/>
  <c r="AN214" i="35"/>
  <c r="AO214" i="35"/>
  <c r="AR214" i="35"/>
  <c r="AW214" i="35"/>
  <c r="AQ214" i="35"/>
  <c r="AU214" i="35"/>
  <c r="AV214" i="35"/>
  <c r="AT214" i="35"/>
  <c r="AM236" i="35"/>
  <c r="AF236" i="35"/>
  <c r="AG236" i="35"/>
  <c r="AL236" i="35"/>
  <c r="AI236" i="35"/>
  <c r="AE236" i="35"/>
  <c r="AH236" i="35"/>
  <c r="AD236" i="35"/>
  <c r="AL232" i="35"/>
  <c r="AE232" i="35"/>
  <c r="AH232" i="35"/>
  <c r="AD232" i="35"/>
  <c r="AG232" i="35"/>
  <c r="AF232" i="35"/>
  <c r="AI232" i="35"/>
  <c r="AM232" i="35"/>
  <c r="AF242" i="35"/>
  <c r="AD242" i="35"/>
  <c r="AI242" i="35"/>
  <c r="AL242" i="35"/>
  <c r="AG242" i="35"/>
  <c r="AM242" i="35"/>
  <c r="AH242" i="35"/>
  <c r="AE242" i="35"/>
  <c r="AL212" i="35"/>
  <c r="AG212" i="35"/>
  <c r="AF212" i="35"/>
  <c r="AE212" i="35"/>
  <c r="AD212" i="35"/>
  <c r="AH212" i="35"/>
  <c r="AI212" i="35"/>
  <c r="AM212" i="35"/>
  <c r="I191" i="33"/>
  <c r="V51" i="38"/>
  <c r="W51" i="38"/>
  <c r="I207" i="33"/>
  <c r="W35" i="38"/>
  <c r="V35" i="38"/>
  <c r="C464" i="35"/>
  <c r="C480" i="35"/>
  <c r="C10" i="38"/>
  <c r="K10" i="38" s="1"/>
  <c r="C48" i="38"/>
  <c r="I48" i="38" s="1"/>
  <c r="I189" i="33"/>
  <c r="I1046" i="35"/>
  <c r="E1046" i="35"/>
  <c r="I1034" i="35"/>
  <c r="B240" i="27"/>
  <c r="I240" i="27" s="1"/>
  <c r="C11" i="38"/>
  <c r="I11" i="38" s="1"/>
  <c r="L536" i="33"/>
  <c r="D603" i="33"/>
  <c r="D48" i="27"/>
  <c r="K48" i="27" s="1"/>
  <c r="H74" i="32"/>
  <c r="L189" i="32"/>
  <c r="AP54" i="38"/>
  <c r="AQ54" i="38" s="1"/>
  <c r="L172" i="32"/>
  <c r="AP37" i="38"/>
  <c r="AQ37" i="38" s="1"/>
  <c r="AC41" i="38"/>
  <c r="AD41" i="38" s="1"/>
  <c r="AC10" i="38"/>
  <c r="AD10" i="38" s="1"/>
  <c r="AC54" i="38"/>
  <c r="AD54" i="38" s="1"/>
  <c r="AC37" i="38"/>
  <c r="AD37" i="38" s="1"/>
  <c r="L148" i="32"/>
  <c r="AP13" i="38"/>
  <c r="AQ13" i="38" s="1"/>
  <c r="L184" i="32"/>
  <c r="AP49" i="38"/>
  <c r="AQ49" i="38" s="1"/>
  <c r="AC24" i="38"/>
  <c r="AD24" i="38" s="1"/>
  <c r="L173" i="32"/>
  <c r="AP38" i="38"/>
  <c r="AQ38" i="38" s="1"/>
  <c r="L174" i="32"/>
  <c r="AP39" i="38"/>
  <c r="AQ39" i="38" s="1"/>
  <c r="AC63" i="38"/>
  <c r="AD63" i="38" s="1"/>
  <c r="L142" i="32"/>
  <c r="AP7" i="38"/>
  <c r="AQ7" i="38" s="1"/>
  <c r="AC13" i="38"/>
  <c r="AD13" i="38" s="1"/>
  <c r="AC49" i="38"/>
  <c r="AD49" i="38" s="1"/>
  <c r="L159" i="32"/>
  <c r="AP24" i="38"/>
  <c r="AQ24" i="38" s="1"/>
  <c r="AC38" i="38"/>
  <c r="AD38" i="38" s="1"/>
  <c r="AC39" i="38"/>
  <c r="AD39" i="38" s="1"/>
  <c r="L198" i="32"/>
  <c r="AP63" i="38"/>
  <c r="AQ63" i="38" s="1"/>
  <c r="AC7" i="38"/>
  <c r="AD7" i="38" s="1"/>
  <c r="L176" i="32"/>
  <c r="AP41" i="38"/>
  <c r="AQ41" i="38" s="1"/>
  <c r="L145" i="32"/>
  <c r="AP10" i="38"/>
  <c r="AQ10" i="38" s="1"/>
  <c r="M557" i="35"/>
  <c r="S45" i="38"/>
  <c r="M551" i="35"/>
  <c r="S39" i="38"/>
  <c r="L531" i="35"/>
  <c r="R19" i="38"/>
  <c r="L534" i="35"/>
  <c r="R22" i="38"/>
  <c r="M559" i="35"/>
  <c r="S47" i="38"/>
  <c r="L544" i="35"/>
  <c r="R32" i="38"/>
  <c r="L520" i="35"/>
  <c r="R8" i="38"/>
  <c r="M553" i="35"/>
  <c r="S41" i="38"/>
  <c r="L529" i="35"/>
  <c r="R17" i="38"/>
  <c r="L541" i="35"/>
  <c r="R29" i="38"/>
  <c r="M549" i="35"/>
  <c r="S37" i="38"/>
  <c r="L525" i="35"/>
  <c r="R13" i="38"/>
  <c r="L540" i="35"/>
  <c r="R28" i="38"/>
  <c r="K917" i="35"/>
  <c r="L917" i="35" s="1"/>
  <c r="I234" i="27"/>
  <c r="K937" i="35"/>
  <c r="L937" i="35" s="1"/>
  <c r="E1261" i="35"/>
  <c r="K923" i="35"/>
  <c r="L923" i="35" s="1"/>
  <c r="J83" i="27"/>
  <c r="D1261" i="35"/>
  <c r="D1001" i="35"/>
  <c r="I251" i="27"/>
  <c r="K906" i="35"/>
  <c r="L906" i="35" s="1"/>
  <c r="F934" i="35"/>
  <c r="B268" i="27"/>
  <c r="I268" i="27" s="1"/>
  <c r="J268" i="27" s="1"/>
  <c r="L361" i="35"/>
  <c r="M1352" i="35"/>
  <c r="N1352" i="35" s="1"/>
  <c r="L1418" i="35" s="1"/>
  <c r="M1418" i="35" s="1"/>
  <c r="M1404" i="35"/>
  <c r="N1404" i="35" s="1"/>
  <c r="L1470" i="35" s="1"/>
  <c r="M1470" i="35" s="1"/>
  <c r="M1373" i="35"/>
  <c r="N1373" i="35" s="1"/>
  <c r="L1439" i="35" s="1"/>
  <c r="M1439" i="35" s="1"/>
  <c r="M1379" i="35"/>
  <c r="N1379" i="35" s="1"/>
  <c r="L1445" i="35" s="1"/>
  <c r="M1445" i="35" s="1"/>
  <c r="M1357" i="35"/>
  <c r="N1357" i="35" s="1"/>
  <c r="L1423" i="35" s="1"/>
  <c r="M1423" i="35" s="1"/>
  <c r="M1378" i="35"/>
  <c r="N1378" i="35" s="1"/>
  <c r="L1444" i="35" s="1"/>
  <c r="M1444" i="35" s="1"/>
  <c r="M1367" i="35"/>
  <c r="N1367" i="35" s="1"/>
  <c r="L1433" i="35" s="1"/>
  <c r="M1433" i="35" s="1"/>
  <c r="M1365" i="35"/>
  <c r="N1365" i="35" s="1"/>
  <c r="L1431" i="35" s="1"/>
  <c r="M1431" i="35" s="1"/>
  <c r="M1391" i="35"/>
  <c r="N1391" i="35" s="1"/>
  <c r="L1457" i="35" s="1"/>
  <c r="M1457" i="35" s="1"/>
  <c r="I231" i="27"/>
  <c r="D625" i="33"/>
  <c r="I173" i="33"/>
  <c r="D615" i="33"/>
  <c r="L548" i="33"/>
  <c r="L558" i="33"/>
  <c r="C42" i="38"/>
  <c r="G42" i="38" s="1"/>
  <c r="C57" i="38"/>
  <c r="K57" i="38" s="1"/>
  <c r="F912" i="35"/>
  <c r="F940" i="35"/>
  <c r="D1007" i="35"/>
  <c r="G912" i="35"/>
  <c r="K872" i="35"/>
  <c r="L872" i="35" s="1"/>
  <c r="D446" i="35"/>
  <c r="B989" i="35"/>
  <c r="C922" i="35"/>
  <c r="S27" i="38"/>
  <c r="B50" i="27"/>
  <c r="I854" i="35"/>
  <c r="B922" i="35"/>
  <c r="B1123" i="35"/>
  <c r="L1123" i="35" s="1"/>
  <c r="B1056" i="35"/>
  <c r="K456" i="35"/>
  <c r="L456" i="35" s="1"/>
  <c r="I183" i="33"/>
  <c r="C456" i="35"/>
  <c r="G940" i="35"/>
  <c r="G934" i="35"/>
  <c r="M436" i="35"/>
  <c r="S33" i="38"/>
  <c r="B262" i="27"/>
  <c r="I262" i="27" s="1"/>
  <c r="J262" i="27" s="1"/>
  <c r="K902" i="35"/>
  <c r="L902" i="35" s="1"/>
  <c r="K941" i="35"/>
  <c r="L941" i="35" s="1"/>
  <c r="K864" i="35"/>
  <c r="L864" i="35" s="1"/>
  <c r="K951" i="35"/>
  <c r="L951" i="35" s="1"/>
  <c r="K949" i="35"/>
  <c r="L949" i="35" s="1"/>
  <c r="K952" i="35"/>
  <c r="L952" i="35" s="1"/>
  <c r="K914" i="35"/>
  <c r="L914" i="35" s="1"/>
  <c r="K868" i="35"/>
  <c r="L868" i="35" s="1"/>
  <c r="B270" i="27"/>
  <c r="I270" i="27" s="1"/>
  <c r="J270" i="27" s="1"/>
  <c r="F936" i="35"/>
  <c r="G936" i="35"/>
  <c r="D1003" i="35"/>
  <c r="M448" i="35"/>
  <c r="H1048" i="35"/>
  <c r="K462" i="35"/>
  <c r="L462" i="35" s="1"/>
  <c r="B995" i="35"/>
  <c r="B1129" i="35"/>
  <c r="L1129" i="35" s="1"/>
  <c r="B928" i="35"/>
  <c r="B56" i="27"/>
  <c r="I860" i="35"/>
  <c r="C928" i="35"/>
  <c r="B1062" i="35"/>
  <c r="I1076" i="35"/>
  <c r="G942" i="35"/>
  <c r="F942" i="35"/>
  <c r="D967" i="35"/>
  <c r="B228" i="27"/>
  <c r="H228" i="27" s="1"/>
  <c r="I228" i="27" s="1"/>
  <c r="I1070" i="35"/>
  <c r="I1066" i="35"/>
  <c r="D44" i="27"/>
  <c r="D1257" i="35"/>
  <c r="E1257" i="35"/>
  <c r="W33" i="38"/>
  <c r="V33" i="38"/>
  <c r="V27" i="38"/>
  <c r="W27" i="38"/>
  <c r="D470" i="35"/>
  <c r="I277" i="27"/>
  <c r="J277" i="27" s="1"/>
  <c r="K874" i="35"/>
  <c r="L874" i="35" s="1"/>
  <c r="D1009" i="35"/>
  <c r="D999" i="35"/>
  <c r="V45" i="38"/>
  <c r="W45" i="38"/>
  <c r="D466" i="35"/>
  <c r="K943" i="35"/>
  <c r="L943" i="35" s="1"/>
  <c r="D476" i="35"/>
  <c r="E476" i="35" s="1"/>
  <c r="K930" i="35"/>
  <c r="L930" i="35" s="1"/>
  <c r="I271" i="27"/>
  <c r="J271" i="27" s="1"/>
  <c r="B264" i="27"/>
  <c r="I264" i="27" s="1"/>
  <c r="J264" i="27" s="1"/>
  <c r="F932" i="35"/>
  <c r="G932" i="35"/>
  <c r="B260" i="27"/>
  <c r="C462" i="35"/>
  <c r="I242" i="27"/>
  <c r="J242" i="27"/>
  <c r="D31" i="27"/>
  <c r="E1244" i="35"/>
  <c r="D1244" i="35"/>
  <c r="K924" i="35"/>
  <c r="L924" i="35" s="1"/>
  <c r="D1247" i="35"/>
  <c r="E1247" i="35"/>
  <c r="D34" i="27"/>
  <c r="I236" i="27"/>
  <c r="J236" i="27"/>
  <c r="E1266" i="35"/>
  <c r="D53" i="27"/>
  <c r="D1266" i="35"/>
  <c r="D1297" i="35"/>
  <c r="D84" i="27"/>
  <c r="E1297" i="35"/>
  <c r="D55" i="27"/>
  <c r="D1268" i="35"/>
  <c r="E1268" i="35"/>
  <c r="I252" i="27"/>
  <c r="J252" i="27"/>
  <c r="K908" i="35"/>
  <c r="L908" i="35" s="1"/>
  <c r="M1195" i="35" l="1"/>
  <c r="L1195" i="35"/>
  <c r="M1193" i="35"/>
  <c r="L1193" i="35"/>
  <c r="F1200" i="35"/>
  <c r="E1200" i="35"/>
  <c r="Y52" i="38"/>
  <c r="C1222" i="35"/>
  <c r="E1230" i="35"/>
  <c r="F1230" i="35"/>
  <c r="J1203" i="35"/>
  <c r="H1203" i="35"/>
  <c r="K1203" i="35"/>
  <c r="G1203" i="35"/>
  <c r="Y63" i="38"/>
  <c r="C1233" i="35"/>
  <c r="Y36" i="38"/>
  <c r="C1206" i="35"/>
  <c r="Y40" i="38"/>
  <c r="C1210" i="35"/>
  <c r="Y38" i="38"/>
  <c r="C1208" i="35"/>
  <c r="M1232" i="35"/>
  <c r="L1178" i="35"/>
  <c r="F1231" i="35"/>
  <c r="E1231" i="35"/>
  <c r="M1180" i="35"/>
  <c r="L1180" i="35"/>
  <c r="X9" i="38"/>
  <c r="B1179" i="35"/>
  <c r="Y65" i="38"/>
  <c r="C1235" i="35"/>
  <c r="F1232" i="35"/>
  <c r="F1233" i="35"/>
  <c r="M1230" i="35"/>
  <c r="L1230" i="35"/>
  <c r="K1197" i="35"/>
  <c r="G1197" i="35"/>
  <c r="J1197" i="35"/>
  <c r="H1197" i="35"/>
  <c r="E1195" i="35"/>
  <c r="F1195" i="35"/>
  <c r="F1193" i="35"/>
  <c r="E1193" i="35"/>
  <c r="L1231" i="35"/>
  <c r="M1231" i="35"/>
  <c r="L1200" i="35"/>
  <c r="M1200" i="35"/>
  <c r="E1180" i="35"/>
  <c r="F1180" i="35"/>
  <c r="Y9" i="38"/>
  <c r="C1179" i="35"/>
  <c r="Y44" i="38"/>
  <c r="C1214" i="35"/>
  <c r="C671" i="33"/>
  <c r="G671" i="33"/>
  <c r="E776" i="33"/>
  <c r="K434" i="33"/>
  <c r="L434" i="33"/>
  <c r="K956" i="33"/>
  <c r="G434" i="33"/>
  <c r="I552" i="33"/>
  <c r="M452" i="33"/>
  <c r="I586" i="33"/>
  <c r="G552" i="33"/>
  <c r="G1003" i="35" s="1"/>
  <c r="I701" i="33"/>
  <c r="I636" i="33"/>
  <c r="K552" i="33"/>
  <c r="J319" i="33"/>
  <c r="F319" i="33"/>
  <c r="E804" i="33"/>
  <c r="F804" i="33"/>
  <c r="E851" i="33"/>
  <c r="F851" i="33"/>
  <c r="F809" i="33"/>
  <c r="E809" i="33"/>
  <c r="E844" i="33"/>
  <c r="F844" i="33"/>
  <c r="F817" i="33"/>
  <c r="E817" i="33"/>
  <c r="J369" i="33"/>
  <c r="G785" i="33"/>
  <c r="H569" i="33"/>
  <c r="J701" i="33"/>
  <c r="C1002" i="35"/>
  <c r="G569" i="33"/>
  <c r="G1020" i="35" s="1"/>
  <c r="I569" i="33"/>
  <c r="D749" i="33"/>
  <c r="H749" i="33"/>
  <c r="J837" i="33"/>
  <c r="I837" i="33"/>
  <c r="D781" i="33"/>
  <c r="G759" i="33"/>
  <c r="L726" i="33"/>
  <c r="H740" i="33"/>
  <c r="N743" i="33"/>
  <c r="O743" i="33"/>
  <c r="N727" i="33"/>
  <c r="O727" i="33"/>
  <c r="G774" i="33"/>
  <c r="N781" i="33"/>
  <c r="O781" i="33"/>
  <c r="K765" i="33"/>
  <c r="J765" i="33"/>
  <c r="N740" i="33"/>
  <c r="O740" i="33"/>
  <c r="K783" i="33"/>
  <c r="J783" i="33"/>
  <c r="K785" i="33"/>
  <c r="J785" i="33"/>
  <c r="H741" i="33"/>
  <c r="G784" i="33"/>
  <c r="K753" i="33"/>
  <c r="J753" i="33"/>
  <c r="G766" i="33"/>
  <c r="K769" i="33"/>
  <c r="J769" i="33"/>
  <c r="K725" i="33"/>
  <c r="J725" i="33"/>
  <c r="J849" i="33"/>
  <c r="I849" i="33"/>
  <c r="K754" i="33"/>
  <c r="J754" i="33"/>
  <c r="N732" i="33"/>
  <c r="O732" i="33"/>
  <c r="H744" i="33"/>
  <c r="D744" i="33"/>
  <c r="G744" i="33" s="1"/>
  <c r="O737" i="33"/>
  <c r="N737" i="33"/>
  <c r="K768" i="33"/>
  <c r="J768" i="33"/>
  <c r="N746" i="33"/>
  <c r="O746" i="33"/>
  <c r="K772" i="33"/>
  <c r="J772" i="33"/>
  <c r="J832" i="33"/>
  <c r="I832" i="33"/>
  <c r="N750" i="33"/>
  <c r="O750" i="33"/>
  <c r="I836" i="33"/>
  <c r="J836" i="33"/>
  <c r="K767" i="33"/>
  <c r="J767" i="33"/>
  <c r="N741" i="33"/>
  <c r="O741" i="33"/>
  <c r="H748" i="33"/>
  <c r="D748" i="33"/>
  <c r="L761" i="33"/>
  <c r="G761" i="33"/>
  <c r="K770" i="33"/>
  <c r="J770" i="33"/>
  <c r="G771" i="33"/>
  <c r="O728" i="33"/>
  <c r="N728" i="33"/>
  <c r="G762" i="33"/>
  <c r="K775" i="33"/>
  <c r="J775" i="33"/>
  <c r="I839" i="33"/>
  <c r="J839" i="33"/>
  <c r="O777" i="33"/>
  <c r="N777" i="33"/>
  <c r="G764" i="33"/>
  <c r="H780" i="33"/>
  <c r="D780" i="33"/>
  <c r="G776" i="33"/>
  <c r="L776" i="33"/>
  <c r="H736" i="33"/>
  <c r="D736" i="33"/>
  <c r="K760" i="33"/>
  <c r="J760" i="33"/>
  <c r="D778" i="33"/>
  <c r="L768" i="33"/>
  <c r="N739" i="33"/>
  <c r="O739" i="33"/>
  <c r="J834" i="33"/>
  <c r="I834" i="33"/>
  <c r="N747" i="33"/>
  <c r="O747" i="33"/>
  <c r="D782" i="33"/>
  <c r="H782" i="33"/>
  <c r="N778" i="33"/>
  <c r="O778" i="33"/>
  <c r="K726" i="33"/>
  <c r="J726" i="33"/>
  <c r="N779" i="33"/>
  <c r="O779" i="33"/>
  <c r="N734" i="33"/>
  <c r="O734" i="33"/>
  <c r="H743" i="33"/>
  <c r="H727" i="33"/>
  <c r="H738" i="33"/>
  <c r="D738" i="33"/>
  <c r="G756" i="33"/>
  <c r="L756" i="33"/>
  <c r="K773" i="33"/>
  <c r="J773" i="33"/>
  <c r="O752" i="33"/>
  <c r="N752" i="33"/>
  <c r="N733" i="33"/>
  <c r="O733" i="33"/>
  <c r="K758" i="33"/>
  <c r="J758" i="33"/>
  <c r="N735" i="33"/>
  <c r="O735" i="33"/>
  <c r="O745" i="33"/>
  <c r="N745" i="33"/>
  <c r="D588" i="33"/>
  <c r="N334" i="33"/>
  <c r="O334" i="33" s="1"/>
  <c r="C389" i="33"/>
  <c r="G656" i="33"/>
  <c r="C656" i="33"/>
  <c r="C426" i="33"/>
  <c r="C693" i="33"/>
  <c r="G693" i="33"/>
  <c r="C422" i="33"/>
  <c r="C689" i="33"/>
  <c r="G689" i="33"/>
  <c r="I709" i="33"/>
  <c r="C629" i="33"/>
  <c r="M428" i="33"/>
  <c r="D695" i="33" s="1"/>
  <c r="J595" i="33"/>
  <c r="E661" i="33" s="1"/>
  <c r="C624" i="33"/>
  <c r="M423" i="33"/>
  <c r="D690" i="33" s="1"/>
  <c r="C642" i="33"/>
  <c r="M441" i="33"/>
  <c r="D708" i="33" s="1"/>
  <c r="C770" i="33"/>
  <c r="L770" i="33" s="1"/>
  <c r="N207" i="33"/>
  <c r="M207" i="33"/>
  <c r="I674" i="33"/>
  <c r="J674" i="33" s="1"/>
  <c r="K674" i="33" s="1"/>
  <c r="C440" i="33"/>
  <c r="G707" i="33"/>
  <c r="C707" i="33"/>
  <c r="C758" i="33"/>
  <c r="N195" i="33"/>
  <c r="M195" i="33"/>
  <c r="C613" i="33"/>
  <c r="M412" i="33"/>
  <c r="D679" i="33" s="1"/>
  <c r="C635" i="33"/>
  <c r="M434" i="33"/>
  <c r="D701" i="33" s="1"/>
  <c r="C594" i="33"/>
  <c r="C605" i="33"/>
  <c r="C783" i="33"/>
  <c r="M220" i="33"/>
  <c r="N220" i="33"/>
  <c r="I684" i="33"/>
  <c r="J684" i="33" s="1"/>
  <c r="K684" i="33" s="1"/>
  <c r="C606" i="33"/>
  <c r="I663" i="33"/>
  <c r="J663" i="33" s="1"/>
  <c r="K663" i="33" s="1"/>
  <c r="C384" i="33"/>
  <c r="C651" i="33"/>
  <c r="G651" i="33"/>
  <c r="C398" i="33"/>
  <c r="C665" i="33"/>
  <c r="G665" i="33"/>
  <c r="C401" i="33"/>
  <c r="G668" i="33"/>
  <c r="C668" i="33"/>
  <c r="C610" i="33"/>
  <c r="C607" i="33"/>
  <c r="C640" i="33"/>
  <c r="J601" i="33"/>
  <c r="E667" i="33" s="1"/>
  <c r="C592" i="33"/>
  <c r="C611" i="33"/>
  <c r="I680" i="33"/>
  <c r="C432" i="33"/>
  <c r="C699" i="33"/>
  <c r="G699" i="33"/>
  <c r="E748" i="33"/>
  <c r="G748" i="33" s="1"/>
  <c r="I673" i="33"/>
  <c r="J673" i="33" s="1"/>
  <c r="K673" i="33" s="1"/>
  <c r="C438" i="33"/>
  <c r="C705" i="33"/>
  <c r="G705" i="33"/>
  <c r="C429" i="33"/>
  <c r="G696" i="33"/>
  <c r="C696" i="33"/>
  <c r="C431" i="33"/>
  <c r="G698" i="33"/>
  <c r="C698" i="33"/>
  <c r="C622" i="33"/>
  <c r="M421" i="33"/>
  <c r="D688" i="33" s="1"/>
  <c r="C591" i="33"/>
  <c r="C604" i="33"/>
  <c r="C616" i="33"/>
  <c r="M415" i="33"/>
  <c r="D682" i="33" s="1"/>
  <c r="C435" i="33"/>
  <c r="C702" i="33"/>
  <c r="G702" i="33"/>
  <c r="I686" i="33"/>
  <c r="J686" i="33" s="1"/>
  <c r="K686" i="33" s="1"/>
  <c r="C420" i="33"/>
  <c r="G687" i="33"/>
  <c r="C687" i="33"/>
  <c r="C436" i="33"/>
  <c r="G703" i="33"/>
  <c r="C703" i="33"/>
  <c r="C385" i="33"/>
  <c r="G652" i="33"/>
  <c r="C652" i="33"/>
  <c r="C399" i="33"/>
  <c r="G666" i="33"/>
  <c r="C666" i="33"/>
  <c r="C598" i="33"/>
  <c r="C619" i="33"/>
  <c r="M418" i="33"/>
  <c r="D685" i="33" s="1"/>
  <c r="J608" i="33"/>
  <c r="E674" i="33" s="1"/>
  <c r="C596" i="33"/>
  <c r="C589" i="33"/>
  <c r="C612" i="33"/>
  <c r="M411" i="33"/>
  <c r="D678" i="33" s="1"/>
  <c r="C425" i="33"/>
  <c r="G692" i="33"/>
  <c r="C692" i="33"/>
  <c r="C765" i="33"/>
  <c r="L765" i="33" s="1"/>
  <c r="M202" i="33"/>
  <c r="N202" i="33"/>
  <c r="C609" i="33"/>
  <c r="I669" i="33"/>
  <c r="J669" i="33" s="1"/>
  <c r="K669" i="33" s="1"/>
  <c r="H568" i="33"/>
  <c r="I691" i="33"/>
  <c r="C753" i="33"/>
  <c r="L753" i="33" s="1"/>
  <c r="N190" i="33"/>
  <c r="M190" i="33"/>
  <c r="C634" i="33"/>
  <c r="M433" i="33"/>
  <c r="D700" i="33" s="1"/>
  <c r="K681" i="33"/>
  <c r="C382" i="33"/>
  <c r="G649" i="33"/>
  <c r="C649" i="33"/>
  <c r="N321" i="33"/>
  <c r="O321" i="33" s="1"/>
  <c r="K387" i="33" s="1"/>
  <c r="C443" i="33"/>
  <c r="C710" i="33"/>
  <c r="G710" i="33"/>
  <c r="C638" i="33"/>
  <c r="I667" i="33"/>
  <c r="J667" i="33" s="1"/>
  <c r="K667" i="33" s="1"/>
  <c r="C754" i="33"/>
  <c r="L754" i="33" s="1"/>
  <c r="N191" i="33"/>
  <c r="M191" i="33"/>
  <c r="C631" i="33"/>
  <c r="M430" i="33"/>
  <c r="D697" i="33" s="1"/>
  <c r="C587" i="33"/>
  <c r="C769" i="33"/>
  <c r="N206" i="33"/>
  <c r="M206" i="33"/>
  <c r="C617" i="33"/>
  <c r="M416" i="33"/>
  <c r="D683" i="33" s="1"/>
  <c r="I661" i="33"/>
  <c r="J661" i="33" s="1"/>
  <c r="K661" i="33" s="1"/>
  <c r="C725" i="33"/>
  <c r="L725" i="33" s="1"/>
  <c r="N162" i="33"/>
  <c r="M162" i="33"/>
  <c r="C584" i="33"/>
  <c r="M383" i="33"/>
  <c r="D650" i="33" s="1"/>
  <c r="K701" i="33"/>
  <c r="C628" i="33"/>
  <c r="M427" i="33"/>
  <c r="D694" i="33" s="1"/>
  <c r="C772" i="33"/>
  <c r="L772" i="33" s="1"/>
  <c r="M209" i="33"/>
  <c r="N209" i="33"/>
  <c r="C615" i="33"/>
  <c r="M414" i="33"/>
  <c r="D681" i="33" s="1"/>
  <c r="C588" i="33"/>
  <c r="C593" i="33"/>
  <c r="I987" i="35"/>
  <c r="I1009" i="35"/>
  <c r="F749" i="33"/>
  <c r="M169" i="33"/>
  <c r="C732" i="33"/>
  <c r="F767" i="33"/>
  <c r="H991" i="35"/>
  <c r="M492" i="33"/>
  <c r="I626" i="33"/>
  <c r="N322" i="33"/>
  <c r="O322" i="33" s="1"/>
  <c r="I655" i="33" s="1"/>
  <c r="J655" i="33" s="1"/>
  <c r="K655" i="33" s="1"/>
  <c r="C773" i="33"/>
  <c r="L773" i="33" s="1"/>
  <c r="N210" i="33"/>
  <c r="M210" i="33"/>
  <c r="K413" i="33"/>
  <c r="E755" i="33"/>
  <c r="I979" i="35"/>
  <c r="I992" i="35"/>
  <c r="K407" i="33"/>
  <c r="E749" i="33"/>
  <c r="M174" i="33"/>
  <c r="C737" i="33"/>
  <c r="I1027" i="35"/>
  <c r="I990" i="35"/>
  <c r="I977" i="35"/>
  <c r="I532" i="33"/>
  <c r="G532" i="33"/>
  <c r="G983" i="35" s="1"/>
  <c r="J532" i="33"/>
  <c r="E983" i="35" s="1"/>
  <c r="H532" i="33"/>
  <c r="M532" i="33" s="1"/>
  <c r="K532" i="33"/>
  <c r="C767" i="33"/>
  <c r="L767" i="33" s="1"/>
  <c r="M204" i="33"/>
  <c r="N204" i="33"/>
  <c r="F365" i="33"/>
  <c r="J365" i="33"/>
  <c r="I981" i="35"/>
  <c r="I985" i="35"/>
  <c r="I972" i="35"/>
  <c r="J370" i="33"/>
  <c r="F370" i="33"/>
  <c r="M465" i="33"/>
  <c r="I599" i="33"/>
  <c r="J335" i="33"/>
  <c r="F335" i="33"/>
  <c r="J565" i="33"/>
  <c r="E1016" i="35" s="1"/>
  <c r="K565" i="33"/>
  <c r="G565" i="33"/>
  <c r="G1016" i="35" s="1"/>
  <c r="I565" i="33"/>
  <c r="K414" i="33"/>
  <c r="E756" i="33"/>
  <c r="I1002" i="35"/>
  <c r="K396" i="33"/>
  <c r="E738" i="33"/>
  <c r="I1004" i="35"/>
  <c r="M503" i="33"/>
  <c r="I637" i="33"/>
  <c r="J332" i="33"/>
  <c r="F332" i="33"/>
  <c r="M468" i="33"/>
  <c r="I602" i="33"/>
  <c r="M498" i="33"/>
  <c r="I632" i="33"/>
  <c r="K533" i="33"/>
  <c r="I533" i="33"/>
  <c r="H533" i="33"/>
  <c r="G533" i="33"/>
  <c r="G984" i="35" s="1"/>
  <c r="J533" i="33"/>
  <c r="E984" i="35" s="1"/>
  <c r="N189" i="33"/>
  <c r="C752" i="33"/>
  <c r="C32" i="38"/>
  <c r="I32" i="38" s="1"/>
  <c r="C751" i="33"/>
  <c r="D589" i="33"/>
  <c r="G559" i="33"/>
  <c r="G1010" i="35" s="1"/>
  <c r="J559" i="33"/>
  <c r="E1010" i="35" s="1"/>
  <c r="K559" i="33"/>
  <c r="I559" i="33"/>
  <c r="I519" i="33"/>
  <c r="G519" i="33"/>
  <c r="G970" i="35" s="1"/>
  <c r="J519" i="33"/>
  <c r="E970" i="35" s="1"/>
  <c r="H519" i="33"/>
  <c r="K519" i="33"/>
  <c r="M466" i="33"/>
  <c r="I600" i="33"/>
  <c r="I999" i="35"/>
  <c r="K394" i="33"/>
  <c r="E736" i="33"/>
  <c r="F763" i="33"/>
  <c r="I991" i="35"/>
  <c r="M991" i="35" s="1"/>
  <c r="H570" i="33"/>
  <c r="J570" i="33"/>
  <c r="E1021" i="35" s="1"/>
  <c r="K570" i="33"/>
  <c r="I570" i="33"/>
  <c r="G570" i="33"/>
  <c r="G1021" i="35" s="1"/>
  <c r="J359" i="33"/>
  <c r="F359" i="33"/>
  <c r="I535" i="33"/>
  <c r="D602" i="33" s="1"/>
  <c r="G535" i="33"/>
  <c r="G986" i="35" s="1"/>
  <c r="J535" i="33"/>
  <c r="E986" i="35" s="1"/>
  <c r="H535" i="33"/>
  <c r="K535" i="33"/>
  <c r="H577" i="33"/>
  <c r="J577" i="33"/>
  <c r="E1028" i="35" s="1"/>
  <c r="K577" i="33"/>
  <c r="I577" i="33"/>
  <c r="G577" i="33"/>
  <c r="G1028" i="35" s="1"/>
  <c r="F333" i="33"/>
  <c r="J333" i="33"/>
  <c r="F736" i="33"/>
  <c r="M187" i="33"/>
  <c r="C750" i="33"/>
  <c r="F724" i="33"/>
  <c r="F775" i="33"/>
  <c r="M176" i="33"/>
  <c r="C739" i="33"/>
  <c r="C973" i="35"/>
  <c r="L522" i="33"/>
  <c r="M522" i="33"/>
  <c r="J377" i="33"/>
  <c r="F377" i="33"/>
  <c r="H562" i="33"/>
  <c r="C1013" i="35" s="1"/>
  <c r="H546" i="33"/>
  <c r="H545" i="33"/>
  <c r="H564" i="33"/>
  <c r="H572" i="33"/>
  <c r="H557" i="33"/>
  <c r="H567" i="33"/>
  <c r="M567" i="33" s="1"/>
  <c r="H575" i="33"/>
  <c r="H517" i="33"/>
  <c r="D584" i="33" s="1"/>
  <c r="H550" i="33"/>
  <c r="D617" i="33" s="1"/>
  <c r="H552" i="33"/>
  <c r="C1003" i="35" s="1"/>
  <c r="H561" i="33"/>
  <c r="H523" i="33"/>
  <c r="H549" i="33"/>
  <c r="H574" i="33"/>
  <c r="AJ1132" i="46"/>
  <c r="AJ1131" i="46"/>
  <c r="K1032" i="46"/>
  <c r="Q1128" i="46" s="1"/>
  <c r="Y1128" i="46" s="1"/>
  <c r="AJ1127" i="46" s="1"/>
  <c r="AM1025" i="46"/>
  <c r="AC1027" i="46"/>
  <c r="K1029" i="46"/>
  <c r="K928" i="33"/>
  <c r="M29" i="38" s="1"/>
  <c r="K406" i="33"/>
  <c r="K924" i="33"/>
  <c r="K402" i="33"/>
  <c r="I560" i="33"/>
  <c r="H555" i="33"/>
  <c r="C1006" i="35" s="1"/>
  <c r="L424" i="33"/>
  <c r="K424" i="33"/>
  <c r="K939" i="33"/>
  <c r="K417" i="33"/>
  <c r="K442" i="33"/>
  <c r="K941" i="33"/>
  <c r="K419" i="33"/>
  <c r="AS464" i="45"/>
  <c r="AS463" i="45"/>
  <c r="AS461" i="45"/>
  <c r="AS462" i="45"/>
  <c r="AS456" i="45"/>
  <c r="AS459" i="45"/>
  <c r="AS457" i="45"/>
  <c r="AS460" i="45"/>
  <c r="AS458" i="45"/>
  <c r="AS455" i="45"/>
  <c r="AJ652" i="45"/>
  <c r="Y573" i="45"/>
  <c r="Q578" i="45"/>
  <c r="AC578" i="45" s="1"/>
  <c r="AJ576" i="45" s="1"/>
  <c r="AN460" i="45"/>
  <c r="AE462" i="45"/>
  <c r="K464" i="45" s="1"/>
  <c r="I512" i="45"/>
  <c r="X544" i="45" s="1"/>
  <c r="M545" i="45" s="1"/>
  <c r="Q568" i="45" s="1"/>
  <c r="AJ566" i="45" s="1"/>
  <c r="T377" i="45"/>
  <c r="AJ376" i="45" s="1"/>
  <c r="S557" i="45"/>
  <c r="K447" i="45"/>
  <c r="V466" i="45" s="1"/>
  <c r="AN458" i="45"/>
  <c r="Y10" i="38"/>
  <c r="M496" i="33"/>
  <c r="I630" i="33"/>
  <c r="X23" i="38"/>
  <c r="N349" i="33"/>
  <c r="O349" i="33" s="1"/>
  <c r="I682" i="33" s="1"/>
  <c r="F363" i="33"/>
  <c r="J363" i="33"/>
  <c r="N208" i="33"/>
  <c r="M208" i="33"/>
  <c r="D616" i="33"/>
  <c r="Y25" i="38"/>
  <c r="Y23" i="38"/>
  <c r="G563" i="33"/>
  <c r="G1014" i="35" s="1"/>
  <c r="K563" i="33"/>
  <c r="I563" i="33"/>
  <c r="J563" i="33"/>
  <c r="E1014" i="35" s="1"/>
  <c r="AP219" i="35"/>
  <c r="AP215" i="35"/>
  <c r="AP218" i="35"/>
  <c r="AP207" i="35"/>
  <c r="AP232" i="35"/>
  <c r="AP236" i="35"/>
  <c r="AP211" i="35"/>
  <c r="N211" i="35" s="1"/>
  <c r="AP226" i="35"/>
  <c r="N226" i="35" s="1"/>
  <c r="AP223" i="35"/>
  <c r="N223" i="35" s="1"/>
  <c r="J1057" i="35" s="1"/>
  <c r="AP216" i="35"/>
  <c r="AP224" i="35"/>
  <c r="N224" i="35" s="1"/>
  <c r="J1058" i="35" s="1"/>
  <c r="AP225" i="35"/>
  <c r="N225" i="35" s="1"/>
  <c r="J1059" i="35" s="1"/>
  <c r="L1059" i="35" s="1"/>
  <c r="AP238" i="35"/>
  <c r="AP204" i="35"/>
  <c r="AP205" i="35"/>
  <c r="AP213" i="35"/>
  <c r="N213" i="35" s="1"/>
  <c r="AP229" i="35"/>
  <c r="AP220" i="35"/>
  <c r="AP255" i="35"/>
  <c r="AP210" i="35"/>
  <c r="N210" i="35" s="1"/>
  <c r="J1044" i="35" s="1"/>
  <c r="AP206" i="35"/>
  <c r="AP242" i="35"/>
  <c r="AP254" i="35"/>
  <c r="AP257" i="35"/>
  <c r="AP253" i="35"/>
  <c r="AP247" i="35"/>
  <c r="AP221" i="35"/>
  <c r="N221" i="35" s="1"/>
  <c r="AP241" i="35"/>
  <c r="AP256" i="35"/>
  <c r="AP258" i="35"/>
  <c r="AP212" i="35"/>
  <c r="AP245" i="35"/>
  <c r="AP209" i="35"/>
  <c r="AP261" i="35"/>
  <c r="AP202" i="35"/>
  <c r="AP217" i="35"/>
  <c r="N217" i="35" s="1"/>
  <c r="J1051" i="35" s="1"/>
  <c r="AP235" i="35"/>
  <c r="AP203" i="35"/>
  <c r="AP208" i="35"/>
  <c r="N208" i="35" s="1"/>
  <c r="J1042" i="35" s="1"/>
  <c r="AP243" i="35"/>
  <c r="AP227" i="35"/>
  <c r="N227" i="35" s="1"/>
  <c r="J1061" i="35" s="1"/>
  <c r="J1150" i="35"/>
  <c r="AJ249" i="35"/>
  <c r="J1152" i="35"/>
  <c r="J1149" i="35"/>
  <c r="AJ248" i="35"/>
  <c r="AE259" i="35"/>
  <c r="AJ259" i="35"/>
  <c r="J1140" i="35"/>
  <c r="AJ239" i="35"/>
  <c r="J1132" i="35"/>
  <c r="AJ231" i="35"/>
  <c r="J1141" i="35"/>
  <c r="AJ240" i="35"/>
  <c r="AH200" i="35"/>
  <c r="J1138" i="35"/>
  <c r="AJ237" i="35"/>
  <c r="J1151" i="35"/>
  <c r="AJ250" i="35"/>
  <c r="AJ222" i="35"/>
  <c r="AJ200" i="35"/>
  <c r="J1102" i="35"/>
  <c r="AJ201" i="35"/>
  <c r="J1145" i="35"/>
  <c r="AJ244" i="35"/>
  <c r="AJ228" i="35"/>
  <c r="J1135" i="35"/>
  <c r="D494" i="35"/>
  <c r="E494" i="35" s="1"/>
  <c r="H1094" i="35" s="1"/>
  <c r="AJ251" i="35"/>
  <c r="AJ260" i="35"/>
  <c r="J372" i="33"/>
  <c r="F372" i="33"/>
  <c r="J572" i="33"/>
  <c r="E1023" i="35" s="1"/>
  <c r="K572" i="33"/>
  <c r="G572" i="33"/>
  <c r="G1023" i="35" s="1"/>
  <c r="I572" i="33"/>
  <c r="M505" i="33"/>
  <c r="I639" i="33"/>
  <c r="N217" i="33"/>
  <c r="M217" i="33"/>
  <c r="K171" i="33"/>
  <c r="C734" i="33" s="1"/>
  <c r="L385" i="35"/>
  <c r="M385" i="35" s="1"/>
  <c r="E436" i="35"/>
  <c r="H1036" i="35" s="1"/>
  <c r="AO258" i="35"/>
  <c r="AR227" i="35"/>
  <c r="AY258" i="35"/>
  <c r="AW227" i="35"/>
  <c r="AZ227" i="35"/>
  <c r="E607" i="33"/>
  <c r="AT258" i="35"/>
  <c r="AV210" i="35"/>
  <c r="AU227" i="35"/>
  <c r="X60" i="38"/>
  <c r="AS227" i="35"/>
  <c r="AX258" i="35"/>
  <c r="AR258" i="35"/>
  <c r="AN210" i="35"/>
  <c r="AN227" i="35"/>
  <c r="X63" i="38"/>
  <c r="AQ227" i="35"/>
  <c r="AT227" i="35"/>
  <c r="AX227" i="35"/>
  <c r="AQ258" i="35"/>
  <c r="H1067" i="35"/>
  <c r="AV227" i="35"/>
  <c r="AO227" i="35"/>
  <c r="AY227" i="35"/>
  <c r="H1092" i="35"/>
  <c r="M492" i="35"/>
  <c r="AU210" i="35"/>
  <c r="AO210" i="35"/>
  <c r="AW258" i="35"/>
  <c r="AY210" i="35"/>
  <c r="H31" i="27"/>
  <c r="I31" i="27" s="1"/>
  <c r="AH8" i="38" s="1"/>
  <c r="AI8" i="38" s="1"/>
  <c r="L409" i="35"/>
  <c r="AR210" i="35"/>
  <c r="AS210" i="35"/>
  <c r="AX210" i="35"/>
  <c r="D1037" i="35"/>
  <c r="F1037" i="35" s="1"/>
  <c r="B1178" i="35" s="1"/>
  <c r="AF200" i="35"/>
  <c r="AS258" i="35"/>
  <c r="AZ258" i="35"/>
  <c r="AV258" i="35"/>
  <c r="AW210" i="35"/>
  <c r="AQ210" i="35"/>
  <c r="AT210" i="35"/>
  <c r="AN258" i="35"/>
  <c r="AU258" i="35"/>
  <c r="AZ210" i="35"/>
  <c r="K1037" i="35"/>
  <c r="AU218" i="35"/>
  <c r="G1078" i="35"/>
  <c r="C1219" i="35" s="1"/>
  <c r="M461" i="35"/>
  <c r="AQ218" i="35"/>
  <c r="AO218" i="35"/>
  <c r="L381" i="35"/>
  <c r="M381" i="35" s="1"/>
  <c r="AZ218" i="35"/>
  <c r="L391" i="35"/>
  <c r="M391" i="35" s="1"/>
  <c r="AR255" i="35"/>
  <c r="AS218" i="35"/>
  <c r="AW218" i="35"/>
  <c r="AV218" i="35"/>
  <c r="M459" i="35"/>
  <c r="M552" i="33"/>
  <c r="AX218" i="35"/>
  <c r="N218" i="35"/>
  <c r="J1052" i="35" s="1"/>
  <c r="AT218" i="35"/>
  <c r="L406" i="33"/>
  <c r="N352" i="33"/>
  <c r="O352" i="33" s="1"/>
  <c r="AZ255" i="35"/>
  <c r="AV225" i="35"/>
  <c r="AV203" i="35"/>
  <c r="AM260" i="35"/>
  <c r="AN218" i="35"/>
  <c r="AR218" i="35"/>
  <c r="AY218" i="35"/>
  <c r="D1050" i="35"/>
  <c r="F1050" i="35" s="1"/>
  <c r="B1191" i="35" s="1"/>
  <c r="AL200" i="35"/>
  <c r="AO255" i="35"/>
  <c r="AW225" i="35"/>
  <c r="H75" i="27"/>
  <c r="I75" i="27" s="1"/>
  <c r="AH52" i="38" s="1"/>
  <c r="AI52" i="38" s="1"/>
  <c r="M442" i="35"/>
  <c r="E470" i="35"/>
  <c r="M470" i="35" s="1"/>
  <c r="AY255" i="35"/>
  <c r="N367" i="33"/>
  <c r="O367" i="33" s="1"/>
  <c r="E775" i="33" s="1"/>
  <c r="H1037" i="35"/>
  <c r="AZ225" i="35"/>
  <c r="AQ256" i="35"/>
  <c r="K44" i="38"/>
  <c r="AF260" i="35"/>
  <c r="AK260" i="35"/>
  <c r="AX256" i="35"/>
  <c r="AZ256" i="35"/>
  <c r="G406" i="33"/>
  <c r="L417" i="33"/>
  <c r="AE260" i="35"/>
  <c r="H29" i="38"/>
  <c r="L29" i="38"/>
  <c r="H63" i="27"/>
  <c r="I63" i="27" s="1"/>
  <c r="AH40" i="38" s="1"/>
  <c r="AI40" i="38" s="1"/>
  <c r="AW208" i="35"/>
  <c r="AT255" i="35"/>
  <c r="AN256" i="35"/>
  <c r="AS225" i="35"/>
  <c r="AX225" i="35"/>
  <c r="E466" i="35"/>
  <c r="H1066" i="35" s="1"/>
  <c r="K170" i="33"/>
  <c r="AX255" i="35"/>
  <c r="AS255" i="35"/>
  <c r="AO225" i="35"/>
  <c r="AQ225" i="35"/>
  <c r="AT256" i="35"/>
  <c r="AU256" i="35"/>
  <c r="AV256" i="35"/>
  <c r="AO256" i="35"/>
  <c r="AW255" i="35"/>
  <c r="AU255" i="35"/>
  <c r="AV255" i="35"/>
  <c r="AN225" i="35"/>
  <c r="AY225" i="35"/>
  <c r="AR225" i="35"/>
  <c r="AU225" i="35"/>
  <c r="AT225" i="35"/>
  <c r="AR256" i="35"/>
  <c r="AS256" i="35"/>
  <c r="AY256" i="35"/>
  <c r="AZ224" i="35"/>
  <c r="AS224" i="35"/>
  <c r="K172" i="33"/>
  <c r="AN255" i="35"/>
  <c r="AQ255" i="35"/>
  <c r="AW256" i="35"/>
  <c r="M477" i="35"/>
  <c r="AZ203" i="35"/>
  <c r="AI260" i="35"/>
  <c r="AH260" i="35"/>
  <c r="AT224" i="35"/>
  <c r="AL260" i="35"/>
  <c r="AD260" i="35"/>
  <c r="K1067" i="35"/>
  <c r="J1161" i="35"/>
  <c r="H607" i="33"/>
  <c r="G607" i="33"/>
  <c r="H61" i="27"/>
  <c r="I61" i="27" s="1"/>
  <c r="AH38" i="38" s="1"/>
  <c r="AI38" i="38" s="1"/>
  <c r="L384" i="35"/>
  <c r="M384" i="35" s="1"/>
  <c r="K1069" i="35" s="1"/>
  <c r="AG260" i="35"/>
  <c r="AW203" i="35"/>
  <c r="AV216" i="35"/>
  <c r="L396" i="35"/>
  <c r="M396" i="35" s="1"/>
  <c r="K1081" i="35" s="1"/>
  <c r="AX224" i="35"/>
  <c r="N220" i="35"/>
  <c r="J1054" i="35" s="1"/>
  <c r="L1054" i="35" s="1"/>
  <c r="AO216" i="35"/>
  <c r="AN243" i="35"/>
  <c r="AX243" i="35"/>
  <c r="AN208" i="35"/>
  <c r="M458" i="35"/>
  <c r="AU224" i="35"/>
  <c r="AR224" i="35"/>
  <c r="AW224" i="35"/>
  <c r="L552" i="33"/>
  <c r="G1050" i="35"/>
  <c r="C1191" i="35" s="1"/>
  <c r="AV224" i="35"/>
  <c r="AO224" i="35"/>
  <c r="AY224" i="35"/>
  <c r="AV243" i="35"/>
  <c r="AN224" i="35"/>
  <c r="AQ224" i="35"/>
  <c r="K1050" i="35"/>
  <c r="AT216" i="35"/>
  <c r="AZ216" i="35"/>
  <c r="AY206" i="35"/>
  <c r="AX208" i="35"/>
  <c r="AV208" i="35"/>
  <c r="H1050" i="35"/>
  <c r="AY208" i="35"/>
  <c r="I390" i="33"/>
  <c r="K168" i="33"/>
  <c r="H88" i="27"/>
  <c r="I88" i="27" s="1"/>
  <c r="AH65" i="38" s="1"/>
  <c r="AI65" i="38" s="1"/>
  <c r="AV223" i="35"/>
  <c r="AU223" i="35"/>
  <c r="AW216" i="35"/>
  <c r="AV206" i="35"/>
  <c r="K183" i="33"/>
  <c r="M440" i="35"/>
  <c r="AR208" i="35"/>
  <c r="AT208" i="35"/>
  <c r="AU208" i="35"/>
  <c r="AQ208" i="35"/>
  <c r="AD250" i="35"/>
  <c r="M490" i="35"/>
  <c r="AO208" i="35"/>
  <c r="AS208" i="35"/>
  <c r="AZ208" i="35"/>
  <c r="L407" i="33"/>
  <c r="N176" i="33"/>
  <c r="AE234" i="35"/>
  <c r="AU243" i="35"/>
  <c r="AZ223" i="35"/>
  <c r="AQ220" i="35"/>
  <c r="AU216" i="35"/>
  <c r="AR216" i="35"/>
  <c r="AD234" i="35"/>
  <c r="AO243" i="35"/>
  <c r="AR206" i="35"/>
  <c r="AW243" i="35"/>
  <c r="N243" i="35" s="1"/>
  <c r="J1077" i="35" s="1"/>
  <c r="AY243" i="35"/>
  <c r="E472" i="35"/>
  <c r="M472" i="35" s="1"/>
  <c r="AS223" i="35"/>
  <c r="N216" i="35"/>
  <c r="J1050" i="35" s="1"/>
  <c r="AQ216" i="35"/>
  <c r="K171" i="27"/>
  <c r="AK25" i="38" s="1"/>
  <c r="M454" i="35"/>
  <c r="AR243" i="35"/>
  <c r="AT223" i="35"/>
  <c r="AY220" i="35"/>
  <c r="AX223" i="35"/>
  <c r="AR220" i="35"/>
  <c r="AO206" i="35"/>
  <c r="L349" i="35"/>
  <c r="M349" i="35" s="1"/>
  <c r="AQ223" i="35"/>
  <c r="AQ243" i="35"/>
  <c r="AX206" i="35"/>
  <c r="AS243" i="35"/>
  <c r="AZ243" i="35"/>
  <c r="AY223" i="35"/>
  <c r="E463" i="35"/>
  <c r="H1063" i="35" s="1"/>
  <c r="AO220" i="35"/>
  <c r="AS220" i="35"/>
  <c r="AV220" i="35"/>
  <c r="AU220" i="35"/>
  <c r="H1057" i="35"/>
  <c r="AW206" i="35"/>
  <c r="AS206" i="35"/>
  <c r="AN223" i="35"/>
  <c r="AW223" i="35"/>
  <c r="AO223" i="35"/>
  <c r="AT220" i="35"/>
  <c r="AX220" i="35"/>
  <c r="AQ206" i="35"/>
  <c r="N206" i="35" s="1"/>
  <c r="J1040" i="35" s="1"/>
  <c r="AT243" i="35"/>
  <c r="AT206" i="35"/>
  <c r="AZ206" i="35"/>
  <c r="AU206" i="35"/>
  <c r="AN206" i="35"/>
  <c r="AR223" i="35"/>
  <c r="AW220" i="35"/>
  <c r="J190" i="27"/>
  <c r="K190" i="27" s="1"/>
  <c r="AK44" i="38" s="1"/>
  <c r="AX235" i="35"/>
  <c r="N235" i="35" s="1"/>
  <c r="J1069" i="35" s="1"/>
  <c r="AN220" i="35"/>
  <c r="AN216" i="35"/>
  <c r="AX216" i="35"/>
  <c r="J186" i="27"/>
  <c r="M189" i="33"/>
  <c r="J958" i="33"/>
  <c r="J919" i="33"/>
  <c r="J957" i="33"/>
  <c r="J914" i="33"/>
  <c r="AZ220" i="35"/>
  <c r="AY216" i="35"/>
  <c r="AS216" i="35"/>
  <c r="J911" i="33"/>
  <c r="J917" i="33"/>
  <c r="AY203" i="35"/>
  <c r="E469" i="35"/>
  <c r="H1069" i="35" s="1"/>
  <c r="L397" i="35"/>
  <c r="M397" i="35" s="1"/>
  <c r="K1082" i="35" s="1"/>
  <c r="Y62" i="38"/>
  <c r="D468" i="35"/>
  <c r="E468" i="35" s="1"/>
  <c r="H1068" i="35" s="1"/>
  <c r="AH234" i="35"/>
  <c r="AL234" i="35"/>
  <c r="AN203" i="35"/>
  <c r="AS203" i="35"/>
  <c r="AX203" i="35"/>
  <c r="AG234" i="35"/>
  <c r="AF234" i="35"/>
  <c r="AU203" i="35"/>
  <c r="AO203" i="35"/>
  <c r="AT203" i="35"/>
  <c r="AR203" i="35"/>
  <c r="L442" i="33"/>
  <c r="L383" i="35"/>
  <c r="M383" i="35" s="1"/>
  <c r="AO235" i="35"/>
  <c r="AI234" i="35"/>
  <c r="AM234" i="35"/>
  <c r="AQ203" i="35"/>
  <c r="AK234" i="35"/>
  <c r="Y61" i="38"/>
  <c r="Y30" i="38"/>
  <c r="AM200" i="35"/>
  <c r="AI200" i="35"/>
  <c r="AK248" i="35"/>
  <c r="AK200" i="35"/>
  <c r="K209" i="27"/>
  <c r="AK63" i="38" s="1"/>
  <c r="AE200" i="35"/>
  <c r="AG200" i="35"/>
  <c r="M188" i="33"/>
  <c r="N188" i="33"/>
  <c r="D434" i="35"/>
  <c r="E434" i="35" s="1"/>
  <c r="H1034" i="35" s="1"/>
  <c r="AD200" i="35"/>
  <c r="J920" i="33"/>
  <c r="J932" i="33"/>
  <c r="J930" i="33"/>
  <c r="AY235" i="35"/>
  <c r="AU235" i="35"/>
  <c r="AN235" i="35"/>
  <c r="AW235" i="35"/>
  <c r="AR235" i="35"/>
  <c r="AQ235" i="35"/>
  <c r="AZ235" i="35"/>
  <c r="AS235" i="35"/>
  <c r="AT235" i="35"/>
  <c r="AV235" i="35"/>
  <c r="AL259" i="35"/>
  <c r="AF259" i="35"/>
  <c r="AK240" i="35"/>
  <c r="G1042" i="35"/>
  <c r="C1183" i="35" s="1"/>
  <c r="D1042" i="35"/>
  <c r="F1042" i="35" s="1"/>
  <c r="B1183" i="35" s="1"/>
  <c r="H36" i="27"/>
  <c r="I36" i="27" s="1"/>
  <c r="AH13" i="38" s="1"/>
  <c r="AI13" i="38" s="1"/>
  <c r="G1085" i="35"/>
  <c r="C1226" i="35" s="1"/>
  <c r="H79" i="27"/>
  <c r="I79" i="27" s="1"/>
  <c r="AH56" i="38" s="1"/>
  <c r="AI56" i="38" s="1"/>
  <c r="G1057" i="35"/>
  <c r="C1198" i="35" s="1"/>
  <c r="D1057" i="35"/>
  <c r="F1057" i="35" s="1"/>
  <c r="B1198" i="35" s="1"/>
  <c r="H51" i="27"/>
  <c r="I51" i="27" s="1"/>
  <c r="AH28" i="38" s="1"/>
  <c r="AI28" i="38" s="1"/>
  <c r="G1071" i="35"/>
  <c r="C1212" i="35" s="1"/>
  <c r="H65" i="27"/>
  <c r="I65" i="27" s="1"/>
  <c r="AH42" i="38" s="1"/>
  <c r="AI42" i="38" s="1"/>
  <c r="G1080" i="35"/>
  <c r="C1221" i="35" s="1"/>
  <c r="H74" i="27"/>
  <c r="I74" i="27" s="1"/>
  <c r="AH51" i="38" s="1"/>
  <c r="AI51" i="38" s="1"/>
  <c r="G1088" i="35"/>
  <c r="C1229" i="35" s="1"/>
  <c r="D1088" i="35"/>
  <c r="H82" i="27"/>
  <c r="I82" i="27" s="1"/>
  <c r="AH59" i="38" s="1"/>
  <c r="AI59" i="38" s="1"/>
  <c r="D1087" i="35"/>
  <c r="F1087" i="35" s="1"/>
  <c r="B1228" i="35" s="1"/>
  <c r="G1087" i="35"/>
  <c r="C1228" i="35" s="1"/>
  <c r="H81" i="27"/>
  <c r="I81" i="27" s="1"/>
  <c r="AH58" i="38" s="1"/>
  <c r="AI58" i="38" s="1"/>
  <c r="G1044" i="35"/>
  <c r="C1185" i="35" s="1"/>
  <c r="D1044" i="35"/>
  <c r="F1044" i="35" s="1"/>
  <c r="B1185" i="35" s="1"/>
  <c r="H38" i="27"/>
  <c r="I38" i="27" s="1"/>
  <c r="AH15" i="38" s="1"/>
  <c r="AI15" i="38" s="1"/>
  <c r="K1048" i="35"/>
  <c r="K1077" i="35"/>
  <c r="G1064" i="35"/>
  <c r="C1205" i="35" s="1"/>
  <c r="H58" i="27"/>
  <c r="I58" i="27" s="1"/>
  <c r="AH35" i="38" s="1"/>
  <c r="AI35" i="38" s="1"/>
  <c r="G1048" i="35"/>
  <c r="C1189" i="35" s="1"/>
  <c r="D1048" i="35"/>
  <c r="F1048" i="35" s="1"/>
  <c r="B1189" i="35" s="1"/>
  <c r="H42" i="27"/>
  <c r="I42" i="27" s="1"/>
  <c r="AH19" i="38" s="1"/>
  <c r="AI19" i="38" s="1"/>
  <c r="G1040" i="35"/>
  <c r="C1181" i="35" s="1"/>
  <c r="D1040" i="35"/>
  <c r="F1040" i="35" s="1"/>
  <c r="B1181" i="35" s="1"/>
  <c r="H34" i="27"/>
  <c r="I34" i="27" s="1"/>
  <c r="AH11" i="38" s="1"/>
  <c r="AI11" i="38" s="1"/>
  <c r="D1095" i="35"/>
  <c r="F1095" i="35" s="1"/>
  <c r="B1236" i="35" s="1"/>
  <c r="G1095" i="35"/>
  <c r="C1236" i="35" s="1"/>
  <c r="H89" i="27"/>
  <c r="I89" i="27" s="1"/>
  <c r="AH66" i="38" s="1"/>
  <c r="AI66" i="38" s="1"/>
  <c r="D1055" i="35"/>
  <c r="F1055" i="35" s="1"/>
  <c r="B1196" i="35" s="1"/>
  <c r="G1055" i="35"/>
  <c r="C1196" i="35" s="1"/>
  <c r="H49" i="27"/>
  <c r="I49" i="27" s="1"/>
  <c r="AH26" i="38" s="1"/>
  <c r="AI26" i="38" s="1"/>
  <c r="G1035" i="35"/>
  <c r="C1176" i="35" s="1"/>
  <c r="H29" i="27"/>
  <c r="I29" i="27" s="1"/>
  <c r="AH6" i="38" s="1"/>
  <c r="AI6" i="38" s="1"/>
  <c r="G1082" i="35"/>
  <c r="C1223" i="35" s="1"/>
  <c r="H76" i="27"/>
  <c r="I76" i="27" s="1"/>
  <c r="AH53" i="38" s="1"/>
  <c r="AI53" i="38" s="1"/>
  <c r="D1047" i="35"/>
  <c r="F1047" i="35" s="1"/>
  <c r="B1188" i="35" s="1"/>
  <c r="G1047" i="35"/>
  <c r="C1188" i="35" s="1"/>
  <c r="H41" i="27"/>
  <c r="I41" i="27" s="1"/>
  <c r="AH18" i="38" s="1"/>
  <c r="AI18" i="38" s="1"/>
  <c r="K1058" i="35"/>
  <c r="G1084" i="35"/>
  <c r="C1225" i="35" s="1"/>
  <c r="H78" i="27"/>
  <c r="I78" i="27" s="1"/>
  <c r="AH55" i="38" s="1"/>
  <c r="AI55" i="38" s="1"/>
  <c r="G1058" i="35"/>
  <c r="C1199" i="35" s="1"/>
  <c r="D1058" i="35"/>
  <c r="F1058" i="35" s="1"/>
  <c r="B1199" i="35" s="1"/>
  <c r="H52" i="27"/>
  <c r="I52" i="27" s="1"/>
  <c r="AH29" i="38" s="1"/>
  <c r="AI29" i="38" s="1"/>
  <c r="G1086" i="35"/>
  <c r="C1227" i="35" s="1"/>
  <c r="H80" i="27"/>
  <c r="I80" i="27" s="1"/>
  <c r="AH57" i="38" s="1"/>
  <c r="AI57" i="38" s="1"/>
  <c r="G1075" i="35"/>
  <c r="C1216" i="35" s="1"/>
  <c r="H69" i="27"/>
  <c r="I69" i="27" s="1"/>
  <c r="AH46" i="38" s="1"/>
  <c r="AI46" i="38" s="1"/>
  <c r="D1051" i="35"/>
  <c r="F1051" i="35" s="1"/>
  <c r="B1192" i="35" s="1"/>
  <c r="G1051" i="35"/>
  <c r="C1192" i="35" s="1"/>
  <c r="H45" i="27"/>
  <c r="I45" i="27" s="1"/>
  <c r="AH22" i="38" s="1"/>
  <c r="AI22" i="38" s="1"/>
  <c r="G1072" i="35"/>
  <c r="C1213" i="35" s="1"/>
  <c r="H66" i="27"/>
  <c r="I66" i="27" s="1"/>
  <c r="AH43" i="38" s="1"/>
  <c r="AI43" i="38" s="1"/>
  <c r="G1079" i="35"/>
  <c r="C1220" i="35" s="1"/>
  <c r="H73" i="27"/>
  <c r="I73" i="27" s="1"/>
  <c r="AH50" i="38" s="1"/>
  <c r="AI50" i="38" s="1"/>
  <c r="G1053" i="35"/>
  <c r="C1194" i="35" s="1"/>
  <c r="D1053" i="35"/>
  <c r="F1053" i="35" s="1"/>
  <c r="B1194" i="35" s="1"/>
  <c r="H47" i="27"/>
  <c r="I47" i="27" s="1"/>
  <c r="AH24" i="38" s="1"/>
  <c r="AI24" i="38" s="1"/>
  <c r="G1060" i="35"/>
  <c r="C1201" i="35" s="1"/>
  <c r="D1060" i="35"/>
  <c r="F1060" i="35" s="1"/>
  <c r="B1201" i="35" s="1"/>
  <c r="H54" i="27"/>
  <c r="I54" i="27" s="1"/>
  <c r="AH31" i="38" s="1"/>
  <c r="AI31" i="38" s="1"/>
  <c r="K1051" i="35"/>
  <c r="G1077" i="35"/>
  <c r="C1218" i="35" s="1"/>
  <c r="H71" i="27"/>
  <c r="I71" i="27" s="1"/>
  <c r="AH48" i="38" s="1"/>
  <c r="AI48" i="38" s="1"/>
  <c r="G1083" i="35"/>
  <c r="C1224" i="35" s="1"/>
  <c r="H77" i="27"/>
  <c r="I77" i="27" s="1"/>
  <c r="AH54" i="38" s="1"/>
  <c r="AI54" i="38" s="1"/>
  <c r="G1036" i="35"/>
  <c r="C1177" i="35" s="1"/>
  <c r="H30" i="27"/>
  <c r="I30" i="27" s="1"/>
  <c r="AH7" i="38" s="1"/>
  <c r="AI7" i="38" s="1"/>
  <c r="G1061" i="35"/>
  <c r="C1202" i="35" s="1"/>
  <c r="D1061" i="35"/>
  <c r="F1061" i="35" s="1"/>
  <c r="B1202" i="35" s="1"/>
  <c r="H55" i="27"/>
  <c r="I55" i="27" s="1"/>
  <c r="AH32" i="38" s="1"/>
  <c r="AI32" i="38" s="1"/>
  <c r="G1045" i="35"/>
  <c r="C1186" i="35" s="1"/>
  <c r="D1045" i="35"/>
  <c r="F1045" i="35" s="1"/>
  <c r="B1186" i="35" s="1"/>
  <c r="H39" i="27"/>
  <c r="I39" i="27" s="1"/>
  <c r="AH16" i="38" s="1"/>
  <c r="AI16" i="38" s="1"/>
  <c r="G1093" i="35"/>
  <c r="C1234" i="35" s="1"/>
  <c r="H87" i="27"/>
  <c r="I87" i="27" s="1"/>
  <c r="AH64" i="38" s="1"/>
  <c r="AI64" i="38" s="1"/>
  <c r="G1063" i="35"/>
  <c r="C1204" i="35" s="1"/>
  <c r="H57" i="27"/>
  <c r="I57" i="27" s="1"/>
  <c r="AH34" i="38" s="1"/>
  <c r="AI34" i="38" s="1"/>
  <c r="D1043" i="35"/>
  <c r="F1043" i="35" s="1"/>
  <c r="B1184" i="35" s="1"/>
  <c r="G1043" i="35"/>
  <c r="C1184" i="35" s="1"/>
  <c r="H37" i="27"/>
  <c r="I37" i="27" s="1"/>
  <c r="AH14" i="38" s="1"/>
  <c r="AI14" i="38" s="1"/>
  <c r="G1049" i="35"/>
  <c r="C1190" i="35" s="1"/>
  <c r="D1049" i="35"/>
  <c r="F1049" i="35" s="1"/>
  <c r="B1190" i="35" s="1"/>
  <c r="H43" i="27"/>
  <c r="I43" i="27" s="1"/>
  <c r="AH20" i="38" s="1"/>
  <c r="AI20" i="38" s="1"/>
  <c r="G1041" i="35"/>
  <c r="C1182" i="35" s="1"/>
  <c r="D1041" i="35"/>
  <c r="F1041" i="35" s="1"/>
  <c r="B1182" i="35" s="1"/>
  <c r="H35" i="27"/>
  <c r="I35" i="27" s="1"/>
  <c r="AH12" i="38" s="1"/>
  <c r="AI12" i="38" s="1"/>
  <c r="N187" i="33"/>
  <c r="N169" i="33"/>
  <c r="L179" i="27"/>
  <c r="E179" i="27"/>
  <c r="F179" i="27" s="1"/>
  <c r="H179" i="27"/>
  <c r="L173" i="27"/>
  <c r="E173" i="27"/>
  <c r="F173" i="27" s="1"/>
  <c r="H173" i="27"/>
  <c r="N219" i="33"/>
  <c r="M219" i="33"/>
  <c r="L413" i="33"/>
  <c r="K935" i="33"/>
  <c r="K916" i="33"/>
  <c r="M17" i="38" s="1"/>
  <c r="L414" i="33"/>
  <c r="K936" i="33"/>
  <c r="J915" i="33"/>
  <c r="K964" i="33"/>
  <c r="K918" i="33"/>
  <c r="M19" i="38" s="1"/>
  <c r="J931" i="33"/>
  <c r="J908" i="33"/>
  <c r="K929" i="33"/>
  <c r="K946" i="33"/>
  <c r="J923" i="33"/>
  <c r="J925" i="33"/>
  <c r="J962" i="33"/>
  <c r="J913" i="33"/>
  <c r="K972" i="35"/>
  <c r="J972" i="35"/>
  <c r="K991" i="35"/>
  <c r="J991" i="35"/>
  <c r="L991" i="35" s="1"/>
  <c r="J193" i="27"/>
  <c r="J177" i="27"/>
  <c r="J206" i="27"/>
  <c r="K206" i="27" s="1"/>
  <c r="J169" i="27"/>
  <c r="K169" i="27" s="1"/>
  <c r="J182" i="27"/>
  <c r="K182" i="27" s="1"/>
  <c r="J211" i="27"/>
  <c r="AM252" i="35"/>
  <c r="AL252" i="35"/>
  <c r="AF252" i="35"/>
  <c r="AI252" i="35"/>
  <c r="AK252" i="35"/>
  <c r="AH252" i="35"/>
  <c r="AG252" i="35"/>
  <c r="AD252" i="35"/>
  <c r="AE252" i="35"/>
  <c r="AT202" i="35"/>
  <c r="M489" i="35"/>
  <c r="N174" i="33"/>
  <c r="M25" i="38"/>
  <c r="H603" i="33"/>
  <c r="F985" i="35"/>
  <c r="H601" i="33"/>
  <c r="F979" i="35"/>
  <c r="H595" i="33"/>
  <c r="H8" i="38"/>
  <c r="H19" i="38"/>
  <c r="G396" i="33"/>
  <c r="L19" i="38"/>
  <c r="F930" i="33"/>
  <c r="F923" i="33"/>
  <c r="L401" i="35"/>
  <c r="M401" i="35" s="1"/>
  <c r="K1086" i="35" s="1"/>
  <c r="E603" i="33"/>
  <c r="F603" i="33"/>
  <c r="G603" i="33" s="1"/>
  <c r="F992" i="35"/>
  <c r="H608" i="33"/>
  <c r="H37" i="38"/>
  <c r="G414" i="33"/>
  <c r="H65" i="38"/>
  <c r="G442" i="33"/>
  <c r="H25" i="38"/>
  <c r="G402" i="33"/>
  <c r="F981" i="35"/>
  <c r="H597" i="33"/>
  <c r="H40" i="38"/>
  <c r="G417" i="33"/>
  <c r="L17" i="38"/>
  <c r="L419" i="33"/>
  <c r="I583" i="33"/>
  <c r="M449" i="33"/>
  <c r="F932" i="33"/>
  <c r="F917" i="33"/>
  <c r="F911" i="33"/>
  <c r="F914" i="33"/>
  <c r="F931" i="33"/>
  <c r="M40" i="38"/>
  <c r="J1153" i="35"/>
  <c r="D486" i="35"/>
  <c r="E486" i="35" s="1"/>
  <c r="H1086" i="35" s="1"/>
  <c r="L65" i="38"/>
  <c r="H999" i="35"/>
  <c r="E615" i="33"/>
  <c r="F615" i="33"/>
  <c r="H985" i="35"/>
  <c r="F601" i="33"/>
  <c r="G601" i="33" s="1"/>
  <c r="E601" i="33"/>
  <c r="F1027" i="35"/>
  <c r="H643" i="33"/>
  <c r="F597" i="33"/>
  <c r="G597" i="33" s="1"/>
  <c r="E597" i="33"/>
  <c r="E595" i="33"/>
  <c r="F595" i="33"/>
  <c r="G595" i="33" s="1"/>
  <c r="H17" i="38"/>
  <c r="G394" i="33"/>
  <c r="L396" i="33"/>
  <c r="L36" i="38"/>
  <c r="I627" i="33"/>
  <c r="M493" i="33"/>
  <c r="F913" i="33"/>
  <c r="F920" i="33"/>
  <c r="F919" i="33"/>
  <c r="L8" i="38"/>
  <c r="L40" i="38"/>
  <c r="L25" i="38"/>
  <c r="L37" i="38"/>
  <c r="H1009" i="35"/>
  <c r="F625" i="33"/>
  <c r="E625" i="33"/>
  <c r="F999" i="35"/>
  <c r="H615" i="33"/>
  <c r="F1009" i="35"/>
  <c r="H625" i="33"/>
  <c r="F1002" i="35"/>
  <c r="H618" i="33"/>
  <c r="H1002" i="35"/>
  <c r="F618" i="33"/>
  <c r="E618" i="33"/>
  <c r="H992" i="35"/>
  <c r="E608" i="33"/>
  <c r="F608" i="33"/>
  <c r="G608" i="33" s="1"/>
  <c r="H1027" i="35"/>
  <c r="E643" i="33"/>
  <c r="F643" i="33"/>
  <c r="F1004" i="35"/>
  <c r="H620" i="33"/>
  <c r="H36" i="38"/>
  <c r="G413" i="33"/>
  <c r="E620" i="33"/>
  <c r="F620" i="33"/>
  <c r="H42" i="38"/>
  <c r="G419" i="33"/>
  <c r="H47" i="38"/>
  <c r="G424" i="33"/>
  <c r="F972" i="35"/>
  <c r="H588" i="33"/>
  <c r="G588" i="33"/>
  <c r="L30" i="38"/>
  <c r="L42" i="38"/>
  <c r="H30" i="38"/>
  <c r="G407" i="33"/>
  <c r="F957" i="33"/>
  <c r="F962" i="33"/>
  <c r="F782" i="33" s="1"/>
  <c r="F905" i="33"/>
  <c r="L47" i="38"/>
  <c r="K184" i="33"/>
  <c r="N171" i="33"/>
  <c r="M171" i="33"/>
  <c r="J209" i="33"/>
  <c r="I430" i="33" s="1"/>
  <c r="I214" i="33"/>
  <c r="J214" i="33"/>
  <c r="K214" i="33" s="1"/>
  <c r="C777" i="33" s="1"/>
  <c r="I199" i="33"/>
  <c r="J199" i="33"/>
  <c r="I420" i="33" s="1"/>
  <c r="J165" i="33"/>
  <c r="K165" i="33" s="1"/>
  <c r="C728" i="33" s="1"/>
  <c r="N218" i="33"/>
  <c r="M218" i="33"/>
  <c r="I182" i="33"/>
  <c r="J182" i="33"/>
  <c r="K182" i="33" s="1"/>
  <c r="C745" i="33" s="1"/>
  <c r="I201" i="33"/>
  <c r="J201" i="33"/>
  <c r="I422" i="33" s="1"/>
  <c r="H1052" i="35"/>
  <c r="L378" i="35"/>
  <c r="M378" i="35" s="1"/>
  <c r="K1063" i="35" s="1"/>
  <c r="N375" i="33"/>
  <c r="O375" i="33" s="1"/>
  <c r="E783" i="33" s="1"/>
  <c r="AU217" i="35"/>
  <c r="AL231" i="35"/>
  <c r="L408" i="35"/>
  <c r="M408" i="35" s="1"/>
  <c r="K1093" i="35" s="1"/>
  <c r="AY217" i="35"/>
  <c r="AG259" i="35"/>
  <c r="AI259" i="35"/>
  <c r="AK259" i="35"/>
  <c r="AH259" i="35"/>
  <c r="AD259" i="35"/>
  <c r="AI237" i="35"/>
  <c r="D493" i="35"/>
  <c r="E493" i="35" s="1"/>
  <c r="H1093" i="35" s="1"/>
  <c r="AM259" i="35"/>
  <c r="J212" i="27"/>
  <c r="J208" i="27"/>
  <c r="J152" i="27"/>
  <c r="J197" i="27"/>
  <c r="AJ59" i="38"/>
  <c r="J205" i="27"/>
  <c r="AJ18" i="38"/>
  <c r="AJ58" i="38"/>
  <c r="J154" i="27"/>
  <c r="AJ9" i="38"/>
  <c r="AJ15" i="38"/>
  <c r="AJ20" i="38"/>
  <c r="J166" i="27"/>
  <c r="AJ61" i="38"/>
  <c r="AJ16" i="38"/>
  <c r="J162" i="27"/>
  <c r="AJ21" i="38"/>
  <c r="J167" i="27"/>
  <c r="AJ10" i="38"/>
  <c r="AJ30" i="38"/>
  <c r="AJ32" i="38"/>
  <c r="AJ24" i="38"/>
  <c r="AJ12" i="38"/>
  <c r="AJ26" i="38"/>
  <c r="J172" i="27"/>
  <c r="AJ22" i="38"/>
  <c r="J168" i="27"/>
  <c r="G44" i="38"/>
  <c r="L529" i="33"/>
  <c r="L555" i="33"/>
  <c r="D622" i="33"/>
  <c r="M529" i="33"/>
  <c r="N361" i="33"/>
  <c r="O361" i="33" s="1"/>
  <c r="E769" i="33" s="1"/>
  <c r="M555" i="33"/>
  <c r="N317" i="33"/>
  <c r="O317" i="33" s="1"/>
  <c r="E725" i="33" s="1"/>
  <c r="D606" i="33"/>
  <c r="N350" i="33"/>
  <c r="O350" i="33" s="1"/>
  <c r="I683" i="33" s="1"/>
  <c r="J683" i="33" s="1"/>
  <c r="K683" i="33" s="1"/>
  <c r="AO217" i="35"/>
  <c r="AN217" i="35"/>
  <c r="AY202" i="35"/>
  <c r="AO202" i="35"/>
  <c r="AR217" i="35"/>
  <c r="AQ217" i="35"/>
  <c r="AS217" i="35"/>
  <c r="AT217" i="35"/>
  <c r="AX217" i="35"/>
  <c r="AW217" i="35"/>
  <c r="AZ217" i="35"/>
  <c r="AV217" i="35"/>
  <c r="I574" i="33"/>
  <c r="G574" i="33"/>
  <c r="G1025" i="35" s="1"/>
  <c r="J574" i="33"/>
  <c r="E1025" i="35" s="1"/>
  <c r="K574" i="33"/>
  <c r="I641" i="33"/>
  <c r="L550" i="33"/>
  <c r="N373" i="33"/>
  <c r="O373" i="33" s="1"/>
  <c r="E781" i="33" s="1"/>
  <c r="G781" i="33" s="1"/>
  <c r="N364" i="33"/>
  <c r="O364" i="33" s="1"/>
  <c r="I440" i="33"/>
  <c r="J374" i="33"/>
  <c r="F374" i="33"/>
  <c r="L390" i="35"/>
  <c r="M390" i="35" s="1"/>
  <c r="K1075" i="35" s="1"/>
  <c r="L351" i="35"/>
  <c r="M351" i="35" s="1"/>
  <c r="K1036" i="35" s="1"/>
  <c r="AU202" i="35"/>
  <c r="AZ202" i="35"/>
  <c r="C55" i="38"/>
  <c r="M451" i="35"/>
  <c r="AS202" i="35"/>
  <c r="AV202" i="35"/>
  <c r="AX202" i="35"/>
  <c r="N202" i="35" s="1"/>
  <c r="I439" i="33"/>
  <c r="L387" i="35"/>
  <c r="M387" i="35" s="1"/>
  <c r="K1072" i="35" s="1"/>
  <c r="I633" i="33"/>
  <c r="J566" i="33"/>
  <c r="E1017" i="35" s="1"/>
  <c r="G566" i="33"/>
  <c r="G1017" i="35" s="1"/>
  <c r="I566" i="33"/>
  <c r="K566" i="33"/>
  <c r="AQ202" i="35"/>
  <c r="AN202" i="35"/>
  <c r="AR202" i="35"/>
  <c r="AK201" i="35"/>
  <c r="L526" i="33"/>
  <c r="K560" i="33"/>
  <c r="F366" i="33"/>
  <c r="J366" i="33"/>
  <c r="AW202" i="35"/>
  <c r="I165" i="33"/>
  <c r="N355" i="33"/>
  <c r="O355" i="33" s="1"/>
  <c r="I688" i="33" s="1"/>
  <c r="J688" i="33" s="1"/>
  <c r="K688" i="33" s="1"/>
  <c r="L163" i="32"/>
  <c r="L191" i="32"/>
  <c r="H979" i="35"/>
  <c r="F987" i="35"/>
  <c r="B1263" i="35"/>
  <c r="Z27" i="38" s="1"/>
  <c r="H987" i="35"/>
  <c r="H981" i="35"/>
  <c r="B1269" i="35"/>
  <c r="Z33" i="38" s="1"/>
  <c r="H1004" i="35"/>
  <c r="M1471" i="35"/>
  <c r="AJ49" i="38"/>
  <c r="M1366" i="35"/>
  <c r="N1366" i="35" s="1"/>
  <c r="L1432" i="35" s="1"/>
  <c r="M1432" i="35" s="1"/>
  <c r="AP66" i="38"/>
  <c r="AQ66" i="38" s="1"/>
  <c r="M1380" i="35"/>
  <c r="N1380" i="35" s="1"/>
  <c r="L1446" i="35" s="1"/>
  <c r="M1446" i="35" s="1"/>
  <c r="L151" i="32"/>
  <c r="L165" i="32"/>
  <c r="M1360" i="35"/>
  <c r="N1360" i="35" s="1"/>
  <c r="L1426" i="35" s="1"/>
  <c r="M1460" i="35"/>
  <c r="AC48" i="38"/>
  <c r="AD48" i="38" s="1"/>
  <c r="AJ31" i="38"/>
  <c r="AJ66" i="38"/>
  <c r="AJ62" i="38"/>
  <c r="AJ50" i="38"/>
  <c r="AJ14" i="38"/>
  <c r="AJ51" i="38"/>
  <c r="AJ6" i="38"/>
  <c r="AJ53" i="38"/>
  <c r="AJ40" i="38"/>
  <c r="J1160" i="35"/>
  <c r="D41" i="27"/>
  <c r="AP14" i="38"/>
  <c r="AQ14" i="38" s="1"/>
  <c r="AP12" i="38"/>
  <c r="AQ12" i="38" s="1"/>
  <c r="L147" i="32"/>
  <c r="M1424" i="35"/>
  <c r="AC12" i="38"/>
  <c r="AD12" i="38" s="1"/>
  <c r="J560" i="33"/>
  <c r="E1011" i="35" s="1"/>
  <c r="N357" i="33"/>
  <c r="O357" i="33" s="1"/>
  <c r="E765" i="33" s="1"/>
  <c r="H1095" i="35"/>
  <c r="E475" i="35"/>
  <c r="H1075" i="35" s="1"/>
  <c r="E479" i="35"/>
  <c r="H1079" i="35" s="1"/>
  <c r="E446" i="35"/>
  <c r="H1046" i="35" s="1"/>
  <c r="E481" i="35"/>
  <c r="H1081" i="35" s="1"/>
  <c r="M364" i="35"/>
  <c r="K1049" i="35" s="1"/>
  <c r="M402" i="35"/>
  <c r="K1087" i="35" s="1"/>
  <c r="M375" i="35"/>
  <c r="K1060" i="35" s="1"/>
  <c r="M372" i="35"/>
  <c r="K1057" i="35" s="1"/>
  <c r="M370" i="35"/>
  <c r="K1055" i="35" s="1"/>
  <c r="M359" i="35"/>
  <c r="K1044" i="35" s="1"/>
  <c r="M357" i="35"/>
  <c r="K1042" i="35" s="1"/>
  <c r="M360" i="35"/>
  <c r="K1045" i="35" s="1"/>
  <c r="M410" i="35"/>
  <c r="K1095" i="35" s="1"/>
  <c r="M368" i="35"/>
  <c r="K1053" i="35" s="1"/>
  <c r="M376" i="35"/>
  <c r="K1061" i="35" s="1"/>
  <c r="M356" i="35"/>
  <c r="K1041" i="35" s="1"/>
  <c r="M367" i="35"/>
  <c r="K1052" i="35" s="1"/>
  <c r="M394" i="35"/>
  <c r="K1079" i="35" s="1"/>
  <c r="M406" i="35"/>
  <c r="K1091" i="35" s="1"/>
  <c r="M358" i="35"/>
  <c r="K1043" i="35" s="1"/>
  <c r="M362" i="35"/>
  <c r="K1047" i="35" s="1"/>
  <c r="M409" i="35"/>
  <c r="K1094" i="35" s="1"/>
  <c r="M355" i="35"/>
  <c r="K1040" i="35" s="1"/>
  <c r="M361" i="35"/>
  <c r="M403" i="35"/>
  <c r="K1088" i="35" s="1"/>
  <c r="M353" i="35"/>
  <c r="K1038" i="35" s="1"/>
  <c r="M354" i="35"/>
  <c r="K1039" i="35" s="1"/>
  <c r="F316" i="33"/>
  <c r="G560" i="33"/>
  <c r="G1011" i="35" s="1"/>
  <c r="N324" i="33"/>
  <c r="O324" i="33" s="1"/>
  <c r="E732" i="33" s="1"/>
  <c r="D596" i="33"/>
  <c r="F360" i="33"/>
  <c r="N325" i="33"/>
  <c r="O325" i="33" s="1"/>
  <c r="N369" i="33"/>
  <c r="O369" i="33" s="1"/>
  <c r="E777" i="33" s="1"/>
  <c r="C49" i="38"/>
  <c r="I49" i="38" s="1"/>
  <c r="N331" i="33"/>
  <c r="O331" i="33" s="1"/>
  <c r="I664" i="33" s="1"/>
  <c r="J664" i="33" s="1"/>
  <c r="K664" i="33" s="1"/>
  <c r="J316" i="33"/>
  <c r="N344" i="33"/>
  <c r="O344" i="33" s="1"/>
  <c r="C990" i="35"/>
  <c r="J360" i="33"/>
  <c r="N346" i="33"/>
  <c r="O346" i="33" s="1"/>
  <c r="E754" i="33" s="1"/>
  <c r="N342" i="33"/>
  <c r="O342" i="33" s="1"/>
  <c r="N327" i="33"/>
  <c r="O327" i="33" s="1"/>
  <c r="I209" i="33"/>
  <c r="N329" i="33"/>
  <c r="O329" i="33" s="1"/>
  <c r="I662" i="33" s="1"/>
  <c r="J662" i="33" s="1"/>
  <c r="K662" i="33" s="1"/>
  <c r="F318" i="33"/>
  <c r="I523" i="33"/>
  <c r="G523" i="33"/>
  <c r="G974" i="35" s="1"/>
  <c r="K523" i="33"/>
  <c r="J523" i="33"/>
  <c r="E974" i="35" s="1"/>
  <c r="I590" i="33"/>
  <c r="J323" i="33"/>
  <c r="F323" i="33"/>
  <c r="I389" i="33"/>
  <c r="E1264" i="35"/>
  <c r="D51" i="27"/>
  <c r="J51" i="27" s="1"/>
  <c r="D1254" i="35"/>
  <c r="E1254" i="35"/>
  <c r="D46" i="27"/>
  <c r="K46" i="27" s="1"/>
  <c r="D1259" i="35"/>
  <c r="J61" i="27"/>
  <c r="D85" i="27"/>
  <c r="J85" i="27" s="1"/>
  <c r="D1298" i="35"/>
  <c r="E1298" i="35"/>
  <c r="E1245" i="35"/>
  <c r="D1286" i="35"/>
  <c r="D1246" i="35"/>
  <c r="D1267" i="35"/>
  <c r="E1276" i="35"/>
  <c r="D81" i="27"/>
  <c r="K81" i="27" s="1"/>
  <c r="E1256" i="35"/>
  <c r="L388" i="35"/>
  <c r="L539" i="33"/>
  <c r="J318" i="33"/>
  <c r="N320" i="33"/>
  <c r="O320" i="33" s="1"/>
  <c r="I653" i="33" s="1"/>
  <c r="J653" i="33" s="1"/>
  <c r="K653" i="33" s="1"/>
  <c r="I650" i="33"/>
  <c r="J650" i="33" s="1"/>
  <c r="I675" i="33"/>
  <c r="J675" i="33" s="1"/>
  <c r="K675" i="33" s="1"/>
  <c r="I690" i="33"/>
  <c r="J690" i="33" s="1"/>
  <c r="K690" i="33" s="1"/>
  <c r="I657" i="33"/>
  <c r="J657" i="33" s="1"/>
  <c r="K657" i="33" s="1"/>
  <c r="K556" i="33"/>
  <c r="I556" i="33"/>
  <c r="J556" i="33"/>
  <c r="E1007" i="35" s="1"/>
  <c r="G556" i="33"/>
  <c r="G1007" i="35" s="1"/>
  <c r="J554" i="33"/>
  <c r="E1005" i="35" s="1"/>
  <c r="K554" i="33"/>
  <c r="G554" i="33"/>
  <c r="G1005" i="35" s="1"/>
  <c r="I554" i="33"/>
  <c r="J518" i="33"/>
  <c r="E969" i="35" s="1"/>
  <c r="I518" i="33"/>
  <c r="G518" i="33"/>
  <c r="G969" i="35" s="1"/>
  <c r="K518" i="33"/>
  <c r="J516" i="33"/>
  <c r="E967" i="35" s="1"/>
  <c r="I516" i="33"/>
  <c r="G516" i="33"/>
  <c r="G967" i="35" s="1"/>
  <c r="K516" i="33"/>
  <c r="H516" i="33" s="1"/>
  <c r="L194" i="32"/>
  <c r="AP59" i="38"/>
  <c r="AQ59" i="38" s="1"/>
  <c r="C983" i="35"/>
  <c r="C977" i="35"/>
  <c r="D605" i="33"/>
  <c r="I405" i="33"/>
  <c r="I404" i="33"/>
  <c r="I410" i="33"/>
  <c r="C29" i="38"/>
  <c r="G29" i="38" s="1"/>
  <c r="C1026" i="35"/>
  <c r="M575" i="33"/>
  <c r="C1021" i="35"/>
  <c r="M570" i="33"/>
  <c r="C978" i="35"/>
  <c r="M527" i="33"/>
  <c r="C986" i="35"/>
  <c r="M535" i="33"/>
  <c r="C1012" i="35"/>
  <c r="M561" i="33"/>
  <c r="C970" i="35"/>
  <c r="M519" i="33"/>
  <c r="C1024" i="35"/>
  <c r="M573" i="33"/>
  <c r="C1015" i="35"/>
  <c r="M564" i="33"/>
  <c r="C1028" i="35"/>
  <c r="M577" i="33"/>
  <c r="I1028" i="35" s="1"/>
  <c r="C982" i="35"/>
  <c r="M531" i="33"/>
  <c r="C988" i="35"/>
  <c r="M537" i="33"/>
  <c r="C995" i="35"/>
  <c r="C989" i="35"/>
  <c r="M538" i="33"/>
  <c r="C996" i="35"/>
  <c r="M545" i="33"/>
  <c r="D69" i="27"/>
  <c r="D1256" i="35"/>
  <c r="AU241" i="35"/>
  <c r="D43" i="27"/>
  <c r="J43" i="27" s="1"/>
  <c r="AR241" i="35"/>
  <c r="AX229" i="35"/>
  <c r="C976" i="35"/>
  <c r="M525" i="33"/>
  <c r="AZ241" i="35"/>
  <c r="AG240" i="35"/>
  <c r="AV229" i="35"/>
  <c r="AN241" i="35"/>
  <c r="AW241" i="35"/>
  <c r="AU229" i="35"/>
  <c r="AT241" i="35"/>
  <c r="AS229" i="35"/>
  <c r="AT229" i="35"/>
  <c r="AZ229" i="35"/>
  <c r="AR229" i="35"/>
  <c r="AY241" i="35"/>
  <c r="AX241" i="35"/>
  <c r="AQ229" i="35"/>
  <c r="AV241" i="35"/>
  <c r="AO241" i="35"/>
  <c r="AO229" i="35"/>
  <c r="AQ241" i="35"/>
  <c r="AS241" i="35"/>
  <c r="AW229" i="35"/>
  <c r="AN229" i="35"/>
  <c r="AY229" i="35"/>
  <c r="M447" i="35"/>
  <c r="C1020" i="35"/>
  <c r="M569" i="33"/>
  <c r="L538" i="33"/>
  <c r="N345" i="33"/>
  <c r="O345" i="33" s="1"/>
  <c r="E753" i="33" s="1"/>
  <c r="N326" i="33"/>
  <c r="O326" i="33" s="1"/>
  <c r="E734" i="33" s="1"/>
  <c r="N362" i="33"/>
  <c r="O362" i="33" s="1"/>
  <c r="E770" i="33" s="1"/>
  <c r="N338" i="33"/>
  <c r="O338" i="33" s="1"/>
  <c r="E746" i="33" s="1"/>
  <c r="I585" i="33"/>
  <c r="L544" i="33"/>
  <c r="K36" i="38"/>
  <c r="N337" i="33"/>
  <c r="O337" i="33" s="1"/>
  <c r="I36" i="38"/>
  <c r="D33" i="27"/>
  <c r="K33" i="27" s="1"/>
  <c r="J38" i="27"/>
  <c r="E1246" i="35"/>
  <c r="D88" i="27"/>
  <c r="K88" i="27" s="1"/>
  <c r="J591" i="33"/>
  <c r="E657" i="33" s="1"/>
  <c r="AJ54" i="38"/>
  <c r="N343" i="33"/>
  <c r="O343" i="33" s="1"/>
  <c r="D1301" i="35"/>
  <c r="E1301" i="35"/>
  <c r="J188" i="27"/>
  <c r="J202" i="27"/>
  <c r="D593" i="33"/>
  <c r="E1250" i="35"/>
  <c r="N382" i="35"/>
  <c r="L350" i="35"/>
  <c r="AU213" i="35"/>
  <c r="AF240" i="35"/>
  <c r="AO213" i="35"/>
  <c r="AS213" i="35"/>
  <c r="AM240" i="35"/>
  <c r="AV213" i="35"/>
  <c r="AT213" i="35"/>
  <c r="D1250" i="35"/>
  <c r="AR213" i="35"/>
  <c r="D37" i="27"/>
  <c r="J37" i="27" s="1"/>
  <c r="AZ213" i="35"/>
  <c r="AN213" i="35"/>
  <c r="AX213" i="35"/>
  <c r="AY213" i="35"/>
  <c r="AW213" i="35"/>
  <c r="AQ213" i="35"/>
  <c r="AH240" i="35"/>
  <c r="AE240" i="35"/>
  <c r="E1294" i="35"/>
  <c r="AL240" i="35"/>
  <c r="AI240" i="35"/>
  <c r="D1294" i="35"/>
  <c r="D474" i="35"/>
  <c r="AD240" i="35"/>
  <c r="E1288" i="35"/>
  <c r="D1288" i="35"/>
  <c r="L398" i="35"/>
  <c r="D75" i="27"/>
  <c r="K75" i="27" s="1"/>
  <c r="AK251" i="35"/>
  <c r="AK228" i="35"/>
  <c r="AK222" i="35"/>
  <c r="AK246" i="35"/>
  <c r="AK244" i="35"/>
  <c r="J610" i="33"/>
  <c r="E676" i="33" s="1"/>
  <c r="AK230" i="35"/>
  <c r="AK249" i="35"/>
  <c r="N339" i="33"/>
  <c r="O339" i="33" s="1"/>
  <c r="E747" i="33" s="1"/>
  <c r="AK231" i="35"/>
  <c r="AK239" i="35"/>
  <c r="AK237" i="35"/>
  <c r="AK250" i="35"/>
  <c r="D35" i="27"/>
  <c r="J35" i="27" s="1"/>
  <c r="AO221" i="35"/>
  <c r="AH239" i="35"/>
  <c r="E1248" i="35"/>
  <c r="C60" i="38"/>
  <c r="I621" i="33"/>
  <c r="L519" i="33"/>
  <c r="J356" i="33"/>
  <c r="F356" i="33"/>
  <c r="J638" i="33"/>
  <c r="E704" i="33" s="1"/>
  <c r="AG239" i="35"/>
  <c r="I623" i="33"/>
  <c r="G52" i="38"/>
  <c r="K52" i="38"/>
  <c r="I52" i="38"/>
  <c r="J354" i="33"/>
  <c r="F354" i="33"/>
  <c r="N371" i="33"/>
  <c r="O371" i="33" s="1"/>
  <c r="E779" i="33" s="1"/>
  <c r="G779" i="33" s="1"/>
  <c r="D1248" i="35"/>
  <c r="AI239" i="35"/>
  <c r="AF239" i="35"/>
  <c r="AD239" i="35"/>
  <c r="AE239" i="35"/>
  <c r="AL239" i="35"/>
  <c r="L537" i="33"/>
  <c r="AX221" i="35"/>
  <c r="AV221" i="35"/>
  <c r="G32" i="38"/>
  <c r="D63" i="27"/>
  <c r="K63" i="27" s="1"/>
  <c r="D1276" i="35"/>
  <c r="AL237" i="35"/>
  <c r="AY221" i="35"/>
  <c r="AT221" i="35"/>
  <c r="AH237" i="35"/>
  <c r="AU221" i="35"/>
  <c r="M1438" i="35"/>
  <c r="AC26" i="38"/>
  <c r="AD26" i="38" s="1"/>
  <c r="AF237" i="35"/>
  <c r="AG237" i="35"/>
  <c r="AW221" i="35"/>
  <c r="D67" i="27"/>
  <c r="D1280" i="35"/>
  <c r="E1280" i="35"/>
  <c r="D473" i="35"/>
  <c r="E473" i="35" s="1"/>
  <c r="AN221" i="35"/>
  <c r="H1055" i="35"/>
  <c r="M455" i="35"/>
  <c r="AS221" i="35"/>
  <c r="AD237" i="35"/>
  <c r="AM237" i="35"/>
  <c r="AR221" i="35"/>
  <c r="AQ221" i="35"/>
  <c r="D604" i="33"/>
  <c r="AM239" i="35"/>
  <c r="AZ221" i="35"/>
  <c r="L161" i="32"/>
  <c r="AP26" i="38"/>
  <c r="AQ26" i="38" s="1"/>
  <c r="AG201" i="35"/>
  <c r="AD201" i="35"/>
  <c r="D435" i="35"/>
  <c r="E435" i="35" s="1"/>
  <c r="AL201" i="35"/>
  <c r="AF201" i="35"/>
  <c r="AE201" i="35"/>
  <c r="AI201" i="35"/>
  <c r="AM201" i="35"/>
  <c r="AH201" i="35"/>
  <c r="L386" i="35"/>
  <c r="L380" i="35"/>
  <c r="AE237" i="35"/>
  <c r="D471" i="35"/>
  <c r="E471" i="35" s="1"/>
  <c r="L399" i="35"/>
  <c r="AF250" i="35"/>
  <c r="AE250" i="35"/>
  <c r="AI231" i="35"/>
  <c r="AG231" i="35"/>
  <c r="AM250" i="35"/>
  <c r="AD231" i="35"/>
  <c r="AI250" i="35"/>
  <c r="AM231" i="35"/>
  <c r="AH231" i="35"/>
  <c r="AG250" i="35"/>
  <c r="AE231" i="35"/>
  <c r="D82" i="27"/>
  <c r="K82" i="27" s="1"/>
  <c r="E1295" i="35"/>
  <c r="L400" i="35"/>
  <c r="D465" i="35"/>
  <c r="E465" i="35" s="1"/>
  <c r="D1295" i="35"/>
  <c r="L393" i="35"/>
  <c r="AF231" i="35"/>
  <c r="D484" i="35"/>
  <c r="AD251" i="35"/>
  <c r="AM251" i="35"/>
  <c r="AI251" i="35"/>
  <c r="AG251" i="35"/>
  <c r="AF251" i="35"/>
  <c r="D485" i="35"/>
  <c r="E485" i="35" s="1"/>
  <c r="AE251" i="35"/>
  <c r="AL251" i="35"/>
  <c r="AH251" i="35"/>
  <c r="AH250" i="35"/>
  <c r="AL250" i="35"/>
  <c r="AH249" i="35"/>
  <c r="AI249" i="35"/>
  <c r="AE249" i="35"/>
  <c r="D483" i="35"/>
  <c r="AM249" i="35"/>
  <c r="AG249" i="35"/>
  <c r="AL249" i="35"/>
  <c r="AD249" i="35"/>
  <c r="AF249" i="35"/>
  <c r="E1267" i="35"/>
  <c r="AZ205" i="35"/>
  <c r="AY205" i="35"/>
  <c r="AW205" i="35"/>
  <c r="AV205" i="35"/>
  <c r="AN205" i="35"/>
  <c r="AX205" i="35"/>
  <c r="AS205" i="35"/>
  <c r="AQ205" i="35"/>
  <c r="AR205" i="35"/>
  <c r="AO205" i="35"/>
  <c r="AU205" i="35"/>
  <c r="AT205" i="35"/>
  <c r="H1039" i="35"/>
  <c r="M439" i="35"/>
  <c r="H1041" i="35"/>
  <c r="M441" i="35"/>
  <c r="AT207" i="35"/>
  <c r="AO207" i="35"/>
  <c r="AU207" i="35"/>
  <c r="AQ207" i="35"/>
  <c r="AS207" i="35"/>
  <c r="AR207" i="35"/>
  <c r="AX207" i="35"/>
  <c r="AY207" i="35"/>
  <c r="AN207" i="35"/>
  <c r="AV207" i="35"/>
  <c r="AW207" i="35"/>
  <c r="AZ207" i="35"/>
  <c r="D54" i="27"/>
  <c r="J54" i="27" s="1"/>
  <c r="D73" i="27"/>
  <c r="K73" i="27" s="1"/>
  <c r="C65" i="38"/>
  <c r="J1048" i="35"/>
  <c r="I392" i="33"/>
  <c r="M1361" i="35"/>
  <c r="N1361" i="35" s="1"/>
  <c r="L1427" i="35" s="1"/>
  <c r="D32" i="27"/>
  <c r="K32" i="27" s="1"/>
  <c r="AY261" i="35"/>
  <c r="AV261" i="35"/>
  <c r="AZ261" i="35"/>
  <c r="AQ261" i="35"/>
  <c r="AN261" i="35"/>
  <c r="AR247" i="35"/>
  <c r="AU247" i="35"/>
  <c r="AV247" i="35"/>
  <c r="AN247" i="35"/>
  <c r="AO247" i="35"/>
  <c r="AZ247" i="35"/>
  <c r="AW247" i="35"/>
  <c r="AT261" i="35"/>
  <c r="AR261" i="35"/>
  <c r="AS261" i="35"/>
  <c r="AO261" i="35"/>
  <c r="AX261" i="35"/>
  <c r="AW261" i="35"/>
  <c r="AQ247" i="35"/>
  <c r="AU261" i="35"/>
  <c r="AY247" i="35"/>
  <c r="AX247" i="35"/>
  <c r="N247" i="35" s="1"/>
  <c r="AS247" i="35"/>
  <c r="AT247" i="35"/>
  <c r="AV226" i="35"/>
  <c r="C39" i="38"/>
  <c r="K39" i="38" s="1"/>
  <c r="AR219" i="35"/>
  <c r="AQ219" i="35"/>
  <c r="AO219" i="35"/>
  <c r="AT219" i="35"/>
  <c r="AS219" i="35"/>
  <c r="AU219" i="35"/>
  <c r="M453" i="35"/>
  <c r="H1053" i="35"/>
  <c r="N219" i="35"/>
  <c r="AZ219" i="35"/>
  <c r="AW219" i="35"/>
  <c r="AV219" i="35"/>
  <c r="AN219" i="35"/>
  <c r="AX219" i="35"/>
  <c r="AY219" i="35"/>
  <c r="M1377" i="35"/>
  <c r="N1377" i="35" s="1"/>
  <c r="L1443" i="35" s="1"/>
  <c r="I408" i="33"/>
  <c r="D609" i="33"/>
  <c r="H1060" i="35"/>
  <c r="M460" i="35"/>
  <c r="AY226" i="35"/>
  <c r="AX226" i="35"/>
  <c r="AO226" i="35"/>
  <c r="AW226" i="35"/>
  <c r="AR226" i="35"/>
  <c r="AZ226" i="35"/>
  <c r="AU226" i="35"/>
  <c r="AN226" i="35"/>
  <c r="AQ226" i="35"/>
  <c r="AS226" i="35"/>
  <c r="AT226" i="35"/>
  <c r="E1286" i="35"/>
  <c r="AR253" i="35"/>
  <c r="D1245" i="35"/>
  <c r="D587" i="33"/>
  <c r="AV204" i="35"/>
  <c r="AY204" i="35"/>
  <c r="AZ204" i="35"/>
  <c r="AW204" i="35"/>
  <c r="AN204" i="35"/>
  <c r="AX204" i="35"/>
  <c r="AG244" i="35"/>
  <c r="AE244" i="35"/>
  <c r="D478" i="35"/>
  <c r="E478" i="35" s="1"/>
  <c r="AF244" i="35"/>
  <c r="AI244" i="35"/>
  <c r="AL244" i="35"/>
  <c r="AM244" i="35"/>
  <c r="AH244" i="35"/>
  <c r="AD244" i="35"/>
  <c r="L520" i="33"/>
  <c r="AO204" i="35"/>
  <c r="AU204" i="35"/>
  <c r="AS204" i="35"/>
  <c r="AT204" i="35"/>
  <c r="AQ204" i="35"/>
  <c r="AR204" i="35"/>
  <c r="H1038" i="35"/>
  <c r="M438" i="35"/>
  <c r="AX253" i="35"/>
  <c r="AW253" i="35"/>
  <c r="AS253" i="35"/>
  <c r="K86" i="27"/>
  <c r="M487" i="35"/>
  <c r="H1087" i="35"/>
  <c r="AN253" i="35"/>
  <c r="AT253" i="35"/>
  <c r="AY253" i="35"/>
  <c r="AO253" i="35"/>
  <c r="AU253" i="35"/>
  <c r="AV253" i="35"/>
  <c r="AQ253" i="35"/>
  <c r="AZ253" i="35"/>
  <c r="K32" i="38"/>
  <c r="AO238" i="35"/>
  <c r="AQ209" i="35"/>
  <c r="N215" i="35"/>
  <c r="AO209" i="35"/>
  <c r="AR238" i="35"/>
  <c r="AX215" i="35"/>
  <c r="M1364" i="35"/>
  <c r="N1364" i="35" s="1"/>
  <c r="L1430" i="35" s="1"/>
  <c r="D640" i="33"/>
  <c r="AV238" i="35"/>
  <c r="AT238" i="35"/>
  <c r="I395" i="33"/>
  <c r="AS245" i="35"/>
  <c r="D592" i="33"/>
  <c r="AW215" i="35"/>
  <c r="AV209" i="35"/>
  <c r="AN209" i="35"/>
  <c r="AV245" i="35"/>
  <c r="AO245" i="35"/>
  <c r="AT245" i="35"/>
  <c r="AY211" i="35"/>
  <c r="AX238" i="35"/>
  <c r="N238" i="35" s="1"/>
  <c r="AZ238" i="35"/>
  <c r="AU215" i="35"/>
  <c r="AZ211" i="35"/>
  <c r="AT209" i="35"/>
  <c r="AN245" i="35"/>
  <c r="AU211" i="35"/>
  <c r="AQ238" i="35"/>
  <c r="AW238" i="35"/>
  <c r="AN238" i="35"/>
  <c r="AY238" i="35"/>
  <c r="I66" i="38"/>
  <c r="L517" i="33"/>
  <c r="AX209" i="35"/>
  <c r="L525" i="33"/>
  <c r="N209" i="35"/>
  <c r="AZ245" i="35"/>
  <c r="AS209" i="35"/>
  <c r="I383" i="33"/>
  <c r="AU209" i="35"/>
  <c r="AR209" i="35"/>
  <c r="AW209" i="35"/>
  <c r="AY209" i="35"/>
  <c r="AS238" i="35"/>
  <c r="AU238" i="35"/>
  <c r="I391" i="33"/>
  <c r="AZ209" i="35"/>
  <c r="AW245" i="35"/>
  <c r="AU245" i="35"/>
  <c r="AR245" i="35"/>
  <c r="AY245" i="35"/>
  <c r="AQ245" i="35"/>
  <c r="AX245" i="35"/>
  <c r="N245" i="35" s="1"/>
  <c r="M443" i="35"/>
  <c r="H1043" i="35"/>
  <c r="AO211" i="35"/>
  <c r="L561" i="33"/>
  <c r="I402" i="33"/>
  <c r="L402" i="33" s="1"/>
  <c r="AP34" i="38"/>
  <c r="AQ34" i="38" s="1"/>
  <c r="L169" i="32"/>
  <c r="G23" i="38"/>
  <c r="K23" i="38"/>
  <c r="I23" i="38"/>
  <c r="D636" i="33"/>
  <c r="G66" i="38"/>
  <c r="C64" i="38"/>
  <c r="I393" i="33"/>
  <c r="H1088" i="35"/>
  <c r="M488" i="35"/>
  <c r="D89" i="27"/>
  <c r="D1302" i="35"/>
  <c r="E1302" i="35"/>
  <c r="I411" i="33"/>
  <c r="D598" i="33"/>
  <c r="AT215" i="35"/>
  <c r="AS215" i="35"/>
  <c r="AN215" i="35"/>
  <c r="AY215" i="35"/>
  <c r="AQ211" i="35"/>
  <c r="AN211" i="35"/>
  <c r="AS257" i="35"/>
  <c r="AR257" i="35"/>
  <c r="AQ257" i="35"/>
  <c r="AO257" i="35"/>
  <c r="AT257" i="35"/>
  <c r="AU257" i="35"/>
  <c r="D628" i="33"/>
  <c r="AU254" i="35"/>
  <c r="AS254" i="35"/>
  <c r="AT254" i="35"/>
  <c r="AR254" i="35"/>
  <c r="AQ254" i="35"/>
  <c r="AO254" i="35"/>
  <c r="M1392" i="35"/>
  <c r="N1392" i="35" s="1"/>
  <c r="L1458" i="35" s="1"/>
  <c r="M445" i="35"/>
  <c r="H1045" i="35"/>
  <c r="L545" i="33"/>
  <c r="AS211" i="35"/>
  <c r="AX211" i="35"/>
  <c r="C30" i="38"/>
  <c r="D594" i="33"/>
  <c r="L573" i="33"/>
  <c r="C40" i="38"/>
  <c r="C24" i="38"/>
  <c r="D612" i="33"/>
  <c r="L575" i="33"/>
  <c r="H1049" i="35"/>
  <c r="M449" i="35"/>
  <c r="M1462" i="35"/>
  <c r="AC50" i="38"/>
  <c r="AD50" i="38" s="1"/>
  <c r="AZ215" i="35"/>
  <c r="AQ215" i="35"/>
  <c r="AO215" i="35"/>
  <c r="AV211" i="35"/>
  <c r="AW211" i="35"/>
  <c r="AT211" i="35"/>
  <c r="H1091" i="35"/>
  <c r="M491" i="35"/>
  <c r="AJ34" i="38"/>
  <c r="C50" i="38"/>
  <c r="I397" i="33"/>
  <c r="I423" i="33"/>
  <c r="AV254" i="35"/>
  <c r="AN254" i="35"/>
  <c r="AX254" i="35"/>
  <c r="AW254" i="35"/>
  <c r="AY254" i="35"/>
  <c r="AZ254" i="35"/>
  <c r="L569" i="33"/>
  <c r="C62" i="38"/>
  <c r="L527" i="33"/>
  <c r="C59" i="38"/>
  <c r="L535" i="33"/>
  <c r="D642" i="33"/>
  <c r="L185" i="32"/>
  <c r="AP50" i="38"/>
  <c r="AQ50" i="38" s="1"/>
  <c r="L531" i="33"/>
  <c r="AV215" i="35"/>
  <c r="AR215" i="35"/>
  <c r="AR211" i="35"/>
  <c r="AW257" i="35"/>
  <c r="AV257" i="35"/>
  <c r="AX257" i="35"/>
  <c r="AZ257" i="35"/>
  <c r="AN257" i="35"/>
  <c r="AY257" i="35"/>
  <c r="L570" i="33"/>
  <c r="L577" i="33"/>
  <c r="AE248" i="35"/>
  <c r="AF248" i="35"/>
  <c r="AD248" i="35"/>
  <c r="AG248" i="35"/>
  <c r="L564" i="33"/>
  <c r="D482" i="35"/>
  <c r="M1399" i="35"/>
  <c r="N1399" i="35" s="1"/>
  <c r="L1465" i="35" s="1"/>
  <c r="AI248" i="35"/>
  <c r="AH248" i="35"/>
  <c r="D631" i="33"/>
  <c r="AM248" i="35"/>
  <c r="AL248" i="35"/>
  <c r="G56" i="38"/>
  <c r="C25" i="38"/>
  <c r="I25" i="38" s="1"/>
  <c r="G10" i="38"/>
  <c r="I10" i="38"/>
  <c r="K56" i="38"/>
  <c r="AX242" i="35"/>
  <c r="AY236" i="35"/>
  <c r="L379" i="35"/>
  <c r="AZ212" i="35"/>
  <c r="AX232" i="35"/>
  <c r="AY212" i="35"/>
  <c r="AY232" i="35"/>
  <c r="AS212" i="35"/>
  <c r="AW232" i="35"/>
  <c r="N232" i="35" s="1"/>
  <c r="AY242" i="35"/>
  <c r="AX236" i="35"/>
  <c r="N236" i="35" s="1"/>
  <c r="L395" i="35"/>
  <c r="AV242" i="35"/>
  <c r="AX212" i="35"/>
  <c r="AZ232" i="35"/>
  <c r="AT242" i="35"/>
  <c r="AT232" i="35"/>
  <c r="AQ236" i="35"/>
  <c r="AZ242" i="35"/>
  <c r="AZ236" i="35"/>
  <c r="AW212" i="35"/>
  <c r="AU212" i="35"/>
  <c r="AR212" i="35"/>
  <c r="AN242" i="35"/>
  <c r="AQ242" i="35"/>
  <c r="AS242" i="35"/>
  <c r="AW236" i="35"/>
  <c r="AR236" i="35"/>
  <c r="AS236" i="35"/>
  <c r="AO232" i="35"/>
  <c r="AS232" i="35"/>
  <c r="AO212" i="35"/>
  <c r="AT212" i="35"/>
  <c r="AU242" i="35"/>
  <c r="AO236" i="35"/>
  <c r="AU236" i="35"/>
  <c r="AQ232" i="35"/>
  <c r="AV212" i="35"/>
  <c r="AQ212" i="35"/>
  <c r="AO242" i="35"/>
  <c r="AR242" i="35"/>
  <c r="AV236" i="35"/>
  <c r="AT236" i="35"/>
  <c r="AN232" i="35"/>
  <c r="AV232" i="35"/>
  <c r="AU232" i="35"/>
  <c r="AN212" i="35"/>
  <c r="AW242" i="35"/>
  <c r="AN236" i="35"/>
  <c r="AR232" i="35"/>
  <c r="AL228" i="35"/>
  <c r="AG228" i="35"/>
  <c r="AD228" i="35"/>
  <c r="AE228" i="35"/>
  <c r="AH228" i="35"/>
  <c r="AM228" i="35"/>
  <c r="AI228" i="35"/>
  <c r="AF228" i="35"/>
  <c r="AM222" i="35"/>
  <c r="AF222" i="35"/>
  <c r="AH222" i="35"/>
  <c r="AD222" i="35"/>
  <c r="AI222" i="35"/>
  <c r="AG222" i="35"/>
  <c r="AL222" i="35"/>
  <c r="AE222" i="35"/>
  <c r="AM246" i="35"/>
  <c r="AF246" i="35"/>
  <c r="AE246" i="35"/>
  <c r="AD246" i="35"/>
  <c r="AI246" i="35"/>
  <c r="AL246" i="35"/>
  <c r="AH246" i="35"/>
  <c r="AG246" i="35"/>
  <c r="AM230" i="35"/>
  <c r="AF230" i="35"/>
  <c r="AE230" i="35"/>
  <c r="AD230" i="35"/>
  <c r="AI230" i="35"/>
  <c r="AL230" i="35"/>
  <c r="AH230" i="35"/>
  <c r="AG230" i="35"/>
  <c r="D613" i="33"/>
  <c r="D464" i="35"/>
  <c r="L562" i="33"/>
  <c r="M1397" i="35"/>
  <c r="N1397" i="35" s="1"/>
  <c r="L1463" i="35" s="1"/>
  <c r="L170" i="32"/>
  <c r="AP35" i="38"/>
  <c r="AQ35" i="38" s="1"/>
  <c r="L546" i="33"/>
  <c r="D480" i="35"/>
  <c r="E480" i="35" s="1"/>
  <c r="M1447" i="35"/>
  <c r="AC35" i="38"/>
  <c r="AD35" i="38" s="1"/>
  <c r="I428" i="33"/>
  <c r="K48" i="38"/>
  <c r="G48" i="38"/>
  <c r="C7" i="38"/>
  <c r="G7" i="38" s="1"/>
  <c r="C61" i="38"/>
  <c r="I61" i="38" s="1"/>
  <c r="J605" i="33"/>
  <c r="E671" i="33" s="1"/>
  <c r="X30" i="38"/>
  <c r="X10" i="38"/>
  <c r="X25" i="38"/>
  <c r="X62" i="38"/>
  <c r="X61" i="38"/>
  <c r="E1062" i="35"/>
  <c r="E1056" i="35"/>
  <c r="J240" i="27"/>
  <c r="K11" i="38"/>
  <c r="G11" i="38"/>
  <c r="C47" i="38"/>
  <c r="K47" i="38" s="1"/>
  <c r="J48" i="27"/>
  <c r="AC19" i="38"/>
  <c r="AD19" i="38" s="1"/>
  <c r="L167" i="32"/>
  <c r="AP32" i="38"/>
  <c r="AQ32" i="38" s="1"/>
  <c r="AC33" i="38"/>
  <c r="AD33" i="38" s="1"/>
  <c r="AC27" i="38"/>
  <c r="AD27" i="38" s="1"/>
  <c r="AC6" i="38"/>
  <c r="AD6" i="38" s="1"/>
  <c r="L180" i="32"/>
  <c r="AP45" i="38"/>
  <c r="AQ45" i="38" s="1"/>
  <c r="L156" i="32"/>
  <c r="AP21" i="38"/>
  <c r="AQ21" i="38" s="1"/>
  <c r="L146" i="32"/>
  <c r="AP11" i="38"/>
  <c r="AQ11" i="38" s="1"/>
  <c r="AP16" i="38"/>
  <c r="AQ16" i="38" s="1"/>
  <c r="L193" i="32"/>
  <c r="AP58" i="38"/>
  <c r="AQ58" i="38" s="1"/>
  <c r="L155" i="32"/>
  <c r="AP20" i="38"/>
  <c r="AQ20" i="38" s="1"/>
  <c r="AC45" i="38"/>
  <c r="AD45" i="38" s="1"/>
  <c r="AC21" i="38"/>
  <c r="AD21" i="38" s="1"/>
  <c r="AC11" i="38"/>
  <c r="AD11" i="38" s="1"/>
  <c r="AC16" i="38"/>
  <c r="AD16" i="38" s="1"/>
  <c r="AC58" i="38"/>
  <c r="AD58" i="38" s="1"/>
  <c r="L154" i="32"/>
  <c r="AP19" i="38"/>
  <c r="AQ19" i="38" s="1"/>
  <c r="AC32" i="38"/>
  <c r="AD32" i="38" s="1"/>
  <c r="L168" i="32"/>
  <c r="AP33" i="38"/>
  <c r="AQ33" i="38" s="1"/>
  <c r="L162" i="32"/>
  <c r="AP27" i="38"/>
  <c r="AQ27" i="38" s="1"/>
  <c r="L141" i="32"/>
  <c r="AP6" i="38"/>
  <c r="AQ6" i="38" s="1"/>
  <c r="D45" i="27"/>
  <c r="J45" i="27" s="1"/>
  <c r="K940" i="35"/>
  <c r="L940" i="35" s="1"/>
  <c r="D1258" i="35"/>
  <c r="E1258" i="35"/>
  <c r="L389" i="35"/>
  <c r="K934" i="35"/>
  <c r="L934" i="35" s="1"/>
  <c r="M1351" i="35"/>
  <c r="N1351" i="35" s="1"/>
  <c r="M1355" i="35"/>
  <c r="N1355" i="35" s="1"/>
  <c r="L1421" i="35" s="1"/>
  <c r="M1421" i="35" s="1"/>
  <c r="M1393" i="35"/>
  <c r="N1393" i="35" s="1"/>
  <c r="L1459" i="35" s="1"/>
  <c r="M1459" i="35" s="1"/>
  <c r="M1368" i="35"/>
  <c r="N1368" i="35" s="1"/>
  <c r="L1434" i="35" s="1"/>
  <c r="M1434" i="35" s="1"/>
  <c r="M1354" i="35"/>
  <c r="N1354" i="35" s="1"/>
  <c r="L1420" i="35" s="1"/>
  <c r="M1420" i="35" s="1"/>
  <c r="M1363" i="35"/>
  <c r="N1363" i="35" s="1"/>
  <c r="L1429" i="35" s="1"/>
  <c r="M1429" i="35" s="1"/>
  <c r="AJ25" i="38"/>
  <c r="J545" i="35"/>
  <c r="J539" i="35"/>
  <c r="I394" i="33"/>
  <c r="L394" i="33" s="1"/>
  <c r="C37" i="38"/>
  <c r="G37" i="38" s="1"/>
  <c r="I42" i="38"/>
  <c r="K42" i="38"/>
  <c r="I57" i="38"/>
  <c r="G57" i="38"/>
  <c r="C41" i="38"/>
  <c r="K41" i="38" s="1"/>
  <c r="C45" i="38"/>
  <c r="G45" i="38" s="1"/>
  <c r="C22" i="38"/>
  <c r="K912" i="35"/>
  <c r="L912" i="35" s="1"/>
  <c r="C19" i="38"/>
  <c r="C8" i="38"/>
  <c r="C21" i="38"/>
  <c r="AJ38" i="38"/>
  <c r="J228" i="27"/>
  <c r="G54" i="38"/>
  <c r="I54" i="38"/>
  <c r="K54" i="38"/>
  <c r="K854" i="35"/>
  <c r="L854" i="35" s="1"/>
  <c r="L371" i="35"/>
  <c r="D456" i="35"/>
  <c r="E456" i="35" s="1"/>
  <c r="I1056" i="35"/>
  <c r="B250" i="27"/>
  <c r="D989" i="35"/>
  <c r="F922" i="35"/>
  <c r="G922" i="35"/>
  <c r="C13" i="38"/>
  <c r="M434" i="35"/>
  <c r="K860" i="35"/>
  <c r="L860" i="35" s="1"/>
  <c r="K936" i="35"/>
  <c r="L936" i="35" s="1"/>
  <c r="L377" i="35"/>
  <c r="H1076" i="35"/>
  <c r="M476" i="35"/>
  <c r="D1293" i="35"/>
  <c r="E1293" i="35"/>
  <c r="D80" i="27"/>
  <c r="K942" i="35"/>
  <c r="L942" i="35" s="1"/>
  <c r="I1062" i="35"/>
  <c r="D995" i="35"/>
  <c r="I260" i="27"/>
  <c r="J260" i="27" s="1"/>
  <c r="G928" i="35"/>
  <c r="F928" i="35"/>
  <c r="D42" i="27"/>
  <c r="D1255" i="35"/>
  <c r="E1255" i="35"/>
  <c r="E1284" i="35"/>
  <c r="D1284" i="35"/>
  <c r="D71" i="27"/>
  <c r="D30" i="27"/>
  <c r="D1243" i="35"/>
  <c r="E1243" i="35"/>
  <c r="D462" i="35"/>
  <c r="E462" i="35" s="1"/>
  <c r="K932" i="35"/>
  <c r="L932" i="35" s="1"/>
  <c r="J44" i="27"/>
  <c r="K44" i="27"/>
  <c r="K900" i="35"/>
  <c r="L900" i="35" s="1"/>
  <c r="B256" i="27"/>
  <c r="J55" i="27"/>
  <c r="K55" i="27"/>
  <c r="D1249" i="35"/>
  <c r="D36" i="27"/>
  <c r="E1249" i="35"/>
  <c r="J84" i="27"/>
  <c r="K84" i="27"/>
  <c r="K31" i="27"/>
  <c r="J31" i="27"/>
  <c r="E1265" i="35"/>
  <c r="D1265" i="35"/>
  <c r="D52" i="27"/>
  <c r="J53" i="27"/>
  <c r="K53" i="27"/>
  <c r="K34" i="27"/>
  <c r="J34" i="27"/>
  <c r="E1182" i="35" l="1"/>
  <c r="F1182" i="35"/>
  <c r="M1190" i="35"/>
  <c r="L1190" i="35"/>
  <c r="F1202" i="35"/>
  <c r="E1202" i="35"/>
  <c r="G1220" i="35"/>
  <c r="H1220" i="35"/>
  <c r="L1192" i="35"/>
  <c r="M1192" i="35"/>
  <c r="L1199" i="35"/>
  <c r="M1199" i="35"/>
  <c r="H1223" i="35"/>
  <c r="G1223" i="35"/>
  <c r="L1196" i="35"/>
  <c r="M1196" i="35"/>
  <c r="G1205" i="35"/>
  <c r="H1205" i="35"/>
  <c r="F1185" i="35"/>
  <c r="E1185" i="35"/>
  <c r="E1228" i="35"/>
  <c r="F1228" i="35"/>
  <c r="H1226" i="35"/>
  <c r="G1226" i="35"/>
  <c r="F1191" i="35"/>
  <c r="E1191" i="35"/>
  <c r="L1179" i="35"/>
  <c r="M1179" i="35"/>
  <c r="H1235" i="35"/>
  <c r="G1235" i="35"/>
  <c r="H1210" i="35"/>
  <c r="G1210" i="35"/>
  <c r="L1233" i="35"/>
  <c r="M1233" i="35"/>
  <c r="H1222" i="35"/>
  <c r="G1222" i="35"/>
  <c r="M1182" i="35"/>
  <c r="L1182" i="35"/>
  <c r="G1204" i="35"/>
  <c r="H1204" i="35"/>
  <c r="F1186" i="35"/>
  <c r="E1186" i="35"/>
  <c r="M1202" i="35"/>
  <c r="L1202" i="35"/>
  <c r="H1224" i="35"/>
  <c r="G1224" i="35"/>
  <c r="F1194" i="35"/>
  <c r="E1194" i="35"/>
  <c r="E1192" i="35"/>
  <c r="F1192" i="35"/>
  <c r="G1227" i="35"/>
  <c r="H1227" i="35"/>
  <c r="L1188" i="35"/>
  <c r="M1188" i="35"/>
  <c r="F1196" i="35"/>
  <c r="E1196" i="35"/>
  <c r="E1189" i="35"/>
  <c r="F1189" i="35"/>
  <c r="M1185" i="35"/>
  <c r="L1185" i="35"/>
  <c r="G1221" i="35"/>
  <c r="H1221" i="35"/>
  <c r="E1198" i="35"/>
  <c r="F1198" i="35"/>
  <c r="L1191" i="35"/>
  <c r="M1191" i="35"/>
  <c r="G1219" i="35"/>
  <c r="H1219" i="35"/>
  <c r="L1184" i="35"/>
  <c r="M1184" i="35"/>
  <c r="L1186" i="35"/>
  <c r="M1186" i="35"/>
  <c r="E1201" i="35"/>
  <c r="F1201" i="35"/>
  <c r="L1194" i="35"/>
  <c r="M1194" i="35"/>
  <c r="G1213" i="35"/>
  <c r="H1213" i="35"/>
  <c r="G1225" i="35"/>
  <c r="H1225" i="35"/>
  <c r="F1188" i="35"/>
  <c r="E1188" i="35"/>
  <c r="H1176" i="35"/>
  <c r="G1176" i="35"/>
  <c r="F1181" i="35"/>
  <c r="E1181" i="35"/>
  <c r="M1189" i="35"/>
  <c r="L1189" i="35"/>
  <c r="M1198" i="35"/>
  <c r="L1198" i="35"/>
  <c r="E1183" i="35"/>
  <c r="F1183" i="35"/>
  <c r="F1178" i="35"/>
  <c r="E1178" i="35"/>
  <c r="H1214" i="35"/>
  <c r="G1214" i="35"/>
  <c r="F1179" i="35"/>
  <c r="E1179" i="35"/>
  <c r="H1208" i="35"/>
  <c r="G1208" i="35"/>
  <c r="H1206" i="35"/>
  <c r="G1206" i="35"/>
  <c r="E1190" i="35"/>
  <c r="F1190" i="35"/>
  <c r="E1184" i="35"/>
  <c r="F1184" i="35"/>
  <c r="H1234" i="35"/>
  <c r="G1234" i="35"/>
  <c r="G1177" i="35"/>
  <c r="H1177" i="35"/>
  <c r="H1218" i="35"/>
  <c r="G1218" i="35"/>
  <c r="M1201" i="35"/>
  <c r="L1201" i="35"/>
  <c r="H1216" i="35"/>
  <c r="G1216" i="35"/>
  <c r="E1199" i="35"/>
  <c r="F1199" i="35"/>
  <c r="L1181" i="35"/>
  <c r="M1181" i="35"/>
  <c r="M1228" i="35"/>
  <c r="L1228" i="35"/>
  <c r="M1229" i="35"/>
  <c r="L1229" i="35"/>
  <c r="G1212" i="35"/>
  <c r="H1212" i="35"/>
  <c r="L1183" i="35"/>
  <c r="M1183" i="35"/>
  <c r="C1266" i="35"/>
  <c r="AA30" i="38" s="1"/>
  <c r="C1261" i="35"/>
  <c r="AA25" i="38" s="1"/>
  <c r="N319" i="33"/>
  <c r="O319" i="33" s="1"/>
  <c r="D644" i="33"/>
  <c r="N359" i="33"/>
  <c r="O359" i="33" s="1"/>
  <c r="E767" i="33" s="1"/>
  <c r="K910" i="33"/>
  <c r="M11" i="38" s="1"/>
  <c r="M736" i="33"/>
  <c r="H802" i="33"/>
  <c r="I697" i="33"/>
  <c r="J697" i="33" s="1"/>
  <c r="M763" i="33"/>
  <c r="H829" i="33"/>
  <c r="I679" i="33"/>
  <c r="J679" i="33" s="1"/>
  <c r="M737" i="33"/>
  <c r="H803" i="33"/>
  <c r="M776" i="33"/>
  <c r="H842" i="33"/>
  <c r="M761" i="33"/>
  <c r="O761" i="33" s="1"/>
  <c r="H827" i="33"/>
  <c r="M738" i="33"/>
  <c r="H804" i="33"/>
  <c r="M57" i="38"/>
  <c r="M765" i="33"/>
  <c r="H831" i="33"/>
  <c r="M728" i="33"/>
  <c r="H794" i="33"/>
  <c r="M758" i="33"/>
  <c r="H824" i="33"/>
  <c r="M742" i="33"/>
  <c r="H808" i="33"/>
  <c r="M759" i="33"/>
  <c r="N759" i="33" s="1"/>
  <c r="H825" i="33"/>
  <c r="M749" i="33"/>
  <c r="H815" i="33"/>
  <c r="M730" i="33"/>
  <c r="H796" i="33"/>
  <c r="M750" i="33"/>
  <c r="H816" i="33"/>
  <c r="M739" i="33"/>
  <c r="H805" i="33"/>
  <c r="M748" i="33"/>
  <c r="H814" i="33"/>
  <c r="M732" i="33"/>
  <c r="H798" i="33"/>
  <c r="M756" i="33"/>
  <c r="H822" i="33"/>
  <c r="M744" i="33"/>
  <c r="H810" i="33"/>
  <c r="D619" i="33"/>
  <c r="F1003" i="35" s="1"/>
  <c r="L532" i="33"/>
  <c r="M406" i="33"/>
  <c r="D673" i="33" s="1"/>
  <c r="F673" i="33" s="1"/>
  <c r="K425" i="33"/>
  <c r="D629" i="33"/>
  <c r="H48" i="38"/>
  <c r="K947" i="33"/>
  <c r="M48" i="38" s="1"/>
  <c r="G738" i="33"/>
  <c r="L48" i="38"/>
  <c r="L425" i="33"/>
  <c r="M562" i="33"/>
  <c r="I658" i="33"/>
  <c r="J658" i="33" s="1"/>
  <c r="K658" i="33" s="1"/>
  <c r="G425" i="33"/>
  <c r="E729" i="33"/>
  <c r="G729" i="33" s="1"/>
  <c r="G724" i="33"/>
  <c r="G749" i="33"/>
  <c r="G769" i="33"/>
  <c r="L769" i="33"/>
  <c r="G758" i="33"/>
  <c r="L758" i="33"/>
  <c r="I840" i="33"/>
  <c r="J840" i="33"/>
  <c r="D734" i="33"/>
  <c r="H734" i="33"/>
  <c r="G770" i="33"/>
  <c r="D750" i="33"/>
  <c r="H750" i="33"/>
  <c r="J835" i="33"/>
  <c r="I835" i="33"/>
  <c r="H728" i="33"/>
  <c r="D728" i="33"/>
  <c r="G763" i="33"/>
  <c r="H737" i="33"/>
  <c r="D737" i="33"/>
  <c r="H739" i="33"/>
  <c r="D739" i="33"/>
  <c r="G736" i="33"/>
  <c r="D751" i="33"/>
  <c r="H751" i="33"/>
  <c r="G767" i="33"/>
  <c r="I850" i="33"/>
  <c r="J850" i="33"/>
  <c r="J842" i="33"/>
  <c r="I842" i="33"/>
  <c r="J829" i="33"/>
  <c r="I829" i="33"/>
  <c r="G772" i="33"/>
  <c r="O776" i="33"/>
  <c r="N776" i="33"/>
  <c r="G773" i="33"/>
  <c r="G754" i="33"/>
  <c r="H777" i="33"/>
  <c r="D777" i="33"/>
  <c r="G775" i="33"/>
  <c r="D586" i="33"/>
  <c r="D752" i="33"/>
  <c r="H752" i="33"/>
  <c r="H732" i="33"/>
  <c r="D732" i="33"/>
  <c r="G732" i="33" s="1"/>
  <c r="N765" i="33"/>
  <c r="O765" i="33"/>
  <c r="I833" i="33"/>
  <c r="J833" i="33"/>
  <c r="J828" i="33"/>
  <c r="I828" i="33"/>
  <c r="N763" i="33"/>
  <c r="O763" i="33"/>
  <c r="D745" i="33"/>
  <c r="H745" i="33"/>
  <c r="L783" i="33"/>
  <c r="G783" i="33"/>
  <c r="N756" i="33"/>
  <c r="O756" i="33"/>
  <c r="G753" i="33"/>
  <c r="G765" i="33"/>
  <c r="I660" i="33"/>
  <c r="J660" i="33" s="1"/>
  <c r="K660" i="33" s="1"/>
  <c r="I677" i="33"/>
  <c r="J677" i="33" s="1"/>
  <c r="K677" i="33" s="1"/>
  <c r="M407" i="33"/>
  <c r="D674" i="33" s="1"/>
  <c r="F674" i="33" s="1"/>
  <c r="I692" i="33"/>
  <c r="J692" i="33" s="1"/>
  <c r="D637" i="33"/>
  <c r="C1001" i="35"/>
  <c r="M550" i="33"/>
  <c r="E742" i="33"/>
  <c r="G742" i="33" s="1"/>
  <c r="L23" i="38"/>
  <c r="L400" i="33"/>
  <c r="H23" i="38"/>
  <c r="G400" i="33"/>
  <c r="K922" i="33"/>
  <c r="K400" i="33"/>
  <c r="D599" i="33"/>
  <c r="F983" i="35" s="1"/>
  <c r="J682" i="33"/>
  <c r="K682" i="33"/>
  <c r="I676" i="33"/>
  <c r="J676" i="33" s="1"/>
  <c r="K676" i="33" s="1"/>
  <c r="K650" i="33"/>
  <c r="K697" i="33"/>
  <c r="C639" i="33"/>
  <c r="J592" i="33"/>
  <c r="E658" i="33" s="1"/>
  <c r="C602" i="33"/>
  <c r="C585" i="33"/>
  <c r="M384" i="33"/>
  <c r="D651" i="33" s="1"/>
  <c r="C641" i="33"/>
  <c r="J709" i="33"/>
  <c r="K709" i="33"/>
  <c r="M394" i="33"/>
  <c r="D661" i="33" s="1"/>
  <c r="F661" i="33" s="1"/>
  <c r="L568" i="33"/>
  <c r="C1019" i="35"/>
  <c r="M568" i="33"/>
  <c r="I1019" i="35" s="1"/>
  <c r="C637" i="33"/>
  <c r="I694" i="33"/>
  <c r="C632" i="33"/>
  <c r="M431" i="33"/>
  <c r="D698" i="33" s="1"/>
  <c r="J607" i="33"/>
  <c r="E673" i="33" s="1"/>
  <c r="I708" i="33"/>
  <c r="J594" i="33"/>
  <c r="E660" i="33" s="1"/>
  <c r="I678" i="33"/>
  <c r="C627" i="33"/>
  <c r="M426" i="33"/>
  <c r="D693" i="33" s="1"/>
  <c r="D635" i="33"/>
  <c r="I706" i="33"/>
  <c r="J706" i="33" s="1"/>
  <c r="K706" i="33" s="1"/>
  <c r="K679" i="33"/>
  <c r="N332" i="33"/>
  <c r="O332" i="33" s="1"/>
  <c r="C583" i="33"/>
  <c r="M382" i="33"/>
  <c r="D649" i="33" s="1"/>
  <c r="J589" i="33"/>
  <c r="E655" i="33" s="1"/>
  <c r="C600" i="33"/>
  <c r="J604" i="33"/>
  <c r="E670" i="33" s="1"/>
  <c r="J611" i="33"/>
  <c r="E677" i="33" s="1"/>
  <c r="C599" i="33"/>
  <c r="I702" i="33"/>
  <c r="J702" i="33" s="1"/>
  <c r="K702" i="33" s="1"/>
  <c r="I672" i="33"/>
  <c r="J672" i="33" s="1"/>
  <c r="K672" i="33" s="1"/>
  <c r="J593" i="33"/>
  <c r="E659" i="33" s="1"/>
  <c r="I700" i="33"/>
  <c r="J640" i="33"/>
  <c r="E706" i="33" s="1"/>
  <c r="J606" i="33"/>
  <c r="E672" i="33" s="1"/>
  <c r="C590" i="33"/>
  <c r="C644" i="33"/>
  <c r="J691" i="33"/>
  <c r="K691" i="33"/>
  <c r="J609" i="33"/>
  <c r="E675" i="33" s="1"/>
  <c r="C626" i="33"/>
  <c r="M425" i="33"/>
  <c r="D692" i="33" s="1"/>
  <c r="C621" i="33"/>
  <c r="M420" i="33"/>
  <c r="D687" i="33" s="1"/>
  <c r="C630" i="33"/>
  <c r="M429" i="33"/>
  <c r="D696" i="33" s="1"/>
  <c r="I704" i="33"/>
  <c r="J704" i="33" s="1"/>
  <c r="K704" i="33" s="1"/>
  <c r="M402" i="33"/>
  <c r="D669" i="33" s="1"/>
  <c r="F669" i="33" s="1"/>
  <c r="M396" i="33"/>
  <c r="D663" i="33" s="1"/>
  <c r="F663" i="33" s="1"/>
  <c r="N377" i="33"/>
  <c r="O377" i="33" s="1"/>
  <c r="N335" i="33"/>
  <c r="O335" i="33" s="1"/>
  <c r="K923" i="33" s="1"/>
  <c r="J588" i="33"/>
  <c r="E654" i="33" s="1"/>
  <c r="J587" i="33"/>
  <c r="E653" i="33" s="1"/>
  <c r="L10" i="38"/>
  <c r="G387" i="33"/>
  <c r="I654" i="33"/>
  <c r="J654" i="33" s="1"/>
  <c r="K654" i="33" s="1"/>
  <c r="L387" i="33"/>
  <c r="K909" i="33"/>
  <c r="H10" i="38"/>
  <c r="I659" i="33"/>
  <c r="J659" i="33" s="1"/>
  <c r="K659" i="33" s="1"/>
  <c r="C586" i="33"/>
  <c r="C636" i="33"/>
  <c r="I685" i="33"/>
  <c r="J685" i="33" s="1"/>
  <c r="K685" i="33" s="1"/>
  <c r="C633" i="33"/>
  <c r="M432" i="33"/>
  <c r="D699" i="33" s="1"/>
  <c r="C623" i="33"/>
  <c r="M422" i="33"/>
  <c r="D689" i="33" s="1"/>
  <c r="I670" i="33"/>
  <c r="J670" i="33" s="1"/>
  <c r="K670" i="33" s="1"/>
  <c r="I671" i="33"/>
  <c r="J671" i="33" s="1"/>
  <c r="K671" i="33" s="1"/>
  <c r="K920" i="33"/>
  <c r="M21" i="38" s="1"/>
  <c r="I695" i="33"/>
  <c r="J596" i="33"/>
  <c r="E662" i="33" s="1"/>
  <c r="J598" i="33"/>
  <c r="E664" i="33" s="1"/>
  <c r="J680" i="33"/>
  <c r="K680" i="33"/>
  <c r="I970" i="35"/>
  <c r="I1021" i="35"/>
  <c r="I1001" i="35"/>
  <c r="F731" i="33"/>
  <c r="I1003" i="35"/>
  <c r="D600" i="33"/>
  <c r="K398" i="33"/>
  <c r="E740" i="33"/>
  <c r="K395" i="33"/>
  <c r="E737" i="33"/>
  <c r="K421" i="33"/>
  <c r="E763" i="33"/>
  <c r="I980" i="35"/>
  <c r="F725" i="33"/>
  <c r="F737" i="33"/>
  <c r="H559" i="33"/>
  <c r="D626" i="33" s="1"/>
  <c r="K388" i="33"/>
  <c r="E730" i="33"/>
  <c r="G730" i="33" s="1"/>
  <c r="H11" i="38"/>
  <c r="G388" i="33"/>
  <c r="L388" i="33"/>
  <c r="L11" i="38"/>
  <c r="I989" i="35"/>
  <c r="I1012" i="35"/>
  <c r="I1026" i="35"/>
  <c r="K391" i="33"/>
  <c r="E733" i="33"/>
  <c r="K416" i="33"/>
  <c r="E758" i="33"/>
  <c r="M184" i="33"/>
  <c r="C747" i="33"/>
  <c r="F739" i="33"/>
  <c r="F752" i="33"/>
  <c r="L41" i="38"/>
  <c r="E760" i="33"/>
  <c r="I973" i="35"/>
  <c r="K401" i="33"/>
  <c r="E743" i="33"/>
  <c r="I1018" i="35"/>
  <c r="I983" i="35"/>
  <c r="K430" i="33"/>
  <c r="E772" i="33"/>
  <c r="F777" i="33"/>
  <c r="G777" i="33" s="1"/>
  <c r="F740" i="33"/>
  <c r="K415" i="33"/>
  <c r="E757" i="33"/>
  <c r="H973" i="35"/>
  <c r="F589" i="33"/>
  <c r="G589" i="33" s="1"/>
  <c r="E589" i="33"/>
  <c r="I1020" i="35"/>
  <c r="I1015" i="35"/>
  <c r="I986" i="35"/>
  <c r="K393" i="33"/>
  <c r="E735" i="33"/>
  <c r="K410" i="33"/>
  <c r="E752" i="33"/>
  <c r="F733" i="33"/>
  <c r="F743" i="33"/>
  <c r="M168" i="33"/>
  <c r="C731" i="33"/>
  <c r="N333" i="33"/>
  <c r="O333" i="33" s="1"/>
  <c r="I666" i="33" s="1"/>
  <c r="J666" i="33" s="1"/>
  <c r="K666" i="33" s="1"/>
  <c r="F973" i="35"/>
  <c r="H589" i="33"/>
  <c r="N365" i="33"/>
  <c r="O365" i="33" s="1"/>
  <c r="I698" i="33" s="1"/>
  <c r="I976" i="35"/>
  <c r="I988" i="35"/>
  <c r="I1013" i="35"/>
  <c r="K408" i="33"/>
  <c r="E750" i="33"/>
  <c r="F750" i="33"/>
  <c r="I1024" i="35"/>
  <c r="I978" i="35"/>
  <c r="K386" i="33"/>
  <c r="E728" i="33"/>
  <c r="F751" i="33"/>
  <c r="N183" i="33"/>
  <c r="C746" i="33"/>
  <c r="M170" i="33"/>
  <c r="C733" i="33"/>
  <c r="M533" i="33"/>
  <c r="C984" i="35"/>
  <c r="L533" i="33"/>
  <c r="H565" i="33"/>
  <c r="D632" i="33" s="1"/>
  <c r="K409" i="33"/>
  <c r="E751" i="33"/>
  <c r="K403" i="33"/>
  <c r="E745" i="33"/>
  <c r="I996" i="35"/>
  <c r="I982" i="35"/>
  <c r="K397" i="33"/>
  <c r="E739" i="33"/>
  <c r="I1006" i="35"/>
  <c r="F734" i="33"/>
  <c r="H1003" i="35"/>
  <c r="K1003" i="35" s="1"/>
  <c r="M172" i="33"/>
  <c r="C735" i="33"/>
  <c r="N370" i="33"/>
  <c r="O370" i="33" s="1"/>
  <c r="H518" i="33"/>
  <c r="H556" i="33"/>
  <c r="H560" i="33"/>
  <c r="C1011" i="35" s="1"/>
  <c r="H566" i="33"/>
  <c r="D633" i="33" s="1"/>
  <c r="H554" i="33"/>
  <c r="H563" i="33"/>
  <c r="AJ1126" i="46"/>
  <c r="AJ577" i="45"/>
  <c r="K959" i="33"/>
  <c r="K437" i="33"/>
  <c r="K392" i="33"/>
  <c r="K945" i="33"/>
  <c r="K423" i="33"/>
  <c r="K961" i="33"/>
  <c r="K439" i="33"/>
  <c r="K949" i="33"/>
  <c r="K427" i="33"/>
  <c r="K963" i="33"/>
  <c r="K441" i="33"/>
  <c r="K940" i="33"/>
  <c r="M41" i="38" s="1"/>
  <c r="K418" i="33"/>
  <c r="L58" i="38"/>
  <c r="K435" i="33"/>
  <c r="K912" i="33"/>
  <c r="K390" i="33"/>
  <c r="K905" i="33"/>
  <c r="K383" i="33"/>
  <c r="K927" i="33"/>
  <c r="K405" i="33"/>
  <c r="K926" i="33"/>
  <c r="K404" i="33"/>
  <c r="K933" i="33"/>
  <c r="K411" i="33"/>
  <c r="K934" i="33"/>
  <c r="K412" i="33"/>
  <c r="K428" i="33"/>
  <c r="K955" i="33"/>
  <c r="M56" i="38" s="1"/>
  <c r="K433" i="33"/>
  <c r="K460" i="45"/>
  <c r="Z466" i="45" s="1"/>
  <c r="K467" i="45" s="1"/>
  <c r="Q563" i="45" s="1"/>
  <c r="S562" i="45"/>
  <c r="Y562" i="45" s="1"/>
  <c r="S572" i="45"/>
  <c r="Y572" i="45" s="1"/>
  <c r="AJ571" i="45" s="1"/>
  <c r="AJ567" i="45"/>
  <c r="AJ377" i="45"/>
  <c r="AC462" i="45"/>
  <c r="AM460" i="45"/>
  <c r="Y557" i="45"/>
  <c r="AJ556" i="45" s="1"/>
  <c r="N363" i="33"/>
  <c r="O363" i="33" s="1"/>
  <c r="I696" i="33" s="1"/>
  <c r="J696" i="33" s="1"/>
  <c r="Y12" i="38"/>
  <c r="Y34" i="38"/>
  <c r="X16" i="38"/>
  <c r="Y54" i="38"/>
  <c r="X24" i="38"/>
  <c r="X22" i="38"/>
  <c r="Y57" i="38"/>
  <c r="Y18" i="38"/>
  <c r="X26" i="38"/>
  <c r="Y51" i="38"/>
  <c r="Y14" i="38"/>
  <c r="Y16" i="38"/>
  <c r="X31" i="38"/>
  <c r="Y24" i="38"/>
  <c r="Y43" i="38"/>
  <c r="Y55" i="38"/>
  <c r="Y6" i="38"/>
  <c r="Y19" i="38"/>
  <c r="Y28" i="38"/>
  <c r="Y21" i="38"/>
  <c r="Y49" i="38"/>
  <c r="F1000" i="35"/>
  <c r="X20" i="38"/>
  <c r="Y64" i="38"/>
  <c r="Y7" i="38"/>
  <c r="Y48" i="38"/>
  <c r="Y31" i="38"/>
  <c r="Y46" i="38"/>
  <c r="Y66" i="38"/>
  <c r="Y11" i="38"/>
  <c r="Y58" i="38"/>
  <c r="Y59" i="38"/>
  <c r="Y42" i="38"/>
  <c r="C1000" i="35"/>
  <c r="M549" i="33"/>
  <c r="L549" i="33"/>
  <c r="K937" i="33"/>
  <c r="H38" i="38"/>
  <c r="G415" i="33"/>
  <c r="L415" i="33"/>
  <c r="X12" i="38"/>
  <c r="Y20" i="38"/>
  <c r="Y50" i="38"/>
  <c r="Y22" i="38"/>
  <c r="Y53" i="38"/>
  <c r="Y26" i="38"/>
  <c r="X66" i="38"/>
  <c r="Y35" i="38"/>
  <c r="X58" i="38"/>
  <c r="Y56" i="38"/>
  <c r="D630" i="33"/>
  <c r="N203" i="35"/>
  <c r="J1037" i="35" s="1"/>
  <c r="N255" i="35"/>
  <c r="J1089" i="35" s="1"/>
  <c r="L1089" i="35" s="1"/>
  <c r="L1042" i="35"/>
  <c r="AP244" i="35"/>
  <c r="N257" i="35"/>
  <c r="J1091" i="35" s="1"/>
  <c r="L1091" i="35" s="1"/>
  <c r="AP250" i="35"/>
  <c r="AP249" i="35"/>
  <c r="AP231" i="35"/>
  <c r="AP237" i="35"/>
  <c r="AP222" i="35"/>
  <c r="N222" i="35" s="1"/>
  <c r="AP248" i="35"/>
  <c r="AP239" i="35"/>
  <c r="AP200" i="35"/>
  <c r="AP228" i="35"/>
  <c r="AP251" i="35"/>
  <c r="AP201" i="35"/>
  <c r="AP240" i="35"/>
  <c r="AP259" i="35"/>
  <c r="AP252" i="35"/>
  <c r="AP234" i="35"/>
  <c r="AP260" i="35"/>
  <c r="AP230" i="35"/>
  <c r="AP246" i="35"/>
  <c r="N258" i="35"/>
  <c r="J1092" i="35" s="1"/>
  <c r="L1092" i="35" s="1"/>
  <c r="N254" i="35"/>
  <c r="H1070" i="35"/>
  <c r="N253" i="35"/>
  <c r="J1087" i="35" s="1"/>
  <c r="L1087" i="35" s="1"/>
  <c r="N256" i="35"/>
  <c r="J1090" i="35" s="1"/>
  <c r="L1090" i="35" s="1"/>
  <c r="N261" i="35"/>
  <c r="N410" i="35" s="1"/>
  <c r="N372" i="33"/>
  <c r="O372" i="33" s="1"/>
  <c r="E780" i="33" s="1"/>
  <c r="G780" i="33" s="1"/>
  <c r="K198" i="27"/>
  <c r="AK52" i="38" s="1"/>
  <c r="K154" i="27"/>
  <c r="L572" i="33"/>
  <c r="M572" i="33"/>
  <c r="C1023" i="35"/>
  <c r="D639" i="33"/>
  <c r="K919" i="33"/>
  <c r="X21" i="38"/>
  <c r="L418" i="33"/>
  <c r="G418" i="33"/>
  <c r="H41" i="38"/>
  <c r="L1067" i="35"/>
  <c r="L383" i="33"/>
  <c r="L408" i="33"/>
  <c r="F619" i="33"/>
  <c r="N365" i="35"/>
  <c r="H56" i="38"/>
  <c r="X18" i="38"/>
  <c r="L428" i="33"/>
  <c r="K188" i="27"/>
  <c r="AK42" i="38" s="1"/>
  <c r="K212" i="27"/>
  <c r="AK66" i="38" s="1"/>
  <c r="M65" i="38"/>
  <c r="L56" i="38"/>
  <c r="L1048" i="35"/>
  <c r="N170" i="33"/>
  <c r="G433" i="33"/>
  <c r="AT260" i="35"/>
  <c r="E619" i="33"/>
  <c r="N384" i="35"/>
  <c r="K186" i="27"/>
  <c r="AK40" i="38" s="1"/>
  <c r="AN260" i="35"/>
  <c r="AR260" i="35"/>
  <c r="H619" i="33"/>
  <c r="L433" i="33"/>
  <c r="L1037" i="35"/>
  <c r="L1050" i="35"/>
  <c r="K1066" i="35"/>
  <c r="AW260" i="35"/>
  <c r="M466" i="35"/>
  <c r="M209" i="27"/>
  <c r="K166" i="27"/>
  <c r="AK20" i="38" s="1"/>
  <c r="K211" i="27"/>
  <c r="AK65" i="38" s="1"/>
  <c r="N172" i="33"/>
  <c r="N369" i="35"/>
  <c r="L1058" i="35"/>
  <c r="AU260" i="35"/>
  <c r="N374" i="35"/>
  <c r="M190" i="27"/>
  <c r="AQ260" i="35"/>
  <c r="AO260" i="35"/>
  <c r="Y8" i="38"/>
  <c r="AV260" i="35"/>
  <c r="K917" i="33"/>
  <c r="M18" i="38" s="1"/>
  <c r="N168" i="33"/>
  <c r="AX260" i="35"/>
  <c r="N260" i="35" s="1"/>
  <c r="J1094" i="35" s="1"/>
  <c r="L1094" i="35" s="1"/>
  <c r="AS260" i="35"/>
  <c r="AZ260" i="35"/>
  <c r="AY260" i="35"/>
  <c r="AT234" i="35"/>
  <c r="AS200" i="35"/>
  <c r="K1076" i="35"/>
  <c r="L397" i="33"/>
  <c r="AR234" i="35"/>
  <c r="M183" i="33"/>
  <c r="AZ234" i="35"/>
  <c r="H1072" i="35"/>
  <c r="L411" i="33"/>
  <c r="K932" i="33"/>
  <c r="M33" i="38" s="1"/>
  <c r="K152" i="27"/>
  <c r="M152" i="27" s="1"/>
  <c r="L1069" i="35"/>
  <c r="K205" i="27"/>
  <c r="AK59" i="38" s="1"/>
  <c r="L423" i="33"/>
  <c r="M469" i="35"/>
  <c r="L392" i="33"/>
  <c r="L1077" i="35"/>
  <c r="AQ200" i="35"/>
  <c r="AW234" i="35"/>
  <c r="AQ234" i="35"/>
  <c r="AV234" i="35"/>
  <c r="AO234" i="35"/>
  <c r="AY234" i="35"/>
  <c r="AX234" i="35"/>
  <c r="N234" i="35" s="1"/>
  <c r="N383" i="35" s="1"/>
  <c r="I403" i="33"/>
  <c r="L403" i="33" s="1"/>
  <c r="N184" i="33"/>
  <c r="AN234" i="35"/>
  <c r="AR200" i="35"/>
  <c r="AS234" i="35"/>
  <c r="K930" i="33"/>
  <c r="AU234" i="35"/>
  <c r="AX200" i="35"/>
  <c r="N200" i="35" s="1"/>
  <c r="Y13" i="38"/>
  <c r="X14" i="38"/>
  <c r="AT200" i="35"/>
  <c r="AY200" i="35"/>
  <c r="AO200" i="35"/>
  <c r="AU200" i="35"/>
  <c r="AZ200" i="35"/>
  <c r="L393" i="33"/>
  <c r="L391" i="33"/>
  <c r="L395" i="33"/>
  <c r="AW200" i="35"/>
  <c r="K168" i="27"/>
  <c r="AK22" i="38" s="1"/>
  <c r="G615" i="33"/>
  <c r="J615" i="33" s="1"/>
  <c r="AN200" i="35"/>
  <c r="AV200" i="35"/>
  <c r="K202" i="27"/>
  <c r="AK56" i="38" s="1"/>
  <c r="K172" i="27"/>
  <c r="AK26" i="38" s="1"/>
  <c r="AT259" i="35"/>
  <c r="N204" i="35"/>
  <c r="J1038" i="35" s="1"/>
  <c r="L1038" i="35" s="1"/>
  <c r="M475" i="35"/>
  <c r="K199" i="27"/>
  <c r="AK53" i="38" s="1"/>
  <c r="Y29" i="38"/>
  <c r="N207" i="35"/>
  <c r="J1041" i="35" s="1"/>
  <c r="L1041" i="35" s="1"/>
  <c r="M30" i="38"/>
  <c r="L410" i="33"/>
  <c r="N205" i="35"/>
  <c r="L1051" i="35"/>
  <c r="K162" i="27"/>
  <c r="AK16" i="38" s="1"/>
  <c r="AW259" i="35"/>
  <c r="M446" i="35"/>
  <c r="G1046" i="35"/>
  <c r="C1187" i="35" s="1"/>
  <c r="D1046" i="35"/>
  <c r="F1046" i="35" s="1"/>
  <c r="B1187" i="35" s="1"/>
  <c r="H40" i="27"/>
  <c r="I40" i="27" s="1"/>
  <c r="AH17" i="38" s="1"/>
  <c r="AI17" i="38" s="1"/>
  <c r="G1074" i="35"/>
  <c r="C1215" i="35" s="1"/>
  <c r="H68" i="27"/>
  <c r="I68" i="27" s="1"/>
  <c r="AH45" i="38" s="1"/>
  <c r="AI45" i="38" s="1"/>
  <c r="X15" i="38"/>
  <c r="G1076" i="35"/>
  <c r="C1217" i="35" s="1"/>
  <c r="H70" i="27"/>
  <c r="I70" i="27" s="1"/>
  <c r="AH47" i="38" s="1"/>
  <c r="AI47" i="38" s="1"/>
  <c r="K1068" i="35"/>
  <c r="Y32" i="38"/>
  <c r="Y15" i="38"/>
  <c r="K1046" i="35"/>
  <c r="G1066" i="35"/>
  <c r="C1207" i="35" s="1"/>
  <c r="H60" i="27"/>
  <c r="I60" i="27" s="1"/>
  <c r="AH37" i="38" s="1"/>
  <c r="AI37" i="38" s="1"/>
  <c r="G1070" i="35"/>
  <c r="C1211" i="35" s="1"/>
  <c r="H64" i="27"/>
  <c r="I64" i="27" s="1"/>
  <c r="AH41" i="38" s="1"/>
  <c r="AI41" i="38" s="1"/>
  <c r="G1068" i="35"/>
  <c r="C1209" i="35" s="1"/>
  <c r="H62" i="27"/>
  <c r="I62" i="27" s="1"/>
  <c r="AH39" i="38" s="1"/>
  <c r="AI39" i="38" s="1"/>
  <c r="K1070" i="35"/>
  <c r="G1034" i="35"/>
  <c r="C1175" i="35" s="1"/>
  <c r="H28" i="27"/>
  <c r="K1034" i="35"/>
  <c r="K987" i="35"/>
  <c r="J987" i="35"/>
  <c r="L987" i="35" s="1"/>
  <c r="M987" i="35"/>
  <c r="M1002" i="35"/>
  <c r="J1009" i="35"/>
  <c r="K1009" i="35"/>
  <c r="K999" i="35"/>
  <c r="J999" i="35"/>
  <c r="M979" i="35"/>
  <c r="M985" i="35"/>
  <c r="K914" i="33"/>
  <c r="M15" i="38" s="1"/>
  <c r="K908" i="33"/>
  <c r="K979" i="35"/>
  <c r="J979" i="35"/>
  <c r="L979" i="35" s="1"/>
  <c r="G618" i="33"/>
  <c r="J618" i="33" s="1"/>
  <c r="M999" i="35"/>
  <c r="M992" i="35"/>
  <c r="K957" i="33"/>
  <c r="K931" i="33"/>
  <c r="K915" i="33"/>
  <c r="M16" i="38" s="1"/>
  <c r="J1004" i="35"/>
  <c r="K1004" i="35"/>
  <c r="K981" i="35"/>
  <c r="J981" i="35"/>
  <c r="L981" i="35" s="1"/>
  <c r="K943" i="33"/>
  <c r="M1004" i="35"/>
  <c r="K1002" i="35"/>
  <c r="J1002" i="35"/>
  <c r="M1009" i="35"/>
  <c r="K985" i="35"/>
  <c r="J985" i="35"/>
  <c r="L985" i="35" s="1"/>
  <c r="M981" i="35"/>
  <c r="K952" i="33"/>
  <c r="M53" i="38" s="1"/>
  <c r="K950" i="33"/>
  <c r="L39" i="38"/>
  <c r="K938" i="33"/>
  <c r="M972" i="35"/>
  <c r="L972" i="35"/>
  <c r="K1027" i="35"/>
  <c r="J1027" i="35"/>
  <c r="K992" i="35"/>
  <c r="J992" i="35"/>
  <c r="L992" i="35" s="1"/>
  <c r="M1027" i="35"/>
  <c r="K913" i="33"/>
  <c r="K925" i="33"/>
  <c r="K167" i="27"/>
  <c r="AK21" i="38" s="1"/>
  <c r="K208" i="27"/>
  <c r="AK62" i="38" s="1"/>
  <c r="K197" i="27"/>
  <c r="AK51" i="38" s="1"/>
  <c r="K177" i="27"/>
  <c r="AK31" i="38" s="1"/>
  <c r="J204" i="27"/>
  <c r="J160" i="27"/>
  <c r="J195" i="27"/>
  <c r="J201" i="27"/>
  <c r="K201" i="27" s="1"/>
  <c r="AK36" i="38"/>
  <c r="M182" i="27"/>
  <c r="AK23" i="38"/>
  <c r="M169" i="27"/>
  <c r="AK60" i="38"/>
  <c r="M206" i="27"/>
  <c r="J184" i="27"/>
  <c r="K184" i="27" s="1"/>
  <c r="J210" i="27"/>
  <c r="K210" i="27" s="1"/>
  <c r="J170" i="27"/>
  <c r="K170" i="27" s="1"/>
  <c r="J176" i="27"/>
  <c r="K176" i="27" s="1"/>
  <c r="J180" i="27"/>
  <c r="K180" i="27" s="1"/>
  <c r="J155" i="27"/>
  <c r="K155" i="27" s="1"/>
  <c r="J158" i="27"/>
  <c r="K158" i="27" s="1"/>
  <c r="J178" i="27"/>
  <c r="K178" i="27" s="1"/>
  <c r="J156" i="27"/>
  <c r="K156" i="27" s="1"/>
  <c r="J207" i="27"/>
  <c r="K207" i="27" s="1"/>
  <c r="J161" i="27"/>
  <c r="K161" i="27" s="1"/>
  <c r="J164" i="27"/>
  <c r="K164" i="27" s="1"/>
  <c r="J196" i="27"/>
  <c r="K196" i="27" s="1"/>
  <c r="AY252" i="35"/>
  <c r="AX252" i="35"/>
  <c r="N252" i="35" s="1"/>
  <c r="J1086" i="35" s="1"/>
  <c r="L1086" i="35" s="1"/>
  <c r="AV252" i="35"/>
  <c r="AW252" i="35"/>
  <c r="AN252" i="35"/>
  <c r="AZ252" i="35"/>
  <c r="N242" i="35"/>
  <c r="J1076" i="35" s="1"/>
  <c r="AS252" i="35"/>
  <c r="AO252" i="35"/>
  <c r="AU252" i="35"/>
  <c r="AT252" i="35"/>
  <c r="AQ252" i="35"/>
  <c r="AR252" i="35"/>
  <c r="AQ259" i="35"/>
  <c r="AZ259" i="35"/>
  <c r="AX259" i="35"/>
  <c r="N259" i="35" s="1"/>
  <c r="N408" i="35" s="1"/>
  <c r="AU259" i="35"/>
  <c r="AR259" i="35"/>
  <c r="AO259" i="35"/>
  <c r="AV259" i="35"/>
  <c r="AS259" i="35"/>
  <c r="AN259" i="35"/>
  <c r="AY259" i="35"/>
  <c r="L430" i="33"/>
  <c r="G643" i="33"/>
  <c r="J643" i="33" s="1"/>
  <c r="G625" i="33"/>
  <c r="J625" i="33" s="1"/>
  <c r="G620" i="33"/>
  <c r="J620" i="33" s="1"/>
  <c r="M62" i="38"/>
  <c r="F997" i="35"/>
  <c r="H1015" i="35"/>
  <c r="E631" i="33"/>
  <c r="F631" i="33"/>
  <c r="H1021" i="35"/>
  <c r="F637" i="33"/>
  <c r="G637" i="33" s="1"/>
  <c r="E637" i="33"/>
  <c r="H978" i="35"/>
  <c r="F594" i="33"/>
  <c r="G594" i="33" s="1"/>
  <c r="E594" i="33"/>
  <c r="F996" i="35"/>
  <c r="H612" i="33"/>
  <c r="F978" i="35"/>
  <c r="H594" i="33"/>
  <c r="F986" i="35"/>
  <c r="H602" i="33"/>
  <c r="H593" i="33"/>
  <c r="H34" i="38"/>
  <c r="G411" i="33"/>
  <c r="F989" i="35"/>
  <c r="H605" i="33"/>
  <c r="E599" i="33"/>
  <c r="F599" i="33"/>
  <c r="L60" i="38"/>
  <c r="L53" i="38"/>
  <c r="H31" i="38"/>
  <c r="G408" i="33"/>
  <c r="H20" i="38"/>
  <c r="G397" i="33"/>
  <c r="H46" i="38"/>
  <c r="G423" i="33"/>
  <c r="L439" i="33"/>
  <c r="F617" i="33"/>
  <c r="E617" i="33"/>
  <c r="F990" i="35"/>
  <c r="H606" i="33"/>
  <c r="H50" i="38"/>
  <c r="G427" i="33"/>
  <c r="M42" i="38"/>
  <c r="M20" i="38"/>
  <c r="L427" i="33"/>
  <c r="L15" i="38"/>
  <c r="L62" i="38"/>
  <c r="F1013" i="35"/>
  <c r="H629" i="33"/>
  <c r="F1026" i="35"/>
  <c r="H642" i="33"/>
  <c r="F1012" i="35"/>
  <c r="H628" i="33"/>
  <c r="H968" i="35"/>
  <c r="E584" i="33"/>
  <c r="F584" i="33"/>
  <c r="F1024" i="35"/>
  <c r="H640" i="33"/>
  <c r="F968" i="35"/>
  <c r="F993" i="35"/>
  <c r="H988" i="35"/>
  <c r="E604" i="33"/>
  <c r="F604" i="33"/>
  <c r="G604" i="33" s="1"/>
  <c r="H60" i="38"/>
  <c r="G437" i="33"/>
  <c r="H995" i="35"/>
  <c r="E611" i="33"/>
  <c r="F611" i="33"/>
  <c r="H51" i="38"/>
  <c r="G428" i="33"/>
  <c r="F605" i="33"/>
  <c r="G605" i="33" s="1"/>
  <c r="E605" i="33"/>
  <c r="L46" i="38"/>
  <c r="L6" i="38"/>
  <c r="F606" i="33"/>
  <c r="G606" i="33" s="1"/>
  <c r="E606" i="33"/>
  <c r="H35" i="38"/>
  <c r="G412" i="33"/>
  <c r="H33" i="38"/>
  <c r="G410" i="33"/>
  <c r="H6" i="38"/>
  <c r="G383" i="33"/>
  <c r="M36" i="38"/>
  <c r="L50" i="38"/>
  <c r="M37" i="38"/>
  <c r="L34" i="38"/>
  <c r="H997" i="35"/>
  <c r="F613" i="33"/>
  <c r="E613" i="33"/>
  <c r="H1013" i="35"/>
  <c r="F629" i="33"/>
  <c r="E629" i="33"/>
  <c r="H982" i="35"/>
  <c r="F598" i="33"/>
  <c r="G598" i="33" s="1"/>
  <c r="E598" i="33"/>
  <c r="H986" i="35"/>
  <c r="F602" i="33"/>
  <c r="G602" i="33" s="1"/>
  <c r="E602" i="33"/>
  <c r="H1020" i="35"/>
  <c r="E636" i="33"/>
  <c r="F636" i="33"/>
  <c r="G636" i="33" s="1"/>
  <c r="F1028" i="35"/>
  <c r="H644" i="33"/>
  <c r="F976" i="35"/>
  <c r="H592" i="33"/>
  <c r="H971" i="35"/>
  <c r="E587" i="33"/>
  <c r="F587" i="33"/>
  <c r="G587" i="33" s="1"/>
  <c r="F988" i="35"/>
  <c r="H604" i="33"/>
  <c r="H28" i="38"/>
  <c r="G405" i="33"/>
  <c r="H26" i="38"/>
  <c r="G403" i="33"/>
  <c r="H15" i="38"/>
  <c r="G392" i="33"/>
  <c r="L16" i="38"/>
  <c r="L13" i="38"/>
  <c r="L32" i="38"/>
  <c r="L35" i="38"/>
  <c r="L14" i="38"/>
  <c r="L27" i="38"/>
  <c r="H9" i="38"/>
  <c r="G386" i="33"/>
  <c r="H18" i="38"/>
  <c r="G395" i="33"/>
  <c r="H58" i="38"/>
  <c r="G435" i="33"/>
  <c r="F980" i="35"/>
  <c r="H596" i="33"/>
  <c r="F1001" i="35"/>
  <c r="H617" i="33"/>
  <c r="H53" i="38"/>
  <c r="G430" i="33"/>
  <c r="H39" i="38"/>
  <c r="G416" i="33"/>
  <c r="F1006" i="35"/>
  <c r="H622" i="33"/>
  <c r="H980" i="35"/>
  <c r="E596" i="33"/>
  <c r="F596" i="33"/>
  <c r="G596" i="33" s="1"/>
  <c r="H64" i="38"/>
  <c r="G441" i="33"/>
  <c r="M34" i="38"/>
  <c r="L20" i="38"/>
  <c r="L412" i="33"/>
  <c r="L64" i="38"/>
  <c r="L437" i="33"/>
  <c r="M6" i="38"/>
  <c r="F1015" i="35"/>
  <c r="H631" i="33"/>
  <c r="H1028" i="35"/>
  <c r="E644" i="33"/>
  <c r="F644" i="33"/>
  <c r="F1021" i="35"/>
  <c r="H637" i="33"/>
  <c r="H1026" i="35"/>
  <c r="F642" i="33"/>
  <c r="E642" i="33"/>
  <c r="H1024" i="35"/>
  <c r="E640" i="33"/>
  <c r="F640" i="33"/>
  <c r="G640" i="33" s="1"/>
  <c r="H996" i="35"/>
  <c r="E612" i="33"/>
  <c r="F612" i="33"/>
  <c r="F982" i="35"/>
  <c r="H598" i="33"/>
  <c r="F1020" i="35"/>
  <c r="H636" i="33"/>
  <c r="H1012" i="35"/>
  <c r="E628" i="33"/>
  <c r="F628" i="33"/>
  <c r="H976" i="35"/>
  <c r="E592" i="33"/>
  <c r="F592" i="33"/>
  <c r="G592" i="33" s="1"/>
  <c r="F971" i="35"/>
  <c r="F970" i="35"/>
  <c r="H586" i="33"/>
  <c r="H970" i="35"/>
  <c r="F586" i="33"/>
  <c r="G586" i="33" s="1"/>
  <c r="E586" i="33"/>
  <c r="H32" i="38"/>
  <c r="G409" i="33"/>
  <c r="L409" i="33"/>
  <c r="H27" i="38"/>
  <c r="G404" i="33"/>
  <c r="L404" i="33"/>
  <c r="L405" i="33"/>
  <c r="L33" i="38"/>
  <c r="L31" i="38"/>
  <c r="L26" i="38"/>
  <c r="L28" i="38"/>
  <c r="H16" i="38"/>
  <c r="G393" i="33"/>
  <c r="H14" i="38"/>
  <c r="G391" i="33"/>
  <c r="H13" i="38"/>
  <c r="G390" i="33"/>
  <c r="H44" i="38"/>
  <c r="G421" i="33"/>
  <c r="L421" i="33"/>
  <c r="H977" i="35"/>
  <c r="F593" i="33"/>
  <c r="G593" i="33" s="1"/>
  <c r="E593" i="33"/>
  <c r="H62" i="38"/>
  <c r="G439" i="33"/>
  <c r="M439" i="33" s="1"/>
  <c r="D706" i="33" s="1"/>
  <c r="F706" i="33" s="1"/>
  <c r="H1006" i="35"/>
  <c r="F622" i="33"/>
  <c r="E622" i="33"/>
  <c r="L44" i="38"/>
  <c r="L18" i="38"/>
  <c r="L9" i="38"/>
  <c r="M35" i="38"/>
  <c r="L390" i="33"/>
  <c r="L441" i="33"/>
  <c r="L416" i="33"/>
  <c r="L51" i="38"/>
  <c r="N182" i="33"/>
  <c r="M182" i="33"/>
  <c r="M165" i="33"/>
  <c r="N165" i="33"/>
  <c r="N214" i="33"/>
  <c r="M214" i="33"/>
  <c r="AC34" i="38"/>
  <c r="AD34" i="38" s="1"/>
  <c r="J194" i="27"/>
  <c r="K194" i="27" s="1"/>
  <c r="AK48" i="38" s="1"/>
  <c r="J153" i="27"/>
  <c r="AJ11" i="38"/>
  <c r="AJ13" i="38"/>
  <c r="AJ28" i="38"/>
  <c r="AJ29" i="38"/>
  <c r="AJ19" i="38"/>
  <c r="AC20" i="38"/>
  <c r="AD20" i="38" s="1"/>
  <c r="I386" i="33"/>
  <c r="L386" i="33" s="1"/>
  <c r="N316" i="33"/>
  <c r="O316" i="33" s="1"/>
  <c r="I649" i="33" s="1"/>
  <c r="I29" i="38"/>
  <c r="K29" i="38"/>
  <c r="I435" i="33"/>
  <c r="L435" i="33" s="1"/>
  <c r="D641" i="33"/>
  <c r="N374" i="33"/>
  <c r="O374" i="33" s="1"/>
  <c r="E782" i="33" s="1"/>
  <c r="G782" i="33" s="1"/>
  <c r="N351" i="35"/>
  <c r="D627" i="33"/>
  <c r="C63" i="38"/>
  <c r="H1001" i="35"/>
  <c r="C1025" i="35"/>
  <c r="M574" i="33"/>
  <c r="L574" i="33"/>
  <c r="L560" i="33"/>
  <c r="L1040" i="35"/>
  <c r="K49" i="38"/>
  <c r="L1057" i="35"/>
  <c r="N366" i="33"/>
  <c r="O366" i="33" s="1"/>
  <c r="I699" i="33" s="1"/>
  <c r="I55" i="38"/>
  <c r="K55" i="38"/>
  <c r="G55" i="38"/>
  <c r="M468" i="35"/>
  <c r="G49" i="38"/>
  <c r="N318" i="33"/>
  <c r="O318" i="33" s="1"/>
  <c r="E726" i="33" s="1"/>
  <c r="H989" i="35"/>
  <c r="F977" i="35"/>
  <c r="H983" i="35"/>
  <c r="H990" i="35"/>
  <c r="L516" i="33"/>
  <c r="M1426" i="35"/>
  <c r="AC14" i="38"/>
  <c r="AD14" i="38" s="1"/>
  <c r="L1417" i="35"/>
  <c r="AJ7" i="38"/>
  <c r="AJ46" i="38"/>
  <c r="AJ42" i="38"/>
  <c r="AJ48" i="38"/>
  <c r="AJ56" i="38"/>
  <c r="AJ35" i="38"/>
  <c r="AJ57" i="38"/>
  <c r="J41" i="27"/>
  <c r="K41" i="27"/>
  <c r="L1061" i="35"/>
  <c r="L1052" i="35"/>
  <c r="L1044" i="35"/>
  <c r="N212" i="35"/>
  <c r="N404" i="35"/>
  <c r="N360" i="33"/>
  <c r="O360" i="33" s="1"/>
  <c r="I693" i="33" s="1"/>
  <c r="E464" i="35"/>
  <c r="H1064" i="35" s="1"/>
  <c r="E474" i="35"/>
  <c r="H1074" i="35" s="1"/>
  <c r="E484" i="35"/>
  <c r="H1084" i="35" s="1"/>
  <c r="H1080" i="35"/>
  <c r="H1065" i="35"/>
  <c r="E483" i="35"/>
  <c r="H1083" i="35" s="1"/>
  <c r="H1078" i="35"/>
  <c r="H1085" i="35"/>
  <c r="H1035" i="35"/>
  <c r="E482" i="35"/>
  <c r="H1082" i="35" s="1"/>
  <c r="M380" i="35"/>
  <c r="K1065" i="35" s="1"/>
  <c r="M350" i="35"/>
  <c r="K1035" i="35" s="1"/>
  <c r="M389" i="35"/>
  <c r="K1074" i="35" s="1"/>
  <c r="M379" i="35"/>
  <c r="K1064" i="35" s="1"/>
  <c r="M399" i="35"/>
  <c r="K1084" i="35" s="1"/>
  <c r="M388" i="35"/>
  <c r="K1073" i="35" s="1"/>
  <c r="M377" i="35"/>
  <c r="M371" i="35"/>
  <c r="M395" i="35"/>
  <c r="K1080" i="35" s="1"/>
  <c r="M393" i="35"/>
  <c r="K1078" i="35" s="1"/>
  <c r="M400" i="35"/>
  <c r="K1085" i="35" s="1"/>
  <c r="M398" i="35"/>
  <c r="K1083" i="35" s="1"/>
  <c r="M386" i="35"/>
  <c r="K1071" i="35" s="1"/>
  <c r="D1260" i="35"/>
  <c r="E1260" i="35"/>
  <c r="K51" i="27"/>
  <c r="N376" i="35"/>
  <c r="N241" i="35"/>
  <c r="J1075" i="35" s="1"/>
  <c r="L1075" i="35" s="1"/>
  <c r="N229" i="35"/>
  <c r="N378" i="35" s="1"/>
  <c r="D47" i="27"/>
  <c r="K47" i="27" s="1"/>
  <c r="D590" i="33"/>
  <c r="N323" i="33"/>
  <c r="O323" i="33" s="1"/>
  <c r="C12" i="38"/>
  <c r="C974" i="35"/>
  <c r="M523" i="33"/>
  <c r="L523" i="33"/>
  <c r="N392" i="35"/>
  <c r="J46" i="27"/>
  <c r="D1262" i="35"/>
  <c r="E1262" i="35"/>
  <c r="N372" i="35"/>
  <c r="D49" i="27"/>
  <c r="K49" i="27" s="1"/>
  <c r="D39" i="27"/>
  <c r="J39" i="27" s="1"/>
  <c r="K85" i="27"/>
  <c r="D1252" i="35"/>
  <c r="E1270" i="35"/>
  <c r="D1270" i="35"/>
  <c r="E1252" i="35"/>
  <c r="D57" i="27"/>
  <c r="K57" i="27" s="1"/>
  <c r="N359" i="35"/>
  <c r="E1282" i="35"/>
  <c r="D1282" i="35"/>
  <c r="N367" i="35"/>
  <c r="J1047" i="35"/>
  <c r="L1047" i="35" s="1"/>
  <c r="J81" i="27"/>
  <c r="D1290" i="35"/>
  <c r="E1285" i="35"/>
  <c r="E1281" i="35"/>
  <c r="D62" i="27"/>
  <c r="J62" i="27" s="1"/>
  <c r="D1289" i="35"/>
  <c r="D87" i="27"/>
  <c r="J87" i="27" s="1"/>
  <c r="D583" i="33"/>
  <c r="I651" i="33"/>
  <c r="J651" i="33" s="1"/>
  <c r="J29" i="38"/>
  <c r="J23" i="38"/>
  <c r="M524" i="33"/>
  <c r="M544" i="33"/>
  <c r="C994" i="35"/>
  <c r="M543" i="33"/>
  <c r="C997" i="35"/>
  <c r="M546" i="33"/>
  <c r="L557" i="33"/>
  <c r="M560" i="33"/>
  <c r="C1008" i="35"/>
  <c r="M557" i="33"/>
  <c r="C993" i="35"/>
  <c r="M542" i="33"/>
  <c r="C998" i="35"/>
  <c r="M547" i="33"/>
  <c r="C1022" i="35"/>
  <c r="M571" i="33"/>
  <c r="C971" i="35"/>
  <c r="M520" i="33"/>
  <c r="C967" i="35"/>
  <c r="M516" i="33"/>
  <c r="C968" i="35"/>
  <c r="M517" i="33"/>
  <c r="D634" i="33"/>
  <c r="K43" i="27"/>
  <c r="AW240" i="35"/>
  <c r="J75" i="27"/>
  <c r="K35" i="27"/>
  <c r="I39" i="38"/>
  <c r="D611" i="33"/>
  <c r="J33" i="27"/>
  <c r="L542" i="33"/>
  <c r="D624" i="33"/>
  <c r="J88" i="27"/>
  <c r="M518" i="33"/>
  <c r="D78" i="27"/>
  <c r="J78" i="27" s="1"/>
  <c r="E1291" i="35"/>
  <c r="D1291" i="35"/>
  <c r="E1290" i="35"/>
  <c r="C975" i="35"/>
  <c r="L524" i="33"/>
  <c r="D591" i="33"/>
  <c r="AJ45" i="38"/>
  <c r="AJ41" i="38"/>
  <c r="D1300" i="35"/>
  <c r="E1300" i="35"/>
  <c r="N354" i="33"/>
  <c r="O354" i="33" s="1"/>
  <c r="E762" i="33" s="1"/>
  <c r="N356" i="33"/>
  <c r="O356" i="33" s="1"/>
  <c r="E764" i="33" s="1"/>
  <c r="AS240" i="35"/>
  <c r="D59" i="27"/>
  <c r="J59" i="27" s="1"/>
  <c r="AX240" i="35"/>
  <c r="K37" i="27"/>
  <c r="AQ240" i="35"/>
  <c r="AR240" i="35"/>
  <c r="AN240" i="35"/>
  <c r="AV240" i="35"/>
  <c r="AY240" i="35"/>
  <c r="AZ240" i="35"/>
  <c r="AT240" i="35"/>
  <c r="AO240" i="35"/>
  <c r="AU240" i="35"/>
  <c r="D1272" i="35"/>
  <c r="N407" i="35"/>
  <c r="E1272" i="35"/>
  <c r="C9" i="38"/>
  <c r="I9" i="38" s="1"/>
  <c r="J1066" i="35"/>
  <c r="D77" i="27"/>
  <c r="K77" i="27" s="1"/>
  <c r="C1018" i="35"/>
  <c r="D72" i="27"/>
  <c r="J72" i="27" s="1"/>
  <c r="D1285" i="35"/>
  <c r="AT237" i="35"/>
  <c r="D1292" i="35"/>
  <c r="N375" i="35"/>
  <c r="E1292" i="35"/>
  <c r="D76" i="27"/>
  <c r="J76" i="27" s="1"/>
  <c r="D79" i="27"/>
  <c r="K79" i="27" s="1"/>
  <c r="J1079" i="35"/>
  <c r="L1079" i="35" s="1"/>
  <c r="E1289" i="35"/>
  <c r="N370" i="35"/>
  <c r="AV237" i="35"/>
  <c r="N360" i="35"/>
  <c r="N358" i="35"/>
  <c r="J1088" i="35"/>
  <c r="L1088" i="35" s="1"/>
  <c r="J1081" i="35"/>
  <c r="L1081" i="35" s="1"/>
  <c r="AZ237" i="35"/>
  <c r="AS239" i="35"/>
  <c r="AV239" i="35"/>
  <c r="AR237" i="35"/>
  <c r="AO239" i="35"/>
  <c r="D638" i="33"/>
  <c r="L543" i="33"/>
  <c r="L567" i="33"/>
  <c r="L547" i="33"/>
  <c r="D614" i="33"/>
  <c r="L571" i="33"/>
  <c r="D610" i="33"/>
  <c r="I60" i="38"/>
  <c r="K60" i="38"/>
  <c r="G60" i="38"/>
  <c r="AQ239" i="35"/>
  <c r="AY239" i="35"/>
  <c r="AR239" i="35"/>
  <c r="AN237" i="35"/>
  <c r="AU237" i="35"/>
  <c r="AW237" i="35"/>
  <c r="AQ237" i="35"/>
  <c r="AX237" i="35"/>
  <c r="D65" i="27"/>
  <c r="D1278" i="35"/>
  <c r="E1278" i="35"/>
  <c r="J67" i="27"/>
  <c r="K67" i="27"/>
  <c r="AO237" i="35"/>
  <c r="AS237" i="35"/>
  <c r="AN239" i="35"/>
  <c r="AZ239" i="35"/>
  <c r="AU239" i="35"/>
  <c r="AW239" i="35"/>
  <c r="J63" i="27"/>
  <c r="AY237" i="35"/>
  <c r="AX239" i="35"/>
  <c r="N239" i="35" s="1"/>
  <c r="AT239" i="35"/>
  <c r="H1073" i="35"/>
  <c r="M473" i="35"/>
  <c r="E1242" i="35"/>
  <c r="D29" i="27"/>
  <c r="D1242" i="35"/>
  <c r="AZ201" i="35"/>
  <c r="AN201" i="35"/>
  <c r="AV201" i="35"/>
  <c r="AW201" i="35"/>
  <c r="AT201" i="35"/>
  <c r="AO201" i="35"/>
  <c r="AS201" i="35"/>
  <c r="AU201" i="35"/>
  <c r="AR201" i="35"/>
  <c r="AQ201" i="35"/>
  <c r="AY201" i="35"/>
  <c r="AX201" i="35"/>
  <c r="N201" i="35" s="1"/>
  <c r="H1071" i="35"/>
  <c r="M471" i="35"/>
  <c r="C43" i="38"/>
  <c r="K43" i="38" s="1"/>
  <c r="J32" i="27"/>
  <c r="K54" i="27"/>
  <c r="AV250" i="35"/>
  <c r="AZ250" i="35"/>
  <c r="AN231" i="35"/>
  <c r="J82" i="27"/>
  <c r="AT250" i="35"/>
  <c r="AW251" i="35"/>
  <c r="AU251" i="35"/>
  <c r="AX251" i="35"/>
  <c r="N251" i="35" s="1"/>
  <c r="AY250" i="35"/>
  <c r="AX250" i="35"/>
  <c r="N250" i="35" s="1"/>
  <c r="AY251" i="35"/>
  <c r="AS251" i="35"/>
  <c r="AR250" i="35"/>
  <c r="AR251" i="35"/>
  <c r="AU231" i="35"/>
  <c r="AZ231" i="35"/>
  <c r="AQ250" i="35"/>
  <c r="AS250" i="35"/>
  <c r="AV231" i="35"/>
  <c r="AS231" i="35"/>
  <c r="AQ231" i="35"/>
  <c r="AY231" i="35"/>
  <c r="AO251" i="35"/>
  <c r="AN250" i="35"/>
  <c r="AO250" i="35"/>
  <c r="AU250" i="35"/>
  <c r="AW231" i="35"/>
  <c r="AT231" i="35"/>
  <c r="AR231" i="35"/>
  <c r="AT251" i="35"/>
  <c r="AQ251" i="35"/>
  <c r="AZ251" i="35"/>
  <c r="AV251" i="35"/>
  <c r="AW250" i="35"/>
  <c r="AO231" i="35"/>
  <c r="AX231" i="35"/>
  <c r="N231" i="35" s="1"/>
  <c r="AN251" i="35"/>
  <c r="AX249" i="35"/>
  <c r="N249" i="35" s="1"/>
  <c r="AY249" i="35"/>
  <c r="AR249" i="35"/>
  <c r="AQ249" i="35"/>
  <c r="AU249" i="35"/>
  <c r="AT249" i="35"/>
  <c r="AS249" i="35"/>
  <c r="AO249" i="35"/>
  <c r="AV249" i="35"/>
  <c r="AW249" i="35"/>
  <c r="AN249" i="35"/>
  <c r="AZ249" i="35"/>
  <c r="J73" i="27"/>
  <c r="G39" i="38"/>
  <c r="J1053" i="35"/>
  <c r="L1053" i="35" s="1"/>
  <c r="G65" i="38"/>
  <c r="K65" i="38"/>
  <c r="I65" i="38"/>
  <c r="J1049" i="35"/>
  <c r="L1049" i="35" s="1"/>
  <c r="M1427" i="35"/>
  <c r="AC15" i="38"/>
  <c r="AD15" i="38" s="1"/>
  <c r="C15" i="38"/>
  <c r="AP15" i="38"/>
  <c r="AQ15" i="38" s="1"/>
  <c r="L150" i="32"/>
  <c r="C31" i="38"/>
  <c r="L166" i="32"/>
  <c r="AP31" i="38"/>
  <c r="AQ31" i="38" s="1"/>
  <c r="M1443" i="35"/>
  <c r="AC31" i="38"/>
  <c r="AD31" i="38" s="1"/>
  <c r="C53" i="38"/>
  <c r="K53" i="38" s="1"/>
  <c r="AN244" i="35"/>
  <c r="AQ244" i="35"/>
  <c r="AS244" i="35"/>
  <c r="AW244" i="35"/>
  <c r="AR244" i="35"/>
  <c r="AO244" i="35"/>
  <c r="AU244" i="35"/>
  <c r="AT244" i="35"/>
  <c r="AY244" i="35"/>
  <c r="AX244" i="35"/>
  <c r="N244" i="35" s="1"/>
  <c r="AV244" i="35"/>
  <c r="AZ244" i="35"/>
  <c r="C58" i="38"/>
  <c r="K58" i="38" s="1"/>
  <c r="D1279" i="35"/>
  <c r="M1430" i="35"/>
  <c r="AC18" i="38"/>
  <c r="AD18" i="38" s="1"/>
  <c r="E1279" i="35"/>
  <c r="D66" i="27"/>
  <c r="K66" i="27" s="1"/>
  <c r="C18" i="38"/>
  <c r="AP18" i="38"/>
  <c r="AQ18" i="38" s="1"/>
  <c r="L153" i="32"/>
  <c r="C6" i="38"/>
  <c r="C14" i="38"/>
  <c r="J1072" i="35"/>
  <c r="N387" i="35"/>
  <c r="C20" i="38"/>
  <c r="M1458" i="35"/>
  <c r="AC46" i="38"/>
  <c r="AD46" i="38" s="1"/>
  <c r="C34" i="38"/>
  <c r="I24" i="38"/>
  <c r="K24" i="38"/>
  <c r="G24" i="38"/>
  <c r="L181" i="32"/>
  <c r="AP46" i="38"/>
  <c r="AQ46" i="38" s="1"/>
  <c r="AJ64" i="38"/>
  <c r="N352" i="35"/>
  <c r="I62" i="38"/>
  <c r="K62" i="38"/>
  <c r="G62" i="38"/>
  <c r="C46" i="38"/>
  <c r="I50" i="38"/>
  <c r="K50" i="38"/>
  <c r="G50" i="38"/>
  <c r="C16" i="38"/>
  <c r="I59" i="38"/>
  <c r="G59" i="38"/>
  <c r="K59" i="38"/>
  <c r="I40" i="38"/>
  <c r="G40" i="38"/>
  <c r="K40" i="38"/>
  <c r="I30" i="38"/>
  <c r="G30" i="38"/>
  <c r="K30" i="38"/>
  <c r="K89" i="27"/>
  <c r="J89" i="27"/>
  <c r="I64" i="38"/>
  <c r="K64" i="38"/>
  <c r="G64" i="38"/>
  <c r="J1036" i="35"/>
  <c r="L1036" i="35" s="1"/>
  <c r="AT248" i="35"/>
  <c r="AZ248" i="35"/>
  <c r="AX248" i="35"/>
  <c r="N248" i="35" s="1"/>
  <c r="AV248" i="35"/>
  <c r="AR248" i="35"/>
  <c r="AP53" i="38"/>
  <c r="AQ53" i="38" s="1"/>
  <c r="L188" i="32"/>
  <c r="AS248" i="35"/>
  <c r="M1465" i="35"/>
  <c r="AC53" i="38"/>
  <c r="AD53" i="38" s="1"/>
  <c r="AU248" i="35"/>
  <c r="AY248" i="35"/>
  <c r="AN248" i="35"/>
  <c r="AW248" i="35"/>
  <c r="AO248" i="35"/>
  <c r="AQ248" i="35"/>
  <c r="N355" i="35"/>
  <c r="D68" i="27"/>
  <c r="K68" i="27" s="1"/>
  <c r="K25" i="38"/>
  <c r="G25" i="38"/>
  <c r="D1281" i="35"/>
  <c r="C35" i="38"/>
  <c r="AX230" i="35"/>
  <c r="N230" i="35" s="1"/>
  <c r="AZ246" i="35"/>
  <c r="AY228" i="35"/>
  <c r="AV230" i="35"/>
  <c r="AY246" i="35"/>
  <c r="AV222" i="35"/>
  <c r="AX222" i="35"/>
  <c r="AT230" i="35"/>
  <c r="AT222" i="35"/>
  <c r="AY230" i="35"/>
  <c r="AX246" i="35"/>
  <c r="N246" i="35" s="1"/>
  <c r="AZ222" i="35"/>
  <c r="AW228" i="35"/>
  <c r="AX228" i="35"/>
  <c r="AS246" i="35"/>
  <c r="AR228" i="35"/>
  <c r="AZ230" i="35"/>
  <c r="AY222" i="35"/>
  <c r="AR246" i="35"/>
  <c r="AZ228" i="35"/>
  <c r="AS230" i="35"/>
  <c r="AW246" i="35"/>
  <c r="AQ246" i="35"/>
  <c r="AU246" i="35"/>
  <c r="AS222" i="35"/>
  <c r="AO228" i="35"/>
  <c r="AT228" i="35"/>
  <c r="AN230" i="35"/>
  <c r="AO230" i="35"/>
  <c r="AR230" i="35"/>
  <c r="AV246" i="35"/>
  <c r="AT246" i="35"/>
  <c r="AN222" i="35"/>
  <c r="AO222" i="35"/>
  <c r="AR222" i="35"/>
  <c r="AV228" i="35"/>
  <c r="AQ228" i="35"/>
  <c r="AW230" i="35"/>
  <c r="AQ230" i="35"/>
  <c r="AU230" i="35"/>
  <c r="AW222" i="35"/>
  <c r="AQ222" i="35"/>
  <c r="AU222" i="35"/>
  <c r="AN228" i="35"/>
  <c r="AS228" i="35"/>
  <c r="AN246" i="35"/>
  <c r="AO246" i="35"/>
  <c r="AU228" i="35"/>
  <c r="D58" i="27"/>
  <c r="J58" i="27" s="1"/>
  <c r="D1271" i="35"/>
  <c r="E1271" i="35"/>
  <c r="C51" i="38"/>
  <c r="M1463" i="35"/>
  <c r="AC51" i="38"/>
  <c r="AD51" i="38" s="1"/>
  <c r="D1287" i="35"/>
  <c r="E1287" i="35"/>
  <c r="D74" i="27"/>
  <c r="L186" i="32"/>
  <c r="AP51" i="38"/>
  <c r="AQ51" i="38" s="1"/>
  <c r="K7" i="38"/>
  <c r="I7" i="38"/>
  <c r="D1253" i="35"/>
  <c r="D40" i="27"/>
  <c r="J40" i="27" s="1"/>
  <c r="E1253" i="35"/>
  <c r="C5" i="38"/>
  <c r="G5" i="38" s="1"/>
  <c r="C28" i="38"/>
  <c r="G28" i="38" s="1"/>
  <c r="K61" i="38"/>
  <c r="G61" i="38"/>
  <c r="M47" i="38"/>
  <c r="C33" i="38"/>
  <c r="K33" i="38" s="1"/>
  <c r="X11" i="38"/>
  <c r="X8" i="38"/>
  <c r="X28" i="38"/>
  <c r="X13" i="38"/>
  <c r="X19" i="38"/>
  <c r="X29" i="38"/>
  <c r="X32" i="38"/>
  <c r="F1088" i="35"/>
  <c r="B1229" i="35" s="1"/>
  <c r="G47" i="38"/>
  <c r="I47" i="38"/>
  <c r="AC8" i="38"/>
  <c r="AD8" i="38" s="1"/>
  <c r="L182" i="32"/>
  <c r="AP47" i="38"/>
  <c r="AQ47" i="38" s="1"/>
  <c r="L140" i="32"/>
  <c r="AP5" i="38"/>
  <c r="AQ5" i="38" s="1"/>
  <c r="L152" i="32"/>
  <c r="AP17" i="38"/>
  <c r="AQ17" i="38" s="1"/>
  <c r="L157" i="32"/>
  <c r="AP22" i="38"/>
  <c r="AQ22" i="38" s="1"/>
  <c r="AC9" i="38"/>
  <c r="AD9" i="38" s="1"/>
  <c r="AC17" i="38"/>
  <c r="AD17" i="38" s="1"/>
  <c r="AC22" i="38"/>
  <c r="AD22" i="38" s="1"/>
  <c r="L144" i="32"/>
  <c r="AP9" i="38"/>
  <c r="AQ9" i="38" s="1"/>
  <c r="L143" i="32"/>
  <c r="AP8" i="38"/>
  <c r="AQ8" i="38" s="1"/>
  <c r="AC47" i="38"/>
  <c r="AD47" i="38" s="1"/>
  <c r="L539" i="35"/>
  <c r="R27" i="38"/>
  <c r="L545" i="35"/>
  <c r="R33" i="38"/>
  <c r="K45" i="27"/>
  <c r="K37" i="38"/>
  <c r="D1275" i="35"/>
  <c r="E1275" i="35"/>
  <c r="N357" i="35"/>
  <c r="I37" i="38"/>
  <c r="C17" i="38"/>
  <c r="G41" i="38"/>
  <c r="I41" i="38"/>
  <c r="I45" i="38"/>
  <c r="K45" i="38"/>
  <c r="K22" i="38"/>
  <c r="G22" i="38"/>
  <c r="I22" i="38"/>
  <c r="G21" i="38"/>
  <c r="I21" i="38"/>
  <c r="K21" i="38"/>
  <c r="I19" i="38"/>
  <c r="K19" i="38"/>
  <c r="G19" i="38"/>
  <c r="K8" i="38"/>
  <c r="G8" i="38"/>
  <c r="I8" i="38"/>
  <c r="N366" i="35"/>
  <c r="N363" i="35"/>
  <c r="N373" i="35"/>
  <c r="K922" i="35"/>
  <c r="L922" i="35" s="1"/>
  <c r="H1056" i="35"/>
  <c r="M456" i="35"/>
  <c r="C27" i="38"/>
  <c r="J250" i="27"/>
  <c r="I250" i="27"/>
  <c r="G13" i="38"/>
  <c r="K13" i="38"/>
  <c r="I13" i="38"/>
  <c r="M171" i="27"/>
  <c r="K928" i="35"/>
  <c r="L928" i="35" s="1"/>
  <c r="K30" i="27"/>
  <c r="J30" i="27"/>
  <c r="J71" i="27"/>
  <c r="K71" i="27"/>
  <c r="J69" i="27"/>
  <c r="K69" i="27"/>
  <c r="J80" i="27"/>
  <c r="K80" i="27"/>
  <c r="J256" i="27"/>
  <c r="I256" i="27"/>
  <c r="E1283" i="35"/>
  <c r="D70" i="27"/>
  <c r="D1283" i="35"/>
  <c r="J42" i="27"/>
  <c r="K42" i="27"/>
  <c r="D64" i="27"/>
  <c r="E1277" i="35"/>
  <c r="D1277" i="35"/>
  <c r="J1070" i="35"/>
  <c r="N385" i="35"/>
  <c r="M462" i="35"/>
  <c r="H1062" i="35"/>
  <c r="E1273" i="35"/>
  <c r="D1273" i="35"/>
  <c r="D60" i="27"/>
  <c r="E1241" i="35"/>
  <c r="D28" i="27"/>
  <c r="D1241" i="35"/>
  <c r="K52" i="27"/>
  <c r="J52" i="27"/>
  <c r="K36" i="27"/>
  <c r="J36" i="27"/>
  <c r="F1187" i="35" l="1"/>
  <c r="E1187" i="35"/>
  <c r="H1209" i="35"/>
  <c r="G1209" i="35"/>
  <c r="H1207" i="35"/>
  <c r="G1207" i="35"/>
  <c r="L1187" i="35"/>
  <c r="M1187" i="35"/>
  <c r="E1229" i="35"/>
  <c r="F1229" i="35"/>
  <c r="H1175" i="35"/>
  <c r="G1175" i="35"/>
  <c r="G1215" i="35"/>
  <c r="H1215" i="35"/>
  <c r="H1211" i="35"/>
  <c r="G1211" i="35"/>
  <c r="H1217" i="35"/>
  <c r="G1217" i="35"/>
  <c r="M1003" i="35"/>
  <c r="C1243" i="35"/>
  <c r="AA7" i="38" s="1"/>
  <c r="C1254" i="35"/>
  <c r="AA18" i="38" s="1"/>
  <c r="C1264" i="35"/>
  <c r="AA28" i="38" s="1"/>
  <c r="C1293" i="35"/>
  <c r="AA57" i="38" s="1"/>
  <c r="C1257" i="35"/>
  <c r="AA21" i="38" s="1"/>
  <c r="C1255" i="35"/>
  <c r="AA19" i="38" s="1"/>
  <c r="C1274" i="35"/>
  <c r="AA38" i="38" s="1"/>
  <c r="C1296" i="35"/>
  <c r="AA60" i="38" s="1"/>
  <c r="C1286" i="35"/>
  <c r="AA50" i="38" s="1"/>
  <c r="C1251" i="35"/>
  <c r="AA15" i="38" s="1"/>
  <c r="C1284" i="35"/>
  <c r="AA48" i="38" s="1"/>
  <c r="C1301" i="35"/>
  <c r="AA65" i="38" s="1"/>
  <c r="C1244" i="35"/>
  <c r="AA8" i="38" s="1"/>
  <c r="C1298" i="35"/>
  <c r="AA62" i="38" s="1"/>
  <c r="C1256" i="35"/>
  <c r="AA20" i="38" s="1"/>
  <c r="C1260" i="35"/>
  <c r="AA24" i="38" s="1"/>
  <c r="C1288" i="35"/>
  <c r="AA52" i="38" s="1"/>
  <c r="C1282" i="35"/>
  <c r="AA46" i="38" s="1"/>
  <c r="C1259" i="35"/>
  <c r="AA23" i="38" s="1"/>
  <c r="C1247" i="35"/>
  <c r="AA11" i="38" s="1"/>
  <c r="C1276" i="35"/>
  <c r="AA40" i="38" s="1"/>
  <c r="C1297" i="35"/>
  <c r="AA61" i="38" s="1"/>
  <c r="C1299" i="35"/>
  <c r="AA63" i="38" s="1"/>
  <c r="C1295" i="35"/>
  <c r="AA59" i="38" s="1"/>
  <c r="C1268" i="35"/>
  <c r="AA32" i="38" s="1"/>
  <c r="C1258" i="35"/>
  <c r="AA22" i="38" s="1"/>
  <c r="C1248" i="35"/>
  <c r="AA12" i="38" s="1"/>
  <c r="C1245" i="35"/>
  <c r="AA9" i="38" s="1"/>
  <c r="C1265" i="35"/>
  <c r="AA29" i="38" s="1"/>
  <c r="C1294" i="35"/>
  <c r="AA58" i="38" s="1"/>
  <c r="C1249" i="35"/>
  <c r="AA13" i="38" s="1"/>
  <c r="G644" i="33"/>
  <c r="I652" i="33"/>
  <c r="J652" i="33" s="1"/>
  <c r="K652" i="33" s="1"/>
  <c r="K385" i="33"/>
  <c r="E727" i="33"/>
  <c r="G727" i="33" s="1"/>
  <c r="G385" i="33"/>
  <c r="M385" i="33" s="1"/>
  <c r="D652" i="33" s="1"/>
  <c r="F652" i="33" s="1"/>
  <c r="K907" i="33"/>
  <c r="L385" i="33"/>
  <c r="N761" i="33"/>
  <c r="K692" i="33"/>
  <c r="O759" i="33"/>
  <c r="M741" i="33"/>
  <c r="H807" i="33"/>
  <c r="M46" i="38"/>
  <c r="M760" i="33"/>
  <c r="H826" i="33"/>
  <c r="M729" i="33"/>
  <c r="H795" i="33"/>
  <c r="M757" i="33"/>
  <c r="N757" i="33" s="1"/>
  <c r="H823" i="33"/>
  <c r="M751" i="33"/>
  <c r="H817" i="33"/>
  <c r="M779" i="33"/>
  <c r="H845" i="33"/>
  <c r="M766" i="33"/>
  <c r="O766" i="33" s="1"/>
  <c r="H832" i="33"/>
  <c r="M752" i="33"/>
  <c r="H818" i="33"/>
  <c r="M746" i="33"/>
  <c r="H812" i="33"/>
  <c r="M747" i="33"/>
  <c r="H813" i="33"/>
  <c r="M735" i="33"/>
  <c r="H801" i="33"/>
  <c r="M733" i="33"/>
  <c r="H799" i="33"/>
  <c r="I802" i="33"/>
  <c r="J802" i="33"/>
  <c r="M767" i="33"/>
  <c r="N767" i="33" s="1"/>
  <c r="H833" i="33"/>
  <c r="M393" i="33"/>
  <c r="D660" i="33" s="1"/>
  <c r="F660" i="33" s="1"/>
  <c r="I735" i="33" s="1"/>
  <c r="M745" i="33"/>
  <c r="H811" i="33"/>
  <c r="M777" i="33"/>
  <c r="H843" i="33"/>
  <c r="I798" i="33"/>
  <c r="J798" i="33"/>
  <c r="J796" i="33"/>
  <c r="I796" i="33"/>
  <c r="M755" i="33"/>
  <c r="H821" i="33"/>
  <c r="M734" i="33"/>
  <c r="H800" i="33"/>
  <c r="M754" i="33"/>
  <c r="N754" i="33" s="1"/>
  <c r="H820" i="33"/>
  <c r="M781" i="33"/>
  <c r="H847" i="33"/>
  <c r="M784" i="33"/>
  <c r="H850" i="33"/>
  <c r="M772" i="33"/>
  <c r="N772" i="33" s="1"/>
  <c r="H838" i="33"/>
  <c r="J794" i="33"/>
  <c r="I794" i="33"/>
  <c r="M725" i="33"/>
  <c r="N725" i="33" s="1"/>
  <c r="H791" i="33"/>
  <c r="I781" i="33"/>
  <c r="D847" i="33"/>
  <c r="I727" i="33"/>
  <c r="K727" i="33" s="1"/>
  <c r="D793" i="33"/>
  <c r="I738" i="33"/>
  <c r="K738" i="33" s="1"/>
  <c r="D804" i="33"/>
  <c r="I748" i="33"/>
  <c r="D814" i="33"/>
  <c r="I744" i="33"/>
  <c r="K744" i="33" s="1"/>
  <c r="D810" i="33"/>
  <c r="I749" i="33"/>
  <c r="K749" i="33" s="1"/>
  <c r="D815" i="33"/>
  <c r="I736" i="33"/>
  <c r="J736" i="33" s="1"/>
  <c r="D802" i="33"/>
  <c r="M408" i="33"/>
  <c r="D675" i="33" s="1"/>
  <c r="F675" i="33" s="1"/>
  <c r="G745" i="33"/>
  <c r="M392" i="33"/>
  <c r="D659" i="33" s="1"/>
  <c r="F659" i="33" s="1"/>
  <c r="M395" i="33"/>
  <c r="D662" i="33" s="1"/>
  <c r="F662" i="33" s="1"/>
  <c r="M403" i="33"/>
  <c r="D670" i="33" s="1"/>
  <c r="F670" i="33" s="1"/>
  <c r="G728" i="33"/>
  <c r="M397" i="33"/>
  <c r="D664" i="33" s="1"/>
  <c r="F664" i="33" s="1"/>
  <c r="I824" i="33"/>
  <c r="J824" i="33"/>
  <c r="J813" i="33"/>
  <c r="I813" i="33"/>
  <c r="J819" i="33"/>
  <c r="I819" i="33"/>
  <c r="D733" i="33"/>
  <c r="H733" i="33"/>
  <c r="G752" i="33"/>
  <c r="K736" i="33"/>
  <c r="G734" i="33"/>
  <c r="G733" i="33"/>
  <c r="G740" i="33"/>
  <c r="N755" i="33"/>
  <c r="O755" i="33"/>
  <c r="O760" i="33"/>
  <c r="N760" i="33"/>
  <c r="H746" i="33"/>
  <c r="D746" i="33"/>
  <c r="G746" i="33" s="1"/>
  <c r="G750" i="33"/>
  <c r="G739" i="33"/>
  <c r="N766" i="33"/>
  <c r="O725" i="33"/>
  <c r="J823" i="33"/>
  <c r="I823" i="33"/>
  <c r="G751" i="33"/>
  <c r="H747" i="33"/>
  <c r="D747" i="33"/>
  <c r="G747" i="33" s="1"/>
  <c r="O772" i="33"/>
  <c r="M409" i="33"/>
  <c r="D676" i="33" s="1"/>
  <c r="F676" i="33" s="1"/>
  <c r="H731" i="33"/>
  <c r="D731" i="33"/>
  <c r="G737" i="33"/>
  <c r="O767" i="33"/>
  <c r="N758" i="33"/>
  <c r="O758" i="33"/>
  <c r="K781" i="33"/>
  <c r="J781" i="33"/>
  <c r="D735" i="33"/>
  <c r="G735" i="33" s="1"/>
  <c r="H735" i="33"/>
  <c r="J744" i="33"/>
  <c r="J727" i="33"/>
  <c r="G743" i="33"/>
  <c r="G725" i="33"/>
  <c r="O784" i="33"/>
  <c r="N784" i="33"/>
  <c r="J1003" i="35"/>
  <c r="M973" i="35"/>
  <c r="G599" i="33"/>
  <c r="M23" i="38"/>
  <c r="M390" i="33"/>
  <c r="D657" i="33" s="1"/>
  <c r="F657" i="33" s="1"/>
  <c r="M400" i="33"/>
  <c r="D667" i="33" s="1"/>
  <c r="F667" i="33" s="1"/>
  <c r="M391" i="33"/>
  <c r="D658" i="33" s="1"/>
  <c r="F658" i="33" s="1"/>
  <c r="M410" i="33"/>
  <c r="D677" i="33" s="1"/>
  <c r="F677" i="33" s="1"/>
  <c r="M435" i="33"/>
  <c r="D702" i="33" s="1"/>
  <c r="F702" i="33" s="1"/>
  <c r="H599" i="33"/>
  <c r="M387" i="33"/>
  <c r="D654" i="33" s="1"/>
  <c r="F654" i="33" s="1"/>
  <c r="M404" i="33"/>
  <c r="D671" i="33" s="1"/>
  <c r="F671" i="33" s="1"/>
  <c r="J698" i="33"/>
  <c r="K698" i="33"/>
  <c r="J649" i="33"/>
  <c r="K649" i="33"/>
  <c r="J693" i="33"/>
  <c r="K693" i="33"/>
  <c r="J699" i="33"/>
  <c r="K699" i="33"/>
  <c r="E686" i="33"/>
  <c r="F686" i="33" s="1"/>
  <c r="J636" i="33"/>
  <c r="E702" i="33" s="1"/>
  <c r="E785" i="33"/>
  <c r="L66" i="38"/>
  <c r="I710" i="33"/>
  <c r="J710" i="33" s="1"/>
  <c r="K710" i="33" s="1"/>
  <c r="K965" i="33"/>
  <c r="G443" i="33"/>
  <c r="L443" i="33"/>
  <c r="K443" i="33"/>
  <c r="J700" i="33"/>
  <c r="K700" i="33"/>
  <c r="J599" i="33"/>
  <c r="E665" i="33" s="1"/>
  <c r="J600" i="33"/>
  <c r="E666" i="33" s="1"/>
  <c r="J694" i="33"/>
  <c r="K694" i="33"/>
  <c r="E691" i="33"/>
  <c r="F691" i="33" s="1"/>
  <c r="M437" i="33"/>
  <c r="D704" i="33" s="1"/>
  <c r="F704" i="33" s="1"/>
  <c r="E709" i="33"/>
  <c r="F709" i="33" s="1"/>
  <c r="E684" i="33"/>
  <c r="F684" i="33" s="1"/>
  <c r="J586" i="33"/>
  <c r="E652" i="33" s="1"/>
  <c r="J590" i="33"/>
  <c r="E656" i="33" s="1"/>
  <c r="I707" i="33"/>
  <c r="J707" i="33" s="1"/>
  <c r="K707" i="33" s="1"/>
  <c r="J708" i="33"/>
  <c r="K708" i="33"/>
  <c r="J637" i="33"/>
  <c r="E703" i="33" s="1"/>
  <c r="J602" i="33"/>
  <c r="E668" i="33" s="1"/>
  <c r="M388" i="33"/>
  <c r="D655" i="33" s="1"/>
  <c r="F655" i="33" s="1"/>
  <c r="K696" i="33"/>
  <c r="I687" i="33"/>
  <c r="J687" i="33" s="1"/>
  <c r="K687" i="33" s="1"/>
  <c r="M386" i="33"/>
  <c r="D653" i="33" s="1"/>
  <c r="F653" i="33" s="1"/>
  <c r="E681" i="33"/>
  <c r="F681" i="33" s="1"/>
  <c r="M10" i="38"/>
  <c r="M405" i="33"/>
  <c r="D672" i="33" s="1"/>
  <c r="F672" i="33" s="1"/>
  <c r="K958" i="33"/>
  <c r="I703" i="33"/>
  <c r="J703" i="33" s="1"/>
  <c r="K703" i="33" s="1"/>
  <c r="J695" i="33"/>
  <c r="K695" i="33"/>
  <c r="F1019" i="35"/>
  <c r="H635" i="33"/>
  <c r="H1019" i="35"/>
  <c r="E635" i="33"/>
  <c r="F635" i="33"/>
  <c r="J641" i="33"/>
  <c r="E707" i="33" s="1"/>
  <c r="J639" i="33"/>
  <c r="E705" i="33" s="1"/>
  <c r="I689" i="33"/>
  <c r="J689" i="33" s="1"/>
  <c r="K689" i="33" s="1"/>
  <c r="E731" i="33"/>
  <c r="I656" i="33"/>
  <c r="J656" i="33" s="1"/>
  <c r="K656" i="33" s="1"/>
  <c r="I705" i="33"/>
  <c r="J705" i="33" s="1"/>
  <c r="K705" i="33" s="1"/>
  <c r="K651" i="33"/>
  <c r="H24" i="38"/>
  <c r="G401" i="33"/>
  <c r="I668" i="33"/>
  <c r="J668" i="33" s="1"/>
  <c r="K668" i="33" s="1"/>
  <c r="L401" i="33"/>
  <c r="L24" i="38"/>
  <c r="J644" i="33"/>
  <c r="E710" i="33" s="1"/>
  <c r="I665" i="33"/>
  <c r="J665" i="33" s="1"/>
  <c r="K665" i="33" s="1"/>
  <c r="H21" i="38"/>
  <c r="G398" i="33"/>
  <c r="L21" i="38"/>
  <c r="L398" i="33"/>
  <c r="J678" i="33"/>
  <c r="K678" i="33"/>
  <c r="M59" i="38"/>
  <c r="I967" i="35"/>
  <c r="H609" i="33"/>
  <c r="I994" i="35"/>
  <c r="I995" i="35"/>
  <c r="L565" i="33"/>
  <c r="C1016" i="35"/>
  <c r="M565" i="33"/>
  <c r="H632" i="33" s="1"/>
  <c r="I997" i="35"/>
  <c r="M997" i="35" s="1"/>
  <c r="I975" i="35"/>
  <c r="I1025" i="35"/>
  <c r="H984" i="35"/>
  <c r="E600" i="33"/>
  <c r="F600" i="33"/>
  <c r="G600" i="33" s="1"/>
  <c r="I1000" i="35"/>
  <c r="F1016" i="35"/>
  <c r="H587" i="33"/>
  <c r="I1008" i="35"/>
  <c r="J40" i="38"/>
  <c r="K429" i="33"/>
  <c r="E771" i="33"/>
  <c r="M559" i="33"/>
  <c r="H626" i="33" s="1"/>
  <c r="L559" i="33"/>
  <c r="C1010" i="35"/>
  <c r="I984" i="35"/>
  <c r="K399" i="33"/>
  <c r="E741" i="33"/>
  <c r="G741" i="33" s="1"/>
  <c r="H22" i="38"/>
  <c r="G399" i="33"/>
  <c r="L22" i="38"/>
  <c r="K921" i="33"/>
  <c r="L399" i="33"/>
  <c r="F1010" i="35"/>
  <c r="I998" i="35"/>
  <c r="I1022" i="35"/>
  <c r="I974" i="35"/>
  <c r="F984" i="35"/>
  <c r="H600" i="33"/>
  <c r="H584" i="33"/>
  <c r="K426" i="33"/>
  <c r="E768" i="33"/>
  <c r="K382" i="33"/>
  <c r="E724" i="33"/>
  <c r="J8" i="38"/>
  <c r="I969" i="35"/>
  <c r="K432" i="33"/>
  <c r="E774" i="33"/>
  <c r="I1023" i="35"/>
  <c r="K436" i="33"/>
  <c r="E778" i="33"/>
  <c r="G778" i="33" s="1"/>
  <c r="L59" i="38"/>
  <c r="L436" i="33"/>
  <c r="H59" i="38"/>
  <c r="G436" i="33"/>
  <c r="E773" i="33"/>
  <c r="K953" i="33"/>
  <c r="L431" i="33"/>
  <c r="K431" i="33"/>
  <c r="H54" i="38"/>
  <c r="G431" i="33"/>
  <c r="K973" i="35"/>
  <c r="J973" i="35"/>
  <c r="L973" i="35" s="1"/>
  <c r="K911" i="33"/>
  <c r="K389" i="33"/>
  <c r="L438" i="33"/>
  <c r="K438" i="33"/>
  <c r="K906" i="33"/>
  <c r="K384" i="33"/>
  <c r="K944" i="33"/>
  <c r="K422" i="33"/>
  <c r="K942" i="33"/>
  <c r="K420" i="33"/>
  <c r="K962" i="33"/>
  <c r="K440" i="33"/>
  <c r="AJ572" i="45"/>
  <c r="Y563" i="45"/>
  <c r="AJ562" i="45" s="1"/>
  <c r="AJ557" i="45"/>
  <c r="K951" i="33"/>
  <c r="L429" i="33"/>
  <c r="H52" i="38"/>
  <c r="G429" i="33"/>
  <c r="F1014" i="35"/>
  <c r="Y39" i="38"/>
  <c r="Y37" i="38"/>
  <c r="Y17" i="38"/>
  <c r="M38" i="38"/>
  <c r="Y5" i="38"/>
  <c r="Y45" i="38"/>
  <c r="E616" i="33"/>
  <c r="F616" i="33"/>
  <c r="H1000" i="35"/>
  <c r="Y41" i="38"/>
  <c r="Y47" i="38"/>
  <c r="N349" i="35"/>
  <c r="J1034" i="35"/>
  <c r="L38" i="38"/>
  <c r="H616" i="33"/>
  <c r="L563" i="33"/>
  <c r="M563" i="33"/>
  <c r="C1014" i="35"/>
  <c r="M1000" i="35"/>
  <c r="N405" i="35"/>
  <c r="L61" i="38"/>
  <c r="G438" i="33"/>
  <c r="M198" i="27"/>
  <c r="K960" i="33"/>
  <c r="M61" i="38" s="1"/>
  <c r="H61" i="38"/>
  <c r="F1023" i="35"/>
  <c r="H639" i="33"/>
  <c r="H1023" i="35"/>
  <c r="E639" i="33"/>
  <c r="F639" i="33"/>
  <c r="G639" i="33" s="1"/>
  <c r="M211" i="27"/>
  <c r="G619" i="33"/>
  <c r="J619" i="33" s="1"/>
  <c r="J1093" i="35"/>
  <c r="L1093" i="35" s="1"/>
  <c r="N409" i="35"/>
  <c r="L1072" i="35"/>
  <c r="M166" i="27"/>
  <c r="L1066" i="35"/>
  <c r="M186" i="27"/>
  <c r="M212" i="27"/>
  <c r="M172" i="27"/>
  <c r="M197" i="27"/>
  <c r="L1076" i="35"/>
  <c r="M32" i="38"/>
  <c r="M205" i="27"/>
  <c r="M168" i="27"/>
  <c r="AK6" i="38"/>
  <c r="L999" i="35"/>
  <c r="M199" i="27"/>
  <c r="L1070" i="35"/>
  <c r="M208" i="27"/>
  <c r="L1009" i="35"/>
  <c r="G617" i="33"/>
  <c r="J617" i="33" s="1"/>
  <c r="G631" i="33"/>
  <c r="J631" i="33" s="1"/>
  <c r="M167" i="27"/>
  <c r="M51" i="38"/>
  <c r="M31" i="38"/>
  <c r="L1003" i="35"/>
  <c r="M26" i="38"/>
  <c r="G612" i="33"/>
  <c r="J612" i="33" s="1"/>
  <c r="L1027" i="35"/>
  <c r="L1004" i="35"/>
  <c r="K193" i="27"/>
  <c r="AK47" i="38" s="1"/>
  <c r="N401" i="35"/>
  <c r="M58" i="38"/>
  <c r="M14" i="38"/>
  <c r="M162" i="27"/>
  <c r="G1062" i="35"/>
  <c r="C1203" i="35" s="1"/>
  <c r="D1062" i="35"/>
  <c r="F1062" i="35" s="1"/>
  <c r="B1203" i="35" s="1"/>
  <c r="H56" i="27"/>
  <c r="I56" i="27" s="1"/>
  <c r="AH33" i="38" s="1"/>
  <c r="AI33" i="38" s="1"/>
  <c r="G1056" i="35"/>
  <c r="C1197" i="35" s="1"/>
  <c r="D1056" i="35"/>
  <c r="F1056" i="35" s="1"/>
  <c r="B1197" i="35" s="1"/>
  <c r="H50" i="27"/>
  <c r="I50" i="27" s="1"/>
  <c r="AH27" i="38" s="1"/>
  <c r="AI27" i="38" s="1"/>
  <c r="K1056" i="35"/>
  <c r="K1062" i="35"/>
  <c r="L1002" i="35"/>
  <c r="I28" i="27"/>
  <c r="AH5" i="38" s="1"/>
  <c r="AI5" i="38" s="1"/>
  <c r="K151" i="27"/>
  <c r="L49" i="38"/>
  <c r="K948" i="33"/>
  <c r="M977" i="35"/>
  <c r="K904" i="33"/>
  <c r="K977" i="35"/>
  <c r="J977" i="35"/>
  <c r="L977" i="35" s="1"/>
  <c r="K970" i="35"/>
  <c r="J970" i="35"/>
  <c r="L970" i="35" s="1"/>
  <c r="M982" i="35"/>
  <c r="M1021" i="35"/>
  <c r="K980" i="35"/>
  <c r="J980" i="35"/>
  <c r="L980" i="35" s="1"/>
  <c r="M988" i="35"/>
  <c r="J1013" i="35"/>
  <c r="K1013" i="35"/>
  <c r="M996" i="35"/>
  <c r="J990" i="35"/>
  <c r="K990" i="35"/>
  <c r="K989" i="35"/>
  <c r="J989" i="35"/>
  <c r="L989" i="35" s="1"/>
  <c r="M1020" i="35"/>
  <c r="K1026" i="35"/>
  <c r="J1026" i="35"/>
  <c r="M1001" i="35"/>
  <c r="M976" i="35"/>
  <c r="K982" i="35"/>
  <c r="J982" i="35"/>
  <c r="L982" i="35" s="1"/>
  <c r="K995" i="35"/>
  <c r="J995" i="35"/>
  <c r="K968" i="35"/>
  <c r="J968" i="35"/>
  <c r="M1026" i="35"/>
  <c r="L990" i="35"/>
  <c r="M990" i="35"/>
  <c r="K1015" i="35"/>
  <c r="J1015" i="35"/>
  <c r="K983" i="35"/>
  <c r="J983" i="35"/>
  <c r="L983" i="35" s="1"/>
  <c r="K1001" i="35"/>
  <c r="J1001" i="35"/>
  <c r="M970" i="35"/>
  <c r="J1012" i="35"/>
  <c r="K1012" i="35"/>
  <c r="J1024" i="35"/>
  <c r="L1024" i="35" s="1"/>
  <c r="K1024" i="35"/>
  <c r="M1015" i="35"/>
  <c r="M1006" i="35"/>
  <c r="K986" i="35"/>
  <c r="J986" i="35"/>
  <c r="L986" i="35" s="1"/>
  <c r="G613" i="33"/>
  <c r="K988" i="35"/>
  <c r="J988" i="35"/>
  <c r="L988" i="35" s="1"/>
  <c r="M1024" i="35"/>
  <c r="M989" i="35"/>
  <c r="M978" i="35"/>
  <c r="J1021" i="35"/>
  <c r="L1021" i="35" s="1"/>
  <c r="K1021" i="35"/>
  <c r="L55" i="38"/>
  <c r="K954" i="33"/>
  <c r="K1006" i="35"/>
  <c r="J1006" i="35"/>
  <c r="K976" i="35"/>
  <c r="J976" i="35"/>
  <c r="L976" i="35" s="1"/>
  <c r="K996" i="35"/>
  <c r="J996" i="35"/>
  <c r="J1028" i="35"/>
  <c r="L1028" i="35" s="1"/>
  <c r="K1028" i="35"/>
  <c r="M980" i="35"/>
  <c r="M983" i="35"/>
  <c r="K971" i="35"/>
  <c r="J971" i="35"/>
  <c r="L971" i="35" s="1"/>
  <c r="M1028" i="35"/>
  <c r="J1020" i="35"/>
  <c r="L1020" i="35" s="1"/>
  <c r="K1020" i="35"/>
  <c r="K997" i="35"/>
  <c r="J997" i="35"/>
  <c r="M1012" i="35"/>
  <c r="M1013" i="35"/>
  <c r="M986" i="35"/>
  <c r="K978" i="35"/>
  <c r="J978" i="35"/>
  <c r="L978" i="35" s="1"/>
  <c r="M177" i="27"/>
  <c r="K153" i="27"/>
  <c r="AK7" i="38" s="1"/>
  <c r="K195" i="27"/>
  <c r="AK49" i="38" s="1"/>
  <c r="K160" i="27"/>
  <c r="M160" i="27" s="1"/>
  <c r="K204" i="27"/>
  <c r="M204" i="27" s="1"/>
  <c r="AK55" i="38"/>
  <c r="M201" i="27"/>
  <c r="AK18" i="38"/>
  <c r="M164" i="27"/>
  <c r="AK32" i="38"/>
  <c r="M178" i="27"/>
  <c r="AK30" i="38"/>
  <c r="M176" i="27"/>
  <c r="AK15" i="38"/>
  <c r="M161" i="27"/>
  <c r="AK12" i="38"/>
  <c r="M158" i="27"/>
  <c r="AK24" i="38"/>
  <c r="M170" i="27"/>
  <c r="AK61" i="38"/>
  <c r="M207" i="27"/>
  <c r="AK9" i="38"/>
  <c r="M155" i="27"/>
  <c r="AK64" i="38"/>
  <c r="M210" i="27"/>
  <c r="AK50" i="38"/>
  <c r="M196" i="27"/>
  <c r="AK10" i="38"/>
  <c r="M156" i="27"/>
  <c r="AK34" i="38"/>
  <c r="M180" i="27"/>
  <c r="AK38" i="38"/>
  <c r="M184" i="27"/>
  <c r="J175" i="27"/>
  <c r="K175" i="27" s="1"/>
  <c r="J189" i="27"/>
  <c r="K189" i="27" s="1"/>
  <c r="J157" i="27"/>
  <c r="K157" i="27" s="1"/>
  <c r="J200" i="27"/>
  <c r="K200" i="27" s="1"/>
  <c r="J181" i="27"/>
  <c r="K181" i="27" s="1"/>
  <c r="J203" i="27"/>
  <c r="K203" i="27" s="1"/>
  <c r="J165" i="27"/>
  <c r="K165" i="27" s="1"/>
  <c r="J174" i="27"/>
  <c r="K174" i="27" s="1"/>
  <c r="J159" i="27"/>
  <c r="K159" i="27" s="1"/>
  <c r="J192" i="27"/>
  <c r="K192" i="27" s="1"/>
  <c r="G629" i="33"/>
  <c r="J629" i="33" s="1"/>
  <c r="G622" i="33"/>
  <c r="J622" i="33" s="1"/>
  <c r="G628" i="33"/>
  <c r="J628" i="33" s="1"/>
  <c r="G642" i="33"/>
  <c r="J642" i="33" s="1"/>
  <c r="G584" i="33"/>
  <c r="H1018" i="35"/>
  <c r="F634" i="33"/>
  <c r="E634" i="33"/>
  <c r="F609" i="33"/>
  <c r="G609" i="33" s="1"/>
  <c r="E609" i="33"/>
  <c r="H974" i="35"/>
  <c r="F590" i="33"/>
  <c r="G590" i="33" s="1"/>
  <c r="E590" i="33"/>
  <c r="F974" i="35"/>
  <c r="H590" i="33"/>
  <c r="H967" i="35"/>
  <c r="F583" i="33"/>
  <c r="E583" i="33"/>
  <c r="H7" i="38"/>
  <c r="G384" i="33"/>
  <c r="L384" i="33"/>
  <c r="F1011" i="35"/>
  <c r="H627" i="33"/>
  <c r="F1025" i="35"/>
  <c r="H641" i="33"/>
  <c r="M64" i="38"/>
  <c r="M24" i="38"/>
  <c r="L5" i="38"/>
  <c r="H994" i="35"/>
  <c r="F610" i="33"/>
  <c r="G610" i="33" s="1"/>
  <c r="E610" i="33"/>
  <c r="H45" i="38"/>
  <c r="G422" i="33"/>
  <c r="L43" i="38"/>
  <c r="L45" i="38"/>
  <c r="F967" i="35"/>
  <c r="H583" i="33"/>
  <c r="H12" i="38"/>
  <c r="G389" i="33"/>
  <c r="L12" i="38"/>
  <c r="H1011" i="35"/>
  <c r="E627" i="33"/>
  <c r="F627" i="33"/>
  <c r="M44" i="38"/>
  <c r="M39" i="38"/>
  <c r="M50" i="38"/>
  <c r="F994" i="35"/>
  <c r="H610" i="33"/>
  <c r="F998" i="35"/>
  <c r="H614" i="33"/>
  <c r="F1022" i="35"/>
  <c r="H638" i="33"/>
  <c r="H43" i="38"/>
  <c r="G420" i="33"/>
  <c r="F975" i="35"/>
  <c r="H591" i="33"/>
  <c r="F1008" i="35"/>
  <c r="H624" i="33"/>
  <c r="H611" i="33"/>
  <c r="G611" i="33"/>
  <c r="F1018" i="35"/>
  <c r="H634" i="33"/>
  <c r="E624" i="33"/>
  <c r="F624" i="33"/>
  <c r="H49" i="38"/>
  <c r="G426" i="33"/>
  <c r="L426" i="33"/>
  <c r="H55" i="38"/>
  <c r="G432" i="33"/>
  <c r="L432" i="33"/>
  <c r="H5" i="38"/>
  <c r="G382" i="33"/>
  <c r="L382" i="33"/>
  <c r="M13" i="38"/>
  <c r="L422" i="33"/>
  <c r="L420" i="33"/>
  <c r="M60" i="38"/>
  <c r="M66" i="38"/>
  <c r="H1022" i="35"/>
  <c r="F638" i="33"/>
  <c r="G638" i="33" s="1"/>
  <c r="E638" i="33"/>
  <c r="H998" i="35"/>
  <c r="F614" i="33"/>
  <c r="E614" i="33"/>
  <c r="H975" i="35"/>
  <c r="E591" i="33"/>
  <c r="F591" i="33"/>
  <c r="G591" i="33" s="1"/>
  <c r="L7" i="38"/>
  <c r="F641" i="33"/>
  <c r="G641" i="33" s="1"/>
  <c r="E641" i="33"/>
  <c r="H63" i="38"/>
  <c r="G440" i="33"/>
  <c r="M27" i="38"/>
  <c r="M9" i="38"/>
  <c r="M28" i="38"/>
  <c r="L63" i="38"/>
  <c r="L440" i="33"/>
  <c r="L389" i="33"/>
  <c r="H613" i="33"/>
  <c r="J1063" i="35"/>
  <c r="L1063" i="35" s="1"/>
  <c r="J187" i="27"/>
  <c r="J183" i="27"/>
  <c r="J185" i="27"/>
  <c r="AJ17" i="38"/>
  <c r="J163" i="27"/>
  <c r="K163" i="27" s="1"/>
  <c r="C26" i="38"/>
  <c r="I26" i="38" s="1"/>
  <c r="H1025" i="35"/>
  <c r="G63" i="38"/>
  <c r="K63" i="38"/>
  <c r="I63" i="38"/>
  <c r="F1017" i="35"/>
  <c r="L566" i="33"/>
  <c r="C1017" i="35"/>
  <c r="M566" i="33"/>
  <c r="H993" i="35"/>
  <c r="I993" i="35"/>
  <c r="M993" i="35" s="1"/>
  <c r="I1011" i="35"/>
  <c r="F995" i="35"/>
  <c r="H1008" i="35"/>
  <c r="I968" i="35"/>
  <c r="M968" i="35" s="1"/>
  <c r="I971" i="35"/>
  <c r="M971" i="35" s="1"/>
  <c r="M1417" i="35"/>
  <c r="AC5" i="38"/>
  <c r="AD5" i="38" s="1"/>
  <c r="AJ47" i="38"/>
  <c r="AJ37" i="38"/>
  <c r="AJ39" i="38"/>
  <c r="J1068" i="35"/>
  <c r="L1068" i="35" s="1"/>
  <c r="M474" i="35"/>
  <c r="N390" i="35"/>
  <c r="J47" i="27"/>
  <c r="N228" i="35"/>
  <c r="J1062" i="35" s="1"/>
  <c r="N240" i="35"/>
  <c r="J1074" i="35" s="1"/>
  <c r="L1074" i="35" s="1"/>
  <c r="N237" i="35"/>
  <c r="J1071" i="35" s="1"/>
  <c r="L1071" i="35" s="1"/>
  <c r="I12" i="38"/>
  <c r="K12" i="38"/>
  <c r="G12" i="38"/>
  <c r="N391" i="35"/>
  <c r="K87" i="27"/>
  <c r="K39" i="27"/>
  <c r="J49" i="27"/>
  <c r="J57" i="27"/>
  <c r="K62" i="27"/>
  <c r="N362" i="35"/>
  <c r="J1078" i="35"/>
  <c r="L1078" i="35" s="1"/>
  <c r="J30" i="38"/>
  <c r="C1005" i="35"/>
  <c r="M554" i="33"/>
  <c r="K78" i="27"/>
  <c r="D585" i="33"/>
  <c r="K9" i="38"/>
  <c r="C969" i="35"/>
  <c r="L518" i="33"/>
  <c r="K72" i="27"/>
  <c r="K59" i="27"/>
  <c r="N353" i="35"/>
  <c r="J77" i="27"/>
  <c r="K76" i="27"/>
  <c r="J1095" i="35"/>
  <c r="L1095" i="35" s="1"/>
  <c r="N381" i="35"/>
  <c r="N402" i="35"/>
  <c r="J42" i="38"/>
  <c r="G9" i="38"/>
  <c r="G43" i="38"/>
  <c r="G58" i="38"/>
  <c r="J1045" i="35"/>
  <c r="L1045" i="35" s="1"/>
  <c r="N403" i="35"/>
  <c r="N356" i="35"/>
  <c r="N396" i="35"/>
  <c r="J1039" i="35"/>
  <c r="L1039" i="35" s="1"/>
  <c r="N354" i="35"/>
  <c r="J79" i="27"/>
  <c r="J1060" i="35"/>
  <c r="L1060" i="35" s="1"/>
  <c r="J1043" i="35"/>
  <c r="L1043" i="35" s="1"/>
  <c r="J1084" i="35"/>
  <c r="L1084" i="35" s="1"/>
  <c r="J66" i="27"/>
  <c r="N394" i="35"/>
  <c r="J1065" i="35"/>
  <c r="L1065" i="35" s="1"/>
  <c r="N397" i="35"/>
  <c r="N406" i="35"/>
  <c r="N400" i="35"/>
  <c r="J1055" i="35"/>
  <c r="L1055" i="35" s="1"/>
  <c r="J1083" i="35"/>
  <c r="L1083" i="35" s="1"/>
  <c r="J1035" i="35"/>
  <c r="L1035" i="35" s="1"/>
  <c r="C1242" i="35" s="1"/>
  <c r="AA6" i="38" s="1"/>
  <c r="L554" i="33"/>
  <c r="D621" i="33"/>
  <c r="I43" i="38"/>
  <c r="J1073" i="35"/>
  <c r="L1073" i="35" s="1"/>
  <c r="N388" i="35"/>
  <c r="J65" i="27"/>
  <c r="K65" i="27"/>
  <c r="K29" i="27"/>
  <c r="J29" i="27"/>
  <c r="I58" i="38"/>
  <c r="N364" i="35"/>
  <c r="I53" i="38"/>
  <c r="G53" i="38"/>
  <c r="J65" i="38"/>
  <c r="N368" i="35"/>
  <c r="K15" i="38"/>
  <c r="G15" i="38"/>
  <c r="I15" i="38"/>
  <c r="K31" i="38"/>
  <c r="G31" i="38"/>
  <c r="I31" i="38"/>
  <c r="L1034" i="35"/>
  <c r="K18" i="38"/>
  <c r="G18" i="38"/>
  <c r="I18" i="38"/>
  <c r="G14" i="38"/>
  <c r="K14" i="38"/>
  <c r="I14" i="38"/>
  <c r="K6" i="38"/>
  <c r="G6" i="38"/>
  <c r="I6" i="38"/>
  <c r="K34" i="38"/>
  <c r="G34" i="38"/>
  <c r="I34" i="38"/>
  <c r="AJ43" i="38"/>
  <c r="G16" i="38"/>
  <c r="K16" i="38"/>
  <c r="I16" i="38"/>
  <c r="G46" i="38"/>
  <c r="I46" i="38"/>
  <c r="K46" i="38"/>
  <c r="I20" i="38"/>
  <c r="K20" i="38"/>
  <c r="G20" i="38"/>
  <c r="J1056" i="35"/>
  <c r="N395" i="35"/>
  <c r="J1064" i="35"/>
  <c r="L1064" i="35" s="1"/>
  <c r="J68" i="27"/>
  <c r="K35" i="38"/>
  <c r="I35" i="38"/>
  <c r="G35" i="38"/>
  <c r="K58" i="27"/>
  <c r="K74" i="27"/>
  <c r="J74" i="27"/>
  <c r="I51" i="38"/>
  <c r="K51" i="38"/>
  <c r="G51" i="38"/>
  <c r="K28" i="38"/>
  <c r="I28" i="38"/>
  <c r="K40" i="27"/>
  <c r="K5" i="38"/>
  <c r="I5" i="38"/>
  <c r="G33" i="38"/>
  <c r="I33" i="38"/>
  <c r="M188" i="27"/>
  <c r="X59" i="38"/>
  <c r="X17" i="38"/>
  <c r="M194" i="27"/>
  <c r="M202" i="27"/>
  <c r="J37" i="38"/>
  <c r="AJ8" i="38"/>
  <c r="J47" i="38"/>
  <c r="G17" i="38"/>
  <c r="I17" i="38"/>
  <c r="K17" i="38"/>
  <c r="J19" i="38"/>
  <c r="AJ5" i="38"/>
  <c r="AK8" i="38"/>
  <c r="J1046" i="35"/>
  <c r="L1046" i="35" s="1"/>
  <c r="N361" i="35"/>
  <c r="G27" i="38"/>
  <c r="K27" i="38"/>
  <c r="I27" i="38"/>
  <c r="D1263" i="35"/>
  <c r="D50" i="27"/>
  <c r="E1263" i="35"/>
  <c r="J28" i="27"/>
  <c r="K28" i="27"/>
  <c r="J60" i="27"/>
  <c r="K60" i="27"/>
  <c r="J70" i="27"/>
  <c r="K70" i="27"/>
  <c r="J64" i="27"/>
  <c r="K64" i="27"/>
  <c r="E1269" i="35"/>
  <c r="D1269" i="35"/>
  <c r="D56" i="27"/>
  <c r="E1197" i="35" l="1"/>
  <c r="F1197" i="35"/>
  <c r="M1203" i="35"/>
  <c r="L1203" i="35"/>
  <c r="M1197" i="35"/>
  <c r="L1197" i="35"/>
  <c r="E1203" i="35"/>
  <c r="F1203" i="35"/>
  <c r="E1094" i="35"/>
  <c r="F1094" i="35" s="1"/>
  <c r="B1235" i="35" s="1"/>
  <c r="M1019" i="35"/>
  <c r="C1271" i="35"/>
  <c r="AA35" i="38" s="1"/>
  <c r="C1291" i="35"/>
  <c r="AA55" i="38" s="1"/>
  <c r="C1262" i="35"/>
  <c r="AA26" i="38" s="1"/>
  <c r="C1272" i="35"/>
  <c r="AA36" i="38" s="1"/>
  <c r="C1250" i="35"/>
  <c r="AA14" i="38" s="1"/>
  <c r="C1246" i="35"/>
  <c r="AA10" i="38" s="1"/>
  <c r="C1252" i="35"/>
  <c r="AA16" i="38" s="1"/>
  <c r="C1278" i="35"/>
  <c r="AA42" i="38" s="1"/>
  <c r="E1069" i="35"/>
  <c r="F1069" i="35" s="1"/>
  <c r="B1210" i="35" s="1"/>
  <c r="E1076" i="35"/>
  <c r="F1076" i="35" s="1"/>
  <c r="B1217" i="35" s="1"/>
  <c r="E1066" i="35"/>
  <c r="F1066" i="35" s="1"/>
  <c r="B1207" i="35" s="1"/>
  <c r="C1279" i="35"/>
  <c r="AA43" i="38" s="1"/>
  <c r="C1253" i="35"/>
  <c r="AA17" i="38" s="1"/>
  <c r="C1290" i="35"/>
  <c r="AA54" i="38" s="1"/>
  <c r="C1302" i="35"/>
  <c r="AA66" i="38" s="1"/>
  <c r="C1267" i="35"/>
  <c r="AA31" i="38" s="1"/>
  <c r="C1285" i="35"/>
  <c r="AA49" i="38" s="1"/>
  <c r="C1281" i="35"/>
  <c r="AA45" i="38" s="1"/>
  <c r="C1270" i="35"/>
  <c r="AA34" i="38" s="1"/>
  <c r="C1283" i="35"/>
  <c r="AA47" i="38" s="1"/>
  <c r="C1280" i="35"/>
  <c r="AA44" i="38" s="1"/>
  <c r="C1275" i="35"/>
  <c r="AA39" i="38" s="1"/>
  <c r="E1071" i="35"/>
  <c r="F1071" i="35" s="1"/>
  <c r="B1212" i="35" s="1"/>
  <c r="E1070" i="35"/>
  <c r="F1070" i="35" s="1"/>
  <c r="B1211" i="35" s="1"/>
  <c r="C1277" i="35"/>
  <c r="AA41" i="38" s="1"/>
  <c r="C1273" i="35"/>
  <c r="AA37" i="38" s="1"/>
  <c r="C1300" i="35"/>
  <c r="AA64" i="38" s="1"/>
  <c r="M8" i="38"/>
  <c r="H793" i="33"/>
  <c r="M727" i="33"/>
  <c r="J738" i="33"/>
  <c r="O754" i="33"/>
  <c r="M780" i="33"/>
  <c r="H846" i="33"/>
  <c r="M731" i="33"/>
  <c r="H797" i="33"/>
  <c r="I845" i="33"/>
  <c r="J845" i="33"/>
  <c r="I795" i="33"/>
  <c r="J795" i="33"/>
  <c r="M753" i="33"/>
  <c r="H819" i="33"/>
  <c r="M783" i="33"/>
  <c r="N783" i="33" s="1"/>
  <c r="H849" i="33"/>
  <c r="M773" i="33"/>
  <c r="H839" i="33"/>
  <c r="O757" i="33"/>
  <c r="I847" i="33"/>
  <c r="J847" i="33"/>
  <c r="M764" i="33"/>
  <c r="H830" i="33"/>
  <c r="M770" i="33"/>
  <c r="H836" i="33"/>
  <c r="M769" i="33"/>
  <c r="O769" i="33" s="1"/>
  <c r="H835" i="33"/>
  <c r="J812" i="33"/>
  <c r="I812" i="33"/>
  <c r="M743" i="33"/>
  <c r="H809" i="33"/>
  <c r="M782" i="33"/>
  <c r="H848" i="33"/>
  <c r="M774" i="33"/>
  <c r="H840" i="33"/>
  <c r="D801" i="33"/>
  <c r="J800" i="33"/>
  <c r="I800" i="33"/>
  <c r="I843" i="33"/>
  <c r="J843" i="33"/>
  <c r="M778" i="33"/>
  <c r="H844" i="33"/>
  <c r="M762" i="33"/>
  <c r="N762" i="33" s="1"/>
  <c r="H828" i="33"/>
  <c r="M785" i="33"/>
  <c r="H851" i="33"/>
  <c r="J799" i="33"/>
  <c r="I799" i="33"/>
  <c r="M740" i="33"/>
  <c r="H806" i="33"/>
  <c r="M771" i="33"/>
  <c r="N771" i="33" s="1"/>
  <c r="H837" i="33"/>
  <c r="M768" i="33"/>
  <c r="H834" i="33"/>
  <c r="M724" i="33"/>
  <c r="H790" i="33"/>
  <c r="M726" i="33"/>
  <c r="H792" i="33"/>
  <c r="M775" i="33"/>
  <c r="N775" i="33" s="1"/>
  <c r="H841" i="33"/>
  <c r="J749" i="33"/>
  <c r="J801" i="33"/>
  <c r="I801" i="33"/>
  <c r="I728" i="33"/>
  <c r="K728" i="33" s="1"/>
  <c r="D794" i="33"/>
  <c r="I759" i="33"/>
  <c r="D825" i="33"/>
  <c r="I752" i="33"/>
  <c r="K752" i="33" s="1"/>
  <c r="D818" i="33"/>
  <c r="I784" i="33"/>
  <c r="D850" i="33"/>
  <c r="I732" i="33"/>
  <c r="K732" i="33" s="1"/>
  <c r="D798" i="33"/>
  <c r="I739" i="33"/>
  <c r="D805" i="33"/>
  <c r="I779" i="33"/>
  <c r="K779" i="33" s="1"/>
  <c r="D845" i="33"/>
  <c r="I746" i="33"/>
  <c r="D812" i="33"/>
  <c r="I733" i="33"/>
  <c r="D799" i="33"/>
  <c r="I747" i="33"/>
  <c r="D813" i="33"/>
  <c r="I766" i="33"/>
  <c r="D832" i="33"/>
  <c r="I742" i="33"/>
  <c r="D808" i="33"/>
  <c r="I745" i="33"/>
  <c r="D811" i="33"/>
  <c r="I730" i="33"/>
  <c r="D796" i="33"/>
  <c r="I729" i="33"/>
  <c r="J729" i="33" s="1"/>
  <c r="D795" i="33"/>
  <c r="I737" i="33"/>
  <c r="D803" i="33"/>
  <c r="I751" i="33"/>
  <c r="D817" i="33"/>
  <c r="I734" i="33"/>
  <c r="D800" i="33"/>
  <c r="M438" i="33"/>
  <c r="D705" i="33" s="1"/>
  <c r="F705" i="33" s="1"/>
  <c r="I756" i="33"/>
  <c r="D822" i="33"/>
  <c r="I761" i="33"/>
  <c r="D827" i="33"/>
  <c r="I777" i="33"/>
  <c r="K777" i="33" s="1"/>
  <c r="D843" i="33"/>
  <c r="I750" i="33"/>
  <c r="D816" i="33"/>
  <c r="J748" i="33"/>
  <c r="K748" i="33"/>
  <c r="G731" i="33"/>
  <c r="M63" i="38"/>
  <c r="I803" i="33"/>
  <c r="J803" i="33"/>
  <c r="J827" i="33"/>
  <c r="I827" i="33"/>
  <c r="I807" i="33"/>
  <c r="J807" i="33"/>
  <c r="N764" i="33"/>
  <c r="O764" i="33"/>
  <c r="O768" i="33"/>
  <c r="N768" i="33"/>
  <c r="I826" i="33"/>
  <c r="J826" i="33"/>
  <c r="I811" i="33"/>
  <c r="J811" i="33"/>
  <c r="K733" i="33"/>
  <c r="J733" i="33"/>
  <c r="O753" i="33"/>
  <c r="N753" i="33"/>
  <c r="J752" i="33"/>
  <c r="O783" i="33"/>
  <c r="K747" i="33"/>
  <c r="J747" i="33"/>
  <c r="K746" i="33"/>
  <c r="J746" i="33"/>
  <c r="N770" i="33"/>
  <c r="O770" i="33"/>
  <c r="N724" i="33"/>
  <c r="O724" i="33"/>
  <c r="J814" i="33"/>
  <c r="I814" i="33"/>
  <c r="J825" i="33"/>
  <c r="I825" i="33"/>
  <c r="J732" i="33"/>
  <c r="I809" i="33"/>
  <c r="J809" i="33"/>
  <c r="N726" i="33"/>
  <c r="O726" i="33"/>
  <c r="N773" i="33"/>
  <c r="O773" i="33"/>
  <c r="J728" i="33"/>
  <c r="G635" i="33"/>
  <c r="J635" i="33" s="1"/>
  <c r="E701" i="33" s="1"/>
  <c r="F701" i="33" s="1"/>
  <c r="N769" i="33"/>
  <c r="O785" i="33"/>
  <c r="N785" i="33"/>
  <c r="N774" i="33"/>
  <c r="O774" i="33"/>
  <c r="K735" i="33"/>
  <c r="J735" i="33"/>
  <c r="J777" i="33"/>
  <c r="K730" i="33"/>
  <c r="J730" i="33"/>
  <c r="K742" i="33"/>
  <c r="J742" i="33"/>
  <c r="M984" i="35"/>
  <c r="M440" i="33"/>
  <c r="D707" i="33" s="1"/>
  <c r="F707" i="33" s="1"/>
  <c r="M398" i="33"/>
  <c r="D665" i="33" s="1"/>
  <c r="F665" i="33" s="1"/>
  <c r="M399" i="33"/>
  <c r="D666" i="33" s="1"/>
  <c r="F666" i="33" s="1"/>
  <c r="E688" i="33"/>
  <c r="F688" i="33" s="1"/>
  <c r="E695" i="33"/>
  <c r="F695" i="33" s="1"/>
  <c r="M436" i="33"/>
  <c r="D703" i="33" s="1"/>
  <c r="F703" i="33" s="1"/>
  <c r="M443" i="33"/>
  <c r="D710" i="33" s="1"/>
  <c r="F710" i="33" s="1"/>
  <c r="M389" i="33"/>
  <c r="D656" i="33" s="1"/>
  <c r="F656" i="33" s="1"/>
  <c r="E697" i="33"/>
  <c r="F697" i="33" s="1"/>
  <c r="E685" i="33"/>
  <c r="F685" i="33" s="1"/>
  <c r="J10" i="38"/>
  <c r="E683" i="33"/>
  <c r="F683" i="33" s="1"/>
  <c r="M401" i="33"/>
  <c r="J64" i="38"/>
  <c r="E708" i="33"/>
  <c r="F708" i="33" s="1"/>
  <c r="K1019" i="35"/>
  <c r="J1019" i="35"/>
  <c r="H66" i="38"/>
  <c r="E694" i="33"/>
  <c r="F694" i="33" s="1"/>
  <c r="E678" i="33"/>
  <c r="F678" i="33" s="1"/>
  <c r="J13" i="38"/>
  <c r="J11" i="38"/>
  <c r="J58" i="38"/>
  <c r="J53" i="38"/>
  <c r="I1005" i="35"/>
  <c r="J39" i="38"/>
  <c r="M54" i="38"/>
  <c r="M22" i="38"/>
  <c r="H1010" i="35"/>
  <c r="F626" i="33"/>
  <c r="E626" i="33"/>
  <c r="I1016" i="35"/>
  <c r="M1016" i="35" s="1"/>
  <c r="J9" i="38"/>
  <c r="J28" i="38"/>
  <c r="I1010" i="35"/>
  <c r="M1010" i="35" s="1"/>
  <c r="J984" i="35"/>
  <c r="L984" i="35" s="1"/>
  <c r="K984" i="35"/>
  <c r="J34" i="38"/>
  <c r="L54" i="38"/>
  <c r="H1016" i="35"/>
  <c r="E632" i="33"/>
  <c r="F632" i="33"/>
  <c r="I1017" i="35"/>
  <c r="M1017" i="35" s="1"/>
  <c r="J51" i="38"/>
  <c r="J62" i="38"/>
  <c r="AJ561" i="45"/>
  <c r="L52" i="38"/>
  <c r="M52" i="38"/>
  <c r="Y27" i="38"/>
  <c r="H630" i="33"/>
  <c r="I1014" i="35"/>
  <c r="M1014" i="35" s="1"/>
  <c r="J1000" i="35"/>
  <c r="K1000" i="35"/>
  <c r="Y33" i="38"/>
  <c r="F630" i="33"/>
  <c r="E630" i="33"/>
  <c r="H1014" i="35"/>
  <c r="G616" i="33"/>
  <c r="J616" i="33" s="1"/>
  <c r="K1023" i="35"/>
  <c r="J1023" i="35"/>
  <c r="L1023" i="35" s="1"/>
  <c r="M1023" i="35"/>
  <c r="J41" i="38"/>
  <c r="L1056" i="35"/>
  <c r="X65" i="38"/>
  <c r="J33" i="38"/>
  <c r="M195" i="27"/>
  <c r="J26" i="38"/>
  <c r="L1062" i="35"/>
  <c r="L1012" i="35"/>
  <c r="G634" i="33"/>
  <c r="J634" i="33" s="1"/>
  <c r="G627" i="33"/>
  <c r="J627" i="33" s="1"/>
  <c r="L1015" i="35"/>
  <c r="L1013" i="35"/>
  <c r="M153" i="27"/>
  <c r="L1001" i="35"/>
  <c r="L997" i="35"/>
  <c r="L968" i="35"/>
  <c r="L1026" i="35"/>
  <c r="L996" i="35"/>
  <c r="L1006" i="35"/>
  <c r="J1008" i="35"/>
  <c r="K1008" i="35"/>
  <c r="M975" i="35"/>
  <c r="M1022" i="35"/>
  <c r="K994" i="35"/>
  <c r="J994" i="35"/>
  <c r="L994" i="35" s="1"/>
  <c r="M1011" i="35"/>
  <c r="M974" i="35"/>
  <c r="K1018" i="35"/>
  <c r="J1018" i="35"/>
  <c r="M995" i="35"/>
  <c r="L995" i="35"/>
  <c r="K1022" i="35"/>
  <c r="J1022" i="35"/>
  <c r="L1022" i="35" s="1"/>
  <c r="M994" i="35"/>
  <c r="M967" i="35"/>
  <c r="G583" i="33"/>
  <c r="J583" i="33" s="1"/>
  <c r="K993" i="35"/>
  <c r="J993" i="35"/>
  <c r="L993" i="35" s="1"/>
  <c r="K998" i="35"/>
  <c r="J998" i="35"/>
  <c r="G624" i="33"/>
  <c r="J624" i="33" s="1"/>
  <c r="M1018" i="35"/>
  <c r="M1008" i="35"/>
  <c r="M998" i="35"/>
  <c r="K1011" i="35"/>
  <c r="J1011" i="35"/>
  <c r="M1025" i="35"/>
  <c r="J967" i="35"/>
  <c r="K967" i="35"/>
  <c r="J1025" i="35"/>
  <c r="L1025" i="35" s="1"/>
  <c r="K1025" i="35"/>
  <c r="K975" i="35"/>
  <c r="J975" i="35"/>
  <c r="L975" i="35" s="1"/>
  <c r="J974" i="35"/>
  <c r="L974" i="35" s="1"/>
  <c r="K974" i="35"/>
  <c r="K185" i="27"/>
  <c r="AK39" i="38" s="1"/>
  <c r="AK58" i="38"/>
  <c r="K183" i="27"/>
  <c r="AK37" i="38" s="1"/>
  <c r="K187" i="27"/>
  <c r="AK41" i="38" s="1"/>
  <c r="M151" i="27"/>
  <c r="AK14" i="38"/>
  <c r="J173" i="27"/>
  <c r="AK46" i="38"/>
  <c r="M192" i="27"/>
  <c r="AK57" i="38"/>
  <c r="M203" i="27"/>
  <c r="AK43" i="38"/>
  <c r="M189" i="27"/>
  <c r="AK13" i="38"/>
  <c r="M159" i="27"/>
  <c r="AK35" i="38"/>
  <c r="M181" i="27"/>
  <c r="AK29" i="38"/>
  <c r="M175" i="27"/>
  <c r="AK28" i="38"/>
  <c r="M174" i="27"/>
  <c r="AK54" i="38"/>
  <c r="M200" i="27"/>
  <c r="AK19" i="38"/>
  <c r="M165" i="27"/>
  <c r="M157" i="27"/>
  <c r="AK11" i="38"/>
  <c r="J191" i="27"/>
  <c r="K191" i="27" s="1"/>
  <c r="G614" i="33"/>
  <c r="J614" i="33" s="1"/>
  <c r="F633" i="33"/>
  <c r="E633" i="33"/>
  <c r="M55" i="38"/>
  <c r="J60" i="38"/>
  <c r="J32" i="38"/>
  <c r="M49" i="38"/>
  <c r="M43" i="38"/>
  <c r="M7" i="38"/>
  <c r="F1005" i="35"/>
  <c r="H621" i="33"/>
  <c r="H1005" i="35"/>
  <c r="F621" i="33"/>
  <c r="E621" i="33"/>
  <c r="H969" i="35"/>
  <c r="F585" i="33"/>
  <c r="E585" i="33"/>
  <c r="F969" i="35"/>
  <c r="H585" i="33"/>
  <c r="H633" i="33"/>
  <c r="M12" i="38"/>
  <c r="M5" i="38"/>
  <c r="M45" i="38"/>
  <c r="AJ33" i="38"/>
  <c r="J44" i="38"/>
  <c r="K26" i="38"/>
  <c r="G26" i="38"/>
  <c r="J584" i="33"/>
  <c r="J613" i="33"/>
  <c r="H1017" i="35"/>
  <c r="C1241" i="35"/>
  <c r="AA5" i="38" s="1"/>
  <c r="X42" i="38"/>
  <c r="N377" i="35"/>
  <c r="N389" i="35"/>
  <c r="X40" i="38"/>
  <c r="N386" i="35"/>
  <c r="N393" i="35"/>
  <c r="X37" i="38"/>
  <c r="X41" i="38"/>
  <c r="J15" i="38"/>
  <c r="J14" i="38"/>
  <c r="J16" i="38"/>
  <c r="J20" i="38"/>
  <c r="J31" i="38"/>
  <c r="J18" i="38"/>
  <c r="J25" i="38"/>
  <c r="J17" i="38"/>
  <c r="C1007" i="35"/>
  <c r="M556" i="33"/>
  <c r="J1085" i="35"/>
  <c r="L1085" i="35" s="1"/>
  <c r="N398" i="35"/>
  <c r="N399" i="35"/>
  <c r="N380" i="35"/>
  <c r="J1082" i="35"/>
  <c r="L1082" i="35" s="1"/>
  <c r="N350" i="35"/>
  <c r="L556" i="33"/>
  <c r="D623" i="33"/>
  <c r="J50" i="38"/>
  <c r="N371" i="35"/>
  <c r="N379" i="35"/>
  <c r="J1080" i="35"/>
  <c r="L1080" i="35" s="1"/>
  <c r="X27" i="38"/>
  <c r="X33" i="38"/>
  <c r="M193" i="27"/>
  <c r="M163" i="27"/>
  <c r="AK17" i="38"/>
  <c r="J27" i="38"/>
  <c r="M154" i="27"/>
  <c r="AJ27" i="38"/>
  <c r="K50" i="27"/>
  <c r="J50" i="27"/>
  <c r="X47" i="38"/>
  <c r="K56" i="27"/>
  <c r="J56" i="27"/>
  <c r="J1217" i="35" l="1"/>
  <c r="K1217" i="35"/>
  <c r="K1210" i="35"/>
  <c r="J1210" i="35"/>
  <c r="K1211" i="35"/>
  <c r="J1211" i="35"/>
  <c r="K1212" i="35"/>
  <c r="J1212" i="35"/>
  <c r="K1207" i="35"/>
  <c r="J1207" i="35"/>
  <c r="J1235" i="35"/>
  <c r="K1235" i="35"/>
  <c r="C1289" i="35"/>
  <c r="AA53" i="38" s="1"/>
  <c r="C1292" i="35"/>
  <c r="AA56" i="38" s="1"/>
  <c r="E1093" i="35"/>
  <c r="F1093" i="35" s="1"/>
  <c r="B1234" i="35" s="1"/>
  <c r="C1287" i="35"/>
  <c r="AA51" i="38" s="1"/>
  <c r="E1080" i="35"/>
  <c r="F1080" i="35" s="1"/>
  <c r="B1221" i="35" s="1"/>
  <c r="E1079" i="35"/>
  <c r="F1079" i="35" s="1"/>
  <c r="B1220" i="35" s="1"/>
  <c r="E1073" i="35"/>
  <c r="F1073" i="35" s="1"/>
  <c r="B1214" i="35" s="1"/>
  <c r="E1082" i="35"/>
  <c r="F1082" i="35" s="1"/>
  <c r="B1223" i="35" s="1"/>
  <c r="C1269" i="35"/>
  <c r="AA33" i="38" s="1"/>
  <c r="E1063" i="35"/>
  <c r="F1063" i="35" s="1"/>
  <c r="E1068" i="35"/>
  <c r="F1068" i="35" s="1"/>
  <c r="B1209" i="35" s="1"/>
  <c r="C1263" i="35"/>
  <c r="AA27" i="38" s="1"/>
  <c r="I793" i="33"/>
  <c r="J793" i="33"/>
  <c r="O775" i="33"/>
  <c r="O762" i="33"/>
  <c r="O771" i="33"/>
  <c r="K729" i="33"/>
  <c r="J844" i="33"/>
  <c r="I844" i="33"/>
  <c r="I848" i="33"/>
  <c r="J848" i="33"/>
  <c r="J779" i="33"/>
  <c r="J797" i="33"/>
  <c r="I797" i="33"/>
  <c r="J851" i="33"/>
  <c r="I851" i="33"/>
  <c r="I846" i="33"/>
  <c r="J846" i="33"/>
  <c r="I753" i="33"/>
  <c r="D819" i="33"/>
  <c r="I740" i="33"/>
  <c r="D806" i="33"/>
  <c r="F850" i="33"/>
  <c r="E850" i="33"/>
  <c r="I769" i="33"/>
  <c r="D835" i="33"/>
  <c r="I778" i="33"/>
  <c r="D844" i="33"/>
  <c r="I782" i="33"/>
  <c r="D848" i="33"/>
  <c r="I776" i="33"/>
  <c r="D842" i="33"/>
  <c r="E822" i="33"/>
  <c r="F822" i="33"/>
  <c r="K737" i="33"/>
  <c r="J737" i="33"/>
  <c r="I783" i="33"/>
  <c r="D849" i="33"/>
  <c r="F832" i="33"/>
  <c r="E832" i="33"/>
  <c r="I780" i="33"/>
  <c r="D846" i="33"/>
  <c r="I760" i="33"/>
  <c r="D826" i="33"/>
  <c r="K750" i="33"/>
  <c r="J750" i="33"/>
  <c r="F825" i="33"/>
  <c r="E825" i="33"/>
  <c r="I772" i="33"/>
  <c r="D838" i="33"/>
  <c r="I770" i="33"/>
  <c r="D836" i="33"/>
  <c r="J734" i="33"/>
  <c r="K734" i="33"/>
  <c r="J739" i="33"/>
  <c r="K739" i="33"/>
  <c r="I731" i="33"/>
  <c r="K731" i="33" s="1"/>
  <c r="D797" i="33"/>
  <c r="I763" i="33"/>
  <c r="D829" i="33"/>
  <c r="I758" i="33"/>
  <c r="D824" i="33"/>
  <c r="I785" i="33"/>
  <c r="D851" i="33"/>
  <c r="I741" i="33"/>
  <c r="K741" i="33" s="1"/>
  <c r="D807" i="33"/>
  <c r="E827" i="33"/>
  <c r="F827" i="33"/>
  <c r="K751" i="33"/>
  <c r="J751" i="33"/>
  <c r="K745" i="33"/>
  <c r="J745" i="33"/>
  <c r="I806" i="33"/>
  <c r="J806" i="33"/>
  <c r="J805" i="33"/>
  <c r="I805" i="33"/>
  <c r="J821" i="33"/>
  <c r="I821" i="33"/>
  <c r="J808" i="33"/>
  <c r="I808" i="33"/>
  <c r="K740" i="33"/>
  <c r="J740" i="33"/>
  <c r="K778" i="33"/>
  <c r="J778" i="33"/>
  <c r="K782" i="33"/>
  <c r="J782" i="33"/>
  <c r="J731" i="33"/>
  <c r="J822" i="33"/>
  <c r="I822" i="33"/>
  <c r="I817" i="33"/>
  <c r="J817" i="33"/>
  <c r="J804" i="33"/>
  <c r="I804" i="33"/>
  <c r="I810" i="33"/>
  <c r="J810" i="33"/>
  <c r="L1019" i="35"/>
  <c r="G632" i="33"/>
  <c r="J632" i="33" s="1"/>
  <c r="E698" i="33" s="1"/>
  <c r="F698" i="33" s="1"/>
  <c r="E649" i="33"/>
  <c r="F649" i="33" s="1"/>
  <c r="J59" i="38"/>
  <c r="E693" i="33"/>
  <c r="F693" i="33" s="1"/>
  <c r="E700" i="33"/>
  <c r="F700" i="33" s="1"/>
  <c r="E690" i="33"/>
  <c r="F690" i="33" s="1"/>
  <c r="G626" i="33"/>
  <c r="J626" i="33" s="1"/>
  <c r="D668" i="33"/>
  <c r="F668" i="33" s="1"/>
  <c r="E682" i="33"/>
  <c r="F682" i="33" s="1"/>
  <c r="J57" i="38"/>
  <c r="J21" i="38"/>
  <c r="J35" i="38"/>
  <c r="E679" i="33"/>
  <c r="F679" i="33" s="1"/>
  <c r="J6" i="38"/>
  <c r="E650" i="33"/>
  <c r="F650" i="33" s="1"/>
  <c r="E680" i="33"/>
  <c r="F680" i="33" s="1"/>
  <c r="J49" i="38"/>
  <c r="J54" i="38"/>
  <c r="J61" i="38"/>
  <c r="J1016" i="35"/>
  <c r="K1016" i="35"/>
  <c r="J22" i="38"/>
  <c r="I1007" i="35"/>
  <c r="K1010" i="35"/>
  <c r="J1010" i="35"/>
  <c r="J36" i="38"/>
  <c r="G630" i="33"/>
  <c r="J630" i="33" s="1"/>
  <c r="L967" i="35"/>
  <c r="E1034" i="35" s="1"/>
  <c r="F1034" i="35" s="1"/>
  <c r="B1175" i="35" s="1"/>
  <c r="J38" i="38"/>
  <c r="X39" i="38"/>
  <c r="X51" i="38"/>
  <c r="K1014" i="35"/>
  <c r="J1014" i="35"/>
  <c r="L1000" i="35"/>
  <c r="X53" i="38"/>
  <c r="M185" i="27"/>
  <c r="X44" i="38"/>
  <c r="M183" i="27"/>
  <c r="L1008" i="35"/>
  <c r="L998" i="35"/>
  <c r="L1018" i="35"/>
  <c r="L1011" i="35"/>
  <c r="J1017" i="35"/>
  <c r="K1017" i="35"/>
  <c r="G621" i="33"/>
  <c r="J621" i="33" s="1"/>
  <c r="K1005" i="35"/>
  <c r="J1005" i="35"/>
  <c r="K969" i="35"/>
  <c r="J969" i="35"/>
  <c r="M969" i="35"/>
  <c r="M1005" i="35"/>
  <c r="M187" i="27"/>
  <c r="K173" i="27"/>
  <c r="AK27" i="38" s="1"/>
  <c r="AK5" i="38"/>
  <c r="AK45" i="38"/>
  <c r="M191" i="27"/>
  <c r="J179" i="27"/>
  <c r="K179" i="27" s="1"/>
  <c r="G585" i="33"/>
  <c r="J585" i="33" s="1"/>
  <c r="J63" i="38"/>
  <c r="F1007" i="35"/>
  <c r="H623" i="33"/>
  <c r="H1007" i="35"/>
  <c r="E623" i="33"/>
  <c r="F623" i="33"/>
  <c r="J12" i="38"/>
  <c r="G633" i="33"/>
  <c r="J633" i="33" s="1"/>
  <c r="X64" i="38"/>
  <c r="X50" i="38"/>
  <c r="E1035" i="35"/>
  <c r="F1035" i="35" s="1"/>
  <c r="B1176" i="35" s="1"/>
  <c r="E1064" i="35"/>
  <c r="F1064" i="35" s="1"/>
  <c r="B1205" i="35" s="1"/>
  <c r="J46" i="38"/>
  <c r="J56" i="38"/>
  <c r="J1176" i="35" l="1"/>
  <c r="K1176" i="35"/>
  <c r="J1175" i="35"/>
  <c r="K1175" i="35"/>
  <c r="K1209" i="35"/>
  <c r="J1209" i="35"/>
  <c r="K1214" i="35"/>
  <c r="J1214" i="35"/>
  <c r="K1234" i="35"/>
  <c r="J1234" i="35"/>
  <c r="K1223" i="35"/>
  <c r="J1223" i="35"/>
  <c r="X34" i="38"/>
  <c r="B1204" i="35"/>
  <c r="K1220" i="35"/>
  <c r="J1220" i="35"/>
  <c r="K1205" i="35"/>
  <c r="J1205" i="35"/>
  <c r="K1221" i="35"/>
  <c r="J1221" i="35"/>
  <c r="E1085" i="35"/>
  <c r="F1085" i="35" s="1"/>
  <c r="B1226" i="35" s="1"/>
  <c r="E1065" i="35"/>
  <c r="F1065" i="35" s="1"/>
  <c r="B1206" i="35" s="1"/>
  <c r="E1075" i="35"/>
  <c r="F1075" i="35" s="1"/>
  <c r="B1216" i="35" s="1"/>
  <c r="E1078" i="35"/>
  <c r="F1078" i="35" s="1"/>
  <c r="B1219" i="35" s="1"/>
  <c r="E1067" i="35"/>
  <c r="F1067" i="35" s="1"/>
  <c r="B1208" i="35" s="1"/>
  <c r="E1086" i="35"/>
  <c r="F1086" i="35" s="1"/>
  <c r="B1227" i="35" s="1"/>
  <c r="E838" i="33"/>
  <c r="F838" i="33"/>
  <c r="E835" i="33"/>
  <c r="F835" i="33"/>
  <c r="J780" i="33"/>
  <c r="K780" i="33"/>
  <c r="I775" i="33"/>
  <c r="D841" i="33"/>
  <c r="F842" i="33"/>
  <c r="E842" i="33"/>
  <c r="I755" i="33"/>
  <c r="D821" i="33"/>
  <c r="I768" i="33"/>
  <c r="D834" i="33"/>
  <c r="I725" i="33"/>
  <c r="D791" i="33"/>
  <c r="I757" i="33"/>
  <c r="D823" i="33"/>
  <c r="J741" i="33"/>
  <c r="F824" i="33"/>
  <c r="E824" i="33"/>
  <c r="F849" i="33"/>
  <c r="E849" i="33"/>
  <c r="I743" i="33"/>
  <c r="K743" i="33" s="1"/>
  <c r="D809" i="33"/>
  <c r="I754" i="33"/>
  <c r="D820" i="33"/>
  <c r="I724" i="33"/>
  <c r="D790" i="33"/>
  <c r="E829" i="33"/>
  <c r="F829" i="33"/>
  <c r="E836" i="33"/>
  <c r="F836" i="33"/>
  <c r="F826" i="33"/>
  <c r="E826" i="33"/>
  <c r="E819" i="33"/>
  <c r="F819" i="33"/>
  <c r="I765" i="33"/>
  <c r="D831" i="33"/>
  <c r="I773" i="33"/>
  <c r="D839" i="33"/>
  <c r="J816" i="33"/>
  <c r="I816" i="33"/>
  <c r="J815" i="33"/>
  <c r="I815" i="33"/>
  <c r="X57" i="38"/>
  <c r="E699" i="33"/>
  <c r="F699" i="33" s="1"/>
  <c r="E692" i="33"/>
  <c r="F692" i="33" s="1"/>
  <c r="E687" i="33"/>
  <c r="F687" i="33" s="1"/>
  <c r="E696" i="33"/>
  <c r="F696" i="33" s="1"/>
  <c r="J66" i="38"/>
  <c r="E651" i="33"/>
  <c r="F651" i="33" s="1"/>
  <c r="J24" i="38"/>
  <c r="L1010" i="35"/>
  <c r="L1016" i="35"/>
  <c r="L1014" i="35"/>
  <c r="J52" i="38"/>
  <c r="X6" i="38"/>
  <c r="X38" i="38"/>
  <c r="L1005" i="35"/>
  <c r="L969" i="35"/>
  <c r="X49" i="38"/>
  <c r="K1007" i="35"/>
  <c r="J1007" i="35"/>
  <c r="G623" i="33"/>
  <c r="J623" i="33" s="1"/>
  <c r="M1007" i="35"/>
  <c r="L1017" i="35"/>
  <c r="M173" i="27"/>
  <c r="AK33" i="38"/>
  <c r="M179" i="27"/>
  <c r="J55" i="38"/>
  <c r="X46" i="38"/>
  <c r="X36" i="38"/>
  <c r="X35" i="38"/>
  <c r="X5" i="38"/>
  <c r="J7" i="38"/>
  <c r="X56" i="38"/>
  <c r="J43" i="38"/>
  <c r="J5" i="38"/>
  <c r="K1219" i="35" l="1"/>
  <c r="J1219" i="35"/>
  <c r="K1216" i="35"/>
  <c r="J1216" i="35"/>
  <c r="J1227" i="35"/>
  <c r="K1227" i="35"/>
  <c r="K1206" i="35"/>
  <c r="J1206" i="35"/>
  <c r="J1204" i="35"/>
  <c r="K1204" i="35"/>
  <c r="K1208" i="35"/>
  <c r="J1208" i="35"/>
  <c r="K1226" i="35"/>
  <c r="J1226" i="35"/>
  <c r="E1072" i="35"/>
  <c r="F1072" i="35" s="1"/>
  <c r="E1081" i="35"/>
  <c r="F1081" i="35" s="1"/>
  <c r="E1084" i="35"/>
  <c r="F1084" i="35" s="1"/>
  <c r="B1225" i="35" s="1"/>
  <c r="E1083" i="35"/>
  <c r="F1083" i="35" s="1"/>
  <c r="E1077" i="35"/>
  <c r="F1077" i="35" s="1"/>
  <c r="B1218" i="35" s="1"/>
  <c r="E1036" i="35"/>
  <c r="F1036" i="35" s="1"/>
  <c r="B1177" i="35" s="1"/>
  <c r="J743" i="33"/>
  <c r="I726" i="33"/>
  <c r="D792" i="33"/>
  <c r="I771" i="33"/>
  <c r="D837" i="33"/>
  <c r="E791" i="33"/>
  <c r="F791" i="33"/>
  <c r="F841" i="33"/>
  <c r="E841" i="33"/>
  <c r="I762" i="33"/>
  <c r="D828" i="33"/>
  <c r="E831" i="33"/>
  <c r="F831" i="33"/>
  <c r="F834" i="33"/>
  <c r="E834" i="33"/>
  <c r="E790" i="33"/>
  <c r="F790" i="33"/>
  <c r="I767" i="33"/>
  <c r="D833" i="33"/>
  <c r="E821" i="33"/>
  <c r="F821" i="33"/>
  <c r="I774" i="33"/>
  <c r="D840" i="33"/>
  <c r="E820" i="33"/>
  <c r="F820" i="33"/>
  <c r="E823" i="33"/>
  <c r="F823" i="33"/>
  <c r="E839" i="33"/>
  <c r="F839" i="33"/>
  <c r="J818" i="33"/>
  <c r="I818" i="33"/>
  <c r="J45" i="38"/>
  <c r="E689" i="33"/>
  <c r="F689" i="33" s="1"/>
  <c r="J48" i="38"/>
  <c r="L1007" i="35"/>
  <c r="X55" i="38"/>
  <c r="X7" i="38"/>
  <c r="K1177" i="35" l="1"/>
  <c r="J1177" i="35"/>
  <c r="X52" i="38"/>
  <c r="B1222" i="35"/>
  <c r="K1218" i="35"/>
  <c r="J1218" i="35"/>
  <c r="X43" i="38"/>
  <c r="B1213" i="35"/>
  <c r="X54" i="38"/>
  <c r="B1224" i="35"/>
  <c r="K1225" i="35"/>
  <c r="J1225" i="35"/>
  <c r="X48" i="38"/>
  <c r="E1074" i="35"/>
  <c r="F1074" i="35" s="1"/>
  <c r="B1215" i="35" s="1"/>
  <c r="I764" i="33"/>
  <c r="D830" i="33"/>
  <c r="F840" i="33"/>
  <c r="E840" i="33"/>
  <c r="E837" i="33"/>
  <c r="F837" i="33"/>
  <c r="F833" i="33"/>
  <c r="E833" i="33"/>
  <c r="E828" i="33"/>
  <c r="F828" i="33"/>
  <c r="F792" i="33"/>
  <c r="E792" i="33"/>
  <c r="J1213" i="35" l="1"/>
  <c r="K1213" i="35"/>
  <c r="K1222" i="35"/>
  <c r="J1222" i="35"/>
  <c r="K1215" i="35"/>
  <c r="J1215" i="35"/>
  <c r="J1224" i="35"/>
  <c r="K1224" i="35"/>
  <c r="X45" i="38"/>
  <c r="E830" i="33"/>
  <c r="F830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D2" authorId="0" shapeId="0" xr:uid="{0A7B87A7-51F6-4AC9-899B-B4E1FF4C9AFC}">
      <text>
        <r>
          <rPr>
            <b/>
            <sz val="9"/>
            <color indexed="81"/>
            <rFont val="Tahoma"/>
            <family val="2"/>
          </rPr>
          <t>Value of 0 denote for straight bridge (infinity of radius)</t>
        </r>
      </text>
    </comment>
    <comment ref="AJ2" authorId="0" shapeId="0" xr:uid="{9F3336AD-75E8-43E1-B220-48E3AB610FA3}">
      <text>
        <r>
          <rPr>
            <b/>
            <sz val="9"/>
            <color indexed="81"/>
            <rFont val="돋움"/>
            <family val="3"/>
            <charset val="129"/>
          </rPr>
          <t>압축에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수평보강재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개수</t>
        </r>
      </text>
    </comment>
    <comment ref="AM2" authorId="0" shapeId="0" xr:uid="{F8D16A61-B0A8-4C75-AA3E-94BAE0009D60}">
      <text>
        <r>
          <rPr>
            <b/>
            <sz val="9"/>
            <color indexed="81"/>
            <rFont val="Tahoma"/>
            <family val="2"/>
          </rPr>
          <t>W - Warren type
P - Pratt type
X - X type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9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Leave blank for the straight bridge</t>
        </r>
      </text>
    </comment>
    <comment ref="C380" authorId="0" shapeId="0" xr:uid="{0B9B7572-3BCF-49FE-95AB-B88605844E9D}">
      <text>
        <r>
          <rPr>
            <b/>
            <sz val="9"/>
            <color indexed="81"/>
            <rFont val="Tahoma"/>
            <family val="2"/>
          </rPr>
          <t>Box flange / Open flange</t>
        </r>
      </text>
    </comment>
    <comment ref="M380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OF = Open flange</t>
        </r>
      </text>
    </comment>
    <comment ref="C58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Box flange / Open flange</t>
        </r>
      </text>
    </comment>
    <comment ref="J58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BF = box flange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D26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C = compact
NC = noncompact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<sst xmlns="http://schemas.openxmlformats.org/spreadsheetml/2006/main" count="9920" uniqueCount="3352">
  <si>
    <t>B</t>
  </si>
  <si>
    <t>a</t>
  </si>
  <si>
    <t>b</t>
  </si>
  <si>
    <t>검토</t>
  </si>
  <si>
    <t>( ☞ 강.설 4.3.3.2.6 )</t>
  </si>
  <si>
    <t>D</t>
  </si>
  <si>
    <r>
      <t>t</t>
    </r>
    <r>
      <rPr>
        <vertAlign val="subscript"/>
        <sz val="9"/>
        <rFont val="맑은 고딕"/>
        <family val="3"/>
        <charset val="129"/>
      </rPr>
      <t>w</t>
    </r>
  </si>
  <si>
    <t>Steel</t>
  </si>
  <si>
    <t>DC1</t>
  </si>
  <si>
    <t>DC2</t>
  </si>
  <si>
    <t>DC3</t>
  </si>
  <si>
    <t>DW</t>
  </si>
  <si>
    <t>Max</t>
  </si>
  <si>
    <t>Min</t>
  </si>
  <si>
    <r>
      <t>f</t>
    </r>
    <r>
      <rPr>
        <vertAlign val="subscript"/>
        <sz val="9"/>
        <rFont val="맑은 고딕"/>
        <family val="3"/>
        <charset val="129"/>
      </rPr>
      <t>l</t>
    </r>
  </si>
  <si>
    <t>Element</t>
  </si>
  <si>
    <t>Node</t>
  </si>
  <si>
    <t>Sec Num</t>
  </si>
  <si>
    <t>Coordinate</t>
  </si>
  <si>
    <t>Top flange</t>
  </si>
  <si>
    <t>Bottom flange</t>
  </si>
  <si>
    <t>Web</t>
  </si>
  <si>
    <t>Bot Conc</t>
  </si>
  <si>
    <t>Slab</t>
  </si>
  <si>
    <t>( ☞ 강.설 4.3.3.2.2 )</t>
  </si>
  <si>
    <t>웨브 단면비</t>
  </si>
  <si>
    <t>플랜지 단면비</t>
  </si>
  <si>
    <t>≤ 12.0</t>
  </si>
  <si>
    <t>(수평보강재가 없음)</t>
  </si>
  <si>
    <t>(수평보강재가 있음)</t>
  </si>
  <si>
    <t>≤</t>
  </si>
  <si>
    <r>
      <t>b</t>
    </r>
    <r>
      <rPr>
        <vertAlign val="subscript"/>
        <sz val="9"/>
        <rFont val="맑은 고딕"/>
        <family val="3"/>
        <charset val="129"/>
      </rPr>
      <t>f</t>
    </r>
  </si>
  <si>
    <t>·</t>
  </si>
  <si>
    <t>S</t>
  </si>
  <si>
    <t>비고</t>
  </si>
  <si>
    <r>
      <t>t</t>
    </r>
    <r>
      <rPr>
        <vertAlign val="subscript"/>
        <sz val="9"/>
        <rFont val="맑은 고딕"/>
        <family val="3"/>
        <charset val="129"/>
      </rPr>
      <t>f</t>
    </r>
  </si>
  <si>
    <t>웨브 경사 S ≤ 1/4</t>
  </si>
  <si>
    <t>-------------------------------------------------------------------------------------------------</t>
  </si>
  <si>
    <t>----------------</t>
  </si>
  <si>
    <t>---------</t>
  </si>
  <si>
    <t>----------</t>
  </si>
  <si>
    <t>101i</t>
  </si>
  <si>
    <t>101j</t>
  </si>
  <si>
    <t>102i</t>
  </si>
  <si>
    <t>102j</t>
  </si>
  <si>
    <t>103i</t>
  </si>
  <si>
    <t>103j</t>
  </si>
  <si>
    <t>104i</t>
  </si>
  <si>
    <t>104j</t>
  </si>
  <si>
    <t>105i</t>
  </si>
  <si>
    <t>105j</t>
  </si>
  <si>
    <t>106i</t>
  </si>
  <si>
    <t>106j</t>
  </si>
  <si>
    <t>107i</t>
  </si>
  <si>
    <t>107j</t>
  </si>
  <si>
    <t>108i</t>
  </si>
  <si>
    <t>108j</t>
  </si>
  <si>
    <t>109i</t>
  </si>
  <si>
    <t>109j</t>
  </si>
  <si>
    <t>110i</t>
  </si>
  <si>
    <t>110j</t>
  </si>
  <si>
    <t>111i</t>
  </si>
  <si>
    <t>111j</t>
  </si>
  <si>
    <t>112i</t>
  </si>
  <si>
    <t>112j</t>
  </si>
  <si>
    <t>113i</t>
  </si>
  <si>
    <t>113j</t>
  </si>
  <si>
    <t>114i</t>
  </si>
  <si>
    <t>114j</t>
  </si>
  <si>
    <t>115i</t>
  </si>
  <si>
    <t>115j</t>
  </si>
  <si>
    <t>116i</t>
  </si>
  <si>
    <t>116j</t>
  </si>
  <si>
    <t>117i</t>
  </si>
  <si>
    <t>117j</t>
  </si>
  <si>
    <t>118i</t>
  </si>
  <si>
    <t>118j</t>
  </si>
  <si>
    <t>119i</t>
  </si>
  <si>
    <t>119j</t>
  </si>
  <si>
    <t>120i</t>
  </si>
  <si>
    <t>120j</t>
  </si>
  <si>
    <t>121i</t>
  </si>
  <si>
    <t>121j</t>
  </si>
  <si>
    <t>122i</t>
  </si>
  <si>
    <t>122j</t>
  </si>
  <si>
    <t>123i</t>
  </si>
  <si>
    <t>123j</t>
  </si>
  <si>
    <t>124i</t>
  </si>
  <si>
    <t>124j</t>
  </si>
  <si>
    <t>125i</t>
  </si>
  <si>
    <t>125j</t>
  </si>
  <si>
    <t>126i</t>
  </si>
  <si>
    <t>126j</t>
  </si>
  <si>
    <t>127i</t>
  </si>
  <si>
    <t>127j</t>
  </si>
  <si>
    <t>128i</t>
  </si>
  <si>
    <t>128j</t>
  </si>
  <si>
    <t>129i</t>
  </si>
  <si>
    <t>129j</t>
  </si>
  <si>
    <t>130i</t>
  </si>
  <si>
    <t>130j</t>
  </si>
  <si>
    <t>131i</t>
  </si>
  <si>
    <t>131j</t>
  </si>
  <si>
    <t>-----------</t>
  </si>
  <si>
    <t>( ☞ 강.설 4.3.3.2.3 )</t>
  </si>
  <si>
    <t>MPa</t>
  </si>
  <si>
    <t>강재</t>
  </si>
  <si>
    <t>Mpa</t>
  </si>
  <si>
    <t xml:space="preserve">강재 탄성계수 </t>
  </si>
  <si>
    <t xml:space="preserve">강재 전단탄성계수 </t>
  </si>
  <si>
    <t>바닥판 콘크리트</t>
  </si>
  <si>
    <t>콘크리트 탄성계수</t>
  </si>
  <si>
    <t>내부 콘크리트</t>
  </si>
  <si>
    <t>콘크리트 기준압축강도</t>
  </si>
  <si>
    <r>
      <t>R</t>
    </r>
    <r>
      <rPr>
        <vertAlign val="subscript"/>
        <sz val="9"/>
        <rFont val="맑은 고딕"/>
        <family val="3"/>
        <charset val="129"/>
      </rPr>
      <t>b</t>
    </r>
  </si>
  <si>
    <r>
      <t>F</t>
    </r>
    <r>
      <rPr>
        <vertAlign val="subscript"/>
        <sz val="9"/>
        <rFont val="맑은 고딕"/>
        <family val="3"/>
        <charset val="129"/>
      </rPr>
      <t>cb</t>
    </r>
  </si>
  <si>
    <r>
      <t>F</t>
    </r>
    <r>
      <rPr>
        <vertAlign val="subscript"/>
        <sz val="9"/>
        <rFont val="맑은 고딕"/>
        <family val="3"/>
        <charset val="129"/>
      </rPr>
      <t>cv</t>
    </r>
  </si>
  <si>
    <r>
      <t>f</t>
    </r>
    <r>
      <rPr>
        <vertAlign val="subscript"/>
        <sz val="9"/>
        <rFont val="맑은 고딕"/>
        <family val="3"/>
        <charset val="129"/>
      </rPr>
      <t>bu</t>
    </r>
  </si>
  <si>
    <t>압축플랜지</t>
  </si>
  <si>
    <t>인장플랜지</t>
  </si>
  <si>
    <t>웨브</t>
  </si>
  <si>
    <t>검토내용</t>
  </si>
  <si>
    <r>
      <t>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단면의 탄성중립축으로 부터 양플린지 안쪽 면까지의 거리 중 큰값</t>
    </r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</si>
  <si>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탄성범위 내에서 웨브의 압축 측 높이</t>
    </r>
  </si>
  <si>
    <t>T = 계수하중에 의한 내부토크</t>
  </si>
  <si>
    <r>
      <t>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= 박스거더 단면의 폐합단면적</t>
    </r>
  </si>
  <si>
    <t>n = 등간격인 종방향보강재의 수</t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</si>
  <si>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종리브 단면2차모멘트</t>
    </r>
  </si>
  <si>
    <t>C</t>
  </si>
  <si>
    <t>k</t>
  </si>
  <si>
    <r>
      <t>A</t>
    </r>
    <r>
      <rPr>
        <vertAlign val="subscript"/>
        <sz val="9"/>
        <rFont val="맑은 고딕"/>
        <family val="3"/>
        <charset val="129"/>
      </rPr>
      <t>fn</t>
    </r>
    <r>
      <rPr>
        <sz val="9"/>
        <rFont val="맑은 고딕"/>
        <family val="3"/>
        <charset val="129"/>
      </rPr>
      <t xml:space="preserve"> = 플랜지 단면적과 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방향에 위치한 플랜지 덮개판 면적의 합</t>
    </r>
  </si>
  <si>
    <r>
      <t>V</t>
    </r>
    <r>
      <rPr>
        <vertAlign val="subscript"/>
        <sz val="9"/>
        <rFont val="맑은 고딕"/>
        <family val="3"/>
        <charset val="129"/>
      </rPr>
      <t>p</t>
    </r>
  </si>
  <si>
    <r>
      <t>V</t>
    </r>
    <r>
      <rPr>
        <vertAlign val="subscript"/>
        <sz val="9"/>
        <rFont val="맑은 고딕"/>
        <family val="3"/>
        <charset val="129"/>
      </rPr>
      <t>n</t>
    </r>
  </si>
  <si>
    <t>Classification of stiffened web and unstiffened web</t>
  </si>
  <si>
    <t>Case</t>
  </si>
  <si>
    <t>Stiffened web</t>
  </si>
  <si>
    <t>Otherwise</t>
  </si>
  <si>
    <t>unstiffened web</t>
  </si>
  <si>
    <t>Classification</t>
  </si>
  <si>
    <t>연성요</t>
  </si>
  <si>
    <t>H (total)</t>
  </si>
  <si>
    <t>횡방향 휨응력 상부플랜지</t>
  </si>
  <si>
    <r>
      <t>M</t>
    </r>
    <r>
      <rPr>
        <vertAlign val="subscript"/>
        <sz val="9"/>
        <rFont val="맑은 고딕"/>
        <family val="3"/>
        <charset val="129"/>
      </rPr>
      <t>lf</t>
    </r>
  </si>
  <si>
    <r>
      <t>M</t>
    </r>
    <r>
      <rPr>
        <vertAlign val="subscript"/>
        <sz val="9"/>
        <rFont val="맑은 고딕"/>
        <family val="3"/>
        <charset val="129"/>
      </rPr>
      <t>lc</t>
    </r>
  </si>
  <si>
    <r>
      <t>F</t>
    </r>
    <r>
      <rPr>
        <vertAlign val="subscript"/>
        <sz val="9"/>
        <rFont val="맑은 고딕"/>
        <family val="3"/>
        <charset val="129"/>
      </rPr>
      <t>cr</t>
    </r>
  </si>
  <si>
    <r>
      <t>L</t>
    </r>
    <r>
      <rPr>
        <vertAlign val="subscript"/>
        <sz val="9"/>
        <rFont val="맑은 고딕"/>
        <family val="3"/>
        <charset val="129"/>
      </rPr>
      <t>p</t>
    </r>
  </si>
  <si>
    <t>철근 탄성계수</t>
  </si>
  <si>
    <t>철근</t>
  </si>
  <si>
    <r>
      <t>A</t>
    </r>
    <r>
      <rPr>
        <vertAlign val="subscript"/>
        <sz val="9"/>
        <rFont val="맑은 고딕"/>
        <family val="3"/>
        <charset val="129"/>
      </rPr>
      <t>0_NC</t>
    </r>
  </si>
  <si>
    <r>
      <t>A</t>
    </r>
    <r>
      <rPr>
        <vertAlign val="subscript"/>
        <sz val="9"/>
        <rFont val="맑은 고딕"/>
        <family val="3"/>
        <charset val="129"/>
      </rPr>
      <t>0_C</t>
    </r>
  </si>
  <si>
    <r>
      <t>f</t>
    </r>
    <r>
      <rPr>
        <vertAlign val="subscript"/>
        <sz val="9"/>
        <rFont val="맑은 고딕"/>
        <family val="3"/>
        <charset val="129"/>
      </rPr>
      <t>v_NC</t>
    </r>
  </si>
  <si>
    <r>
      <t>f</t>
    </r>
    <r>
      <rPr>
        <vertAlign val="subscript"/>
        <sz val="9"/>
        <rFont val="맑은 고딕"/>
        <family val="3"/>
        <charset val="129"/>
      </rPr>
      <t>v_C</t>
    </r>
  </si>
  <si>
    <r>
      <t>f</t>
    </r>
    <r>
      <rPr>
        <vertAlign val="subscript"/>
        <sz val="9"/>
        <rFont val="맑은 고딕"/>
        <family val="3"/>
        <charset val="129"/>
      </rPr>
      <t>v</t>
    </r>
  </si>
  <si>
    <r>
      <t>F</t>
    </r>
    <r>
      <rPr>
        <vertAlign val="subscript"/>
        <sz val="9"/>
        <rFont val="맑은 고딕"/>
        <family val="3"/>
        <charset val="129"/>
      </rPr>
      <t>nc</t>
    </r>
  </si>
  <si>
    <r>
      <t>P</t>
    </r>
    <r>
      <rPr>
        <vertAlign val="subscript"/>
        <sz val="9"/>
        <rFont val="맑은 고딕"/>
        <family val="3"/>
        <charset val="129"/>
      </rPr>
      <t>t</t>
    </r>
  </si>
  <si>
    <r>
      <t>P</t>
    </r>
    <r>
      <rPr>
        <vertAlign val="subscript"/>
        <sz val="9"/>
        <rFont val="맑은 고딕"/>
        <family val="3"/>
        <charset val="129"/>
      </rPr>
      <t>w</t>
    </r>
  </si>
  <si>
    <r>
      <t>P</t>
    </r>
    <r>
      <rPr>
        <vertAlign val="subscript"/>
        <sz val="9"/>
        <rFont val="맑은 고딕"/>
        <family val="3"/>
        <charset val="129"/>
      </rPr>
      <t>c</t>
    </r>
  </si>
  <si>
    <r>
      <t>P</t>
    </r>
    <r>
      <rPr>
        <vertAlign val="subscript"/>
        <sz val="9"/>
        <rFont val="맑은 고딕"/>
        <family val="3"/>
        <charset val="129"/>
      </rPr>
      <t>s</t>
    </r>
  </si>
  <si>
    <r>
      <t>D</t>
    </r>
    <r>
      <rPr>
        <vertAlign val="subscript"/>
        <sz val="9"/>
        <rFont val="맑은 고딕"/>
        <family val="3"/>
        <charset val="129"/>
      </rPr>
      <t>c</t>
    </r>
  </si>
  <si>
    <r>
      <t>r</t>
    </r>
    <r>
      <rPr>
        <vertAlign val="subscript"/>
        <sz val="9"/>
        <rFont val="맑은 고딕"/>
        <family val="3"/>
        <charset val="129"/>
      </rPr>
      <t>t</t>
    </r>
  </si>
  <si>
    <t>( ☞ 강.설 4.3.3.2.4 )</t>
  </si>
  <si>
    <t>(강.설 4.3-108)</t>
  </si>
  <si>
    <t>(강.설 4.3-132)</t>
  </si>
  <si>
    <t>(강.설 4.3-133)</t>
  </si>
  <si>
    <t>(강.설 4.3-134)</t>
  </si>
  <si>
    <t>(강.설 4.3-247)</t>
  </si>
  <si>
    <t>(강.설 4.3-248)</t>
  </si>
  <si>
    <t>(강.설 4.3-135)</t>
  </si>
  <si>
    <t>(강.설 4.3-249)</t>
  </si>
  <si>
    <t>(강.설 4.3-137)</t>
  </si>
  <si>
    <r>
      <t>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0.6F</t>
    </r>
    <r>
      <rPr>
        <b/>
        <vertAlign val="subscript"/>
        <sz val="9"/>
        <rFont val="맑은 고딕"/>
        <family val="3"/>
        <charset val="129"/>
      </rPr>
      <t>yf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</si>
  <si>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 xml:space="preserve">l </t>
    </r>
    <r>
      <rPr>
        <b/>
        <sz val="9"/>
        <rFont val="맑은 고딕"/>
        <family val="3"/>
        <charset val="129"/>
      </rPr>
      <t xml:space="preserve">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</si>
  <si>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/3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</si>
  <si>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</si>
  <si>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</si>
  <si>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  <r>
      <rPr>
        <b/>
        <sz val="9"/>
        <rFont val="Symbol"/>
        <family val="1"/>
        <charset val="2"/>
      </rPr>
      <t>D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</si>
  <si>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yt</t>
    </r>
  </si>
  <si>
    <t>(강.설 4.3-158)</t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</si>
  <si>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</si>
  <si>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</si>
  <si>
    <r>
      <t>f</t>
    </r>
    <r>
      <rPr>
        <b/>
        <vertAlign val="subscript"/>
        <sz val="9"/>
        <rFont val="맑은 고딕"/>
        <family val="3"/>
        <charset val="129"/>
      </rPr>
      <t>deck</t>
    </r>
    <r>
      <rPr>
        <b/>
        <sz val="9"/>
        <rFont val="맑은 고딕"/>
        <family val="3"/>
        <charset val="129"/>
      </rPr>
      <t xml:space="preserve"> ≤ 0.6f'</t>
    </r>
    <r>
      <rPr>
        <b/>
        <vertAlign val="subscript"/>
        <sz val="9"/>
        <rFont val="맑은 고딕"/>
        <family val="3"/>
        <charset val="129"/>
      </rPr>
      <t>c</t>
    </r>
  </si>
  <si>
    <t>(강.설 4.3-254)</t>
  </si>
  <si>
    <t>(강.설 4.3-255)</t>
  </si>
  <si>
    <t>(강.설 4.3-179)</t>
  </si>
  <si>
    <t>1. 교 량 제 원</t>
  </si>
  <si>
    <t>2. 사 용 재 료</t>
  </si>
  <si>
    <t>(강.설 4.3-245)</t>
  </si>
  <si>
    <t>(강.설 4.3-246)</t>
  </si>
  <si>
    <r>
      <t>t</t>
    </r>
    <r>
      <rPr>
        <b/>
        <vertAlign val="subscript"/>
        <sz val="9"/>
        <rFont val="맑은 고딕"/>
        <family val="3"/>
        <charset val="129"/>
      </rPr>
      <t>w</t>
    </r>
  </si>
  <si>
    <r>
      <t>b</t>
    </r>
    <r>
      <rPr>
        <b/>
        <vertAlign val="subscript"/>
        <sz val="9"/>
        <rFont val="맑은 고딕"/>
        <family val="3"/>
        <charset val="129"/>
      </rPr>
      <t>f</t>
    </r>
  </si>
  <si>
    <r>
      <t>2t</t>
    </r>
    <r>
      <rPr>
        <b/>
        <vertAlign val="subscript"/>
        <sz val="9"/>
        <rFont val="맑은 고딕"/>
        <family val="3"/>
        <charset val="129"/>
      </rPr>
      <t>f</t>
    </r>
  </si>
  <si>
    <r>
      <t>b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 xml:space="preserve"> ≥ D/6</t>
    </r>
  </si>
  <si>
    <r>
      <t>t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 xml:space="preserve"> ≥ 1.1t</t>
    </r>
    <r>
      <rPr>
        <b/>
        <vertAlign val="subscript"/>
        <sz val="9"/>
        <rFont val="맑은 고딕"/>
        <family val="3"/>
        <charset val="129"/>
      </rPr>
      <t>w</t>
    </r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</si>
  <si>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</si>
  <si>
    <r>
      <rPr>
        <sz val="9"/>
        <rFont val="Symbol"/>
        <family val="1"/>
        <charset val="2"/>
      </rPr>
      <t>q</t>
    </r>
    <r>
      <rPr>
        <sz val="9"/>
        <rFont val="맑은 고딕"/>
        <family val="3"/>
        <charset val="129"/>
      </rPr>
      <t xml:space="preserve"> = 연직축에 대한 웨브의 경사각</t>
    </r>
  </si>
  <si>
    <t>사용 II 합계</t>
  </si>
  <si>
    <t>Bot con</t>
  </si>
  <si>
    <t>DC4</t>
  </si>
  <si>
    <t>방호벽</t>
  </si>
  <si>
    <t>포장</t>
  </si>
  <si>
    <t>시공성</t>
  </si>
  <si>
    <t>(강.설 4.3.3.2.2.1)</t>
  </si>
  <si>
    <t>(강.설 4.3.3.2.7.2)</t>
  </si>
  <si>
    <t>In Web</t>
  </si>
  <si>
    <t>정모멘트</t>
  </si>
  <si>
    <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 xml:space="preserve"> ≤ 0.95R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</si>
  <si>
    <r>
      <t>f</t>
    </r>
    <r>
      <rPr>
        <b/>
        <vertAlign val="subscript"/>
        <sz val="9"/>
        <rFont val="맑은 고딕"/>
        <family val="3"/>
        <charset val="129"/>
      </rPr>
      <t>c</t>
    </r>
    <r>
      <rPr>
        <b/>
        <sz val="9"/>
        <rFont val="맑은 고딕"/>
        <family val="3"/>
        <charset val="129"/>
      </rPr>
      <t xml:space="preserve"> ≤ F</t>
    </r>
    <r>
      <rPr>
        <b/>
        <vertAlign val="subscript"/>
        <sz val="9"/>
        <rFont val="맑은 고딕"/>
        <family val="3"/>
        <charset val="129"/>
      </rPr>
      <t>crw</t>
    </r>
  </si>
  <si>
    <t>(강.설 4.3-138)</t>
  </si>
  <si>
    <t>(강.설 4.3-141)</t>
  </si>
  <si>
    <t>( ☞ 강.설 4.3.3.2.5 )</t>
  </si>
  <si>
    <r>
      <t>g(D</t>
    </r>
    <r>
      <rPr>
        <b/>
        <sz val="9"/>
        <rFont val="맑은 고딕"/>
        <family val="3"/>
        <charset val="129"/>
      </rPr>
      <t>f</t>
    </r>
    <r>
      <rPr>
        <b/>
        <sz val="9"/>
        <rFont val="Symbol"/>
        <family val="1"/>
        <charset val="2"/>
      </rPr>
      <t xml:space="preserve">) £ </t>
    </r>
    <r>
      <rPr>
        <b/>
        <sz val="9"/>
        <rFont val="맑은 고딕"/>
        <family val="3"/>
        <charset val="129"/>
      </rPr>
      <t>(</t>
    </r>
    <r>
      <rPr>
        <b/>
        <sz val="9"/>
        <rFont val="Symbol"/>
        <family val="1"/>
        <charset val="2"/>
      </rPr>
      <t>D</t>
    </r>
    <r>
      <rPr>
        <b/>
        <sz val="9"/>
        <rFont val="맑은 고딕"/>
        <family val="3"/>
        <charset val="129"/>
      </rPr>
      <t>F)</t>
    </r>
    <r>
      <rPr>
        <b/>
        <vertAlign val="subscript"/>
        <sz val="9"/>
        <rFont val="맑은 고딕"/>
        <family val="3"/>
        <charset val="129"/>
      </rPr>
      <t>n</t>
    </r>
  </si>
  <si>
    <t>(강.설 4.3-142)</t>
  </si>
  <si>
    <r>
      <t>V</t>
    </r>
    <r>
      <rPr>
        <b/>
        <vertAlign val="subscript"/>
        <sz val="9"/>
        <rFont val="맑은 고딕"/>
        <family val="3"/>
        <charset val="129"/>
      </rPr>
      <t>u</t>
    </r>
    <r>
      <rPr>
        <b/>
        <sz val="9"/>
        <rFont val="맑은 고딕"/>
        <family val="3"/>
        <charset val="129"/>
      </rPr>
      <t xml:space="preserve"> ≤ V</t>
    </r>
    <r>
      <rPr>
        <b/>
        <vertAlign val="subscript"/>
        <sz val="9"/>
        <rFont val="맑은 고딕"/>
        <family val="3"/>
        <charset val="129"/>
      </rPr>
      <t>cr</t>
    </r>
  </si>
  <si>
    <t>(KDS 14 31 20(4.1)</t>
  </si>
  <si>
    <t>n = 1</t>
  </si>
  <si>
    <t>Open-flange</t>
  </si>
  <si>
    <t>Box-flange</t>
  </si>
  <si>
    <t>콘크리트</t>
  </si>
  <si>
    <t>(강.설 4.3-253)</t>
  </si>
  <si>
    <r>
      <t>f</t>
    </r>
    <r>
      <rPr>
        <b/>
        <vertAlign val="subscript"/>
        <sz val="9"/>
        <rFont val="맑은 고딕"/>
        <family val="3"/>
        <charset val="129"/>
      </rPr>
      <t>bot con'c</t>
    </r>
    <r>
      <rPr>
        <b/>
        <sz val="9"/>
        <rFont val="맑은 고딕"/>
        <family val="3"/>
        <charset val="129"/>
      </rPr>
      <t xml:space="preserve"> ≤ 0.6f'</t>
    </r>
    <r>
      <rPr>
        <b/>
        <vertAlign val="subscript"/>
        <sz val="9"/>
        <rFont val="맑은 고딕"/>
        <family val="3"/>
        <charset val="129"/>
      </rPr>
      <t>c</t>
    </r>
  </si>
  <si>
    <t>Flexure (Non-compact section)</t>
  </si>
  <si>
    <t>Flexure (Compact section)</t>
  </si>
  <si>
    <r>
      <t>Below P</t>
    </r>
    <r>
      <rPr>
        <vertAlign val="subscript"/>
        <sz val="9"/>
        <rFont val="맑은 고딕"/>
        <family val="3"/>
        <charset val="129"/>
      </rPr>
      <t>rb</t>
    </r>
  </si>
  <si>
    <r>
      <t>At P</t>
    </r>
    <r>
      <rPr>
        <vertAlign val="subscript"/>
        <sz val="9"/>
        <rFont val="맑은 고딕"/>
        <family val="3"/>
        <charset val="129"/>
      </rPr>
      <t>rb</t>
    </r>
  </si>
  <si>
    <r>
      <t>Above P</t>
    </r>
    <r>
      <rPr>
        <vertAlign val="subscript"/>
        <sz val="9"/>
        <rFont val="맑은 고딕"/>
        <family val="3"/>
        <charset val="129"/>
      </rPr>
      <t>rb</t>
    </r>
  </si>
  <si>
    <r>
      <t>At P</t>
    </r>
    <r>
      <rPr>
        <vertAlign val="subscript"/>
        <sz val="9"/>
        <rFont val="맑은 고딕"/>
        <family val="3"/>
        <charset val="129"/>
      </rPr>
      <t>rt</t>
    </r>
  </si>
  <si>
    <r>
      <t>Above P</t>
    </r>
    <r>
      <rPr>
        <vertAlign val="subscript"/>
        <sz val="9"/>
        <rFont val="맑은 고딕"/>
        <family val="3"/>
        <charset val="129"/>
      </rPr>
      <t>rt</t>
    </r>
  </si>
  <si>
    <r>
      <t>P</t>
    </r>
    <r>
      <rPr>
        <vertAlign val="subscript"/>
        <sz val="9"/>
        <rFont val="맑은 고딕"/>
        <family val="3"/>
        <charset val="129"/>
      </rPr>
      <t>rb</t>
    </r>
  </si>
  <si>
    <r>
      <t>P</t>
    </r>
    <r>
      <rPr>
        <vertAlign val="subscript"/>
        <sz val="9"/>
        <rFont val="맑은 고딕"/>
        <family val="3"/>
        <charset val="129"/>
      </rPr>
      <t>rt</t>
    </r>
  </si>
  <si>
    <r>
      <t>P</t>
    </r>
    <r>
      <rPr>
        <vertAlign val="subscript"/>
        <sz val="9"/>
        <rFont val="맑은 고딕"/>
        <family val="3"/>
        <charset val="129"/>
      </rPr>
      <t>bot</t>
    </r>
  </si>
  <si>
    <t>In Top Flange</t>
  </si>
  <si>
    <t>Top</t>
  </si>
  <si>
    <t>Bottom</t>
  </si>
  <si>
    <t>Calculated =&gt;</t>
  </si>
  <si>
    <r>
      <t>1-f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cr</t>
    </r>
  </si>
  <si>
    <r>
      <t>1.75-1.05f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+ 0.3(f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2.3</t>
    </r>
  </si>
  <si>
    <r>
      <t>R</t>
    </r>
    <r>
      <rPr>
        <b/>
        <vertAlign val="subscript"/>
        <sz val="9"/>
        <rFont val="맑은 고딕"/>
        <family val="3"/>
        <charset val="129"/>
      </rPr>
      <t>h</t>
    </r>
  </si>
  <si>
    <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</si>
  <si>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Min (F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>)</t>
    </r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</si>
  <si>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= 1.0 for checking constructibility</t>
    </r>
  </si>
  <si>
    <r>
      <t>F</t>
    </r>
    <r>
      <rPr>
        <b/>
        <vertAlign val="subscript"/>
        <sz val="9"/>
        <rFont val="맑은 고딕"/>
        <family val="3"/>
        <charset val="129"/>
      </rPr>
      <t>nc_LB</t>
    </r>
  </si>
  <si>
    <r>
      <rPr>
        <sz val="9"/>
        <rFont val="Symbol"/>
        <family val="1"/>
        <charset val="2"/>
      </rPr>
      <t>l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l</t>
    </r>
    <r>
      <rPr>
        <vertAlign val="subscript"/>
        <sz val="9"/>
        <rFont val="맑은 고딕"/>
        <family val="3"/>
        <charset val="129"/>
      </rPr>
      <t>pf</t>
    </r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</si>
  <si>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</si>
  <si>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L</t>
    </r>
    <r>
      <rPr>
        <vertAlign val="subscript"/>
        <sz val="9"/>
        <rFont val="맑은 고딕"/>
        <family val="3"/>
        <charset val="129"/>
      </rPr>
      <t>p</t>
    </r>
  </si>
  <si>
    <r>
      <t>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L</t>
    </r>
    <r>
      <rPr>
        <vertAlign val="subscript"/>
        <sz val="9"/>
        <rFont val="맑은 고딕"/>
        <family val="3"/>
        <charset val="129"/>
      </rPr>
      <t>r</t>
    </r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</si>
  <si>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&gt; L</t>
    </r>
    <r>
      <rPr>
        <vertAlign val="subscript"/>
        <sz val="9"/>
        <rFont val="맑은 고딕"/>
        <family val="3"/>
        <charset val="129"/>
      </rPr>
      <t>r</t>
    </r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</si>
  <si>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= unbraced length</t>
    </r>
  </si>
  <si>
    <r>
      <t>Calculation of F</t>
    </r>
    <r>
      <rPr>
        <vertAlign val="subscript"/>
        <sz val="9"/>
        <rFont val="맑은 고딕"/>
        <family val="3"/>
        <charset val="129"/>
      </rPr>
      <t>cb</t>
    </r>
  </si>
  <si>
    <r>
      <t>F</t>
    </r>
    <r>
      <rPr>
        <b/>
        <vertAlign val="subscript"/>
        <sz val="9"/>
        <rFont val="맑은 고딕"/>
        <family val="3"/>
        <charset val="129"/>
      </rPr>
      <t>cb</t>
    </r>
  </si>
  <si>
    <r>
      <t>Calculation of F</t>
    </r>
    <r>
      <rPr>
        <vertAlign val="subscript"/>
        <sz val="9"/>
        <rFont val="맑은 고딕"/>
        <family val="3"/>
        <charset val="129"/>
      </rPr>
      <t>cv</t>
    </r>
  </si>
  <si>
    <r>
      <t>F</t>
    </r>
    <r>
      <rPr>
        <b/>
        <vertAlign val="subscript"/>
        <sz val="9"/>
        <rFont val="맑은 고딕"/>
        <family val="3"/>
        <charset val="129"/>
      </rPr>
      <t>cv</t>
    </r>
  </si>
  <si>
    <r>
      <t>0.58F</t>
    </r>
    <r>
      <rPr>
        <vertAlign val="subscript"/>
        <sz val="9"/>
        <rFont val="맑은 고딕"/>
        <family val="3"/>
        <charset val="129"/>
      </rPr>
      <t>yc</t>
    </r>
  </si>
  <si>
    <r>
      <t>k</t>
    </r>
    <r>
      <rPr>
        <b/>
        <vertAlign val="subscript"/>
        <sz val="9"/>
        <rFont val="맑은 고딕"/>
        <family val="3"/>
        <charset val="129"/>
      </rPr>
      <t>s</t>
    </r>
  </si>
  <si>
    <t>종리브 없음</t>
  </si>
  <si>
    <r>
      <t xml:space="preserve">1.0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[8I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4.0</t>
    </r>
  </si>
  <si>
    <t>종리브 있음</t>
  </si>
  <si>
    <t>n = 2</t>
  </si>
  <si>
    <r>
      <t xml:space="preserve">1.0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[0.894I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4.0</t>
    </r>
  </si>
  <si>
    <r>
      <t>F</t>
    </r>
    <r>
      <rPr>
        <vertAlign val="subscript"/>
        <sz val="9"/>
        <rFont val="맑은 고딕"/>
        <family val="3"/>
        <charset val="129"/>
      </rPr>
      <t>crw</t>
    </r>
    <r>
      <rPr>
        <sz val="9"/>
        <rFont val="맑은 고딕"/>
        <family val="3"/>
        <charset val="129"/>
      </rPr>
      <t xml:space="preserve"> = </t>
    </r>
  </si>
  <si>
    <t>0.9Ek</t>
  </si>
  <si>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smaller (R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and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/0.7)</t>
    </r>
  </si>
  <si>
    <r>
      <t>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</si>
  <si>
    <t>보강재 없음</t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</si>
  <si>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&lt;</t>
    </r>
    <r>
      <rPr>
        <sz val="9"/>
        <rFont val="맑은 고딕"/>
        <family val="3"/>
        <charset val="129"/>
      </rPr>
      <t xml:space="preserve"> 0.4</t>
    </r>
  </si>
  <si>
    <r>
      <t>11.64/[(D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-d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)/D]</t>
    </r>
    <r>
      <rPr>
        <vertAlign val="superscript"/>
        <sz val="9"/>
        <rFont val="맑은 고딕"/>
        <family val="3"/>
        <charset val="129"/>
      </rPr>
      <t>2</t>
    </r>
  </si>
  <si>
    <r>
      <t>V</t>
    </r>
    <r>
      <rPr>
        <vertAlign val="subscript"/>
        <sz val="9"/>
        <rFont val="맑은 고딕"/>
        <family val="3"/>
        <charset val="129"/>
      </rPr>
      <t>ui</t>
    </r>
    <r>
      <rPr>
        <sz val="9"/>
        <rFont val="맑은 고딕"/>
        <family val="3"/>
        <charset val="129"/>
      </rPr>
      <t xml:space="preserve"> = 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/cos</t>
    </r>
    <r>
      <rPr>
        <sz val="9"/>
        <rFont val="Symbol"/>
        <family val="1"/>
        <charset val="2"/>
      </rPr>
      <t>q</t>
    </r>
  </si>
  <si>
    <r>
      <t>V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</si>
  <si>
    <t>Calculation of C</t>
  </si>
  <si>
    <r>
      <t>1.57(Ek/F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</si>
  <si>
    <t>In positive moment</t>
  </si>
  <si>
    <t>In negative moment</t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</si>
  <si>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</t>
    </r>
  </si>
  <si>
    <t>for Open flange</t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</si>
  <si>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Symbol"/>
        <family val="1"/>
        <charset val="2"/>
      </rPr>
      <t>D</t>
    </r>
  </si>
  <si>
    <t>for Box flange</t>
  </si>
  <si>
    <r>
      <t>Calculation of 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(Hybrid factor)</t>
    </r>
  </si>
  <si>
    <t>In Positive moment</t>
  </si>
  <si>
    <t>수평보강재 있음</t>
  </si>
  <si>
    <r>
      <t>Calculation of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(Web load shedding factor)</t>
    </r>
  </si>
  <si>
    <r>
      <t>Calculation of a</t>
    </r>
    <r>
      <rPr>
        <vertAlign val="subscript"/>
        <sz val="9"/>
        <rFont val="맑은 고딕"/>
        <family val="3"/>
        <charset val="129"/>
      </rPr>
      <t>wc</t>
    </r>
  </si>
  <si>
    <r>
      <t>a</t>
    </r>
    <r>
      <rPr>
        <b/>
        <vertAlign val="subscript"/>
        <sz val="9"/>
        <rFont val="맑은 고딕"/>
        <family val="3"/>
        <charset val="129"/>
      </rPr>
      <t>wc</t>
    </r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</si>
  <si>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</si>
  <si>
    <r>
      <t>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 xml:space="preserve"> + b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(1 - f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)/(3n)</t>
    </r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</si>
  <si>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/(b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)</t>
    </r>
  </si>
  <si>
    <r>
      <t>f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 xml:space="preserve"> = compression flange stress caused by factored permanent load applied before composite</t>
    </r>
  </si>
  <si>
    <r>
      <t>F</t>
    </r>
    <r>
      <rPr>
        <b/>
        <vertAlign val="subscript"/>
        <sz val="9"/>
        <rFont val="맑은 고딕"/>
        <family val="3"/>
        <charset val="129"/>
      </rPr>
      <t>nt</t>
    </r>
  </si>
  <si>
    <t>Positive moment</t>
  </si>
  <si>
    <t>Negative moment</t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</si>
  <si>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</si>
  <si>
    <r>
      <t>V</t>
    </r>
    <r>
      <rPr>
        <b/>
        <vertAlign val="subscript"/>
        <sz val="9"/>
        <rFont val="맑은 고딕"/>
        <family val="3"/>
        <charset val="129"/>
      </rPr>
      <t>n</t>
    </r>
  </si>
  <si>
    <t>Unstiffened web</t>
  </si>
  <si>
    <t>- End panels</t>
  </si>
  <si>
    <t>- Interior panels</t>
  </si>
  <si>
    <r>
      <t>Calculation of V</t>
    </r>
    <r>
      <rPr>
        <vertAlign val="subscript"/>
        <sz val="9"/>
        <rFont val="맑은 고딕"/>
        <family val="3"/>
        <charset val="129"/>
      </rPr>
      <t xml:space="preserve">n </t>
    </r>
    <r>
      <rPr>
        <sz val="9"/>
        <rFont val="맑은 고딕"/>
        <family val="3"/>
        <charset val="129"/>
      </rPr>
      <t>(Nominal shear resistance)</t>
    </r>
  </si>
  <si>
    <t>종리브 (Bottom)</t>
  </si>
  <si>
    <t>아래 산정 값들 중 가장 작은 값</t>
  </si>
  <si>
    <t>- 등가지간장의 ¼</t>
  </si>
  <si>
    <t>- 슬래브 평균두께의 12배 + Max(복부 두께, 주거더 상부플랜지폭의 ½)</t>
  </si>
  <si>
    <t>- 인접한 보 사이의 평균 간격</t>
  </si>
  <si>
    <t>인접한 내측거더 유효폭의 절반과 아래 산정 값들 중 최소값의 합</t>
  </si>
  <si>
    <t>- 등가지간장의 ⅛</t>
  </si>
  <si>
    <t>- 슬래브 평균두께의 6배 + Max(복부 두께, 주거더 상부플랜지폭의 ¼)</t>
  </si>
  <si>
    <t>- 내민부분(overhang)의 폭</t>
  </si>
  <si>
    <r>
      <t>0.25L</t>
    </r>
    <r>
      <rPr>
        <vertAlign val="subscript"/>
        <sz val="9"/>
        <rFont val="맑은 고딕"/>
        <family val="3"/>
        <charset val="129"/>
      </rPr>
      <t>eff</t>
    </r>
  </si>
  <si>
    <r>
      <t>0.125L</t>
    </r>
    <r>
      <rPr>
        <vertAlign val="subscript"/>
        <sz val="9"/>
        <rFont val="맑은 고딕"/>
        <family val="3"/>
        <charset val="129"/>
      </rPr>
      <t>eff</t>
    </r>
  </si>
  <si>
    <t>Span</t>
  </si>
  <si>
    <t>Effective</t>
  </si>
  <si>
    <r>
      <t>B</t>
    </r>
    <r>
      <rPr>
        <vertAlign val="subscript"/>
        <sz val="9"/>
        <rFont val="맑은 고딕"/>
        <family val="3"/>
        <charset val="129"/>
      </rPr>
      <t>eff</t>
    </r>
  </si>
  <si>
    <t>5.2.</t>
  </si>
  <si>
    <t>단면</t>
  </si>
  <si>
    <t>① Steel only</t>
  </si>
  <si>
    <t>5.3.</t>
  </si>
  <si>
    <t>6.</t>
  </si>
  <si>
    <t>부재력집계</t>
  </si>
  <si>
    <t>6.1.</t>
  </si>
  <si>
    <t>해석보델링</t>
  </si>
  <si>
    <t>6.2.</t>
  </si>
  <si>
    <t>적용하중 및 하중조합</t>
  </si>
  <si>
    <t>① Moment</t>
  </si>
  <si>
    <t>② Shear</t>
  </si>
  <si>
    <t>7.</t>
  </si>
  <si>
    <t>7.4. 피로 및 파단한계상태</t>
  </si>
  <si>
    <t>D web</t>
  </si>
  <si>
    <t>여기서,</t>
    <phoneticPr fontId="34" type="noConversion"/>
  </si>
  <si>
    <t>=</t>
    <phoneticPr fontId="34" type="noConversion"/>
  </si>
  <si>
    <t>하중조합 규정에 명시된 하중계수</t>
    <phoneticPr fontId="34" type="noConversion"/>
  </si>
  <si>
    <t>하중효과, 즉 피로설계하중 통과 시 발생되는 활하중 응력범위</t>
    <phoneticPr fontId="34" type="noConversion"/>
  </si>
  <si>
    <t>N</t>
    <phoneticPr fontId="34" type="noConversion"/>
  </si>
  <si>
    <r>
      <t>(365)•(100)•n•(ADTT)</t>
    </r>
    <r>
      <rPr>
        <vertAlign val="subscript"/>
        <sz val="9"/>
        <rFont val="맑은 고딕"/>
        <family val="3"/>
        <charset val="129"/>
      </rPr>
      <t>SL</t>
    </r>
    <phoneticPr fontId="34" type="noConversion"/>
  </si>
  <si>
    <r>
      <t>(ADTT)</t>
    </r>
    <r>
      <rPr>
        <vertAlign val="subscript"/>
        <sz val="9"/>
        <rFont val="맑은 고딕"/>
        <family val="3"/>
        <charset val="129"/>
      </rPr>
      <t>SL</t>
    </r>
    <phoneticPr fontId="34" type="noConversion"/>
  </si>
  <si>
    <t>=</t>
    <phoneticPr fontId="34" type="noConversion"/>
  </si>
  <si>
    <t>(assumed)</t>
    <phoneticPr fontId="34" type="noConversion"/>
  </si>
  <si>
    <t>n</t>
    <phoneticPr fontId="34" type="noConversion"/>
  </si>
  <si>
    <t xml:space="preserve">공칭피로강도 산정 </t>
    <phoneticPr fontId="34" type="noConversion"/>
  </si>
  <si>
    <t>(KDS 14 31 20(4.1.2.5)</t>
    <phoneticPr fontId="34" type="noConversion"/>
  </si>
  <si>
    <t>if</t>
    <phoneticPr fontId="34" type="noConversion"/>
  </si>
  <si>
    <r>
      <t>N ≤ N</t>
    </r>
    <r>
      <rPr>
        <vertAlign val="subscript"/>
        <sz val="9"/>
        <rFont val="맑은 고딕"/>
        <family val="3"/>
        <charset val="129"/>
      </rPr>
      <t>TH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</si>
  <si>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TH</t>
    </r>
    <r>
      <rPr>
        <sz val="9"/>
        <rFont val="맑은 고딕"/>
        <family val="3"/>
        <charset val="129"/>
      </rPr>
      <t xml:space="preserve"> ≤ N ≤ N</t>
    </r>
    <r>
      <rPr>
        <vertAlign val="subscript"/>
        <sz val="9"/>
        <rFont val="맑은 고딕"/>
        <family val="3"/>
        <charset val="129"/>
      </rPr>
      <t>CL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</si>
  <si>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TH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</si>
  <si>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CL</t>
    </r>
    <phoneticPr fontId="34" type="noConversion"/>
  </si>
  <si>
    <t>Node</t>
    <phoneticPr fontId="34" type="noConversion"/>
  </si>
  <si>
    <t>상세설명</t>
    <phoneticPr fontId="34" type="noConversion"/>
  </si>
  <si>
    <t>법주</t>
    <phoneticPr fontId="34" type="noConversion"/>
  </si>
  <si>
    <t>C'</t>
    <phoneticPr fontId="34" type="noConversion"/>
  </si>
  <si>
    <r>
      <t>N &gt; N</t>
    </r>
    <r>
      <rPr>
        <vertAlign val="subscript"/>
        <sz val="9"/>
        <rFont val="맑은 고딕"/>
        <family val="3"/>
        <charset val="129"/>
      </rPr>
      <t>CL</t>
    </r>
    <phoneticPr fontId="34" type="noConversion"/>
  </si>
  <si>
    <t>C</t>
    <phoneticPr fontId="34" type="noConversion"/>
  </si>
  <si>
    <t>수직보강재와 플랜지 및
수직보강재와 웨브의 용접</t>
    <phoneticPr fontId="34" type="noConversion"/>
  </si>
  <si>
    <t>Bottom concrete</t>
    <phoneticPr fontId="34" type="noConversion"/>
  </si>
  <si>
    <t>No.</t>
    <phoneticPr fontId="34" type="noConversion"/>
  </si>
  <si>
    <t>가로보와 플랜지 및 
가로보와 웨브의 용접 R =</t>
    <phoneticPr fontId="34" type="noConversion"/>
  </si>
  <si>
    <t>가로보</t>
    <phoneticPr fontId="34" type="noConversion"/>
  </si>
  <si>
    <t>단면계수 산정</t>
    <phoneticPr fontId="34" type="noConversion"/>
  </si>
  <si>
    <t>단면비제한</t>
    <phoneticPr fontId="34" type="noConversion"/>
  </si>
  <si>
    <t>단면검토</t>
    <phoneticPr fontId="34" type="noConversion"/>
  </si>
  <si>
    <t>7.1. 시공성</t>
    <phoneticPr fontId="34" type="noConversion"/>
  </si>
  <si>
    <t>7.3. 사용한계상태</t>
    <phoneticPr fontId="34" type="noConversion"/>
  </si>
  <si>
    <t>필릿이나 자동 스터드 용접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</si>
  <si>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</si>
  <si>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</si>
  <si>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</si>
  <si>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β</t>
    <phoneticPr fontId="34" type="noConversion"/>
  </si>
  <si>
    <t>Fillet welds connection transverse
elements to webs and flanges</t>
    <phoneticPr fontId="34" type="noConversion"/>
  </si>
  <si>
    <t>E</t>
    <phoneticPr fontId="34" type="noConversion"/>
  </si>
  <si>
    <t>여기서,</t>
    <phoneticPr fontId="34" type="noConversion"/>
  </si>
  <si>
    <t>=</t>
    <phoneticPr fontId="34" type="noConversion"/>
  </si>
  <si>
    <t>소성거동을 보장하는 비지지길이의 한계</t>
    <phoneticPr fontId="34" type="noConversion"/>
  </si>
  <si>
    <r>
      <t>1.0•r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•</t>
    </r>
    <r>
      <rPr>
        <sz val="9"/>
        <rFont val="Symbol"/>
        <family val="1"/>
        <charset val="2"/>
      </rPr>
      <t>Ö</t>
    </r>
    <r>
      <rPr>
        <sz val="9"/>
        <rFont val="맑은 고딕"/>
        <family val="3"/>
        <charset val="129"/>
      </rPr>
      <t>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</si>
  <si>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</si>
  <si>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</si>
  <si>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>for constructibility (A.C.6.10.1.10.2)</t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</si>
  <si>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</si>
  <si>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if f</t>
    </r>
    <r>
      <rPr>
        <vertAlign val="subscript"/>
        <sz val="9"/>
        <rFont val="맑은 고딕"/>
        <family val="3"/>
        <charset val="129"/>
      </rPr>
      <t>mid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&gt; 1</t>
    </r>
    <phoneticPr fontId="34" type="noConversion"/>
  </si>
  <si>
    <r>
      <t>If 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= 0</t>
    </r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</si>
  <si>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</si>
  <si>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π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E</t>
    </r>
    <phoneticPr fontId="34" type="noConversion"/>
  </si>
  <si>
    <r>
      <t>(L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</si>
  <si>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</si>
  <si>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</si>
  <si>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t>section modulus of top flange about a vertical axis through the web</t>
    <phoneticPr fontId="34" type="noConversion"/>
  </si>
  <si>
    <t>largest values of compressive stress in the flange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</si>
  <si>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</si>
  <si>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</si>
  <si>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비지지걸이</t>
    <phoneticPr fontId="34" type="noConversion"/>
  </si>
  <si>
    <t>상연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</si>
  <si>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4" type="noConversion"/>
  </si>
  <si>
    <t>R</t>
    <phoneticPr fontId="34" type="noConversion"/>
  </si>
  <si>
    <t>N - a constant taken as 12, R - girder radius, D - web depth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</si>
  <si>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l1</t>
    </r>
    <phoneticPr fontId="34" type="noConversion"/>
  </si>
  <si>
    <t>하연</t>
    <phoneticPr fontId="34" type="noConversion"/>
  </si>
  <si>
    <t xml:space="preserve">7.1.1. 횡방향 휨응력 상부플랜지 검토 </t>
    <phoneticPr fontId="34" type="noConversion"/>
  </si>
  <si>
    <t>7.1.2. 플랜지 응력 검토</t>
    <phoneticPr fontId="34" type="noConversion"/>
  </si>
  <si>
    <t>+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</si>
  <si>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 = 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</si>
  <si>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steel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</si>
  <si>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bot_con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</si>
  <si>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</si>
  <si>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하이브리드 계수</t>
    </r>
    <phoneticPr fontId="34" type="noConversion"/>
  </si>
  <si>
    <t>모멘트 보정계수, taken as 1.0</t>
    <phoneticPr fontId="34" type="noConversion"/>
  </si>
  <si>
    <t>Open flange (OF)</t>
    <phoneticPr fontId="34" type="noConversion"/>
  </si>
  <si>
    <t>Box flange (BF)</t>
    <phoneticPr fontId="34" type="noConversion"/>
  </si>
  <si>
    <t>T</t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</si>
  <si>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</t>
    </r>
    <phoneticPr fontId="34" type="noConversion"/>
  </si>
  <si>
    <t>계수하중에 의한 내부토크</t>
    <phoneticPr fontId="34" type="noConversion"/>
  </si>
  <si>
    <t>박스거더 단면의 폐합단면적</t>
    <phoneticPr fontId="34" type="noConversion"/>
  </si>
  <si>
    <t>=</t>
    <phoneticPr fontId="34" type="noConversion"/>
  </si>
  <si>
    <t>w</t>
    <phoneticPr fontId="34" type="noConversion"/>
  </si>
  <si>
    <t>max(w1, w2)</t>
    <phoneticPr fontId="34" type="noConversion"/>
  </si>
  <si>
    <t>압축플랜지의 종방향보강재 폭 또는 웨브로부터 가장 가까운 종방향보강재까지의 거리 중 큰 값</t>
    <phoneticPr fontId="34" type="noConversion"/>
  </si>
  <si>
    <t>Δ</t>
    <phoneticPr fontId="34" type="noConversion"/>
  </si>
  <si>
    <t>종리브 (Top)</t>
    <phoneticPr fontId="34" type="noConversion"/>
  </si>
  <si>
    <r>
      <t>k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</si>
  <si>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t>(강.설 4.3.3.1.1.9)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</si>
  <si>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</si>
  <si>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</si>
  <si>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D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</si>
  <si>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crw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</si>
  <si>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t</t>
    </r>
    <phoneticPr fontId="34" type="noConversion"/>
  </si>
  <si>
    <t>(1)</t>
    <phoneticPr fontId="34" type="noConversion"/>
  </si>
  <si>
    <t>압축</t>
    <phoneticPr fontId="34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</si>
  <si>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nc</t>
    </r>
    <phoneticPr fontId="34" type="noConversion"/>
  </si>
  <si>
    <t>1) 플랜지 응력</t>
    <phoneticPr fontId="34" type="noConversion"/>
  </si>
  <si>
    <r>
      <t>2) F</t>
    </r>
    <r>
      <rPr>
        <b/>
        <vertAlign val="subscript"/>
        <sz val="9"/>
        <rFont val="맑은 고딕"/>
        <family val="3"/>
        <charset val="129"/>
      </rPr>
      <t>nc</t>
    </r>
    <r>
      <rPr>
        <b/>
        <sz val="9"/>
        <rFont val="맑은 고딕"/>
        <family val="3"/>
        <charset val="129"/>
      </rPr>
      <t xml:space="preserve"> 산정 (Nominal flexural resistance of compression flange)</t>
    </r>
    <phoneticPr fontId="34" type="noConversion"/>
  </si>
  <si>
    <t>Node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</si>
  <si>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</si>
  <si>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0</t>
    </r>
    <phoneticPr fontId="34" type="noConversion"/>
  </si>
  <si>
    <t>k</t>
    <phoneticPr fontId="34" type="noConversion"/>
  </si>
  <si>
    <t>C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</si>
  <si>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</si>
  <si>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>여기서,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</si>
  <si>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o</t>
    </r>
    <r>
      <rPr>
        <sz val="9"/>
        <rFont val="맑은 고딕"/>
        <family val="3"/>
        <charset val="129"/>
      </rPr>
      <t xml:space="preserve"> = 수직보강재 간격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</si>
  <si>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 xml:space="preserve"> = V/2 =  경사진 웨브 1개에 작용하는 계수하중에 의한 전단력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</si>
  <si>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4" type="noConversion"/>
  </si>
  <si>
    <t>검토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</si>
  <si>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34" type="noConversion"/>
  </si>
  <si>
    <t>탄성범위 내에서 웨브의 압축 측 높이</t>
    <phoneticPr fontId="34" type="noConversion"/>
  </si>
  <si>
    <t>수평보강재 중심선과 압축플랜지 안쪽면사이의 거리</t>
    <phoneticPr fontId="34" type="noConversion"/>
  </si>
  <si>
    <t>3) Checking for compression and tension flanges</t>
    <phoneticPr fontId="34" type="noConversion"/>
  </si>
  <si>
    <t>(for slender web)</t>
    <phoneticPr fontId="34" type="noConversion"/>
  </si>
  <si>
    <t>Section classification</t>
    <phoneticPr fontId="34" type="noConversion"/>
  </si>
  <si>
    <t>Section</t>
    <phoneticPr fontId="34" type="noConversion"/>
  </si>
  <si>
    <r>
      <t>2D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</si>
  <si>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</si>
  <si>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Compact or non-compact Web</t>
    <phoneticPr fontId="34" type="noConversion"/>
  </si>
  <si>
    <t>Slender Web</t>
    <phoneticPr fontId="34" type="noConversion"/>
  </si>
  <si>
    <t>(For section with compact or noncompact web, this equation shall not be checked)</t>
    <phoneticPr fontId="34" type="noConversion"/>
  </si>
  <si>
    <t>인장</t>
    <phoneticPr fontId="34" type="noConversion"/>
  </si>
  <si>
    <t>BF/OF</t>
    <phoneticPr fontId="34" type="noConversion"/>
  </si>
  <si>
    <t>(2)</t>
    <phoneticPr fontId="34" type="noConversion"/>
  </si>
  <si>
    <t>(3)</t>
    <phoneticPr fontId="34" type="noConversion"/>
  </si>
  <si>
    <t>4) Checking web Bend-Buckling Resistance for slender web</t>
    <phoneticPr fontId="34" type="noConversion"/>
  </si>
  <si>
    <r>
      <t>0.6F</t>
    </r>
    <r>
      <rPr>
        <vertAlign val="subscript"/>
        <sz val="9"/>
        <rFont val="맑은 고딕"/>
        <family val="3"/>
        <charset val="129"/>
      </rPr>
      <t>y</t>
    </r>
    <phoneticPr fontId="34" type="noConversion"/>
  </si>
  <si>
    <t>7.2. 강도한계상태</t>
    <phoneticPr fontId="34" type="noConversion"/>
  </si>
  <si>
    <t>deep of web in compression in elastic range</t>
    <phoneticPr fontId="34" type="noConversion"/>
  </si>
  <si>
    <t>for Open flange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</si>
  <si>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수평보강재 중심선과 압축플랜지 안쪽면사이의 거리</t>
    </r>
    <phoneticPr fontId="34" type="noConversion"/>
  </si>
  <si>
    <r>
      <t>M</t>
    </r>
    <r>
      <rPr>
        <b/>
        <vertAlign val="subscript"/>
        <sz val="9"/>
        <rFont val="맑은 고딕"/>
        <family val="3"/>
        <charset val="129"/>
      </rPr>
      <t>n</t>
    </r>
  </si>
  <si>
    <r>
      <t>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0.1D</t>
    </r>
    <r>
      <rPr>
        <vertAlign val="subscript"/>
        <sz val="9"/>
        <rFont val="맑은 고딕"/>
        <family val="3"/>
        <charset val="129"/>
      </rPr>
      <t>t</t>
    </r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</si>
  <si>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</si>
  <si>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(1.07 - 0.7D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</si>
  <si>
    <r>
      <t>4) F</t>
    </r>
    <r>
      <rPr>
        <b/>
        <vertAlign val="subscript"/>
        <sz val="9"/>
        <rFont val="맑은 고딕"/>
        <family val="3"/>
        <charset val="129"/>
      </rPr>
      <t>nt</t>
    </r>
    <r>
      <rPr>
        <b/>
        <sz val="9"/>
        <rFont val="맑은 고딕"/>
        <family val="3"/>
        <charset val="129"/>
      </rPr>
      <t xml:space="preserve"> 산정 (Nominal flexural resistance of tension flange)</t>
    </r>
    <phoneticPr fontId="34" type="noConversion"/>
  </si>
  <si>
    <t>Classification of web: S - slender web; C - compact or noncompact web</t>
    <phoneticPr fontId="34" type="noConversion"/>
  </si>
  <si>
    <t>분류</t>
    <phoneticPr fontId="34" type="noConversion"/>
  </si>
  <si>
    <t>(Web classification is checked in the next section, S = slender web, C = compact or noncompact web)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</si>
  <si>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cp</t>
    </r>
    <r>
      <rPr>
        <sz val="9"/>
        <rFont val="맑은 고딕"/>
        <family val="3"/>
        <charset val="129"/>
      </rPr>
      <t xml:space="preserve"> &gt; 0 for the case the plastic neutral axis is in the web, others cases D</t>
    </r>
    <r>
      <rPr>
        <vertAlign val="subscript"/>
        <sz val="9"/>
        <rFont val="맑은 고딕"/>
        <family val="3"/>
        <charset val="129"/>
      </rPr>
      <t>cp</t>
    </r>
    <r>
      <rPr>
        <sz val="9"/>
        <rFont val="맑은 고딕"/>
        <family val="3"/>
        <charset val="129"/>
      </rPr>
      <t xml:space="preserve"> = 0</t>
    </r>
    <phoneticPr fontId="34" type="noConversion"/>
  </si>
  <si>
    <t>dt</t>
    <phoneticPr fontId="34" type="noConversion"/>
  </si>
  <si>
    <t>dw</t>
    <phoneticPr fontId="34" type="noConversion"/>
  </si>
  <si>
    <t>dc</t>
    <phoneticPr fontId="34" type="noConversion"/>
  </si>
  <si>
    <t>ds</t>
    <phoneticPr fontId="34" type="noConversion"/>
  </si>
  <si>
    <t>drb</t>
    <phoneticPr fontId="34" type="noConversion"/>
  </si>
  <si>
    <t>drt</t>
    <phoneticPr fontId="34" type="noConversion"/>
  </si>
  <si>
    <t>dbot</t>
    <phoneticPr fontId="34" type="noConversion"/>
  </si>
  <si>
    <t>location</t>
    <phoneticPr fontId="34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</si>
  <si>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</si>
  <si>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</si>
  <si>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>Distance from YPAN to center of members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</si>
  <si>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</si>
  <si>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</si>
  <si>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phoneticPr fontId="34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</si>
  <si>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nt</t>
    </r>
    <phoneticPr fontId="34" type="noConversion"/>
  </si>
  <si>
    <r>
      <t>M</t>
    </r>
    <r>
      <rPr>
        <b/>
        <vertAlign val="subscript"/>
        <sz val="9"/>
        <rFont val="맑은 고딕"/>
        <family val="3"/>
        <charset val="129"/>
      </rPr>
      <t>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  <scheme val="major"/>
      </rPr>
      <t>f</t>
    </r>
    <r>
      <rPr>
        <b/>
        <sz val="9"/>
        <rFont val="맑은 고딕"/>
        <family val="3"/>
        <charset val="129"/>
      </rPr>
      <t>M</t>
    </r>
    <r>
      <rPr>
        <b/>
        <vertAlign val="subscript"/>
        <sz val="9"/>
        <rFont val="맑은 고딕"/>
        <family val="3"/>
        <charset val="129"/>
      </rPr>
      <t>n</t>
    </r>
    <phoneticPr fontId="34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</si>
  <si>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M</t>
    </r>
    <r>
      <rPr>
        <vertAlign val="subscript"/>
        <sz val="9"/>
        <rFont val="맑은 고딕"/>
        <family val="3"/>
        <charset val="129"/>
      </rPr>
      <t>n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</si>
  <si>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u</t>
    </r>
    <phoneticPr fontId="34" type="noConversion"/>
  </si>
  <si>
    <t>Moment</t>
    <phoneticPr fontId="34" type="noConversion"/>
  </si>
  <si>
    <t>checking</t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</si>
  <si>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Flexure checking</t>
    </r>
    <phoneticPr fontId="34" type="noConversion"/>
  </si>
  <si>
    <t>for compact section</t>
    <phoneticPr fontId="34" type="noConversion"/>
  </si>
  <si>
    <r>
      <t>C•V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C•0.58F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</si>
  <si>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Except for the section in positive flexure in which the web satisfies D/t</t>
    </r>
    <r>
      <rPr>
        <i/>
        <vertAlign val="subscript"/>
        <sz val="9"/>
        <rFont val="맑은 고딕"/>
        <family val="3"/>
        <charset val="129"/>
      </rPr>
      <t>w</t>
    </r>
    <r>
      <rPr>
        <i/>
        <sz val="9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</rPr>
      <t>≤</t>
    </r>
    <r>
      <rPr>
        <i/>
        <sz val="8.65"/>
        <rFont val="맑은 고딕"/>
        <family val="3"/>
        <charset val="129"/>
      </rPr>
      <t xml:space="preserve"> 150</t>
    </r>
    <phoneticPr fontId="34" type="noConversion"/>
  </si>
  <si>
    <t xml:space="preserve"> For compact section in positive moment (강.설 4.3.3.1.4.2 )</t>
    <phoneticPr fontId="34" type="noConversion"/>
  </si>
  <si>
    <t>=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</si>
  <si>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</si>
  <si>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4" type="noConversion"/>
  </si>
  <si>
    <t>Top</t>
    <phoneticPr fontId="34" type="noConversion"/>
  </si>
  <si>
    <t>Bottom</t>
    <phoneticPr fontId="34" type="noConversion"/>
  </si>
  <si>
    <r>
      <t>0.95R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yf</t>
    </r>
    <phoneticPr fontId="34" type="noConversion"/>
  </si>
  <si>
    <t>(1)</t>
    <phoneticPr fontId="34" type="noConversion"/>
  </si>
  <si>
    <t>(2)</t>
    <phoneticPr fontId="34" type="noConversion"/>
  </si>
  <si>
    <t>(ΔF)n</t>
    <phoneticPr fontId="34" type="noConversion"/>
  </si>
  <si>
    <t>Ratio</t>
    <phoneticPr fontId="34" type="noConversion"/>
  </si>
  <si>
    <t>Ratio</t>
    <phoneticPr fontId="34" type="noConversion"/>
  </si>
  <si>
    <t>(6)</t>
    <phoneticPr fontId="34" type="noConversion"/>
  </si>
  <si>
    <t>In Top Rib</t>
    <phoneticPr fontId="34" type="noConversion"/>
  </si>
  <si>
    <t>In Bot Rib</t>
    <phoneticPr fontId="34" type="noConversion"/>
  </si>
  <si>
    <t>In Bot Con'c</t>
    <phoneticPr fontId="34" type="noConversion"/>
  </si>
  <si>
    <t>In Top Flange</t>
    <phoneticPr fontId="34" type="noConversion"/>
  </si>
  <si>
    <t>조건 / YPNA / MP</t>
    <phoneticPr fontId="34" type="noConversion"/>
  </si>
  <si>
    <t>Location</t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</si>
  <si>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10.1"/>
        <rFont val="맑은 고딕"/>
        <family val="3"/>
        <charset val="129"/>
      </rPr>
      <t xml:space="preserve"> </t>
    </r>
    <r>
      <rPr>
        <b/>
        <sz val="9"/>
        <rFont val="맑은 고딕"/>
        <family val="3"/>
        <charset val="129"/>
      </rPr>
      <t>정모멘트</t>
    </r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</si>
  <si>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10.1"/>
        <rFont val="맑은 고딕"/>
        <family val="3"/>
        <charset val="129"/>
      </rPr>
      <t xml:space="preserve"> </t>
    </r>
    <r>
      <rPr>
        <b/>
        <sz val="9"/>
        <rFont val="맑은 고딕"/>
        <family val="3"/>
        <charset val="129"/>
      </rPr>
      <t>부모멘트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</si>
  <si>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</si>
  <si>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</si>
  <si>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</si>
  <si>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</si>
  <si>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Web</t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</si>
  <si>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</si>
  <si>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0.85f'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</si>
  <si>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</si>
  <si>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0.85f'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</si>
  <si>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t>Top rebar in deck slab</t>
    <phoneticPr fontId="34" type="noConversion"/>
  </si>
  <si>
    <t>Bottom rebar in deck slab</t>
    <phoneticPr fontId="34" type="noConversion"/>
  </si>
  <si>
    <t>Top Rib</t>
    <phoneticPr fontId="34" type="noConversion"/>
  </si>
  <si>
    <t>Bottom Rib</t>
    <phoneticPr fontId="34" type="noConversion"/>
  </si>
  <si>
    <r>
      <t>7.2.1. Y</t>
    </r>
    <r>
      <rPr>
        <b/>
        <vertAlign val="subscript"/>
        <sz val="9"/>
        <rFont val="맑은 고딕"/>
        <family val="3"/>
        <charset val="129"/>
      </rPr>
      <t>PNA</t>
    </r>
    <r>
      <rPr>
        <b/>
        <sz val="9"/>
        <rFont val="맑은 고딕"/>
        <family val="3"/>
        <charset val="129"/>
      </rPr>
      <t>, M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for plastic moment 산정</t>
    </r>
    <phoneticPr fontId="34" type="noConversion"/>
  </si>
  <si>
    <r>
      <t>조건 / Y</t>
    </r>
    <r>
      <rPr>
        <b/>
        <vertAlign val="subscript"/>
        <sz val="9"/>
        <rFont val="맑은 고딕"/>
        <family val="3"/>
        <charset val="129"/>
      </rPr>
      <t xml:space="preserve">PNA </t>
    </r>
    <r>
      <rPr>
        <b/>
        <sz val="9"/>
        <rFont val="맑은 고딕"/>
        <family val="3"/>
        <charset val="129"/>
      </rPr>
      <t>/ M</t>
    </r>
    <r>
      <rPr>
        <b/>
        <vertAlign val="subscript"/>
        <sz val="9"/>
        <rFont val="맑은 고딕"/>
        <family val="3"/>
        <charset val="129"/>
      </rPr>
      <t>P</t>
    </r>
    <phoneticPr fontId="34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</si>
  <si>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</si>
  <si>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cp</t>
    </r>
    <phoneticPr fontId="34" type="noConversion"/>
  </si>
  <si>
    <t>Classification</t>
    <phoneticPr fontId="34" type="noConversion"/>
  </si>
  <si>
    <t>PNA</t>
    <phoneticPr fontId="34" type="noConversion"/>
  </si>
  <si>
    <t>(8)</t>
    <phoneticPr fontId="34" type="noConversion"/>
  </si>
  <si>
    <t>SUMMARIES</t>
    <phoneticPr fontId="34" type="noConversion"/>
  </si>
  <si>
    <t>Coor</t>
    <phoneticPr fontId="34" type="noConversion"/>
  </si>
  <si>
    <t>Constructibility</t>
    <phoneticPr fontId="34" type="noConversion"/>
  </si>
  <si>
    <t>0.6Fy</t>
    <phoneticPr fontId="34" type="noConversion"/>
  </si>
  <si>
    <t>abs(fl)</t>
    <phoneticPr fontId="34" type="noConversion"/>
  </si>
  <si>
    <t>fbu</t>
    <phoneticPr fontId="34" type="noConversion"/>
  </si>
  <si>
    <t>Fnc</t>
    <phoneticPr fontId="34" type="noConversion"/>
  </si>
  <si>
    <t>fbu+fl</t>
    <phoneticPr fontId="34" type="noConversion"/>
  </si>
  <si>
    <t>fbu+1/3fl</t>
    <phoneticPr fontId="34" type="noConversion"/>
  </si>
  <si>
    <t>1. Constructibility Checking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</si>
  <si>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횡방향 휨응력 상부플랜지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</si>
  <si>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압축플랜지</t>
    </r>
    <phoneticPr fontId="34" type="noConversion"/>
  </si>
  <si>
    <t>ΦfRhFyc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</si>
  <si>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인장플랜지</t>
    </r>
    <phoneticPr fontId="34" type="noConversion"/>
  </si>
  <si>
    <t>ΦfFt</t>
    <phoneticPr fontId="34" type="noConversion"/>
  </si>
  <si>
    <t>2. Strength limit state checking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</si>
  <si>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콘크리트</t>
    </r>
    <phoneticPr fontId="34" type="noConversion"/>
  </si>
  <si>
    <t>fdeck</t>
    <phoneticPr fontId="34" type="noConversion"/>
  </si>
  <si>
    <t>fbot</t>
    <phoneticPr fontId="34" type="noConversion"/>
  </si>
  <si>
    <t>0.6f'c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</si>
  <si>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Flexure checking</t>
    </r>
    <phoneticPr fontId="34" type="noConversion"/>
  </si>
  <si>
    <t>ΦfFnc</t>
    <phoneticPr fontId="34" type="noConversion"/>
  </si>
  <si>
    <t>ΦfFnt</t>
    <phoneticPr fontId="34" type="noConversion"/>
  </si>
  <si>
    <t>for compression in noncompact section</t>
    <phoneticPr fontId="34" type="noConversion"/>
  </si>
  <si>
    <t>for tension in noncompact section</t>
    <phoneticPr fontId="34" type="noConversion"/>
  </si>
  <si>
    <t>Mu</t>
    <phoneticPr fontId="34" type="noConversion"/>
  </si>
  <si>
    <t>ΦfMn</t>
    <phoneticPr fontId="34" type="noConversion"/>
  </si>
  <si>
    <t>fbu 압축</t>
    <phoneticPr fontId="34" type="noConversion"/>
  </si>
  <si>
    <t>fbu 인장</t>
    <phoneticPr fontId="34" type="noConversion"/>
  </si>
  <si>
    <t>Strength limit state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</si>
  <si>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웨브</t>
    </r>
    <phoneticPr fontId="34" type="noConversion"/>
  </si>
  <si>
    <t>Vu</t>
    <phoneticPr fontId="34" type="noConversion"/>
  </si>
  <si>
    <t>ΦvVn</t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</si>
  <si>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Checking web Bend-Buckling Resistance for slender web</t>
    </r>
    <phoneticPr fontId="34" type="noConversion"/>
  </si>
  <si>
    <t>Fcrw</t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</si>
  <si>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웨브 검토</t>
    </r>
    <phoneticPr fontId="34" type="noConversion"/>
  </si>
  <si>
    <t>3. Service limit state checking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</si>
  <si>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플랜지</t>
    </r>
    <phoneticPr fontId="34" type="noConversion"/>
  </si>
  <si>
    <t>Service limit state</t>
    <phoneticPr fontId="34" type="noConversion"/>
  </si>
  <si>
    <t>0.95RhFyf</t>
    <phoneticPr fontId="34" type="noConversion"/>
  </si>
  <si>
    <t>fc</t>
    <phoneticPr fontId="34" type="noConversion"/>
  </si>
  <si>
    <t>Fcrw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</si>
  <si>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웨브</t>
    </r>
    <phoneticPr fontId="34" type="noConversion"/>
  </si>
  <si>
    <t>4. Fatigue limit state checking</t>
    <phoneticPr fontId="34" type="noConversion"/>
  </si>
  <si>
    <r>
      <t>g(D</t>
    </r>
    <r>
      <rPr>
        <b/>
        <sz val="9"/>
        <rFont val="맑은 고딕"/>
        <family val="3"/>
        <charset val="129"/>
      </rPr>
      <t>f</t>
    </r>
    <r>
      <rPr>
        <b/>
        <sz val="9"/>
        <rFont val="Symbol"/>
        <family val="1"/>
        <charset val="2"/>
      </rPr>
      <t xml:space="preserve">) £ </t>
    </r>
    <r>
      <rPr>
        <b/>
        <sz val="9"/>
        <rFont val="맑은 고딕"/>
        <family val="3"/>
        <charset val="129"/>
      </rPr>
      <t>(</t>
    </r>
    <r>
      <rPr>
        <b/>
        <sz val="9"/>
        <rFont val="Symbol"/>
        <family val="1"/>
        <charset val="2"/>
      </rPr>
      <t>D</t>
    </r>
    <r>
      <rPr>
        <b/>
        <sz val="9"/>
        <rFont val="맑은 고딕"/>
        <family val="3"/>
        <charset val="129"/>
      </rPr>
      <t>F)</t>
    </r>
    <r>
      <rPr>
        <b/>
        <vertAlign val="subscript"/>
        <sz val="9"/>
        <rFont val="맑은 고딕"/>
        <family val="3"/>
        <charset val="129"/>
      </rPr>
      <t>n</t>
    </r>
    <phoneticPr fontId="34" type="noConversion"/>
  </si>
  <si>
    <t>Fatigue litmit state</t>
    <phoneticPr fontId="34" type="noConversion"/>
  </si>
  <si>
    <t>γ(Δ)f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</si>
  <si>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수평보강재 중심선과 압축플랜지 안쪽면사이의 거리</t>
    </r>
    <phoneticPr fontId="34" type="noConversion"/>
  </si>
  <si>
    <t>Deck concrete</t>
    <phoneticPr fontId="34" type="noConversion"/>
  </si>
  <si>
    <t>D</t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</si>
  <si>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</si>
  <si>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t>web depth</t>
    <phoneticPr fontId="34" type="noConversion"/>
  </si>
  <si>
    <t>Top rib and bottom rib depth</t>
    <phoneticPr fontId="34" type="noConversion"/>
  </si>
  <si>
    <t>Distance from top deck slab to top the centerline of top / bottom layer rebar</t>
    <phoneticPr fontId="34" type="noConversion"/>
  </si>
  <si>
    <t>1) 일반 Cases</t>
    <phoneticPr fontId="34" type="noConversion"/>
  </si>
  <si>
    <t>(3)</t>
    <phoneticPr fontId="34" type="noConversion"/>
  </si>
  <si>
    <t>(4)</t>
    <phoneticPr fontId="34" type="noConversion"/>
  </si>
  <si>
    <t>(5)</t>
    <phoneticPr fontId="34" type="noConversion"/>
  </si>
  <si>
    <t>(7)</t>
    <phoneticPr fontId="34" type="noConversion"/>
  </si>
  <si>
    <t>(9)</t>
    <phoneticPr fontId="34" type="noConversion"/>
  </si>
  <si>
    <t>2) 우경 Cases</t>
    <phoneticPr fontId="34" type="noConversion"/>
  </si>
  <si>
    <t>(a)</t>
    <phoneticPr fontId="34" type="noConversion"/>
  </si>
  <si>
    <t>(b)</t>
    <phoneticPr fontId="34" type="noConversion"/>
  </si>
  <si>
    <t>(c)</t>
    <phoneticPr fontId="34" type="noConversion"/>
  </si>
  <si>
    <r>
      <t>Distance from Y</t>
    </r>
    <r>
      <rPr>
        <b/>
        <vertAlign val="subscript"/>
        <sz val="9"/>
        <rFont val="맑은 고딕"/>
        <family val="3"/>
        <charset val="129"/>
      </rPr>
      <t>PNA</t>
    </r>
    <r>
      <rPr>
        <b/>
        <sz val="9"/>
        <rFont val="맑은 고딕"/>
        <family val="3"/>
        <charset val="129"/>
      </rPr>
      <t xml:space="preserve"> to mems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</si>
  <si>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</si>
  <si>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</si>
  <si>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</si>
  <si>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</si>
  <si>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</si>
  <si>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Y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</si>
  <si>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</si>
  <si>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</si>
  <si>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-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</si>
  <si>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</si>
  <si>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</si>
  <si>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</si>
  <si>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</si>
  <si>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</si>
  <si>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</si>
  <si>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</si>
  <si>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</si>
  <si>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4" type="noConversion"/>
  </si>
  <si>
    <r>
      <t>0.42D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</si>
  <si>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t>(d)</t>
    <phoneticPr fontId="34" type="noConversion"/>
  </si>
  <si>
    <t>Top layer 철근 in 바닥판</t>
    <phoneticPr fontId="34" type="noConversion"/>
  </si>
  <si>
    <t>Bottom layer 철근 in 바닥판</t>
    <phoneticPr fontId="34" type="noConversion"/>
  </si>
  <si>
    <t>a</t>
    <phoneticPr fontId="34" type="noConversion"/>
  </si>
  <si>
    <t>b</t>
    <phoneticPr fontId="34" type="noConversion"/>
  </si>
  <si>
    <t>c</t>
    <phoneticPr fontId="34" type="noConversion"/>
  </si>
  <si>
    <t>d</t>
    <phoneticPr fontId="34" type="noConversion"/>
  </si>
  <si>
    <t>YPNA for 14 cases</t>
    <phoneticPr fontId="34" type="noConversion"/>
  </si>
  <si>
    <t>Plastic moment for 14 cases</t>
    <phoneticPr fontId="34" type="noConversion"/>
  </si>
  <si>
    <t>Case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</si>
  <si>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</si>
  <si>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t>전체 높이 산정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</si>
  <si>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</si>
  <si>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34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</si>
  <si>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≤ 0.42D</t>
    </r>
    <r>
      <rPr>
        <b/>
        <vertAlign val="subscript"/>
        <sz val="9"/>
        <rFont val="맑은 고딕"/>
        <family val="3"/>
        <charset val="129"/>
      </rPr>
      <t>t</t>
    </r>
    <phoneticPr fontId="34" type="noConversion"/>
  </si>
  <si>
    <t>1)</t>
    <phoneticPr fontId="34" type="noConversion"/>
  </si>
  <si>
    <t>공칭항복강도 690MPa 균질 합성단면 or 상부 및 하부플랜지의 공칭항복강도 690MPa</t>
    <phoneticPr fontId="34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</si>
  <si>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≤ 0.3D</t>
    </r>
    <r>
      <rPr>
        <b/>
        <vertAlign val="subscript"/>
        <sz val="9"/>
        <rFont val="맑은 고딕"/>
        <family val="3"/>
        <charset val="129"/>
      </rPr>
      <t>t</t>
    </r>
    <phoneticPr fontId="34" type="noConversion"/>
  </si>
  <si>
    <t>2)</t>
    <phoneticPr fontId="34" type="noConversion"/>
  </si>
  <si>
    <t>그 밖의 단면인 경우</t>
    <phoneticPr fontId="34" type="noConversion"/>
  </si>
  <si>
    <t>( ☞ 강.설 4.3.3.1.7.3)</t>
    <phoneticPr fontId="34" type="noConversion"/>
  </si>
  <si>
    <t>( ☞ 강.설 4.3.3.2.7.2)</t>
    <phoneticPr fontId="34" type="noConversion"/>
  </si>
  <si>
    <r>
      <t>콘크리트 종방향 응력을 : 0.6f'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이하</t>
    </r>
    <phoneticPr fontId="34" type="noConversion"/>
  </si>
  <si>
    <t>2)</t>
    <phoneticPr fontId="34" type="noConversion"/>
  </si>
  <si>
    <t>작용응력</t>
    <phoneticPr fontId="34" type="noConversion"/>
  </si>
  <si>
    <t>3)</t>
    <phoneticPr fontId="34" type="noConversion"/>
  </si>
  <si>
    <t>단기 탄성계수 n 사용</t>
    <phoneticPr fontId="34" type="noConversion"/>
  </si>
  <si>
    <t>( ☞ 강.설 4.3.3.1.1.1)</t>
    <phoneticPr fontId="34" type="noConversion"/>
  </si>
  <si>
    <r>
      <t>n = E / E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</si>
  <si>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1.5DW</t>
    <phoneticPr fontId="34" type="noConversion"/>
  </si>
  <si>
    <t>부재력 집계</t>
    <phoneticPr fontId="34" type="noConversion"/>
  </si>
  <si>
    <r>
      <t>1.25DC</t>
    </r>
    <r>
      <rPr>
        <vertAlign val="subscript"/>
        <sz val="9"/>
        <rFont val="맑은 고딕"/>
        <family val="3"/>
        <charset val="129"/>
      </rPr>
      <t>3</t>
    </r>
    <phoneticPr fontId="34" type="noConversion"/>
  </si>
  <si>
    <r>
      <t>1.25DC</t>
    </r>
    <r>
      <rPr>
        <vertAlign val="subscript"/>
        <sz val="9"/>
        <rFont val="맑은 고딕"/>
        <family val="3"/>
        <charset val="129"/>
      </rPr>
      <t>4</t>
    </r>
    <phoneticPr fontId="34" type="noConversion"/>
  </si>
  <si>
    <r>
      <t>1.8LL</t>
    </r>
    <r>
      <rPr>
        <vertAlign val="subscript"/>
        <sz val="9"/>
        <rFont val="맑은 고딕"/>
        <family val="3"/>
        <charset val="129"/>
      </rPr>
      <t>min</t>
    </r>
    <phoneticPr fontId="34" type="noConversion"/>
  </si>
  <si>
    <r>
      <t>1.8LL</t>
    </r>
    <r>
      <rPr>
        <vertAlign val="subscript"/>
        <sz val="9"/>
        <rFont val="맑은 고딕"/>
        <family val="3"/>
        <charset val="129"/>
      </rPr>
      <t>max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</si>
  <si>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</si>
  <si>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deck</t>
    </r>
    <phoneticPr fontId="34" type="noConversion"/>
  </si>
  <si>
    <t>단면계수</t>
    <phoneticPr fontId="34" type="noConversion"/>
  </si>
  <si>
    <t>Deck</t>
    <phoneticPr fontId="34" type="noConversion"/>
  </si>
  <si>
    <t>Bot con'c</t>
    <phoneticPr fontId="34" type="noConversion"/>
  </si>
  <si>
    <r>
      <t>0.6f'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</si>
  <si>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구분</t>
    <phoneticPr fontId="34" type="noConversion"/>
  </si>
  <si>
    <t>내부 con'c</t>
    <phoneticPr fontId="34" type="noConversion"/>
  </si>
  <si>
    <t>기준강도</t>
    <phoneticPr fontId="34" type="noConversion"/>
  </si>
  <si>
    <r>
      <t>n = E / E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</si>
  <si>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한계강도</t>
    <phoneticPr fontId="34" type="noConversion"/>
  </si>
  <si>
    <t>검토</t>
    <phoneticPr fontId="34" type="noConversion"/>
  </si>
  <si>
    <r>
      <t>f'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</si>
  <si>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철근 (부모멘트)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</si>
  <si>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s</t>
    </r>
    <r>
      <rPr>
        <b/>
        <sz val="9"/>
        <rFont val="맑은 고딕"/>
        <family val="3"/>
        <charset val="129"/>
      </rPr>
      <t xml:space="preserve"> ≤ 0.8F</t>
    </r>
    <r>
      <rPr>
        <b/>
        <vertAlign val="subscript"/>
        <sz val="9"/>
        <rFont val="맑은 고딕"/>
        <family val="3"/>
        <charset val="129"/>
      </rPr>
      <t>y</t>
    </r>
    <phoneticPr fontId="34" type="noConversion"/>
  </si>
  <si>
    <t>슬래블</t>
    <phoneticPr fontId="34" type="noConversion"/>
  </si>
  <si>
    <t>부재력 집계</t>
    <phoneticPr fontId="34" type="noConversion"/>
  </si>
  <si>
    <t>단면계수</t>
    <phoneticPr fontId="34" type="noConversion"/>
  </si>
  <si>
    <t>적용응력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</si>
  <si>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</si>
  <si>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t>여기서,</t>
    <phoneticPr fontId="34" type="noConversion"/>
  </si>
  <si>
    <t>7.3.2 부모멘트 인장철근 검토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</si>
  <si>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s</t>
    </r>
    <r>
      <rPr>
        <b/>
        <sz val="9"/>
        <rFont val="맑은 고딕"/>
        <family val="3"/>
        <charset val="129"/>
      </rPr>
      <t xml:space="preserve"> ≤ 0.8F</t>
    </r>
    <r>
      <rPr>
        <b/>
        <vertAlign val="subscript"/>
        <sz val="9"/>
        <rFont val="맑은 고딕"/>
        <family val="3"/>
        <charset val="129"/>
      </rPr>
      <t>y</t>
    </r>
    <phoneticPr fontId="34" type="noConversion"/>
  </si>
  <si>
    <r>
      <t>0.8F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= </t>
    </r>
    <phoneticPr fontId="34" type="noConversion"/>
  </si>
  <si>
    <t>검토</t>
    <phoneticPr fontId="34" type="noConversion"/>
  </si>
  <si>
    <t>주부재:</t>
    <phoneticPr fontId="34" type="noConversion"/>
  </si>
  <si>
    <t>E</t>
    <phoneticPr fontId="34" type="noConversion"/>
  </si>
  <si>
    <t>G</t>
    <phoneticPr fontId="34" type="noConversion"/>
  </si>
  <si>
    <t xml:space="preserve">fck </t>
    <phoneticPr fontId="34" type="noConversion"/>
  </si>
  <si>
    <t xml:space="preserve">Ec </t>
    <phoneticPr fontId="34" type="noConversion"/>
  </si>
  <si>
    <t xml:space="preserve">fck 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</si>
  <si>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</t>
    </r>
    <phoneticPr fontId="34" type="noConversion"/>
  </si>
  <si>
    <t xml:space="preserve">E </t>
    <phoneticPr fontId="34" type="noConversion"/>
  </si>
  <si>
    <t>=</t>
    <phoneticPr fontId="34" type="noConversion"/>
  </si>
  <si>
    <t>Flanges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</si>
  <si>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max(F</t>
    </r>
    <r>
      <rPr>
        <vertAlign val="subscript"/>
        <sz val="9"/>
        <rFont val="맑은 고딕"/>
        <family val="3"/>
        <charset val="129"/>
      </rPr>
      <t>yf</t>
    </r>
    <r>
      <rPr>
        <sz val="9"/>
        <rFont val="맑은 고딕"/>
        <family val="3"/>
        <charset val="129"/>
      </rPr>
      <t>,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</si>
  <si>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</si>
  <si>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fn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</si>
  <si>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</t>
    </r>
    <phoneticPr fontId="34" type="noConversion"/>
  </si>
  <si>
    <t>ρ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</si>
  <si>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</si>
  <si>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</si>
  <si>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 xml:space="preserve"> ≥ F</t>
    </r>
    <r>
      <rPr>
        <vertAlign val="subscript"/>
        <sz val="9"/>
        <rFont val="맑은 고딕"/>
        <family val="3"/>
        <charset val="129"/>
      </rPr>
      <t>yf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</si>
  <si>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</si>
  <si>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</si>
  <si>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>정/부</t>
    <phoneticPr fontId="34" type="noConversion"/>
  </si>
  <si>
    <t>모멘트</t>
    <phoneticPr fontId="34" type="noConversion"/>
  </si>
  <si>
    <t>정모멘트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</si>
  <si>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nt</t>
    </r>
    <phoneticPr fontId="34" type="noConversion"/>
  </si>
  <si>
    <t>YU</t>
    <phoneticPr fontId="34" type="noConversion"/>
  </si>
  <si>
    <t>YL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</si>
  <si>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top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</si>
  <si>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</si>
  <si>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t>ρ 산정</t>
    <phoneticPr fontId="34" type="noConversion"/>
  </si>
  <si>
    <t>Node</t>
    <phoneticPr fontId="34" type="noConversion"/>
  </si>
  <si>
    <t>부모멘트</t>
    <phoneticPr fontId="34" type="noConversion"/>
  </si>
  <si>
    <t>적용응력</t>
    <phoneticPr fontId="34" type="noConversion"/>
  </si>
  <si>
    <t>Classification</t>
    <phoneticPr fontId="34" type="noConversion"/>
  </si>
  <si>
    <t>Classification</t>
    <phoneticPr fontId="34" type="noConversion"/>
  </si>
  <si>
    <t>DC1</t>
    <phoneticPr fontId="34" type="noConversion"/>
  </si>
  <si>
    <t>DC2</t>
    <phoneticPr fontId="34" type="noConversion"/>
  </si>
  <si>
    <t>DC3</t>
    <phoneticPr fontId="34" type="noConversion"/>
  </si>
  <si>
    <t>DC4</t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</si>
  <si>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4" type="noConversion"/>
  </si>
  <si>
    <t>DW</t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</si>
  <si>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4" type="noConversion"/>
  </si>
  <si>
    <t>전단 산정</t>
    <phoneticPr fontId="34" type="noConversion"/>
  </si>
  <si>
    <t>θ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</si>
  <si>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4" type="noConversion"/>
  </si>
  <si>
    <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V</t>
    </r>
    <r>
      <rPr>
        <vertAlign val="subscript"/>
        <sz val="9"/>
        <rFont val="맑은 고딕"/>
        <family val="3"/>
        <charset val="129"/>
      </rPr>
      <t>n</t>
    </r>
    <phoneticPr fontId="34" type="noConversion"/>
  </si>
  <si>
    <t xml:space="preserve">소성모멘트 상태어세 콘크리트 바닥판의 상단에서나 내부 con'c 하단에서 중립축까지의 거리 </t>
    <phoneticPr fontId="34" type="noConversion"/>
  </si>
  <si>
    <t>(강.설 4.3.3.2.7.2(2))</t>
    <phoneticPr fontId="34" type="noConversion"/>
  </si>
  <si>
    <t>(강.설 4.3.3.2.8.2(2))</t>
    <phoneticPr fontId="34" type="noConversion"/>
  </si>
  <si>
    <t>( ☞ 강.설 4.3.3.1.1.10(2))</t>
    <phoneticPr fontId="34" type="noConversion"/>
  </si>
  <si>
    <t>( ☞ 강.설 4.3.3.1.1.10(1))</t>
    <phoneticPr fontId="34" type="noConversion"/>
  </si>
  <si>
    <t>( ☞ 강.설 4.3.3.1.1.9)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</si>
  <si>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 xml:space="preserve"> = min[(Δ - 0.3)F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;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]</t>
    </r>
    <phoneticPr fontId="34" type="noConversion"/>
  </si>
  <si>
    <t>( ☞ 강.설 4.3.3.2.8.2(2))</t>
    <phoneticPr fontId="34" type="noConversion"/>
  </si>
  <si>
    <r>
      <t>7.2.3. M</t>
    </r>
    <r>
      <rPr>
        <b/>
        <vertAlign val="subscript"/>
        <sz val="9"/>
        <rFont val="맑은 고딕"/>
        <family val="3"/>
        <charset val="129"/>
      </rPr>
      <t>y</t>
    </r>
    <r>
      <rPr>
        <b/>
        <sz val="9"/>
        <rFont val="맑은 고딕"/>
        <family val="3"/>
        <charset val="129"/>
      </rPr>
      <t xml:space="preserve"> 항복모멘트 산정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</si>
  <si>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AD</t>
    </r>
    <phoneticPr fontId="34" type="noConversion"/>
  </si>
  <si>
    <t>여기서,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</si>
  <si>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= 1.25(M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DC2</t>
    </r>
    <r>
      <rPr>
        <sz val="9"/>
        <rFont val="맑은 고딕"/>
        <family val="3"/>
        <charset val="129"/>
      </rPr>
      <t>)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</si>
  <si>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= 1.25M</t>
    </r>
    <r>
      <rPr>
        <vertAlign val="subscript"/>
        <sz val="9"/>
        <rFont val="맑은 고딕"/>
        <family val="3"/>
        <charset val="129"/>
      </rPr>
      <t>DC3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</si>
  <si>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= 1.25M</t>
    </r>
    <r>
      <rPr>
        <vertAlign val="subscript"/>
        <sz val="9"/>
        <rFont val="맑은 고딕"/>
        <family val="3"/>
        <charset val="129"/>
      </rPr>
      <t>DC4</t>
    </r>
    <r>
      <rPr>
        <sz val="9"/>
        <rFont val="맑은 고딕"/>
        <family val="3"/>
        <charset val="129"/>
      </rPr>
      <t xml:space="preserve"> + 1.50M</t>
    </r>
    <r>
      <rPr>
        <vertAlign val="subscript"/>
        <sz val="9"/>
        <rFont val="맑은 고딕"/>
        <family val="3"/>
        <charset val="129"/>
      </rPr>
      <t>DW</t>
    </r>
    <phoneticPr fontId="34" type="noConversion"/>
  </si>
  <si>
    <r>
      <t>1) 다음 식에서 M</t>
    </r>
    <r>
      <rPr>
        <vertAlign val="subscript"/>
        <sz val="9"/>
        <rFont val="맑은 고딕"/>
        <family val="3"/>
        <charset val="129"/>
      </rPr>
      <t>AD</t>
    </r>
    <r>
      <rPr>
        <sz val="9"/>
        <rFont val="맑은 고딕"/>
        <family val="3"/>
        <charset val="129"/>
      </rPr>
      <t>를 구한다</t>
    </r>
    <phoneticPr fontId="34" type="noConversion"/>
  </si>
  <si>
    <r>
      <t>2) 다음을 M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계산한다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</si>
  <si>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</si>
  <si>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D2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</si>
  <si>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D3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</si>
  <si>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steel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</si>
  <si>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longterm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</si>
  <si>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shorttime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</si>
  <si>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y</t>
    </r>
    <phoneticPr fontId="34" type="noConversion"/>
  </si>
  <si>
    <t>( ☞ 강.설 B.1 )</t>
    <phoneticPr fontId="34" type="noConversion"/>
  </si>
  <si>
    <t>( ☞ 강.설 B.2.2 )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</si>
  <si>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AD_C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</si>
  <si>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DC1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</si>
  <si>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DC2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</si>
  <si>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DC3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</si>
  <si>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DC4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</si>
  <si>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DW</t>
    </r>
    <phoneticPr fontId="34" type="noConversion"/>
  </si>
  <si>
    <t>단면계수 (인장플랜지)</t>
    <phoneticPr fontId="34" type="noConversion"/>
  </si>
  <si>
    <t>단면계수 (압축플랜지)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</si>
  <si>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AD_T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</si>
  <si>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AD</t>
    </r>
    <r>
      <rPr>
        <sz val="9"/>
        <rFont val="맑은 고딕"/>
        <family val="3"/>
        <charset val="129"/>
      </rPr>
      <t xml:space="preserve"> = min(M</t>
    </r>
    <r>
      <rPr>
        <vertAlign val="subscript"/>
        <sz val="9"/>
        <rFont val="맑은 고딕"/>
        <family val="3"/>
        <charset val="129"/>
      </rPr>
      <t xml:space="preserve">AD_C </t>
    </r>
    <r>
      <rPr>
        <sz val="9"/>
        <rFont val="맑은 고딕"/>
        <family val="3"/>
        <charset val="129"/>
      </rPr>
      <t>; M</t>
    </r>
    <r>
      <rPr>
        <vertAlign val="subscript"/>
        <sz val="9"/>
        <rFont val="맑은 고딕"/>
        <family val="3"/>
        <charset val="129"/>
      </rPr>
      <t>AD_T</t>
    </r>
    <r>
      <rPr>
        <sz val="9"/>
        <rFont val="맑은 고딕"/>
        <family val="3"/>
        <charset val="129"/>
      </rPr>
      <t>)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</si>
  <si>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AD</t>
    </r>
    <phoneticPr fontId="34" type="noConversion"/>
  </si>
  <si>
    <t>7.2.4. 콘크리트 응력 검토</t>
    <phoneticPr fontId="34" type="noConversion"/>
  </si>
  <si>
    <t>7.2.5. Flexure checking</t>
    <phoneticPr fontId="34" type="noConversion"/>
  </si>
  <si>
    <r>
      <t>3) 공칭휨강도 M</t>
    </r>
    <r>
      <rPr>
        <b/>
        <vertAlign val="subscript"/>
        <sz val="9"/>
        <rFont val="맑은 고딕"/>
        <family val="3"/>
        <charset val="129"/>
      </rPr>
      <t>n</t>
    </r>
    <r>
      <rPr>
        <b/>
        <sz val="9"/>
        <rFont val="맑은 고딕"/>
        <family val="3"/>
        <charset val="129"/>
      </rPr>
      <t xml:space="preserve"> 산정 (Nominal flexural resistance)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</si>
  <si>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.5500000000000007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</rPr>
      <t>공칭항복강도 485MPa 이하인 강재로 균질 합성단면 or 상부 및 하부플랜지의 공칭항복강도 485MPa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</si>
  <si>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.5500000000000007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</rPr>
      <t>공칭항복강도 690MPa 강재로 균질 합성단면 or 상부 및 하부플랜지의 공칭항복강도 690MPa</t>
    </r>
    <phoneticPr fontId="34" type="noConversion"/>
  </si>
  <si>
    <r>
      <t>0.1D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&lt; 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0.2D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</si>
  <si>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(1.19 - 1.9D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</si>
  <si>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(1.0 - 0.95D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</si>
  <si>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.5500000000000007"/>
        <rFont val="맑은 고딕"/>
        <family val="3"/>
        <charset val="129"/>
      </rPr>
      <t xml:space="preserve"> 연속교의 경우 단며의 공칭휨강도는 다음 식을 만족해야한다 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</si>
  <si>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≤ 1.3R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M</t>
    </r>
    <r>
      <rPr>
        <vertAlign val="subscript"/>
        <sz val="9"/>
        <rFont val="맑은 고딕"/>
        <family val="3"/>
        <charset val="129"/>
      </rPr>
      <t>y</t>
    </r>
    <phoneticPr fontId="34" type="noConversion"/>
  </si>
  <si>
    <t xml:space="preserve">여기서, 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</si>
  <si>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</si>
  <si>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>=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</si>
  <si>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</si>
  <si>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t>합성단면의 전체높이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</si>
  <si>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</si>
  <si>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>=</t>
    <phoneticPr fontId="34" type="noConversion"/>
  </si>
  <si>
    <t>( ☞ 강.설 4.3.3.1.7.1 (2))</t>
    <phoneticPr fontId="34" type="noConversion"/>
  </si>
  <si>
    <t>( ☞ 강.설 4.3.3.2.7.2 (2))</t>
    <phoneticPr fontId="34" type="noConversion"/>
  </si>
  <si>
    <t>( ☞ 강.설 4.3.3.2.8.3)</t>
    <phoneticPr fontId="34" type="noConversion"/>
  </si>
  <si>
    <t>a</t>
    <phoneticPr fontId="34" type="noConversion"/>
  </si>
  <si>
    <t>자간 중앙에서의 안접 박스 간 플랜지의 중심간격</t>
    <phoneticPr fontId="34" type="noConversion"/>
  </si>
  <si>
    <t>w</t>
    <phoneticPr fontId="34" type="noConversion"/>
  </si>
  <si>
    <t>S</t>
    <phoneticPr fontId="34" type="noConversion"/>
  </si>
  <si>
    <r>
      <t>1.3R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M</t>
    </r>
    <r>
      <rPr>
        <vertAlign val="subscript"/>
        <sz val="9"/>
        <rFont val="맑은 고딕"/>
        <family val="3"/>
        <charset val="129"/>
      </rPr>
      <t>y</t>
    </r>
    <phoneticPr fontId="34" type="noConversion"/>
  </si>
  <si>
    <t>a</t>
    <phoneticPr fontId="34" type="noConversion"/>
  </si>
  <si>
    <t>b</t>
    <phoneticPr fontId="34" type="noConversion"/>
  </si>
  <si>
    <t>s</t>
    <phoneticPr fontId="34" type="noConversion"/>
  </si>
  <si>
    <t xml:space="preserve">정/부 </t>
    <phoneticPr fontId="34" type="noConversion"/>
  </si>
  <si>
    <t>( ☞ 강.설 4.3.3.2.6.2 (2))</t>
    <phoneticPr fontId="34" type="noConversion"/>
  </si>
  <si>
    <t>③ Torsion</t>
    <phoneticPr fontId="34" type="noConversion"/>
  </si>
  <si>
    <t>Steel</t>
    <phoneticPr fontId="34" type="noConversion"/>
  </si>
  <si>
    <t>①</t>
    <phoneticPr fontId="34" type="noConversion"/>
  </si>
  <si>
    <t>포장 (장기)</t>
    <phoneticPr fontId="34" type="noConversion"/>
  </si>
  <si>
    <t>②</t>
    <phoneticPr fontId="34" type="noConversion"/>
  </si>
  <si>
    <t>③</t>
    <phoneticPr fontId="34" type="noConversion"/>
  </si>
  <si>
    <t>④</t>
    <phoneticPr fontId="34" type="noConversion"/>
  </si>
  <si>
    <t>Bottom con'c</t>
    <phoneticPr fontId="34" type="noConversion"/>
  </si>
  <si>
    <t>Noncompact section</t>
    <phoneticPr fontId="34" type="noConversion"/>
  </si>
  <si>
    <t>Compact section</t>
    <phoneticPr fontId="34" type="noConversion"/>
  </si>
  <si>
    <t>압축플랜지</t>
    <phoneticPr fontId="34" type="noConversion"/>
  </si>
  <si>
    <t>인장플랜지</t>
    <phoneticPr fontId="34" type="noConversion"/>
  </si>
  <si>
    <t>(강.설 4.3-253)</t>
    <phoneticPr fontId="34" type="noConversion"/>
  </si>
  <si>
    <t>(강.설 4.3-255 &amp; 4.3-264)</t>
    <phoneticPr fontId="34" type="noConversion"/>
  </si>
  <si>
    <t>(강.설 4.3-254 &amp; 4.3-263)</t>
    <phoneticPr fontId="34" type="noConversion"/>
  </si>
  <si>
    <r>
      <t>1) 플랜지 응력 (f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>) 산정</t>
    </r>
    <phoneticPr fontId="34" type="noConversion"/>
  </si>
  <si>
    <t>5) 'Classification of compact or noncompact section</t>
    <phoneticPr fontId="34" type="noConversion"/>
  </si>
  <si>
    <t>7.2.6. Shear checking</t>
    <phoneticPr fontId="34" type="noConversion"/>
  </si>
  <si>
    <t>( ☞ 강.설 4.3.3.2.9)</t>
    <phoneticPr fontId="34" type="noConversion"/>
  </si>
  <si>
    <t>( ☞ 강.설 4.3.3.1.9.2)</t>
    <phoneticPr fontId="34" type="noConversion"/>
  </si>
  <si>
    <t>( ☞ 강.설 4.3.3.1.9.3(3))</t>
    <phoneticPr fontId="34" type="noConversion"/>
  </si>
  <si>
    <t>( ☞ 강.설 4.3.3.1.9.3(2))</t>
    <phoneticPr fontId="34" type="noConversion"/>
  </si>
  <si>
    <t>( ☞ 강.설 4.3.3.1.9.1(3))</t>
    <phoneticPr fontId="34" type="noConversion"/>
  </si>
  <si>
    <t>k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</si>
  <si>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0</t>
    </r>
    <phoneticPr fontId="34" type="noConversion"/>
  </si>
  <si>
    <r>
      <rPr>
        <sz val="9"/>
        <rFont val="Symbol"/>
        <family val="1"/>
        <charset val="2"/>
      </rPr>
      <t>Ö</t>
    </r>
    <r>
      <rPr>
        <sz val="9"/>
        <rFont val="맑은 고딕"/>
        <family val="3"/>
        <charset val="129"/>
      </rPr>
      <t>Ek/F</t>
    </r>
    <r>
      <rPr>
        <vertAlign val="subscript"/>
        <sz val="9"/>
        <rFont val="맑은 고딕"/>
        <family val="3"/>
        <charset val="129"/>
      </rPr>
      <t>yw</t>
    </r>
    <phoneticPr fontId="34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</si>
  <si>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</si>
  <si>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C 산정</t>
    <phoneticPr fontId="34" type="noConversion"/>
  </si>
  <si>
    <t>C</t>
    <phoneticPr fontId="34" type="noConversion"/>
  </si>
  <si>
    <t>플랜지 요구조건</t>
    <phoneticPr fontId="34" type="noConversion"/>
  </si>
  <si>
    <t>웨브의 휨좌굴강도</t>
    <phoneticPr fontId="34" type="noConversion"/>
  </si>
  <si>
    <t>7.3.1. 플랜지 요구조건</t>
    <phoneticPr fontId="34" type="noConversion"/>
  </si>
  <si>
    <t>부/정</t>
    <phoneticPr fontId="34" type="noConversion"/>
  </si>
  <si>
    <t>모멘트</t>
    <phoneticPr fontId="34" type="noConversion"/>
  </si>
  <si>
    <t>검토</t>
    <phoneticPr fontId="34" type="noConversion"/>
  </si>
  <si>
    <t>( ☞ 강.설 4.3.3.1.4.2 )</t>
    <phoneticPr fontId="34" type="noConversion"/>
  </si>
  <si>
    <t>7.3.2. 웨브의 휨좌굴강도</t>
    <phoneticPr fontId="34" type="noConversion"/>
  </si>
  <si>
    <t>플랜지 횡방향 휨을 고려하지 않은 사용한계상태조합에 의한 플랜지 응력</t>
    <phoneticPr fontId="34" type="noConversion"/>
  </si>
  <si>
    <t>하이브리드 단면의 플랜지 응력감소계수</t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</si>
  <si>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4" type="noConversion"/>
  </si>
  <si>
    <t>웨브 공칭휨좌굴강도</t>
    <phoneticPr fontId="34" type="noConversion"/>
  </si>
  <si>
    <t>( ☞ 강.설 4.3.3.1.1.9 )</t>
    <phoneticPr fontId="34" type="noConversion"/>
  </si>
  <si>
    <t xml:space="preserve"> - 양쭉단이 압축 경우</t>
    <phoneticPr fontId="34" type="noConversion"/>
  </si>
  <si>
    <t xml:space="preserve"> - Otherwise</t>
    <phoneticPr fontId="34" type="noConversion"/>
  </si>
  <si>
    <t>7.2.3. 연성 요구조건</t>
    <phoneticPr fontId="34" type="noConversion"/>
  </si>
  <si>
    <t>모멘트</t>
    <phoneticPr fontId="34" type="noConversion"/>
  </si>
  <si>
    <t>DC1</t>
    <phoneticPr fontId="34" type="noConversion"/>
  </si>
  <si>
    <t>DW</t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</si>
  <si>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</si>
  <si>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4" type="noConversion"/>
  </si>
  <si>
    <t>Top flange</t>
    <phoneticPr fontId="34" type="noConversion"/>
  </si>
  <si>
    <t>Bottom flange</t>
    <phoneticPr fontId="34" type="noConversion"/>
  </si>
  <si>
    <t>Deck slab</t>
    <phoneticPr fontId="34" type="noConversion"/>
  </si>
  <si>
    <t>Web</t>
    <phoneticPr fontId="34" type="noConversion"/>
  </si>
  <si>
    <t>Torsional moment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</si>
  <si>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</si>
  <si>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r>
      <t>I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</si>
  <si>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k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</si>
  <si>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cv</t>
    </r>
    <phoneticPr fontId="34" type="noConversion"/>
  </si>
  <si>
    <t>OF/BF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</si>
  <si>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</si>
  <si>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phoneticPr fontId="34" type="noConversion"/>
  </si>
  <si>
    <r>
      <t>수직보강재 간격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≤ 1.5 D and 수평보강재 있음</t>
    </r>
    <phoneticPr fontId="34" type="noConversion"/>
  </si>
  <si>
    <r>
      <t>수직보강재 간격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≤ 3D and 수평보강재 없음</t>
    </r>
    <phoneticPr fontId="34" type="noConversion"/>
  </si>
  <si>
    <t>⑤</t>
    <phoneticPr fontId="34" type="noConversion"/>
  </si>
  <si>
    <t>·</t>
    <phoneticPr fontId="34" type="noConversion"/>
  </si>
  <si>
    <r>
      <t>탄성범위 내에서 웨브의 압축 측 높이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</si>
  <si>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t>( ☞ 강.설 B.3.1 )</t>
    <phoneticPr fontId="34" type="noConversion"/>
  </si>
  <si>
    <t>방호벽 (장기)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</si>
  <si>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</si>
  <si>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t>7.4.1. 하중유발 피로</t>
    <phoneticPr fontId="34" type="noConversion"/>
  </si>
  <si>
    <t>-------</t>
  </si>
  <si>
    <t>피로 (Truck *0.8 * 1.15 / 1.25)</t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</si>
  <si>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</si>
  <si>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4" type="noConversion"/>
  </si>
  <si>
    <t>사용 I 합계</t>
    <phoneticPr fontId="34" type="noConversion"/>
  </si>
  <si>
    <t>정/부</t>
    <phoneticPr fontId="34" type="noConversion"/>
  </si>
  <si>
    <r>
      <t>피로 (LL</t>
    </r>
    <r>
      <rPr>
        <vertAlign val="subscript"/>
        <sz val="9"/>
        <rFont val="맑은 고딕"/>
        <family val="3"/>
        <charset val="129"/>
      </rPr>
      <t>max</t>
    </r>
    <r>
      <rPr>
        <sz val="9"/>
        <rFont val="맑은 고딕"/>
        <family val="3"/>
        <charset val="129"/>
      </rPr>
      <t>)</t>
    </r>
    <phoneticPr fontId="34" type="noConversion"/>
  </si>
  <si>
    <r>
      <t>피로 (LL</t>
    </r>
    <r>
      <rPr>
        <vertAlign val="subscript"/>
        <sz val="9"/>
        <rFont val="맑은 고딕"/>
        <family val="3"/>
        <charset val="129"/>
      </rPr>
      <t>min</t>
    </r>
    <r>
      <rPr>
        <sz val="9"/>
        <rFont val="맑은 고딕"/>
        <family val="3"/>
        <charset val="129"/>
      </rPr>
      <t>)</t>
    </r>
    <phoneticPr fontId="34" type="noConversion"/>
  </si>
  <si>
    <t>시공성</t>
    <phoneticPr fontId="34" type="noConversion"/>
  </si>
  <si>
    <t>=</t>
    <phoneticPr fontId="34" type="noConversion"/>
  </si>
  <si>
    <t>극한 I 합계</t>
    <phoneticPr fontId="34" type="noConversion"/>
  </si>
  <si>
    <t>1.25× [① + ② + ③]</t>
    <phoneticPr fontId="34" type="noConversion"/>
  </si>
  <si>
    <t>사용 I 합계</t>
    <phoneticPr fontId="34" type="noConversion"/>
  </si>
  <si>
    <t>사용 II 합계</t>
    <phoneticPr fontId="34" type="noConversion"/>
  </si>
  <si>
    <t>피로</t>
    <phoneticPr fontId="34" type="noConversion"/>
  </si>
  <si>
    <t>0.75 × ⑦</t>
    <phoneticPr fontId="34" type="noConversion"/>
  </si>
  <si>
    <r>
      <t>DC</t>
    </r>
    <r>
      <rPr>
        <vertAlign val="subscript"/>
        <sz val="9"/>
        <rFont val="맑은 고딕"/>
        <family val="3"/>
        <charset val="129"/>
      </rPr>
      <t>4</t>
    </r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</si>
  <si>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4" type="noConversion"/>
  </si>
  <si>
    <t>= 부모멘트 인장철근 응력 (사용 I 한계상태)</t>
    <phoneticPr fontId="34" type="noConversion"/>
  </si>
  <si>
    <t>γ(Δf)</t>
    <phoneticPr fontId="34" type="noConversion"/>
  </si>
  <si>
    <t>Top</t>
    <phoneticPr fontId="34" type="noConversion"/>
  </si>
  <si>
    <t>Bottom</t>
    <phoneticPr fontId="34" type="noConversion"/>
  </si>
  <si>
    <t>∑DC</t>
    <phoneticPr fontId="34" type="noConversion"/>
  </si>
  <si>
    <t>부분의 경우, 이 압축응력이 피로한계상태조합에 최대 활하중 인장응력의 2배보다 작은 경우에만 피로문제를 고려한다</t>
    <phoneticPr fontId="34" type="noConversion"/>
  </si>
  <si>
    <t>이 규정들은 순인장응력을 받는 상세에만 적용된다. 하중계수를 적용하지 않은 고정하중이, ∑DC, 압축응력을 발생시키는</t>
    <phoneticPr fontId="34" type="noConversion"/>
  </si>
  <si>
    <t>그리고 압축응력 ∑DC ≥ 2∙γ(Δf) 경우 → 검토 필요없음</t>
    <phoneticPr fontId="34" type="noConversion"/>
  </si>
  <si>
    <t>수직 보강재 용접</t>
    <phoneticPr fontId="34" type="noConversion"/>
  </si>
  <si>
    <t>위치</t>
    <phoneticPr fontId="34" type="noConversion"/>
  </si>
  <si>
    <t>상판-가로보 용접</t>
    <phoneticPr fontId="34" type="noConversion"/>
  </si>
  <si>
    <t>스터드 용접</t>
    <phoneticPr fontId="34" type="noConversion"/>
  </si>
  <si>
    <t>x</t>
    <phoneticPr fontId="34" type="noConversion"/>
  </si>
  <si>
    <t>x</t>
    <phoneticPr fontId="34" type="noConversion"/>
  </si>
  <si>
    <t>x</t>
    <phoneticPr fontId="34" type="noConversion"/>
  </si>
  <si>
    <t>x</t>
    <phoneticPr fontId="34" type="noConversion"/>
  </si>
  <si>
    <t>x</t>
    <phoneticPr fontId="34" type="noConversion"/>
  </si>
  <si>
    <t>x</t>
    <phoneticPr fontId="34" type="noConversion"/>
  </si>
  <si>
    <t>x</t>
    <phoneticPr fontId="34" type="noConversion"/>
  </si>
  <si>
    <t>x</t>
    <phoneticPr fontId="34" type="noConversion"/>
  </si>
  <si>
    <t>여기서,</t>
    <phoneticPr fontId="34" type="noConversion"/>
  </si>
  <si>
    <t>(KDS 14 31 20(4.1)</t>
    <phoneticPr fontId="34" type="noConversion"/>
  </si>
  <si>
    <t>( ☞ 강.설 4.3.3.1.5.3 )</t>
    <phoneticPr fontId="34" type="noConversion"/>
  </si>
  <si>
    <t>=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</si>
  <si>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</si>
  <si>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</si>
  <si>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= C∙V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C∙0.58F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</si>
  <si>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4" type="noConversion"/>
  </si>
  <si>
    <t>설계피로하중</t>
    <phoneticPr fontId="34" type="noConversion"/>
  </si>
  <si>
    <t xml:space="preserve">하중계수를 곱하지 않은 영구하중과 설계피로하중값의 2배 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</si>
  <si>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4" type="noConversion"/>
  </si>
  <si>
    <t>검토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</si>
  <si>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</si>
  <si>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</si>
  <si>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하중유발 피로</t>
    </r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</si>
  <si>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웨브 피로요구조건 (전단)</t>
    </r>
    <phoneticPr fontId="34" type="noConversion"/>
  </si>
  <si>
    <r>
      <t xml:space="preserve">강.설 4.3.3.1.9.2 specified k = 5.0, </t>
    </r>
    <r>
      <rPr>
        <sz val="9"/>
        <color rgb="FFFF0000"/>
        <rFont val="맑은 고딕"/>
        <family val="3"/>
        <charset val="129"/>
      </rPr>
      <t>however</t>
    </r>
    <r>
      <rPr>
        <sz val="9"/>
        <color rgb="FF002060"/>
        <rFont val="맑은 고딕"/>
        <family val="3"/>
        <charset val="129"/>
      </rPr>
      <t xml:space="preserve"> AASHTO 6.10.5.3 and Eq. 6.10.9.3.3-1 specified k = 5+5/(d</t>
    </r>
    <r>
      <rPr>
        <vertAlign val="subscript"/>
        <sz val="9"/>
        <color rgb="FF002060"/>
        <rFont val="맑은 고딕"/>
        <family val="3"/>
        <charset val="129"/>
      </rPr>
      <t>o</t>
    </r>
    <r>
      <rPr>
        <sz val="9"/>
        <color rgb="FF002060"/>
        <rFont val="맑은 고딕"/>
        <family val="3"/>
        <charset val="129"/>
      </rPr>
      <t>/D)</t>
    </r>
    <r>
      <rPr>
        <vertAlign val="superscript"/>
        <sz val="9"/>
        <color rgb="FF002060"/>
        <rFont val="맑은 고딕"/>
        <family val="3"/>
        <charset val="129"/>
      </rPr>
      <t xml:space="preserve">2 </t>
    </r>
    <phoneticPr fontId="34" type="noConversion"/>
  </si>
  <si>
    <r>
      <t>Although V</t>
    </r>
    <r>
      <rPr>
        <vertAlign val="subscript"/>
        <sz val="9"/>
        <color rgb="FF002060"/>
        <rFont val="맑은 고딕"/>
        <family val="3"/>
        <charset val="129"/>
      </rPr>
      <t>u</t>
    </r>
    <r>
      <rPr>
        <sz val="9"/>
        <color rgb="FF002060"/>
        <rFont val="맑은 고딕"/>
        <family val="3"/>
        <charset val="129"/>
      </rPr>
      <t>, V</t>
    </r>
    <r>
      <rPr>
        <vertAlign val="subscript"/>
        <sz val="9"/>
        <color rgb="FF002060"/>
        <rFont val="맑은 고딕"/>
        <family val="3"/>
        <charset val="129"/>
      </rPr>
      <t>cr</t>
    </r>
    <r>
      <rPr>
        <sz val="9"/>
        <color rgb="FF002060"/>
        <rFont val="맑은 고딕"/>
        <family val="3"/>
        <charset val="129"/>
      </rPr>
      <t xml:space="preserve"> are the </t>
    </r>
    <r>
      <rPr>
        <sz val="9"/>
        <color rgb="FFFF0000"/>
        <rFont val="맑은 고딕"/>
        <family val="3"/>
        <charset val="129"/>
      </rPr>
      <t>same</t>
    </r>
    <r>
      <rPr>
        <sz val="9"/>
        <color rgb="FF002060"/>
        <rFont val="맑은 고딕"/>
        <family val="3"/>
        <charset val="129"/>
      </rPr>
      <t xml:space="preserve"> in two codes, but k is calculated </t>
    </r>
    <r>
      <rPr>
        <sz val="9"/>
        <color rgb="FFFF0000"/>
        <rFont val="맑은 고딕"/>
        <family val="3"/>
        <charset val="129"/>
      </rPr>
      <t xml:space="preserve">differently </t>
    </r>
    <phoneticPr fontId="34" type="noConversion"/>
  </si>
  <si>
    <r>
      <t xml:space="preserve">If using K = 5.0 as 강.설, </t>
    </r>
    <r>
      <rPr>
        <sz val="9"/>
        <color rgb="FFFF0000"/>
        <rFont val="맑은 고딕"/>
        <family val="3"/>
        <charset val="129"/>
      </rPr>
      <t>C = 0.1</t>
    </r>
    <r>
      <rPr>
        <sz val="9"/>
        <color rgb="FF002060"/>
        <rFont val="맑은 고딕"/>
        <family val="3"/>
        <charset val="129"/>
      </rPr>
      <t>, but if using K = 5+5/(d</t>
    </r>
    <r>
      <rPr>
        <vertAlign val="subscript"/>
        <sz val="9"/>
        <color rgb="FF002060"/>
        <rFont val="맑은 고딕"/>
        <family val="3"/>
        <charset val="129"/>
      </rPr>
      <t>o</t>
    </r>
    <r>
      <rPr>
        <sz val="9"/>
        <color rgb="FF002060"/>
        <rFont val="맑은 고딕"/>
        <family val="3"/>
        <charset val="129"/>
      </rPr>
      <t>/D)</t>
    </r>
    <r>
      <rPr>
        <vertAlign val="superscript"/>
        <sz val="9"/>
        <color rgb="FF002060"/>
        <rFont val="맑은 고딕"/>
        <family val="3"/>
        <charset val="129"/>
      </rPr>
      <t>2</t>
    </r>
    <r>
      <rPr>
        <sz val="9"/>
        <color rgb="FF002060"/>
        <rFont val="맑은 고딕"/>
        <family val="3"/>
        <charset val="129"/>
      </rPr>
      <t xml:space="preserve"> as AASHTO, </t>
    </r>
    <r>
      <rPr>
        <sz val="9"/>
        <color rgb="FFFF0000"/>
        <rFont val="맑은 고딕"/>
        <family val="3"/>
        <charset val="129"/>
      </rPr>
      <t>C = 0.5</t>
    </r>
    <phoneticPr fontId="34" type="noConversion"/>
  </si>
  <si>
    <r>
      <t xml:space="preserve">The value 0.1 of C is </t>
    </r>
    <r>
      <rPr>
        <sz val="9"/>
        <color rgb="FFFF0000"/>
        <rFont val="맑은 고딕"/>
        <family val="3"/>
        <charset val="129"/>
      </rPr>
      <t>very small</t>
    </r>
    <r>
      <rPr>
        <sz val="9"/>
        <color rgb="FF002060"/>
        <rFont val="맑은 고딕"/>
        <family val="3"/>
        <charset val="129"/>
      </rPr>
      <t xml:space="preserve">, lead to Vcr = </t>
    </r>
    <r>
      <rPr>
        <sz val="9"/>
        <color rgb="FFFF0000"/>
        <rFont val="맑은 고딕"/>
        <family val="3"/>
        <charset val="129"/>
      </rPr>
      <t>10%</t>
    </r>
    <r>
      <rPr>
        <sz val="9"/>
        <color rgb="FF002060"/>
        <rFont val="맑은 고딕"/>
        <family val="3"/>
        <charset val="129"/>
      </rPr>
      <t xml:space="preserve"> of Vp =&gt; almost </t>
    </r>
    <r>
      <rPr>
        <b/>
        <sz val="9"/>
        <color rgb="FFFF0000"/>
        <rFont val="맑은 고딕"/>
        <family val="3"/>
        <charset val="129"/>
      </rPr>
      <t>unsatisfied (NG)</t>
    </r>
    <r>
      <rPr>
        <sz val="9"/>
        <color rgb="FF002060"/>
        <rFont val="맑은 고딕"/>
        <family val="3"/>
        <charset val="129"/>
      </rPr>
      <t xml:space="preserve"> for the web with thickness below </t>
    </r>
    <r>
      <rPr>
        <sz val="9"/>
        <color rgb="FFFF0000"/>
        <rFont val="맑은 고딕"/>
        <family val="3"/>
        <charset val="129"/>
      </rPr>
      <t>14mm</t>
    </r>
    <phoneticPr fontId="34" type="noConversion"/>
  </si>
  <si>
    <r>
      <rPr>
        <sz val="9"/>
        <color rgb="FFFF0000"/>
        <rFont val="맑은 고딕"/>
        <family val="3"/>
        <charset val="129"/>
      </rPr>
      <t>=&gt; The author decided to use k in AASHTO to check in this case. K value in AASHTO seems to be more suitable</t>
    </r>
    <phoneticPr fontId="34" type="noConversion"/>
  </si>
  <si>
    <t>7.4.2. 웨브의 비로요구조건</t>
    <phoneticPr fontId="34" type="noConversion"/>
  </si>
  <si>
    <t>w</t>
    <phoneticPr fontId="34" type="noConversion"/>
  </si>
  <si>
    <r>
      <t>|f</t>
    </r>
    <r>
      <rPr>
        <vertAlign val="subscript"/>
        <sz val="9"/>
        <rFont val="맑은 고딕"/>
        <family val="3"/>
        <charset val="129"/>
      </rPr>
      <t>deck</t>
    </r>
    <r>
      <rPr>
        <sz val="9"/>
        <rFont val="맑은 고딕"/>
        <family val="3"/>
        <charset val="129"/>
      </rPr>
      <t>|</t>
    </r>
    <phoneticPr fontId="34" type="noConversion"/>
  </si>
  <si>
    <r>
      <t>|f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|</t>
    </r>
    <phoneticPr fontId="34" type="noConversion"/>
  </si>
  <si>
    <t>( ☞ 강.설 4.3.3.1.1.6)</t>
    <phoneticPr fontId="34" type="noConversion"/>
  </si>
  <si>
    <t>( ☞ 강.설 4.3.3.1.8.2(3))</t>
    <phoneticPr fontId="34" type="noConversion"/>
  </si>
  <si>
    <t>( ☞ 강.설 4.3.3.1.8.2(3))</t>
    <phoneticPr fontId="34" type="noConversion"/>
  </si>
  <si>
    <t>( ☞ 강.설 4.3.3.1.1.10(2))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</si>
  <si>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= w∙L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</si>
  <si>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= w∙L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4" type="noConversion"/>
  </si>
  <si>
    <t>flange lateral bending stress throughout the unbraced length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</si>
  <si>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l1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</si>
  <si>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/>
    </r>
    <phoneticPr fontId="34" type="noConversion"/>
  </si>
  <si>
    <t>flange lateral bending moment due to horizontal component of web shear in web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</si>
  <si>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phoneticPr fontId="34" type="noConversion"/>
  </si>
  <si>
    <t>flange lateral bending moment due to deck overhang wet concrete load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</si>
  <si>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lf</t>
    </r>
    <phoneticPr fontId="34" type="noConversion"/>
  </si>
  <si>
    <t>flange lateral bending moment due to deck overhang forms load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</si>
  <si>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lc</t>
    </r>
    <phoneticPr fontId="34" type="noConversion"/>
  </si>
  <si>
    <t>flange lateral bending moment due to curvature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</si>
  <si>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lf</t>
    </r>
    <r>
      <rPr>
        <sz val="9"/>
        <rFont val="맑은 고딕"/>
        <family val="3"/>
        <charset val="129"/>
      </rPr>
      <t xml:space="preserve"> = w∙L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4" type="noConversion"/>
  </si>
  <si>
    <r>
      <t>w = F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0.5∙F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/tanα</t>
    </r>
    <phoneticPr fontId="34" type="noConversion"/>
  </si>
  <si>
    <r>
      <t>w = 0.5∙F</t>
    </r>
    <r>
      <rPr>
        <vertAlign val="subscript"/>
        <sz val="9"/>
        <rFont val="맑은 고딕"/>
        <family val="3"/>
        <charset val="129"/>
      </rPr>
      <t>forms</t>
    </r>
    <r>
      <rPr>
        <sz val="9"/>
        <rFont val="맑은 고딕"/>
        <family val="3"/>
        <charset val="129"/>
      </rPr>
      <t>/tanα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</si>
  <si>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forms</t>
    </r>
    <r>
      <rPr>
        <sz val="9"/>
        <rFont val="맑은 고딕"/>
        <family val="3"/>
        <charset val="129"/>
      </rPr>
      <t xml:space="preserve"> = </t>
    </r>
    <phoneticPr fontId="34" type="noConversion"/>
  </si>
  <si>
    <t>kN/m (assumed)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</si>
  <si>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lc</t>
    </r>
    <r>
      <rPr>
        <sz val="9"/>
        <rFont val="맑은 고딕"/>
        <family val="3"/>
        <charset val="129"/>
      </rPr>
      <t xml:space="preserve"> = ML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/(NRD)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</si>
  <si>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l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</si>
  <si>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top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/6</t>
    </r>
    <phoneticPr fontId="34" type="noConversion"/>
  </si>
  <si>
    <t>검토</t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</si>
  <si>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4" type="noConversion"/>
  </si>
  <si>
    <t>ΔV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</si>
  <si>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</si>
  <si>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</si>
  <si>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</si>
  <si>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con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</si>
  <si>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phoneticPr fontId="34" type="noConversion"/>
  </si>
  <si>
    <t>Open flange</t>
    <phoneticPr fontId="34" type="noConversion"/>
  </si>
  <si>
    <t>Box flange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</si>
  <si>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4" type="noConversion"/>
  </si>
  <si>
    <t>(slender web)</t>
    <phoneticPr fontId="34" type="noConversion"/>
  </si>
  <si>
    <t>인장플랜지</t>
    <phoneticPr fontId="34" type="noConversion"/>
  </si>
  <si>
    <r>
      <t>1.25•(DC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 xml:space="preserve"> + DC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</t>
    </r>
    <phoneticPr fontId="34" type="noConversion"/>
  </si>
  <si>
    <r>
      <t>1.25•DC</t>
    </r>
    <r>
      <rPr>
        <vertAlign val="subscript"/>
        <sz val="9"/>
        <rFont val="맑은 고딕"/>
        <family val="3"/>
        <charset val="129"/>
      </rPr>
      <t>3</t>
    </r>
    <phoneticPr fontId="34" type="noConversion"/>
  </si>
  <si>
    <t>( ☞ 강.설 4.3.3.2.8.2)</t>
    <phoneticPr fontId="34" type="noConversion"/>
  </si>
  <si>
    <t>( ☞ 강.설 4.3.3.1.8.2)</t>
    <phoneticPr fontId="34" type="noConversion"/>
  </si>
  <si>
    <t>( ☞ 강.설 4.3.3.1.8.2(2))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</si>
  <si>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(국부좌굴강도) 산정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</si>
  <si>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 xml:space="preserve"> (횡비틀림좌굴강도) 산정</t>
    </r>
    <phoneticPr fontId="34" type="noConversion"/>
  </si>
  <si>
    <t>모멘트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</si>
  <si>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</si>
  <si>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</si>
  <si>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pf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</si>
  <si>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rf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</si>
  <si>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nc_LB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</si>
  <si>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</si>
  <si>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</si>
  <si>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</si>
  <si>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</si>
  <si>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</si>
  <si>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nc_LTB</t>
    </r>
    <phoneticPr fontId="34" type="noConversion"/>
  </si>
  <si>
    <t>(OF)</t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</si>
  <si>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 xml:space="preserve">0 </t>
    </r>
    <r>
      <rPr>
        <sz val="9"/>
        <rFont val="맑은 고딕"/>
        <family val="3"/>
        <charset val="129"/>
      </rPr>
      <t>산정</t>
    </r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</si>
  <si>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0</t>
    </r>
    <phoneticPr fontId="34" type="noConversion"/>
  </si>
  <si>
    <t>w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</si>
  <si>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</si>
  <si>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</si>
  <si>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</si>
  <si>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</si>
  <si>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</si>
  <si>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</si>
  <si>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phoneticPr fontId="34" type="noConversion"/>
  </si>
  <si>
    <t>(BF)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</si>
  <si>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phoneticPr fontId="34" type="noConversion"/>
  </si>
  <si>
    <r>
      <t>for slender web with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= 0, the equation (1) f</t>
    </r>
    <r>
      <rPr>
        <i/>
        <vertAlign val="subscript"/>
        <sz val="9"/>
        <rFont val="맑은 고딕"/>
        <family val="3"/>
        <charset val="129"/>
      </rPr>
      <t>bu</t>
    </r>
    <r>
      <rPr>
        <i/>
        <sz val="9"/>
        <rFont val="맑은 고딕"/>
        <family val="3"/>
        <charset val="129"/>
      </rPr>
      <t xml:space="preserve"> +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≤ Φ</t>
    </r>
    <r>
      <rPr>
        <i/>
        <vertAlign val="subscript"/>
        <sz val="9"/>
        <rFont val="맑은 고딕"/>
        <family val="3"/>
        <charset val="129"/>
      </rPr>
      <t>f</t>
    </r>
    <r>
      <rPr>
        <i/>
        <sz val="9"/>
        <rFont val="맑은 고딕"/>
        <family val="3"/>
        <charset val="129"/>
      </rPr>
      <t>R</t>
    </r>
    <r>
      <rPr>
        <i/>
        <vertAlign val="subscript"/>
        <sz val="9"/>
        <rFont val="맑은 고딕"/>
        <family val="3"/>
        <charset val="129"/>
      </rPr>
      <t>h</t>
    </r>
    <r>
      <rPr>
        <i/>
        <sz val="9"/>
        <rFont val="맑은 고딕"/>
        <family val="3"/>
        <charset val="129"/>
      </rPr>
      <t>F</t>
    </r>
    <r>
      <rPr>
        <i/>
        <vertAlign val="subscript"/>
        <sz val="9"/>
        <rFont val="맑은 고딕"/>
        <family val="3"/>
        <charset val="129"/>
      </rPr>
      <t>yc</t>
    </r>
    <r>
      <rPr>
        <i/>
        <sz val="9"/>
        <rFont val="맑은 고딕"/>
        <family val="3"/>
        <charset val="129"/>
      </rPr>
      <t xml:space="preserve"> will not be checked</t>
    </r>
    <phoneticPr fontId="34" type="noConversion"/>
  </si>
  <si>
    <t>상면</t>
    <phoneticPr fontId="34" type="noConversion"/>
  </si>
  <si>
    <t>하면</t>
    <phoneticPr fontId="34" type="noConversion"/>
  </si>
  <si>
    <t>7.1.3. 웨브 검토</t>
    <phoneticPr fontId="34" type="noConversion"/>
  </si>
  <si>
    <t>Calculation of k</t>
    <phoneticPr fontId="34" type="noConversion"/>
  </si>
  <si>
    <t>Unstiffened web</t>
    <phoneticPr fontId="34" type="noConversion"/>
  </si>
  <si>
    <t>Stiffened web</t>
    <phoneticPr fontId="34" type="noConversion"/>
  </si>
  <si>
    <t>k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</si>
  <si>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</si>
  <si>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(강.설 4.3.3.2.3.3)</t>
    <phoneticPr fontId="34" type="noConversion"/>
  </si>
  <si>
    <t>10. Unit in the sheets</t>
    <phoneticPr fontId="34" type="noConversion"/>
  </si>
  <si>
    <t>=</t>
    <phoneticPr fontId="34" type="noConversion"/>
  </si>
  <si>
    <t>mm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</si>
  <si>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Area</t>
    </r>
    <phoneticPr fontId="34" type="noConversion"/>
  </si>
  <si>
    <r>
      <t>mm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</si>
  <si>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단면계수</t>
    </r>
    <phoneticPr fontId="34" type="noConversion"/>
  </si>
  <si>
    <r>
      <t>mm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, mm</t>
    </r>
    <r>
      <rPr>
        <vertAlign val="superscript"/>
        <sz val="9"/>
        <rFont val="맑은 고딕"/>
        <family val="3"/>
        <charset val="129"/>
      </rPr>
      <t>4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</si>
  <si>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강도, 응력</t>
    </r>
    <phoneticPr fontId="34" type="noConversion"/>
  </si>
  <si>
    <t>kN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</si>
  <si>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Force, shear, load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</si>
  <si>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Moment, torsion</t>
    </r>
    <phoneticPr fontId="34" type="noConversion"/>
  </si>
  <si>
    <t>kN∙m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</si>
  <si>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Uniformly load</t>
    </r>
    <phoneticPr fontId="34" type="noConversion"/>
  </si>
  <si>
    <t>kN/m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</si>
  <si>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4" type="noConversion"/>
  </si>
  <si>
    <t>MPa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</si>
  <si>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Length, dimension, radius</t>
    </r>
    <phoneticPr fontId="34" type="noConversion"/>
  </si>
  <si>
    <t>극한한계
상태I</t>
    <phoneticPr fontId="51" type="noConversion"/>
  </si>
  <si>
    <t>최대</t>
    <phoneticPr fontId="51" type="noConversion"/>
  </si>
  <si>
    <t>최소</t>
    <phoneticPr fontId="51" type="noConversion"/>
  </si>
  <si>
    <t>사용한계
상태II</t>
    <phoneticPr fontId="51" type="noConversion"/>
  </si>
  <si>
    <t>최대</t>
    <phoneticPr fontId="51" type="noConversion"/>
  </si>
  <si>
    <t>피로한계
상태</t>
    <phoneticPr fontId="51" type="noConversion"/>
  </si>
  <si>
    <t>최소</t>
    <phoneticPr fontId="51" type="noConversion"/>
  </si>
  <si>
    <t>:</t>
    <phoneticPr fontId="51" type="noConversion"/>
  </si>
  <si>
    <t>:</t>
    <phoneticPr fontId="51" type="noConversion"/>
  </si>
  <si>
    <t>2차 고정하중</t>
    <phoneticPr fontId="51" type="noConversion"/>
  </si>
  <si>
    <t>포장하중 (DW)</t>
    <phoneticPr fontId="51" type="noConversion"/>
  </si>
  <si>
    <t>포장 및 설비 하중</t>
    <phoneticPr fontId="51" type="noConversion"/>
  </si>
  <si>
    <t>활하중 (LL+IM)</t>
    <phoneticPr fontId="51" type="noConversion"/>
  </si>
  <si>
    <t>표준트럭하중과 표준트럭하중(75%)+표준차로하중 중 큰값 (충격계수 적용)</t>
    <phoneticPr fontId="51" type="noConversion"/>
  </si>
  <si>
    <t>피로차량하중 (FL)</t>
    <phoneticPr fontId="51" type="noConversion"/>
  </si>
  <si>
    <t>표준트럭하중의 80%</t>
    <phoneticPr fontId="51" type="noConversion"/>
  </si>
  <si>
    <t>온도하중 (TU)</t>
    <phoneticPr fontId="51" type="noConversion"/>
  </si>
  <si>
    <t>합성교 온도범위 적용 (-10℃ 에서 40℃)</t>
    <phoneticPr fontId="51" type="noConversion"/>
  </si>
  <si>
    <t>크리프 및 건조수축 (CR&amp;SH)</t>
    <phoneticPr fontId="51" type="noConversion"/>
  </si>
  <si>
    <t>콘크리트의 크리프와 건조수축의 영향</t>
    <phoneticPr fontId="51" type="noConversion"/>
  </si>
  <si>
    <t>지점침하 (SD)</t>
    <phoneticPr fontId="51" type="noConversion"/>
  </si>
  <si>
    <t>프리스트레스힘 (PS)</t>
    <phoneticPr fontId="51" type="noConversion"/>
  </si>
  <si>
    <t>긴장재에 의해 발생하는 프리스트레스힘</t>
    <phoneticPr fontId="51" type="noConversion"/>
  </si>
  <si>
    <t>각 지점에서 발생할 수 있는 부등침하</t>
    <phoneticPr fontId="51" type="noConversion"/>
  </si>
  <si>
    <t>DC</t>
    <phoneticPr fontId="34" type="noConversion"/>
  </si>
  <si>
    <t>·</t>
    <phoneticPr fontId="51" type="noConversion"/>
  </si>
  <si>
    <t>고정하중 (DC1)</t>
    <phoneticPr fontId="51" type="noConversion"/>
  </si>
  <si>
    <t>합성전 고정하중 DC1</t>
    <phoneticPr fontId="51" type="noConversion"/>
  </si>
  <si>
    <t>합성전 고정하중 DC2</t>
    <phoneticPr fontId="34" type="noConversion"/>
  </si>
  <si>
    <t>합성전 고정하중 DC3</t>
    <phoneticPr fontId="34" type="noConversion"/>
  </si>
  <si>
    <t>합성후 고정하중 DC4</t>
    <phoneticPr fontId="34" type="noConversion"/>
  </si>
  <si>
    <t>6.3. 부재력 집계</t>
    <phoneticPr fontId="34" type="noConversion"/>
  </si>
  <si>
    <t>1) Steel only</t>
    <phoneticPr fontId="34" type="noConversion"/>
  </si>
  <si>
    <t>=</t>
    <phoneticPr fontId="34" type="noConversion"/>
  </si>
  <si>
    <t>bb, tb</t>
    <phoneticPr fontId="34" type="noConversion"/>
  </si>
  <si>
    <t>Web 높이, 두께</t>
    <phoneticPr fontId="34" type="noConversion"/>
  </si>
  <si>
    <t>Top rib 높이, 두께, 개수</t>
    <phoneticPr fontId="34" type="noConversion"/>
  </si>
  <si>
    <t>Bottom rib 높이, 두께, 개수</t>
    <phoneticPr fontId="34" type="noConversion"/>
  </si>
  <si>
    <t>Total depth of girder</t>
    <phoneticPr fontId="34" type="noConversion"/>
  </si>
  <si>
    <t>=</t>
    <phoneticPr fontId="34" type="noConversion"/>
  </si>
  <si>
    <r>
      <t>It = nt·bt·tt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4" type="noConversion"/>
  </si>
  <si>
    <t>연직축에 대한 웨브의 경사각</t>
    <phoneticPr fontId="34" type="noConversion"/>
  </si>
  <si>
    <t>Depth of web along the slope</t>
    <phoneticPr fontId="34" type="noConversion"/>
  </si>
  <si>
    <r>
      <t>Ib = bb·tb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4" type="noConversion"/>
  </si>
  <si>
    <t>A1</t>
    <phoneticPr fontId="34" type="noConversion"/>
  </si>
  <si>
    <t>YL1</t>
    <phoneticPr fontId="34" type="noConversion"/>
  </si>
  <si>
    <t>SU1</t>
    <phoneticPr fontId="34" type="noConversion"/>
  </si>
  <si>
    <t>I1</t>
    <phoneticPr fontId="34" type="noConversion"/>
  </si>
  <si>
    <t>SL1</t>
    <phoneticPr fontId="34" type="noConversion"/>
  </si>
  <si>
    <t>내부 bottom concrete 높이</t>
    <phoneticPr fontId="34" type="noConversion"/>
  </si>
  <si>
    <t>내부 bottom concrete 넓이</t>
    <phoneticPr fontId="34" type="noConversion"/>
  </si>
  <si>
    <t>Yw = YU1 - tt - Dw/2</t>
    <phoneticPr fontId="34" type="noConversion"/>
  </si>
  <si>
    <t>Yb = YL1 - tb/2</t>
    <phoneticPr fontId="34" type="noConversion"/>
  </si>
  <si>
    <t>A2</t>
    <phoneticPr fontId="34" type="noConversion"/>
  </si>
  <si>
    <t>Top flange</t>
    <phoneticPr fontId="34" type="noConversion"/>
  </si>
  <si>
    <t>Web</t>
    <phoneticPr fontId="34" type="noConversion"/>
  </si>
  <si>
    <t>Bottom flange</t>
    <phoneticPr fontId="34" type="noConversion"/>
  </si>
  <si>
    <t>Top Rib</t>
    <phoneticPr fontId="34" type="noConversion"/>
  </si>
  <si>
    <t>Bottom Rib</t>
    <phoneticPr fontId="34" type="noConversion"/>
  </si>
  <si>
    <t>Yt = YU1 - tt/2</t>
    <phoneticPr fontId="34" type="noConversion"/>
  </si>
  <si>
    <t>yt = tt/2 + Dw + tb</t>
    <phoneticPr fontId="34" type="noConversion"/>
  </si>
  <si>
    <t>yb = tb/2</t>
    <phoneticPr fontId="34" type="noConversion"/>
  </si>
  <si>
    <t>내부 bot con'c 평균 넓이</t>
    <phoneticPr fontId="34" type="noConversion"/>
  </si>
  <si>
    <t>Hc</t>
    <phoneticPr fontId="34" type="noConversion"/>
  </si>
  <si>
    <t>Steel only</t>
    <phoneticPr fontId="34" type="noConversion"/>
  </si>
  <si>
    <t>Bottom Con'c</t>
    <phoneticPr fontId="34" type="noConversion"/>
  </si>
  <si>
    <t>yc = Hc/2 + tb</t>
    <phoneticPr fontId="34" type="noConversion"/>
  </si>
  <si>
    <t>YL2</t>
    <phoneticPr fontId="34" type="noConversion"/>
  </si>
  <si>
    <t>YU2</t>
    <phoneticPr fontId="34" type="noConversion"/>
  </si>
  <si>
    <t>Shorttime</t>
    <phoneticPr fontId="34" type="noConversion"/>
  </si>
  <si>
    <t>Longtime</t>
    <phoneticPr fontId="34" type="noConversion"/>
  </si>
  <si>
    <t>Yc = |YL2 - tb - Hc/2|</t>
    <phoneticPr fontId="34" type="noConversion"/>
  </si>
  <si>
    <t>I2</t>
    <phoneticPr fontId="34" type="noConversion"/>
  </si>
  <si>
    <t>Area of components</t>
    <phoneticPr fontId="34" type="noConversion"/>
  </si>
  <si>
    <t>Distance from components to bottom girder</t>
    <phoneticPr fontId="34" type="noConversion"/>
  </si>
  <si>
    <t>2차 모멘트 of components</t>
    <phoneticPr fontId="34" type="noConversion"/>
  </si>
  <si>
    <t>Distance from components to NA</t>
    <phoneticPr fontId="34" type="noConversion"/>
  </si>
  <si>
    <t>Components</t>
    <phoneticPr fontId="34" type="noConversion"/>
  </si>
  <si>
    <t>SU2</t>
    <phoneticPr fontId="34" type="noConversion"/>
  </si>
  <si>
    <t>I2 / YU2</t>
    <phoneticPr fontId="34" type="noConversion"/>
  </si>
  <si>
    <t>SL2</t>
    <phoneticPr fontId="34" type="noConversion"/>
  </si>
  <si>
    <t>I2 / YL2</t>
    <phoneticPr fontId="34" type="noConversion"/>
  </si>
  <si>
    <t>Using to apply DC1(steel), DC2(bottom concrete)</t>
    <phoneticPr fontId="34" type="noConversion"/>
  </si>
  <si>
    <t>Using to apply DC3 (deck slab) in negative moment</t>
    <phoneticPr fontId="34" type="noConversion"/>
  </si>
  <si>
    <t>Using to apply DC4(난간 방호벽), DW (포장) in positive moment</t>
    <phoneticPr fontId="34" type="noConversion"/>
  </si>
  <si>
    <t>bs, ts</t>
    <phoneticPr fontId="34" type="noConversion"/>
  </si>
  <si>
    <t>Deck slab 넓이, 높이</t>
    <phoneticPr fontId="34" type="noConversion"/>
  </si>
  <si>
    <t>bh, th</t>
    <phoneticPr fontId="34" type="noConversion"/>
  </si>
  <si>
    <t>Haunch</t>
    <phoneticPr fontId="34" type="noConversion"/>
  </si>
  <si>
    <t>Deck slab</t>
    <phoneticPr fontId="34" type="noConversion"/>
  </si>
  <si>
    <t>ys = tb + Dw + th + ts/2</t>
    <phoneticPr fontId="34" type="noConversion"/>
  </si>
  <si>
    <t>YL3</t>
    <phoneticPr fontId="34" type="noConversion"/>
  </si>
  <si>
    <t>A3</t>
    <phoneticPr fontId="34" type="noConversion"/>
  </si>
  <si>
    <t>YU3</t>
    <phoneticPr fontId="34" type="noConversion"/>
  </si>
  <si>
    <t>YL3</t>
    <phoneticPr fontId="34" type="noConversion"/>
  </si>
  <si>
    <t>Haunch</t>
    <phoneticPr fontId="34" type="noConversion"/>
  </si>
  <si>
    <t>As = bs∙ts</t>
    <phoneticPr fontId="34" type="noConversion"/>
  </si>
  <si>
    <t>Ah = 2∙bh∙th</t>
    <phoneticPr fontId="34" type="noConversion"/>
  </si>
  <si>
    <t>yh = tb + Dw + 2∙th/3</t>
    <phoneticPr fontId="34" type="noConversion"/>
  </si>
  <si>
    <t>Deck slab</t>
    <phoneticPr fontId="34" type="noConversion"/>
  </si>
  <si>
    <t>Ys = YU3 - tt + th + ts/2</t>
    <phoneticPr fontId="34" type="noConversion"/>
  </si>
  <si>
    <r>
      <t>Is = bs∙ts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4" type="noConversion"/>
  </si>
  <si>
    <t>Yh = YU3 - tt + 2∙th/3</t>
    <phoneticPr fontId="34" type="noConversion"/>
  </si>
  <si>
    <r>
      <t>Ih = 4∙bh∙th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/36</t>
    </r>
    <phoneticPr fontId="34" type="noConversion"/>
  </si>
  <si>
    <t>Y1 = |YL2 - YL1|</t>
    <phoneticPr fontId="34" type="noConversion"/>
  </si>
  <si>
    <t>Y1 = |YL3 - YL1|</t>
    <phoneticPr fontId="34" type="noConversion"/>
  </si>
  <si>
    <t>SU3</t>
    <phoneticPr fontId="34" type="noConversion"/>
  </si>
  <si>
    <t>I3 / YU3</t>
    <phoneticPr fontId="34" type="noConversion"/>
  </si>
  <si>
    <t>SL3</t>
    <phoneticPr fontId="34" type="noConversion"/>
  </si>
  <si>
    <t>I3 / YL3</t>
    <phoneticPr fontId="34" type="noConversion"/>
  </si>
  <si>
    <t>Using to apply DC4(난간 방호벽), DW (포장) in negative moment</t>
    <phoneticPr fontId="34" type="noConversion"/>
  </si>
  <si>
    <t>Steel + bot con'c</t>
    <phoneticPr fontId="34" type="noConversion"/>
  </si>
  <si>
    <t>Top layer rebar</t>
    <phoneticPr fontId="34" type="noConversion"/>
  </si>
  <si>
    <t>Bottom layer rebar</t>
    <phoneticPr fontId="34" type="noConversion"/>
  </si>
  <si>
    <t>개수</t>
    <phoneticPr fontId="34" type="noConversion"/>
  </si>
  <si>
    <t>직경</t>
    <phoneticPr fontId="34" type="noConversion"/>
  </si>
  <si>
    <t>피복거리</t>
    <phoneticPr fontId="34" type="noConversion"/>
  </si>
  <si>
    <t>Top</t>
    <phoneticPr fontId="34" type="noConversion"/>
  </si>
  <si>
    <t>Bottom</t>
    <phoneticPr fontId="34" type="noConversion"/>
  </si>
  <si>
    <t>Top and bottom layer of rebar information</t>
    <phoneticPr fontId="34" type="noConversion"/>
  </si>
  <si>
    <t>A4</t>
    <phoneticPr fontId="34" type="noConversion"/>
  </si>
  <si>
    <t>YL4</t>
    <phoneticPr fontId="34" type="noConversion"/>
  </si>
  <si>
    <t>YU4</t>
    <phoneticPr fontId="34" type="noConversion"/>
  </si>
  <si>
    <t>Y2 = |YL4 - YL2|</t>
    <phoneticPr fontId="34" type="noConversion"/>
  </si>
  <si>
    <t>SU4</t>
    <phoneticPr fontId="34" type="noConversion"/>
  </si>
  <si>
    <t>I4 / YU4</t>
    <phoneticPr fontId="34" type="noConversion"/>
  </si>
  <si>
    <t>SL4</t>
    <phoneticPr fontId="34" type="noConversion"/>
  </si>
  <si>
    <t>I4 / YL4</t>
    <phoneticPr fontId="34" type="noConversion"/>
  </si>
  <si>
    <t>A4</t>
    <phoneticPr fontId="34" type="noConversion"/>
  </si>
  <si>
    <t>YL4</t>
    <phoneticPr fontId="34" type="noConversion"/>
  </si>
  <si>
    <t>③ Steel + Deck slab (Short time)</t>
    <phoneticPr fontId="34" type="noConversion"/>
  </si>
  <si>
    <t>Steel + Deck slab (Long time)</t>
    <phoneticPr fontId="34" type="noConversion"/>
  </si>
  <si>
    <t>④ Steel + Bottom concrete + Rebar (Short time)</t>
    <phoneticPr fontId="34" type="noConversion"/>
  </si>
  <si>
    <t>Steel + Bottom concrete + Rebar (Long time)</t>
    <phoneticPr fontId="34" type="noConversion"/>
  </si>
  <si>
    <t>Steel + Bottom concrete (Long time)</t>
    <phoneticPr fontId="34" type="noConversion"/>
  </si>
  <si>
    <t>② Steel + Bottom concrete (Short time)</t>
    <phoneticPr fontId="34" type="noConversion"/>
  </si>
  <si>
    <t>2) Steel + Bottom concrete (Short time and Long time)</t>
    <phoneticPr fontId="34" type="noConversion"/>
  </si>
  <si>
    <r>
      <rPr>
        <b/>
        <sz val="9"/>
        <rFont val="Symbol"/>
        <family val="1"/>
        <charset val="2"/>
      </rPr>
      <t>3</t>
    </r>
    <r>
      <rPr>
        <b/>
        <sz val="9"/>
        <rFont val="맑은 고딕"/>
        <family val="3"/>
        <charset val="129"/>
      </rPr>
      <t>) Steel + Deck slab (Short time and Long time)</t>
    </r>
    <phoneticPr fontId="34" type="noConversion"/>
  </si>
  <si>
    <r>
      <rPr>
        <b/>
        <sz val="9"/>
        <rFont val="Symbol"/>
        <family val="1"/>
        <charset val="2"/>
      </rPr>
      <t>4</t>
    </r>
    <r>
      <rPr>
        <b/>
        <sz val="9"/>
        <rFont val="맑은 고딕"/>
        <family val="3"/>
        <charset val="129"/>
      </rPr>
      <t>) Steel + Bottom concrete + Rebar (Short time and Long time)</t>
    </r>
    <phoneticPr fontId="34" type="noConversion"/>
  </si>
  <si>
    <t>At = bt∙tt∙nt</t>
    <phoneticPr fontId="34" type="noConversion"/>
  </si>
  <si>
    <t>Aw = 2∙Hw∙tw</t>
    <phoneticPr fontId="34" type="noConversion"/>
  </si>
  <si>
    <t>Ab = bb∙tb</t>
    <phoneticPr fontId="34" type="noConversion"/>
  </si>
  <si>
    <t>w</t>
  </si>
  <si>
    <t>b</t>
    <phoneticPr fontId="34" type="noConversion"/>
  </si>
  <si>
    <t>n</t>
  </si>
  <si>
    <t>항복강도</t>
  </si>
  <si>
    <r>
      <t>A</t>
    </r>
    <r>
      <rPr>
        <vertAlign val="subscript"/>
        <sz val="9"/>
        <rFont val="맑은 고딕"/>
        <family val="3"/>
        <charset val="129"/>
      </rPr>
      <t>fn</t>
    </r>
    <r>
      <rPr>
        <sz val="9"/>
        <rFont val="맑은 고딕"/>
        <family val="3"/>
        <charset val="129"/>
      </rPr>
      <t xml:space="preserve"> = 플랜지 단면적과 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방향에 위치한 플랜지 덮개판 면적의 합</t>
    </r>
    <phoneticPr fontId="34" type="noConversion"/>
  </si>
  <si>
    <t>계수하중에 의한 내부토크</t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</si>
  <si>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종리브 단면2차모멘트</t>
    </r>
    <phoneticPr fontId="34" type="noConversion"/>
  </si>
  <si>
    <t>n = 등간격인 종방향보강재의 수</t>
    <phoneticPr fontId="34" type="noConversion"/>
  </si>
  <si>
    <t>수평보강재 중심선과 압축플랜지 안쪽면사이의 거리</t>
    <phoneticPr fontId="34" type="noConversion"/>
  </si>
  <si>
    <r>
      <t>f</t>
    </r>
    <r>
      <rPr>
        <vertAlign val="subscript"/>
        <sz val="10"/>
        <rFont val="맑은 고딕"/>
        <family val="3"/>
        <charset val="129"/>
      </rPr>
      <t>bu</t>
    </r>
  </si>
  <si>
    <t>=</t>
  </si>
  <si>
    <t>종방향 뒴을 고려하지 않고 계산된 고려 중인 단면의 계수하중에 의한 종항향 플랜지 응력</t>
  </si>
  <si>
    <r>
      <t>f</t>
    </r>
    <r>
      <rPr>
        <vertAlign val="subscript"/>
        <sz val="10"/>
        <rFont val="맑은 고딕"/>
        <family val="3"/>
        <charset val="129"/>
      </rPr>
      <t>c</t>
    </r>
  </si>
  <si>
    <t>설계하중에 의한 압축플랜지 응력</t>
  </si>
  <si>
    <r>
      <t>f</t>
    </r>
    <r>
      <rPr>
        <vertAlign val="subscript"/>
        <sz val="10"/>
        <rFont val="맑은 고딕"/>
        <family val="3"/>
        <charset val="129"/>
      </rPr>
      <t>ck</t>
    </r>
  </si>
  <si>
    <t>콕크리트의 설계기준 압축응력</t>
  </si>
  <si>
    <r>
      <t>f</t>
    </r>
    <r>
      <rPr>
        <vertAlign val="subscript"/>
        <sz val="10"/>
        <rFont val="맑은 고딕"/>
        <family val="3"/>
        <charset val="129"/>
      </rPr>
      <t>ℓ</t>
    </r>
  </si>
  <si>
    <t>플랜지의 횡방향 휨응력</t>
  </si>
  <si>
    <r>
      <t>f</t>
    </r>
    <r>
      <rPr>
        <vertAlign val="subscript"/>
        <sz val="10"/>
        <rFont val="맑은 고딕"/>
        <family val="3"/>
        <charset val="129"/>
      </rPr>
      <t>ℓ1</t>
    </r>
  </si>
  <si>
    <t>고려 대상 단면에서 1차 압축플랜지 횡방향 휨응력 또는 비지기길이에 걸친 압축플랜지의 최대 1차 횡방향 휨응력</t>
  </si>
  <si>
    <r>
      <t>F</t>
    </r>
    <r>
      <rPr>
        <vertAlign val="subscript"/>
        <sz val="10"/>
        <rFont val="맑은 고딕"/>
        <family val="3"/>
        <charset val="129"/>
      </rPr>
      <t>yf</t>
    </r>
  </si>
  <si>
    <t>플래지의 최소항복강도</t>
  </si>
  <si>
    <r>
      <t>F</t>
    </r>
    <r>
      <rPr>
        <vertAlign val="subscript"/>
        <sz val="10"/>
        <rFont val="맑은 고딕"/>
        <family val="3"/>
        <charset val="129"/>
      </rPr>
      <t>yc</t>
    </r>
  </si>
  <si>
    <t>압축플래지의 최소항복강도</t>
  </si>
  <si>
    <r>
      <t>F</t>
    </r>
    <r>
      <rPr>
        <vertAlign val="subscript"/>
        <sz val="10"/>
        <rFont val="맑은 고딕"/>
        <family val="3"/>
        <charset val="129"/>
      </rPr>
      <t>yt</t>
    </r>
  </si>
  <si>
    <t>인장플래지의 최소항복강도</t>
  </si>
  <si>
    <r>
      <t>F</t>
    </r>
    <r>
      <rPr>
        <vertAlign val="subscript"/>
        <sz val="10"/>
        <rFont val="맑은 고딕"/>
        <family val="3"/>
        <charset val="129"/>
      </rPr>
      <t>yw</t>
    </r>
  </si>
  <si>
    <t>web의 최소항복강도</t>
  </si>
  <si>
    <r>
      <t>F</t>
    </r>
    <r>
      <rPr>
        <vertAlign val="subscript"/>
        <sz val="10"/>
        <rFont val="맑은 고딕"/>
        <family val="3"/>
        <charset val="129"/>
      </rPr>
      <t>y</t>
    </r>
  </si>
  <si>
    <r>
      <t>F</t>
    </r>
    <r>
      <rPr>
        <vertAlign val="subscript"/>
        <sz val="10"/>
        <rFont val="맑은 고딕"/>
        <family val="3"/>
        <charset val="129"/>
      </rPr>
      <t>crw</t>
    </r>
  </si>
  <si>
    <t>웨브의 공칭휨좌굴강도</t>
  </si>
  <si>
    <r>
      <t>F</t>
    </r>
    <r>
      <rPr>
        <vertAlign val="subscript"/>
        <sz val="10"/>
        <rFont val="맑은 고딕"/>
        <family val="3"/>
        <charset val="129"/>
      </rPr>
      <t>nc</t>
    </r>
  </si>
  <si>
    <t>압축플랜지의 공칭휨강도</t>
  </si>
  <si>
    <r>
      <t>F</t>
    </r>
    <r>
      <rPr>
        <vertAlign val="subscript"/>
        <sz val="10"/>
        <rFont val="맑은 고딕"/>
        <family val="3"/>
        <charset val="129"/>
      </rPr>
      <t>nt</t>
    </r>
  </si>
  <si>
    <t>인장플랜지의 공칭휨강도</t>
  </si>
  <si>
    <r>
      <t>F</t>
    </r>
    <r>
      <rPr>
        <vertAlign val="subscript"/>
        <sz val="10"/>
        <rFont val="맑은 고딕"/>
        <family val="3"/>
        <charset val="129"/>
      </rPr>
      <t>u</t>
    </r>
  </si>
  <si>
    <t>강재의 최소인장강도</t>
  </si>
  <si>
    <r>
      <t>F</t>
    </r>
    <r>
      <rPr>
        <vertAlign val="subscript"/>
        <sz val="10"/>
        <rFont val="맑은 고딕"/>
        <family val="3"/>
        <charset val="129"/>
      </rPr>
      <t>w</t>
    </r>
  </si>
  <si>
    <t>용접 모재의 인장강도</t>
  </si>
  <si>
    <r>
      <t>L</t>
    </r>
    <r>
      <rPr>
        <vertAlign val="subscript"/>
        <sz val="10"/>
        <rFont val="맑은 고딕"/>
        <family val="3"/>
        <charset val="129"/>
      </rPr>
      <t>b</t>
    </r>
  </si>
  <si>
    <t>비지지걸이</t>
  </si>
  <si>
    <r>
      <t>C</t>
    </r>
    <r>
      <rPr>
        <vertAlign val="subscript"/>
        <sz val="10"/>
        <rFont val="맑은 고딕"/>
        <family val="3"/>
        <charset val="129"/>
      </rPr>
      <t>b</t>
    </r>
  </si>
  <si>
    <t>모멘트 보정계수</t>
  </si>
  <si>
    <r>
      <t>M</t>
    </r>
    <r>
      <rPr>
        <vertAlign val="subscript"/>
        <sz val="10"/>
        <rFont val="맑은 고딕"/>
        <family val="3"/>
        <charset val="129"/>
      </rPr>
      <t>lw</t>
    </r>
  </si>
  <si>
    <t>Flange lateral bending moment due to horizontal component of shear in web</t>
  </si>
  <si>
    <r>
      <t>M</t>
    </r>
    <r>
      <rPr>
        <vertAlign val="subscript"/>
        <sz val="10"/>
        <rFont val="맑은 고딕"/>
        <family val="3"/>
        <charset val="129"/>
      </rPr>
      <t>lo</t>
    </r>
  </si>
  <si>
    <t>Flange lateral bending moment due to deck overhang wet concrete load</t>
  </si>
  <si>
    <r>
      <t>M</t>
    </r>
    <r>
      <rPr>
        <vertAlign val="subscript"/>
        <sz val="10"/>
        <rFont val="맑은 고딕"/>
        <family val="3"/>
        <charset val="129"/>
      </rPr>
      <t>lf</t>
    </r>
  </si>
  <si>
    <t>Flange lateral bending moment due to deck overhang forms load</t>
  </si>
  <si>
    <r>
      <t>M</t>
    </r>
    <r>
      <rPr>
        <vertAlign val="subscript"/>
        <sz val="10"/>
        <rFont val="맑은 고딕"/>
        <family val="3"/>
        <charset val="129"/>
      </rPr>
      <t>lc</t>
    </r>
  </si>
  <si>
    <t>Flange lateral bending moment due to curvature</t>
  </si>
  <si>
    <r>
      <t>F</t>
    </r>
    <r>
      <rPr>
        <vertAlign val="subscript"/>
        <sz val="10"/>
        <rFont val="맑은 고딕"/>
        <family val="3"/>
        <charset val="129"/>
      </rPr>
      <t>cr</t>
    </r>
  </si>
  <si>
    <t>임계 좌굴응력</t>
  </si>
  <si>
    <r>
      <t>r</t>
    </r>
    <r>
      <rPr>
        <vertAlign val="subscript"/>
        <sz val="10"/>
        <rFont val="맑은 고딕"/>
        <family val="3"/>
        <charset val="129"/>
      </rPr>
      <t>t</t>
    </r>
  </si>
  <si>
    <t xml:space="preserve">Effective radius of gyration for lateral torsional buckling </t>
  </si>
  <si>
    <r>
      <t>D</t>
    </r>
    <r>
      <rPr>
        <vertAlign val="subscript"/>
        <sz val="10"/>
        <rFont val="맑은 고딕"/>
        <family val="3"/>
        <charset val="129"/>
      </rPr>
      <t>c</t>
    </r>
  </si>
  <si>
    <t>압축력을 받는 웨브높이</t>
  </si>
  <si>
    <r>
      <t>D</t>
    </r>
    <r>
      <rPr>
        <vertAlign val="subscript"/>
        <sz val="10"/>
        <rFont val="맑은 고딕"/>
        <family val="3"/>
        <charset val="129"/>
      </rPr>
      <t>cp</t>
    </r>
  </si>
  <si>
    <t>소성모멘트 상태에서의 압축력을 받는 웨브높이</t>
  </si>
  <si>
    <r>
      <t>S</t>
    </r>
    <r>
      <rPr>
        <vertAlign val="subscript"/>
        <sz val="10"/>
        <rFont val="맑은 고딕"/>
        <family val="3"/>
        <charset val="129"/>
      </rPr>
      <t>l</t>
    </r>
  </si>
  <si>
    <t>Section modulus of top flange about a vertical axis through the web</t>
  </si>
  <si>
    <r>
      <t>R</t>
    </r>
    <r>
      <rPr>
        <vertAlign val="subscript"/>
        <sz val="10"/>
        <rFont val="맑은 고딕"/>
        <family val="3"/>
        <charset val="129"/>
      </rPr>
      <t>b</t>
    </r>
  </si>
  <si>
    <t>플랜지 응력검토 계수</t>
  </si>
  <si>
    <r>
      <t>R</t>
    </r>
    <r>
      <rPr>
        <vertAlign val="subscript"/>
        <sz val="10"/>
        <rFont val="맑은 고딕"/>
        <family val="3"/>
        <charset val="129"/>
      </rPr>
      <t>h</t>
    </r>
  </si>
  <si>
    <r>
      <t>D</t>
    </r>
    <r>
      <rPr>
        <vertAlign val="subscript"/>
        <sz val="10"/>
        <rFont val="맑은 고딕"/>
        <family val="3"/>
        <charset val="129"/>
      </rPr>
      <t>n</t>
    </r>
  </si>
  <si>
    <t>단면의 탄성중립축으로 부터 양플린지 안쪽 면까지의 거리 중 큰값</t>
  </si>
  <si>
    <r>
      <t>A</t>
    </r>
    <r>
      <rPr>
        <vertAlign val="subscript"/>
        <sz val="10"/>
        <rFont val="맑은 고딕"/>
        <family val="3"/>
        <charset val="129"/>
      </rPr>
      <t>fn</t>
    </r>
  </si>
  <si>
    <t>플랜지 단면적과 Dn 방향에 위치한 플랜지 덮개판 면적의 합</t>
  </si>
  <si>
    <t>T</t>
  </si>
  <si>
    <r>
      <t>A</t>
    </r>
    <r>
      <rPr>
        <vertAlign val="subscript"/>
        <sz val="10"/>
        <rFont val="맑은 고딕"/>
        <family val="3"/>
        <charset val="129"/>
      </rPr>
      <t>0</t>
    </r>
  </si>
  <si>
    <t>박스거더 단면의 폐합단면적</t>
  </si>
  <si>
    <r>
      <t>I</t>
    </r>
    <r>
      <rPr>
        <vertAlign val="subscript"/>
        <sz val="10"/>
        <rFont val="맑은 고딕"/>
        <family val="3"/>
        <charset val="129"/>
      </rPr>
      <t>s</t>
    </r>
  </si>
  <si>
    <t>종리브 단면2차모멘트</t>
  </si>
  <si>
    <t>등간격인 종방향보강재의 수</t>
  </si>
  <si>
    <r>
      <t>d</t>
    </r>
    <r>
      <rPr>
        <vertAlign val="subscript"/>
        <sz val="10"/>
        <rFont val="맑은 고딕"/>
        <family val="3"/>
        <charset val="129"/>
      </rPr>
      <t>s</t>
    </r>
  </si>
  <si>
    <t>distance from highest 보강재 to inner surface of top flange</t>
  </si>
  <si>
    <t>distance from lowest 보강재 to inner surface of bottom flange</t>
  </si>
  <si>
    <t>Tension flange 폭</t>
  </si>
  <si>
    <t>Compression flange 폭</t>
  </si>
  <si>
    <t>Bottom flange 폭</t>
  </si>
  <si>
    <t>Compression flange 두께</t>
  </si>
  <si>
    <t>Web 두께</t>
  </si>
  <si>
    <t>Distance from bottom of bottom concrete to the centerline of 1/2/3 layer rebar</t>
  </si>
  <si>
    <t>내부 con'c depth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</si>
  <si>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phoneticPr fontId="34" type="noConversion"/>
  </si>
  <si>
    <t>합성단면의 전체 높이</t>
  </si>
  <si>
    <t>합성단면의 전체 높이</t>
    <phoneticPr fontId="34" type="noConversion"/>
  </si>
  <si>
    <t>소성모멘트</t>
  </si>
  <si>
    <t>소성모멘트</t>
    <phoneticPr fontId="34" type="noConversion"/>
  </si>
  <si>
    <t>항복모멘트</t>
  </si>
  <si>
    <t>항복모멘트</t>
    <phoneticPr fontId="34" type="noConversion"/>
  </si>
  <si>
    <t xml:space="preserve">소성모멘트 상태어세 콘크리트 바닥판의 상단에서나 내부 con'c 하단에서 중립축까지의 거리 </t>
    <phoneticPr fontId="34" type="noConversion"/>
  </si>
  <si>
    <t>같이 각 박스단면의 플랜지 중심간격</t>
    <phoneticPr fontId="34" type="noConversion"/>
  </si>
  <si>
    <t>난간이나 연석을 포함한 바닥판의 내민부</t>
    <phoneticPr fontId="34" type="noConversion"/>
  </si>
  <si>
    <t>웨브의 경사도</t>
  </si>
  <si>
    <t>웨브의 경사도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</si>
  <si>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phoneticPr fontId="34" type="noConversion"/>
  </si>
  <si>
    <t>플랜지 횡방향 휨을 고려하지 않은 사용한계상태조합에 의한 단면의 압축플랜지 응력</t>
  </si>
  <si>
    <t>플랜지 횡방향 휨을 고려하지 않은 사용한계상태조합에 의한 단면의 압축플랜지 응력</t>
    <phoneticPr fontId="34" type="noConversion"/>
  </si>
  <si>
    <t>공칭피로강도</t>
  </si>
  <si>
    <t>공칭피로강도</t>
    <phoneticPr fontId="34" type="noConversion"/>
  </si>
  <si>
    <r>
      <t>(ΔF)</t>
    </r>
    <r>
      <rPr>
        <vertAlign val="subscript"/>
        <sz val="9"/>
        <rFont val="맑은 고딕"/>
        <family val="3"/>
        <charset val="129"/>
      </rPr>
      <t>TH</t>
    </r>
    <phoneticPr fontId="34" type="noConversion"/>
  </si>
  <si>
    <t>일정진폭 피로한계값</t>
  </si>
  <si>
    <t>일정진폭 피로한계값</t>
    <phoneticPr fontId="34" type="noConversion"/>
  </si>
  <si>
    <r>
      <t>(ΔF)</t>
    </r>
    <r>
      <rPr>
        <vertAlign val="subscript"/>
        <sz val="9"/>
        <rFont val="맑은 고딕"/>
        <family val="3"/>
        <charset val="129"/>
      </rPr>
      <t>CL</t>
    </r>
    <phoneticPr fontId="34" type="noConversion"/>
  </si>
  <si>
    <t>무한수명 공칭피로강도</t>
  </si>
  <si>
    <t>무한수명 공칭피로강도</t>
    <phoneticPr fontId="34" type="noConversion"/>
  </si>
  <si>
    <t>NTH</t>
  </si>
  <si>
    <t>NTH</t>
    <phoneticPr fontId="34" type="noConversion"/>
  </si>
  <si>
    <t>일정진폭 피로한계값에 해당하는 응력범위 반복횟수</t>
  </si>
  <si>
    <t>일정진폭 피로한계값에 해당하는 응력범위 반복횟수</t>
    <phoneticPr fontId="34" type="noConversion"/>
  </si>
  <si>
    <t>NCL</t>
  </si>
  <si>
    <t>NCL</t>
    <phoneticPr fontId="34" type="noConversion"/>
  </si>
  <si>
    <t>무한수명 응력험위에 해당하는 응력법위 반복횟수</t>
  </si>
  <si>
    <t>무한수명 응력험위에 해당하는 응력법위 반복횟수</t>
    <phoneticPr fontId="34" type="noConversion"/>
  </si>
  <si>
    <t>전단좌굴강도</t>
  </si>
  <si>
    <t>전단좌굴강도</t>
    <phoneticPr fontId="34" type="noConversion"/>
  </si>
  <si>
    <t>연직축에 대한 웨브의 경사각</t>
  </si>
  <si>
    <t>연직축에 대한 웨브의 경사각</t>
    <phoneticPr fontId="34" type="noConversion"/>
  </si>
  <si>
    <t>강재 자중</t>
  </si>
  <si>
    <t>강재 자중</t>
    <phoneticPr fontId="51" type="noConversion"/>
  </si>
  <si>
    <t>내부콘크리트</t>
  </si>
  <si>
    <t>내부콘크리트</t>
    <phoneticPr fontId="51" type="noConversion"/>
  </si>
  <si>
    <t>슬래브 자중</t>
  </si>
  <si>
    <t>슬래브 자중</t>
    <phoneticPr fontId="51" type="noConversion"/>
  </si>
  <si>
    <r>
      <t>d</t>
    </r>
    <r>
      <rPr>
        <vertAlign val="subscript"/>
        <sz val="10"/>
        <rFont val="맑은 고딕"/>
        <family val="3"/>
        <charset val="129"/>
      </rPr>
      <t>s1</t>
    </r>
  </si>
  <si>
    <r>
      <t>d</t>
    </r>
    <r>
      <rPr>
        <vertAlign val="subscript"/>
        <sz val="10"/>
        <rFont val="맑은 고딕"/>
        <family val="3"/>
        <charset val="129"/>
      </rPr>
      <t>s2</t>
    </r>
  </si>
  <si>
    <r>
      <t>b</t>
    </r>
    <r>
      <rPr>
        <vertAlign val="subscript"/>
        <sz val="10"/>
        <rFont val="맑은 고딕"/>
        <family val="3"/>
        <charset val="129"/>
      </rPr>
      <t>t</t>
    </r>
  </si>
  <si>
    <r>
      <t>b</t>
    </r>
    <r>
      <rPr>
        <vertAlign val="subscript"/>
        <sz val="10"/>
        <rFont val="맑은 고딕"/>
        <family val="3"/>
        <charset val="129"/>
      </rPr>
      <t>c</t>
    </r>
  </si>
  <si>
    <r>
      <t>b</t>
    </r>
    <r>
      <rPr>
        <vertAlign val="subscript"/>
        <sz val="10"/>
        <rFont val="맑은 고딕"/>
        <family val="3"/>
        <charset val="129"/>
      </rPr>
      <t>b</t>
    </r>
  </si>
  <si>
    <r>
      <t>t</t>
    </r>
    <r>
      <rPr>
        <vertAlign val="subscript"/>
        <sz val="10"/>
        <rFont val="맑은 고딕"/>
        <family val="3"/>
        <charset val="129"/>
      </rPr>
      <t>t</t>
    </r>
  </si>
  <si>
    <r>
      <t>t</t>
    </r>
    <r>
      <rPr>
        <vertAlign val="subscript"/>
        <sz val="10"/>
        <rFont val="맑은 고딕"/>
        <family val="3"/>
        <charset val="129"/>
      </rPr>
      <t>c</t>
    </r>
  </si>
  <si>
    <r>
      <t>t</t>
    </r>
    <r>
      <rPr>
        <vertAlign val="subscript"/>
        <sz val="10"/>
        <rFont val="맑은 고딕"/>
        <family val="3"/>
        <charset val="129"/>
      </rPr>
      <t>w</t>
    </r>
  </si>
  <si>
    <r>
      <t>P</t>
    </r>
    <r>
      <rPr>
        <vertAlign val="subscript"/>
        <sz val="10"/>
        <rFont val="맑은 고딕"/>
        <family val="3"/>
        <charset val="129"/>
      </rPr>
      <t>t</t>
    </r>
  </si>
  <si>
    <t>Force in tension flange (소성모멘트 산정)</t>
  </si>
  <si>
    <r>
      <t>P</t>
    </r>
    <r>
      <rPr>
        <vertAlign val="subscript"/>
        <sz val="10"/>
        <rFont val="맑은 고딕"/>
        <family val="3"/>
        <charset val="129"/>
      </rPr>
      <t>c</t>
    </r>
  </si>
  <si>
    <t>Force in compression flange (소성모멘트 산정)</t>
  </si>
  <si>
    <r>
      <t>P</t>
    </r>
    <r>
      <rPr>
        <vertAlign val="subscript"/>
        <sz val="10"/>
        <rFont val="맑은 고딕"/>
        <family val="3"/>
        <charset val="129"/>
      </rPr>
      <t>w</t>
    </r>
  </si>
  <si>
    <t>Force in web (소성모멘트 산정)</t>
  </si>
  <si>
    <r>
      <t>P</t>
    </r>
    <r>
      <rPr>
        <vertAlign val="subscript"/>
        <sz val="10"/>
        <rFont val="맑은 고딕"/>
        <family val="3"/>
        <charset val="129"/>
      </rPr>
      <t>bot</t>
    </r>
  </si>
  <si>
    <t>Force in bottom concrete (소성모멘트 산정)</t>
  </si>
  <si>
    <r>
      <t>P</t>
    </r>
    <r>
      <rPr>
        <vertAlign val="subscript"/>
        <sz val="10"/>
        <rFont val="맑은 고딕"/>
        <family val="3"/>
        <charset val="129"/>
      </rPr>
      <t>s</t>
    </r>
  </si>
  <si>
    <t>Force in deck slab (소성모멘트 산정)</t>
  </si>
  <si>
    <r>
      <t>P</t>
    </r>
    <r>
      <rPr>
        <vertAlign val="subscript"/>
        <sz val="10"/>
        <rFont val="맑은 고딕"/>
        <family val="3"/>
        <charset val="129"/>
      </rPr>
      <t>rt</t>
    </r>
  </si>
  <si>
    <t>Force in top layer of rebar (소성모멘트 산정)</t>
  </si>
  <si>
    <r>
      <t>P</t>
    </r>
    <r>
      <rPr>
        <vertAlign val="subscript"/>
        <sz val="10"/>
        <rFont val="맑은 고딕"/>
        <family val="3"/>
        <charset val="129"/>
      </rPr>
      <t>rb</t>
    </r>
  </si>
  <si>
    <t>Force in bottom layer of rebar (소성모멘트 산정)</t>
  </si>
  <si>
    <t>Force in top rib (소성모멘트 산정)</t>
  </si>
  <si>
    <t>Force in Bottom rib (소성모멘트 산정)</t>
  </si>
  <si>
    <t>Web depth</t>
  </si>
  <si>
    <r>
      <t>t</t>
    </r>
    <r>
      <rPr>
        <vertAlign val="subscript"/>
        <sz val="10"/>
        <rFont val="맑은 고딕"/>
        <family val="3"/>
        <charset val="129"/>
      </rPr>
      <t>s</t>
    </r>
  </si>
  <si>
    <t>Deck slab thickness</t>
  </si>
  <si>
    <r>
      <t>C</t>
    </r>
    <r>
      <rPr>
        <vertAlign val="subscript"/>
        <sz val="10"/>
        <rFont val="맑은 고딕"/>
        <family val="3"/>
        <charset val="129"/>
      </rPr>
      <t>rt</t>
    </r>
    <r>
      <rPr>
        <sz val="10"/>
        <rFont val="맑은 고딕"/>
        <family val="3"/>
        <charset val="129"/>
      </rPr>
      <t>, C</t>
    </r>
    <r>
      <rPr>
        <vertAlign val="subscript"/>
        <sz val="10"/>
        <rFont val="맑은 고딕"/>
        <family val="3"/>
        <charset val="129"/>
      </rPr>
      <t>rb</t>
    </r>
  </si>
  <si>
    <t>Distance from top deck slab to top the centerline of top / bottom layer rebar</t>
  </si>
  <si>
    <r>
      <t>C</t>
    </r>
    <r>
      <rPr>
        <vertAlign val="subscript"/>
        <sz val="10"/>
        <rFont val="맑은 고딕"/>
        <family val="3"/>
        <charset val="129"/>
      </rPr>
      <t>r1/2/3</t>
    </r>
  </si>
  <si>
    <t>내부 con'c depth (소성모멘트 산정)</t>
  </si>
  <si>
    <r>
      <t>D</t>
    </r>
    <r>
      <rPr>
        <vertAlign val="subscript"/>
        <sz val="10"/>
        <rFont val="맑은 고딕"/>
        <family val="3"/>
        <charset val="129"/>
      </rPr>
      <t>t</t>
    </r>
  </si>
  <si>
    <r>
      <t>M</t>
    </r>
    <r>
      <rPr>
        <vertAlign val="subscript"/>
        <sz val="10"/>
        <rFont val="맑은 고딕"/>
        <family val="3"/>
        <charset val="129"/>
      </rPr>
      <t>p</t>
    </r>
  </si>
  <si>
    <r>
      <t>M</t>
    </r>
    <r>
      <rPr>
        <vertAlign val="subscript"/>
        <sz val="10"/>
        <rFont val="맑은 고딕"/>
        <family val="3"/>
        <charset val="129"/>
      </rPr>
      <t>y</t>
    </r>
  </si>
  <si>
    <r>
      <t>D</t>
    </r>
    <r>
      <rPr>
        <vertAlign val="subscript"/>
        <sz val="10"/>
        <rFont val="맑은 고딕"/>
        <family val="3"/>
        <charset val="129"/>
      </rPr>
      <t>p</t>
    </r>
  </si>
  <si>
    <t>소성모멘트 상태어세 콘크리트 바닥판의 상단에서나 내부 con'c 하단에서 중립축까지의 거리</t>
  </si>
  <si>
    <r>
      <t>d</t>
    </r>
    <r>
      <rPr>
        <vertAlign val="subscript"/>
        <sz val="10"/>
        <rFont val="맑은 고딕"/>
        <family val="3"/>
        <charset val="129"/>
      </rPr>
      <t>0</t>
    </r>
  </si>
  <si>
    <r>
      <t>f</t>
    </r>
    <r>
      <rPr>
        <vertAlign val="subscript"/>
        <sz val="10"/>
        <rFont val="맑은 고딕"/>
        <family val="3"/>
        <charset val="129"/>
      </rPr>
      <t>s</t>
    </r>
  </si>
  <si>
    <t>부모멘트 인장철근 응력</t>
  </si>
  <si>
    <t>(Δf)</t>
  </si>
  <si>
    <t>하중효과, 즉 피로설계하중 통과 시 발생되는 활하중 응력범위</t>
  </si>
  <si>
    <r>
      <t>(ΔF)</t>
    </r>
    <r>
      <rPr>
        <vertAlign val="subscript"/>
        <sz val="10"/>
        <rFont val="맑은 고딕"/>
        <family val="3"/>
        <charset val="129"/>
      </rPr>
      <t>n</t>
    </r>
  </si>
  <si>
    <r>
      <t>(ΔF)</t>
    </r>
    <r>
      <rPr>
        <vertAlign val="subscript"/>
        <sz val="10"/>
        <rFont val="맑은 고딕"/>
        <family val="3"/>
        <charset val="129"/>
      </rPr>
      <t>TH</t>
    </r>
  </si>
  <si>
    <r>
      <t>(ΔF)</t>
    </r>
    <r>
      <rPr>
        <vertAlign val="subscript"/>
        <sz val="10"/>
        <rFont val="맑은 고딕"/>
        <family val="3"/>
        <charset val="129"/>
      </rPr>
      <t>CL</t>
    </r>
  </si>
  <si>
    <r>
      <t>V</t>
    </r>
    <r>
      <rPr>
        <vertAlign val="subscript"/>
        <sz val="10"/>
        <rFont val="맑은 고딕"/>
        <family val="3"/>
        <charset val="129"/>
      </rPr>
      <t>cr</t>
    </r>
  </si>
  <si>
    <t>난간 방호벽</t>
  </si>
  <si>
    <t>포장 및 설비하중</t>
  </si>
  <si>
    <t>기호</t>
    <phoneticPr fontId="34" type="noConversion"/>
  </si>
  <si>
    <t>Descriptions</t>
    <phoneticPr fontId="34" type="noConversion"/>
  </si>
  <si>
    <r>
      <t>H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</si>
  <si>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Bottom concrete area</t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</si>
  <si>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</si>
  <si>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</si>
  <si>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yst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</si>
  <si>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ysb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</si>
  <si>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</si>
  <si>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</si>
  <si>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yrb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</si>
  <si>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yrt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</si>
  <si>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phoneticPr fontId="34" type="noConversion"/>
  </si>
  <si>
    <t>Tension flange</t>
    <phoneticPr fontId="34" type="noConversion"/>
  </si>
  <si>
    <t>Compression flange</t>
    <phoneticPr fontId="34" type="noConversion"/>
  </si>
  <si>
    <r>
      <t>2F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(D/cosθ)t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</si>
  <si>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</si>
  <si>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</si>
  <si>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(D-2H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</si>
  <si>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</si>
  <si>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</si>
  <si>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 xml:space="preserve">rb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</si>
  <si>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 xml:space="preserve">rb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&lt;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</si>
  <si>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+(D-H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/D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</si>
  <si>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</si>
  <si>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</si>
  <si>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</si>
  <si>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s,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h</t>
    </r>
    <phoneticPr fontId="34" type="noConversion"/>
  </si>
  <si>
    <t>deck slab and haunch 두께</t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</si>
  <si>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</si>
  <si>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</si>
  <si>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r>
      <t>P</t>
    </r>
    <r>
      <rPr>
        <vertAlign val="subscript"/>
        <sz val="10"/>
        <rFont val="맑은 고딕"/>
        <family val="3"/>
        <charset val="129"/>
      </rPr>
      <t>st</t>
    </r>
    <phoneticPr fontId="34" type="noConversion"/>
  </si>
  <si>
    <r>
      <t>P</t>
    </r>
    <r>
      <rPr>
        <vertAlign val="subscript"/>
        <sz val="10"/>
        <rFont val="맑은 고딕"/>
        <family val="3"/>
        <charset val="129"/>
      </rPr>
      <t>sb</t>
    </r>
    <phoneticPr fontId="34" type="noConversion"/>
  </si>
  <si>
    <t>Top flange 폭</t>
    <phoneticPr fontId="34" type="noConversion"/>
  </si>
  <si>
    <t>Tension flange 두께</t>
    <phoneticPr fontId="34" type="noConversion"/>
  </si>
  <si>
    <t>Top flange 두께</t>
    <phoneticPr fontId="34" type="noConversion"/>
  </si>
  <si>
    <t>Hst, tst, nst</t>
    <phoneticPr fontId="34" type="noConversion"/>
  </si>
  <si>
    <t>Hsb, tsb, nsb</t>
    <phoneticPr fontId="34" type="noConversion"/>
  </si>
  <si>
    <t>θ</t>
    <phoneticPr fontId="34" type="noConversion"/>
  </si>
  <si>
    <t>Depth of web along the slope</t>
    <phoneticPr fontId="34" type="noConversion"/>
  </si>
  <si>
    <t>Ast = nst∙Hst∙tst</t>
    <phoneticPr fontId="34" type="noConversion"/>
  </si>
  <si>
    <t>Bottom Rib</t>
    <phoneticPr fontId="34" type="noConversion"/>
  </si>
  <si>
    <t>Asb = nsb∙Hsb∙tsb</t>
    <phoneticPr fontId="34" type="noConversion"/>
  </si>
  <si>
    <t>yst = tb + Dw - Hst/2</t>
    <phoneticPr fontId="34" type="noConversion"/>
  </si>
  <si>
    <t>ysb = tb + Hsb/2</t>
    <phoneticPr fontId="34" type="noConversion"/>
  </si>
  <si>
    <t>A1</t>
    <phoneticPr fontId="34" type="noConversion"/>
  </si>
  <si>
    <t>At + Aw + Ab + Ast + Asb</t>
    <phoneticPr fontId="34" type="noConversion"/>
  </si>
  <si>
    <t>YL1</t>
    <phoneticPr fontId="34" type="noConversion"/>
  </si>
  <si>
    <t>At∙yt + Aw∙yw + Ab∙yb + Ast∙yst + Asb∙ysb</t>
    <phoneticPr fontId="34" type="noConversion"/>
  </si>
  <si>
    <t>YU1</t>
    <phoneticPr fontId="34" type="noConversion"/>
  </si>
  <si>
    <t>Dt - YL1</t>
    <phoneticPr fontId="34" type="noConversion"/>
  </si>
  <si>
    <r>
      <t>Ist = nst·tst·Hst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4" type="noConversion"/>
  </si>
  <si>
    <r>
      <t>Isb = nsb·tsb·Hsb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4" type="noConversion"/>
  </si>
  <si>
    <t>Yst = YU1 - tt - Hst/2</t>
    <phoneticPr fontId="34" type="noConversion"/>
  </si>
  <si>
    <t>Ysb = YL1 - tb - Hsb/2</t>
    <phoneticPr fontId="34" type="noConversion"/>
  </si>
  <si>
    <r>
      <t>It + At∙Yt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Iw + Aw∙Yw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Ib + Ab∙Yb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Isb + Asb∙Ysb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Ist + Ast∙Yst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</si>
  <si>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b</t>
    </r>
    <r>
      <rPr>
        <vertAlign val="subscript"/>
        <sz val="10"/>
        <rFont val="맑은 고딕"/>
        <family val="3"/>
        <charset val="129"/>
      </rPr>
      <t>bot</t>
    </r>
    <phoneticPr fontId="34" type="noConversion"/>
  </si>
  <si>
    <t>n</t>
    <phoneticPr fontId="34" type="noConversion"/>
  </si>
  <si>
    <t>Es / Ec</t>
    <phoneticPr fontId="34" type="noConversion"/>
  </si>
  <si>
    <t>A1 + Ac/n</t>
    <phoneticPr fontId="34" type="noConversion"/>
  </si>
  <si>
    <t>A1∙YL1 + Ac∙yc/n</t>
    <phoneticPr fontId="34" type="noConversion"/>
  </si>
  <si>
    <t>Dt - YL2</t>
    <phoneticPr fontId="34" type="noConversion"/>
  </si>
  <si>
    <t>YU2</t>
    <phoneticPr fontId="34" type="noConversion"/>
  </si>
  <si>
    <t>Dt - YL2</t>
    <phoneticPr fontId="34" type="noConversion"/>
  </si>
  <si>
    <t>A1 + Ac/3/n</t>
    <phoneticPr fontId="34" type="noConversion"/>
  </si>
  <si>
    <t>A1∙YL1 + Ac∙yc/3/n</t>
    <phoneticPr fontId="34" type="noConversion"/>
  </si>
  <si>
    <t>n</t>
    <phoneticPr fontId="34" type="noConversion"/>
  </si>
  <si>
    <t>A1 + As/n + Ah/n</t>
    <phoneticPr fontId="34" type="noConversion"/>
  </si>
  <si>
    <t>A3</t>
    <phoneticPr fontId="34" type="noConversion"/>
  </si>
  <si>
    <t>A1 + As/3/n + Ah/3/n</t>
    <phoneticPr fontId="34" type="noConversion"/>
  </si>
  <si>
    <t>A1∙YL1 + As/n∙ys + Ah/n∙yh</t>
    <phoneticPr fontId="34" type="noConversion"/>
  </si>
  <si>
    <t>A1∙YL1 + As/3/n∙ys + Ah/3/n∙yh</t>
    <phoneticPr fontId="34" type="noConversion"/>
  </si>
  <si>
    <t>Dt - YL3</t>
    <phoneticPr fontId="34" type="noConversion"/>
  </si>
  <si>
    <t>nrt</t>
    <phoneticPr fontId="34" type="noConversion"/>
  </si>
  <si>
    <t>nrb</t>
    <phoneticPr fontId="34" type="noConversion"/>
  </si>
  <si>
    <t>crt</t>
    <phoneticPr fontId="34" type="noConversion"/>
  </si>
  <si>
    <t>crb</t>
    <phoneticPr fontId="34" type="noConversion"/>
  </si>
  <si>
    <t>Drt</t>
    <phoneticPr fontId="34" type="noConversion"/>
  </si>
  <si>
    <t>Drb</t>
    <phoneticPr fontId="34" type="noConversion"/>
  </si>
  <si>
    <r>
      <t>Arb = nrb∙0.25∙π∙Drb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</si>
  <si>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Art = nrt∙0.25∙π∙Drt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</si>
  <si>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yrt = tb + Dw + th + ts - crt</t>
    <phoneticPr fontId="34" type="noConversion"/>
  </si>
  <si>
    <t>yrb = tb + Dw + th + crb</t>
    <phoneticPr fontId="34" type="noConversion"/>
  </si>
  <si>
    <t>A2 + Art + Arb</t>
    <phoneticPr fontId="34" type="noConversion"/>
  </si>
  <si>
    <t>A2∙YL2 + Art∙yrt + Arb∙yrb</t>
    <phoneticPr fontId="34" type="noConversion"/>
  </si>
  <si>
    <t>YU4</t>
    <phoneticPr fontId="34" type="noConversion"/>
  </si>
  <si>
    <t>Dt - YL4</t>
    <phoneticPr fontId="34" type="noConversion"/>
  </si>
  <si>
    <t>A2 + Art/3 + Arb/3</t>
    <phoneticPr fontId="34" type="noConversion"/>
  </si>
  <si>
    <t>A2∙YL2 + Art∙yrt/3 + Arb∙yrb/3</t>
    <phoneticPr fontId="34" type="noConversion"/>
  </si>
  <si>
    <r>
      <t>Irt = nrt∙π∙Drt</t>
    </r>
    <r>
      <rPr>
        <vertAlign val="superscript"/>
        <sz val="9"/>
        <rFont val="맑은 고딕"/>
        <family val="3"/>
        <charset val="129"/>
      </rPr>
      <t>4</t>
    </r>
    <r>
      <rPr>
        <sz val="9"/>
        <rFont val="맑은 고딕"/>
        <family val="3"/>
        <charset val="129"/>
      </rPr>
      <t>/64</t>
    </r>
    <phoneticPr fontId="34" type="noConversion"/>
  </si>
  <si>
    <r>
      <t>Irb = nrb∙π∙Drb</t>
    </r>
    <r>
      <rPr>
        <vertAlign val="superscript"/>
        <sz val="9"/>
        <rFont val="맑은 고딕"/>
        <family val="3"/>
        <charset val="129"/>
      </rPr>
      <t>4</t>
    </r>
    <r>
      <rPr>
        <sz val="9"/>
        <rFont val="맑은 고딕"/>
        <family val="3"/>
        <charset val="129"/>
      </rPr>
      <t>/64</t>
    </r>
    <phoneticPr fontId="34" type="noConversion"/>
  </si>
  <si>
    <t>Yrt = YU4 - tt + th + ts - crt</t>
    <phoneticPr fontId="34" type="noConversion"/>
  </si>
  <si>
    <t>Yrb = YU4 - tt + th + crb</t>
    <phoneticPr fontId="34" type="noConversion"/>
  </si>
  <si>
    <t>bt, tt, nt</t>
    <phoneticPr fontId="34" type="noConversion"/>
  </si>
  <si>
    <t>Top flange 폭, 두께, 개수</t>
    <phoneticPr fontId="34" type="noConversion"/>
  </si>
  <si>
    <t>Bottom flange 폭, 두께</t>
    <phoneticPr fontId="34" type="noConversion"/>
  </si>
  <si>
    <t>Hw = Dw/cosθ</t>
    <phoneticPr fontId="34" type="noConversion"/>
  </si>
  <si>
    <t>Top Rib Depth</t>
    <phoneticPr fontId="34" type="noConversion"/>
  </si>
  <si>
    <t>Bottom Rib Depth</t>
    <phoneticPr fontId="34" type="noConversion"/>
  </si>
  <si>
    <t>Top Rib Thickness</t>
    <phoneticPr fontId="34" type="noConversion"/>
  </si>
  <si>
    <t>Bottom Depth Thickness</t>
    <phoneticPr fontId="34" type="noConversion"/>
  </si>
  <si>
    <t>nt</t>
    <phoneticPr fontId="34" type="noConversion"/>
  </si>
  <si>
    <t>Top flange 개수</t>
    <phoneticPr fontId="34" type="noConversion"/>
  </si>
  <si>
    <t>Ratio of Steel and Concrete Modulus of Elatiscity</t>
    <phoneticPr fontId="34" type="noConversion"/>
  </si>
  <si>
    <r>
      <t>A</t>
    </r>
    <r>
      <rPr>
        <vertAlign val="subscript"/>
        <sz val="10"/>
        <rFont val="맑은 고딕"/>
        <family val="3"/>
        <charset val="129"/>
      </rPr>
      <t>bot</t>
    </r>
    <phoneticPr fontId="34" type="noConversion"/>
  </si>
  <si>
    <r>
      <t>H</t>
    </r>
    <r>
      <rPr>
        <vertAlign val="subscript"/>
        <sz val="10"/>
        <rFont val="맑은 고딕"/>
        <family val="3"/>
        <charset val="129"/>
      </rPr>
      <t>w</t>
    </r>
    <phoneticPr fontId="34" type="noConversion"/>
  </si>
  <si>
    <r>
      <t>H</t>
    </r>
    <r>
      <rPr>
        <vertAlign val="subscript"/>
        <sz val="10"/>
        <rFont val="맑은 고딕"/>
        <family val="3"/>
        <charset val="129"/>
      </rPr>
      <t>st</t>
    </r>
    <phoneticPr fontId="34" type="noConversion"/>
  </si>
  <si>
    <r>
      <t>H</t>
    </r>
    <r>
      <rPr>
        <vertAlign val="subscript"/>
        <sz val="10"/>
        <rFont val="맑은 고딕"/>
        <family val="3"/>
        <charset val="129"/>
      </rPr>
      <t>sb</t>
    </r>
    <phoneticPr fontId="34" type="noConversion"/>
  </si>
  <si>
    <r>
      <t>t</t>
    </r>
    <r>
      <rPr>
        <vertAlign val="subscript"/>
        <sz val="10"/>
        <rFont val="맑은 고딕"/>
        <family val="3"/>
        <charset val="129"/>
      </rPr>
      <t>st</t>
    </r>
    <phoneticPr fontId="34" type="noConversion"/>
  </si>
  <si>
    <r>
      <t>t</t>
    </r>
    <r>
      <rPr>
        <vertAlign val="subscript"/>
        <sz val="10"/>
        <rFont val="맑은 고딕"/>
        <family val="3"/>
        <charset val="129"/>
      </rPr>
      <t>sb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</si>
  <si>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</si>
  <si>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6t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max(0.5t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, 0.25b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4" type="noConversion"/>
  </si>
  <si>
    <r>
      <t>12t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, 0.5b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4" type="noConversion"/>
  </si>
  <si>
    <t>b (overhang)</t>
    <phoneticPr fontId="34" type="noConversion"/>
  </si>
  <si>
    <t>average(a , w)</t>
    <phoneticPr fontId="34" type="noConversion"/>
  </si>
  <si>
    <t>w</t>
    <phoneticPr fontId="34" type="noConversion"/>
  </si>
  <si>
    <r>
      <t>D</t>
    </r>
    <r>
      <rPr>
        <vertAlign val="subscript"/>
        <sz val="11"/>
        <rFont val="돋움"/>
        <family val="3"/>
        <charset val="129"/>
      </rPr>
      <t>w</t>
    </r>
    <phoneticPr fontId="34" type="noConversion"/>
  </si>
  <si>
    <t>압축플랜지의 종방향보강재 폭 또는 웨브로부터 가장 가까운 종방향보강재까지의 거리 중 큰 값</t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</si>
  <si>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  <scheme val="minor"/>
      </rPr>
      <t>수직보강재 용접 피로</t>
    </r>
    <phoneticPr fontId="34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</si>
  <si>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전단</t>
    </r>
    <phoneticPr fontId="34" type="noConversion"/>
  </si>
  <si>
    <t>Vu ≤ Vcr</t>
    <phoneticPr fontId="34" type="noConversion"/>
  </si>
  <si>
    <t>Vu</t>
    <phoneticPr fontId="34" type="noConversion"/>
  </si>
  <si>
    <t>Vcr</t>
    <phoneticPr fontId="34" type="noConversion"/>
  </si>
  <si>
    <t>Summaries by plots</t>
    <phoneticPr fontId="34" type="noConversion"/>
  </si>
  <si>
    <t>(1) Steel</t>
    <phoneticPr fontId="34" type="noConversion"/>
  </si>
  <si>
    <t>Top      =    - DC1 / SU1</t>
    <phoneticPr fontId="34" type="noConversion"/>
  </si>
  <si>
    <t>Bottom =      DC1 / SL1</t>
    <phoneticPr fontId="34" type="noConversion"/>
  </si>
  <si>
    <t>(2) Bottom concrete</t>
    <phoneticPr fontId="34" type="noConversion"/>
  </si>
  <si>
    <t>SU1</t>
    <phoneticPr fontId="34" type="noConversion"/>
  </si>
  <si>
    <t>SL1</t>
    <phoneticPr fontId="34" type="noConversion"/>
  </si>
  <si>
    <t>Top      =    - DC2 / SU1</t>
    <phoneticPr fontId="34" type="noConversion"/>
  </si>
  <si>
    <t>Bottom =      DC2 / SL1</t>
    <phoneticPr fontId="34" type="noConversion"/>
  </si>
  <si>
    <t>Top      =    - DC3 / SU1</t>
    <phoneticPr fontId="34" type="noConversion"/>
  </si>
  <si>
    <t>Bottom =      DC3 / SL1</t>
    <phoneticPr fontId="34" type="noConversion"/>
  </si>
  <si>
    <t>Positive    : 1.25 (1) + 1.25 (2) + 1.25 (3)</t>
    <phoneticPr fontId="34" type="noConversion"/>
  </si>
  <si>
    <t>사용 I 합계</t>
    <phoneticPr fontId="34" type="noConversion"/>
  </si>
  <si>
    <t>사용 II 합계</t>
    <phoneticPr fontId="34" type="noConversion"/>
  </si>
  <si>
    <t>피로 (LLmax)</t>
    <phoneticPr fontId="34" type="noConversion"/>
  </si>
  <si>
    <t>Positive    : 0.75 (7)</t>
    <phoneticPr fontId="34" type="noConversion"/>
  </si>
  <si>
    <t>Negative   : 0.75 (13)</t>
    <phoneticPr fontId="34" type="noConversion"/>
  </si>
  <si>
    <t>피로 (LLmin)</t>
    <phoneticPr fontId="34" type="noConversion"/>
  </si>
  <si>
    <t>Positive    : 0.75 (8)</t>
    <phoneticPr fontId="34" type="noConversion"/>
  </si>
  <si>
    <t>Negative   : 0.75 (14)</t>
    <phoneticPr fontId="34" type="noConversion"/>
  </si>
  <si>
    <t>ntop</t>
    <phoneticPr fontId="34" type="noConversion"/>
  </si>
  <si>
    <t>btop</t>
    <phoneticPr fontId="34" type="noConversion"/>
  </si>
  <si>
    <t>ttop</t>
    <phoneticPr fontId="34" type="noConversion"/>
  </si>
  <si>
    <t>ctop</t>
    <phoneticPr fontId="34" type="noConversion"/>
  </si>
  <si>
    <t>bbot</t>
    <phoneticPr fontId="34" type="noConversion"/>
  </si>
  <si>
    <t>tbot</t>
    <phoneticPr fontId="34" type="noConversion"/>
  </si>
  <si>
    <t>cbot</t>
    <phoneticPr fontId="34" type="noConversion"/>
  </si>
  <si>
    <t>D</t>
    <phoneticPr fontId="34" type="noConversion"/>
  </si>
  <si>
    <t>tw</t>
    <phoneticPr fontId="34" type="noConversion"/>
  </si>
  <si>
    <t>Hc</t>
    <phoneticPr fontId="34" type="noConversion"/>
  </si>
  <si>
    <t>th</t>
    <phoneticPr fontId="34" type="noConversion"/>
  </si>
  <si>
    <t>ts</t>
    <phoneticPr fontId="34" type="noConversion"/>
  </si>
  <si>
    <t>b</t>
    <phoneticPr fontId="34" type="noConversion"/>
  </si>
  <si>
    <t>w</t>
    <phoneticPr fontId="34" type="noConversion"/>
  </si>
  <si>
    <t>a</t>
    <phoneticPr fontId="34" type="noConversion"/>
  </si>
  <si>
    <t>Hst</t>
    <phoneticPr fontId="34" type="noConversion"/>
  </si>
  <si>
    <t>Hsb</t>
    <phoneticPr fontId="34" type="noConversion"/>
  </si>
  <si>
    <t>nsb</t>
    <phoneticPr fontId="34" type="noConversion"/>
  </si>
  <si>
    <t>tsb</t>
    <phoneticPr fontId="34" type="noConversion"/>
  </si>
  <si>
    <t>nst</t>
    <phoneticPr fontId="34" type="noConversion"/>
  </si>
  <si>
    <t>tst</t>
    <phoneticPr fontId="34" type="noConversion"/>
  </si>
  <si>
    <r>
      <t>b</t>
    </r>
    <r>
      <rPr>
        <vertAlign val="subscript"/>
        <sz val="10"/>
        <rFont val="맑은 고딕"/>
        <family val="3"/>
        <charset val="129"/>
      </rPr>
      <t>bot</t>
    </r>
    <phoneticPr fontId="34" type="noConversion"/>
  </si>
  <si>
    <r>
      <t>b</t>
    </r>
    <r>
      <rPr>
        <vertAlign val="subscript"/>
        <sz val="10"/>
        <rFont val="맑은 고딕"/>
        <family val="3"/>
        <charset val="129"/>
      </rPr>
      <t>top</t>
    </r>
    <phoneticPr fontId="34" type="noConversion"/>
  </si>
  <si>
    <r>
      <t>t</t>
    </r>
    <r>
      <rPr>
        <vertAlign val="subscript"/>
        <sz val="10"/>
        <rFont val="맑은 고딕"/>
        <family val="3"/>
        <charset val="129"/>
      </rPr>
      <t>top</t>
    </r>
    <phoneticPr fontId="34" type="noConversion"/>
  </si>
  <si>
    <r>
      <t>t</t>
    </r>
    <r>
      <rPr>
        <vertAlign val="subscript"/>
        <sz val="11"/>
        <rFont val="돋움"/>
        <family val="3"/>
        <charset val="129"/>
      </rPr>
      <t>bot</t>
    </r>
    <phoneticPr fontId="34" type="noConversion"/>
  </si>
  <si>
    <t>Bottom flange 두께</t>
    <phoneticPr fontId="34" type="noConversion"/>
  </si>
  <si>
    <t>Cantilever of bottom flange</t>
    <phoneticPr fontId="34" type="noConversion"/>
  </si>
  <si>
    <t>Cantilever top flange</t>
    <phoneticPr fontId="34" type="noConversion"/>
  </si>
  <si>
    <t>S</t>
    <phoneticPr fontId="34" type="noConversion"/>
  </si>
  <si>
    <t>Ht</t>
    <phoneticPr fontId="34" type="noConversion"/>
  </si>
  <si>
    <t>bs</t>
    <phoneticPr fontId="34" type="noConversion"/>
  </si>
  <si>
    <t>YU1</t>
    <phoneticPr fontId="34" type="noConversion"/>
  </si>
  <si>
    <t>YL1</t>
    <phoneticPr fontId="34" type="noConversion"/>
  </si>
  <si>
    <t>SU1</t>
    <phoneticPr fontId="34" type="noConversion"/>
  </si>
  <si>
    <t>SL1</t>
    <phoneticPr fontId="34" type="noConversion"/>
  </si>
  <si>
    <t>A2s</t>
    <phoneticPr fontId="34" type="noConversion"/>
  </si>
  <si>
    <t>YU2s</t>
    <phoneticPr fontId="34" type="noConversion"/>
  </si>
  <si>
    <t>YL2s</t>
    <phoneticPr fontId="34" type="noConversion"/>
  </si>
  <si>
    <t>SU2s</t>
    <phoneticPr fontId="34" type="noConversion"/>
  </si>
  <si>
    <t>SL2s</t>
    <phoneticPr fontId="34" type="noConversion"/>
  </si>
  <si>
    <t>A2l</t>
    <phoneticPr fontId="34" type="noConversion"/>
  </si>
  <si>
    <t>YU2l</t>
    <phoneticPr fontId="34" type="noConversion"/>
  </si>
  <si>
    <t>YL2l</t>
    <phoneticPr fontId="34" type="noConversion"/>
  </si>
  <si>
    <t>SU2l</t>
    <phoneticPr fontId="34" type="noConversion"/>
  </si>
  <si>
    <t>SL2l</t>
    <phoneticPr fontId="34" type="noConversion"/>
  </si>
  <si>
    <t>A3s</t>
    <phoneticPr fontId="34" type="noConversion"/>
  </si>
  <si>
    <t>YU3s</t>
    <phoneticPr fontId="34" type="noConversion"/>
  </si>
  <si>
    <t>YL3s</t>
    <phoneticPr fontId="34" type="noConversion"/>
  </si>
  <si>
    <t>SU3s</t>
    <phoneticPr fontId="34" type="noConversion"/>
  </si>
  <si>
    <t>SL3s</t>
    <phoneticPr fontId="34" type="noConversion"/>
  </si>
  <si>
    <t>A3l</t>
    <phoneticPr fontId="34" type="noConversion"/>
  </si>
  <si>
    <t>YU3l</t>
    <phoneticPr fontId="34" type="noConversion"/>
  </si>
  <si>
    <t>YL3l</t>
    <phoneticPr fontId="34" type="noConversion"/>
  </si>
  <si>
    <t>SU3l</t>
    <phoneticPr fontId="34" type="noConversion"/>
  </si>
  <si>
    <t>SL3l</t>
    <phoneticPr fontId="34" type="noConversion"/>
  </si>
  <si>
    <t>A4l</t>
    <phoneticPr fontId="34" type="noConversion"/>
  </si>
  <si>
    <t>YU4l</t>
    <phoneticPr fontId="34" type="noConversion"/>
  </si>
  <si>
    <t>YL4l</t>
    <phoneticPr fontId="34" type="noConversion"/>
  </si>
  <si>
    <t>SU4l</t>
    <phoneticPr fontId="34" type="noConversion"/>
  </si>
  <si>
    <t>SL4l</t>
    <phoneticPr fontId="34" type="noConversion"/>
  </si>
  <si>
    <t>A4s</t>
    <phoneticPr fontId="34" type="noConversion"/>
  </si>
  <si>
    <t>YU4s</t>
    <phoneticPr fontId="34" type="noConversion"/>
  </si>
  <si>
    <t>YL4s</t>
    <phoneticPr fontId="34" type="noConversion"/>
  </si>
  <si>
    <t>SU4s</t>
    <phoneticPr fontId="34" type="noConversion"/>
  </si>
  <si>
    <t>SL4s</t>
    <phoneticPr fontId="34" type="noConversion"/>
  </si>
  <si>
    <t>SU1</t>
    <phoneticPr fontId="34" type="noConversion"/>
  </si>
  <si>
    <t>SL1</t>
    <phoneticPr fontId="34" type="noConversion"/>
  </si>
  <si>
    <t>A1</t>
    <phoneticPr fontId="34" type="noConversion"/>
  </si>
  <si>
    <t>YU1</t>
    <phoneticPr fontId="34" type="noConversion"/>
  </si>
  <si>
    <t>YL1</t>
    <phoneticPr fontId="34" type="noConversion"/>
  </si>
  <si>
    <t>A2s</t>
    <phoneticPr fontId="34" type="noConversion"/>
  </si>
  <si>
    <t>YU2s</t>
    <phoneticPr fontId="34" type="noConversion"/>
  </si>
  <si>
    <t>YL2s</t>
    <phoneticPr fontId="34" type="noConversion"/>
  </si>
  <si>
    <t>SU2s</t>
    <phoneticPr fontId="34" type="noConversion"/>
  </si>
  <si>
    <t>SL2s</t>
    <phoneticPr fontId="34" type="noConversion"/>
  </si>
  <si>
    <t>A2l</t>
    <phoneticPr fontId="34" type="noConversion"/>
  </si>
  <si>
    <t>YU2l</t>
    <phoneticPr fontId="34" type="noConversion"/>
  </si>
  <si>
    <t>YL2l</t>
    <phoneticPr fontId="34" type="noConversion"/>
  </si>
  <si>
    <t>SU2l</t>
    <phoneticPr fontId="34" type="noConversion"/>
  </si>
  <si>
    <t>SL2l</t>
    <phoneticPr fontId="34" type="noConversion"/>
  </si>
  <si>
    <t>A3s</t>
    <phoneticPr fontId="34" type="noConversion"/>
  </si>
  <si>
    <t>YU3s</t>
    <phoneticPr fontId="34" type="noConversion"/>
  </si>
  <si>
    <t>YL3s</t>
    <phoneticPr fontId="34" type="noConversion"/>
  </si>
  <si>
    <t>SU3s</t>
    <phoneticPr fontId="34" type="noConversion"/>
  </si>
  <si>
    <t>SL3s</t>
    <phoneticPr fontId="34" type="noConversion"/>
  </si>
  <si>
    <t>A3l</t>
    <phoneticPr fontId="34" type="noConversion"/>
  </si>
  <si>
    <t>YU3l</t>
    <phoneticPr fontId="34" type="noConversion"/>
  </si>
  <si>
    <t>YL3l</t>
    <phoneticPr fontId="34" type="noConversion"/>
  </si>
  <si>
    <t>SU3l</t>
    <phoneticPr fontId="34" type="noConversion"/>
  </si>
  <si>
    <t>SL3l</t>
    <phoneticPr fontId="34" type="noConversion"/>
  </si>
  <si>
    <t>A4s</t>
    <phoneticPr fontId="34" type="noConversion"/>
  </si>
  <si>
    <t>YU4s</t>
    <phoneticPr fontId="34" type="noConversion"/>
  </si>
  <si>
    <t>YL4s</t>
    <phoneticPr fontId="34" type="noConversion"/>
  </si>
  <si>
    <t>SU4s</t>
    <phoneticPr fontId="34" type="noConversion"/>
  </si>
  <si>
    <t>SL4s</t>
    <phoneticPr fontId="34" type="noConversion"/>
  </si>
  <si>
    <t>A4l</t>
    <phoneticPr fontId="34" type="noConversion"/>
  </si>
  <si>
    <t>YU4l</t>
    <phoneticPr fontId="34" type="noConversion"/>
  </si>
  <si>
    <t>YL4l</t>
    <phoneticPr fontId="34" type="noConversion"/>
  </si>
  <si>
    <t>SU4l</t>
    <phoneticPr fontId="34" type="noConversion"/>
  </si>
  <si>
    <t>SL4l</t>
    <phoneticPr fontId="34" type="noConversion"/>
  </si>
  <si>
    <t>SU2s</t>
    <phoneticPr fontId="34" type="noConversion"/>
  </si>
  <si>
    <t>SL2s</t>
    <phoneticPr fontId="34" type="noConversion"/>
  </si>
  <si>
    <t>SU2l</t>
    <phoneticPr fontId="34" type="noConversion"/>
  </si>
  <si>
    <t>SL2l</t>
    <phoneticPr fontId="34" type="noConversion"/>
  </si>
  <si>
    <t>SU3s</t>
    <phoneticPr fontId="34" type="noConversion"/>
  </si>
  <si>
    <t>SL3s</t>
    <phoneticPr fontId="34" type="noConversion"/>
  </si>
  <si>
    <t>SU3l</t>
    <phoneticPr fontId="34" type="noConversion"/>
  </si>
  <si>
    <t>SL3l</t>
    <phoneticPr fontId="34" type="noConversion"/>
  </si>
  <si>
    <t>SU4s</t>
    <phoneticPr fontId="34" type="noConversion"/>
  </si>
  <si>
    <t>SL4s</t>
    <phoneticPr fontId="34" type="noConversion"/>
  </si>
  <si>
    <t>SU4l</t>
    <phoneticPr fontId="34" type="noConversion"/>
  </si>
  <si>
    <t>SL4l</t>
    <phoneticPr fontId="34" type="noConversion"/>
  </si>
  <si>
    <t>Top      =    - DC4 / SU3l</t>
    <phoneticPr fontId="34" type="noConversion"/>
  </si>
  <si>
    <t>Bottom =      DC4 / SL3l</t>
    <phoneticPr fontId="34" type="noConversion"/>
  </si>
  <si>
    <t>Top      =    - DW / SU3l</t>
    <phoneticPr fontId="34" type="noConversion"/>
  </si>
  <si>
    <t>Bottom =      DW / SL3l</t>
    <phoneticPr fontId="34" type="noConversion"/>
  </si>
  <si>
    <t>Top      =    - LLmax / SU3s</t>
    <phoneticPr fontId="34" type="noConversion"/>
  </si>
  <si>
    <t>Bottom =     LLmax / SL3s</t>
    <phoneticPr fontId="34" type="noConversion"/>
  </si>
  <si>
    <t>Top      =    - LLmin / SU3s</t>
    <phoneticPr fontId="34" type="noConversion"/>
  </si>
  <si>
    <t>Bottom =     LLmin / SL3s</t>
    <phoneticPr fontId="34" type="noConversion"/>
  </si>
  <si>
    <t>Top      =    - DC3 / SU2s</t>
    <phoneticPr fontId="34" type="noConversion"/>
  </si>
  <si>
    <t>Bottom =      DC3 / SL2s</t>
    <phoneticPr fontId="34" type="noConversion"/>
  </si>
  <si>
    <t>Top      =    - DC3 / SU2l</t>
    <phoneticPr fontId="34" type="noConversion"/>
  </si>
  <si>
    <t>Bottom =      DC3 / SL2l</t>
    <phoneticPr fontId="34" type="noConversion"/>
  </si>
  <si>
    <t>Top      =    - DC4 / SU4l</t>
    <phoneticPr fontId="34" type="noConversion"/>
  </si>
  <si>
    <t>Bottom =      DC4 / SL4l</t>
    <phoneticPr fontId="34" type="noConversion"/>
  </si>
  <si>
    <t>Top      =    - DW / SU4l</t>
    <phoneticPr fontId="34" type="noConversion"/>
  </si>
  <si>
    <t>Bottom =      DW / SL4l</t>
    <phoneticPr fontId="34" type="noConversion"/>
  </si>
  <si>
    <t>Top      =    - LLmax / SU4s</t>
    <phoneticPr fontId="34" type="noConversion"/>
  </si>
  <si>
    <t>Bottom =     LLmax / SL4s</t>
    <phoneticPr fontId="34" type="noConversion"/>
  </si>
  <si>
    <t>Top      =    - LLmin / SU4s</t>
    <phoneticPr fontId="34" type="noConversion"/>
  </si>
  <si>
    <t>Bottom =     LLmin / SL4s</t>
    <phoneticPr fontId="34" type="noConversion"/>
  </si>
  <si>
    <t>tanα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</si>
  <si>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•b•25kN/m</t>
    </r>
    <r>
      <rPr>
        <vertAlign val="superscript"/>
        <sz val="9"/>
        <rFont val="맑은 고딕"/>
        <family val="3"/>
        <charset val="129"/>
      </rPr>
      <t>3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</si>
  <si>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nc_LTB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</si>
  <si>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</si>
  <si>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</si>
  <si>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r>
      <t>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, H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</si>
  <si>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t>tanθ</t>
    <phoneticPr fontId="34" type="noConversion"/>
  </si>
  <si>
    <t>cosθ</t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</si>
  <si>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bot1</t>
    </r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</si>
  <si>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bot2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</si>
  <si>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top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</si>
  <si>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cp</t>
    </r>
    <phoneticPr fontId="34" type="noConversion"/>
  </si>
  <si>
    <t>소성모멘트 적용 시 압축을 받는 웨브의 높이</t>
    <phoneticPr fontId="34" type="noConversion"/>
  </si>
  <si>
    <t>극한 I 합계</t>
    <phoneticPr fontId="34" type="noConversion"/>
  </si>
  <si>
    <t xml:space="preserve">n = </t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</si>
  <si>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rebar</t>
    </r>
    <phoneticPr fontId="34" type="noConversion"/>
  </si>
  <si>
    <t>Hw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</si>
  <si>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</si>
  <si>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t>Table 7.1.1. Calculation of flange lateral bending moments</t>
    <phoneticPr fontId="34" type="noConversion"/>
  </si>
  <si>
    <t>Table 7.1.2. Checking flange lateral bending stress</t>
    <phoneticPr fontId="34" type="noConversion"/>
  </si>
  <si>
    <r>
      <t>Table 7.1.3. Calculation of R</t>
    </r>
    <r>
      <rPr>
        <i/>
        <vertAlign val="subscript"/>
        <sz val="9"/>
        <rFont val="맑은 고딕"/>
        <family val="3"/>
        <charset val="129"/>
      </rPr>
      <t>h</t>
    </r>
    <phoneticPr fontId="34" type="noConversion"/>
  </si>
  <si>
    <r>
      <t>Table 7.1.4. Calculation of F</t>
    </r>
    <r>
      <rPr>
        <i/>
        <vertAlign val="subscript"/>
        <sz val="9"/>
        <rFont val="맑은 고딕"/>
        <family val="3"/>
        <charset val="129"/>
      </rPr>
      <t>nc</t>
    </r>
    <r>
      <rPr>
        <i/>
        <sz val="9"/>
        <rFont val="맑은 고딕"/>
        <family val="3"/>
        <charset val="129"/>
      </rPr>
      <t xml:space="preserve"> (for Open - Compression Flange)</t>
    </r>
    <phoneticPr fontId="34" type="noConversion"/>
  </si>
  <si>
    <t>Table 7.1.5. Calculation of Δ</t>
    <phoneticPr fontId="34" type="noConversion"/>
  </si>
  <si>
    <t>Table 7.1.6. Calculation of k, ks (for Box - Compression Flange)</t>
    <phoneticPr fontId="34" type="noConversion"/>
  </si>
  <si>
    <r>
      <t>Table 7.1.7. Calculation of F</t>
    </r>
    <r>
      <rPr>
        <i/>
        <vertAlign val="subscript"/>
        <sz val="9"/>
        <rFont val="맑은 고딕"/>
        <family val="3"/>
        <charset val="129"/>
      </rPr>
      <t>nc</t>
    </r>
    <r>
      <rPr>
        <i/>
        <sz val="9"/>
        <rFont val="맑은 고딕"/>
        <family val="3"/>
        <charset val="129"/>
      </rPr>
      <t xml:space="preserve"> for Box - Compression Flange</t>
    </r>
    <phoneticPr fontId="34" type="noConversion"/>
  </si>
  <si>
    <t>Table 7.1.10. Checking web bend-buckling resistance</t>
    <phoneticPr fontId="34" type="noConversion"/>
  </si>
  <si>
    <t>Table 7.1.11. Checking web shear</t>
    <phoneticPr fontId="34" type="noConversion"/>
  </si>
  <si>
    <r>
      <t>Table 7.2.1. Calculation Y</t>
    </r>
    <r>
      <rPr>
        <i/>
        <vertAlign val="subscript"/>
        <sz val="9"/>
        <rFont val="맑은 고딕"/>
        <family val="3"/>
        <charset val="129"/>
      </rPr>
      <t>PNA</t>
    </r>
    <r>
      <rPr>
        <i/>
        <sz val="9"/>
        <rFont val="맑은 고딕"/>
        <family val="3"/>
        <charset val="129"/>
      </rPr>
      <t xml:space="preserve"> and Mp for plastic moment</t>
    </r>
    <phoneticPr fontId="34" type="noConversion"/>
  </si>
  <si>
    <r>
      <t>Table 7.2.2. Calculation of Yield moment M</t>
    </r>
    <r>
      <rPr>
        <i/>
        <vertAlign val="subscript"/>
        <sz val="9"/>
        <rFont val="맑은 고딕"/>
        <family val="3"/>
        <charset val="129"/>
      </rPr>
      <t xml:space="preserve">y </t>
    </r>
    <r>
      <rPr>
        <i/>
        <sz val="9"/>
        <rFont val="맑은 고딕"/>
        <family val="3"/>
        <charset val="129"/>
      </rPr>
      <t>(1/2)</t>
    </r>
    <phoneticPr fontId="34" type="noConversion"/>
  </si>
  <si>
    <r>
      <t>Table 7.2.2. Calculation of Yield moment M</t>
    </r>
    <r>
      <rPr>
        <i/>
        <vertAlign val="subscript"/>
        <sz val="9"/>
        <rFont val="맑은 고딕"/>
        <family val="3"/>
        <charset val="129"/>
      </rPr>
      <t xml:space="preserve">y </t>
    </r>
    <r>
      <rPr>
        <i/>
        <sz val="9"/>
        <rFont val="맑은 고딕"/>
        <family val="3"/>
        <charset val="129"/>
      </rPr>
      <t>(2/2)</t>
    </r>
    <phoneticPr fontId="34" type="noConversion"/>
  </si>
  <si>
    <t>Table 7.2.3. Checking Ductility Requirement</t>
    <phoneticPr fontId="34" type="noConversion"/>
  </si>
  <si>
    <t>D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</si>
  <si>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h</t>
    </r>
    <phoneticPr fontId="34" type="noConversion"/>
  </si>
  <si>
    <t>Table 7.2.4. Checking concrete stress</t>
    <phoneticPr fontId="34" type="noConversion"/>
  </si>
  <si>
    <r>
      <t>Table 7.2.5. Calculation of  box girder enclosed area A</t>
    </r>
    <r>
      <rPr>
        <i/>
        <vertAlign val="subscript"/>
        <sz val="9"/>
        <rFont val="맑은 고딕"/>
        <family val="3"/>
        <charset val="129"/>
      </rPr>
      <t>0_NC</t>
    </r>
    <r>
      <rPr>
        <i/>
        <sz val="9"/>
        <rFont val="맑은 고딕"/>
        <family val="3"/>
        <charset val="129"/>
      </rPr>
      <t xml:space="preserve"> (noncomposite) and A</t>
    </r>
    <r>
      <rPr>
        <i/>
        <vertAlign val="subscript"/>
        <sz val="9"/>
        <rFont val="맑은 고딕"/>
        <family val="3"/>
        <charset val="129"/>
      </rPr>
      <t>0_C</t>
    </r>
    <r>
      <rPr>
        <i/>
        <sz val="9"/>
        <rFont val="맑은 고딕"/>
        <family val="3"/>
        <charset val="129"/>
      </rPr>
      <t xml:space="preserve"> (composite)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</si>
  <si>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top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</si>
  <si>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top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</si>
  <si>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</si>
  <si>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</si>
  <si>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h</t>
    </r>
    <phoneticPr fontId="34" type="noConversion"/>
  </si>
  <si>
    <t>Table 7.2.6. Calculation of Δ</t>
    <phoneticPr fontId="34" type="noConversion"/>
  </si>
  <si>
    <t>Table 7.3.1. Checking flange stress</t>
    <phoneticPr fontId="34" type="noConversion"/>
  </si>
  <si>
    <t>Table 7.4.1. Checking load-induced fatigue</t>
    <phoneticPr fontId="34" type="noConversion"/>
  </si>
  <si>
    <t>Table 7.4.2. Checking web shear</t>
    <phoneticPr fontId="34" type="noConversion"/>
  </si>
  <si>
    <t>Table 6.3.1. Frame element forces (moment) (1/3)</t>
    <phoneticPr fontId="34" type="noConversion"/>
  </si>
  <si>
    <t>Table 6.3.1. Frame element foces (shear) (2/3)</t>
    <phoneticPr fontId="34" type="noConversion"/>
  </si>
  <si>
    <t>Table 6.3.1. Frame element foces (torsion) (3/3)</t>
    <phoneticPr fontId="34" type="noConversion"/>
  </si>
  <si>
    <r>
      <t>Table 6.3.2. Calculation of elastic section modulus</t>
    </r>
    <r>
      <rPr>
        <i/>
        <sz val="8.8000000000000007"/>
        <rFont val="맑은 고딕"/>
        <family val="3"/>
        <charset val="129"/>
      </rPr>
      <t xml:space="preserve"> (</t>
    </r>
    <r>
      <rPr>
        <i/>
        <sz val="9"/>
        <rFont val="맑은 고딕"/>
        <family val="3"/>
        <charset val="129"/>
      </rPr>
      <t>단면계수)</t>
    </r>
    <phoneticPr fontId="34" type="noConversion"/>
  </si>
  <si>
    <r>
      <t>Table 6.3.3. Calcualtion stress (</t>
    </r>
    <r>
      <rPr>
        <i/>
        <sz val="9.5500000000000007"/>
        <rFont val="맑은 고딕"/>
        <family val="3"/>
        <charset val="129"/>
      </rPr>
      <t>내부 con'c 미유효 및 바닥판 유효) for Positive moment</t>
    </r>
    <phoneticPr fontId="34" type="noConversion"/>
  </si>
  <si>
    <r>
      <rPr>
        <i/>
        <sz val="9"/>
        <rFont val="맑은 고딕"/>
        <family val="3"/>
        <charset val="129"/>
        <scheme val="major"/>
      </rPr>
      <t>Table 6.3.4. Calculation Stress</t>
    </r>
    <r>
      <rPr>
        <i/>
        <sz val="9.5500000000000007"/>
        <rFont val="맑은 고딕"/>
        <family val="3"/>
        <charset val="129"/>
      </rPr>
      <t xml:space="preserve"> (내부 con'c 유효 및 바닥판 미유효) for Negative moment</t>
    </r>
    <phoneticPr fontId="34" type="noConversion"/>
  </si>
  <si>
    <r>
      <rPr>
        <b/>
        <sz val="9"/>
        <rFont val="Symbol"/>
        <family val="1"/>
        <charset val="2"/>
      </rPr>
      <t>·</t>
    </r>
    <r>
      <rPr>
        <b/>
        <sz val="9.5500000000000007"/>
        <rFont val="맑은 고딕"/>
        <family val="3"/>
        <charset val="129"/>
      </rPr>
      <t xml:space="preserve"> 누적응력 집계표 (Mpa)</t>
    </r>
    <phoneticPr fontId="34" type="noConversion"/>
  </si>
  <si>
    <t>Table 5.1.1. Calculation of effective width</t>
    <phoneticPr fontId="34" type="noConversion"/>
  </si>
  <si>
    <t>(강.설 4.3-243)</t>
    <phoneticPr fontId="34" type="noConversion"/>
  </si>
  <si>
    <t>(강.설 4.3-244)</t>
    <phoneticPr fontId="34" type="noConversion"/>
  </si>
  <si>
    <t>DW</t>
    <phoneticPr fontId="34" type="noConversion"/>
  </si>
  <si>
    <t>FL</t>
    <phoneticPr fontId="34" type="noConversion"/>
  </si>
  <si>
    <t>TU</t>
    <phoneticPr fontId="34" type="noConversion"/>
  </si>
  <si>
    <t>SD</t>
    <phoneticPr fontId="34" type="noConversion"/>
  </si>
  <si>
    <t>PS</t>
    <phoneticPr fontId="34" type="noConversion"/>
  </si>
  <si>
    <t>포장 (장기)</t>
    <phoneticPr fontId="34" type="noConversion"/>
  </si>
  <si>
    <t>Deck (단기)</t>
    <phoneticPr fontId="34" type="noConversion"/>
  </si>
  <si>
    <t>Deck (정기)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</si>
  <si>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 xml:space="preserve">l </t>
    </r>
    <r>
      <rPr>
        <b/>
        <sz val="9"/>
        <rFont val="맑은 고딕"/>
        <family val="3"/>
        <charset val="129"/>
      </rPr>
      <t>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</si>
  <si>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>/3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</si>
  <si>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</si>
  <si>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</si>
  <si>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yt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</si>
  <si>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  <r>
      <rPr>
        <b/>
        <sz val="9"/>
        <rFont val="맑은 고딕"/>
        <family val="3"/>
        <charset val="129"/>
      </rPr>
      <t>Δ</t>
    </r>
    <phoneticPr fontId="34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</si>
  <si>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34" type="noConversion"/>
  </si>
  <si>
    <r>
      <t>★</t>
    </r>
    <r>
      <rPr>
        <sz val="9.5500000000000007"/>
        <rFont val="맑은 고딕"/>
        <family val="3"/>
        <charset val="129"/>
      </rPr>
      <t xml:space="preserve"> Moment due to horizontal component of web shear</t>
    </r>
    <phoneticPr fontId="34" type="noConversion"/>
  </si>
  <si>
    <r>
      <rPr>
        <sz val="9"/>
        <rFont val="바탕"/>
        <family val="1"/>
        <charset val="129"/>
      </rPr>
      <t>★</t>
    </r>
    <r>
      <rPr>
        <sz val="9.5500000000000007"/>
        <rFont val="맑은 고딕"/>
        <family val="3"/>
        <charset val="129"/>
      </rPr>
      <t xml:space="preserve"> Moment due to overhang wet concrete loading</t>
    </r>
    <phoneticPr fontId="34" type="noConversion"/>
  </si>
  <si>
    <r>
      <rPr>
        <sz val="9"/>
        <rFont val="바탕"/>
        <family val="1"/>
        <charset val="129"/>
      </rPr>
      <t>★</t>
    </r>
    <r>
      <rPr>
        <sz val="9.5500000000000007"/>
        <rFont val="맑은 고딕"/>
        <family val="3"/>
        <charset val="129"/>
      </rPr>
      <t xml:space="preserve"> Moment due to overhang form loads</t>
    </r>
    <phoneticPr fontId="34" type="noConversion"/>
  </si>
  <si>
    <r>
      <rPr>
        <sz val="9"/>
        <rFont val="바탕"/>
        <family val="1"/>
        <charset val="129"/>
      </rPr>
      <t>★</t>
    </r>
    <r>
      <rPr>
        <sz val="9.5500000000000007"/>
        <rFont val="맑은 고딕"/>
        <family val="3"/>
        <charset val="129"/>
      </rPr>
      <t xml:space="preserve"> Moment due to curvature</t>
    </r>
    <phoneticPr fontId="34" type="noConversion"/>
  </si>
  <si>
    <t>★</t>
    <phoneticPr fontId="34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</si>
  <si>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, 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= 1.0: 휨, 전단에 대한 강도저항계수</t>
    </r>
    <phoneticPr fontId="34" type="noConversion"/>
  </si>
  <si>
    <r>
      <t>[12+β(3ρ  -ρ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)]/(12 + 2β)</t>
    </r>
    <phoneticPr fontId="34" type="noConversion"/>
  </si>
  <si>
    <r>
      <t>ρ = 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4" type="noConversion"/>
  </si>
  <si>
    <r>
      <t>β = 2D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/A</t>
    </r>
    <r>
      <rPr>
        <vertAlign val="subscript"/>
        <sz val="9"/>
        <rFont val="맑은 고딕"/>
        <family val="3"/>
        <charset val="129"/>
      </rPr>
      <t>fn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</si>
  <si>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= 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/2t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</si>
  <si>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 xml:space="preserve"> = 0.38√(E/F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</si>
  <si>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rf</t>
    </r>
    <r>
      <rPr>
        <sz val="9"/>
        <rFont val="맑은 고딕"/>
        <family val="3"/>
        <charset val="129"/>
      </rPr>
      <t xml:space="preserve"> = 0.56√(E/F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</si>
  <si>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≤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</si>
  <si>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1.0r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</si>
  <si>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πr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</si>
  <si>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</si>
  <si>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Δ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</si>
  <si>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</si>
  <si>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r>
      <t>0.9ER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k/λ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</si>
  <si>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</si>
  <si>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&lt; 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1.40(Ek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) </t>
    </r>
    <phoneticPr fontId="34" type="noConversion"/>
  </si>
  <si>
    <r>
      <t>0.65√(F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</si>
  <si>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&gt;</t>
    </r>
    <r>
      <rPr>
        <sz val="9"/>
        <rFont val="맑은 고딕"/>
        <family val="3"/>
        <charset val="129"/>
      </rPr>
      <t xml:space="preserve"> 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</si>
  <si>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0.9Ek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</si>
  <si>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1.0 ≤ [8I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맑은 고딕"/>
        <family val="3"/>
        <charset val="129"/>
      </rPr>
      <t>≤ 4.0</t>
    </r>
    <phoneticPr fontId="34" type="noConversion"/>
  </si>
  <si>
    <r>
      <t>1.0 ≤ [0.894I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맑은 고딕"/>
        <family val="3"/>
        <charset val="129"/>
      </rPr>
      <t>≤ 4.0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</si>
  <si>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 xml:space="preserve">l </t>
    </r>
    <r>
      <rPr>
        <b/>
        <sz val="9"/>
        <rFont val="맑은 고딕"/>
        <family val="3"/>
        <charset val="129"/>
      </rPr>
      <t>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</si>
  <si>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>/3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</si>
  <si>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4" type="noConversion"/>
  </si>
  <si>
    <r>
      <t>≤ 5.7√(E/F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</si>
  <si>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&gt; 5.7√(E/F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</si>
  <si>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≤ smaller (R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and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/0.7)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</si>
  <si>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≥ 0.4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</si>
  <si>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&lt;</t>
    </r>
    <r>
      <rPr>
        <sz val="9"/>
        <rFont val="맑은 고딕"/>
        <family val="3"/>
        <charset val="129"/>
      </rPr>
      <t xml:space="preserve"> 0.4</t>
    </r>
    <phoneticPr fontId="34" type="noConversion"/>
  </si>
  <si>
    <r>
      <t>5.17/(d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≥ 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</si>
  <si>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4" type="noConversion"/>
  </si>
  <si>
    <r>
      <t>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 &lt; 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 xml:space="preserve">) </t>
    </r>
    <phoneticPr fontId="34" type="noConversion"/>
  </si>
  <si>
    <r>
      <t>1.12/(D/t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4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</si>
  <si>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&gt;</t>
    </r>
    <r>
      <rPr>
        <sz val="9"/>
        <rFont val="맑은 고딕"/>
        <family val="3"/>
        <charset val="129"/>
      </rPr>
      <t xml:space="preserve">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4" type="noConversion"/>
  </si>
  <si>
    <r>
      <t>1.57(Ek/F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</si>
  <si>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≤ 0.42D</t>
    </r>
    <r>
      <rPr>
        <b/>
        <vertAlign val="subscript"/>
        <sz val="9"/>
        <rFont val="맑은 고딕"/>
        <family val="3"/>
        <charset val="129"/>
      </rPr>
      <t>t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</si>
  <si>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deck</t>
    </r>
    <r>
      <rPr>
        <b/>
        <sz val="9"/>
        <rFont val="맑은 고딕"/>
        <family val="3"/>
        <charset val="129"/>
      </rPr>
      <t xml:space="preserve"> ≤ 0.6f'</t>
    </r>
    <r>
      <rPr>
        <b/>
        <vertAlign val="subscript"/>
        <sz val="9"/>
        <rFont val="맑은 고딕"/>
        <family val="3"/>
        <charset val="129"/>
      </rPr>
      <t>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</si>
  <si>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</si>
  <si>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  <phoneticPr fontId="34" type="noConversion"/>
  </si>
  <si>
    <r>
      <t>M</t>
    </r>
    <r>
      <rPr>
        <b/>
        <vertAlign val="subscript"/>
        <sz val="9"/>
        <rFont val="맑은 고딕"/>
        <family val="3"/>
        <charset val="129"/>
      </rPr>
      <t>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  <scheme val="major"/>
      </rPr>
      <t>f</t>
    </r>
    <r>
      <rPr>
        <b/>
        <sz val="9"/>
        <rFont val="맑은 고딕"/>
        <family val="3"/>
        <charset val="129"/>
      </rPr>
      <t>M</t>
    </r>
    <r>
      <rPr>
        <b/>
        <vertAlign val="subscript"/>
        <sz val="9"/>
        <rFont val="맑은 고딕"/>
        <family val="3"/>
        <charset val="129"/>
      </rPr>
      <t>n</t>
    </r>
    <phoneticPr fontId="34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</si>
  <si>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34" type="noConversion"/>
  </si>
  <si>
    <r>
      <t>∑P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</si>
  <si>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t>Total area of rebar in bottom concrete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</si>
  <si>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</si>
  <si>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</si>
  <si>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Y = c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</si>
  <si>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Y = 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</si>
  <si>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</si>
  <si>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</si>
  <si>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t>dr</t>
    <phoneticPr fontId="34" type="noConversion"/>
  </si>
  <si>
    <t>=</t>
    <phoneticPr fontId="34" type="noConversion"/>
  </si>
  <si>
    <t>Hc/2</t>
    <phoneticPr fontId="34" type="noConversion"/>
  </si>
  <si>
    <t>Distance from bottom concrete rebar to PNA</t>
    <phoneticPr fontId="34" type="noConversion"/>
  </si>
  <si>
    <r>
      <rPr>
        <b/>
        <sz val="11"/>
        <rFont val="맑은 고딕"/>
        <family val="3"/>
        <charset val="129"/>
      </rPr>
      <t>∑</t>
    </r>
    <r>
      <rPr>
        <b/>
        <sz val="11"/>
        <rFont val="돋움"/>
        <family val="3"/>
        <charset val="129"/>
      </rPr>
      <t>Pr</t>
    </r>
    <phoneticPr fontId="34" type="noConversion"/>
  </si>
  <si>
    <t>∑Pr</t>
    <phoneticPr fontId="34" type="noConversion"/>
  </si>
  <si>
    <t>dr</t>
    <phoneticPr fontId="34" type="noConversion"/>
  </si>
  <si>
    <t>dsb</t>
    <phoneticPr fontId="34" type="noConversion"/>
  </si>
  <si>
    <t>dst</t>
    <phoneticPr fontId="34" type="noConversion"/>
  </si>
  <si>
    <t>to Mp</t>
    <phoneticPr fontId="34" type="noConversion"/>
  </si>
  <si>
    <t>Compare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</si>
  <si>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</si>
  <si>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  <phoneticPr fontId="34" type="noConversion"/>
  </si>
  <si>
    <r>
      <t>[12+</t>
    </r>
    <r>
      <rPr>
        <sz val="9"/>
        <rFont val="Calibri"/>
        <family val="3"/>
        <charset val="161"/>
      </rPr>
      <t>β</t>
    </r>
    <r>
      <rPr>
        <sz val="9"/>
        <rFont val="맑은 고딕"/>
        <family val="3"/>
        <charset val="129"/>
      </rPr>
      <t>(3</t>
    </r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>-</t>
    </r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>³)]/(12+2</t>
    </r>
    <r>
      <rPr>
        <sz val="9"/>
        <rFont val="Calibri"/>
        <family val="3"/>
        <charset val="161"/>
      </rPr>
      <t>β</t>
    </r>
    <r>
      <rPr>
        <sz val="9"/>
        <rFont val="맑은 고딕"/>
        <family val="3"/>
        <charset val="129"/>
      </rPr>
      <t>)</t>
    </r>
    <phoneticPr fontId="34" type="noConversion"/>
  </si>
  <si>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 xml:space="preserve"> = 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4" type="noConversion"/>
  </si>
  <si>
    <r>
      <rPr>
        <sz val="9"/>
        <rFont val="Calibri"/>
        <family val="3"/>
        <charset val="161"/>
      </rPr>
      <t>β</t>
    </r>
    <r>
      <rPr>
        <sz val="9"/>
        <rFont val="맑은 고딕"/>
        <family val="3"/>
        <charset val="129"/>
      </rPr>
      <t xml:space="preserve"> = 2D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/A</t>
    </r>
    <r>
      <rPr>
        <vertAlign val="subscript"/>
        <sz val="9"/>
        <rFont val="맑은 고딕"/>
        <family val="3"/>
        <charset val="129"/>
      </rPr>
      <t>fn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</si>
  <si>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/(2t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 ≤ 12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</si>
  <si>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D/6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</si>
  <si>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≥ 1.1t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</si>
  <si>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0.95√(Ek/F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</si>
  <si>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</t>
    </r>
    <r>
      <rPr>
        <sz val="9"/>
        <rFont val="Symbol"/>
        <family val="1"/>
        <charset val="2"/>
      </rPr>
      <t xml:space="preserve">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rw</t>
    </r>
    <phoneticPr fontId="34" type="noConversion"/>
  </si>
  <si>
    <r>
      <t>5.17/(d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²</t>
    </r>
    <r>
      <rPr>
        <sz val="9"/>
        <rFont val="맑은 고딕"/>
        <family val="3"/>
        <charset val="129"/>
      </rPr>
      <t xml:space="preserve"> ≥ 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/D)²</t>
    </r>
    <phoneticPr fontId="34" type="noConversion"/>
  </si>
  <si>
    <r>
      <t>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²</t>
    </r>
    <phoneticPr fontId="34" type="noConversion"/>
  </si>
  <si>
    <r>
      <t>11.64/[(D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-d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)/D]</t>
    </r>
    <r>
      <rPr>
        <vertAlign val="superscript"/>
        <sz val="9"/>
        <rFont val="맑은 고딕"/>
        <family val="3"/>
        <charset val="129"/>
      </rPr>
      <t>²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</si>
  <si>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rw</t>
    </r>
    <r>
      <rPr>
        <sz val="9"/>
        <rFont val="맑은 고딕"/>
        <family val="3"/>
        <charset val="129"/>
      </rPr>
      <t xml:space="preserve">  = 5.7 </t>
    </r>
    <r>
      <rPr>
        <sz val="9"/>
        <rFont val="Cambria Math"/>
        <family val="3"/>
      </rPr>
      <t>√</t>
    </r>
    <r>
      <rPr>
        <sz val="9"/>
        <rFont val="맑은 고딕"/>
        <family val="3"/>
        <charset val="129"/>
      </rPr>
      <t>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</si>
  <si>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t>λf ≤ λp</t>
  </si>
  <si>
    <t>λp &lt; λf ≤ λr</t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</si>
  <si>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&lt;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</si>
  <si>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Calibri"/>
        <family val="3"/>
        <charset val="161"/>
      </rPr>
      <t>Δ</t>
    </r>
    <phoneticPr fontId="34" type="noConversion"/>
  </si>
  <si>
    <r>
      <t>0.9ER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k/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²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</si>
  <si>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&lt;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</si>
  <si>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t>λf ≤ 1.12√(Eks/Fyc)</t>
  </si>
  <si>
    <r>
      <t xml:space="preserve">1.12√(Eks/Fyc) &lt; </t>
    </r>
    <r>
      <rPr>
        <sz val="9"/>
        <rFont val="Calibri"/>
        <family val="3"/>
        <charset val="161"/>
      </rPr>
      <t>λ</t>
    </r>
    <r>
      <rPr>
        <sz val="9"/>
        <rFont val="맑은 고딕"/>
        <family val="3"/>
        <charset val="129"/>
      </rPr>
      <t xml:space="preserve">f ≤ 1.40√(Eks/Fyc) </t>
    </r>
    <phoneticPr fontId="34" type="noConversion"/>
  </si>
  <si>
    <t>λf &gt; 1.40√(Eks/Fyc)</t>
  </si>
  <si>
    <t>0.65√(FycEks)/λf</t>
  </si>
  <si>
    <r>
      <t>0.9Ek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²</t>
    </r>
    <phoneticPr fontId="34" type="noConversion"/>
  </si>
  <si>
    <r>
      <t>w = max(w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, w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) 압축플랜지의 종방향보강재 사이 폭 또는 웨브로부터 </t>
    </r>
    <phoneticPr fontId="34" type="noConversion"/>
  </si>
  <si>
    <t>가장 가까운종방향보강재까지의 거리 중 큰 값</t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</si>
  <si>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Calibri"/>
        <family val="3"/>
        <charset val="161"/>
      </rPr>
      <t>Δ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</si>
  <si>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</si>
  <si>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</si>
  <si>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</si>
  <si>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</si>
  <si>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  <phoneticPr fontId="34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</si>
  <si>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</si>
  <si>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r>
      <rPr>
        <sz val="9"/>
        <rFont val="맑은 고딕"/>
        <family val="3"/>
        <charset val="129"/>
      </rPr>
      <t xml:space="preserve"> = 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/cos</t>
    </r>
    <r>
      <rPr>
        <sz val="9"/>
        <rFont val="Calibri"/>
        <family val="3"/>
        <charset val="161"/>
      </rPr>
      <t>θ</t>
    </r>
    <phoneticPr fontId="34" type="noConversion"/>
  </si>
  <si>
    <t>D/tw ≤ 1.12√(Ek/Fyw)</t>
  </si>
  <si>
    <t xml:space="preserve">1.12√(Ek/Fyw) &lt; D/tw ≤ 1.40√(Ek/Fyw) </t>
  </si>
  <si>
    <t>D/tw &gt; 1.40√(Ek/Fyw)</t>
  </si>
  <si>
    <t>1.12/(D/tw)√(Ek/Fyw)</t>
  </si>
  <si>
    <r>
      <t>1.57(Ek/F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)²</t>
    </r>
    <phoneticPr fontId="34" type="noConversion"/>
  </si>
  <si>
    <r>
      <t>5+5/(d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>/D)²</t>
    </r>
    <phoneticPr fontId="34" type="noConversion"/>
  </si>
  <si>
    <t>γ(Δf) ≤ (ΔF)n</t>
  </si>
  <si>
    <t>γ</t>
    <phoneticPr fontId="34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</si>
  <si>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phoneticPr fontId="34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</si>
  <si>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r>
      <rPr>
        <vertAlign val="subscript"/>
        <sz val="8.65"/>
        <rFont val="맑은 고딕"/>
        <family val="3"/>
        <charset val="129"/>
      </rPr>
      <t>n</t>
    </r>
    <phoneticPr fontId="34" type="noConversion"/>
  </si>
  <si>
    <r>
      <t>(N</t>
    </r>
    <r>
      <rPr>
        <vertAlign val="subscript"/>
        <sz val="9"/>
        <rFont val="맑은 고딕"/>
        <family val="3"/>
        <charset val="129"/>
      </rPr>
      <t>TH</t>
    </r>
    <r>
      <rPr>
        <sz val="9"/>
        <rFont val="맑은 고딕"/>
        <family val="3"/>
        <charset val="129"/>
      </rPr>
      <t>/N)</t>
    </r>
    <r>
      <rPr>
        <vertAlign val="superscript"/>
        <sz val="9"/>
        <rFont val="맑은 고딕"/>
        <family val="3"/>
        <charset val="129"/>
      </rPr>
      <t>1/3</t>
    </r>
    <r>
      <rPr>
        <sz val="9"/>
        <rFont val="맑은 고딕"/>
        <family val="3"/>
        <charset val="129"/>
      </rPr>
      <t>•(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F)</t>
    </r>
    <r>
      <rPr>
        <vertAlign val="subscript"/>
        <sz val="9"/>
        <rFont val="맑은 고딕"/>
        <family val="3"/>
        <charset val="129"/>
      </rPr>
      <t>TH</t>
    </r>
    <phoneticPr fontId="34" type="noConversion"/>
  </si>
  <si>
    <r>
      <t>(N</t>
    </r>
    <r>
      <rPr>
        <vertAlign val="subscript"/>
        <sz val="9"/>
        <rFont val="맑은 고딕"/>
        <family val="3"/>
        <charset val="129"/>
      </rPr>
      <t>TH</t>
    </r>
    <r>
      <rPr>
        <sz val="9"/>
        <rFont val="맑은 고딕"/>
        <family val="3"/>
        <charset val="129"/>
      </rPr>
      <t>/N)</t>
    </r>
    <r>
      <rPr>
        <vertAlign val="superscript"/>
        <sz val="9"/>
        <rFont val="맑은 고딕"/>
        <family val="3"/>
        <charset val="129"/>
      </rPr>
      <t>1/5</t>
    </r>
    <r>
      <rPr>
        <sz val="9"/>
        <rFont val="맑은 고딕"/>
        <family val="3"/>
        <charset val="129"/>
      </rPr>
      <t>•(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F)</t>
    </r>
    <r>
      <rPr>
        <vertAlign val="subscript"/>
        <sz val="9"/>
        <rFont val="맑은 고딕"/>
        <family val="3"/>
        <charset val="129"/>
      </rPr>
      <t>TH</t>
    </r>
    <phoneticPr fontId="34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</si>
  <si>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r>
      <rPr>
        <vertAlign val="subscript"/>
        <sz val="8.65"/>
        <rFont val="맑은 고딕"/>
        <family val="3"/>
        <charset val="129"/>
      </rPr>
      <t>CL</t>
    </r>
    <phoneticPr fontId="34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</si>
  <si>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r>
      <rPr>
        <vertAlign val="subscript"/>
        <sz val="8.65"/>
        <rFont val="맑은 고딕"/>
        <family val="3"/>
        <charset val="129"/>
      </rPr>
      <t>TH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</si>
  <si>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/2/cos</t>
    </r>
    <r>
      <rPr>
        <sz val="9"/>
        <rFont val="Calibri"/>
        <family val="3"/>
        <charset val="161"/>
      </rPr>
      <t>θ</t>
    </r>
    <phoneticPr fontId="34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</si>
  <si>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&gt;</t>
    </r>
    <r>
      <rPr>
        <sz val="9"/>
        <rFont val="맑은 고딕"/>
        <family val="3"/>
        <charset val="129"/>
      </rPr>
      <t xml:space="preserve">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4" type="noConversion"/>
  </si>
  <si>
    <r>
      <t>1.12/(D/t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4" type="noConversion"/>
  </si>
  <si>
    <r>
      <t>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 &lt; 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 xml:space="preserve">) </t>
    </r>
    <phoneticPr fontId="34" type="noConversion"/>
  </si>
  <si>
    <t>Case</t>
    <phoneticPr fontId="51" type="noConversion"/>
  </si>
  <si>
    <t>LL+IM</t>
    <phoneticPr fontId="34" type="noConversion"/>
  </si>
  <si>
    <t>CR/SH</t>
    <phoneticPr fontId="34" type="noConversion"/>
  </si>
  <si>
    <t xml:space="preserve">Bottom con </t>
    <phoneticPr fontId="34" type="noConversion"/>
  </si>
  <si>
    <t>단기</t>
    <phoneticPr fontId="51" type="noConversion"/>
  </si>
  <si>
    <t>Bottom con</t>
    <phoneticPr fontId="34" type="noConversion"/>
  </si>
  <si>
    <t xml:space="preserve"> 장기</t>
    <phoneticPr fontId="51" type="noConversion"/>
  </si>
  <si>
    <t>Deck slab</t>
    <phoneticPr fontId="51" type="noConversion"/>
  </si>
  <si>
    <t xml:space="preserve"> 단기</t>
    <phoneticPr fontId="51" type="noConversion"/>
  </si>
  <si>
    <t>철근합성</t>
    <phoneticPr fontId="51" type="noConversion"/>
  </si>
  <si>
    <t>LL</t>
    <phoneticPr fontId="51" type="noConversion"/>
  </si>
  <si>
    <t>LL (Fracture)</t>
    <phoneticPr fontId="51" type="noConversion"/>
  </si>
  <si>
    <t>Live-load</t>
    <phoneticPr fontId="51" type="noConversion"/>
  </si>
  <si>
    <r>
      <t>Table 6.3.4. Calcualtion stress for limit states (ex</t>
    </r>
    <r>
      <rPr>
        <sz val="9"/>
        <rFont val="맑은 고딕"/>
        <family val="3"/>
        <charset val="129"/>
      </rPr>
      <t>cept Fatigue limit state)</t>
    </r>
    <phoneticPr fontId="34" type="noConversion"/>
  </si>
  <si>
    <t>bh</t>
    <phoneticPr fontId="34" type="noConversion"/>
  </si>
  <si>
    <t>drt</t>
    <phoneticPr fontId="34" type="noConversion"/>
  </si>
  <si>
    <t>art</t>
    <phoneticPr fontId="34" type="noConversion"/>
  </si>
  <si>
    <t>crt</t>
    <phoneticPr fontId="34" type="noConversion"/>
  </si>
  <si>
    <t>drb</t>
    <phoneticPr fontId="34" type="noConversion"/>
  </si>
  <si>
    <t>arb</t>
    <phoneticPr fontId="34" type="noConversion"/>
  </si>
  <si>
    <t>crb</t>
    <phoneticPr fontId="34" type="noConversion"/>
  </si>
  <si>
    <t>srb</t>
    <phoneticPr fontId="34" type="noConversion"/>
  </si>
  <si>
    <t>fck</t>
    <phoneticPr fontId="72" type="noConversion"/>
  </si>
  <si>
    <t>fcm</t>
    <phoneticPr fontId="72" type="noConversion"/>
  </si>
  <si>
    <r>
      <t>f</t>
    </r>
    <r>
      <rPr>
        <vertAlign val="subscript"/>
        <sz val="9"/>
        <rFont val="맑은 고딕"/>
        <family val="3"/>
        <charset val="129"/>
      </rPr>
      <t>cm</t>
    </r>
    <phoneticPr fontId="72" type="noConversion"/>
  </si>
  <si>
    <t>=</t>
    <phoneticPr fontId="51" type="noConversion"/>
  </si>
  <si>
    <t>MPa</t>
    <phoneticPr fontId="51" type="noConversion"/>
  </si>
  <si>
    <t>A1</t>
  </si>
  <si>
    <t>YU1</t>
  </si>
  <si>
    <t>YL1</t>
  </si>
  <si>
    <t>SU1</t>
  </si>
  <si>
    <t>SL1</t>
  </si>
  <si>
    <t>Ac</t>
    <phoneticPr fontId="34" type="noConversion"/>
  </si>
  <si>
    <t>Ic</t>
    <phoneticPr fontId="34" type="noConversion"/>
  </si>
  <si>
    <t>D, tw</t>
    <phoneticPr fontId="34" type="noConversion"/>
  </si>
  <si>
    <t>yw = D/2 + tb</t>
    <phoneticPr fontId="34" type="noConversion"/>
  </si>
  <si>
    <t>Dt = tt + D + tb</t>
    <phoneticPr fontId="34" type="noConversion"/>
  </si>
  <si>
    <r>
      <t>Iw = [1/(S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+1)]·2·tw·Hw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4" type="noConversion"/>
  </si>
  <si>
    <t>b1, b2</t>
    <phoneticPr fontId="34" type="noConversion"/>
  </si>
  <si>
    <t>b2</t>
    <phoneticPr fontId="34" type="noConversion"/>
  </si>
  <si>
    <t>=</t>
    <phoneticPr fontId="34" type="noConversion"/>
  </si>
  <si>
    <t>b1 + 2Hc∙S</t>
    <phoneticPr fontId="34" type="noConversion"/>
  </si>
  <si>
    <t>Ac = Hc·(b1+b2)/2</t>
    <phoneticPr fontId="34" type="noConversion"/>
  </si>
  <si>
    <t>A1</t>
    <phoneticPr fontId="34" type="noConversion"/>
  </si>
  <si>
    <r>
      <t>Ic = Hc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∙(b1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+4b1∙b2+b2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)/36/(b1+b2)</t>
    </r>
    <phoneticPr fontId="34" type="noConversion"/>
  </si>
  <si>
    <t>A2s</t>
  </si>
  <si>
    <t>YU2s</t>
  </si>
  <si>
    <t>YL2s</t>
  </si>
  <si>
    <t>SU2s</t>
  </si>
  <si>
    <t>SL2s</t>
  </si>
  <si>
    <t>A2l</t>
  </si>
  <si>
    <t>YU2l</t>
  </si>
  <si>
    <t>YL2l</t>
  </si>
  <si>
    <t>SU2l</t>
  </si>
  <si>
    <t>SL2l</t>
  </si>
  <si>
    <t>As</t>
    <phoneticPr fontId="34" type="noConversion"/>
  </si>
  <si>
    <t>Is</t>
    <phoneticPr fontId="34" type="noConversion"/>
  </si>
  <si>
    <t>Ah</t>
    <phoneticPr fontId="34" type="noConversion"/>
  </si>
  <si>
    <t>Ih</t>
    <phoneticPr fontId="34" type="noConversion"/>
  </si>
  <si>
    <t>A3s</t>
  </si>
  <si>
    <t>YU3s</t>
  </si>
  <si>
    <t>YL3s</t>
  </si>
  <si>
    <t>SU3s</t>
  </si>
  <si>
    <t>SL3s</t>
  </si>
  <si>
    <t>A3l</t>
  </si>
  <si>
    <t>YU3l</t>
  </si>
  <si>
    <t>YL3l</t>
  </si>
  <si>
    <t>SU3l</t>
  </si>
  <si>
    <t>SL3l</t>
  </si>
  <si>
    <t>Bottom concrete</t>
    <phoneticPr fontId="34" type="noConversion"/>
  </si>
  <si>
    <t>Slab</t>
    <phoneticPr fontId="34" type="noConversion"/>
  </si>
  <si>
    <t>Haunch</t>
    <phoneticPr fontId="34" type="noConversion"/>
  </si>
  <si>
    <t>Bottom layer rebar</t>
    <phoneticPr fontId="34" type="noConversion"/>
  </si>
  <si>
    <t>Arb</t>
    <phoneticPr fontId="34" type="noConversion"/>
  </si>
  <si>
    <t>Irb</t>
    <phoneticPr fontId="34" type="noConversion"/>
  </si>
  <si>
    <t>Art</t>
    <phoneticPr fontId="34" type="noConversion"/>
  </si>
  <si>
    <t>Irt</t>
    <phoneticPr fontId="34" type="noConversion"/>
  </si>
  <si>
    <t>A4s</t>
  </si>
  <si>
    <t>YU4s</t>
  </si>
  <si>
    <t>YL4s</t>
  </si>
  <si>
    <t>SU4s</t>
  </si>
  <si>
    <t>SL4s</t>
  </si>
  <si>
    <t>A4l</t>
  </si>
  <si>
    <t>YU4l</t>
  </si>
  <si>
    <t>YL4l</t>
  </si>
  <si>
    <t>SU4l</t>
  </si>
  <si>
    <t>SL4l</t>
  </si>
  <si>
    <t>A4</t>
    <phoneticPr fontId="34" type="noConversion"/>
  </si>
  <si>
    <t>A3</t>
    <phoneticPr fontId="34" type="noConversion"/>
  </si>
  <si>
    <r>
      <t>H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</si>
  <si>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</si>
  <si>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H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</si>
  <si>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</si>
  <si>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t>Is</t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</si>
  <si>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 xml:space="preserve">fn </t>
    </r>
    <r>
      <rPr>
        <sz val="9"/>
        <rFont val="맑은 고딕"/>
        <family val="3"/>
        <charset val="129"/>
      </rPr>
      <t>산정</t>
    </r>
    <phoneticPr fontId="34" type="noConversion"/>
  </si>
  <si>
    <t>d0</t>
    <phoneticPr fontId="34" type="noConversion"/>
  </si>
  <si>
    <t>Type 1</t>
    <phoneticPr fontId="34" type="noConversion"/>
  </si>
  <si>
    <t>Type 4</t>
    <phoneticPr fontId="34" type="noConversion"/>
  </si>
  <si>
    <t>Stage</t>
    <phoneticPr fontId="34" type="noConversion"/>
  </si>
  <si>
    <t>PUS girder 설치</t>
    <phoneticPr fontId="34" type="noConversion"/>
  </si>
  <si>
    <t>단면사용</t>
    <phoneticPr fontId="34" type="noConversion"/>
  </si>
  <si>
    <t>Loading</t>
    <phoneticPr fontId="34" type="noConversion"/>
  </si>
  <si>
    <t>Negative</t>
    <phoneticPr fontId="34" type="noConversion"/>
  </si>
  <si>
    <t>Positive</t>
    <phoneticPr fontId="34" type="noConversion"/>
  </si>
  <si>
    <t>내부 concrete 타설</t>
    <phoneticPr fontId="34" type="noConversion"/>
  </si>
  <si>
    <t>Deckslab 타설</t>
    <phoneticPr fontId="34" type="noConversion"/>
  </si>
  <si>
    <t>Type 2</t>
    <phoneticPr fontId="34" type="noConversion"/>
  </si>
  <si>
    <t>방호벽 설치</t>
    <phoneticPr fontId="34" type="noConversion"/>
  </si>
  <si>
    <t>Type 3</t>
    <phoneticPr fontId="34" type="noConversion"/>
  </si>
  <si>
    <t>Live load</t>
    <phoneticPr fontId="34" type="noConversion"/>
  </si>
  <si>
    <t xml:space="preserve">There are 5 type of girder section that are using  for all stage of constructions </t>
    <phoneticPr fontId="34" type="noConversion"/>
  </si>
  <si>
    <t>④ Type 4: Steel girder + bottom concrete + Rebar</t>
    <phoneticPr fontId="34" type="noConversion"/>
  </si>
  <si>
    <t>① Type 1: Steel girder only</t>
    <phoneticPr fontId="34" type="noConversion"/>
  </si>
  <si>
    <t>② Type 2: Steel girder + bottom concrete</t>
    <phoneticPr fontId="34" type="noConversion"/>
  </si>
  <si>
    <t>③ Type 3: Steel girder + deckslab</t>
    <phoneticPr fontId="34" type="noConversion"/>
  </si>
  <si>
    <t>표장</t>
    <phoneticPr fontId="34" type="noConversion"/>
  </si>
  <si>
    <t>DC1 Pus girder</t>
    <phoneticPr fontId="34" type="noConversion"/>
  </si>
  <si>
    <t>DC2 내부 concrete</t>
    <phoneticPr fontId="34" type="noConversion"/>
  </si>
  <si>
    <t>DC3 Deckslab concrete</t>
    <phoneticPr fontId="34" type="noConversion"/>
  </si>
  <si>
    <t>DC4 방호벽</t>
    <phoneticPr fontId="34" type="noConversion"/>
  </si>
  <si>
    <t>DW 표장</t>
    <phoneticPr fontId="34" type="noConversion"/>
  </si>
  <si>
    <t>LL Live load</t>
    <phoneticPr fontId="34" type="noConversion"/>
  </si>
  <si>
    <t>(3) Deck slab</t>
    <phoneticPr fontId="34" type="noConversion"/>
  </si>
  <si>
    <t>Liveload (단기) ⑥</t>
    <phoneticPr fontId="34" type="noConversion"/>
  </si>
  <si>
    <t>(4) 방호벽 (장기)</t>
    <phoneticPr fontId="34" type="noConversion"/>
  </si>
  <si>
    <t>(6) LLmax (단기)</t>
    <phoneticPr fontId="34" type="noConversion"/>
  </si>
  <si>
    <t>(7) LLmin (단기)</t>
    <phoneticPr fontId="34" type="noConversion"/>
  </si>
  <si>
    <t>(8) Deck slab (단기)</t>
    <phoneticPr fontId="34" type="noConversion"/>
  </si>
  <si>
    <t>(9) Deck slab (정기)</t>
    <phoneticPr fontId="34" type="noConversion"/>
  </si>
  <si>
    <t>(10) 방호벽 (장기)</t>
    <phoneticPr fontId="34" type="noConversion"/>
  </si>
  <si>
    <t>(11) 포장 (장기)</t>
    <phoneticPr fontId="34" type="noConversion"/>
  </si>
  <si>
    <t>(12) LLmax (단기)</t>
    <phoneticPr fontId="34" type="noConversion"/>
  </si>
  <si>
    <t>(13) LLmin (단기)</t>
    <phoneticPr fontId="34" type="noConversion"/>
  </si>
  <si>
    <t>Live load (단기) ⑥</t>
    <phoneticPr fontId="34" type="noConversion"/>
  </si>
  <si>
    <t>1.25 × [① + ② + ③ + ④] + 1.50 × ⑤ +  1.80 ×⑥</t>
    <phoneticPr fontId="34" type="noConversion"/>
  </si>
  <si>
    <t>1.00 × [① + ② + ③ + ④] + 1.00 × ⑤ +  1.00 ×⑥</t>
    <phoneticPr fontId="34" type="noConversion"/>
  </si>
  <si>
    <t>1.00 × [① + ② + ③ + ④] + 1.00 × ⑤ +  1.30 ×⑥</t>
    <phoneticPr fontId="34" type="noConversion"/>
  </si>
  <si>
    <t>(5) 포장 (장기)</t>
    <phoneticPr fontId="34" type="noConversion"/>
  </si>
  <si>
    <t>Negative   : 1.25 (1) + 1.25 (2) + 1.25 (8)</t>
    <phoneticPr fontId="34" type="noConversion"/>
  </si>
  <si>
    <t>Positive    : 1.25 (1) + 1.25 (2) + 1.25 (3) + 1.25 (4) + 1.5 (5) + 1.8 (6)</t>
    <phoneticPr fontId="34" type="noConversion"/>
  </si>
  <si>
    <t>Negative   : 1.25 (1) + 1.25 (2) + 1.25 (9) + 1.25 (10) + 1.5 (11) + 1.8 (13)</t>
    <phoneticPr fontId="34" type="noConversion"/>
  </si>
  <si>
    <t>Positive    : 1.0 (1) + 1.0 (2) + 1.0 (3) + 1.0 (4) + 1.0 (5) + 1.0 (6)</t>
    <phoneticPr fontId="34" type="noConversion"/>
  </si>
  <si>
    <t>Negative   : 1.0 (1) + 1.0 (2) + 1.0 (9) + 1.0 (10) + 1.0 (11) + 1.0 (13)</t>
    <phoneticPr fontId="34" type="noConversion"/>
  </si>
  <si>
    <t>Positive    : 1.0 (1) + 1.0 (2) + 1.0 (3) + 1.0 (4) + 1.0 (5) + 1.3 (6)</t>
    <phoneticPr fontId="34" type="noConversion"/>
  </si>
  <si>
    <t>Negative   : 1.0 (1) + 1.0 (2) + 1.0 (9) + 1.0 (10) + 1.0 (11) + 1.3 (13)</t>
    <phoneticPr fontId="34" type="noConversion"/>
  </si>
  <si>
    <t>M1</t>
    <phoneticPr fontId="34" type="noConversion"/>
  </si>
  <si>
    <t>M2</t>
    <phoneticPr fontId="34" type="noConversion"/>
  </si>
  <si>
    <t>M3</t>
    <phoneticPr fontId="34" type="noConversion"/>
  </si>
  <si>
    <t>M4</t>
    <phoneticPr fontId="34" type="noConversion"/>
  </si>
  <si>
    <t>Mw</t>
    <phoneticPr fontId="34" type="noConversion"/>
  </si>
  <si>
    <t>Node</t>
    <phoneticPr fontId="34" type="noConversion"/>
  </si>
  <si>
    <t>S1</t>
    <phoneticPr fontId="34" type="noConversion"/>
  </si>
  <si>
    <t>S2</t>
    <phoneticPr fontId="34" type="noConversion"/>
  </si>
  <si>
    <t>S3</t>
    <phoneticPr fontId="34" type="noConversion"/>
  </si>
  <si>
    <t>S4</t>
    <phoneticPr fontId="34" type="noConversion"/>
  </si>
  <si>
    <t>Sw</t>
    <phoneticPr fontId="34" type="noConversion"/>
  </si>
  <si>
    <t>T1</t>
    <phoneticPr fontId="34" type="noConversion"/>
  </si>
  <si>
    <t>T2</t>
    <phoneticPr fontId="34" type="noConversion"/>
  </si>
  <si>
    <t>T4</t>
    <phoneticPr fontId="34" type="noConversion"/>
  </si>
  <si>
    <t>Tw</t>
    <phoneticPr fontId="34" type="noConversion"/>
  </si>
  <si>
    <t>TTmax</t>
    <phoneticPr fontId="34" type="noConversion"/>
  </si>
  <si>
    <t>TTmin</t>
    <phoneticPr fontId="34" type="noConversion"/>
  </si>
  <si>
    <t>TLmax</t>
    <phoneticPr fontId="34" type="noConversion"/>
  </si>
  <si>
    <t>T3</t>
    <phoneticPr fontId="34" type="noConversion"/>
  </si>
  <si>
    <t>TLmin</t>
    <phoneticPr fontId="34" type="noConversion"/>
  </si>
  <si>
    <t>MLLmax</t>
    <phoneticPr fontId="34" type="noConversion"/>
  </si>
  <si>
    <t>MLLmin</t>
    <phoneticPr fontId="34" type="noConversion"/>
  </si>
  <si>
    <t>SLLmax</t>
    <phoneticPr fontId="34" type="noConversion"/>
  </si>
  <si>
    <t>SLLmin</t>
    <phoneticPr fontId="34" type="noConversion"/>
  </si>
  <si>
    <t>TLLmax</t>
    <phoneticPr fontId="34" type="noConversion"/>
  </si>
  <si>
    <t>TLLmin</t>
    <phoneticPr fontId="34" type="noConversion"/>
  </si>
  <si>
    <t>R</t>
    <phoneticPr fontId="34" type="noConversion"/>
  </si>
  <si>
    <t>Label</t>
    <phoneticPr fontId="34" type="noConversion"/>
  </si>
  <si>
    <t>Sta</t>
    <phoneticPr fontId="34" type="noConversion"/>
  </si>
  <si>
    <t>Lb</t>
    <phoneticPr fontId="34" type="noConversion"/>
  </si>
  <si>
    <r>
      <t>w = V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</t>
    </r>
    <r>
      <rPr>
        <sz val="9"/>
        <rFont val="Calibri"/>
        <family val="3"/>
        <charset val="161"/>
      </rPr>
      <t>Δ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∙tan</t>
    </r>
    <r>
      <rPr>
        <sz val="9"/>
        <rFont val="Calibri"/>
        <family val="3"/>
        <charset val="161"/>
      </rPr>
      <t>θ</t>
    </r>
    <phoneticPr fontId="34" type="noConversion"/>
  </si>
  <si>
    <t>Compression flange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</si>
  <si>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ℓ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</si>
  <si>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ℓ1</t>
    </r>
    <phoneticPr fontId="34" type="noConversion"/>
  </si>
  <si>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• f</t>
    </r>
    <r>
      <rPr>
        <vertAlign val="subscript"/>
        <sz val="9"/>
        <rFont val="맑은 고딕"/>
        <family val="3"/>
        <charset val="129"/>
      </rPr>
      <t>ℓ1</t>
    </r>
    <r>
      <rPr>
        <sz val="9"/>
        <rFont val="맑은 고딕"/>
        <family val="3"/>
        <charset val="129"/>
      </rPr>
      <t xml:space="preserve">  ≥  f</t>
    </r>
    <r>
      <rPr>
        <vertAlign val="subscript"/>
        <sz val="9"/>
        <rFont val="맑은 고딕"/>
        <family val="3"/>
        <charset val="129"/>
      </rPr>
      <t>ℓ1</t>
    </r>
    <phoneticPr fontId="34" type="noConversion"/>
  </si>
  <si>
    <t>Tension flange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</si>
  <si>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ℓ</t>
    </r>
    <r>
      <rPr>
        <b/>
        <sz val="9"/>
        <rFont val="맑은 고딕"/>
        <family val="3"/>
        <charset val="129"/>
      </rPr>
      <t xml:space="preserve"> ≤ 0.6F</t>
    </r>
    <r>
      <rPr>
        <b/>
        <vertAlign val="subscript"/>
        <sz val="9"/>
        <rFont val="맑은 고딕"/>
        <family val="3"/>
        <charset val="129"/>
      </rPr>
      <t>yf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</si>
  <si>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ℓ</t>
    </r>
    <r>
      <rPr>
        <b/>
        <sz val="9"/>
        <rFont val="맑은 고딕"/>
        <family val="3"/>
        <charset val="129"/>
      </rPr>
      <t xml:space="preserve"> 산정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</si>
  <si>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yt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</si>
  <si>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  <r>
      <rPr>
        <b/>
        <sz val="9"/>
        <rFont val="Calibri"/>
        <family val="3"/>
        <charset val="161"/>
      </rPr>
      <t>Δ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</si>
  <si>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4" type="noConversion"/>
  </si>
  <si>
    <t>난간이나 연석을 포함한 바닥판의 내민부</t>
    <phoneticPr fontId="34" type="noConversion"/>
  </si>
  <si>
    <t>자간 중앙에서의 안접 박스 간 플랜지의 중심간격</t>
    <phoneticPr fontId="34" type="noConversion"/>
  </si>
  <si>
    <t>같이 각 박스단면의 플랜지 중심간격</t>
    <phoneticPr fontId="34" type="noConversion"/>
  </si>
  <si>
    <t>수평보강재 중심선과 압축플랜지 안쪽면사이의 거리</t>
    <phoneticPr fontId="34" type="noConversion"/>
  </si>
  <si>
    <t>수직보강재 간격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</si>
  <si>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</si>
  <si>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Y -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</si>
  <si>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</si>
  <si>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 + th 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</si>
  <si>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</si>
  <si>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</si>
  <si>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</si>
  <si>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</si>
  <si>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</si>
  <si>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</si>
  <si>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</si>
  <si>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</si>
  <si>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</si>
  <si>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</si>
  <si>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</si>
  <si>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</si>
  <si>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</si>
  <si>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</si>
  <si>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th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</si>
  <si>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v = [</t>
    </r>
    <r>
      <rPr>
        <sz val="9"/>
        <rFont val="Calibri"/>
        <family val="3"/>
      </rPr>
      <t>A1</t>
    </r>
    <r>
      <rPr>
        <sz val="9"/>
        <rFont val="맑은 고딕"/>
        <family val="3"/>
        <charset val="129"/>
      </rPr>
      <t>•75kN/m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+ (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c</t>
    </r>
    <r>
      <rPr>
        <sz val="9"/>
        <rFont val="맑은 고딕"/>
        <family val="3"/>
        <charset val="129"/>
      </rPr>
      <t xml:space="preserve"> + 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s</t>
    </r>
    <r>
      <rPr>
        <sz val="9"/>
        <rFont val="맑은 고딕"/>
        <family val="3"/>
        <charset val="129"/>
      </rPr>
      <t>)•25kN/m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]/2</t>
    </r>
    <phoneticPr fontId="34" type="noConversion"/>
  </si>
  <si>
    <r>
      <t>A1, A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, A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sectional area of steel girder, bottom concrete and deck slab</t>
    </r>
    <phoneticPr fontId="34" type="noConversion"/>
  </si>
  <si>
    <t>b, ts = cantilever and thickness of deck slab</t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</si>
  <si>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rib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</si>
  <si>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</si>
  <si>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</si>
  <si>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</si>
  <si>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</si>
  <si>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</si>
  <si>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</si>
  <si>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</si>
  <si>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Y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</si>
  <si>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= 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</si>
  <si>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t>101i</t>
    <phoneticPr fontId="34" type="noConversion"/>
  </si>
  <si>
    <t>101j</t>
    <phoneticPr fontId="34" type="noConversion"/>
  </si>
  <si>
    <t>②</t>
    <phoneticPr fontId="34" type="noConversion"/>
  </si>
  <si>
    <t>③</t>
    <phoneticPr fontId="34" type="noConversion"/>
  </si>
  <si>
    <t>④</t>
    <phoneticPr fontId="34" type="noConversion"/>
  </si>
  <si>
    <t>⑤</t>
    <phoneticPr fontId="34" type="noConversion"/>
  </si>
  <si>
    <t>①</t>
    <phoneticPr fontId="34" type="noConversion"/>
  </si>
  <si>
    <t>201i</t>
  </si>
  <si>
    <t>201j</t>
  </si>
  <si>
    <t>202i</t>
  </si>
  <si>
    <t>202j</t>
  </si>
  <si>
    <t>203i</t>
  </si>
  <si>
    <t>203j</t>
  </si>
  <si>
    <t>204i</t>
  </si>
  <si>
    <t>204j</t>
  </si>
  <si>
    <t>205i</t>
  </si>
  <si>
    <t>205j</t>
  </si>
  <si>
    <t>206i</t>
  </si>
  <si>
    <t>206j</t>
  </si>
  <si>
    <t>207i</t>
  </si>
  <si>
    <t>207j</t>
  </si>
  <si>
    <t>208i</t>
  </si>
  <si>
    <t>208j</t>
  </si>
  <si>
    <t>209i</t>
  </si>
  <si>
    <t>209j</t>
  </si>
  <si>
    <t>210i</t>
  </si>
  <si>
    <t>210j</t>
  </si>
  <si>
    <t>211i</t>
  </si>
  <si>
    <t>211j</t>
  </si>
  <si>
    <t>212i</t>
  </si>
  <si>
    <t>212j</t>
  </si>
  <si>
    <t>213i</t>
  </si>
  <si>
    <t>213j</t>
  </si>
  <si>
    <t>214i</t>
  </si>
  <si>
    <t>214j</t>
  </si>
  <si>
    <t>215i</t>
  </si>
  <si>
    <t>215j</t>
  </si>
  <si>
    <t>216i</t>
  </si>
  <si>
    <t>216j</t>
  </si>
  <si>
    <t>217i</t>
  </si>
  <si>
    <t>217j</t>
  </si>
  <si>
    <t>218i</t>
  </si>
  <si>
    <t>218j</t>
  </si>
  <si>
    <t>219i</t>
  </si>
  <si>
    <t>219j</t>
  </si>
  <si>
    <t>220i</t>
  </si>
  <si>
    <t>220j</t>
  </si>
  <si>
    <t>221i</t>
  </si>
  <si>
    <t>221j</t>
  </si>
  <si>
    <t>222i</t>
  </si>
  <si>
    <t>222j</t>
  </si>
  <si>
    <t>223i</t>
  </si>
  <si>
    <t>223j</t>
  </si>
  <si>
    <t>224i</t>
  </si>
  <si>
    <t>224j</t>
  </si>
  <si>
    <t>225i</t>
  </si>
  <si>
    <t>225j</t>
  </si>
  <si>
    <t>226i</t>
  </si>
  <si>
    <t>226j</t>
  </si>
  <si>
    <t>227i</t>
  </si>
  <si>
    <t>227j</t>
  </si>
  <si>
    <t>228i</t>
  </si>
  <si>
    <t>228j</t>
  </si>
  <si>
    <t>229i</t>
  </si>
  <si>
    <t>229j</t>
  </si>
  <si>
    <t>230i</t>
  </si>
  <si>
    <t>230j</t>
  </si>
  <si>
    <t>231i</t>
  </si>
  <si>
    <t>231j</t>
  </si>
  <si>
    <t>201i</t>
    <phoneticPr fontId="34" type="noConversion"/>
  </si>
  <si>
    <t>201j</t>
    <phoneticPr fontId="34" type="noConversion"/>
  </si>
  <si>
    <t>1-1</t>
  </si>
  <si>
    <t>1-1</t>
    <phoneticPr fontId="34" type="noConversion"/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</si>
  <si>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</si>
  <si>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</si>
  <si>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</si>
  <si>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</si>
  <si>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</si>
  <si>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</si>
  <si>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</si>
  <si>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</si>
  <si>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</si>
  <si>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</si>
  <si>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</si>
  <si>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</si>
  <si>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</si>
  <si>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</si>
  <si>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</si>
  <si>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</si>
  <si>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</si>
  <si>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</si>
  <si>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</si>
  <si>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</si>
  <si>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</si>
  <si>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</si>
  <si>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</si>
  <si>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</si>
  <si>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</si>
  <si>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</si>
  <si>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</si>
  <si>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</si>
  <si>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</si>
  <si>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</si>
  <si>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</si>
  <si>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</si>
  <si>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</si>
  <si>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</si>
  <si>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</si>
  <si>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</si>
  <si>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</si>
  <si>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 xml:space="preserve">Flowchart for checking PUS girder by LRFD </t>
    <phoneticPr fontId="34" type="noConversion"/>
  </si>
  <si>
    <t>2. Flowchart for checking Constructibility</t>
    <phoneticPr fontId="34" type="noConversion"/>
  </si>
  <si>
    <t>1. Flowchart for cross-section proportion limits</t>
    <phoneticPr fontId="34" type="noConversion"/>
  </si>
  <si>
    <t>2.1. Checking flange lateral bending stress</t>
    <phoneticPr fontId="34" type="noConversion"/>
  </si>
  <si>
    <t>2.2. Checking flexure</t>
    <phoneticPr fontId="34" type="noConversion"/>
  </si>
  <si>
    <t>3. Flowchart for Checking Strength limit state</t>
    <phoneticPr fontId="34" type="noConversion"/>
  </si>
  <si>
    <t>3.1. Checking Ductibility</t>
    <phoneticPr fontId="34" type="noConversion"/>
  </si>
  <si>
    <t>3.2. Checking flexure</t>
    <phoneticPr fontId="34" type="noConversion"/>
  </si>
  <si>
    <t>4. Checking Service Limit State</t>
    <phoneticPr fontId="34" type="noConversion"/>
  </si>
  <si>
    <t>5. Checking Fatigue and Fracture Limit State</t>
    <phoneticPr fontId="34" type="noConversion"/>
  </si>
  <si>
    <r>
      <t xml:space="preserve"> f</t>
    </r>
    <r>
      <rPr>
        <vertAlign val="subscript"/>
        <sz val="9"/>
        <rFont val="맑은 고딕"/>
        <family val="3"/>
        <charset val="129"/>
      </rPr>
      <t xml:space="preserve">v </t>
    </r>
    <phoneticPr fontId="34" type="noConversion"/>
  </si>
  <si>
    <r>
      <t>YU1 - 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 xml:space="preserve"> for Positive moment; YL2s - 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for Negative moment</t>
    </r>
    <phoneticPr fontId="34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</si>
  <si>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150 (300)</t>
    </r>
    <phoneticPr fontId="34" type="noConversion"/>
  </si>
  <si>
    <r>
      <t>Since the cross - section proportion limits are satisfied, so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is taken as 1.0</t>
    </r>
    <phoneticPr fontId="34" type="noConversion"/>
  </si>
  <si>
    <r>
      <t>Table 7.2.7. Calculation of R</t>
    </r>
    <r>
      <rPr>
        <i/>
        <vertAlign val="subscript"/>
        <sz val="9"/>
        <rFont val="맑은 고딕"/>
        <family val="3"/>
        <charset val="129"/>
      </rPr>
      <t>h</t>
    </r>
    <phoneticPr fontId="34" type="noConversion"/>
  </si>
  <si>
    <r>
      <t>Table 7.2.8. Calculation of F</t>
    </r>
    <r>
      <rPr>
        <i/>
        <vertAlign val="subscript"/>
        <sz val="9"/>
        <rFont val="맑은 고딕"/>
        <family val="3"/>
        <charset val="129"/>
      </rPr>
      <t>cb</t>
    </r>
    <r>
      <rPr>
        <i/>
        <sz val="9"/>
        <rFont val="맑은 고딕"/>
        <family val="3"/>
        <charset val="129"/>
      </rPr>
      <t>, F</t>
    </r>
    <r>
      <rPr>
        <i/>
        <vertAlign val="subscript"/>
        <sz val="9"/>
        <rFont val="맑은 고딕"/>
        <family val="3"/>
        <charset val="129"/>
      </rPr>
      <t>cv</t>
    </r>
    <phoneticPr fontId="34" type="noConversion"/>
  </si>
  <si>
    <r>
      <t>Table 7.2.9. Calculation of F</t>
    </r>
    <r>
      <rPr>
        <i/>
        <vertAlign val="subscript"/>
        <sz val="9"/>
        <rFont val="맑은 고딕"/>
        <family val="3"/>
        <charset val="129"/>
      </rPr>
      <t>nc</t>
    </r>
    <r>
      <rPr>
        <i/>
        <sz val="9"/>
        <rFont val="맑은 고딕"/>
        <family val="3"/>
        <charset val="129"/>
      </rPr>
      <t>, F</t>
    </r>
    <r>
      <rPr>
        <i/>
        <vertAlign val="subscript"/>
        <sz val="9"/>
        <rFont val="맑은 고딕"/>
        <family val="3"/>
        <charset val="129"/>
      </rPr>
      <t>nt</t>
    </r>
    <r>
      <rPr>
        <i/>
        <sz val="9"/>
        <rFont val="맑은 고딕"/>
        <family val="3"/>
        <charset val="129"/>
      </rPr>
      <t>, M</t>
    </r>
    <r>
      <rPr>
        <i/>
        <vertAlign val="subscript"/>
        <sz val="9"/>
        <rFont val="맑은 고딕"/>
        <family val="3"/>
        <charset val="129"/>
      </rPr>
      <t>n</t>
    </r>
    <phoneticPr fontId="34" type="noConversion"/>
  </si>
  <si>
    <t>Table 7.2.10. Classification compact / noncompact section</t>
    <phoneticPr fontId="34" type="noConversion"/>
  </si>
  <si>
    <t>Table 7.2.12. Calculation of nominal shear resistance</t>
    <phoneticPr fontId="34" type="noConversion"/>
  </si>
  <si>
    <t>Table 7.2.13. Checking web shear</t>
    <phoneticPr fontId="34" type="noConversion"/>
  </si>
  <si>
    <r>
      <t>Calculation of k, 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 - Plate-buckling coefficient</t>
    </r>
    <phoneticPr fontId="34" type="noConversion"/>
  </si>
  <si>
    <t>Calculation of k - bend-buckling coefficient</t>
    <phoneticPr fontId="34" type="noConversion"/>
  </si>
  <si>
    <t>Calculation of k - bend-buckling coefficient</t>
    <phoneticPr fontId="34" type="noConversion"/>
  </si>
  <si>
    <t>Calculation of k - shear-buckling ccoefficient</t>
    <phoneticPr fontId="34" type="noConversion"/>
  </si>
  <si>
    <r>
      <t>Calculation of k, 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Plate-buckling coefficient (can be used the values from Constructibility)</t>
    </r>
    <phoneticPr fontId="34" type="noConversion"/>
  </si>
  <si>
    <r>
      <t>Calculation of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 xml:space="preserve"> (can be used the values from Constructibility)</t>
    </r>
    <phoneticPr fontId="34" type="noConversion"/>
  </si>
  <si>
    <t>Stress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</si>
  <si>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</si>
  <si>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k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</si>
  <si>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crw</t>
    </r>
    <phoneticPr fontId="34" type="noConversion"/>
  </si>
  <si>
    <t>검토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</si>
  <si>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</si>
  <si>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Type</t>
    <phoneticPr fontId="34" type="noConversion"/>
  </si>
  <si>
    <t>Abu</t>
    <phoneticPr fontId="34" type="noConversion"/>
  </si>
  <si>
    <t>Cross</t>
    <phoneticPr fontId="34" type="noConversion"/>
  </si>
  <si>
    <t>Pier</t>
    <phoneticPr fontId="34" type="noConversion"/>
  </si>
  <si>
    <t>전단력</t>
    <phoneticPr fontId="34" type="noConversion"/>
  </si>
  <si>
    <t>Label</t>
  </si>
  <si>
    <t>1001i</t>
  </si>
  <si>
    <t>1001j</t>
  </si>
  <si>
    <t>1002i</t>
  </si>
  <si>
    <t>1002j</t>
  </si>
  <si>
    <t>1003i</t>
  </si>
  <si>
    <t>1003j</t>
  </si>
  <si>
    <t>1004i</t>
  </si>
  <si>
    <t>1004j</t>
  </si>
  <si>
    <t>1005i</t>
  </si>
  <si>
    <t>1005j</t>
  </si>
  <si>
    <t>1006i</t>
  </si>
  <si>
    <t>1006j</t>
  </si>
  <si>
    <t>1007i</t>
  </si>
  <si>
    <t>1007j</t>
  </si>
  <si>
    <t>1008i</t>
  </si>
  <si>
    <t>1008j</t>
  </si>
  <si>
    <t>1009i</t>
  </si>
  <si>
    <t>1009j</t>
  </si>
  <si>
    <t>1010i</t>
  </si>
  <si>
    <t>1010j</t>
  </si>
  <si>
    <t>1011i</t>
  </si>
  <si>
    <t>1011j</t>
  </si>
  <si>
    <t>1012i</t>
  </si>
  <si>
    <t>1012j</t>
  </si>
  <si>
    <t>1013i</t>
  </si>
  <si>
    <t>1013j</t>
  </si>
  <si>
    <t>1014i</t>
  </si>
  <si>
    <t>1014j</t>
  </si>
  <si>
    <t>1015i</t>
  </si>
  <si>
    <t>1015j</t>
  </si>
  <si>
    <t>1016i</t>
  </si>
  <si>
    <t>1016j</t>
  </si>
  <si>
    <t>1017i</t>
  </si>
  <si>
    <t>1017j</t>
  </si>
  <si>
    <t>1018i</t>
  </si>
  <si>
    <t>1018j</t>
  </si>
  <si>
    <t>1019i</t>
  </si>
  <si>
    <t>1019j</t>
  </si>
  <si>
    <t>1020i</t>
  </si>
  <si>
    <t>1020j</t>
  </si>
  <si>
    <t>1021i</t>
  </si>
  <si>
    <t>1021j</t>
  </si>
  <si>
    <t>1022i</t>
  </si>
  <si>
    <t>1022j</t>
  </si>
  <si>
    <t>1023i</t>
  </si>
  <si>
    <t>1023j</t>
  </si>
  <si>
    <t>1024i</t>
  </si>
  <si>
    <t>1024j</t>
  </si>
  <si>
    <t>1025i</t>
  </si>
  <si>
    <t>1025j</t>
  </si>
  <si>
    <t>1026i</t>
  </si>
  <si>
    <t>1026j</t>
  </si>
  <si>
    <t>1027i</t>
  </si>
  <si>
    <t>1027j</t>
  </si>
  <si>
    <t>1028i</t>
  </si>
  <si>
    <t>1028j</t>
  </si>
  <si>
    <t>1029i</t>
  </si>
  <si>
    <t>1029j</t>
  </si>
  <si>
    <t>1030i</t>
  </si>
  <si>
    <t>1030j</t>
  </si>
  <si>
    <t>1031i</t>
  </si>
  <si>
    <t>1031j</t>
  </si>
  <si>
    <r>
      <rPr>
        <sz val="9"/>
        <rFont val="맑은 고딕"/>
        <family val="3"/>
        <charset val="129"/>
      </rPr>
      <t xml:space="preserve">≤ </t>
    </r>
    <r>
      <rPr>
        <sz val="9"/>
        <rFont val="Calibri"/>
        <family val="3"/>
        <charset val="161"/>
      </rPr>
      <t>Φ</t>
    </r>
    <phoneticPr fontId="34" type="noConversion"/>
  </si>
  <si>
    <t>( A. 6.10.1.9 &amp; 강.설 4.3.3.1.1.9)</t>
    <phoneticPr fontId="34" type="noConversion"/>
  </si>
  <si>
    <t>→ For one longitudinal stiffener</t>
    <phoneticPr fontId="34" type="noConversion"/>
  </si>
  <si>
    <t xml:space="preserve">Kim, Byung Jun, et al. "Web bend-buckling strength of plate girders with two longitudinal web stiffeners." </t>
    <phoneticPr fontId="34" type="noConversion"/>
  </si>
  <si>
    <t>Structural Engineering and Mechanics 69.4 (2019): 383-397.</t>
    <phoneticPr fontId="34" type="noConversion"/>
  </si>
  <si>
    <r>
      <t xml:space="preserve"> - 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 xml:space="preserve"> /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&lt; 0.4</t>
    </r>
    <phoneticPr fontId="34" type="noConversion"/>
  </si>
  <si>
    <r>
      <t xml:space="preserve"> - 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 xml:space="preserve"> /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≥ 0.4</t>
    </r>
    <phoneticPr fontId="34" type="noConversion"/>
  </si>
  <si>
    <r>
      <t>4.82 (D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/ 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2.5</t>
    </r>
    <r>
      <rPr>
        <sz val="9"/>
        <rFont val="맑은 고딕"/>
        <family val="3"/>
        <charset val="129"/>
      </rPr>
      <t xml:space="preserve"> (1 - </t>
    </r>
    <r>
      <rPr>
        <sz val="9"/>
        <rFont val="Calibri"/>
        <family val="3"/>
        <charset val="161"/>
      </rPr>
      <t>Ψ</t>
    </r>
    <r>
      <rPr>
        <sz val="9.5500000000000007"/>
        <rFont val="맑은 고딕"/>
        <family val="3"/>
        <charset val="129"/>
      </rPr>
      <t>)</t>
    </r>
    <r>
      <rPr>
        <vertAlign val="superscript"/>
        <sz val="9.5500000000000007"/>
        <rFont val="맑은 고딕"/>
        <family val="3"/>
        <charset val="129"/>
      </rPr>
      <t>2.7</t>
    </r>
    <phoneticPr fontId="34" type="noConversion"/>
  </si>
  <si>
    <t>dsc</t>
    <phoneticPr fontId="34" type="noConversion"/>
  </si>
  <si>
    <t>distance between the center of the two longitudinal stiffeners and the inner surface of</t>
    <phoneticPr fontId="34" type="noConversion"/>
  </si>
  <si>
    <t>the compression flange</t>
    <phoneticPr fontId="34" type="noConversion"/>
  </si>
  <si>
    <t>Ψ</t>
    <phoneticPr fontId="34" type="noConversion"/>
  </si>
  <si>
    <t>=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</si>
  <si>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: stress ratio in the web panel</t>
    </r>
    <phoneticPr fontId="34" type="noConversion"/>
  </si>
  <si>
    <r>
      <t>In this case, the values 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is taken as 0.2D</t>
    </r>
    <phoneticPr fontId="34" type="noConversion"/>
  </si>
  <si>
    <t>In this case, the distances between the first and second stiffener to the inner surface of the compression flange</t>
    <phoneticPr fontId="34" type="noConversion"/>
  </si>
  <si>
    <r>
      <t>are taken as 0.14D and 0.36D, thus, d</t>
    </r>
    <r>
      <rPr>
        <vertAlign val="subscript"/>
        <sz val="9"/>
        <rFont val="맑은 고딕"/>
        <family val="3"/>
        <charset val="129"/>
        <scheme val="major"/>
      </rPr>
      <t>sc</t>
    </r>
    <r>
      <rPr>
        <sz val="9"/>
        <rFont val="맑은 고딕"/>
        <family val="3"/>
        <charset val="129"/>
        <scheme val="major"/>
      </rPr>
      <t xml:space="preserve"> would be 0.25D 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</si>
  <si>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sc</t>
    </r>
    <phoneticPr fontId="34" type="noConversion"/>
  </si>
  <si>
    <t>Ψ</t>
    <phoneticPr fontId="34" type="noConversion"/>
  </si>
  <si>
    <r>
      <t>247.8 (d</t>
    </r>
    <r>
      <rPr>
        <vertAlign val="subscript"/>
        <sz val="9"/>
        <rFont val="맑은 고딕"/>
        <family val="3"/>
        <charset val="129"/>
      </rPr>
      <t xml:space="preserve">sc </t>
    </r>
    <r>
      <rPr>
        <sz val="9"/>
        <rFont val="맑은 고딕"/>
        <family val="3"/>
        <charset val="129"/>
      </rPr>
      <t>/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1.8</t>
    </r>
    <r>
      <rPr>
        <sz val="9"/>
        <rFont val="맑은 고딕"/>
        <family val="3"/>
        <charset val="129"/>
      </rPr>
      <t xml:space="preserve"> (1 - Ψ</t>
    </r>
    <r>
      <rPr>
        <sz val="9.5500000000000007"/>
        <rFont val="맑은 고딕"/>
        <family val="3"/>
        <charset val="129"/>
      </rPr>
      <t>)</t>
    </r>
    <r>
      <rPr>
        <vertAlign val="superscript"/>
        <sz val="9.5500000000000007"/>
        <rFont val="맑은 고딕"/>
        <family val="3"/>
        <charset val="129"/>
      </rPr>
      <t>2.7</t>
    </r>
    <phoneticPr fontId="34" type="noConversion"/>
  </si>
  <si>
    <r>
      <rPr>
        <sz val="9"/>
        <rFont val="Calibri"/>
        <family val="3"/>
        <charset val="161"/>
      </rPr>
      <t>Ψ</t>
    </r>
    <r>
      <rPr>
        <sz val="9"/>
        <rFont val="맑은 고딕"/>
        <family val="3"/>
        <charset val="129"/>
      </rPr>
      <t xml:space="preserve"> ≥ -1.0</t>
    </r>
    <phoneticPr fontId="34" type="noConversion"/>
  </si>
  <si>
    <r>
      <rPr>
        <sz val="9"/>
        <rFont val="Calibri"/>
        <family val="3"/>
        <charset val="161"/>
      </rPr>
      <t>Ψ</t>
    </r>
    <r>
      <rPr>
        <sz val="9"/>
        <rFont val="맑은 고딕"/>
        <family val="3"/>
        <charset val="129"/>
      </rPr>
      <t xml:space="preserve"> &lt; -1.0</t>
    </r>
    <phoneticPr fontId="34" type="noConversion"/>
  </si>
  <si>
    <r>
      <t xml:space="preserve">247.8 (1 - </t>
    </r>
    <r>
      <rPr>
        <sz val="9"/>
        <rFont val="Calibri"/>
        <family val="3"/>
        <charset val="161"/>
      </rPr>
      <t>Ψ</t>
    </r>
    <r>
      <rPr>
        <sz val="9.5500000000000007"/>
        <rFont val="맑은 고딕"/>
        <family val="3"/>
        <charset val="129"/>
      </rPr>
      <t>)</t>
    </r>
    <r>
      <rPr>
        <vertAlign val="superscript"/>
        <sz val="9.5500000000000007"/>
        <rFont val="맑은 고딕"/>
        <family val="3"/>
        <charset val="129"/>
      </rPr>
      <t>0.32</t>
    </r>
    <phoneticPr fontId="34" type="noConversion"/>
  </si>
  <si>
    <t xml:space="preserve">In this case, the distances between the first and second stiffener to the inner surface of the compression </t>
    <phoneticPr fontId="34" type="noConversion"/>
  </si>
  <si>
    <r>
      <t>flange are taken as 0.14D and 0.36D, thus, d</t>
    </r>
    <r>
      <rPr>
        <vertAlign val="subscript"/>
        <sz val="9"/>
        <rFont val="맑은 고딕"/>
        <family val="3"/>
        <charset val="129"/>
        <scheme val="major"/>
      </rPr>
      <t>sc</t>
    </r>
    <r>
      <rPr>
        <sz val="9"/>
        <rFont val="맑은 고딕"/>
        <family val="3"/>
        <charset val="129"/>
        <scheme val="major"/>
      </rPr>
      <t xml:space="preserve"> would be 0.25D </t>
    </r>
    <phoneticPr fontId="34" type="noConversion"/>
  </si>
  <si>
    <r>
      <t>k = 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</si>
  <si>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 xml:space="preserve">→ For the unstiffened web </t>
    <phoneticPr fontId="34" type="noConversion"/>
  </si>
  <si>
    <t>→ For two longitudinal stiffener, k is calculated by equations proposed in below papers</t>
    <phoneticPr fontId="34" type="noConversion"/>
  </si>
  <si>
    <t xml:space="preserve">Kim, Byung Jun, et al. "Web bend-buckling strength of plate girders with two longitudinal web </t>
    <phoneticPr fontId="34" type="noConversion"/>
  </si>
  <si>
    <t>stiffeners." Structural Engineering and Mechanics 69.4 (2019): 383-397.</t>
    <phoneticPr fontId="34" type="noConversion"/>
  </si>
  <si>
    <t>ns</t>
    <phoneticPr fontId="34" type="noConversion"/>
  </si>
  <si>
    <t>Fyw</t>
    <phoneticPr fontId="34" type="noConversion"/>
  </si>
  <si>
    <t>Material (Fy)</t>
    <phoneticPr fontId="34" type="noConversion"/>
  </si>
  <si>
    <t>HSB380</t>
  </si>
  <si>
    <t>SM355</t>
  </si>
  <si>
    <t>SS235</t>
  </si>
  <si>
    <t>SS275</t>
  </si>
  <si>
    <t>SM275</t>
  </si>
  <si>
    <t>SMA275</t>
  </si>
  <si>
    <t>SMA355</t>
  </si>
  <si>
    <t>SM420</t>
  </si>
  <si>
    <t>SM460</t>
  </si>
  <si>
    <t>SMA460</t>
  </si>
  <si>
    <t>HSB460</t>
  </si>
  <si>
    <t>HSB690</t>
  </si>
  <si>
    <t>16-40</t>
    <phoneticPr fontId="34" type="noConversion"/>
  </si>
  <si>
    <t>40-75</t>
    <phoneticPr fontId="34" type="noConversion"/>
  </si>
  <si>
    <t>75-100</t>
    <phoneticPr fontId="34" type="noConversion"/>
  </si>
  <si>
    <t>&gt;100</t>
    <phoneticPr fontId="34" type="noConversion"/>
  </si>
  <si>
    <t>Fy of Material</t>
    <phoneticPr fontId="34" type="noConversion"/>
  </si>
  <si>
    <t>Fytf</t>
    <phoneticPr fontId="34" type="noConversion"/>
  </si>
  <si>
    <t>Fybf</t>
    <phoneticPr fontId="34" type="noConversion"/>
  </si>
  <si>
    <t>Fyr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</si>
  <si>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 xml:space="preserve"> = max [min (0.7F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)] , 0.5F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] </t>
    </r>
    <phoneticPr fontId="34" type="noConversion"/>
  </si>
  <si>
    <t>Fyst</t>
    <phoneticPr fontId="34" type="noConversion"/>
  </si>
  <si>
    <t>Fysb</t>
    <phoneticPr fontId="34" type="noConversion"/>
  </si>
  <si>
    <t>Top rib</t>
    <phoneticPr fontId="34" type="noConversion"/>
  </si>
  <si>
    <t>Bot Rib</t>
    <phoneticPr fontId="34" type="noConversion"/>
  </si>
  <si>
    <t>Table 7.3.2. Calculation depth of web in compression in elastic range and Checking bend-buckling resistance for webs</t>
    <phoneticPr fontId="34" type="noConversion"/>
  </si>
  <si>
    <t>Table 7.3.3. Checking rebar stress</t>
    <phoneticPr fontId="34" type="noConversion"/>
  </si>
  <si>
    <t>1. Steel only</t>
    <phoneticPr fontId="34" type="noConversion"/>
  </si>
  <si>
    <t>2.1.Steel + bottom conc (shorttime)</t>
    <phoneticPr fontId="34" type="noConversion"/>
  </si>
  <si>
    <t>2.2.Steel + bottom conc (longtime)</t>
    <phoneticPr fontId="34" type="noConversion"/>
  </si>
  <si>
    <t>3.1.Steel + deckslab (shorttime)</t>
    <phoneticPr fontId="34" type="noConversion"/>
  </si>
  <si>
    <t>3.2.Steel + deckslab (longtime)</t>
    <phoneticPr fontId="34" type="noConversion"/>
  </si>
  <si>
    <t>4.1.Steel + bottom conc + rebar (shorttime)</t>
    <phoneticPr fontId="34" type="noConversion"/>
  </si>
  <si>
    <t>4.2.Steel + bottom conc+rebar (longtime)</t>
    <phoneticPr fontId="34" type="noConversion"/>
  </si>
  <si>
    <t>Iy1</t>
    <phoneticPr fontId="34" type="noConversion"/>
  </si>
  <si>
    <t>Iy1web</t>
    <phoneticPr fontId="34" type="noConversion"/>
  </si>
  <si>
    <t>Iyrib</t>
    <phoneticPr fontId="34" type="noConversion"/>
  </si>
  <si>
    <t>Iycon'c</t>
    <phoneticPr fontId="34" type="noConversion"/>
  </si>
  <si>
    <t>Iy2s</t>
    <phoneticPr fontId="34" type="noConversion"/>
  </si>
  <si>
    <t>Iy2l</t>
    <phoneticPr fontId="34" type="noConversion"/>
  </si>
  <si>
    <t>Iydeck</t>
    <phoneticPr fontId="34" type="noConversion"/>
  </si>
  <si>
    <t>Iy3s</t>
    <phoneticPr fontId="34" type="noConversion"/>
  </si>
  <si>
    <t>Iy3l</t>
    <phoneticPr fontId="34" type="noConversion"/>
  </si>
  <si>
    <t>Iy4s</t>
    <phoneticPr fontId="34" type="noConversion"/>
  </si>
  <si>
    <t>Iy4l</t>
    <phoneticPr fontId="34" type="noConversion"/>
  </si>
  <si>
    <t>I22</t>
    <phoneticPr fontId="34" type="noConversion"/>
  </si>
  <si>
    <t>Radius</t>
    <phoneticPr fontId="34" type="noConversion"/>
  </si>
  <si>
    <t>Haunch</t>
    <phoneticPr fontId="34" type="noConversion"/>
  </si>
  <si>
    <t>cantilever</t>
    <phoneticPr fontId="34" type="noConversion"/>
  </si>
  <si>
    <t>Ix1</t>
    <phoneticPr fontId="34" type="noConversion"/>
  </si>
  <si>
    <t>Ix2s</t>
    <phoneticPr fontId="34" type="noConversion"/>
  </si>
  <si>
    <t>Ix2l</t>
    <phoneticPr fontId="34" type="noConversion"/>
  </si>
  <si>
    <t>Ix3s</t>
    <phoneticPr fontId="34" type="noConversion"/>
  </si>
  <si>
    <t>Ix3l</t>
    <phoneticPr fontId="34" type="noConversion"/>
  </si>
  <si>
    <t>Ix4s</t>
    <phoneticPr fontId="34" type="noConversion"/>
  </si>
  <si>
    <t>Ix4l</t>
    <phoneticPr fontId="34" type="noConversion"/>
  </si>
  <si>
    <t>Moment inertia bout Y axis</t>
    <phoneticPr fontId="34" type="noConversion"/>
  </si>
  <si>
    <t>Bracing Systems</t>
    <phoneticPr fontId="34" type="noConversion"/>
  </si>
  <si>
    <t>Btype</t>
    <phoneticPr fontId="34" type="noConversion"/>
  </si>
  <si>
    <t>W</t>
  </si>
  <si>
    <t>W</t>
    <phoneticPr fontId="34" type="noConversion"/>
  </si>
  <si>
    <t>Bspacing</t>
    <phoneticPr fontId="34" type="noConversion"/>
  </si>
  <si>
    <t>Bdia</t>
    <phoneticPr fontId="34" type="noConversion"/>
  </si>
  <si>
    <t>Bstr</t>
    <phoneticPr fontId="34" type="noConversion"/>
  </si>
  <si>
    <t>175x15</t>
    <phoneticPr fontId="34" type="noConversion"/>
  </si>
  <si>
    <t>100x10</t>
    <phoneticPr fontId="34" type="noConversion"/>
  </si>
  <si>
    <t>150x10</t>
    <phoneticPr fontId="34" type="noConversion"/>
  </si>
  <si>
    <t>-</t>
    <phoneticPr fontId="34" type="noConversion"/>
  </si>
  <si>
    <t>칫수 및 단면성능</t>
  </si>
  <si>
    <t>Dimensions and Sectional Properties</t>
  </si>
  <si>
    <t>KS D 3503, 3515/3502</t>
  </si>
  <si>
    <t>공칭칫수</t>
  </si>
  <si>
    <t>표준단면칫수</t>
  </si>
  <si>
    <t>단면적</t>
  </si>
  <si>
    <t>단위</t>
  </si>
  <si>
    <t>중심의</t>
  </si>
  <si>
    <t>단면2차모멘트</t>
  </si>
  <si>
    <t>단면2차반경</t>
  </si>
  <si>
    <t>단면계수</t>
  </si>
  <si>
    <t>Nominal</t>
  </si>
  <si>
    <t>Standard</t>
  </si>
  <si>
    <t>Sect-</t>
  </si>
  <si>
    <t>중량</t>
  </si>
  <si>
    <t>위치</t>
  </si>
  <si>
    <t>Moment of</t>
  </si>
  <si>
    <t>Radius of</t>
  </si>
  <si>
    <t>Modulus</t>
  </si>
  <si>
    <t>Size</t>
  </si>
  <si>
    <t>Sectional</t>
  </si>
  <si>
    <t>ional</t>
  </si>
  <si>
    <t>Unit</t>
  </si>
  <si>
    <t>Center</t>
  </si>
  <si>
    <t>Inertia</t>
  </si>
  <si>
    <t>Gyration</t>
  </si>
  <si>
    <t>of</t>
  </si>
  <si>
    <t>(mm)</t>
  </si>
  <si>
    <t>Dimensions</t>
  </si>
  <si>
    <t>Area</t>
  </si>
  <si>
    <t>Weight</t>
  </si>
  <si>
    <t>( cm⁴)</t>
  </si>
  <si>
    <t>(cm)</t>
  </si>
  <si>
    <t>Section</t>
  </si>
  <si>
    <t>(cm²)</t>
  </si>
  <si>
    <t>(kg/m)</t>
  </si>
  <si>
    <t>Gravity</t>
  </si>
  <si>
    <t>(cm³)</t>
  </si>
  <si>
    <t>H×B</t>
  </si>
  <si>
    <t>R1</t>
  </si>
  <si>
    <t>R2</t>
  </si>
  <si>
    <t>A</t>
  </si>
  <si>
    <t>Cx=Cy</t>
  </si>
  <si>
    <t>Ix=Iy</t>
  </si>
  <si>
    <t>max.</t>
  </si>
  <si>
    <t>min Iv</t>
  </si>
  <si>
    <t>ix=iy</t>
  </si>
  <si>
    <t>min iv</t>
  </si>
  <si>
    <t>Zx=Zy</t>
  </si>
  <si>
    <t>Iu</t>
  </si>
  <si>
    <t>iu</t>
  </si>
  <si>
    <t>25×25</t>
  </si>
  <si>
    <t>30×30</t>
  </si>
  <si>
    <t>40×40</t>
  </si>
  <si>
    <t>45×45</t>
  </si>
  <si>
    <t>50×50</t>
  </si>
  <si>
    <t>60×60</t>
  </si>
  <si>
    <t>65×65</t>
  </si>
  <si>
    <t>70×70</t>
  </si>
  <si>
    <t>75×75</t>
  </si>
  <si>
    <t>80×80</t>
  </si>
  <si>
    <t>90×90</t>
  </si>
  <si>
    <t>100×100</t>
  </si>
  <si>
    <t>120×120</t>
  </si>
  <si>
    <t>130×130</t>
  </si>
  <si>
    <t>150×150</t>
  </si>
  <si>
    <t>175×175</t>
  </si>
  <si>
    <t>200×200</t>
  </si>
  <si>
    <t>250×250</t>
  </si>
  <si>
    <t>-</t>
    <phoneticPr fontId="34" type="noConversion"/>
  </si>
  <si>
    <t>Bad</t>
    <phoneticPr fontId="34" type="noConversion"/>
  </si>
  <si>
    <t>Bat</t>
    <phoneticPr fontId="34" type="noConversion"/>
  </si>
  <si>
    <t>teq</t>
    <phoneticPr fontId="34" type="noConversion"/>
  </si>
  <si>
    <t>Web</t>
    <phoneticPr fontId="34" type="noConversion"/>
  </si>
  <si>
    <t>Fyr</t>
    <phoneticPr fontId="34" type="noConversion"/>
  </si>
  <si>
    <t>tseq</t>
    <phoneticPr fontId="34" type="noConversion"/>
  </si>
  <si>
    <t>I22</t>
    <phoneticPr fontId="34" type="noConversion"/>
  </si>
  <si>
    <t>Ix1 / YU1</t>
    <phoneticPr fontId="34" type="noConversion"/>
  </si>
  <si>
    <t>Ix1 / YL1</t>
    <phoneticPr fontId="34" type="noConversion"/>
  </si>
  <si>
    <t>Ix2</t>
    <phoneticPr fontId="34" type="noConversion"/>
  </si>
  <si>
    <r>
      <t>Ix1 + 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Ic/n + Ac/n∙Yc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</si>
  <si>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Ix1+A1∙Y1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Ic/3/n + Ac/3/n∙Yc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</si>
  <si>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Ix3</t>
    <phoneticPr fontId="34" type="noConversion"/>
  </si>
  <si>
    <r>
      <t>Ix1 + 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Is/n + As/n∙Ys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Ih/n + Ah/n∙Yh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</si>
  <si>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Ix1 + 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Is/3/n + As/3/n∙Ys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Ih/3/n + Ah/3/n∙Yh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</si>
  <si>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Ix4</t>
    <phoneticPr fontId="34" type="noConversion"/>
  </si>
  <si>
    <r>
      <t>Ix2 + A2∙Y2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Irt + Art∙Yrt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Irb + Arb∙Yrb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</si>
  <si>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Ix2 + A2∙Y2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Irt/3 + Art/3∙Yrt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Irb + Arb/3∙Yrb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</si>
  <si>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J1</t>
  </si>
  <si>
    <t>J1</t>
    <phoneticPr fontId="34" type="noConversion"/>
  </si>
  <si>
    <t>J2s</t>
  </si>
  <si>
    <t>J2s</t>
    <phoneticPr fontId="34" type="noConversion"/>
  </si>
  <si>
    <t>J2l</t>
  </si>
  <si>
    <t>J2l</t>
    <phoneticPr fontId="34" type="noConversion"/>
  </si>
  <si>
    <t>J3s</t>
  </si>
  <si>
    <t>J3s</t>
    <phoneticPr fontId="34" type="noConversion"/>
  </si>
  <si>
    <t>J3l</t>
  </si>
  <si>
    <t>J3l</t>
    <phoneticPr fontId="34" type="noConversion"/>
  </si>
  <si>
    <t>J4s</t>
  </si>
  <si>
    <t>J4s</t>
    <phoneticPr fontId="34" type="noConversion"/>
  </si>
  <si>
    <t>J4l</t>
  </si>
  <si>
    <t>J4l</t>
    <phoneticPr fontId="34" type="noConversion"/>
  </si>
  <si>
    <t>Torsion</t>
    <phoneticPr fontId="34" type="noConversion"/>
  </si>
  <si>
    <t>Ix1</t>
  </si>
  <si>
    <t>Iy1</t>
  </si>
  <si>
    <t>Ix2s</t>
  </si>
  <si>
    <t>Iy2s</t>
  </si>
  <si>
    <t>Ix2L</t>
  </si>
  <si>
    <t>Iy2l</t>
  </si>
  <si>
    <t>Ix3s</t>
  </si>
  <si>
    <t>Iy3s</t>
  </si>
  <si>
    <t>Ix3l</t>
  </si>
  <si>
    <t>Iy3l</t>
  </si>
  <si>
    <t>Ix4s</t>
  </si>
  <si>
    <t>Iy4s</t>
  </si>
  <si>
    <t>Ix4l</t>
  </si>
  <si>
    <t>Iy4l</t>
  </si>
  <si>
    <t>Transverse Stiffener</t>
    <phoneticPr fontId="34" type="noConversion"/>
  </si>
  <si>
    <t>bt</t>
    <phoneticPr fontId="34" type="noConversion"/>
  </si>
  <si>
    <t>tp</t>
    <phoneticPr fontId="34" type="noConversion"/>
  </si>
  <si>
    <t>StiffType</t>
    <phoneticPr fontId="34" type="noConversion"/>
  </si>
  <si>
    <t>bl</t>
    <phoneticPr fontId="34" type="noConversion"/>
  </si>
  <si>
    <t>tsl</t>
    <phoneticPr fontId="34" type="noConversion"/>
  </si>
  <si>
    <t>Longitudinal Stiffener</t>
    <phoneticPr fontId="34" type="noConversion"/>
  </si>
  <si>
    <t>Single-sided</t>
    <phoneticPr fontId="34" type="noConversion"/>
  </si>
  <si>
    <t>tdia</t>
    <phoneticPr fontId="34" type="noConversion"/>
  </si>
  <si>
    <t>Diaphragm</t>
    <phoneticPr fontId="34" type="noConversion"/>
  </si>
  <si>
    <t>Flange - to Web Weld</t>
    <phoneticPr fontId="34" type="noConversion"/>
  </si>
  <si>
    <t>Wtop</t>
    <phoneticPr fontId="34" type="noConversion"/>
  </si>
  <si>
    <t>Wbot</t>
    <phoneticPr fontId="34" type="noConversion"/>
  </si>
  <si>
    <t>D1</t>
    <phoneticPr fontId="34" type="noConversion"/>
  </si>
  <si>
    <t>D2</t>
    <phoneticPr fontId="34" type="noConversion"/>
  </si>
  <si>
    <t>MLLfmax</t>
    <phoneticPr fontId="34" type="noConversion"/>
  </si>
  <si>
    <t>MLLfmin</t>
    <phoneticPr fontId="34" type="noConversion"/>
  </si>
  <si>
    <t>SLLfmax</t>
    <phoneticPr fontId="34" type="noConversion"/>
  </si>
  <si>
    <t>SLLfmin</t>
    <phoneticPr fontId="34" type="noConversion"/>
  </si>
  <si>
    <t>TLLfmax</t>
    <phoneticPr fontId="34" type="noConversion"/>
  </si>
  <si>
    <t>TLLfmin</t>
    <phoneticPr fontId="34" type="noConversion"/>
  </si>
  <si>
    <t>→</t>
    <phoneticPr fontId="34" type="noConversion"/>
  </si>
  <si>
    <t>내측거더의 유효폭</t>
    <phoneticPr fontId="34" type="noConversion"/>
  </si>
  <si>
    <t>외측거더의 유효폭</t>
    <phoneticPr fontId="34" type="noConversion"/>
  </si>
  <si>
    <t>개구단면</t>
    <phoneticPr fontId="34" type="noConversion"/>
  </si>
  <si>
    <t xml:space="preserve">■ </t>
  </si>
  <si>
    <t>폐합단면</t>
    <phoneticPr fontId="34" type="noConversion"/>
  </si>
  <si>
    <t>단면계수 산정</t>
    <phoneticPr fontId="34" type="noConversion"/>
  </si>
  <si>
    <t>5.1. 유호폭 계산</t>
    <phoneticPr fontId="34" type="noConversion"/>
  </si>
  <si>
    <r>
      <t>6t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max(0.5w , 0.25b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4" type="noConversion"/>
  </si>
  <si>
    <t>① 내측거더의 유효폭</t>
    <phoneticPr fontId="34" type="noConversion"/>
  </si>
  <si>
    <t>② 외측거더의 유효폭</t>
    <phoneticPr fontId="34" type="noConversion"/>
  </si>
  <si>
    <r>
      <t>12t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max(w , 0.5b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4" type="noConversion"/>
  </si>
  <si>
    <t>average(a1 + w/2 , a2 + w/2)</t>
    <phoneticPr fontId="34" type="noConversion"/>
  </si>
  <si>
    <r>
      <t>0.125L</t>
    </r>
    <r>
      <rPr>
        <vertAlign val="subscript"/>
        <sz val="9"/>
        <rFont val="맑은 고딕"/>
        <family val="3"/>
        <charset val="129"/>
      </rPr>
      <t>eff</t>
    </r>
    <phoneticPr fontId="34" type="noConversion"/>
  </si>
  <si>
    <t>b + w/2</t>
    <phoneticPr fontId="34" type="noConversion"/>
  </si>
  <si>
    <t>beff(내측)  =   MIN</t>
    <phoneticPr fontId="34" type="noConversion"/>
  </si>
  <si>
    <t>beff(외측) = 0.5beff(내측) + MIN</t>
    <phoneticPr fontId="34" type="noConversion"/>
  </si>
  <si>
    <t xml:space="preserve"> = 2 * beff(내측)</t>
    <phoneticPr fontId="34" type="noConversion"/>
  </si>
  <si>
    <t xml:space="preserve"> = beff(내측) + beff(외측)</t>
    <phoneticPr fontId="34" type="noConversion"/>
  </si>
  <si>
    <t>= MIN</t>
    <phoneticPr fontId="34" type="noConversion"/>
  </si>
  <si>
    <t>= beff(내측) / 2 + MIN</t>
    <phoneticPr fontId="34" type="noConversion"/>
  </si>
  <si>
    <t>beff</t>
    <phoneticPr fontId="34" type="noConversion"/>
  </si>
  <si>
    <t>Left</t>
    <phoneticPr fontId="34" type="noConversion"/>
  </si>
  <si>
    <t>Right</t>
    <phoneticPr fontId="34" type="noConversion"/>
  </si>
  <si>
    <t>aL</t>
    <phoneticPr fontId="34" type="noConversion"/>
  </si>
  <si>
    <t>aR</t>
    <phoneticPr fontId="34" type="noConversion"/>
  </si>
  <si>
    <t>rt</t>
    <phoneticPr fontId="34" type="noConversion"/>
  </si>
  <si>
    <t>*</t>
    <phoneticPr fontId="34" type="noConversion"/>
  </si>
  <si>
    <t>/</t>
    <phoneticPr fontId="34" type="noConversion"/>
  </si>
  <si>
    <t xml:space="preserve">) = </t>
    <phoneticPr fontId="34" type="noConversion"/>
  </si>
  <si>
    <t>)]</t>
    <phoneticPr fontId="34" type="noConversion"/>
  </si>
  <si>
    <t xml:space="preserve"> /  3  / </t>
    <phoneticPr fontId="34" type="noConversion"/>
  </si>
  <si>
    <t>²  /  12</t>
    <phoneticPr fontId="34" type="noConversion"/>
  </si>
  <si>
    <t xml:space="preserve">√[ 12 (1 + </t>
    <phoneticPr fontId="34" type="noConversion"/>
  </si>
  <si>
    <t>여기서</t>
    <phoneticPr fontId="34" type="noConversion"/>
  </si>
  <si>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v</t>
    </r>
    <phoneticPr fontId="34" type="noConversion"/>
  </si>
  <si>
    <t>) * 25 ] / 2</t>
    <phoneticPr fontId="34" type="noConversion"/>
  </si>
  <si>
    <t>²  /  6</t>
    <phoneticPr fontId="34" type="noConversion"/>
  </si>
  <si>
    <t>⇒</t>
  </si>
  <si>
    <t>⇒</t>
    <phoneticPr fontId="34" type="noConversion"/>
  </si>
  <si>
    <r>
      <t>S</t>
    </r>
    <r>
      <rPr>
        <vertAlign val="subscript"/>
        <sz val="9"/>
        <rFont val="맑은 고딕"/>
        <family val="3"/>
        <charset val="129"/>
      </rPr>
      <t>ℓ</t>
    </r>
    <phoneticPr fontId="34" type="noConversion"/>
  </si>
  <si>
    <t>* 78.5 + (</t>
    <phoneticPr fontId="34" type="noConversion"/>
  </si>
  <si>
    <t>* √ (</t>
    <phoneticPr fontId="34" type="noConversion"/>
  </si>
  <si>
    <t xml:space="preserve">1 * 1 * </t>
    <phoneticPr fontId="34" type="noConversion"/>
  </si>
  <si>
    <t>(</t>
    <phoneticPr fontId="34" type="noConversion"/>
  </si>
  <si>
    <t>)²</t>
    <phoneticPr fontId="34" type="noConversion"/>
  </si>
  <si>
    <t>Mpa</t>
    <phoneticPr fontId="34" type="noConversion"/>
  </si>
  <si>
    <t>∴</t>
    <phoneticPr fontId="34" type="noConversion"/>
  </si>
  <si>
    <t xml:space="preserve">Ratio = </t>
    <phoneticPr fontId="34" type="noConversion"/>
  </si>
  <si>
    <t>Stage 1 (Steel-only)</t>
    <phoneticPr fontId="34" type="noConversion"/>
  </si>
  <si>
    <t>)</t>
    <phoneticPr fontId="34" type="noConversion"/>
  </si>
  <si>
    <t xml:space="preserve">Stage 2 (Bottom concrete 있음) </t>
    <phoneticPr fontId="34" type="noConversion"/>
  </si>
  <si>
    <t>;</t>
    <phoneticPr fontId="34" type="noConversion"/>
  </si>
  <si>
    <t>,</t>
    <phoneticPr fontId="34" type="noConversion"/>
  </si>
  <si>
    <t xml:space="preserve">( 3 * </t>
    <phoneticPr fontId="34" type="noConversion"/>
  </si>
  <si>
    <t>³ )</t>
    <phoneticPr fontId="34" type="noConversion"/>
  </si>
  <si>
    <t xml:space="preserve">12 + 2 * </t>
    <phoneticPr fontId="34" type="noConversion"/>
  </si>
  <si>
    <r>
      <t>12+β(3ρ  -ρ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phoneticPr fontId="34" type="noConversion"/>
  </si>
  <si>
    <r>
      <t>12 + 2</t>
    </r>
    <r>
      <rPr>
        <sz val="9"/>
        <rFont val="Calibri"/>
        <family val="3"/>
        <charset val="161"/>
      </rPr>
      <t>β</t>
    </r>
    <phoneticPr fontId="34" type="noConversion"/>
  </si>
  <si>
    <t xml:space="preserve">= </t>
    <phoneticPr fontId="34" type="noConversion"/>
  </si>
  <si>
    <t>0.38 * √ (</t>
    <phoneticPr fontId="34" type="noConversion"/>
  </si>
  <si>
    <t>0.56 * √ (</t>
    <phoneticPr fontId="34" type="noConversion"/>
  </si>
  <si>
    <t>Check condition</t>
    <phoneticPr fontId="34" type="noConversion"/>
  </si>
  <si>
    <t>(2)</t>
  </si>
  <si>
    <r>
      <t>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≤ L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</si>
  <si>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t>Equation 사용</t>
    <phoneticPr fontId="34" type="noConversion"/>
  </si>
  <si>
    <t>fl1 = flange lateral bending stress throughout the unbraced length 산정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</si>
  <si>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= </t>
    </r>
    <phoneticPr fontId="34" type="noConversion"/>
  </si>
  <si>
    <t>*(</t>
    <phoneticPr fontId="34" type="noConversion"/>
  </si>
  <si>
    <t>/</t>
    <phoneticPr fontId="34" type="noConversion"/>
  </si>
  <si>
    <t>*[</t>
    <phoneticPr fontId="34" type="noConversion"/>
  </si>
  <si>
    <t>- (</t>
    <phoneticPr fontId="34" type="noConversion"/>
  </si>
  <si>
    <t>-</t>
    <phoneticPr fontId="34" type="noConversion"/>
  </si>
  <si>
    <t>*</t>
    <phoneticPr fontId="34" type="noConversion"/>
  </si>
  <si>
    <t>)(</t>
    <phoneticPr fontId="34" type="noConversion"/>
  </si>
  <si>
    <t>=</t>
    <phoneticPr fontId="34" type="noConversion"/>
  </si>
  <si>
    <t>)]*</t>
    <phoneticPr fontId="34" type="noConversion"/>
  </si>
  <si>
    <t>Min (</t>
    <phoneticPr fontId="34" type="noConversion"/>
  </si>
  <si>
    <t>,</t>
    <phoneticPr fontId="34" type="noConversion"/>
  </si>
  <si>
    <t>)</t>
    <phoneticPr fontId="34" type="noConversion"/>
  </si>
  <si>
    <t>(</t>
    <phoneticPr fontId="34" type="noConversion"/>
  </si>
  <si>
    <t>+</t>
    <phoneticPr fontId="34" type="noConversion"/>
  </si>
  <si>
    <t xml:space="preserve">- 2 * </t>
    <phoneticPr fontId="34" type="noConversion"/>
  </si>
  <si>
    <t xml:space="preserve">+ 0.5 * </t>
    <phoneticPr fontId="34" type="noConversion"/>
  </si>
  <si>
    <t>) / 2</t>
    <phoneticPr fontId="34" type="noConversion"/>
  </si>
  <si>
    <t>1.25 * (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</si>
  <si>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</si>
  <si>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yt</t>
    </r>
    <phoneticPr fontId="34" type="noConversion"/>
  </si>
  <si>
    <t>Section</t>
    <phoneticPr fontId="34" type="noConversion"/>
  </si>
  <si>
    <t>1-1</t>
    <phoneticPr fontId="34" type="noConversion"/>
  </si>
  <si>
    <t>2-2</t>
    <phoneticPr fontId="34" type="noConversion"/>
  </si>
  <si>
    <t>3-3</t>
    <phoneticPr fontId="34" type="noConversion"/>
  </si>
  <si>
    <t>4-4</t>
    <phoneticPr fontId="34" type="noConversion"/>
  </si>
  <si>
    <t>5-5</t>
    <phoneticPr fontId="34" type="noConversion"/>
  </si>
  <si>
    <t>A</t>
    <phoneticPr fontId="34" type="noConversion"/>
  </si>
  <si>
    <t>I</t>
    <phoneticPr fontId="34" type="noConversion"/>
  </si>
  <si>
    <t>단면개수</t>
    <phoneticPr fontId="34" type="noConversion"/>
  </si>
  <si>
    <t>부재력</t>
    <phoneticPr fontId="34" type="noConversion"/>
  </si>
  <si>
    <t>Top flange</t>
    <phoneticPr fontId="34" type="noConversion"/>
  </si>
  <si>
    <t>1. Section:</t>
    <phoneticPr fontId="34" type="noConversion"/>
  </si>
  <si>
    <t>Bottom flange</t>
    <phoneticPr fontId="34" type="noConversion"/>
  </si>
  <si>
    <t>Web</t>
    <phoneticPr fontId="34" type="noConversion"/>
  </si>
  <si>
    <t>Deck</t>
    <phoneticPr fontId="34" type="noConversion"/>
  </si>
  <si>
    <t>Station</t>
    <phoneticPr fontId="34" type="noConversion"/>
  </si>
  <si>
    <t>=</t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</si>
  <si>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phoneticPr fontId="34" type="noConversion"/>
  </si>
  <si>
    <r>
      <t>tan</t>
    </r>
    <r>
      <rPr>
        <sz val="9"/>
        <rFont val="Calibri"/>
        <family val="3"/>
        <charset val="161"/>
      </rPr>
      <t>α</t>
    </r>
    <phoneticPr fontId="34" type="noConversion"/>
  </si>
  <si>
    <t>Positive / Negative moment</t>
    <phoneticPr fontId="34" type="noConversion"/>
  </si>
  <si>
    <t>상부플랜지</t>
    <phoneticPr fontId="34" type="noConversion"/>
  </si>
  <si>
    <t>면적</t>
    <phoneticPr fontId="34" type="noConversion"/>
  </si>
  <si>
    <t>- Bottom concrete</t>
    <phoneticPr fontId="34" type="noConversion"/>
  </si>
  <si>
    <t>- Deck</t>
    <phoneticPr fontId="34" type="noConversion"/>
  </si>
  <si>
    <t>- Depth</t>
    <phoneticPr fontId="34" type="noConversion"/>
  </si>
  <si>
    <t>- Thickness</t>
    <phoneticPr fontId="34" type="noConversion"/>
  </si>
  <si>
    <t>- Slope</t>
    <phoneticPr fontId="34" type="noConversion"/>
  </si>
  <si>
    <t>비지지걸이</t>
    <phoneticPr fontId="34" type="noConversion"/>
  </si>
  <si>
    <t>- Cantilever</t>
    <phoneticPr fontId="34" type="noConversion"/>
  </si>
  <si>
    <t>b + D * tanΦ</t>
    <phoneticPr fontId="34" type="noConversion"/>
  </si>
  <si>
    <t>R</t>
    <phoneticPr fontId="34" type="noConversion"/>
  </si>
  <si>
    <t>곡선 반경 (직선경우 R = 0)</t>
    <phoneticPr fontId="34" type="noConversion"/>
  </si>
  <si>
    <t>- Moment</t>
    <phoneticPr fontId="34" type="noConversion"/>
  </si>
  <si>
    <t>- Stage 1: Steel only</t>
    <phoneticPr fontId="34" type="noConversion"/>
  </si>
  <si>
    <t>- Stage 2: Bottom concrete</t>
    <phoneticPr fontId="34" type="noConversion"/>
  </si>
  <si>
    <t>(Shottime)</t>
    <phoneticPr fontId="34" type="noConversion"/>
  </si>
  <si>
    <t>- 개수</t>
    <phoneticPr fontId="34" type="noConversion"/>
  </si>
  <si>
    <t>- 폭</t>
    <phoneticPr fontId="34" type="noConversion"/>
  </si>
  <si>
    <t>- 두께</t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</si>
  <si>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≤ 1.2L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√(C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4" type="noConversion"/>
  </si>
  <si>
    <t>fℓ</t>
    <phoneticPr fontId="34" type="noConversion"/>
  </si>
  <si>
    <t>=</t>
    <phoneticPr fontId="34" type="noConversion"/>
  </si>
  <si>
    <t>≤</t>
    <phoneticPr fontId="34" type="noConversion"/>
  </si>
  <si>
    <r>
      <t>0.6F</t>
    </r>
    <r>
      <rPr>
        <b/>
        <vertAlign val="subscript"/>
        <sz val="9"/>
        <rFont val="맑은 고딕"/>
        <family val="3"/>
        <charset val="129"/>
      </rPr>
      <t>yf</t>
    </r>
    <phoneticPr fontId="34" type="noConversion"/>
  </si>
  <si>
    <t>Checking 횡방향 휨응력 상부플랜지</t>
    <phoneticPr fontId="34" type="noConversion"/>
  </si>
  <si>
    <t>∴</t>
    <phoneticPr fontId="34" type="noConversion"/>
  </si>
  <si>
    <t>*</t>
    <phoneticPr fontId="34" type="noConversion"/>
  </si>
  <si>
    <t xml:space="preserve">SU =  I / YU = </t>
    <phoneticPr fontId="34" type="noConversion"/>
  </si>
  <si>
    <t xml:space="preserve">SL =  I / YL = </t>
    <phoneticPr fontId="34" type="noConversion"/>
  </si>
  <si>
    <t xml:space="preserve">Compression flange is </t>
    <phoneticPr fontId="34" type="noConversion"/>
  </si>
  <si>
    <t>→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</si>
  <si>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</t>
    </r>
    <phoneticPr fontId="34" type="noConversion"/>
  </si>
  <si>
    <t>사 용 재 료</t>
  </si>
  <si>
    <t xml:space="preserve">- 강재 탄성계수 </t>
    <phoneticPr fontId="34" type="noConversion"/>
  </si>
  <si>
    <t>- 압축플랜지 항복강도</t>
    <phoneticPr fontId="34" type="noConversion"/>
  </si>
  <si>
    <t>- 인장플랜지 항복강도</t>
    <phoneticPr fontId="34" type="noConversion"/>
  </si>
  <si>
    <t>- Web 항복강도</t>
    <phoneticPr fontId="34" type="noConversion"/>
  </si>
  <si>
    <t>Equation 사용</t>
    <phoneticPr fontId="34" type="noConversion"/>
  </si>
  <si>
    <t xml:space="preserve">[ 1 - ( 1 - </t>
    <phoneticPr fontId="34" type="noConversion"/>
  </si>
  <si>
    <t>/</t>
    <phoneticPr fontId="34" type="noConversion"/>
  </si>
  <si>
    <t>)(</t>
    <phoneticPr fontId="34" type="noConversion"/>
  </si>
  <si>
    <t>-</t>
    <phoneticPr fontId="34" type="noConversion"/>
  </si>
  <si>
    <t>)</t>
    <phoneticPr fontId="34" type="noConversion"/>
  </si>
  <si>
    <t>)]</t>
    <phoneticPr fontId="34" type="noConversion"/>
  </si>
  <si>
    <t xml:space="preserve">1 * </t>
    <phoneticPr fontId="34" type="noConversion"/>
  </si>
  <si>
    <t>(</t>
    <phoneticPr fontId="34" type="noConversion"/>
  </si>
  <si>
    <t>)²</t>
    <phoneticPr fontId="34" type="noConversion"/>
  </si>
  <si>
    <t>A0</t>
    <phoneticPr fontId="34" type="noConversion"/>
  </si>
  <si>
    <t>- w</t>
    <phoneticPr fontId="34" type="noConversion"/>
  </si>
  <si>
    <t>fv</t>
    <phoneticPr fontId="34" type="noConversion"/>
  </si>
  <si>
    <t>- Shear</t>
    <phoneticPr fontId="34" type="noConversion"/>
  </si>
  <si>
    <t>- Torsion</t>
    <phoneticPr fontId="34" type="noConversion"/>
  </si>
  <si>
    <t>4) Checking for compression and tension flanges</t>
    <phoneticPr fontId="34" type="noConversion"/>
  </si>
  <si>
    <t>Checking 압축플랜지 응력</t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</si>
  <si>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 xml:space="preserve">l </t>
    </r>
    <phoneticPr fontId="34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</si>
  <si>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  <phoneticPr fontId="34" type="noConversion"/>
  </si>
  <si>
    <t>+</t>
    <phoneticPr fontId="34" type="noConversion"/>
  </si>
  <si>
    <r>
      <t>for slender web with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= 0, the equation f</t>
    </r>
    <r>
      <rPr>
        <i/>
        <vertAlign val="subscript"/>
        <sz val="9"/>
        <rFont val="맑은 고딕"/>
        <family val="3"/>
        <charset val="129"/>
      </rPr>
      <t>bu</t>
    </r>
    <r>
      <rPr>
        <i/>
        <sz val="9"/>
        <rFont val="맑은 고딕"/>
        <family val="3"/>
        <charset val="129"/>
      </rPr>
      <t xml:space="preserve"> +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≤ </t>
    </r>
    <r>
      <rPr>
        <i/>
        <sz val="9"/>
        <rFont val="Calibri"/>
        <family val="3"/>
        <charset val="161"/>
      </rPr>
      <t>Φ</t>
    </r>
    <r>
      <rPr>
        <i/>
        <vertAlign val="subscript"/>
        <sz val="9"/>
        <rFont val="맑은 고딕"/>
        <family val="3"/>
        <charset val="129"/>
      </rPr>
      <t>f</t>
    </r>
    <r>
      <rPr>
        <i/>
        <sz val="9"/>
        <rFont val="맑은 고딕"/>
        <family val="3"/>
        <charset val="129"/>
      </rPr>
      <t>R</t>
    </r>
    <r>
      <rPr>
        <i/>
        <vertAlign val="subscript"/>
        <sz val="9"/>
        <rFont val="맑은 고딕"/>
        <family val="3"/>
        <charset val="129"/>
      </rPr>
      <t>h</t>
    </r>
    <r>
      <rPr>
        <i/>
        <sz val="9"/>
        <rFont val="맑은 고딕"/>
        <family val="3"/>
        <charset val="129"/>
      </rPr>
      <t>F</t>
    </r>
    <r>
      <rPr>
        <i/>
        <vertAlign val="subscript"/>
        <sz val="9"/>
        <rFont val="맑은 고딕"/>
        <family val="3"/>
        <charset val="129"/>
      </rPr>
      <t>yc</t>
    </r>
    <r>
      <rPr>
        <i/>
        <sz val="9"/>
        <rFont val="맑은 고딕"/>
        <family val="3"/>
        <charset val="129"/>
      </rPr>
      <t xml:space="preserve"> will not be checked</t>
    </r>
    <phoneticPr fontId="34" type="noConversion"/>
  </si>
  <si>
    <r>
      <rPr>
        <sz val="9"/>
        <rFont val="Calibri"/>
        <family val="3"/>
        <charset val="161"/>
      </rPr>
      <t>π</t>
    </r>
    <r>
      <rPr>
        <sz val="9"/>
        <rFont val="맑은 고딕"/>
        <family val="3"/>
        <charset val="129"/>
      </rPr>
      <t>²</t>
    </r>
    <phoneticPr fontId="34" type="noConversion"/>
  </si>
  <si>
    <t>Station</t>
    <phoneticPr fontId="34" type="noConversion"/>
  </si>
  <si>
    <t>m</t>
    <phoneticPr fontId="34" type="noConversion"/>
  </si>
  <si>
    <t>mm</t>
    <phoneticPr fontId="34" type="noConversion"/>
  </si>
  <si>
    <r>
      <t>mm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</si>
  <si>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- 상부플랜지 항복강도</t>
    <phoneticPr fontId="34" type="noConversion"/>
  </si>
  <si>
    <t>- 하부플랜지항복강도</t>
    <phoneticPr fontId="34" type="noConversion"/>
  </si>
  <si>
    <t>Description</t>
    <phoneticPr fontId="34" type="noConversion"/>
  </si>
  <si>
    <t>Unit</t>
    <phoneticPr fontId="34" type="noConversion"/>
  </si>
  <si>
    <t>Value</t>
    <phoneticPr fontId="34" type="noConversion"/>
  </si>
  <si>
    <t>Symbol</t>
    <phoneticPr fontId="34" type="noConversion"/>
  </si>
  <si>
    <t>rad</t>
    <phoneticPr fontId="34" type="noConversion"/>
  </si>
  <si>
    <t>kNm</t>
    <phoneticPr fontId="34" type="noConversion"/>
  </si>
  <si>
    <t>kN</t>
    <phoneticPr fontId="34" type="noConversion"/>
  </si>
  <si>
    <r>
      <t>mm</t>
    </r>
    <r>
      <rPr>
        <vertAlign val="subscript"/>
        <sz val="9"/>
        <rFont val="맑은 고딕"/>
        <family val="3"/>
        <charset val="129"/>
      </rPr>
      <t>4</t>
    </r>
    <phoneticPr fontId="34" type="noConversion"/>
  </si>
  <si>
    <r>
      <t>mm</t>
    </r>
    <r>
      <rPr>
        <vertAlign val="superscript"/>
        <sz val="9"/>
        <rFont val="맑은 고딕"/>
        <family val="3"/>
        <charset val="129"/>
      </rPr>
      <t>4</t>
    </r>
    <phoneticPr fontId="34" type="noConversion"/>
  </si>
  <si>
    <t>MPa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</si>
  <si>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ytop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</si>
  <si>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ybot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</si>
  <si>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yw</t>
    </r>
    <phoneticPr fontId="34" type="noConversion"/>
  </si>
  <si>
    <t xml:space="preserve">압축플랜지 = </t>
    <phoneticPr fontId="34" type="noConversion"/>
  </si>
  <si>
    <t>- 상부종리브</t>
    <phoneticPr fontId="34" type="noConversion"/>
  </si>
  <si>
    <t>- 하부종리브</t>
    <phoneticPr fontId="34" type="noConversion"/>
  </si>
  <si>
    <t>λf</t>
    <phoneticPr fontId="34" type="noConversion"/>
  </si>
  <si>
    <r>
      <t>0.95 √(Ek /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</si>
  <si>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rPr>
        <sz val="9"/>
        <rFont val="Calibri"/>
        <family val="3"/>
        <charset val="161"/>
      </rPr>
      <t>λ</t>
    </r>
    <r>
      <rPr>
        <sz val="9"/>
        <rFont val="Calibri"/>
        <family val="3"/>
      </rPr>
      <t>r</t>
    </r>
    <phoneticPr fontId="34" type="noConversion"/>
  </si>
  <si>
    <t>Plate-buckling coefficient ( k ) 산정</t>
    <phoneticPr fontId="34" type="noConversion"/>
  </si>
  <si>
    <t>종리브 개수</t>
    <phoneticPr fontId="34" type="noConversion"/>
  </si>
  <si>
    <t xml:space="preserve"> - </t>
    <phoneticPr fontId="34" type="noConversion"/>
  </si>
  <si>
    <t xml:space="preserve"> -</t>
    <phoneticPr fontId="34" type="noConversion"/>
  </si>
  <si>
    <t>종리브 단면개수</t>
    <phoneticPr fontId="34" type="noConversion"/>
  </si>
  <si>
    <t xml:space="preserve">1/3 * </t>
    <phoneticPr fontId="34" type="noConversion"/>
  </si>
  <si>
    <t>³</t>
    <phoneticPr fontId="34" type="noConversion"/>
  </si>
  <si>
    <t>압축플랜지 두께</t>
    <phoneticPr fontId="34" type="noConversion"/>
  </si>
  <si>
    <t>/   (</t>
    <phoneticPr fontId="34" type="noConversion"/>
  </si>
  <si>
    <t>[</t>
    <phoneticPr fontId="34" type="noConversion"/>
  </si>
  <si>
    <r>
      <t>)]</t>
    </r>
    <r>
      <rPr>
        <vertAlign val="superscript"/>
        <sz val="9"/>
        <rFont val="맑은 고딕"/>
        <family val="3"/>
        <charset val="129"/>
      </rPr>
      <t>1/3</t>
    </r>
    <phoneticPr fontId="34" type="noConversion"/>
  </si>
  <si>
    <t xml:space="preserve">→ k = </t>
    <phoneticPr fontId="34" type="noConversion"/>
  </si>
  <si>
    <r>
      <t xml:space="preserve">Reduction factor for maximum stress in box flange ( 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) 산정</t>
    </r>
    <phoneticPr fontId="34" type="noConversion"/>
  </si>
  <si>
    <r>
      <t>(w + b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- 2*c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) * (0.5t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D + 0.5t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) / 2</t>
    </r>
    <phoneticPr fontId="34" type="noConversion"/>
  </si>
  <si>
    <t>단면의 폐합단면적</t>
    <phoneticPr fontId="34" type="noConversion"/>
  </si>
  <si>
    <r>
      <t>mm</t>
    </r>
    <r>
      <rPr>
        <vertAlign val="superscript"/>
        <sz val="9"/>
        <rFont val="맑은 고딕"/>
        <family val="3"/>
        <charset val="129"/>
      </rPr>
      <t>4</t>
    </r>
    <phoneticPr fontId="34" type="noConversion"/>
  </si>
  <si>
    <t>1.25 * (DC1 + DC2 + DC3)</t>
    <phoneticPr fontId="34" type="noConversion"/>
  </si>
  <si>
    <t>S.t Venant torsional stress</t>
    <phoneticPr fontId="34" type="noConversion"/>
  </si>
  <si>
    <t>/ ( 2 *</t>
    <phoneticPr fontId="34" type="noConversion"/>
  </si>
  <si>
    <r>
      <t>kN/m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</si>
  <si>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rPr>
        <sz val="9"/>
        <rFont val="Calibri"/>
        <family val="3"/>
        <charset val="161"/>
      </rPr>
      <t>Δ</t>
    </r>
    <r>
      <rPr>
        <sz val="9"/>
        <rFont val="Calibri"/>
        <family val="3"/>
      </rPr>
      <t xml:space="preserve"> </t>
    </r>
    <phoneticPr fontId="34" type="noConversion"/>
  </si>
  <si>
    <t xml:space="preserve">√[1 - ( </t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</si>
  <si>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]</t>
    </r>
    <phoneticPr fontId="34" type="noConversion"/>
  </si>
  <si>
    <t xml:space="preserve">- 0.3 ) / </t>
    <phoneticPr fontId="34" type="noConversion"/>
  </si>
  <si>
    <t>0.95 √[</t>
    <phoneticPr fontId="34" type="noConversion"/>
  </si>
  <si>
    <t>]</t>
    <phoneticPr fontId="34" type="noConversion"/>
  </si>
  <si>
    <t>λp</t>
    <phoneticPr fontId="34" type="noConversion"/>
  </si>
  <si>
    <t>0.57 √(Ek / Δ / Fyc)</t>
    <phoneticPr fontId="34" type="noConversion"/>
  </si>
  <si>
    <t>0.57 √[</t>
    <phoneticPr fontId="34" type="noConversion"/>
  </si>
  <si>
    <t>→ Since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</si>
  <si>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 xml:space="preserve"> is calculated by the Equation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</si>
  <si>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[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</t>
    </r>
    <phoneticPr fontId="34" type="noConversion"/>
  </si>
  <si>
    <t>*</t>
    <phoneticPr fontId="34" type="noConversion"/>
  </si>
  <si>
    <t>* [</t>
    <phoneticPr fontId="34" type="noConversion"/>
  </si>
  <si>
    <t>- (</t>
    <phoneticPr fontId="34" type="noConversion"/>
  </si>
  <si>
    <t>-</t>
    <phoneticPr fontId="34" type="noConversion"/>
  </si>
  <si>
    <t>-  0.3</t>
    <phoneticPr fontId="34" type="noConversion"/>
  </si>
  <si>
    <t>) * (</t>
    <phoneticPr fontId="34" type="noConversion"/>
  </si>
  <si>
    <t>)</t>
    <phoneticPr fontId="34" type="noConversion"/>
  </si>
  <si>
    <t>) ]</t>
    <phoneticPr fontId="34" type="noConversion"/>
  </si>
  <si>
    <t>Mpa</t>
    <phoneticPr fontId="34" type="noConversion"/>
  </si>
  <si>
    <t>MPa</t>
    <phoneticPr fontId="34" type="noConversion"/>
  </si>
  <si>
    <r>
      <t>0.9ER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k/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</si>
  <si>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=</t>
    <phoneticPr fontId="34" type="noConversion"/>
  </si>
  <si>
    <t>*  1.0 *</t>
    <phoneticPr fontId="34" type="noConversion"/>
  </si>
  <si>
    <t>/</t>
    <phoneticPr fontId="34" type="noConversion"/>
  </si>
  <si>
    <t>²</t>
    <phoneticPr fontId="34" type="noConversion"/>
  </si>
  <si>
    <t>Plate-buckling coefficient for shear stress ( ks ) 산정</t>
    <phoneticPr fontId="34" type="noConversion"/>
  </si>
  <si>
    <r>
      <t>5.34 + 2.84(I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/w/t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1/3</t>
    </r>
    <phoneticPr fontId="34" type="noConversion"/>
  </si>
  <si>
    <r>
      <t>(n + 1)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</si>
  <si>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ks</t>
    <phoneticPr fontId="34" type="noConversion"/>
  </si>
  <si>
    <t>≤ 5.34</t>
    <phoneticPr fontId="34" type="noConversion"/>
  </si>
  <si>
    <t xml:space="preserve">5.34 + 2.84 ( </t>
    <phoneticPr fontId="34" type="noConversion"/>
  </si>
  <si>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 )</t>
    </r>
    <r>
      <rPr>
        <vertAlign val="superscript"/>
        <sz val="9"/>
        <rFont val="맑은 고딕"/>
        <family val="3"/>
        <charset val="129"/>
      </rPr>
      <t>1/3</t>
    </r>
    <phoneticPr fontId="34" type="noConversion"/>
  </si>
  <si>
    <t>(</t>
    <phoneticPr fontId="34" type="noConversion"/>
  </si>
  <si>
    <r>
      <t>+  1  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</si>
  <si>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→</t>
    <phoneticPr fontId="34" type="noConversion"/>
  </si>
  <si>
    <r>
      <t>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</si>
  <si>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t>1.12 √ (</t>
    <phoneticPr fontId="34" type="noConversion"/>
  </si>
  <si>
    <r>
      <t>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</si>
  <si>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t>1.40 √ (</t>
    <phoneticPr fontId="34" type="noConversion"/>
  </si>
  <si>
    <t>Check condition</t>
    <phoneticPr fontId="34" type="noConversion"/>
  </si>
  <si>
    <t>(1)</t>
    <phoneticPr fontId="34" type="noConversion"/>
  </si>
  <si>
    <t>(2)</t>
    <phoneticPr fontId="34" type="noConversion"/>
  </si>
  <si>
    <t>(3)</t>
    <phoneticPr fontId="34" type="noConversion"/>
  </si>
  <si>
    <t>Equation 사용</t>
    <phoneticPr fontId="34" type="noConversion"/>
  </si>
  <si>
    <r>
      <t>0.65√(F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Eks)/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</si>
  <si>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t xml:space="preserve">  0.65 √ (</t>
    <phoneticPr fontId="34" type="noConversion"/>
  </si>
  <si>
    <t>) /</t>
    <phoneticPr fontId="34" type="noConversion"/>
  </si>
  <si>
    <r>
      <t>0.9Eks/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</si>
  <si>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 xml:space="preserve">  0.90 *</t>
    <phoneticPr fontId="34" type="noConversion"/>
  </si>
  <si>
    <r>
      <t>0.58 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</si>
  <si>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cv</t>
    </r>
    <phoneticPr fontId="34" type="noConversion"/>
  </si>
  <si>
    <t>λf , λr , λp  산정 and check condition</t>
    <phoneticPr fontId="34" type="noConversion"/>
  </si>
  <si>
    <r>
      <t>Δ = √(1 -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)²)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</si>
  <si>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= 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4" type="noConversion"/>
  </si>
  <si>
    <r>
      <t>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4" type="noConversion"/>
  </si>
  <si>
    <t>⇒</t>
    <phoneticPr fontId="34" type="noConversion"/>
  </si>
  <si>
    <t>Flexure resistance of box flange in compression</t>
    <phoneticPr fontId="34" type="noConversion"/>
  </si>
  <si>
    <t>√ [ 1 - (</t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</si>
  <si>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]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</si>
  <si>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phoneticPr fontId="34" type="noConversion"/>
  </si>
  <si>
    <r>
      <t>Min (F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>)</t>
    </r>
    <phoneticPr fontId="34" type="noConversion"/>
  </si>
  <si>
    <t>①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</si>
  <si>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phoneticPr fontId="34" type="noConversion"/>
  </si>
  <si>
    <r>
      <t>max [min (0.7F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)] , 0.5F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] 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</si>
  <si>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</si>
  <si>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/2t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</si>
  <si>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phoneticPr fontId="34" type="noConversion"/>
  </si>
  <si>
    <r>
      <t xml:space="preserve"> 0.38√(E/F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</si>
  <si>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rf</t>
    </r>
    <phoneticPr fontId="34" type="noConversion"/>
  </si>
  <si>
    <r>
      <t>0.56√(E/F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</si>
  <si>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</si>
  <si>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t>1.0 *</t>
    <phoneticPr fontId="34" type="noConversion"/>
  </si>
  <si>
    <r>
      <t>[1 - (1 - 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</si>
  <si>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t>②</t>
    <phoneticPr fontId="34" type="noConversion"/>
  </si>
  <si>
    <r>
      <rPr>
        <sz val="9"/>
        <rFont val="Calibri"/>
        <family val="3"/>
        <charset val="161"/>
      </rPr>
      <t>π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4" type="noConversion"/>
  </si>
  <si>
    <r>
      <rPr>
        <sz val="9"/>
        <rFont val="Calibri"/>
        <family val="3"/>
        <charset val="161"/>
      </rPr>
      <t>π</t>
    </r>
    <r>
      <rPr>
        <sz val="9"/>
        <rFont val="맑은 고딕"/>
        <family val="3"/>
        <charset val="129"/>
      </rPr>
      <t xml:space="preserve">  * </t>
    </r>
    <phoneticPr fontId="34" type="noConversion"/>
  </si>
  <si>
    <t>* √ (</t>
    <phoneticPr fontId="34" type="noConversion"/>
  </si>
  <si>
    <t xml:space="preserve">1.0  * </t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</si>
  <si>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[ 1 - ( 1 - F</t>
    </r>
    <r>
      <rPr>
        <vertAlign val="subscript"/>
        <sz val="9"/>
        <rFont val="맑은 고딕"/>
        <family val="3"/>
        <charset val="129"/>
      </rPr>
      <t xml:space="preserve">yr </t>
    </r>
    <r>
      <rPr>
        <sz val="9"/>
        <rFont val="맑은 고딕"/>
        <family val="3"/>
        <charset val="129"/>
      </rPr>
      <t>/ R</t>
    </r>
    <r>
      <rPr>
        <vertAlign val="subscript"/>
        <sz val="9"/>
        <rFont val="맑은 고딕"/>
        <family val="3"/>
        <charset val="129"/>
      </rPr>
      <t xml:space="preserve">h </t>
    </r>
    <r>
      <rPr>
        <sz val="9"/>
        <rFont val="맑은 고딕"/>
        <family val="3"/>
        <charset val="129"/>
      </rPr>
      <t>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 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- 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) / ( L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≤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</si>
  <si>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 ≤ 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</si>
  <si>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t>1.0  *</t>
    <phoneticPr fontId="34" type="noConversion"/>
  </si>
  <si>
    <t>Top flange stress</t>
    <phoneticPr fontId="34" type="noConversion"/>
  </si>
  <si>
    <t>Bottom flange stress</t>
    <phoneticPr fontId="34" type="noConversion"/>
  </si>
  <si>
    <t>kN/m2</t>
    <phoneticPr fontId="34" type="noConversion"/>
  </si>
  <si>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</si>
  <si>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</t>
    </r>
    <phoneticPr fontId="34" type="noConversion"/>
  </si>
  <si>
    <t>Min  (</t>
    <phoneticPr fontId="34" type="noConversion"/>
  </si>
  <si>
    <t>Max  (</t>
    <phoneticPr fontId="34" type="noConversion"/>
  </si>
  <si>
    <t>,  1.0  )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</si>
  <si>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phoneticPr fontId="34" type="noConversion"/>
  </si>
  <si>
    <r>
      <t>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4" type="noConversion"/>
  </si>
  <si>
    <r>
      <t>Max(F</t>
    </r>
    <r>
      <rPr>
        <vertAlign val="subscript"/>
        <sz val="9"/>
        <rFont val="맑은 고딕"/>
        <family val="3"/>
        <charset val="129"/>
      </rPr>
      <t>yf</t>
    </r>
    <r>
      <rPr>
        <sz val="9"/>
        <rFont val="맑은 고딕"/>
        <family val="3"/>
        <charset val="129"/>
      </rPr>
      <t>,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4" type="noConversion"/>
  </si>
  <si>
    <r>
      <t>Max (YU - 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; YL - 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)  =  Max (</t>
    </r>
    <phoneticPr fontId="34" type="noConversion"/>
  </si>
  <si>
    <r>
      <t>2D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/A</t>
    </r>
    <r>
      <rPr>
        <vertAlign val="subscript"/>
        <sz val="9"/>
        <rFont val="맑은 고딕"/>
        <family val="3"/>
        <charset val="129"/>
      </rPr>
      <t>fn</t>
    </r>
    <phoneticPr fontId="34" type="noConversion"/>
  </si>
  <si>
    <t xml:space="preserve">2 * </t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</si>
  <si>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4" type="noConversion"/>
  </si>
  <si>
    <t>Moment due to horizontal component of web shear</t>
    <phoneticPr fontId="34" type="noConversion"/>
  </si>
  <si>
    <t>[</t>
    <phoneticPr fontId="34" type="noConversion"/>
  </si>
  <si>
    <t>Moment due to overhang wet concrete loading</t>
    <phoneticPr fontId="34" type="noConversion"/>
  </si>
  <si>
    <r>
      <t>M</t>
    </r>
    <r>
      <rPr>
        <vertAlign val="subscript"/>
        <sz val="9"/>
        <rFont val="Malgun Gothic Semilight"/>
        <family val="3"/>
        <charset val="129"/>
      </rPr>
      <t>lw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</si>
  <si>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 =  0.5∙F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/tanα</t>
    </r>
    <phoneticPr fontId="34" type="noConversion"/>
  </si>
  <si>
    <t>kNm</t>
    <phoneticPr fontId="34" type="noConversion"/>
  </si>
  <si>
    <t>kN/m</t>
    <phoneticPr fontId="34" type="noConversion"/>
  </si>
  <si>
    <t>Moment due to overhang form loads</t>
    <phoneticPr fontId="34" type="noConversion"/>
  </si>
  <si>
    <t>③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</si>
  <si>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forms</t>
    </r>
    <phoneticPr fontId="34" type="noConversion"/>
  </si>
  <si>
    <t>Moment due to curvature</t>
    <phoneticPr fontId="34" type="noConversion"/>
  </si>
  <si>
    <t>④</t>
    <phoneticPr fontId="34" type="noConversion"/>
  </si>
  <si>
    <r>
      <t>ML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/(NRD)</t>
    </r>
    <phoneticPr fontId="34" type="noConversion"/>
  </si>
  <si>
    <t>N</t>
    <phoneticPr fontId="34" type="noConversion"/>
  </si>
  <si>
    <t>a constant taken as 12</t>
    <phoneticPr fontId="34" type="noConversion"/>
  </si>
  <si>
    <t>R</t>
    <phoneticPr fontId="34" type="noConversion"/>
  </si>
  <si>
    <t>D</t>
    <phoneticPr fontId="34" type="noConversion"/>
  </si>
  <si>
    <t>M</t>
    <phoneticPr fontId="34" type="noConversion"/>
  </si>
  <si>
    <t xml:space="preserve">DC1 + DC2 + DC3 </t>
    <phoneticPr fontId="34" type="noConversion"/>
  </si>
  <si>
    <t>+</t>
    <phoneticPr fontId="34" type="noConversion"/>
  </si>
  <si>
    <t>m</t>
    <phoneticPr fontId="34" type="noConversion"/>
  </si>
  <si>
    <t>Section modulus of top flange about a vertical axis through the web</t>
    <phoneticPr fontId="34" type="noConversion"/>
  </si>
  <si>
    <t>⑤</t>
    <phoneticPr fontId="34" type="noConversion"/>
  </si>
  <si>
    <r>
      <t>mm</t>
    </r>
    <r>
      <rPr>
        <vertAlign val="superscript"/>
        <sz val="9"/>
        <rFont val="맑은 고딕"/>
        <family val="3"/>
        <charset val="129"/>
      </rPr>
      <t>4</t>
    </r>
    <phoneticPr fontId="34" type="noConversion"/>
  </si>
  <si>
    <r>
      <t>소성거동을 보장하는 비지지길이의 한계 (L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 산정</t>
    </r>
    <phoneticPr fontId="34" type="noConversion"/>
  </si>
  <si>
    <r>
      <t>1.0 * 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* 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</si>
  <si>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t>(비지지걸이)</t>
    <phoneticPr fontId="34" type="noConversion"/>
  </si>
  <si>
    <t>deep of web in compression in elastic range (along the slope)</t>
    <phoneticPr fontId="34" type="noConversion"/>
  </si>
  <si>
    <t>))</t>
    <phoneticPr fontId="34" type="noConversion"/>
  </si>
  <si>
    <t>) / cos( atan(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</si>
  <si>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</si>
  <si>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t>π</t>
  </si>
  <si>
    <t xml:space="preserve">²  * </t>
    <phoneticPr fontId="34" type="noConversion"/>
  </si>
  <si>
    <t>횡방향 휨응력 상부플랜지</t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</si>
  <si>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,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taken as 1.0</t>
    </r>
    <phoneticPr fontId="34" type="noConversion"/>
  </si>
  <si>
    <t xml:space="preserve">* √ ( 1.0 * 1.0 / </t>
    <phoneticPr fontId="34" type="noConversion"/>
  </si>
  <si>
    <t>≤</t>
    <phoneticPr fontId="34" type="noConversion"/>
  </si>
  <si>
    <r>
      <t>1.2L</t>
    </r>
    <r>
      <rPr>
        <vertAlign val="subscript"/>
        <sz val="9"/>
        <rFont val="맑은 고딕"/>
        <family val="3"/>
        <charset val="129"/>
      </rPr>
      <t xml:space="preserve">p </t>
    </r>
    <r>
      <rPr>
        <sz val="9"/>
        <rFont val="맑은 고딕"/>
        <family val="3"/>
        <charset val="129"/>
      </rPr>
      <t>√ (C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</si>
  <si>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ℓ</t>
    </r>
    <phoneticPr fontId="34" type="noConversion"/>
  </si>
  <si>
    <r>
      <t>0.6F</t>
    </r>
    <r>
      <rPr>
        <vertAlign val="subscript"/>
        <sz val="9"/>
        <rFont val="맑은 고딕"/>
        <family val="3"/>
        <charset val="129"/>
      </rPr>
      <t>yf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</si>
  <si>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+ f</t>
    </r>
    <r>
      <rPr>
        <vertAlign val="subscript"/>
        <sz val="9"/>
        <rFont val="맑은 고딕"/>
        <family val="3"/>
        <charset val="129"/>
      </rPr>
      <t xml:space="preserve">l </t>
    </r>
    <phoneticPr fontId="34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</si>
  <si>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</si>
  <si>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/3</t>
    </r>
    <phoneticPr fontId="34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</si>
  <si>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Calibri"/>
        <family val="3"/>
      </rPr>
      <t>n</t>
    </r>
    <r>
      <rPr>
        <b/>
        <vertAlign val="subscript"/>
        <sz val="9"/>
        <rFont val="맑은 고딕"/>
        <family val="3"/>
        <charset val="129"/>
      </rPr>
      <t>c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</si>
  <si>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+ f</t>
    </r>
    <r>
      <rPr>
        <vertAlign val="subscript"/>
        <sz val="9"/>
        <rFont val="맑은 고딕"/>
        <family val="3"/>
        <charset val="129"/>
      </rPr>
      <t>l</t>
    </r>
    <r>
      <rPr>
        <sz val="9"/>
        <rFont val="맑은 고딕"/>
        <family val="3"/>
        <charset val="129"/>
      </rPr>
      <t xml:space="preserve"> /3</t>
    </r>
    <phoneticPr fontId="34" type="noConversion"/>
  </si>
  <si>
    <r>
      <rPr>
        <sz val="9"/>
        <rFont val="맑은 고딕"/>
        <family val="3"/>
        <charset val="129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Calibri"/>
        <family val="3"/>
      </rPr>
      <t>n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</si>
  <si>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phoneticPr fontId="34" type="noConversion"/>
  </si>
  <si>
    <t>Checking 인장플랜지 응력</t>
    <phoneticPr fontId="34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</si>
  <si>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</t>
    </r>
    <r>
      <rPr>
        <b/>
        <vertAlign val="subscript"/>
        <sz val="9"/>
        <rFont val="Calibri"/>
        <family val="3"/>
      </rPr>
      <t>t</t>
    </r>
    <phoneticPr fontId="34" type="noConversion"/>
  </si>
  <si>
    <r>
      <rPr>
        <sz val="9"/>
        <rFont val="맑은 고딕"/>
        <family val="3"/>
        <charset val="129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</t>
    </r>
    <r>
      <rPr>
        <vertAlign val="subscript"/>
        <sz val="9"/>
        <rFont val="Calibri"/>
        <family val="3"/>
      </rPr>
      <t>t</t>
    </r>
    <phoneticPr fontId="34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</si>
  <si>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</t>
    </r>
    <r>
      <rPr>
        <b/>
        <vertAlign val="subscript"/>
        <sz val="9"/>
        <rFont val="Calibri"/>
        <family val="3"/>
      </rPr>
      <t>t</t>
    </r>
    <r>
      <rPr>
        <b/>
        <sz val="9"/>
        <rFont val="Calibri"/>
        <family val="2"/>
      </rPr>
      <t>Δ</t>
    </r>
    <phoneticPr fontId="34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</si>
  <si>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Calibri"/>
        <family val="3"/>
        <charset val="161"/>
      </rPr>
      <t>Δ</t>
    </r>
    <phoneticPr fontId="34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</si>
  <si>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4" type="noConversion"/>
  </si>
  <si>
    <t xml:space="preserve"> ≤</t>
    <phoneticPr fontId="34" type="noConversion"/>
  </si>
  <si>
    <r>
      <t>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</si>
  <si>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( 탄성범위 내에서 웨브의 압축 측 높이 )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</si>
  <si>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</si>
  <si>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mm</t>
    <phoneticPr fontId="34" type="noConversion"/>
  </si>
  <si>
    <t xml:space="preserve">0.2D  =  0.2 * 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</si>
  <si>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</si>
  <si>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t>9 / (</t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</si>
  <si>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</t>
    </r>
    <phoneticPr fontId="34" type="noConversion"/>
  </si>
  <si>
    <t>k</t>
    <phoneticPr fontId="34" type="noConversion"/>
  </si>
  <si>
    <t>5.17 / (</t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</si>
  <si>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</si>
  <si>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5.17 / ( 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/ D)² ≥ 9 / (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/ D)²</t>
    </r>
    <phoneticPr fontId="34" type="noConversion"/>
  </si>
  <si>
    <t>11.64 / [ (</t>
    <phoneticPr fontId="34" type="noConversion"/>
  </si>
  <si>
    <r>
      <t>]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</si>
  <si>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 xml:space="preserve">0.25D  =  0.25 * 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</si>
  <si>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sc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</si>
  <si>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</si>
  <si>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247.8 * (</t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</si>
  <si>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1.8</t>
    </r>
    <r>
      <rPr>
        <sz val="9"/>
        <rFont val="맑은 고딕"/>
        <family val="3"/>
        <charset val="129"/>
      </rPr>
      <t xml:space="preserve">  * ( 1.0 - </t>
    </r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</si>
  <si>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2.7</t>
    </r>
    <phoneticPr fontId="34" type="noConversion"/>
  </si>
  <si>
    <t>4.82* (</t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</si>
  <si>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2.5</t>
    </r>
    <r>
      <rPr>
        <sz val="9"/>
        <rFont val="맑은 고딕"/>
        <family val="3"/>
        <charset val="129"/>
      </rPr>
      <t xml:space="preserve">  * ( 1.0 - </t>
    </r>
    <phoneticPr fontId="34" type="noConversion"/>
  </si>
  <si>
    <t xml:space="preserve">247.8  * (  1.0 - </t>
    <phoneticPr fontId="34" type="noConversion"/>
  </si>
  <si>
    <r>
      <t>)</t>
    </r>
    <r>
      <rPr>
        <vertAlign val="superscript"/>
        <sz val="9"/>
        <rFont val="맑은 고딕"/>
        <family val="3"/>
        <charset val="129"/>
      </rPr>
      <t>0.32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</si>
  <si>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</si>
  <si>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</si>
  <si>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Length along the slope  =  Dc / cos</t>
    </r>
    <r>
      <rPr>
        <sz val="9"/>
        <rFont val="Calibri"/>
        <family val="3"/>
        <charset val="161"/>
      </rPr>
      <t>Φ</t>
    </r>
    <r>
      <rPr>
        <sz val="9"/>
        <rFont val="맑은 고딕"/>
        <family val="3"/>
        <charset val="129"/>
      </rPr>
      <t xml:space="preserve">  =</t>
    </r>
    <phoneticPr fontId="34" type="noConversion"/>
  </si>
  <si>
    <t>/ cos(atan(</t>
    <phoneticPr fontId="34" type="noConversion"/>
  </si>
  <si>
    <t xml:space="preserve">5.7 * √ ( </t>
    <phoneticPr fontId="34" type="noConversion"/>
  </si>
  <si>
    <r>
      <t>5.7√(E/F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</si>
  <si>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t xml:space="preserve">■ </t>
    <phoneticPr fontId="34" type="noConversion"/>
  </si>
  <si>
    <r>
      <t>웨브 공칭휨좌굴강도 (F</t>
    </r>
    <r>
      <rPr>
        <vertAlign val="subscript"/>
        <sz val="9"/>
        <rFont val="맑은 고딕"/>
        <family val="3"/>
        <charset val="129"/>
      </rPr>
      <t>crw</t>
    </r>
    <r>
      <rPr>
        <sz val="9"/>
        <rFont val="맑은 고딕"/>
        <family val="3"/>
        <charset val="129"/>
      </rPr>
      <t>) 산정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</si>
  <si>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crw</t>
    </r>
    <r>
      <rPr>
        <sz val="9"/>
        <rFont val="맑은 고딕"/>
        <family val="3"/>
        <charset val="129"/>
      </rPr>
      <t xml:space="preserve"> </t>
    </r>
    <phoneticPr fontId="34" type="noConversion"/>
  </si>
  <si>
    <t>Min [</t>
    <phoneticPr fontId="34" type="noConversion"/>
  </si>
  <si>
    <t>보강지</t>
    <phoneticPr fontId="34" type="noConversion"/>
  </si>
  <si>
    <t>- 수평 보강재 개수</t>
    <phoneticPr fontId="34" type="noConversion"/>
  </si>
  <si>
    <t xml:space="preserve">수평 보강재 개수 = </t>
    <phoneticPr fontId="34" type="noConversion"/>
  </si>
  <si>
    <t xml:space="preserve">0.9 * </t>
    <phoneticPr fontId="34" type="noConversion"/>
  </si>
  <si>
    <t>Length along the slope  = D / cosΦ</t>
    <phoneticPr fontId="34" type="noConversion"/>
  </si>
  <si>
    <t>,</t>
    <phoneticPr fontId="34" type="noConversion"/>
  </si>
  <si>
    <t>/  0.7  ]</t>
    <phoneticPr fontId="34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</si>
  <si>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Calibri"/>
        <family val="3"/>
      </rPr>
      <t>crw</t>
    </r>
    <phoneticPr fontId="34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</si>
  <si>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c</t>
    </r>
    <r>
      <rPr>
        <vertAlign val="subscript"/>
        <sz val="9"/>
        <rFont val="Calibri"/>
        <family val="3"/>
      </rPr>
      <t>rw</t>
    </r>
    <phoneticPr fontId="34" type="noConversion"/>
  </si>
  <si>
    <t>Since Web is Compact or Non-Compact type =&gt; DO NOT need to be checked</t>
    <phoneticPr fontId="34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</si>
  <si>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phoneticPr fontId="34" type="noConversion"/>
  </si>
  <si>
    <t xml:space="preserve">1.25 (DC1 + DC2 + DC3) </t>
    <phoneticPr fontId="34" type="noConversion"/>
  </si>
  <si>
    <t>1.25  * (</t>
    <phoneticPr fontId="34" type="noConversion"/>
  </si>
  <si>
    <t>kN</t>
    <phoneticPr fontId="34" type="noConversion"/>
  </si>
  <si>
    <t>/  2  /  cos (atan (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</si>
  <si>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</si>
  <si>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4" type="noConversion"/>
  </si>
  <si>
    <r>
      <t>Shear along the single web (V</t>
    </r>
    <r>
      <rPr>
        <vertAlign val="subscript"/>
        <sz val="9"/>
        <rFont val="맑은 고딕"/>
        <family val="3"/>
        <charset val="129"/>
      </rPr>
      <t>ui</t>
    </r>
    <r>
      <rPr>
        <sz val="9"/>
        <rFont val="맑은 고딕"/>
        <family val="3"/>
        <charset val="129"/>
      </rPr>
      <t>)  산정</t>
    </r>
    <phoneticPr fontId="34" type="noConversion"/>
  </si>
  <si>
    <r>
      <t>C * V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</si>
  <si>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</si>
  <si>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</si>
  <si>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Ratio of shear buckling resistance ( C )  산정</t>
    <phoneticPr fontId="34" type="noConversion"/>
  </si>
  <si>
    <r>
      <t>D / 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</si>
  <si>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4" type="noConversion"/>
  </si>
  <si>
    <t>1.12 * √ (</t>
    <phoneticPr fontId="34" type="noConversion"/>
  </si>
  <si>
    <t>- 수직 보강재 간격</t>
    <phoneticPr fontId="34" type="noConversion"/>
  </si>
  <si>
    <r>
      <t>5 + 5 / (d</t>
    </r>
    <r>
      <rPr>
        <vertAlign val="subscript"/>
        <sz val="9"/>
        <rFont val="맑은 고딕"/>
        <family val="3"/>
        <charset val="129"/>
      </rPr>
      <t xml:space="preserve">0 </t>
    </r>
    <r>
      <rPr>
        <sz val="9"/>
        <rFont val="맑은 고딕"/>
        <family val="3"/>
        <charset val="129"/>
      </rPr>
      <t>/ D)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</si>
  <si>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0</t>
    </r>
    <phoneticPr fontId="34" type="noConversion"/>
  </si>
  <si>
    <t>5 + 5  /  (</t>
    <phoneticPr fontId="34" type="noConversion"/>
  </si>
  <si>
    <r>
      <t>1.4√(Ek/F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4" type="noConversion"/>
  </si>
  <si>
    <t>1.40 * √ (</t>
    <phoneticPr fontId="34" type="noConversion"/>
  </si>
  <si>
    <t>C</t>
    <phoneticPr fontId="34" type="noConversion"/>
  </si>
  <si>
    <t>1.12 / (</t>
    <phoneticPr fontId="34" type="noConversion"/>
  </si>
  <si>
    <t>) √ (</t>
    <phoneticPr fontId="34" type="noConversion"/>
  </si>
  <si>
    <t>1.57 * (</t>
    <phoneticPr fontId="34" type="noConversion"/>
  </si>
  <si>
    <t>) / (</t>
    <phoneticPr fontId="34" type="noConversion"/>
  </si>
  <si>
    <t xml:space="preserve">0.58 * </t>
    <phoneticPr fontId="34" type="noConversion"/>
  </si>
  <si>
    <t>Checking web Bend-Buckling Resistance for slender web</t>
    <phoneticPr fontId="34" type="noConversion"/>
  </si>
  <si>
    <t>Checking shear for web</t>
    <phoneticPr fontId="34" type="noConversion"/>
  </si>
  <si>
    <t>7</t>
    <phoneticPr fontId="34" type="noConversion"/>
  </si>
  <si>
    <t>단 면 검 토</t>
    <phoneticPr fontId="34" type="noConversion"/>
  </si>
  <si>
    <t>( ☞ 강.설 4.3.3.1.1.6)</t>
    <phoneticPr fontId="34" type="noConversion"/>
  </si>
  <si>
    <t>( ☞ 강.설 4.3.3.1.8.2(3))</t>
    <phoneticPr fontId="34" type="noConversion"/>
  </si>
  <si>
    <t>( ☞ 강.설 4.3.3.1.1.10(2))</t>
    <phoneticPr fontId="34" type="noConversion"/>
  </si>
  <si>
    <t>( ☞ 강.설 4.3.3.1.8.2)</t>
    <phoneticPr fontId="34" type="noConversion"/>
  </si>
  <si>
    <t>( ☞ 강.설 4.3.3.2.8.2)</t>
    <phoneticPr fontId="34" type="noConversion"/>
  </si>
  <si>
    <t>( ☞ 강.설 4.3.3.1.8.2(2))</t>
    <phoneticPr fontId="34" type="noConversion"/>
  </si>
  <si>
    <t>( ☞ 강.설 4.3.3.2.8.2(2))</t>
    <phoneticPr fontId="34" type="noConversion"/>
  </si>
  <si>
    <t>(강.설 4.3.3.1.1.9)</t>
    <phoneticPr fontId="34" type="noConversion"/>
  </si>
  <si>
    <t>( ☞ 강.설 4.3.3.1.1.10(1))</t>
    <phoneticPr fontId="34" type="noConversion"/>
  </si>
  <si>
    <t>(강.설 4.3.3.2.3.3)</t>
    <phoneticPr fontId="34" type="noConversion"/>
  </si>
  <si>
    <t>( ☞ 강.설 4.3.3.2.3)</t>
    <phoneticPr fontId="34" type="noConversion"/>
  </si>
  <si>
    <r>
      <t>(1.25M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+ 1.25M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lf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lc</t>
    </r>
    <r>
      <rPr>
        <sz val="9"/>
        <rFont val="맑은 고딕"/>
        <family val="3"/>
        <charset val="129"/>
      </rPr>
      <t>) / S</t>
    </r>
    <r>
      <rPr>
        <vertAlign val="subscript"/>
        <sz val="9"/>
        <rFont val="맑은 고딕"/>
        <family val="3"/>
        <charset val="129"/>
      </rPr>
      <t>ℓ</t>
    </r>
    <phoneticPr fontId="34" type="noConversion"/>
  </si>
  <si>
    <t>Sectional area of steel girder, bottom concrete and deck slab</t>
    <phoneticPr fontId="34" type="noConversion"/>
  </si>
  <si>
    <r>
      <t>A1, A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, A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</si>
  <si>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t>cantilever and thickness of deck slab</t>
    <phoneticPr fontId="34" type="noConversion"/>
  </si>
  <si>
    <t>b, ts</t>
    <phoneticPr fontId="34" type="noConversion"/>
  </si>
  <si>
    <t>girder radius</t>
    <phoneticPr fontId="34" type="noConversion"/>
  </si>
  <si>
    <r>
      <t>√(12(1 +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/3/b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))</t>
    </r>
    <phoneticPr fontId="34" type="noConversion"/>
  </si>
  <si>
    <r>
      <t>[</t>
    </r>
    <r>
      <rPr>
        <sz val="9"/>
        <rFont val="Calibri"/>
        <family val="3"/>
      </rPr>
      <t>A1</t>
    </r>
    <r>
      <rPr>
        <sz val="9"/>
        <rFont val="맑은 고딕"/>
        <family val="3"/>
        <charset val="129"/>
      </rPr>
      <t>*75kN/m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+ (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c</t>
    </r>
    <r>
      <rPr>
        <sz val="9"/>
        <rFont val="맑은 고딕"/>
        <family val="3"/>
        <charset val="129"/>
      </rPr>
      <t xml:space="preserve"> + 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s</t>
    </r>
    <r>
      <rPr>
        <sz val="9"/>
        <rFont val="맑은 고딕"/>
        <family val="3"/>
        <charset val="129"/>
      </rPr>
      <t>)*25kN/m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]/2</t>
    </r>
    <phoneticPr fontId="34" type="noConversion"/>
  </si>
  <si>
    <r>
      <t>w*L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</si>
  <si>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</t>
    </r>
    <r>
      <rPr>
        <sz val="9"/>
        <rFont val="Calibri"/>
        <family val="3"/>
        <charset val="161"/>
      </rPr>
      <t>Δ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*tan</t>
    </r>
    <r>
      <rPr>
        <sz val="9"/>
        <rFont val="Calibri"/>
        <family val="3"/>
        <charset val="161"/>
      </rPr>
      <t>Φ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</si>
  <si>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0.5*F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/tan</t>
    </r>
    <r>
      <rPr>
        <sz val="9"/>
        <rFont val="Calibri"/>
        <family val="3"/>
        <charset val="161"/>
      </rPr>
      <t>α</t>
    </r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</si>
  <si>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*b*25kN/m</t>
    </r>
    <r>
      <rPr>
        <vertAlign val="superscript"/>
        <sz val="9"/>
        <rFont val="맑은 고딕"/>
        <family val="3"/>
        <charset val="129"/>
      </rPr>
      <t>3</t>
    </r>
    <phoneticPr fontId="34" type="noConversion"/>
  </si>
  <si>
    <r>
      <t>0.5*F</t>
    </r>
    <r>
      <rPr>
        <vertAlign val="subscript"/>
        <sz val="9"/>
        <rFont val="맑은 고딕"/>
        <family val="3"/>
        <charset val="129"/>
      </rPr>
      <t>forms</t>
    </r>
    <r>
      <rPr>
        <sz val="9"/>
        <rFont val="맑은 고딕"/>
        <family val="3"/>
        <charset val="129"/>
      </rPr>
      <t>/tan</t>
    </r>
    <r>
      <rPr>
        <sz val="9"/>
        <rFont val="Calibri"/>
        <family val="3"/>
        <charset val="161"/>
      </rPr>
      <t>α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</si>
  <si>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phoneticPr fontId="34" type="noConversion"/>
  </si>
  <si>
    <r>
      <t>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4" type="noConversion"/>
  </si>
  <si>
    <r>
      <t>max(F</t>
    </r>
    <r>
      <rPr>
        <vertAlign val="subscript"/>
        <sz val="9"/>
        <rFont val="맑은 고딕"/>
        <family val="3"/>
        <charset val="129"/>
      </rPr>
      <t>yf</t>
    </r>
    <r>
      <rPr>
        <sz val="9"/>
        <rFont val="맑은 고딕"/>
        <family val="3"/>
        <charset val="129"/>
      </rPr>
      <t>,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4" type="noConversion"/>
  </si>
  <si>
    <t>단면의 탄성중립축으로 부터 양플린지 안쪽 면까지의 거리 중 큰값</t>
    <phoneticPr fontId="34" type="noConversion"/>
  </si>
  <si>
    <r>
      <t>플랜지 단면적과 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방향에 위치한 플랜지 덮개판 면적의 합</t>
    </r>
    <phoneticPr fontId="34" type="noConversion"/>
  </si>
  <si>
    <t>=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</si>
  <si>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>√[(1 -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</t>
    </r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34" type="noConversion"/>
  </si>
  <si>
    <r>
      <t>[1 - (1 - 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</si>
  <si>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</si>
  <si>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 xml:space="preserve"> </t>
    </r>
    <phoneticPr fontId="34" type="noConversion"/>
  </si>
  <si>
    <t>1.0 for checking constructibility</t>
    <phoneticPr fontId="34" type="noConversion"/>
  </si>
  <si>
    <r>
      <t>0.38√(E/F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</si>
  <si>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[1 - (1-F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-L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)/(L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-L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≤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4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</si>
  <si>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4" type="noConversion"/>
  </si>
  <si>
    <t>unbraced length</t>
    <phoneticPr fontId="34" type="noConversion"/>
  </si>
  <si>
    <r>
      <t>1.0r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</si>
  <si>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Calibri"/>
        <family val="3"/>
        <charset val="161"/>
      </rPr>
      <t>π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E</t>
    </r>
    <phoneticPr fontId="34" type="noConversion"/>
  </si>
  <si>
    <r>
      <t>(L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/ 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</si>
  <si>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phoneticPr fontId="34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</si>
  <si>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[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</t>
    </r>
    <phoneticPr fontId="34" type="noConversion"/>
  </si>
  <si>
    <t>if 종리브 없음</t>
    <phoneticPr fontId="34" type="noConversion"/>
  </si>
  <si>
    <t>if 종리브 있음</t>
    <phoneticPr fontId="34" type="noConversion"/>
  </si>
  <si>
    <t>Δ</t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</si>
  <si>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</si>
  <si>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 xml:space="preserve"> / t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</si>
  <si>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r>
      <t>w / t</t>
    </r>
    <r>
      <rPr>
        <vertAlign val="subscript"/>
        <sz val="9"/>
        <rFont val="맑은 고딕"/>
        <family val="3"/>
        <charset val="129"/>
      </rPr>
      <t>fc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</si>
  <si>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</si>
  <si>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r>
      <t>0.95 √(Ek /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</si>
  <si>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</si>
  <si>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 xml:space="preserve">0.57 √(Ek / 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4" type="noConversion"/>
  </si>
  <si>
    <r>
      <t>√(1 -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</si>
  <si>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phoneticPr fontId="34" type="noConversion"/>
  </si>
  <si>
    <r>
      <t>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4" type="noConversion"/>
  </si>
  <si>
    <r>
      <t>5.34 + 2.84(I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/w/t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1/3</t>
    </r>
    <phoneticPr fontId="34" type="noConversion"/>
  </si>
  <si>
    <r>
      <t>(n + 1)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</si>
  <si>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≤ 5.34</t>
    <phoneticPr fontId="34" type="noConversion"/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</si>
  <si>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34" type="noConversion"/>
  </si>
  <si>
    <t>등간격인 종방향보강재의 수</t>
    <phoneticPr fontId="34" type="noConversion"/>
  </si>
  <si>
    <t>종리브 단면2차모멘트</t>
    <phoneticPr fontId="34" type="noConversion"/>
  </si>
  <si>
    <t>7.1.3. Web checking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</si>
  <si>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</si>
  <si>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/cos</t>
    </r>
    <r>
      <rPr>
        <sz val="9"/>
        <rFont val="Calibri"/>
        <family val="3"/>
        <charset val="161"/>
      </rPr>
      <t>Φ</t>
    </r>
    <phoneticPr fontId="34" type="noConversion"/>
  </si>
  <si>
    <t>경사진 웨브 1개에 작용하는 계수하중에 의한 전단력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</si>
  <si>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4" type="noConversion"/>
  </si>
  <si>
    <t>연직축에 대한 웨브의 경사각</t>
    <phoneticPr fontId="34" type="noConversion"/>
  </si>
  <si>
    <t>Φ</t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</si>
  <si>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</si>
  <si>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</si>
  <si>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Sectional checking in detail</t>
    <phoneticPr fontId="34" type="noConversion"/>
  </si>
  <si>
    <r>
      <rPr>
        <sz val="9"/>
        <rFont val="Malgun Gothic Semilight"/>
        <family val="3"/>
        <charset val="129"/>
      </rPr>
      <t>w*L</t>
    </r>
    <r>
      <rPr>
        <vertAlign val="subscript"/>
        <sz val="9"/>
        <rFont val="Malgun Gothic Semilight"/>
        <family val="3"/>
        <charset val="129"/>
      </rPr>
      <t>b</t>
    </r>
    <r>
      <rPr>
        <vertAlign val="superscript"/>
        <sz val="9"/>
        <rFont val="Malgun Gothic Semilight"/>
        <family val="3"/>
        <charset val="129"/>
      </rPr>
      <t>2</t>
    </r>
    <r>
      <rPr>
        <sz val="9"/>
        <rFont val="Malgun Gothic Semilight"/>
        <family val="3"/>
        <charset val="129"/>
      </rPr>
      <t>/12 = Δv*tanΦ∙L</t>
    </r>
    <r>
      <rPr>
        <vertAlign val="subscript"/>
        <sz val="9"/>
        <rFont val="Malgun Gothic Semilight"/>
        <family val="3"/>
        <charset val="129"/>
      </rPr>
      <t>b</t>
    </r>
    <r>
      <rPr>
        <vertAlign val="superscript"/>
        <sz val="9"/>
        <rFont val="Malgun Gothic Semilight"/>
        <family val="3"/>
        <charset val="129"/>
      </rPr>
      <t>2</t>
    </r>
    <r>
      <rPr>
        <sz val="9"/>
        <rFont val="Malgun Gothic Semilight"/>
        <family val="3"/>
        <charset val="129"/>
      </rPr>
      <t>/12</t>
    </r>
    <phoneticPr fontId="34" type="noConversion"/>
  </si>
  <si>
    <r>
      <t>[A1*78.5kN/m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+ (A</t>
    </r>
    <r>
      <rPr>
        <vertAlign val="subscript"/>
        <sz val="9"/>
        <rFont val="맑은 고딕"/>
        <family val="2"/>
        <charset val="129"/>
      </rPr>
      <t>c</t>
    </r>
    <r>
      <rPr>
        <sz val="9"/>
        <rFont val="맑은 고딕"/>
        <family val="3"/>
        <charset val="129"/>
      </rPr>
      <t xml:space="preserve"> + A</t>
    </r>
    <r>
      <rPr>
        <vertAlign val="subscript"/>
        <sz val="9"/>
        <rFont val="맑은 고딕"/>
        <family val="2"/>
        <charset val="129"/>
      </rPr>
      <t>s</t>
    </r>
    <r>
      <rPr>
        <sz val="9"/>
        <rFont val="맑은 고딕"/>
        <family val="3"/>
        <charset val="129"/>
      </rPr>
      <t>)*25kN/m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] / 2</t>
    </r>
    <phoneticPr fontId="34" type="noConversion"/>
  </si>
  <si>
    <r>
      <t xml:space="preserve">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*b*25kN/m</t>
    </r>
    <r>
      <rPr>
        <vertAlign val="superscript"/>
        <sz val="9"/>
        <rFont val="맑은 고딕"/>
        <family val="3"/>
        <charset val="129"/>
      </rPr>
      <t>3</t>
    </r>
    <phoneticPr fontId="34" type="noConversion"/>
  </si>
  <si>
    <r>
      <t>C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[1 - (1-F</t>
    </r>
    <r>
      <rPr>
        <vertAlign val="subscript"/>
        <sz val="8"/>
        <rFont val="맑은 고딕"/>
        <family val="3"/>
        <charset val="129"/>
      </rPr>
      <t>yr</t>
    </r>
    <r>
      <rPr>
        <sz val="8"/>
        <rFont val="맑은 고딕"/>
        <family val="3"/>
        <charset val="129"/>
      </rPr>
      <t>/R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/F</t>
    </r>
    <r>
      <rPr>
        <vertAlign val="subscript"/>
        <sz val="8"/>
        <rFont val="맑은 고딕"/>
        <family val="3"/>
        <charset val="129"/>
      </rPr>
      <t>yc</t>
    </r>
    <r>
      <rPr>
        <sz val="8"/>
        <rFont val="맑은 고딕"/>
        <family val="3"/>
        <charset val="129"/>
      </rPr>
      <t>) (L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-L</t>
    </r>
    <r>
      <rPr>
        <vertAlign val="subscript"/>
        <sz val="8"/>
        <rFont val="맑은 고딕"/>
        <family val="3"/>
        <charset val="129"/>
      </rPr>
      <t>p</t>
    </r>
    <r>
      <rPr>
        <sz val="8"/>
        <rFont val="맑은 고딕"/>
        <family val="3"/>
        <charset val="129"/>
      </rPr>
      <t>)/(L</t>
    </r>
    <r>
      <rPr>
        <vertAlign val="subscript"/>
        <sz val="8"/>
        <rFont val="맑은 고딕"/>
        <family val="3"/>
        <charset val="129"/>
      </rPr>
      <t>r</t>
    </r>
    <r>
      <rPr>
        <sz val="8"/>
        <rFont val="맑은 고딕"/>
        <family val="3"/>
        <charset val="129"/>
      </rPr>
      <t>-L</t>
    </r>
    <r>
      <rPr>
        <vertAlign val="subscript"/>
        <sz val="8"/>
        <rFont val="맑은 고딕"/>
        <family val="3"/>
        <charset val="129"/>
      </rPr>
      <t>p</t>
    </r>
    <r>
      <rPr>
        <sz val="8"/>
        <rFont val="맑은 고딕"/>
        <family val="3"/>
        <charset val="129"/>
      </rPr>
      <t>)] R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F</t>
    </r>
    <r>
      <rPr>
        <vertAlign val="subscript"/>
        <sz val="8"/>
        <rFont val="맑은 고딕"/>
        <family val="3"/>
        <charset val="129"/>
      </rPr>
      <t>yc</t>
    </r>
    <r>
      <rPr>
        <sz val="8"/>
        <rFont val="맑은 고딕"/>
        <family val="3"/>
        <charset val="129"/>
      </rPr>
      <t xml:space="preserve"> ≤ R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F</t>
    </r>
    <r>
      <rPr>
        <vertAlign val="subscript"/>
        <sz val="8"/>
        <rFont val="맑은 고딕"/>
        <family val="3"/>
        <charset val="129"/>
      </rPr>
      <t>yc</t>
    </r>
    <phoneticPr fontId="34" type="noConversion"/>
  </si>
  <si>
    <r>
      <t>[1 - (1 - F</t>
    </r>
    <r>
      <rPr>
        <vertAlign val="subscript"/>
        <sz val="8"/>
        <rFont val="맑은 고딕"/>
        <family val="3"/>
        <charset val="129"/>
      </rPr>
      <t>yr</t>
    </r>
    <r>
      <rPr>
        <sz val="8"/>
        <rFont val="맑은 고딕"/>
        <family val="3"/>
        <charset val="129"/>
      </rPr>
      <t>/R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/F</t>
    </r>
    <r>
      <rPr>
        <vertAlign val="subscript"/>
        <sz val="8"/>
        <rFont val="맑은 고딕"/>
        <family val="3"/>
        <charset val="129"/>
      </rPr>
      <t>yc</t>
    </r>
    <r>
      <rPr>
        <sz val="8"/>
        <rFont val="맑은 고딕"/>
        <family val="3"/>
        <charset val="129"/>
      </rPr>
      <t>) (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f</t>
    </r>
    <r>
      <rPr>
        <sz val="8"/>
        <rFont val="맑은 고딕"/>
        <family val="3"/>
        <charset val="129"/>
      </rPr>
      <t xml:space="preserve"> - 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pf</t>
    </r>
    <r>
      <rPr>
        <sz val="8"/>
        <rFont val="맑은 고딕"/>
        <family val="3"/>
        <charset val="129"/>
      </rPr>
      <t>)/(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rf</t>
    </r>
    <r>
      <rPr>
        <sz val="8"/>
        <rFont val="맑은 고딕"/>
        <family val="3"/>
        <charset val="129"/>
      </rPr>
      <t xml:space="preserve"> - 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pf</t>
    </r>
    <r>
      <rPr>
        <sz val="8"/>
        <rFont val="맑은 고딕"/>
        <family val="3"/>
        <charset val="129"/>
      </rPr>
      <t>)] R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F</t>
    </r>
    <r>
      <rPr>
        <vertAlign val="subscript"/>
        <sz val="8"/>
        <rFont val="맑은 고딕"/>
        <family val="3"/>
        <charset val="129"/>
      </rPr>
      <t>yc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</si>
  <si>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>√[(1 -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</si>
  <si>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phoneticPr fontId="34" type="noConversion"/>
  </si>
  <si>
    <t>비보강 플랜지</t>
    <phoneticPr fontId="34" type="noConversion"/>
  </si>
  <si>
    <r>
      <t>(1.25M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+ 1.25M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lf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lc</t>
    </r>
    <r>
      <rPr>
        <sz val="9"/>
        <rFont val="맑은 고딕"/>
        <family val="3"/>
        <charset val="129"/>
      </rPr>
      <t>) / S</t>
    </r>
    <r>
      <rPr>
        <vertAlign val="subscript"/>
        <sz val="9"/>
        <rFont val="맑은 고딕"/>
        <family val="3"/>
        <charset val="129"/>
      </rPr>
      <t>ℓ</t>
    </r>
    <phoneticPr fontId="34" type="noConversion"/>
  </si>
  <si>
    <r>
      <t>(For Box Flange, f</t>
    </r>
    <r>
      <rPr>
        <vertAlign val="subscript"/>
        <sz val="9"/>
        <rFont val="맑은 고딕"/>
        <family val="3"/>
        <charset val="129"/>
      </rPr>
      <t>ℓ1</t>
    </r>
    <r>
      <rPr>
        <sz val="9"/>
        <rFont val="맑은 고딕"/>
        <family val="3"/>
        <charset val="129"/>
      </rPr>
      <t xml:space="preserve"> = 0)</t>
    </r>
    <phoneticPr fontId="34" type="noConversion"/>
  </si>
  <si>
    <t xml:space="preserve">Since 상부플랜지  = </t>
    <phoneticPr fontId="34" type="noConversion"/>
  </si>
  <si>
    <t>→</t>
    <phoneticPr fontId="34" type="noConversion"/>
  </si>
  <si>
    <t>This section is not be checked</t>
    <phoneticPr fontId="34" type="noConversion"/>
  </si>
  <si>
    <t>Reapply Filter here</t>
    <phoneticPr fontId="34" type="noConversion"/>
  </si>
  <si>
    <t>to hide all "Hide this row" rows</t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</si>
  <si>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</si>
  <si>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</si>
  <si>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</si>
  <si>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</si>
  <si>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</si>
  <si>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 xml:space="preserve"> / 2 / cosΦ</t>
    </r>
    <phoneticPr fontId="34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</si>
  <si>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cr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</si>
  <si>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= CV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</si>
  <si>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V</t>
    </r>
    <r>
      <rPr>
        <sz val="9"/>
        <rFont val="Calibri"/>
        <family val="3"/>
      </rPr>
      <t>cr</t>
    </r>
    <phoneticPr fontId="34" type="noConversion"/>
  </si>
  <si>
    <r>
      <t>Φ</t>
    </r>
    <r>
      <rPr>
        <b/>
        <vertAlign val="subscript"/>
        <sz val="9"/>
        <rFont val="Calibri"/>
        <family val="3"/>
      </rPr>
      <t>v</t>
    </r>
    <r>
      <rPr>
        <b/>
        <sz val="9"/>
        <rFont val="Calibri"/>
        <family val="3"/>
      </rPr>
      <t>V</t>
    </r>
    <r>
      <rPr>
        <b/>
        <sz val="9"/>
        <rFont val="Calibri"/>
        <family val="3"/>
        <charset val="161"/>
      </rPr>
      <t>cr</t>
    </r>
    <phoneticPr fontId="34" type="noConversion"/>
  </si>
  <si>
    <r>
      <t>Shear Buckling Resistance (V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>)  산정</t>
    </r>
    <phoneticPr fontId="34" type="noConversion"/>
  </si>
  <si>
    <t>수평보강재</t>
    <phoneticPr fontId="34" type="noConversion"/>
  </si>
  <si>
    <r>
      <t>수직보강재 간격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≤ 1.5D and 수평보강재 있음</t>
    </r>
    <phoneticPr fontId="34" type="noConversion"/>
  </si>
  <si>
    <r>
      <t>Φ</t>
    </r>
    <r>
      <rPr>
        <b/>
        <vertAlign val="subscript"/>
        <sz val="9"/>
        <rFont val="Calibri"/>
        <family val="3"/>
      </rPr>
      <t>v</t>
    </r>
    <r>
      <rPr>
        <b/>
        <sz val="9"/>
        <rFont val="Calibri"/>
        <family val="3"/>
      </rPr>
      <t>V</t>
    </r>
    <r>
      <rPr>
        <b/>
        <vertAlign val="subscript"/>
        <sz val="9"/>
        <rFont val="맑은 고딕"/>
        <family val="3"/>
        <charset val="129"/>
      </rPr>
      <t>cr</t>
    </r>
    <phoneticPr fontId="34" type="noConversion"/>
  </si>
  <si>
    <r>
      <t>Φ</t>
    </r>
    <r>
      <rPr>
        <vertAlign val="subscript"/>
        <sz val="9"/>
        <rFont val="Calibri"/>
        <family val="3"/>
      </rPr>
      <t>v</t>
    </r>
    <r>
      <rPr>
        <sz val="9"/>
        <rFont val="Calibri"/>
        <family val="3"/>
      </rPr>
      <t>V</t>
    </r>
    <r>
      <rPr>
        <vertAlign val="subscript"/>
        <sz val="9"/>
        <rFont val="맑은 고딕"/>
        <family val="3"/>
        <charset val="129"/>
      </rPr>
      <t>cr</t>
    </r>
    <phoneticPr fontId="34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</si>
  <si>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phoneticPr fontId="34" type="noConversion"/>
  </si>
  <si>
    <r>
      <t>CV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</si>
  <si>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 xml:space="preserve">)*( 0.5 * </t>
    <phoneticPr fontId="34" type="noConversion"/>
  </si>
  <si>
    <t>( ☞ 강.설 4.3.3.2.6 )</t>
    <phoneticPr fontId="34" type="noConversion"/>
  </si>
  <si>
    <r>
      <t>2F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(D/cos</t>
    </r>
    <r>
      <rPr>
        <sz val="9"/>
        <rFont val="Calibri"/>
        <family val="3"/>
        <charset val="161"/>
      </rPr>
      <t>Φ</t>
    </r>
    <r>
      <rPr>
        <sz val="9"/>
        <rFont val="맑은 고딕"/>
        <family val="3"/>
        <charset val="129"/>
      </rPr>
      <t>)t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</si>
  <si>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조건</t>
    <phoneticPr fontId="112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</si>
  <si>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r>
      <rPr>
        <sz val="9"/>
        <rFont val="맑은 고딕"/>
        <family val="3"/>
        <charset val="129"/>
      </rPr>
      <t xml:space="preserve"> =</t>
    </r>
    <phoneticPr fontId="112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</si>
  <si>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</si>
  <si>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2" type="noConversion"/>
  </si>
  <si>
    <r>
      <t>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</si>
  <si>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 [(P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+ 1] 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</si>
  <si>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2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</si>
  <si>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2" type="noConversion"/>
  </si>
  <si>
    <r>
      <t>(Y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)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2" type="noConversion"/>
  </si>
  <si>
    <r>
      <t>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</si>
  <si>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(Y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)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</si>
  <si>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2" type="noConversion"/>
  </si>
  <si>
    <r>
      <t>c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</si>
  <si>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(Y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)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</si>
  <si>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</si>
  <si>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2" type="noConversion"/>
  </si>
  <si>
    <r>
      <t>2P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 + 2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/ H</t>
    </r>
    <r>
      <rPr>
        <vertAlign val="subscript"/>
        <sz val="9"/>
        <rFont val="맑은 고딕"/>
        <family val="3"/>
        <charset val="129"/>
      </rPr>
      <t>st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</si>
  <si>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112" type="noConversion"/>
  </si>
  <si>
    <r>
      <t>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</si>
  <si>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</si>
  <si>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2P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 2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</si>
  <si>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/ 2 / 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- 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 2 /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</si>
  <si>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[(D-Y)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-D+Y)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112" type="noConversion"/>
  </si>
  <si>
    <t>강.설 B.2.2</t>
    <phoneticPr fontId="112" type="noConversion"/>
  </si>
  <si>
    <r>
      <t>다음 식에서 M</t>
    </r>
    <r>
      <rPr>
        <vertAlign val="subscript"/>
        <sz val="9"/>
        <rFont val="맑은 고딕"/>
        <family val="3"/>
        <charset val="129"/>
      </rPr>
      <t>AD</t>
    </r>
    <r>
      <rPr>
        <sz val="9"/>
        <rFont val="맑은 고딕"/>
        <family val="3"/>
        <charset val="129"/>
      </rPr>
      <t>를 구한다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</si>
  <si>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yc</t>
    </r>
    <phoneticPr fontId="112" type="noConversion"/>
  </si>
  <si>
    <t>=</t>
    <phoneticPr fontId="112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</si>
  <si>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longterm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AD_C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shortterm</t>
    </r>
    <phoneticPr fontId="112" type="noConversion"/>
  </si>
  <si>
    <r>
      <t>F</t>
    </r>
    <r>
      <rPr>
        <vertAlign val="subscript"/>
        <sz val="9"/>
        <rFont val="맑은 고딕"/>
        <family val="3"/>
        <charset val="129"/>
      </rPr>
      <t>yt</t>
    </r>
    <phoneticPr fontId="112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</si>
  <si>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 xml:space="preserve">D3 </t>
    </r>
    <r>
      <rPr>
        <sz val="9"/>
        <rFont val="맑은 고딕"/>
        <family val="3"/>
        <charset val="129"/>
      </rPr>
      <t>/ S</t>
    </r>
    <r>
      <rPr>
        <vertAlign val="subscript"/>
        <sz val="9"/>
        <rFont val="맑은 고딕"/>
        <family val="3"/>
        <charset val="129"/>
      </rPr>
      <t xml:space="preserve">longterm </t>
    </r>
    <r>
      <rPr>
        <sz val="9"/>
        <rFont val="맑은 고딕"/>
        <family val="3"/>
        <charset val="129"/>
      </rPr>
      <t>+ M</t>
    </r>
    <r>
      <rPr>
        <vertAlign val="subscript"/>
        <sz val="9"/>
        <rFont val="맑은 고딕"/>
        <family val="3"/>
        <charset val="129"/>
      </rPr>
      <t>AD_T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shortterm</t>
    </r>
    <phoneticPr fontId="112" type="noConversion"/>
  </si>
  <si>
    <r>
      <t>min(M</t>
    </r>
    <r>
      <rPr>
        <vertAlign val="subscript"/>
        <sz val="9"/>
        <rFont val="맑은 고딕"/>
        <family val="3"/>
        <charset val="129"/>
      </rPr>
      <t xml:space="preserve">AD_C </t>
    </r>
    <r>
      <rPr>
        <sz val="9"/>
        <rFont val="맑은 고딕"/>
        <family val="3"/>
        <charset val="129"/>
      </rPr>
      <t>; M</t>
    </r>
    <r>
      <rPr>
        <vertAlign val="subscript"/>
        <sz val="9"/>
        <rFont val="맑은 고딕"/>
        <family val="3"/>
        <charset val="129"/>
      </rPr>
      <t>AD_T</t>
    </r>
    <r>
      <rPr>
        <sz val="9"/>
        <rFont val="맑은 고딕"/>
        <family val="3"/>
        <charset val="129"/>
      </rPr>
      <t>)</t>
    </r>
    <phoneticPr fontId="34" type="noConversion"/>
  </si>
  <si>
    <r>
      <t>다음을 M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계산한다</t>
    </r>
    <phoneticPr fontId="34" type="noConversion"/>
  </si>
  <si>
    <t>7.2.3. 연성 요구조건</t>
    <phoneticPr fontId="112" type="noConversion"/>
  </si>
  <si>
    <t>강.설 4.3.3.1.7.3</t>
    <phoneticPr fontId="112" type="noConversion"/>
  </si>
  <si>
    <t>7.2.4. 콘크리트 응력 검토</t>
    <phoneticPr fontId="112" type="noConversion"/>
  </si>
  <si>
    <t>강.설 4.3.3.2.7.2</t>
    <phoneticPr fontId="112" type="noConversion"/>
  </si>
  <si>
    <r>
      <t>f</t>
    </r>
    <r>
      <rPr>
        <vertAlign val="subscript"/>
        <sz val="9"/>
        <rFont val="맑은 고딕"/>
        <family val="3"/>
        <charset val="129"/>
      </rPr>
      <t>deck</t>
    </r>
    <r>
      <rPr>
        <sz val="9"/>
        <rFont val="맑은 고딕"/>
        <family val="3"/>
        <charset val="129"/>
      </rPr>
      <t xml:space="preserve"> = </t>
    </r>
    <phoneticPr fontId="112" type="noConversion"/>
  </si>
  <si>
    <t>1.25DC4 + 1.5DW + 1.8LL</t>
    <phoneticPr fontId="112" type="noConversion"/>
  </si>
  <si>
    <r>
      <t>n * S</t>
    </r>
    <r>
      <rPr>
        <vertAlign val="subscript"/>
        <sz val="9"/>
        <rFont val="맑은 고딕"/>
        <family val="3"/>
        <charset val="129"/>
      </rPr>
      <t>deck</t>
    </r>
    <phoneticPr fontId="112" type="noConversion"/>
  </si>
  <si>
    <r>
      <t>f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= </t>
    </r>
    <phoneticPr fontId="112" type="noConversion"/>
  </si>
  <si>
    <t>1.25DC3</t>
    <phoneticPr fontId="112" type="noConversion"/>
  </si>
  <si>
    <t>+</t>
    <phoneticPr fontId="112" type="noConversion"/>
  </si>
  <si>
    <r>
      <t>n * S</t>
    </r>
    <r>
      <rPr>
        <vertAlign val="subscript"/>
        <sz val="9"/>
        <rFont val="맑은 고딕"/>
        <family val="3"/>
        <charset val="129"/>
      </rPr>
      <t>bot1</t>
    </r>
    <phoneticPr fontId="112" type="noConversion"/>
  </si>
  <si>
    <r>
      <t>n * S</t>
    </r>
    <r>
      <rPr>
        <vertAlign val="subscript"/>
        <sz val="9"/>
        <rFont val="맑은 고딕"/>
        <family val="3"/>
        <charset val="129"/>
      </rPr>
      <t>bot2</t>
    </r>
    <phoneticPr fontId="112" type="noConversion"/>
  </si>
  <si>
    <t>강.설 4.3.3.1.1.1</t>
    <phoneticPr fontId="112" type="noConversion"/>
  </si>
  <si>
    <t>7.2.5. Flexure checking</t>
    <phoneticPr fontId="112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</si>
  <si>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= 1.25(DC1 + DC2)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+ 1.25DC3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(1.25DC4 + 1.5DW) / S</t>
    </r>
    <r>
      <rPr>
        <vertAlign val="subscript"/>
        <sz val="9"/>
        <rFont val="맑은 고딕"/>
        <family val="3"/>
        <charset val="129"/>
      </rPr>
      <t>longterm</t>
    </r>
    <r>
      <rPr>
        <sz val="9"/>
        <rFont val="맑은 고딕"/>
        <family val="3"/>
        <charset val="129"/>
      </rPr>
      <t xml:space="preserve"> + 1.8LL / S</t>
    </r>
    <r>
      <rPr>
        <vertAlign val="subscript"/>
        <sz val="9"/>
        <rFont val="맑은 고딕"/>
        <family val="3"/>
        <charset val="129"/>
      </rPr>
      <t>shortterm</t>
    </r>
    <phoneticPr fontId="112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</si>
  <si>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>√[(1 -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</t>
    </r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112" type="noConversion"/>
  </si>
  <si>
    <t>강.설 4.3.3.1.1.10(1)</t>
    <phoneticPr fontId="112" type="noConversion"/>
  </si>
  <si>
    <t>강.설 4.3.3.1.1.10(2)</t>
    <phoneticPr fontId="112" type="noConversion"/>
  </si>
  <si>
    <r>
      <t>1 - [a</t>
    </r>
    <r>
      <rPr>
        <vertAlign val="subscript"/>
        <sz val="9"/>
        <rFont val="맑은 고딕"/>
        <family val="3"/>
        <charset val="129"/>
      </rPr>
      <t>wc</t>
    </r>
    <r>
      <rPr>
        <sz val="9"/>
        <rFont val="맑은 고딕"/>
        <family val="3"/>
        <charset val="129"/>
      </rPr>
      <t xml:space="preserve"> / (1200 + 300a</t>
    </r>
    <r>
      <rPr>
        <vertAlign val="subscript"/>
        <sz val="9"/>
        <rFont val="맑은 고딕"/>
        <family val="3"/>
        <charset val="129"/>
      </rPr>
      <t>wc</t>
    </r>
    <r>
      <rPr>
        <sz val="9"/>
        <rFont val="맑은 고딕"/>
        <family val="3"/>
        <charset val="129"/>
      </rPr>
      <t>)] (2D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/ 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rw</t>
    </r>
    <r>
      <rPr>
        <sz val="9"/>
        <rFont val="맑은 고딕"/>
        <family val="3"/>
        <charset val="129"/>
      </rPr>
      <t xml:space="preserve"> ) ≤ 1.0</t>
    </r>
    <phoneticPr fontId="112" type="noConversion"/>
  </si>
  <si>
    <t>강.설 4.3.3.1.1.9</t>
    <phoneticPr fontId="112" type="noConversion"/>
  </si>
  <si>
    <t>강.설 4.3.3.2.8.2(2)</t>
    <phoneticPr fontId="112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</si>
  <si>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p</t>
    </r>
    <phoneticPr fontId="112" type="noConversion"/>
  </si>
  <si>
    <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</si>
  <si>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[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 xml:space="preserve">f </t>
    </r>
    <r>
      <rPr>
        <sz val="9"/>
        <rFont val="맑은 고딕"/>
        <family val="3"/>
        <charset val="129"/>
      </rPr>
      <t xml:space="preserve">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 xml:space="preserve">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</t>
    </r>
    <phoneticPr fontId="112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</si>
  <si>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112" type="noConversion"/>
  </si>
  <si>
    <r>
      <t>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) &lt;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) </t>
    </r>
    <phoneticPr fontId="34" type="noConversion"/>
  </si>
  <si>
    <r>
      <t>0.65√(F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112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</si>
  <si>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&gt; 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112" type="noConversion"/>
  </si>
  <si>
    <r>
      <t>5.34 + 2.84(I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/w/t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1/3</t>
    </r>
    <phoneticPr fontId="112" type="noConversion"/>
  </si>
  <si>
    <t>≤ 5.34</t>
    <phoneticPr fontId="112" type="noConversion"/>
  </si>
  <si>
    <r>
      <t>(n + 1)</t>
    </r>
    <r>
      <rPr>
        <vertAlign val="superscript"/>
        <sz val="9"/>
        <rFont val="맑은 고딕"/>
        <family val="3"/>
        <charset val="129"/>
      </rPr>
      <t>2</t>
    </r>
    <phoneticPr fontId="112" type="noConversion"/>
  </si>
  <si>
    <t>n</t>
    <phoneticPr fontId="112" type="noConversion"/>
  </si>
  <si>
    <t>등간격인 종방향보강재의 수</t>
    <phoneticPr fontId="112" type="noConversion"/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</si>
  <si>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2" type="noConversion"/>
  </si>
  <si>
    <t>종리브 단면2차모멘트</t>
    <phoneticPr fontId="112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</si>
  <si>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phoneticPr fontId="112" type="noConversion"/>
  </si>
  <si>
    <t>탄성범위 내에서 웨브의 압축 측 높이</t>
    <phoneticPr fontId="112" type="noConversion"/>
  </si>
  <si>
    <t>강.설 4.3.3.1.7.1 (2)</t>
    <phoneticPr fontId="112" type="noConversion"/>
  </si>
  <si>
    <t>공칭항복강도 485MPa 이하인 강재로 균질 합성단면 or 상부 및 하부플랜지의 공칭항복강도 485MPa</t>
    <phoneticPr fontId="34" type="noConversion"/>
  </si>
  <si>
    <t>공칭항복강도 690MPa 강재로 균질 합성단면 or 상부 및 하부플랜지의 공칭항복강도 690MPa</t>
    <phoneticPr fontId="34" type="noConversion"/>
  </si>
  <si>
    <t xml:space="preserve">연속교의 경우 단며의 공칭휨강도는 다음 식을 만족해야한다 </t>
    <phoneticPr fontId="34" type="noConversion"/>
  </si>
  <si>
    <t>강.설 4.3.3.2.7.2 (2)</t>
    <phoneticPr fontId="112" type="noConversion"/>
  </si>
  <si>
    <t>강.설 4.3.3.2.8.3</t>
    <phoneticPr fontId="112" type="noConversion"/>
  </si>
  <si>
    <t>5) Classification of compact or noncompact section</t>
    <phoneticPr fontId="34" type="noConversion"/>
  </si>
  <si>
    <t>강.설 4.3.3.2.6.2 (2)</t>
    <phoneticPr fontId="112" type="noConversion"/>
  </si>
  <si>
    <t>압축플랜지의 종방향보강재 사이 폭 또는 웨브로부터 가장 가까운종방향보강재까지의 거리 중 큰 값</t>
    <phoneticPr fontId="34" type="noConversion"/>
  </si>
  <si>
    <t>소성모멘트 상태어세 콘크리트 바닥판의 상단에서나  내부 con'c 하단에서 중립축까지의 거리</t>
    <phoneticPr fontId="34" type="noConversion"/>
  </si>
  <si>
    <r>
      <t>7.2.1. Y</t>
    </r>
    <r>
      <rPr>
        <b/>
        <vertAlign val="subscript"/>
        <sz val="12"/>
        <color theme="8" tint="-0.499984740745262"/>
        <rFont val="맑은 고딕"/>
        <family val="3"/>
        <charset val="129"/>
      </rPr>
      <t>PNA</t>
    </r>
    <r>
      <rPr>
        <b/>
        <sz val="12"/>
        <color theme="8" tint="-0.499984740745262"/>
        <rFont val="맑은 고딕"/>
        <family val="3"/>
        <charset val="129"/>
      </rPr>
      <t>, M</t>
    </r>
    <r>
      <rPr>
        <b/>
        <vertAlign val="subscript"/>
        <sz val="12"/>
        <color theme="8" tint="-0.499984740745262"/>
        <rFont val="맑은 고딕"/>
        <family val="3"/>
        <charset val="129"/>
      </rPr>
      <t>P</t>
    </r>
    <r>
      <rPr>
        <b/>
        <sz val="12"/>
        <color theme="8" tint="-0.499984740745262"/>
        <rFont val="맑은 고딕"/>
        <family val="3"/>
        <charset val="129"/>
      </rPr>
      <t xml:space="preserve"> for plastic moment 산정</t>
    </r>
    <phoneticPr fontId="34" type="noConversion"/>
  </si>
  <si>
    <r>
      <t>7.2.2. M</t>
    </r>
    <r>
      <rPr>
        <b/>
        <vertAlign val="subscript"/>
        <sz val="12"/>
        <color theme="4" tint="-0.249977111117893"/>
        <rFont val="맑은 고딕"/>
        <family val="3"/>
        <charset val="129"/>
      </rPr>
      <t>y</t>
    </r>
    <r>
      <rPr>
        <b/>
        <sz val="12"/>
        <color theme="4" tint="-0.249977111117893"/>
        <rFont val="맑은 고딕"/>
        <family val="3"/>
        <charset val="129"/>
      </rPr>
      <t xml:space="preserve"> 항복모멘트 산정</t>
    </r>
    <phoneticPr fontId="112" type="noConversion"/>
  </si>
  <si>
    <t>7.2.3. Web checking</t>
    <phoneticPr fontId="34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</si>
  <si>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112" type="noConversion"/>
  </si>
  <si>
    <t>강.설 4.3.3.1.9.2</t>
    <phoneticPr fontId="112" type="noConversion"/>
  </si>
  <si>
    <t>강.설 4.3.3.1.9.3(3)</t>
    <phoneticPr fontId="112" type="noConversion"/>
  </si>
  <si>
    <t>강.설 4.3.3.1.9.3(2)</t>
    <phoneticPr fontId="112" type="noConversion"/>
  </si>
  <si>
    <r>
      <t>2Dt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(b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 xml:space="preserve"> + b</t>
    </r>
    <r>
      <rPr>
        <vertAlign val="subscript"/>
        <sz val="9"/>
        <rFont val="맑은 고딕"/>
        <family val="3"/>
        <charset val="129"/>
      </rPr>
      <t>ft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ft</t>
    </r>
    <r>
      <rPr>
        <sz val="9"/>
        <rFont val="맑은 고딕"/>
        <family val="3"/>
        <charset val="129"/>
      </rPr>
      <t>) ≤ 2.5</t>
    </r>
    <phoneticPr fontId="112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</si>
  <si>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[C + 0.87(1 - C) / √(1 + d</t>
    </r>
    <r>
      <rPr>
        <vertAlign val="subscript"/>
        <sz val="9"/>
        <rFont val="맑은 고딕"/>
        <family val="3"/>
        <charset val="129"/>
      </rPr>
      <t>0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 D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)]</t>
    </r>
    <phoneticPr fontId="112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</si>
  <si>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[C + 0.87(1 - C) / √(1 + d</t>
    </r>
    <r>
      <rPr>
        <vertAlign val="subscript"/>
        <sz val="9"/>
        <rFont val="맑은 고딕"/>
        <family val="3"/>
        <charset val="129"/>
      </rPr>
      <t>0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 D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>/D)]</t>
    </r>
    <phoneticPr fontId="112" type="noConversion"/>
  </si>
  <si>
    <t>강.설 4.3.3.2.9</t>
    <phoneticPr fontId="112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</si>
  <si>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</t>
    </r>
    <phoneticPr fontId="112" type="noConversion"/>
  </si>
  <si>
    <r>
      <t>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112" type="noConversion"/>
  </si>
  <si>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  <scheme val="major"/>
      </rPr>
      <t xml:space="preserve"> </t>
    </r>
    <phoneticPr fontId="112" type="noConversion"/>
  </si>
  <si>
    <r>
      <t>√(1 - (f</t>
    </r>
    <r>
      <rPr>
        <vertAlign val="subscript"/>
        <sz val="9"/>
        <rFont val="맑은 고딕"/>
        <family val="3"/>
        <charset val="129"/>
        <scheme val="major"/>
      </rPr>
      <t>v</t>
    </r>
    <r>
      <rPr>
        <sz val="9"/>
        <rFont val="맑은 고딕"/>
        <family val="3"/>
        <charset val="129"/>
        <scheme val="major"/>
      </rPr>
      <t xml:space="preserve"> / F</t>
    </r>
    <r>
      <rPr>
        <vertAlign val="subscript"/>
        <sz val="9"/>
        <rFont val="맑은 고딕"/>
        <family val="3"/>
        <charset val="129"/>
        <scheme val="major"/>
      </rPr>
      <t>yc</t>
    </r>
    <r>
      <rPr>
        <sz val="9"/>
        <rFont val="맑은 고딕"/>
        <family val="3"/>
        <charset val="129"/>
        <scheme val="major"/>
      </rPr>
      <t>)</t>
    </r>
    <r>
      <rPr>
        <vertAlign val="superscript"/>
        <sz val="9"/>
        <rFont val="맑은 고딕"/>
        <family val="3"/>
        <charset val="129"/>
        <scheme val="major"/>
      </rPr>
      <t>2</t>
    </r>
    <r>
      <rPr>
        <sz val="9"/>
        <rFont val="맑은 고딕"/>
        <family val="3"/>
        <charset val="129"/>
        <scheme val="major"/>
      </rPr>
      <t>)</t>
    </r>
    <phoneticPr fontId="112" type="noConversion"/>
  </si>
  <si>
    <t>=</t>
    <phoneticPr fontId="34" type="noConversion"/>
  </si>
  <si>
    <t>Calculation the force by top flange, bottom flange, web, ribs, deck, rebar and bottom concrete</t>
    <phoneticPr fontId="34" type="noConversion"/>
  </si>
  <si>
    <t>*</t>
    <phoneticPr fontId="34" type="noConversion"/>
  </si>
  <si>
    <t>kN</t>
    <phoneticPr fontId="34" type="noConversion"/>
  </si>
  <si>
    <t>)</t>
    <phoneticPr fontId="34" type="noConversion"/>
  </si>
  <si>
    <t>- Deck 콘크리트 기준압축강도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</si>
  <si>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ck</t>
    </r>
    <phoneticPr fontId="34" type="noConversion"/>
  </si>
  <si>
    <t>- Bottom 콘크리트 기준압축강도</t>
    <phoneticPr fontId="34" type="noConversion"/>
  </si>
  <si>
    <t>- Effective width</t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</si>
  <si>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</si>
  <si>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t>- 상부리브 항복강도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</si>
  <si>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ysb</t>
    </r>
    <phoneticPr fontId="34" type="noConversion"/>
  </si>
  <si>
    <t>- 하부리브항복강도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</si>
  <si>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yst</t>
    </r>
    <phoneticPr fontId="34" type="noConversion"/>
  </si>
  <si>
    <t>- 철근 항복강도</t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</si>
  <si>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ys</t>
    </r>
    <phoneticPr fontId="34" type="noConversion"/>
  </si>
  <si>
    <t>- Top layer rebar in deck</t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</si>
  <si>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</si>
  <si>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t>- Bottom layer rebar in deck</t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</si>
  <si>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</si>
  <si>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</si>
  <si>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</si>
  <si>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rbot</t>
    </r>
    <phoneticPr fontId="34" type="noConversion"/>
  </si>
  <si>
    <t>- Total rebar in bottom concrete</t>
    <phoneticPr fontId="34" type="noConversion"/>
  </si>
  <si>
    <t xml:space="preserve"> 0.85 * </t>
    <phoneticPr fontId="34" type="noConversion"/>
  </si>
  <si>
    <t>Bottom con'c</t>
    <phoneticPr fontId="34" type="noConversion"/>
  </si>
  <si>
    <t>- 높이</t>
    <phoneticPr fontId="34" type="noConversion"/>
  </si>
  <si>
    <t>- 면적</t>
    <phoneticPr fontId="34" type="noConversion"/>
  </si>
  <si>
    <r>
      <t>H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</si>
  <si>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mm</t>
    <phoneticPr fontId="34" type="noConversion"/>
  </si>
  <si>
    <r>
      <t>mm</t>
    </r>
    <r>
      <rPr>
        <vertAlign val="superscript"/>
        <sz val="9"/>
        <rFont val="맑은 고딕"/>
        <family val="3"/>
        <charset val="129"/>
      </rPr>
      <t>2</t>
    </r>
    <phoneticPr fontId="34" type="noConversion"/>
  </si>
  <si>
    <t>철근</t>
    <phoneticPr fontId="34" type="noConversion"/>
  </si>
  <si>
    <t>Items</t>
    <phoneticPr fontId="34" type="noConversion"/>
  </si>
  <si>
    <t>Top flange</t>
    <phoneticPr fontId="34" type="noConversion"/>
  </si>
  <si>
    <t>Bottom flange</t>
    <phoneticPr fontId="34" type="noConversion"/>
  </si>
  <si>
    <t>Web</t>
    <phoneticPr fontId="34" type="noConversion"/>
  </si>
  <si>
    <t>Deck</t>
    <phoneticPr fontId="34" type="noConversion"/>
  </si>
  <si>
    <t>Bottom Rib</t>
    <phoneticPr fontId="34" type="noConversion"/>
  </si>
  <si>
    <t>Top Rib</t>
    <phoneticPr fontId="34" type="noConversion"/>
  </si>
  <si>
    <t>Top layer rebar</t>
    <phoneticPr fontId="34" type="noConversion"/>
  </si>
  <si>
    <t>Bottom layer rebar</t>
    <phoneticPr fontId="34" type="noConversion"/>
  </si>
  <si>
    <t>Bottom con'c rebar</t>
    <phoneticPr fontId="34" type="noConversion"/>
  </si>
  <si>
    <t>Equation</t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</si>
  <si>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top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</si>
  <si>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bot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</si>
  <si>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</si>
  <si>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</si>
  <si>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</si>
  <si>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</si>
  <si>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</si>
  <si>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</si>
  <si>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yst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</si>
  <si>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ysb</t>
    </r>
    <phoneticPr fontId="34" type="noConversion"/>
  </si>
  <si>
    <r>
      <t>2t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D/cos</t>
    </r>
    <r>
      <rPr>
        <sz val="9"/>
        <rFont val="Calibri"/>
        <family val="3"/>
        <charset val="161"/>
      </rPr>
      <t>Φ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yw</t>
    </r>
    <phoneticPr fontId="34" type="noConversion"/>
  </si>
  <si>
    <r>
      <t>b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ybot</t>
    </r>
    <phoneticPr fontId="34" type="noConversion"/>
  </si>
  <si>
    <r>
      <t>n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c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ytop</t>
    </r>
    <phoneticPr fontId="34" type="noConversion"/>
  </si>
  <si>
    <t>Unit</t>
    <phoneticPr fontId="34" type="noConversion"/>
  </si>
  <si>
    <t>Result</t>
    <phoneticPr fontId="34" type="noConversion"/>
  </si>
  <si>
    <t>Case</t>
    <phoneticPr fontId="34" type="noConversion"/>
  </si>
  <si>
    <t>Conditon</t>
    <phoneticPr fontId="34" type="noConversion"/>
  </si>
  <si>
    <t>In web</t>
    <phoneticPr fontId="34" type="noConversion"/>
  </si>
  <si>
    <t>In top flange</t>
    <phoneticPr fontId="34" type="noConversion"/>
  </si>
  <si>
    <r>
      <t>Below P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</si>
  <si>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At P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</si>
  <si>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t>Check the condition and find the location of PNA (for Positive moment)</t>
    <phoneticPr fontId="34" type="noConversion"/>
  </si>
  <si>
    <t>(1)</t>
    <phoneticPr fontId="34" type="noConversion"/>
  </si>
  <si>
    <t>(a)</t>
    <phoneticPr fontId="34" type="noConversion"/>
  </si>
  <si>
    <t>(2)</t>
    <phoneticPr fontId="34" type="noConversion"/>
  </si>
  <si>
    <t>(3)</t>
  </si>
  <si>
    <t>(4)</t>
  </si>
  <si>
    <t>(5)</t>
  </si>
  <si>
    <t>(6)</t>
  </si>
  <si>
    <t>(7)</t>
  </si>
  <si>
    <t>Location</t>
    <phoneticPr fontId="34" type="noConversion"/>
  </si>
  <si>
    <t>- Top of deck to top layer rebar</t>
    <phoneticPr fontId="34" type="noConversion"/>
  </si>
  <si>
    <t>- Top of deck to bottom layer rebar</t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</si>
  <si>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</si>
  <si>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</si>
  <si>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</si>
  <si>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</si>
  <si>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(D-2H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/D 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</si>
  <si>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</si>
  <si>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</si>
  <si>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t>분류</t>
    <phoneticPr fontId="34" type="noConversion"/>
  </si>
  <si>
    <t>→</t>
    <phoneticPr fontId="34" type="noConversion"/>
  </si>
  <si>
    <t>Location of PNA</t>
    <phoneticPr fontId="34" type="noConversion"/>
  </si>
  <si>
    <t xml:space="preserve">Case = </t>
    <phoneticPr fontId="34" type="noConversion"/>
  </si>
  <si>
    <t xml:space="preserve">■ </t>
    <phoneticPr fontId="34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</si>
  <si>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r>
      <rPr>
        <sz val="9"/>
        <rFont val="맑은 고딕"/>
        <family val="3"/>
        <charset val="129"/>
      </rPr>
      <t xml:space="preserve"> 와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산정</t>
    </r>
    <phoneticPr fontId="34" type="noConversion"/>
  </si>
  <si>
    <t>Case (1) In Web</t>
    <phoneticPr fontId="34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</si>
  <si>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112" type="noConversion"/>
  </si>
  <si>
    <t>+</t>
    <phoneticPr fontId="34" type="noConversion"/>
  </si>
  <si>
    <t>-</t>
    <phoneticPr fontId="34" type="noConversion"/>
  </si>
  <si>
    <t>*(</t>
    <phoneticPr fontId="34" type="noConversion"/>
  </si>
  <si>
    <r>
      <t>D/2 [(P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+ 1] </t>
    </r>
    <phoneticPr fontId="112" type="noConversion"/>
  </si>
  <si>
    <t xml:space="preserve"> + 1)</t>
    <phoneticPr fontId="34" type="noConversion"/>
  </si>
  <si>
    <t>/</t>
    <phoneticPr fontId="34" type="noConversion"/>
  </si>
  <si>
    <t>- Haunch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</si>
  <si>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</si>
  <si>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t>Components</t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</si>
  <si>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</si>
  <si>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</si>
  <si>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</si>
  <si>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</si>
  <si>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</si>
  <si>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</si>
  <si>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34" type="noConversion"/>
  </si>
  <si>
    <r>
      <t>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34" type="noConversion"/>
  </si>
  <si>
    <r>
      <t>→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∑M</t>
    </r>
    <r>
      <rPr>
        <vertAlign val="subscript"/>
        <sz val="9"/>
        <rFont val="맑은 고딕"/>
        <family val="3"/>
        <charset val="129"/>
      </rPr>
      <t>Pi</t>
    </r>
    <r>
      <rPr>
        <sz val="9"/>
        <rFont val="맑은 고딕"/>
        <family val="3"/>
        <charset val="129"/>
      </rPr>
      <t xml:space="preserve"> </t>
    </r>
    <phoneticPr fontId="34" type="noConversion"/>
  </si>
  <si>
    <t xml:space="preserve">2 * </t>
    <phoneticPr fontId="34" type="noConversion"/>
  </si>
  <si>
    <t>+    2 *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</si>
  <si>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]/2/D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</si>
  <si>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phoneticPr fontId="34" type="noConversion"/>
  </si>
  <si>
    <t>Detail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</si>
  <si>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]/2/H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</si>
  <si>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r>
      <t>소성모멘트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∑M</t>
    </r>
    <r>
      <rPr>
        <vertAlign val="subscript"/>
        <sz val="9"/>
        <rFont val="맑은 고딕"/>
        <family val="3"/>
        <charset val="129"/>
      </rPr>
      <t>pi</t>
    </r>
    <r>
      <rPr>
        <sz val="9"/>
        <rFont val="맑은 고딕"/>
        <family val="3"/>
        <charset val="129"/>
      </rPr>
      <t xml:space="preserve"> = ∑P</t>
    </r>
    <r>
      <rPr>
        <vertAlign val="subscript"/>
        <sz val="9"/>
        <rFont val="맑은 고딕"/>
        <family val="3"/>
        <charset val="129"/>
      </rPr>
      <t>i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i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</si>
  <si>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pi</t>
    </r>
    <r>
      <rPr>
        <sz val="9"/>
        <rFont val="맑은 고딕"/>
        <family val="3"/>
        <charset val="129"/>
      </rPr>
      <t xml:space="preserve"> = ∑P</t>
    </r>
    <r>
      <rPr>
        <vertAlign val="subscript"/>
        <sz val="9"/>
        <rFont val="맑은 고딕"/>
        <family val="3"/>
        <charset val="129"/>
      </rPr>
      <t>i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i</t>
    </r>
    <phoneticPr fontId="34" type="noConversion"/>
  </si>
  <si>
    <t>di (Distance from Ypna to components) 산정</t>
    <phoneticPr fontId="34" type="noConversion"/>
  </si>
  <si>
    <t>●</t>
  </si>
  <si>
    <t>Case (a) In Top Rib</t>
    <phoneticPr fontId="34" type="noConversion"/>
  </si>
  <si>
    <t>Case (2) In top flange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</si>
  <si>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]/2/t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</si>
  <si>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D -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</si>
  <si>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</si>
  <si>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/2 - t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</si>
  <si>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/2</t>
    <phoneticPr fontId="34" type="noConversion"/>
  </si>
  <si>
    <t>/ 2</t>
    <phoneticPr fontId="34" type="noConversion"/>
  </si>
  <si>
    <t>/ 2 -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</si>
  <si>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4" type="noConversion"/>
  </si>
  <si>
    <r>
      <t>Case (3) Below P</t>
    </r>
    <r>
      <rPr>
        <b/>
        <vertAlign val="subscript"/>
        <sz val="9"/>
        <rFont val="맑은 고딕"/>
        <family val="3"/>
        <charset val="129"/>
      </rPr>
      <t>rb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</si>
  <si>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+t</t>
    </r>
    <r>
      <rPr>
        <vertAlign val="subscript"/>
        <sz val="9"/>
        <rFont val="맑은 고딕"/>
        <family val="3"/>
        <charset val="129"/>
      </rPr>
      <t xml:space="preserve">h </t>
    </r>
    <r>
      <rPr>
        <sz val="9"/>
        <rFont val="맑은 고딕"/>
        <family val="3"/>
        <charset val="129"/>
      </rPr>
      <t>-Y +D -H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</si>
  <si>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s</t>
    </r>
    <phoneticPr fontId="34" type="noConversion"/>
  </si>
  <si>
    <t>² / 2 /</t>
    <phoneticPr fontId="34" type="noConversion"/>
  </si>
  <si>
    <r>
      <t>Case (4) At P</t>
    </r>
    <r>
      <rPr>
        <b/>
        <vertAlign val="subscript"/>
        <sz val="9"/>
        <rFont val="맑은 고딕"/>
        <family val="3"/>
        <charset val="129"/>
      </rPr>
      <t>rb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</si>
  <si>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0</t>
    </r>
    <phoneticPr fontId="34" type="noConversion"/>
  </si>
  <si>
    <r>
      <t>Case (5) Above P</t>
    </r>
    <r>
      <rPr>
        <b/>
        <vertAlign val="subscript"/>
        <sz val="9"/>
        <rFont val="맑은 고딕"/>
        <family val="3"/>
        <charset val="129"/>
      </rPr>
      <t>rb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</si>
  <si>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0</t>
    </r>
    <phoneticPr fontId="34" type="noConversion"/>
  </si>
  <si>
    <r>
      <t>Case (6) At P</t>
    </r>
    <r>
      <rPr>
        <b/>
        <vertAlign val="subscript"/>
        <sz val="9"/>
        <rFont val="맑은 고딕"/>
        <family val="3"/>
        <charset val="129"/>
      </rPr>
      <t>rt</t>
    </r>
    <phoneticPr fontId="34" type="noConversion"/>
  </si>
  <si>
    <r>
      <t>Case (7) Above P</t>
    </r>
    <r>
      <rPr>
        <b/>
        <vertAlign val="subscript"/>
        <sz val="9"/>
        <rFont val="맑은 고딕"/>
        <family val="3"/>
        <charset val="129"/>
      </rPr>
      <t>rt</t>
    </r>
    <phoneticPr fontId="34" type="noConversion"/>
  </si>
  <si>
    <t>Check the condition and find the location of PNA (for Negative moment)</t>
    <phoneticPr fontId="34" type="noConversion"/>
  </si>
  <si>
    <t>In Web</t>
    <phoneticPr fontId="34" type="noConversion"/>
  </si>
  <si>
    <t>(d)</t>
    <phoneticPr fontId="34" type="noConversion"/>
  </si>
  <si>
    <t>(9)</t>
    <phoneticPr fontId="34" type="noConversion"/>
  </si>
  <si>
    <r>
      <t>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 [(P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+ 1] 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</si>
  <si>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+(D-H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/D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</si>
  <si>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D/2 [(P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+ 1] 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</si>
  <si>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2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</si>
  <si>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</si>
  <si>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</si>
  <si>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2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</si>
  <si>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</si>
  <si>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</si>
  <si>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DP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(2D/H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- 1)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2" type="noConversion"/>
  </si>
  <si>
    <r>
      <t>2P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/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 2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</t>
    </r>
    <phoneticPr fontId="112" type="noConversion"/>
  </si>
  <si>
    <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</si>
  <si>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</si>
  <si>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DP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</si>
  <si>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 2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</si>
  <si>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(D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</si>
  <si>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</si>
  <si>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2" type="noConversion"/>
  </si>
  <si>
    <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2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</si>
  <si>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</t>
    </r>
    <phoneticPr fontId="34" type="noConversion"/>
  </si>
  <si>
    <r>
      <t>0.85f'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con</t>
    </r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</si>
  <si>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con</t>
    </r>
    <phoneticPr fontId="34" type="noConversion"/>
  </si>
  <si>
    <r>
      <t>A</t>
    </r>
    <r>
      <rPr>
        <vertAlign val="subscript"/>
        <sz val="9"/>
        <rFont val="맑은 고딕"/>
        <family val="3"/>
        <charset val="129"/>
      </rPr>
      <t>rcon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</si>
  <si>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</si>
  <si>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(D-H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/D+P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</si>
  <si>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</si>
  <si>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4" type="noConversion"/>
  </si>
  <si>
    <t>3-3</t>
  </si>
  <si>
    <t xml:space="preserve">Moment = </t>
    <phoneticPr fontId="34" type="noConversion"/>
  </si>
  <si>
    <t>→</t>
    <phoneticPr fontId="34" type="noConversion"/>
  </si>
  <si>
    <t>●</t>
    <phoneticPr fontId="34" type="noConversion"/>
  </si>
  <si>
    <t>Case (b) In Bot Rib</t>
    <phoneticPr fontId="34" type="noConversion"/>
  </si>
  <si>
    <t>+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</si>
  <si>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]/2/D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</si>
  <si>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[(D-Y)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-D+Y)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/2/H</t>
    </r>
    <r>
      <rPr>
        <vertAlign val="subscript"/>
        <sz val="9"/>
        <rFont val="맑은 고딕"/>
        <family val="3"/>
        <charset val="129"/>
      </rPr>
      <t>sb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</si>
  <si>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/2/H</t>
    </r>
    <r>
      <rPr>
        <vertAlign val="subscript"/>
        <sz val="9"/>
        <rFont val="맑은 고딕"/>
        <family val="3"/>
        <charset val="129"/>
      </rPr>
      <t>c</t>
    </r>
    <phoneticPr fontId="34" type="noConversion"/>
  </si>
  <si>
    <t>/ 2</t>
    <phoneticPr fontId="34" type="noConversion"/>
  </si>
  <si>
    <t>-</t>
    <phoneticPr fontId="34" type="noConversion"/>
  </si>
  <si>
    <t>/  2</t>
    <phoneticPr fontId="34" type="noConversion"/>
  </si>
  <si>
    <t>(</t>
    <phoneticPr fontId="34" type="noConversion"/>
  </si>
  <si>
    <t>)² / 2 /</t>
    <phoneticPr fontId="34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</si>
  <si>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phoneticPr fontId="34" type="noConversion"/>
  </si>
  <si>
    <t>Case (c) In Bot Con'c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</si>
  <si>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D - Y -H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4" type="noConversion"/>
  </si>
  <si>
    <t>Case (8) In Web</t>
    <phoneticPr fontId="34" type="noConversion"/>
  </si>
  <si>
    <t>[</t>
    <phoneticPr fontId="34" type="noConversion"/>
  </si>
  <si>
    <t>+1]*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</si>
  <si>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</si>
  <si>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t>Case (d) In Top Rib</t>
    <phoneticPr fontId="34" type="noConversion"/>
  </si>
  <si>
    <t>2  *</t>
    <phoneticPr fontId="34" type="noConversion"/>
  </si>
  <si>
    <t>/</t>
    <phoneticPr fontId="34" type="noConversion"/>
  </si>
  <si>
    <t>+   2 *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</si>
  <si>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-(H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]/2/H</t>
    </r>
    <r>
      <rPr>
        <vertAlign val="subscript"/>
        <sz val="9"/>
        <rFont val="맑은 고딕"/>
        <family val="3"/>
        <charset val="129"/>
      </rPr>
      <t>st</t>
    </r>
    <phoneticPr fontId="34" type="noConversion"/>
  </si>
  <si>
    <t>Case (9) In Top Flange</t>
    <phoneticPr fontId="34" type="noConversion"/>
  </si>
  <si>
    <t>+ 1]*</t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</si>
  <si>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+(t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]/2/t</t>
    </r>
    <r>
      <rPr>
        <vertAlign val="subscript"/>
        <sz val="9"/>
        <rFont val="맑은 고딕"/>
        <family val="3"/>
        <charset val="129"/>
      </rPr>
      <t>t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</si>
  <si>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</si>
  <si>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</si>
  <si>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4" type="noConversion"/>
  </si>
  <si>
    <t>=</t>
    <phoneticPr fontId="34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</si>
  <si>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34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</si>
  <si>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4" type="noConversion"/>
  </si>
  <si>
    <t>mm</t>
    <phoneticPr fontId="34" type="noConversion"/>
  </si>
  <si>
    <t>kNm</t>
    <phoneticPr fontId="34" type="noConversion"/>
  </si>
  <si>
    <t xml:space="preserve">■ </t>
    <phoneticPr fontId="34" type="noConversion"/>
  </si>
  <si>
    <t xml:space="preserve"> - </t>
    <phoneticPr fontId="34" type="noConversion"/>
  </si>
  <si>
    <r>
      <t>1.25(M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DC2</t>
    </r>
    <r>
      <rPr>
        <sz val="9"/>
        <rFont val="맑은 고딕"/>
        <family val="3"/>
        <charset val="129"/>
      </rPr>
      <t>)</t>
    </r>
    <phoneticPr fontId="34" type="noConversion"/>
  </si>
  <si>
    <t>1.25 * (</t>
    <phoneticPr fontId="34" type="noConversion"/>
  </si>
  <si>
    <t>DW</t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</si>
  <si>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4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</si>
  <si>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4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</si>
  <si>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+f</t>
    </r>
    <r>
      <rPr>
        <vertAlign val="subscript"/>
        <sz val="9"/>
        <rFont val="맑은 고딕"/>
        <family val="3"/>
        <charset val="129"/>
      </rPr>
      <t>ℓ</t>
    </r>
  </si>
  <si>
    <r>
      <t>f</t>
    </r>
    <r>
      <rPr>
        <vertAlign val="subscript"/>
        <sz val="9"/>
        <rFont val="맑은 고딕"/>
        <family val="3"/>
        <charset val="129"/>
      </rPr>
      <t>ℓ</t>
    </r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</si>
  <si>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</si>
  <si>
    <t>분류</t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</si>
  <si>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nc</t>
    </r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</si>
  <si>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+f</t>
    </r>
    <r>
      <rPr>
        <vertAlign val="subscript"/>
        <sz val="9"/>
        <rFont val="맑은 고딕"/>
        <family val="3"/>
        <charset val="129"/>
      </rPr>
      <t>ℓ</t>
    </r>
    <r>
      <rPr>
        <sz val="9"/>
        <rFont val="맑은 고딕"/>
        <family val="3"/>
        <charset val="129"/>
      </rPr>
      <t>/3</t>
    </r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</si>
  <si>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nt</t>
    </r>
  </si>
  <si>
    <r>
      <t>I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산정</t>
    </r>
  </si>
  <si>
    <t>BF/OF</t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</si>
  <si>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맑은 고딕"/>
        <family val="3"/>
        <charset val="129"/>
      </rPr>
      <t>Δ</t>
    </r>
  </si>
  <si>
    <r>
      <t>F</t>
    </r>
    <r>
      <rPr>
        <vertAlign val="subscript"/>
        <sz val="9"/>
        <rFont val="맑은 고딕"/>
        <family val="3"/>
        <charset val="129"/>
      </rPr>
      <t>yt</t>
    </r>
  </si>
  <si>
    <t>Compression</t>
  </si>
  <si>
    <t>Tension</t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</si>
  <si>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>/OF</t>
    </r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</si>
  <si>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>/BF</t>
    </r>
  </si>
  <si>
    <r>
      <t>F</t>
    </r>
    <r>
      <rPr>
        <vertAlign val="subscript"/>
        <sz val="9"/>
        <rFont val="맑은 고딕"/>
        <family val="3"/>
        <charset val="129"/>
      </rPr>
      <t>nt</t>
    </r>
  </si>
  <si>
    <r>
      <t>Table 7.1.8. Summarizes F</t>
    </r>
    <r>
      <rPr>
        <i/>
        <vertAlign val="subscript"/>
        <sz val="9"/>
        <rFont val="맑은 고딕"/>
        <family val="3"/>
        <charset val="129"/>
      </rPr>
      <t>nc</t>
    </r>
    <r>
      <rPr>
        <i/>
        <sz val="9"/>
        <rFont val="맑은 고딕"/>
        <family val="3"/>
        <charset val="129"/>
      </rPr>
      <t xml:space="preserve"> and F</t>
    </r>
    <r>
      <rPr>
        <i/>
        <vertAlign val="subscript"/>
        <sz val="9"/>
        <rFont val="맑은 고딕"/>
        <family val="3"/>
        <charset val="129"/>
      </rPr>
      <t>nt</t>
    </r>
  </si>
  <si>
    <t>Ratio</t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</si>
  <si>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ℓ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</si>
  <si>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ℓ</t>
    </r>
    <r>
      <rPr>
        <b/>
        <sz val="9"/>
        <rFont val="맑은 고딕"/>
        <family val="3"/>
        <charset val="129"/>
      </rPr>
      <t>/3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</si>
  <si>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ℓ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</si>
  <si>
    <t>Table 7.1.9. Checking top flange stress</t>
  </si>
  <si>
    <t>Table 7.1.10. Checking bottom flange stress</t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</si>
  <si>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</si>
  <si>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</si>
  <si>
    <r>
      <t>are taken as 0.14D and 0.36D, thus, 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 xml:space="preserve"> would be 0.25D </t>
    </r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</si>
  <si>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4" type="noConversion"/>
  </si>
  <si>
    <t>Compression</t>
    <phoneticPr fontId="34" type="noConversion"/>
  </si>
  <si>
    <t>Tension</t>
    <phoneticPr fontId="34" type="noConversion"/>
  </si>
  <si>
    <t>Top</t>
    <phoneticPr fontId="34" type="noConversion"/>
  </si>
  <si>
    <t>Checking Top flange</t>
    <phoneticPr fontId="34" type="noConversion"/>
  </si>
  <si>
    <t>Bottom</t>
    <phoneticPr fontId="34" type="noConversion"/>
  </si>
  <si>
    <t>Checking Bottom flange</t>
    <phoneticPr fontId="34" type="noConversion"/>
  </si>
  <si>
    <t>Table 7.2.11. Checking stress of top and bottom flange for Noncompact section</t>
    <phoneticPr fontId="34" type="noConversion"/>
  </si>
  <si>
    <t>Table 7.2.12. Checking flexure for compact section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</si>
</sst>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41" formatCode="_-* #,##0_-;\-* #,##0_-;_-* &quot;-&quot;_-;_-@_-"/>
    <numFmt numFmtId="43" formatCode="_-* #,##0.00_-;\-* #,##0.00_-;_-* &quot;-&quot;??_-;_-@_-"/>
    <numFmt numFmtId="176" formatCode="0.00&quot; ㎠&quot;"/>
    <numFmt numFmtId="177" formatCode="0.0"/>
    <numFmt numFmtId="178" formatCode="0.000.E+00"/>
    <numFmt numFmtId="179" formatCode="0.000"/>
    <numFmt numFmtId="180" formatCode="0.0000000"/>
    <numFmt numFmtId="181" formatCode="#,##0.00&quot; m&quot;"/>
    <numFmt numFmtId="182" formatCode="&quot;x&quot;#"/>
    <numFmt numFmtId="183" formatCode="_-* #,##0.0_-;\-* #,##0.0_-;_-* &quot;-&quot;??_-;_-@_-"/>
    <numFmt numFmtId="184" formatCode="0.E+00"/>
    <numFmt numFmtId="185" formatCode="&quot;₩&quot;#,##0;&quot;₩&quot;&quot;₩&quot;&quot;₩&quot;&quot;₩&quot;\-#,##0"/>
    <numFmt numFmtId="186" formatCode="#,##0;[Red]&quot;-&quot;#,##0"/>
    <numFmt numFmtId="187" formatCode="&quot;₩&quot;#,##0;[Red]&quot;₩&quot;&quot;₩&quot;&quot;₩&quot;&quot;₩&quot;\-#,##0"/>
    <numFmt numFmtId="188" formatCode="#,##0.00;[Red]&quot;-&quot;#,##0.00"/>
    <numFmt numFmtId="189" formatCode="_-* #,##0.00_-;&quot;₩&quot;&quot;₩&quot;\-* #,##0.00_-;_-* &quot;-&quot;??_-;_-@_-"/>
    <numFmt numFmtId="190" formatCode="_-&quot;₩&quot;* #,##0.00_-;&quot;₩&quot;&quot;₩&quot;\-&quot;₩&quot;* #,##0.00_-;_-&quot;₩&quot;* &quot;-&quot;??_-;_-@_-"/>
    <numFmt numFmtId="191" formatCode="&quot;₩&quot;#,##0.00;&quot;₩&quot;&quot;₩&quot;&quot;₩&quot;&quot;₩&quot;\-#,##0.00"/>
    <numFmt numFmtId="192" formatCode="0.00.E+00"/>
    <numFmt numFmtId="193" formatCode="0.0000.E+00"/>
    <numFmt numFmtId="194" formatCode="0.00_ "/>
    <numFmt numFmtId="195" formatCode="0.000E+00"/>
    <numFmt numFmtId="196" formatCode="#,##0_ "/>
    <numFmt numFmtId="197" formatCode="#,##0.00_ "/>
    <numFmt numFmtId="198" formatCode="0.0E+00"/>
    <numFmt numFmtId="199" formatCode="0_);[Red]\(0\)"/>
    <numFmt numFmtId="200" formatCode="0_ "/>
    <numFmt numFmtId="201" formatCode="0.000_ "/>
    <numFmt numFmtId="202" formatCode="0.0.E+00"/>
    <numFmt numFmtId="203" formatCode="0.000_);[Red]\(0.000\)"/>
    <numFmt numFmtId="204" formatCode="0.00_);[Red]\(0.00\)"/>
    <numFmt numFmtId="205" formatCode="0.00000.E+00"/>
    <numFmt numFmtId="206" formatCode="0.0000000.E+00"/>
    <numFmt numFmtId="207" formatCode="0.00000000.E+00"/>
    <numFmt numFmtId="208" formatCode="0.0000_);[Red]\(0.0000\)"/>
    <numFmt numFmtId="209" formatCode="0.0000"/>
    <numFmt numFmtId="210" formatCode="0.0_);[Red]\(0.0\)"/>
    <numFmt numFmtId="211" formatCode="_-* #,##0.00_-;\-* #,##0.00_-;_-* &quot;-&quot;_-;_-@_-"/>
    <numFmt numFmtId="212" formatCode="0.00000"/>
  </numFmts>
  <fonts count="119">
    <font>
      <sz val="11"/>
      <name val="돋움"/>
      <family val="3"/>
      <charset val="129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10"/>
      <name val="굴림체"/>
      <family val="3"/>
      <charset val="129"/>
    </font>
    <font>
      <sz val="12"/>
      <name val="바탕체"/>
      <family val="1"/>
      <charset val="129"/>
    </font>
    <font>
      <sz val="9"/>
      <color indexed="8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9"/>
      <color rgb="FF0000FF"/>
      <name val="맑은 고딕"/>
      <family val="3"/>
      <charset val="129"/>
    </font>
    <font>
      <b/>
      <sz val="9"/>
      <color rgb="FF0000FF"/>
      <name val="맑은 고딕"/>
      <family val="3"/>
      <charset val="129"/>
    </font>
    <font>
      <b/>
      <sz val="9"/>
      <name val="맑은 고딕"/>
      <family val="3"/>
      <charset val="129"/>
    </font>
    <font>
      <vertAlign val="subscript"/>
      <sz val="9"/>
      <name val="맑은 고딕"/>
      <family val="3"/>
      <charset val="129"/>
    </font>
    <font>
      <b/>
      <vertAlign val="subscript"/>
      <sz val="9"/>
      <name val="맑은 고딕"/>
      <family val="3"/>
      <charset val="129"/>
    </font>
    <font>
      <sz val="9"/>
      <name val="Symbol"/>
      <family val="1"/>
      <charset val="2"/>
    </font>
    <font>
      <sz val="9.5500000000000007"/>
      <name val="맑은 고딕"/>
      <family val="3"/>
      <charset val="129"/>
    </font>
    <font>
      <b/>
      <sz val="9"/>
      <name val="Symbol"/>
      <family val="1"/>
      <charset val="2"/>
    </font>
    <font>
      <vertAlign val="superscript"/>
      <sz val="9"/>
      <name val="맑은 고딕"/>
      <family val="3"/>
      <charset val="129"/>
    </font>
    <font>
      <b/>
      <sz val="11"/>
      <color rgb="FFFF0000"/>
      <name val="돋움"/>
      <family val="3"/>
      <charset val="129"/>
    </font>
    <font>
      <b/>
      <sz val="9"/>
      <color rgb="FFFF0000"/>
      <name val="맑은 고딕"/>
      <family val="3"/>
      <charset val="129"/>
    </font>
    <font>
      <b/>
      <sz val="11"/>
      <name val="돋움"/>
      <family val="3"/>
      <charset val="129"/>
    </font>
    <font>
      <vertAlign val="subscript"/>
      <sz val="8.65"/>
      <name val="맑은 고딕"/>
      <family val="3"/>
      <charset val="129"/>
    </font>
    <font>
      <i/>
      <sz val="9"/>
      <color indexed="8"/>
      <name val="맑은 고딕"/>
      <family val="3"/>
      <charset val="129"/>
    </font>
    <font>
      <i/>
      <sz val="9"/>
      <name val="맑은 고딕"/>
      <family val="3"/>
      <charset val="129"/>
    </font>
    <font>
      <b/>
      <sz val="9.5500000000000007"/>
      <name val="맑은 고딕"/>
      <family val="3"/>
      <charset val="129"/>
    </font>
    <font>
      <b/>
      <i/>
      <sz val="9"/>
      <name val="맑은 고딕"/>
      <family val="3"/>
      <charset val="129"/>
    </font>
    <font>
      <b/>
      <sz val="14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4"/>
      <name val="뼻뮝"/>
      <family val="1"/>
      <charset val="129"/>
    </font>
    <font>
      <sz val="12"/>
      <name val="뼻뮝"/>
      <family val="1"/>
      <charset val="129"/>
    </font>
    <font>
      <b/>
      <sz val="12"/>
      <color indexed="16"/>
      <name val="굴림체"/>
      <family val="3"/>
      <charset val="129"/>
    </font>
    <font>
      <b/>
      <sz val="12"/>
      <name val="Arial"/>
      <family val="2"/>
    </font>
    <font>
      <sz val="8"/>
      <name val="돋움"/>
      <family val="3"/>
      <charset val="129"/>
    </font>
    <font>
      <sz val="8.65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name val="맑은 고딕"/>
      <family val="3"/>
      <charset val="129"/>
      <scheme val="major"/>
    </font>
    <font>
      <vertAlign val="subscript"/>
      <sz val="9"/>
      <name val="맑은 고딕"/>
      <family val="3"/>
      <charset val="129"/>
      <scheme val="major"/>
    </font>
    <font>
      <b/>
      <vertAlign val="subscript"/>
      <sz val="9"/>
      <name val="맑은 고딕"/>
      <family val="3"/>
      <charset val="129"/>
      <scheme val="major"/>
    </font>
    <font>
      <i/>
      <sz val="8.65"/>
      <name val="맑은 고딕"/>
      <family val="3"/>
      <charset val="129"/>
    </font>
    <font>
      <i/>
      <vertAlign val="subscript"/>
      <sz val="9"/>
      <name val="맑은 고딕"/>
      <family val="3"/>
      <charset val="129"/>
    </font>
    <font>
      <b/>
      <sz val="10.1"/>
      <name val="맑은 고딕"/>
      <family val="3"/>
      <charset val="129"/>
    </font>
    <font>
      <sz val="8"/>
      <name val="맑은 고딕"/>
      <family val="3"/>
      <charset val="129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14"/>
      <name val="맑은 고딕"/>
      <family val="3"/>
      <charset val="129"/>
    </font>
    <font>
      <sz val="9"/>
      <color rgb="FF002060"/>
      <name val="맑은 고딕"/>
      <family val="3"/>
      <charset val="129"/>
    </font>
    <font>
      <vertAlign val="subscript"/>
      <sz val="9"/>
      <color rgb="FF002060"/>
      <name val="맑은 고딕"/>
      <family val="3"/>
      <charset val="129"/>
    </font>
    <font>
      <vertAlign val="superscript"/>
      <sz val="9"/>
      <color rgb="FF002060"/>
      <name val="맑은 고딕"/>
      <family val="3"/>
      <charset val="129"/>
    </font>
    <font>
      <sz val="11"/>
      <color theme="1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ajor"/>
    </font>
    <font>
      <sz val="9"/>
      <color indexed="8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0"/>
      <name val="맑은 고딕"/>
      <family val="3"/>
      <charset val="129"/>
    </font>
    <font>
      <vertAlign val="subscript"/>
      <sz val="10"/>
      <name val="맑은 고딕"/>
      <family val="3"/>
      <charset val="129"/>
    </font>
    <font>
      <vertAlign val="subscript"/>
      <sz val="11"/>
      <name val="돋움"/>
      <family val="3"/>
      <charset val="129"/>
    </font>
    <font>
      <b/>
      <sz val="12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i/>
      <sz val="9"/>
      <name val="맑은 고딕"/>
      <family val="3"/>
      <charset val="129"/>
      <scheme val="major"/>
    </font>
    <font>
      <i/>
      <sz val="8.8000000000000007"/>
      <name val="맑은 고딕"/>
      <family val="3"/>
      <charset val="129"/>
    </font>
    <font>
      <i/>
      <sz val="9.5500000000000007"/>
      <name val="맑은 고딕"/>
      <family val="3"/>
      <charset val="129"/>
    </font>
    <font>
      <sz val="9"/>
      <name val="바탕"/>
      <family val="1"/>
      <charset val="129"/>
    </font>
    <font>
      <b/>
      <sz val="9"/>
      <name val="Calibri"/>
      <family val="3"/>
      <charset val="161"/>
    </font>
    <font>
      <sz val="9"/>
      <name val="Calibri"/>
      <family val="3"/>
      <charset val="161"/>
    </font>
    <font>
      <sz val="9"/>
      <name val="맑은 고딕"/>
      <family val="3"/>
      <charset val="161"/>
    </font>
    <font>
      <sz val="9"/>
      <name val="Cambria Math"/>
      <family val="3"/>
    </font>
    <font>
      <b/>
      <sz val="9"/>
      <name val="맑은 고딕"/>
      <family val="3"/>
      <charset val="161"/>
    </font>
    <font>
      <sz val="11"/>
      <color rgb="FFFF0000"/>
      <name val="돋움"/>
      <family val="3"/>
      <charset val="129"/>
    </font>
    <font>
      <sz val="9"/>
      <name val="Calibri"/>
      <family val="1"/>
      <charset val="161"/>
    </font>
    <font>
      <sz val="8"/>
      <name val="돋움"/>
      <family val="2"/>
      <charset val="129"/>
    </font>
    <font>
      <sz val="12"/>
      <color indexed="8"/>
      <name val="굴림"/>
      <family val="3"/>
      <charset val="129"/>
    </font>
    <font>
      <sz val="9"/>
      <name val="맑은 고딕"/>
      <family val="1"/>
      <charset val="2"/>
    </font>
    <font>
      <sz val="9"/>
      <name val="Calibri"/>
      <family val="3"/>
    </font>
    <font>
      <vertAlign val="subscript"/>
      <sz val="9"/>
      <name val="Calibri"/>
      <family val="2"/>
    </font>
    <font>
      <sz val="8.5"/>
      <name val="맑은 고딕"/>
      <family val="3"/>
      <charset val="129"/>
    </font>
    <font>
      <sz val="8"/>
      <color rgb="FF0000FF"/>
      <name val="맑은 고딕"/>
      <family val="3"/>
      <charset val="129"/>
    </font>
    <font>
      <sz val="8.5"/>
      <color rgb="FF0000FF"/>
      <name val="맑은 고딕"/>
      <family val="3"/>
      <charset val="129"/>
    </font>
    <font>
      <sz val="9"/>
      <name val="돋움"/>
      <family val="3"/>
      <charset val="129"/>
    </font>
    <font>
      <b/>
      <sz val="9"/>
      <name val="돋움"/>
      <family val="3"/>
      <charset val="129"/>
    </font>
    <font>
      <b/>
      <sz val="14"/>
      <name val="돋움"/>
      <family val="3"/>
      <charset val="129"/>
    </font>
    <font>
      <b/>
      <i/>
      <sz val="9"/>
      <name val="돋움"/>
      <family val="3"/>
      <charset val="129"/>
    </font>
    <font>
      <vertAlign val="superscript"/>
      <sz val="9.5500000000000007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10"/>
      <name val="돋움"/>
      <family val="3"/>
      <charset val="129"/>
    </font>
    <font>
      <sz val="10"/>
      <name val="돋움"/>
      <family val="3"/>
      <charset val="129"/>
    </font>
    <font>
      <sz val="10"/>
      <name val="굴림"/>
      <family val="3"/>
      <charset val="129"/>
    </font>
    <font>
      <sz val="7"/>
      <color theme="8" tint="-0.249977111117893"/>
      <name val="맑은 고딕"/>
      <family val="3"/>
      <charset val="129"/>
    </font>
    <font>
      <b/>
      <sz val="14"/>
      <color theme="0"/>
      <name val="맑은 고딕"/>
      <family val="3"/>
      <charset val="129"/>
    </font>
    <font>
      <b/>
      <sz val="14"/>
      <color theme="8" tint="-0.499984740745262"/>
      <name val="맑은 고딕"/>
      <family val="3"/>
      <charset val="129"/>
    </font>
    <font>
      <b/>
      <sz val="12"/>
      <color theme="8" tint="-0.499984740745262"/>
      <name val="맑은 고딕"/>
      <family val="3"/>
      <charset val="129"/>
    </font>
    <font>
      <vertAlign val="subscript"/>
      <sz val="9"/>
      <name val="맑은 고딕"/>
      <family val="2"/>
      <charset val="129"/>
    </font>
    <font>
      <b/>
      <u/>
      <sz val="9"/>
      <name val="맑은 고딕"/>
      <family val="3"/>
      <charset val="129"/>
    </font>
    <font>
      <sz val="9"/>
      <name val="Malgun Gothic Semilight"/>
      <family val="2"/>
      <charset val="129"/>
    </font>
    <font>
      <vertAlign val="subscript"/>
      <sz val="9"/>
      <name val="Malgun Gothic Semilight"/>
      <family val="3"/>
      <charset val="129"/>
    </font>
    <font>
      <sz val="9"/>
      <name val="Malgun Gothic Semilight"/>
      <family val="3"/>
      <charset val="129"/>
    </font>
    <font>
      <vertAlign val="superscript"/>
      <sz val="9"/>
      <name val="Malgun Gothic Semilight"/>
      <family val="3"/>
      <charset val="129"/>
    </font>
    <font>
      <sz val="9"/>
      <color theme="0"/>
      <name val="맑은 고딕"/>
      <family val="3"/>
      <charset val="129"/>
    </font>
    <font>
      <i/>
      <sz val="9"/>
      <name val="Calibri"/>
      <family val="3"/>
      <charset val="161"/>
    </font>
    <font>
      <sz val="6"/>
      <name val="맑은 고딕"/>
      <family val="3"/>
      <charset val="129"/>
    </font>
    <font>
      <b/>
      <sz val="16"/>
      <name val="맑은 고딕"/>
      <family val="3"/>
      <charset val="129"/>
    </font>
    <font>
      <b/>
      <vertAlign val="subscript"/>
      <sz val="9"/>
      <name val="Calibri"/>
      <family val="3"/>
    </font>
    <font>
      <vertAlign val="subscript"/>
      <sz val="9"/>
      <name val="Calibri"/>
      <family val="3"/>
    </font>
    <font>
      <b/>
      <sz val="9"/>
      <name val="Calibri"/>
      <family val="2"/>
    </font>
    <font>
      <b/>
      <sz val="9"/>
      <name val="Calibri"/>
      <family val="3"/>
    </font>
    <font>
      <sz val="9"/>
      <color theme="8" tint="-0.249977111117893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vertAlign val="subscript"/>
      <sz val="8"/>
      <name val="맑은 고딕"/>
      <family val="3"/>
      <charset val="129"/>
    </font>
    <font>
      <sz val="8"/>
      <name val="Calibri"/>
      <family val="3"/>
      <charset val="161"/>
    </font>
    <font>
      <sz val="7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0"/>
      <color theme="4" tint="-0.249977111117893"/>
      <name val="맑은 고딕"/>
      <family val="3"/>
      <charset val="129"/>
    </font>
    <font>
      <vertAlign val="superscript"/>
      <sz val="9"/>
      <name val="맑은 고딕"/>
      <family val="3"/>
      <charset val="129"/>
      <scheme val="major"/>
    </font>
    <font>
      <sz val="9"/>
      <name val="맑은 고딕"/>
      <family val="3"/>
      <charset val="161"/>
      <scheme val="major"/>
    </font>
    <font>
      <b/>
      <vertAlign val="subscript"/>
      <sz val="12"/>
      <color theme="8" tint="-0.499984740745262"/>
      <name val="맑은 고딕"/>
      <family val="3"/>
      <charset val="129"/>
    </font>
    <font>
      <b/>
      <sz val="12"/>
      <color theme="4" tint="-0.249977111117893"/>
      <name val="맑은 고딕"/>
      <family val="3"/>
      <charset val="129"/>
    </font>
    <font>
      <b/>
      <vertAlign val="subscript"/>
      <sz val="12"/>
      <color theme="4" tint="-0.249977111117893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</fills>
  <borders count="207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auto="1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auto="1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/>
      <bottom style="thin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ck">
        <color indexed="18"/>
      </left>
      <right style="thin">
        <color indexed="18"/>
      </right>
      <top style="thick">
        <color indexed="18"/>
      </top>
      <bottom/>
      <diagonal/>
    </border>
    <border>
      <left style="thin">
        <color indexed="18"/>
      </left>
      <right style="thin">
        <color indexed="18"/>
      </right>
      <top style="thick">
        <color indexed="18"/>
      </top>
      <bottom/>
      <diagonal/>
    </border>
    <border>
      <left style="thin">
        <color indexed="18"/>
      </left>
      <right/>
      <top style="thick">
        <color indexed="18"/>
      </top>
      <bottom/>
      <diagonal/>
    </border>
    <border>
      <left/>
      <right/>
      <top style="thick">
        <color indexed="18"/>
      </top>
      <bottom/>
      <diagonal/>
    </border>
    <border>
      <left/>
      <right style="thin">
        <color indexed="18"/>
      </right>
      <top style="thick">
        <color indexed="18"/>
      </top>
      <bottom/>
      <diagonal/>
    </border>
    <border>
      <left style="thin">
        <color indexed="18"/>
      </left>
      <right style="thick">
        <color indexed="18"/>
      </right>
      <top style="thick">
        <color indexed="18"/>
      </top>
      <bottom/>
      <diagonal/>
    </border>
    <border>
      <left style="thick">
        <color indexed="18"/>
      </left>
      <right style="thin">
        <color indexed="18"/>
      </right>
      <top/>
      <bottom/>
      <diagonal/>
    </border>
    <border>
      <left style="thin">
        <color indexed="18"/>
      </left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 style="thick">
        <color indexed="18"/>
      </right>
      <top/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/>
      <right/>
      <top/>
      <bottom style="thin">
        <color indexed="18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 style="thick">
        <color indexed="18"/>
      </right>
      <top/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 style="thick">
        <color indexed="18"/>
      </right>
      <top style="thin">
        <color indexed="18"/>
      </top>
      <bottom/>
      <diagonal/>
    </border>
    <border>
      <left style="thick">
        <color indexed="18"/>
      </left>
      <right style="thin">
        <color indexed="18"/>
      </right>
      <top/>
      <bottom style="thin">
        <color indexed="18"/>
      </bottom>
      <diagonal/>
    </border>
    <border>
      <left style="thick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ck">
        <color indexed="18"/>
      </right>
      <top style="thin">
        <color indexed="18"/>
      </top>
      <bottom style="thin">
        <color indexed="18"/>
      </bottom>
      <diagonal/>
    </border>
    <border>
      <left style="thick">
        <color indexed="18"/>
      </left>
      <right style="thin">
        <color indexed="18"/>
      </right>
      <top style="thin">
        <color indexed="18"/>
      </top>
      <bottom/>
      <diagonal/>
    </border>
    <border>
      <left style="thick">
        <color indexed="18"/>
      </left>
      <right style="thin">
        <color indexed="18"/>
      </right>
      <top/>
      <bottom style="thick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ck">
        <color indexed="18"/>
      </bottom>
      <diagonal/>
    </border>
    <border>
      <left style="thin">
        <color indexed="18"/>
      </left>
      <right style="thick">
        <color indexed="18"/>
      </right>
      <top style="thin">
        <color indexed="18"/>
      </top>
      <bottom style="thick">
        <color indexed="1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auto="1"/>
      </bottom>
      <diagonal/>
    </border>
    <border>
      <left/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thin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auto="1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</borders>
  <cellStyleXfs count="40">
    <xf numFmtId="0" fontId="0" fillId="0" borderId="0">
      <alignment vertical="center"/>
    </xf>
    <xf numFmtId="176" fontId="3" fillId="0" borderId="0">
      <protection locked="0"/>
    </xf>
    <xf numFmtId="176" fontId="3" fillId="0" borderId="0">
      <protection locked="0"/>
    </xf>
    <xf numFmtId="176" fontId="3" fillId="0" borderId="0">
      <protection locked="0"/>
    </xf>
    <xf numFmtId="176" fontId="3" fillId="0" borderId="0">
      <protection locked="0"/>
    </xf>
    <xf numFmtId="176" fontId="3" fillId="0" borderId="0">
      <protection locked="0"/>
    </xf>
    <xf numFmtId="176" fontId="3" fillId="0" borderId="0">
      <protection locked="0"/>
    </xf>
    <xf numFmtId="176" fontId="3" fillId="0" borderId="0">
      <protection locked="0"/>
    </xf>
    <xf numFmtId="176" fontId="3" fillId="0" borderId="1">
      <protection locked="0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41" fontId="2" fillId="0" borderId="0" applyFont="0" applyFill="0" applyBorder="0" applyAlignment="0" applyProtection="0"/>
    <xf numFmtId="0" fontId="2" fillId="0" borderId="0"/>
    <xf numFmtId="185" fontId="4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38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1" fillId="0" borderId="0"/>
    <xf numFmtId="186" fontId="32" fillId="0" borderId="0">
      <alignment vertical="center"/>
    </xf>
    <xf numFmtId="4" fontId="29" fillId="0" borderId="0">
      <protection locked="0"/>
    </xf>
    <xf numFmtId="187" fontId="4" fillId="0" borderId="0">
      <protection locked="0"/>
    </xf>
    <xf numFmtId="186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89" fontId="4" fillId="0" borderId="0">
      <protection locked="0"/>
    </xf>
    <xf numFmtId="0" fontId="2" fillId="0" borderId="0"/>
    <xf numFmtId="0" fontId="2" fillId="0" borderId="0"/>
    <xf numFmtId="0" fontId="29" fillId="0" borderId="51">
      <protection locked="0"/>
    </xf>
    <xf numFmtId="190" fontId="4" fillId="0" borderId="0">
      <protection locked="0"/>
    </xf>
    <xf numFmtId="191" fontId="4" fillId="0" borderId="0">
      <protection locked="0"/>
    </xf>
    <xf numFmtId="0" fontId="33" fillId="0" borderId="52" applyNumberFormat="0" applyAlignment="0" applyProtection="0">
      <alignment horizontal="left" vertical="center"/>
    </xf>
    <xf numFmtId="0" fontId="33" fillId="0" borderId="32">
      <alignment horizontal="left" vertical="center"/>
    </xf>
    <xf numFmtId="0" fontId="50" fillId="0" borderId="0">
      <alignment vertical="center"/>
    </xf>
    <xf numFmtId="0" fontId="50" fillId="0" borderId="0">
      <alignment vertical="center"/>
    </xf>
    <xf numFmtId="0" fontId="73" fillId="0" borderId="0"/>
    <xf numFmtId="0" fontId="1" fillId="0" borderId="0"/>
  </cellStyleXfs>
  <cellXfs count="2307">
    <xf numFmtId="0" fontId="0" fillId="0" borderId="0" xfId="0">
      <alignment vertical="center"/>
    </xf>
    <xf numFmtId="0" fontId="5" fillId="0" borderId="0" xfId="0" applyFont="1" applyAlignment="1">
      <alignment horizontal="right" vertical="center"/>
    </xf>
    <xf numFmtId="0" fontId="10" fillId="0" borderId="0" xfId="0" applyFont="1">
      <alignment vertical="center"/>
    </xf>
    <xf numFmtId="0" fontId="6" fillId="0" borderId="0" xfId="0" applyFont="1">
      <alignment vertical="center"/>
    </xf>
    <xf numFmtId="41" fontId="6" fillId="0" borderId="0" xfId="12" applyFont="1" applyAlignment="1">
      <alignment vertical="center"/>
    </xf>
    <xf numFmtId="0" fontId="6" fillId="0" borderId="0" xfId="0" applyFont="1" applyBorder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10" fillId="0" borderId="0" xfId="0" quotePrefix="1" applyFont="1">
      <alignment vertical="center"/>
    </xf>
    <xf numFmtId="0" fontId="6" fillId="2" borderId="0" xfId="0" applyFont="1" applyFill="1" applyBorder="1">
      <alignment vertical="center"/>
    </xf>
    <xf numFmtId="0" fontId="6" fillId="2" borderId="4" xfId="0" applyFont="1" applyFill="1" applyBorder="1">
      <alignment vertical="center"/>
    </xf>
    <xf numFmtId="0" fontId="6" fillId="2" borderId="2" xfId="0" applyFont="1" applyFill="1" applyBorder="1">
      <alignment vertical="center"/>
    </xf>
    <xf numFmtId="179" fontId="0" fillId="0" borderId="0" xfId="0" applyNumberFormat="1">
      <alignment vertical="center"/>
    </xf>
    <xf numFmtId="2" fontId="0" fillId="0" borderId="0" xfId="0" applyNumberFormat="1">
      <alignment vertical="center"/>
    </xf>
    <xf numFmtId="43" fontId="6" fillId="0" borderId="0" xfId="0" applyNumberFormat="1" applyFont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180" fontId="6" fillId="2" borderId="2" xfId="0" applyNumberFormat="1" applyFont="1" applyFill="1" applyBorder="1">
      <alignment vertical="center"/>
    </xf>
    <xf numFmtId="180" fontId="6" fillId="2" borderId="0" xfId="0" applyNumberFormat="1" applyFont="1" applyFill="1" applyBorder="1">
      <alignment vertical="center"/>
    </xf>
    <xf numFmtId="0" fontId="13" fillId="0" borderId="0" xfId="0" applyFont="1" applyAlignment="1">
      <alignment horizontal="right" vertical="center"/>
    </xf>
    <xf numFmtId="0" fontId="18" fillId="0" borderId="0" xfId="0" applyFont="1">
      <alignment vertical="center"/>
    </xf>
    <xf numFmtId="2" fontId="6" fillId="0" borderId="20" xfId="0" applyNumberFormat="1" applyFont="1" applyFill="1" applyBorder="1" applyAlignment="1">
      <alignment vertical="center"/>
    </xf>
    <xf numFmtId="43" fontId="0" fillId="0" borderId="0" xfId="0" applyNumberFormat="1">
      <alignment vertical="center"/>
    </xf>
    <xf numFmtId="0" fontId="0" fillId="3" borderId="0" xfId="0" applyFill="1">
      <alignment vertical="center"/>
    </xf>
    <xf numFmtId="43" fontId="17" fillId="3" borderId="0" xfId="0" applyNumberFormat="1" applyFont="1" applyFill="1">
      <alignment vertical="center"/>
    </xf>
    <xf numFmtId="2" fontId="17" fillId="3" borderId="0" xfId="0" applyNumberFormat="1" applyFont="1" applyFill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19" fillId="3" borderId="0" xfId="0" applyFont="1" applyFill="1">
      <alignment vertical="center"/>
    </xf>
    <xf numFmtId="0" fontId="6" fillId="0" borderId="0" xfId="0" applyFont="1" applyAlignment="1">
      <alignment horizontal="center" vertical="center"/>
    </xf>
    <xf numFmtId="0" fontId="6" fillId="2" borderId="0" xfId="0" quotePrefix="1" applyFont="1" applyFill="1" applyBorder="1">
      <alignment vertical="center"/>
    </xf>
    <xf numFmtId="0" fontId="21" fillId="2" borderId="4" xfId="0" applyFont="1" applyFill="1" applyBorder="1" applyAlignment="1">
      <alignment horizontal="right" vertical="center"/>
    </xf>
    <xf numFmtId="0" fontId="10" fillId="2" borderId="0" xfId="0" applyFont="1" applyFill="1" applyBorder="1">
      <alignment vertical="center"/>
    </xf>
    <xf numFmtId="0" fontId="10" fillId="2" borderId="2" xfId="0" applyFont="1" applyFill="1" applyBorder="1">
      <alignment vertical="center"/>
    </xf>
    <xf numFmtId="0" fontId="10" fillId="2" borderId="10" xfId="0" applyFont="1" applyFill="1" applyBorder="1">
      <alignment vertical="center"/>
    </xf>
    <xf numFmtId="0" fontId="6" fillId="2" borderId="11" xfId="0" applyFont="1" applyFill="1" applyBorder="1">
      <alignment vertical="center"/>
    </xf>
    <xf numFmtId="0" fontId="13" fillId="2" borderId="15" xfId="0" applyFont="1" applyFill="1" applyBorder="1" applyAlignment="1">
      <alignment horizontal="right" vertical="center"/>
    </xf>
    <xf numFmtId="0" fontId="21" fillId="2" borderId="16" xfId="0" applyFont="1" applyFill="1" applyBorder="1" applyAlignment="1">
      <alignment horizontal="right" vertical="center"/>
    </xf>
    <xf numFmtId="0" fontId="10" fillId="2" borderId="15" xfId="0" applyFont="1" applyFill="1" applyBorder="1">
      <alignment vertical="center"/>
    </xf>
    <xf numFmtId="0" fontId="6" fillId="2" borderId="17" xfId="0" applyFont="1" applyFill="1" applyBorder="1">
      <alignment vertical="center"/>
    </xf>
    <xf numFmtId="0" fontId="6" fillId="2" borderId="18" xfId="0" applyFont="1" applyFill="1" applyBorder="1">
      <alignment vertical="center"/>
    </xf>
    <xf numFmtId="180" fontId="6" fillId="2" borderId="18" xfId="0" applyNumberFormat="1" applyFont="1" applyFill="1" applyBorder="1">
      <alignment vertical="center"/>
    </xf>
    <xf numFmtId="0" fontId="6" fillId="2" borderId="12" xfId="0" applyFont="1" applyFill="1" applyBorder="1">
      <alignment vertical="center"/>
    </xf>
    <xf numFmtId="0" fontId="6" fillId="2" borderId="16" xfId="0" applyFont="1" applyFill="1" applyBorder="1">
      <alignment vertical="center"/>
    </xf>
    <xf numFmtId="0" fontId="6" fillId="2" borderId="19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2" borderId="14" xfId="0" applyFont="1" applyFill="1" applyBorder="1">
      <alignment vertical="center"/>
    </xf>
    <xf numFmtId="0" fontId="10" fillId="2" borderId="0" xfId="0" applyFont="1" applyFill="1" applyBorder="1" applyAlignment="1">
      <alignment horizontal="left" vertical="center"/>
    </xf>
    <xf numFmtId="0" fontId="10" fillId="2" borderId="0" xfId="0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183" fontId="6" fillId="0" borderId="0" xfId="0" applyNumberFormat="1" applyFont="1">
      <alignment vertical="center"/>
    </xf>
    <xf numFmtId="0" fontId="6" fillId="0" borderId="0" xfId="0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2" fontId="6" fillId="0" borderId="0" xfId="0" applyNumberFormat="1" applyFont="1" applyBorder="1">
      <alignment vertical="center"/>
    </xf>
    <xf numFmtId="0" fontId="6" fillId="0" borderId="0" xfId="12" applyNumberFormat="1" applyFont="1" applyBorder="1" applyAlignment="1">
      <alignment vertical="center"/>
    </xf>
    <xf numFmtId="177" fontId="6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horizontal="centerContinuous" vertical="center"/>
    </xf>
    <xf numFmtId="0" fontId="6" fillId="0" borderId="0" xfId="0" applyFont="1" applyBorder="1" applyAlignment="1">
      <alignment horizontal="left" vertical="center"/>
    </xf>
    <xf numFmtId="177" fontId="7" fillId="0" borderId="0" xfId="0" applyNumberFormat="1" applyFont="1" applyBorder="1">
      <alignment vertical="center"/>
    </xf>
    <xf numFmtId="0" fontId="9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8" fillId="0" borderId="0" xfId="0" applyFont="1" applyBorder="1">
      <alignment vertical="center"/>
    </xf>
    <xf numFmtId="0" fontId="6" fillId="2" borderId="5" xfId="0" applyFont="1" applyFill="1" applyBorder="1">
      <alignment vertical="center"/>
    </xf>
    <xf numFmtId="0" fontId="8" fillId="0" borderId="0" xfId="0" applyFont="1" applyBorder="1">
      <alignment vertical="center"/>
    </xf>
    <xf numFmtId="0" fontId="6" fillId="2" borderId="3" xfId="0" applyFont="1" applyFill="1" applyBorder="1">
      <alignment vertical="center"/>
    </xf>
    <xf numFmtId="0" fontId="10" fillId="2" borderId="2" xfId="0" applyFont="1" applyFill="1" applyBorder="1" applyAlignment="1">
      <alignment horizontal="left" vertical="center"/>
    </xf>
    <xf numFmtId="0" fontId="10" fillId="2" borderId="2" xfId="0" applyFont="1" applyFill="1" applyBorder="1" applyAlignment="1">
      <alignment vertical="center"/>
    </xf>
    <xf numFmtId="0" fontId="21" fillId="2" borderId="9" xfId="0" applyFont="1" applyFill="1" applyBorder="1" applyAlignment="1">
      <alignment horizontal="right" vertical="center"/>
    </xf>
    <xf numFmtId="182" fontId="10" fillId="2" borderId="15" xfId="0" applyNumberFormat="1" applyFont="1" applyFill="1" applyBorder="1" applyAlignment="1">
      <alignment horizontal="left" vertical="center"/>
    </xf>
    <xf numFmtId="0" fontId="10" fillId="2" borderId="42" xfId="0" applyFont="1" applyFill="1" applyBorder="1">
      <alignment vertical="center"/>
    </xf>
    <xf numFmtId="0" fontId="6" fillId="0" borderId="0" xfId="0" applyFont="1" applyFill="1">
      <alignment vertical="center"/>
    </xf>
    <xf numFmtId="0" fontId="6" fillId="0" borderId="0" xfId="0" quotePrefix="1" applyFont="1" applyFill="1" applyBorder="1">
      <alignment vertical="center"/>
    </xf>
    <xf numFmtId="2" fontId="6" fillId="0" borderId="0" xfId="0" quotePrefix="1" applyNumberFormat="1" applyFont="1" applyFill="1" applyBorder="1" applyAlignment="1">
      <alignment vertical="center"/>
    </xf>
    <xf numFmtId="0" fontId="6" fillId="0" borderId="0" xfId="0" quotePrefix="1" applyFont="1" applyFill="1">
      <alignment vertical="center"/>
    </xf>
    <xf numFmtId="0" fontId="22" fillId="2" borderId="16" xfId="0" applyFont="1" applyFill="1" applyBorder="1" applyAlignment="1">
      <alignment horizontal="right" vertical="center"/>
    </xf>
    <xf numFmtId="0" fontId="10" fillId="0" borderId="0" xfId="0" quotePrefix="1" applyFont="1" applyBorder="1">
      <alignment vertical="center"/>
    </xf>
    <xf numFmtId="182" fontId="6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/>
    </xf>
    <xf numFmtId="0" fontId="6" fillId="0" borderId="3" xfId="0" applyFont="1" applyBorder="1">
      <alignment vertical="center"/>
    </xf>
    <xf numFmtId="0" fontId="25" fillId="0" borderId="50" xfId="0" quotePrefix="1" applyFont="1" applyBorder="1">
      <alignment vertical="center"/>
    </xf>
    <xf numFmtId="0" fontId="25" fillId="0" borderId="50" xfId="0" applyFont="1" applyBorder="1">
      <alignment vertical="center"/>
    </xf>
    <xf numFmtId="0" fontId="6" fillId="0" borderId="50" xfId="0" applyFont="1" applyBorder="1">
      <alignment vertical="center"/>
    </xf>
    <xf numFmtId="181" fontId="8" fillId="0" borderId="0" xfId="0" applyNumberFormat="1" applyFont="1" applyBorder="1" applyAlignment="1">
      <alignment horizontal="right" vertical="center"/>
    </xf>
    <xf numFmtId="0" fontId="0" fillId="4" borderId="0" xfId="0" applyFill="1">
      <alignment vertical="center"/>
    </xf>
    <xf numFmtId="180" fontId="6" fillId="0" borderId="0" xfId="0" applyNumberFormat="1" applyFont="1" applyFill="1" applyBorder="1">
      <alignment vertical="center"/>
    </xf>
    <xf numFmtId="0" fontId="10" fillId="0" borderId="0" xfId="0" quotePrefix="1" applyFont="1" applyBorder="1" applyAlignment="1">
      <alignment horizontal="right" vertical="center"/>
    </xf>
    <xf numFmtId="0" fontId="6" fillId="0" borderId="0" xfId="0" applyFont="1" applyBorder="1" applyAlignment="1">
      <alignment horizontal="right" vertical="center"/>
    </xf>
    <xf numFmtId="0" fontId="10" fillId="0" borderId="39" xfId="0" applyFont="1" applyFill="1" applyBorder="1">
      <alignment vertical="center"/>
    </xf>
    <xf numFmtId="0" fontId="6" fillId="0" borderId="45" xfId="0" applyFont="1" applyBorder="1">
      <alignment vertical="center"/>
    </xf>
    <xf numFmtId="0" fontId="6" fillId="0" borderId="45" xfId="0" applyFont="1" applyFill="1" applyBorder="1">
      <alignment vertical="center"/>
    </xf>
    <xf numFmtId="0" fontId="6" fillId="0" borderId="6" xfId="0" applyFont="1" applyBorder="1">
      <alignment vertical="center"/>
    </xf>
    <xf numFmtId="0" fontId="6" fillId="0" borderId="6" xfId="0" applyFont="1" applyFill="1" applyBorder="1">
      <alignment vertical="center"/>
    </xf>
    <xf numFmtId="0" fontId="10" fillId="0" borderId="0" xfId="0" applyFont="1">
      <alignment vertical="center"/>
    </xf>
    <xf numFmtId="0" fontId="10" fillId="0" borderId="0" xfId="0" applyFont="1" applyBorder="1">
      <alignment vertical="center"/>
    </xf>
    <xf numFmtId="0" fontId="10" fillId="0" borderId="0" xfId="0" applyFont="1" applyBorder="1" applyAlignment="1">
      <alignment horizontal="left" vertical="center"/>
    </xf>
    <xf numFmtId="0" fontId="10" fillId="0" borderId="2" xfId="0" applyFont="1" applyFill="1" applyBorder="1">
      <alignment vertical="center"/>
    </xf>
    <xf numFmtId="0" fontId="6" fillId="0" borderId="39" xfId="0" applyFont="1" applyBorder="1">
      <alignment vertical="center"/>
    </xf>
    <xf numFmtId="180" fontId="6" fillId="0" borderId="0" xfId="0" applyNumberFormat="1" applyFont="1" applyBorder="1">
      <alignment vertical="center"/>
    </xf>
    <xf numFmtId="180" fontId="6" fillId="0" borderId="44" xfId="0" applyNumberFormat="1" applyFont="1" applyBorder="1">
      <alignment vertical="center"/>
    </xf>
    <xf numFmtId="180" fontId="6" fillId="2" borderId="32" xfId="0" applyNumberFormat="1" applyFont="1" applyFill="1" applyBorder="1">
      <alignment vertical="center"/>
    </xf>
    <xf numFmtId="0" fontId="6" fillId="0" borderId="27" xfId="0" applyFont="1" applyBorder="1" applyAlignment="1">
      <alignment vertical="center"/>
    </xf>
    <xf numFmtId="0" fontId="6" fillId="0" borderId="40" xfId="0" applyFont="1" applyBorder="1" applyAlignment="1">
      <alignment vertical="center"/>
    </xf>
    <xf numFmtId="177" fontId="6" fillId="0" borderId="40" xfId="0" applyNumberFormat="1" applyFont="1" applyBorder="1" applyAlignment="1">
      <alignment vertical="center"/>
    </xf>
    <xf numFmtId="177" fontId="6" fillId="0" borderId="44" xfId="0" applyNumberFormat="1" applyFont="1" applyBorder="1" applyAlignment="1">
      <alignment horizontal="left" vertical="center"/>
    </xf>
    <xf numFmtId="0" fontId="6" fillId="0" borderId="32" xfId="0" applyFont="1" applyBorder="1">
      <alignment vertical="center"/>
    </xf>
    <xf numFmtId="0" fontId="22" fillId="0" borderId="0" xfId="0" applyFont="1" applyBorder="1" applyAlignment="1">
      <alignment horizontal="right" vertical="center"/>
    </xf>
    <xf numFmtId="0" fontId="6" fillId="0" borderId="40" xfId="0" applyFont="1" applyBorder="1" applyAlignment="1">
      <alignment horizontal="center" vertical="center"/>
    </xf>
    <xf numFmtId="0" fontId="6" fillId="0" borderId="44" xfId="0" applyFont="1" applyBorder="1">
      <alignment vertical="center"/>
    </xf>
    <xf numFmtId="0" fontId="10" fillId="0" borderId="44" xfId="0" applyFont="1" applyFill="1" applyBorder="1">
      <alignment vertical="center"/>
    </xf>
    <xf numFmtId="0" fontId="6" fillId="0" borderId="2" xfId="0" applyFont="1" applyBorder="1" applyAlignment="1">
      <alignment vertical="center"/>
    </xf>
    <xf numFmtId="177" fontId="6" fillId="0" borderId="27" xfId="0" applyNumberFormat="1" applyFont="1" applyBorder="1" applyAlignment="1">
      <alignment horizontal="left" vertical="center"/>
    </xf>
    <xf numFmtId="180" fontId="6" fillId="0" borderId="2" xfId="0" applyNumberFormat="1" applyFont="1" applyBorder="1">
      <alignment vertical="center"/>
    </xf>
    <xf numFmtId="0" fontId="6" fillId="0" borderId="0" xfId="0" applyFont="1" applyBorder="1" applyAlignment="1">
      <alignment vertical="center"/>
    </xf>
    <xf numFmtId="41" fontId="6" fillId="0" borderId="0" xfId="12" applyFont="1" applyBorder="1" applyAlignment="1">
      <alignment vertical="center"/>
    </xf>
    <xf numFmtId="41" fontId="6" fillId="0" borderId="2" xfId="12" applyFont="1" applyBorder="1" applyAlignment="1">
      <alignment vertical="center"/>
    </xf>
    <xf numFmtId="0" fontId="6" fillId="0" borderId="40" xfId="0" applyFont="1" applyBorder="1">
      <alignment vertical="center"/>
    </xf>
    <xf numFmtId="2" fontId="6" fillId="0" borderId="0" xfId="0" applyNumberFormat="1" applyFont="1" applyFill="1" applyBorder="1" applyAlignment="1">
      <alignment vertical="center"/>
    </xf>
    <xf numFmtId="179" fontId="6" fillId="0" borderId="0" xfId="0" applyNumberFormat="1" applyFont="1" applyFill="1" applyBorder="1" applyAlignment="1">
      <alignment vertical="center"/>
    </xf>
    <xf numFmtId="2" fontId="6" fillId="0" borderId="0" xfId="0" applyNumberFormat="1" applyFont="1" applyFill="1" applyBorder="1">
      <alignment vertical="center"/>
    </xf>
    <xf numFmtId="0" fontId="6" fillId="0" borderId="0" xfId="0" applyFont="1" applyFill="1" applyBorder="1">
      <alignment vertical="center"/>
    </xf>
    <xf numFmtId="2" fontId="6" fillId="0" borderId="0" xfId="0" applyNumberFormat="1" applyFont="1" applyFill="1" applyBorder="1" applyAlignment="1">
      <alignment horizontal="center" vertical="center"/>
    </xf>
    <xf numFmtId="0" fontId="6" fillId="0" borderId="0" xfId="0" quotePrefix="1" applyFont="1" applyBorder="1">
      <alignment vertical="center"/>
    </xf>
    <xf numFmtId="41" fontId="6" fillId="0" borderId="0" xfId="12" applyFont="1" applyFill="1" applyBorder="1" applyAlignment="1">
      <alignment vertical="center"/>
    </xf>
    <xf numFmtId="2" fontId="6" fillId="0" borderId="2" xfId="0" applyNumberFormat="1" applyFont="1" applyFill="1" applyBorder="1">
      <alignment vertical="center"/>
    </xf>
    <xf numFmtId="179" fontId="6" fillId="0" borderId="2" xfId="0" applyNumberFormat="1" applyFont="1" applyFill="1" applyBorder="1" applyAlignment="1">
      <alignment vertical="center"/>
    </xf>
    <xf numFmtId="2" fontId="6" fillId="0" borderId="2" xfId="0" applyNumberFormat="1" applyFont="1" applyFill="1" applyBorder="1" applyAlignment="1">
      <alignment vertical="center"/>
    </xf>
    <xf numFmtId="41" fontId="10" fillId="2" borderId="32" xfId="12" applyFont="1" applyFill="1" applyBorder="1" applyAlignment="1">
      <alignment vertical="center"/>
    </xf>
    <xf numFmtId="41" fontId="6" fillId="0" borderId="27" xfId="12" applyFont="1" applyBorder="1" applyAlignment="1">
      <alignment vertical="center"/>
    </xf>
    <xf numFmtId="0" fontId="6" fillId="0" borderId="40" xfId="0" quotePrefix="1" applyFont="1" applyBorder="1">
      <alignment vertical="center"/>
    </xf>
    <xf numFmtId="41" fontId="6" fillId="0" borderId="40" xfId="12" applyFont="1" applyBorder="1" applyAlignment="1">
      <alignment vertical="center"/>
    </xf>
    <xf numFmtId="0" fontId="10" fillId="0" borderId="0" xfId="0" quotePrefix="1" applyFont="1">
      <alignment vertical="center"/>
    </xf>
    <xf numFmtId="0" fontId="13" fillId="0" borderId="0" xfId="0" applyFont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0" fillId="0" borderId="0" xfId="0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quotePrefix="1" applyFont="1">
      <alignment vertical="center"/>
    </xf>
    <xf numFmtId="0" fontId="13" fillId="0" borderId="0" xfId="0" applyFont="1" applyAlignment="1">
      <alignment horizontal="right" vertical="center"/>
    </xf>
    <xf numFmtId="0" fontId="24" fillId="0" borderId="2" xfId="0" applyFont="1" applyBorder="1">
      <alignment vertical="center"/>
    </xf>
    <xf numFmtId="0" fontId="6" fillId="2" borderId="32" xfId="0" applyFont="1" applyFill="1" applyBorder="1">
      <alignment vertical="center"/>
    </xf>
    <xf numFmtId="177" fontId="6" fillId="0" borderId="0" xfId="0" applyNumberFormat="1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6" fillId="0" borderId="0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27" xfId="0" applyFont="1" applyBorder="1">
      <alignment vertical="center"/>
    </xf>
    <xf numFmtId="0" fontId="10" fillId="0" borderId="0" xfId="0" applyFont="1" applyFill="1" applyBorder="1">
      <alignment vertical="center"/>
    </xf>
    <xf numFmtId="0" fontId="10" fillId="2" borderId="32" xfId="0" applyFont="1" applyFill="1" applyBorder="1">
      <alignment vertical="center"/>
    </xf>
    <xf numFmtId="0" fontId="6" fillId="0" borderId="2" xfId="0" applyFont="1" applyFill="1" applyBorder="1">
      <alignment vertical="center"/>
    </xf>
    <xf numFmtId="177" fontId="6" fillId="0" borderId="0" xfId="0" applyNumberFormat="1" applyFont="1" applyBorder="1" applyAlignment="1">
      <alignment horizontal="left" vertical="center"/>
    </xf>
    <xf numFmtId="0" fontId="6" fillId="0" borderId="27" xfId="0" applyFont="1" applyFill="1" applyBorder="1">
      <alignment vertical="center"/>
    </xf>
    <xf numFmtId="0" fontId="10" fillId="0" borderId="40" xfId="0" applyFont="1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19" fillId="3" borderId="0" xfId="0" applyFont="1" applyFill="1" applyAlignment="1">
      <alignment horizontal="center" vertical="center"/>
    </xf>
    <xf numFmtId="0" fontId="25" fillId="0" borderId="0" xfId="0" quotePrefix="1" applyFont="1" applyBorder="1">
      <alignment vertical="center"/>
    </xf>
    <xf numFmtId="0" fontId="25" fillId="0" borderId="0" xfId="0" applyFont="1" applyBorder="1">
      <alignment vertical="center"/>
    </xf>
    <xf numFmtId="0" fontId="5" fillId="0" borderId="0" xfId="13" applyFont="1" applyAlignment="1">
      <alignment horizontal="left" vertical="center"/>
    </xf>
    <xf numFmtId="0" fontId="6" fillId="3" borderId="28" xfId="0" applyFont="1" applyFill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84" fontId="0" fillId="0" borderId="0" xfId="0" applyNumberFormat="1">
      <alignment vertical="center"/>
    </xf>
    <xf numFmtId="2" fontId="6" fillId="0" borderId="0" xfId="0" applyNumberFormat="1" applyFont="1">
      <alignment vertical="center"/>
    </xf>
    <xf numFmtId="2" fontId="6" fillId="0" borderId="0" xfId="0" quotePrefix="1" applyNumberFormat="1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0" fillId="0" borderId="0" xfId="0" applyBorder="1">
      <alignment vertical="center"/>
    </xf>
    <xf numFmtId="0" fontId="6" fillId="0" borderId="0" xfId="0" applyFont="1" applyBorder="1">
      <alignment vertical="center"/>
    </xf>
    <xf numFmtId="0" fontId="6" fillId="0" borderId="20" xfId="0" applyFont="1" applyBorder="1">
      <alignment vertical="center"/>
    </xf>
    <xf numFmtId="193" fontId="0" fillId="0" borderId="0" xfId="0" applyNumberForma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5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quotePrefix="1" applyFont="1" applyFill="1" applyBorder="1" applyAlignment="1">
      <alignment horizontal="left" vertical="center"/>
    </xf>
    <xf numFmtId="3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94" fontId="6" fillId="0" borderId="0" xfId="0" applyNumberFormat="1" applyFont="1">
      <alignment vertical="center"/>
    </xf>
    <xf numFmtId="0" fontId="6" fillId="0" borderId="39" xfId="0" quotePrefix="1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5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0" xfId="0" applyFont="1" applyFill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10" fillId="0" borderId="0" xfId="0" quotePrefix="1" applyFont="1" applyAlignment="1">
      <alignment horizontal="left" vertical="center"/>
    </xf>
    <xf numFmtId="0" fontId="10" fillId="0" borderId="0" xfId="0" quotePrefix="1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19" fillId="3" borderId="3" xfId="0" applyFont="1" applyFill="1" applyBorder="1">
      <alignment vertical="center"/>
    </xf>
    <xf numFmtId="0" fontId="0" fillId="0" borderId="0" xfId="0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quotePrefix="1" applyFont="1" applyBorder="1" applyAlignment="1">
      <alignment horizontal="left" vertical="center"/>
    </xf>
    <xf numFmtId="0" fontId="10" fillId="5" borderId="0" xfId="0" applyFont="1" applyFill="1" applyBorder="1">
      <alignment vertical="center"/>
    </xf>
    <xf numFmtId="177" fontId="6" fillId="0" borderId="0" xfId="0" applyNumberFormat="1" applyFont="1">
      <alignment vertical="center"/>
    </xf>
    <xf numFmtId="2" fontId="8" fillId="0" borderId="0" xfId="0" applyNumberFormat="1" applyFont="1" applyFill="1" applyBorder="1" applyAlignment="1">
      <alignment horizontal="center" vertical="center"/>
    </xf>
    <xf numFmtId="0" fontId="37" fillId="0" borderId="0" xfId="0" applyFont="1">
      <alignment vertical="center"/>
    </xf>
    <xf numFmtId="0" fontId="6" fillId="0" borderId="0" xfId="0" applyNumberFormat="1" applyFont="1" applyFill="1" applyBorder="1" applyAlignment="1">
      <alignment horizontal="center" vertical="center"/>
    </xf>
    <xf numFmtId="184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22" fillId="5" borderId="0" xfId="0" applyFont="1" applyFill="1" applyBorder="1">
      <alignment vertical="center"/>
    </xf>
    <xf numFmtId="0" fontId="6" fillId="2" borderId="11" xfId="0" applyFont="1" applyFill="1" applyBorder="1" applyAlignment="1">
      <alignment horizontal="center" vertical="center"/>
    </xf>
    <xf numFmtId="0" fontId="18" fillId="2" borderId="15" xfId="0" applyFont="1" applyFill="1" applyBorder="1">
      <alignment vertical="center"/>
    </xf>
    <xf numFmtId="0" fontId="18" fillId="2" borderId="13" xfId="0" applyFont="1" applyFill="1" applyBorder="1">
      <alignment vertical="center"/>
    </xf>
    <xf numFmtId="0" fontId="22" fillId="2" borderId="14" xfId="0" applyFont="1" applyFill="1" applyBorder="1">
      <alignment vertical="center"/>
    </xf>
    <xf numFmtId="0" fontId="22" fillId="2" borderId="16" xfId="0" applyFont="1" applyFill="1" applyBorder="1">
      <alignment vertical="center"/>
    </xf>
    <xf numFmtId="0" fontId="6" fillId="2" borderId="15" xfId="0" applyFont="1" applyFill="1" applyBorder="1" applyAlignment="1">
      <alignment vertical="center"/>
    </xf>
    <xf numFmtId="0" fontId="6" fillId="2" borderId="15" xfId="0" applyFont="1" applyFill="1" applyBorder="1">
      <alignment vertical="center"/>
    </xf>
    <xf numFmtId="0" fontId="22" fillId="2" borderId="16" xfId="0" quotePrefix="1" applyFont="1" applyFill="1" applyBorder="1">
      <alignment vertical="center"/>
    </xf>
    <xf numFmtId="0" fontId="6" fillId="2" borderId="18" xfId="0" applyFont="1" applyFill="1" applyBorder="1" applyAlignment="1">
      <alignment horizontal="center" vertical="center"/>
    </xf>
    <xf numFmtId="0" fontId="13" fillId="2" borderId="13" xfId="0" applyFont="1" applyFill="1" applyBorder="1" applyAlignment="1">
      <alignment horizontal="right" vertical="center"/>
    </xf>
    <xf numFmtId="0" fontId="6" fillId="2" borderId="2" xfId="0" quotePrefix="1" applyFont="1" applyFill="1" applyBorder="1">
      <alignment vertical="center"/>
    </xf>
    <xf numFmtId="0" fontId="5" fillId="2" borderId="2" xfId="0" applyFont="1" applyFill="1" applyBorder="1" applyAlignment="1">
      <alignment horizontal="right" vertical="center"/>
    </xf>
    <xf numFmtId="0" fontId="21" fillId="2" borderId="14" xfId="0" applyFont="1" applyFill="1" applyBorder="1" applyAlignment="1">
      <alignment horizontal="right" vertical="center"/>
    </xf>
    <xf numFmtId="183" fontId="6" fillId="2" borderId="32" xfId="0" applyNumberFormat="1" applyFont="1" applyFill="1" applyBorder="1">
      <alignment vertical="center"/>
    </xf>
    <xf numFmtId="183" fontId="6" fillId="0" borderId="2" xfId="0" applyNumberFormat="1" applyFont="1" applyBorder="1">
      <alignment vertical="center"/>
    </xf>
    <xf numFmtId="183" fontId="6" fillId="0" borderId="0" xfId="0" applyNumberFormat="1" applyFont="1" applyBorder="1">
      <alignment vertical="center"/>
    </xf>
    <xf numFmtId="0" fontId="0" fillId="2" borderId="32" xfId="0" applyFill="1" applyBorder="1">
      <alignment vertical="center"/>
    </xf>
    <xf numFmtId="0" fontId="0" fillId="0" borderId="2" xfId="0" applyBorder="1">
      <alignment vertical="center"/>
    </xf>
    <xf numFmtId="2" fontId="6" fillId="0" borderId="0" xfId="0" applyNumberFormat="1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179" fontId="6" fillId="0" borderId="0" xfId="0" applyNumberFormat="1" applyFont="1" applyFill="1" applyBorder="1" applyAlignment="1">
      <alignment horizontal="center" vertical="center"/>
    </xf>
    <xf numFmtId="180" fontId="10" fillId="2" borderId="32" xfId="0" applyNumberFormat="1" applyFont="1" applyFill="1" applyBorder="1">
      <alignment vertical="center"/>
    </xf>
    <xf numFmtId="0" fontId="13" fillId="0" borderId="2" xfId="0" applyFont="1" applyBorder="1" applyAlignment="1">
      <alignment horizontal="righ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41" fontId="6" fillId="2" borderId="32" xfId="12" applyFont="1" applyFill="1" applyBorder="1" applyAlignment="1">
      <alignment vertical="center"/>
    </xf>
    <xf numFmtId="181" fontId="8" fillId="0" borderId="0" xfId="0" applyNumberFormat="1" applyFont="1" applyBorder="1" applyAlignment="1">
      <alignment vertical="center"/>
    </xf>
    <xf numFmtId="0" fontId="22" fillId="2" borderId="15" xfId="0" applyFont="1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15" fillId="0" borderId="32" xfId="0" applyFont="1" applyBorder="1" applyAlignment="1">
      <alignment horizontal="right" vertical="center"/>
    </xf>
    <xf numFmtId="0" fontId="10" fillId="0" borderId="32" xfId="0" applyFont="1" applyBorder="1">
      <alignment vertical="center"/>
    </xf>
    <xf numFmtId="0" fontId="6" fillId="0" borderId="2" xfId="0" quotePrefix="1" applyFont="1" applyBorder="1">
      <alignment vertical="center"/>
    </xf>
    <xf numFmtId="0" fontId="6" fillId="3" borderId="25" xfId="0" applyFont="1" applyFill="1" applyBorder="1" applyAlignme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2" fontId="44" fillId="0" borderId="0" xfId="0" applyNumberFormat="1" applyFont="1">
      <alignment vertical="center"/>
    </xf>
    <xf numFmtId="0" fontId="44" fillId="0" borderId="0" xfId="0" applyNumberFormat="1" applyFont="1">
      <alignment vertical="center"/>
    </xf>
    <xf numFmtId="0" fontId="44" fillId="0" borderId="0" xfId="0" applyFont="1" applyFill="1" applyBorder="1">
      <alignment vertical="center"/>
    </xf>
    <xf numFmtId="0" fontId="9" fillId="0" borderId="0" xfId="0" applyFont="1" applyFill="1" applyBorder="1">
      <alignment vertical="center"/>
    </xf>
    <xf numFmtId="0" fontId="5" fillId="0" borderId="0" xfId="0" applyFont="1" applyFill="1" applyBorder="1" applyAlignment="1">
      <alignment horizontal="right" vertical="center"/>
    </xf>
    <xf numFmtId="1" fontId="44" fillId="0" borderId="0" xfId="0" applyNumberFormat="1" applyFont="1">
      <alignment vertical="center"/>
    </xf>
    <xf numFmtId="177" fontId="44" fillId="0" borderId="0" xfId="0" applyNumberFormat="1" applyFo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9" fillId="3" borderId="0" xfId="0" applyFont="1" applyFill="1" applyBorder="1" applyAlignment="1">
      <alignment horizontal="left" vertical="center"/>
    </xf>
    <xf numFmtId="0" fontId="19" fillId="3" borderId="0" xfId="0" applyFont="1" applyFill="1" applyBorder="1" applyAlignment="1">
      <alignment vertical="center"/>
    </xf>
    <xf numFmtId="0" fontId="19" fillId="3" borderId="4" xfId="0" applyFont="1" applyFill="1" applyBorder="1" applyAlignme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horizontal="center" vertical="center"/>
    </xf>
    <xf numFmtId="0" fontId="22" fillId="2" borderId="13" xfId="0" applyFont="1" applyFill="1" applyBorder="1">
      <alignment vertical="center"/>
    </xf>
    <xf numFmtId="2" fontId="6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24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9" fontId="3" fillId="0" borderId="0" xfId="7" applyNumberFormat="1">
      <protection locked="0"/>
    </xf>
    <xf numFmtId="0" fontId="10" fillId="0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77" fontId="6" fillId="0" borderId="0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17" xfId="0" applyFont="1" applyBorder="1">
      <alignment vertical="center"/>
    </xf>
    <xf numFmtId="177" fontId="6" fillId="0" borderId="18" xfId="0" applyNumberFormat="1" applyFont="1" applyFill="1" applyBorder="1" applyAlignment="1">
      <alignment horizontal="center" vertical="center"/>
    </xf>
    <xf numFmtId="0" fontId="6" fillId="0" borderId="18" xfId="0" applyFont="1" applyBorder="1">
      <alignment vertical="center"/>
    </xf>
    <xf numFmtId="2" fontId="6" fillId="0" borderId="91" xfId="0" applyNumberFormat="1" applyFont="1" applyFill="1" applyBorder="1" applyAlignment="1">
      <alignment horizontal="center" vertical="center"/>
    </xf>
    <xf numFmtId="2" fontId="6" fillId="0" borderId="18" xfId="0" applyNumberFormat="1" applyFont="1" applyFill="1" applyBorder="1" applyAlignment="1">
      <alignment horizontal="left" vertical="center"/>
    </xf>
    <xf numFmtId="177" fontId="6" fillId="0" borderId="90" xfId="0" applyNumberFormat="1" applyFont="1" applyFill="1" applyBorder="1" applyAlignment="1">
      <alignment horizontal="center" vertical="center"/>
    </xf>
    <xf numFmtId="0" fontId="6" fillId="0" borderId="19" xfId="0" applyFont="1" applyBorder="1">
      <alignment vertical="center"/>
    </xf>
    <xf numFmtId="0" fontId="6" fillId="0" borderId="0" xfId="0" applyFont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177" fontId="6" fillId="0" borderId="0" xfId="0" applyNumberFormat="1" applyFont="1" applyBorder="1" applyAlignment="1">
      <alignment horizontal="center" vertical="center"/>
    </xf>
    <xf numFmtId="0" fontId="17" fillId="3" borderId="0" xfId="0" applyFont="1" applyFill="1">
      <alignment vertical="center"/>
    </xf>
    <xf numFmtId="0" fontId="24" fillId="0" borderId="0" xfId="0" applyFont="1" applyBorder="1">
      <alignment vertical="center"/>
    </xf>
    <xf numFmtId="0" fontId="7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19" fillId="0" borderId="0" xfId="0" applyFont="1">
      <alignment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46" fillId="0" borderId="0" xfId="0" applyFont="1" applyBorder="1">
      <alignment vertical="center"/>
    </xf>
    <xf numFmtId="0" fontId="21" fillId="2" borderId="12" xfId="0" applyFont="1" applyFill="1" applyBorder="1" applyAlignment="1">
      <alignment horizontal="right" vertical="center"/>
    </xf>
    <xf numFmtId="0" fontId="6" fillId="0" borderId="11" xfId="0" applyFont="1" applyBorder="1">
      <alignment vertical="center"/>
    </xf>
    <xf numFmtId="0" fontId="47" fillId="0" borderId="10" xfId="0" applyFont="1" applyBorder="1" applyAlignment="1">
      <alignment horizontal="left" vertical="center"/>
    </xf>
    <xf numFmtId="0" fontId="47" fillId="0" borderId="15" xfId="0" applyFont="1" applyBorder="1" applyAlignment="1">
      <alignment horizontal="left" vertical="center"/>
    </xf>
    <xf numFmtId="0" fontId="47" fillId="0" borderId="15" xfId="0" applyFont="1" applyBorder="1">
      <alignment vertical="center"/>
    </xf>
    <xf numFmtId="0" fontId="47" fillId="0" borderId="17" xfId="0" quotePrefix="1" applyFont="1" applyBorder="1">
      <alignment vertical="center"/>
    </xf>
    <xf numFmtId="0" fontId="13" fillId="2" borderId="17" xfId="0" applyFont="1" applyFill="1" applyBorder="1" applyAlignment="1">
      <alignment horizontal="right" vertical="center"/>
    </xf>
    <xf numFmtId="0" fontId="10" fillId="2" borderId="18" xfId="0" applyFont="1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vertical="center"/>
    </xf>
    <xf numFmtId="0" fontId="7" fillId="0" borderId="20" xfId="0" applyFont="1" applyFill="1" applyBorder="1" applyAlignment="1">
      <alignment vertical="center"/>
    </xf>
    <xf numFmtId="0" fontId="6" fillId="3" borderId="96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6" fillId="0" borderId="18" xfId="0" applyFont="1" applyFill="1" applyBorder="1">
      <alignment vertical="center"/>
    </xf>
    <xf numFmtId="0" fontId="21" fillId="0" borderId="16" xfId="0" applyFont="1" applyFill="1" applyBorder="1" applyAlignment="1">
      <alignment horizontal="right" vertical="center"/>
    </xf>
    <xf numFmtId="0" fontId="6" fillId="0" borderId="18" xfId="0" quotePrefix="1" applyFont="1" applyFill="1" applyBorder="1">
      <alignment vertical="center"/>
    </xf>
    <xf numFmtId="0" fontId="6" fillId="0" borderId="5" xfId="0" applyFont="1" applyBorder="1" applyAlignment="1">
      <alignment vertical="center"/>
    </xf>
    <xf numFmtId="0" fontId="6" fillId="0" borderId="90" xfId="0" applyFont="1" applyBorder="1" applyAlignment="1">
      <alignment vertical="center"/>
    </xf>
    <xf numFmtId="0" fontId="10" fillId="0" borderId="18" xfId="0" applyFont="1" applyFill="1" applyBorder="1">
      <alignment vertical="center"/>
    </xf>
    <xf numFmtId="0" fontId="10" fillId="0" borderId="6" xfId="0" applyFont="1" applyFill="1" applyBorder="1">
      <alignment vertical="center"/>
    </xf>
    <xf numFmtId="0" fontId="5" fillId="0" borderId="6" xfId="0" applyFont="1" applyFill="1" applyBorder="1" applyAlignment="1">
      <alignment vertical="center"/>
    </xf>
    <xf numFmtId="0" fontId="6" fillId="0" borderId="69" xfId="0" applyFont="1" applyBorder="1" applyAlignment="1">
      <alignment vertical="center"/>
    </xf>
    <xf numFmtId="0" fontId="10" fillId="0" borderId="40" xfId="0" applyFont="1" applyFill="1" applyBorder="1" applyAlignment="1">
      <alignment vertical="center"/>
    </xf>
    <xf numFmtId="0" fontId="6" fillId="0" borderId="40" xfId="0" quotePrefix="1" applyFont="1" applyFill="1" applyBorder="1">
      <alignment vertical="center"/>
    </xf>
    <xf numFmtId="0" fontId="6" fillId="0" borderId="40" xfId="0" applyFont="1" applyFill="1" applyBorder="1">
      <alignment vertical="center"/>
    </xf>
    <xf numFmtId="0" fontId="21" fillId="0" borderId="40" xfId="0" applyFont="1" applyFill="1" applyBorder="1" applyAlignment="1">
      <alignment horizontal="right" vertical="center"/>
    </xf>
    <xf numFmtId="0" fontId="6" fillId="0" borderId="99" xfId="0" applyFont="1" applyFill="1" applyBorder="1">
      <alignment vertical="center"/>
    </xf>
    <xf numFmtId="0" fontId="6" fillId="3" borderId="96" xfId="0" applyFont="1" applyFill="1" applyBorder="1">
      <alignment vertical="center"/>
    </xf>
    <xf numFmtId="0" fontId="6" fillId="3" borderId="95" xfId="0" applyFont="1" applyFill="1" applyBorder="1">
      <alignment vertical="center"/>
    </xf>
    <xf numFmtId="0" fontId="6" fillId="3" borderId="97" xfId="0" applyFont="1" applyFill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0" fillId="0" borderId="18" xfId="0" applyFont="1" applyFill="1" applyBorder="1" applyAlignment="1">
      <alignment vertical="center"/>
    </xf>
    <xf numFmtId="0" fontId="6" fillId="0" borderId="95" xfId="0" applyFont="1" applyFill="1" applyBorder="1">
      <alignment vertical="center"/>
    </xf>
    <xf numFmtId="0" fontId="6" fillId="0" borderId="96" xfId="0" applyFont="1" applyFill="1" applyBorder="1">
      <alignment vertical="center"/>
    </xf>
    <xf numFmtId="0" fontId="6" fillId="0" borderId="81" xfId="0" applyFont="1" applyFill="1" applyBorder="1">
      <alignment vertical="center"/>
    </xf>
    <xf numFmtId="0" fontId="6" fillId="0" borderId="96" xfId="0" applyFont="1" applyFill="1" applyBorder="1" applyAlignment="1">
      <alignment vertical="center"/>
    </xf>
    <xf numFmtId="0" fontId="6" fillId="0" borderId="97" xfId="0" applyFont="1" applyFill="1" applyBorder="1" applyAlignment="1">
      <alignment vertical="center"/>
    </xf>
    <xf numFmtId="0" fontId="22" fillId="0" borderId="0" xfId="0" quotePrefix="1" applyFont="1" applyBorder="1">
      <alignment vertical="center"/>
    </xf>
    <xf numFmtId="0" fontId="5" fillId="0" borderId="93" xfId="0" quotePrefix="1" applyFont="1" applyFill="1" applyBorder="1" applyAlignment="1">
      <alignment horizontal="right" vertical="center"/>
    </xf>
    <xf numFmtId="0" fontId="5" fillId="0" borderId="99" xfId="0" applyFont="1" applyFill="1" applyBorder="1" applyAlignment="1">
      <alignment horizontal="right" vertical="center"/>
    </xf>
    <xf numFmtId="0" fontId="5" fillId="0" borderId="19" xfId="0" quotePrefix="1" applyFont="1" applyFill="1" applyBorder="1" applyAlignment="1">
      <alignment horizontal="right" vertical="center"/>
    </xf>
    <xf numFmtId="0" fontId="0" fillId="0" borderId="3" xfId="0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52" fillId="0" borderId="0" xfId="0" applyFont="1" applyFill="1" applyBorder="1" applyAlignment="1">
      <alignment vertical="center"/>
    </xf>
    <xf numFmtId="196" fontId="52" fillId="0" borderId="0" xfId="0" applyNumberFormat="1" applyFont="1" applyFill="1" applyBorder="1" applyAlignment="1">
      <alignment vertical="center"/>
    </xf>
    <xf numFmtId="177" fontId="54" fillId="0" borderId="0" xfId="0" applyNumberFormat="1" applyFont="1" applyFill="1" applyBorder="1" applyAlignment="1">
      <alignment horizontal="center" vertical="center"/>
    </xf>
    <xf numFmtId="197" fontId="37" fillId="0" borderId="0" xfId="36" applyNumberFormat="1" applyFont="1" applyBorder="1" applyAlignment="1">
      <alignment horizontal="left" vertical="center"/>
    </xf>
    <xf numFmtId="197" fontId="37" fillId="0" borderId="0" xfId="36" applyNumberFormat="1" applyFont="1" applyBorder="1" applyAlignment="1">
      <alignment horizontal="center" vertical="center" shrinkToFit="1"/>
    </xf>
    <xf numFmtId="197" fontId="37" fillId="0" borderId="0" xfId="36" quotePrefix="1" applyNumberFormat="1" applyFont="1" applyBorder="1" applyAlignment="1">
      <alignment horizontal="center" vertical="center" shrinkToFit="1"/>
    </xf>
    <xf numFmtId="0" fontId="37" fillId="0" borderId="0" xfId="36" applyFont="1" applyBorder="1" applyAlignment="1">
      <alignment horizontal="center" vertical="center" shrinkToFit="1"/>
    </xf>
    <xf numFmtId="177" fontId="37" fillId="0" borderId="0" xfId="0" applyNumberFormat="1" applyFont="1" applyFill="1" applyBorder="1" applyAlignment="1">
      <alignment horizontal="center" vertical="center"/>
    </xf>
    <xf numFmtId="0" fontId="37" fillId="0" borderId="0" xfId="0" applyFont="1" applyFill="1" applyBorder="1" applyAlignment="1">
      <alignment vertical="center"/>
    </xf>
    <xf numFmtId="0" fontId="13" fillId="0" borderId="0" xfId="0" quotePrefix="1" applyFont="1" applyFill="1" applyBorder="1" applyAlignment="1">
      <alignment horizontal="center" vertical="center"/>
    </xf>
    <xf numFmtId="197" fontId="37" fillId="0" borderId="0" xfId="36" applyNumberFormat="1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0" fillId="0" borderId="5" xfId="0" applyFont="1" applyBorder="1">
      <alignment vertical="center"/>
    </xf>
    <xf numFmtId="0" fontId="6" fillId="0" borderId="4" xfId="0" applyFont="1" applyBorder="1">
      <alignment vertical="center"/>
    </xf>
    <xf numFmtId="0" fontId="10" fillId="0" borderId="8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0" fillId="0" borderId="3" xfId="0" applyFont="1" applyBorder="1">
      <alignment vertical="center"/>
    </xf>
    <xf numFmtId="0" fontId="10" fillId="0" borderId="10" xfId="0" applyFont="1" applyBorder="1">
      <alignment vertical="center"/>
    </xf>
    <xf numFmtId="0" fontId="25" fillId="0" borderId="11" xfId="0" applyFont="1" applyBorder="1">
      <alignment vertical="center"/>
    </xf>
    <xf numFmtId="0" fontId="6" fillId="0" borderId="15" xfId="0" applyFont="1" applyBorder="1">
      <alignment vertical="center"/>
    </xf>
    <xf numFmtId="0" fontId="10" fillId="0" borderId="15" xfId="0" applyFont="1" applyBorder="1">
      <alignment vertical="center"/>
    </xf>
    <xf numFmtId="0" fontId="10" fillId="0" borderId="17" xfId="0" applyFont="1" applyBorder="1">
      <alignment vertical="center"/>
    </xf>
    <xf numFmtId="0" fontId="6" fillId="0" borderId="18" xfId="0" quotePrefix="1" applyFont="1" applyBorder="1">
      <alignment vertical="center"/>
    </xf>
    <xf numFmtId="0" fontId="6" fillId="0" borderId="19" xfId="0" applyFont="1" applyBorder="1" applyAlignment="1">
      <alignment horizontal="center" vertical="center"/>
    </xf>
    <xf numFmtId="0" fontId="6" fillId="0" borderId="102" xfId="0" applyFont="1" applyBorder="1">
      <alignment vertical="center"/>
    </xf>
    <xf numFmtId="0" fontId="6" fillId="0" borderId="63" xfId="0" applyFont="1" applyBorder="1">
      <alignment vertical="center"/>
    </xf>
    <xf numFmtId="0" fontId="6" fillId="0" borderId="64" xfId="0" applyFont="1" applyBorder="1">
      <alignment vertical="center"/>
    </xf>
    <xf numFmtId="0" fontId="6" fillId="0" borderId="65" xfId="0" applyFont="1" applyBorder="1">
      <alignment vertical="center"/>
    </xf>
    <xf numFmtId="0" fontId="6" fillId="0" borderId="66" xfId="0" applyFont="1" applyBorder="1">
      <alignment vertical="center"/>
    </xf>
    <xf numFmtId="0" fontId="6" fillId="0" borderId="67" xfId="0" applyFont="1" applyBorder="1">
      <alignment vertical="center"/>
    </xf>
    <xf numFmtId="0" fontId="6" fillId="0" borderId="68" xfId="0" applyFont="1" applyBorder="1">
      <alignment vertical="center"/>
    </xf>
    <xf numFmtId="0" fontId="6" fillId="0" borderId="10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68" xfId="0" applyFont="1" applyBorder="1" applyAlignment="1">
      <alignment horizontal="center" vertical="center"/>
    </xf>
    <xf numFmtId="0" fontId="10" fillId="0" borderId="102" xfId="0" applyFont="1" applyBorder="1">
      <alignment vertical="center"/>
    </xf>
    <xf numFmtId="0" fontId="10" fillId="0" borderId="63" xfId="0" applyFont="1" applyBorder="1">
      <alignment vertical="center"/>
    </xf>
    <xf numFmtId="0" fontId="22" fillId="0" borderId="0" xfId="0" applyFont="1" applyBorder="1">
      <alignment vertical="center"/>
    </xf>
    <xf numFmtId="0" fontId="6" fillId="0" borderId="66" xfId="0" applyFont="1" applyBorder="1" applyAlignment="1">
      <alignment horizontal="center" vertical="center"/>
    </xf>
    <xf numFmtId="0" fontId="10" fillId="0" borderId="65" xfId="0" applyFont="1" applyBorder="1">
      <alignment vertical="center"/>
    </xf>
    <xf numFmtId="0" fontId="10" fillId="0" borderId="67" xfId="0" applyFont="1" applyBorder="1">
      <alignment vertical="center"/>
    </xf>
    <xf numFmtId="0" fontId="55" fillId="0" borderId="0" xfId="0" applyFont="1">
      <alignment vertical="center"/>
    </xf>
    <xf numFmtId="41" fontId="10" fillId="0" borderId="0" xfId="12" applyFont="1" applyAlignment="1">
      <alignment vertical="center"/>
    </xf>
    <xf numFmtId="2" fontId="6" fillId="0" borderId="0" xfId="0" quotePrefix="1" applyNumberFormat="1" applyFont="1" applyBorder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9" fillId="0" borderId="0" xfId="0" applyFont="1">
      <alignment vertical="center"/>
    </xf>
    <xf numFmtId="0" fontId="17" fillId="6" borderId="0" xfId="0" applyFont="1" applyFill="1">
      <alignment vertical="center"/>
    </xf>
    <xf numFmtId="0" fontId="17" fillId="6" borderId="3" xfId="0" applyFont="1" applyFill="1" applyBorder="1">
      <alignment vertical="center"/>
    </xf>
    <xf numFmtId="0" fontId="17" fillId="6" borderId="0" xfId="0" applyFont="1" applyFill="1" applyBorder="1">
      <alignment vertical="center"/>
    </xf>
    <xf numFmtId="0" fontId="17" fillId="6" borderId="4" xfId="0" applyFont="1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6" borderId="0" xfId="0" applyFont="1" applyFill="1">
      <alignment vertical="center"/>
    </xf>
    <xf numFmtId="0" fontId="6" fillId="6" borderId="0" xfId="0" quotePrefix="1" applyFont="1" applyFill="1">
      <alignment vertical="center"/>
    </xf>
    <xf numFmtId="0" fontId="18" fillId="0" borderId="0" xfId="0" applyFont="1" applyFill="1">
      <alignment vertical="center"/>
    </xf>
    <xf numFmtId="0" fontId="6" fillId="0" borderId="0" xfId="0" applyFont="1" applyFill="1" applyAlignment="1">
      <alignment horizontal="center" vertical="center"/>
    </xf>
    <xf numFmtId="179" fontId="6" fillId="0" borderId="0" xfId="0" applyNumberFormat="1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22" fillId="0" borderId="0" xfId="0" applyFont="1">
      <alignment vertical="center"/>
    </xf>
    <xf numFmtId="0" fontId="61" fillId="0" borderId="0" xfId="0" applyFont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vertical="center"/>
    </xf>
    <xf numFmtId="0" fontId="61" fillId="0" borderId="0" xfId="0" quotePrefix="1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right" vertical="center"/>
    </xf>
    <xf numFmtId="0" fontId="6" fillId="3" borderId="29" xfId="0" applyFont="1" applyFill="1" applyBorder="1" applyAlignment="1">
      <alignment vertical="center"/>
    </xf>
    <xf numFmtId="0" fontId="6" fillId="3" borderId="22" xfId="0" applyFont="1" applyFill="1" applyBorder="1" applyAlignment="1">
      <alignment vertical="center"/>
    </xf>
    <xf numFmtId="0" fontId="6" fillId="3" borderId="36" xfId="0" applyFont="1" applyFill="1" applyBorder="1" applyAlignment="1">
      <alignment vertical="center"/>
    </xf>
    <xf numFmtId="0" fontId="6" fillId="3" borderId="31" xfId="0" applyFont="1" applyFill="1" applyBorder="1" applyAlignment="1">
      <alignment vertical="center"/>
    </xf>
    <xf numFmtId="0" fontId="6" fillId="3" borderId="23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6" fillId="0" borderId="30" xfId="0" applyFont="1" applyFill="1" applyBorder="1" applyAlignment="1">
      <alignment vertical="center"/>
    </xf>
    <xf numFmtId="0" fontId="6" fillId="0" borderId="20" xfId="0" applyFont="1" applyFill="1" applyBorder="1" applyAlignment="1">
      <alignment vertical="center"/>
    </xf>
    <xf numFmtId="0" fontId="8" fillId="0" borderId="20" xfId="0" applyFont="1" applyFill="1" applyBorder="1" applyAlignment="1">
      <alignment vertical="center"/>
    </xf>
    <xf numFmtId="0" fontId="10" fillId="0" borderId="49" xfId="0" applyFont="1" applyBorder="1" applyAlignment="1">
      <alignment vertical="center"/>
    </xf>
    <xf numFmtId="0" fontId="10" fillId="0" borderId="48" xfId="0" applyFont="1" applyBorder="1" applyAlignment="1">
      <alignment vertical="center"/>
    </xf>
    <xf numFmtId="0" fontId="6" fillId="0" borderId="20" xfId="0" applyFont="1" applyBorder="1" applyAlignment="1">
      <alignment vertical="center"/>
    </xf>
    <xf numFmtId="177" fontId="6" fillId="0" borderId="20" xfId="0" applyNumberFormat="1" applyFont="1" applyBorder="1" applyAlignment="1">
      <alignment vertical="center"/>
    </xf>
    <xf numFmtId="0" fontId="6" fillId="3" borderId="23" xfId="0" quotePrefix="1" applyFont="1" applyFill="1" applyBorder="1" applyAlignment="1">
      <alignment vertical="center"/>
    </xf>
    <xf numFmtId="179" fontId="6" fillId="0" borderId="20" xfId="0" applyNumberFormat="1" applyFont="1" applyBorder="1" applyAlignment="1">
      <alignment vertical="center"/>
    </xf>
    <xf numFmtId="2" fontId="8" fillId="0" borderId="20" xfId="0" applyNumberFormat="1" applyFont="1" applyBorder="1" applyAlignment="1">
      <alignment vertical="center"/>
    </xf>
    <xf numFmtId="0" fontId="8" fillId="0" borderId="20" xfId="0" applyFont="1" applyBorder="1" applyAlignment="1">
      <alignment vertical="center"/>
    </xf>
    <xf numFmtId="0" fontId="6" fillId="0" borderId="21" xfId="0" applyFont="1" applyBorder="1" applyAlignment="1">
      <alignment vertical="center"/>
    </xf>
    <xf numFmtId="1" fontId="6" fillId="0" borderId="0" xfId="0" applyNumberFormat="1" applyFont="1" applyBorder="1" applyAlignment="1">
      <alignment horizontal="center" vertical="center"/>
    </xf>
    <xf numFmtId="1" fontId="6" fillId="0" borderId="0" xfId="0" applyNumberFormat="1" applyFont="1">
      <alignment vertical="center"/>
    </xf>
    <xf numFmtId="1" fontId="10" fillId="0" borderId="49" xfId="0" applyNumberFormat="1" applyFont="1" applyBorder="1" applyAlignment="1">
      <alignment vertical="center"/>
    </xf>
    <xf numFmtId="198" fontId="6" fillId="0" borderId="0" xfId="0" applyNumberFormat="1" applyFont="1" applyBorder="1" applyAlignment="1">
      <alignment horizontal="center" vertical="center"/>
    </xf>
    <xf numFmtId="198" fontId="6" fillId="0" borderId="0" xfId="0" applyNumberFormat="1" applyFont="1">
      <alignment vertical="center"/>
    </xf>
    <xf numFmtId="198" fontId="10" fillId="0" borderId="49" xfId="0" applyNumberFormat="1" applyFont="1" applyBorder="1" applyAlignment="1">
      <alignment vertical="center"/>
    </xf>
    <xf numFmtId="198" fontId="10" fillId="0" borderId="48" xfId="0" applyNumberFormat="1" applyFont="1" applyBorder="1" applyAlignment="1">
      <alignment vertical="center"/>
    </xf>
    <xf numFmtId="0" fontId="22" fillId="2" borderId="4" xfId="0" applyFont="1" applyFill="1" applyBorder="1" applyAlignment="1">
      <alignment vertical="center"/>
    </xf>
    <xf numFmtId="0" fontId="22" fillId="2" borderId="9" xfId="0" applyFont="1" applyFill="1" applyBorder="1" applyAlignment="1">
      <alignment vertical="center"/>
    </xf>
    <xf numFmtId="0" fontId="6" fillId="3" borderId="35" xfId="0" applyFont="1" applyFill="1" applyBorder="1" applyAlignment="1">
      <alignment horizontal="centerContinuous" vertical="center"/>
    </xf>
    <xf numFmtId="0" fontId="7" fillId="0" borderId="0" xfId="0" applyFont="1" applyFill="1" applyBorder="1">
      <alignment vertical="center"/>
    </xf>
    <xf numFmtId="0" fontId="5" fillId="0" borderId="0" xfId="0" applyFont="1" applyFill="1" applyAlignment="1">
      <alignment horizontal="right" vertical="center"/>
    </xf>
    <xf numFmtId="0" fontId="6" fillId="0" borderId="0" xfId="0" quotePrefix="1" applyFont="1" applyFill="1" applyBorder="1" applyAlignment="1">
      <alignment horizontal="center" vertical="center"/>
    </xf>
    <xf numFmtId="0" fontId="10" fillId="0" borderId="0" xfId="0" quotePrefix="1" applyFont="1" applyFill="1">
      <alignment vertical="center"/>
    </xf>
    <xf numFmtId="0" fontId="6" fillId="0" borderId="0" xfId="0" applyNumberFormat="1" applyFont="1" applyFill="1" applyAlignment="1">
      <alignment vertical="center"/>
    </xf>
    <xf numFmtId="0" fontId="46" fillId="0" borderId="0" xfId="0" quotePrefix="1" applyFont="1" applyFill="1" applyBorder="1">
      <alignment vertical="center"/>
    </xf>
    <xf numFmtId="0" fontId="46" fillId="0" borderId="0" xfId="0" applyFont="1" applyFill="1" applyBorder="1">
      <alignment vertical="center"/>
    </xf>
    <xf numFmtId="194" fontId="6" fillId="0" borderId="0" xfId="0" applyNumberFormat="1" applyFont="1" applyFill="1">
      <alignment vertical="center"/>
    </xf>
    <xf numFmtId="0" fontId="53" fillId="2" borderId="57" xfId="36" applyFont="1" applyFill="1" applyBorder="1" applyAlignment="1">
      <alignment vertical="center" shrinkToFit="1"/>
    </xf>
    <xf numFmtId="0" fontId="53" fillId="2" borderId="56" xfId="36" applyFont="1" applyFill="1" applyBorder="1" applyAlignment="1">
      <alignment vertical="center" shrinkToFit="1"/>
    </xf>
    <xf numFmtId="0" fontId="53" fillId="2" borderId="100" xfId="36" applyFont="1" applyFill="1" applyBorder="1" applyAlignment="1">
      <alignment vertical="center" shrinkToFit="1"/>
    </xf>
    <xf numFmtId="197" fontId="54" fillId="0" borderId="69" xfId="0" applyNumberFormat="1" applyFont="1" applyFill="1" applyBorder="1" applyAlignment="1">
      <alignment vertical="center"/>
    </xf>
    <xf numFmtId="197" fontId="54" fillId="0" borderId="65" xfId="0" applyNumberFormat="1" applyFont="1" applyFill="1" applyBorder="1" applyAlignment="1">
      <alignment vertical="center"/>
    </xf>
    <xf numFmtId="197" fontId="54" fillId="0" borderId="101" xfId="0" applyNumberFormat="1" applyFont="1" applyFill="1" applyBorder="1" applyAlignment="1">
      <alignment vertical="center"/>
    </xf>
    <xf numFmtId="0" fontId="6" fillId="0" borderId="30" xfId="0" quotePrefix="1" applyFont="1" applyBorder="1" applyAlignment="1">
      <alignment vertical="center"/>
    </xf>
    <xf numFmtId="0" fontId="6" fillId="0" borderId="15" xfId="0" quotePrefix="1" applyFont="1" applyBorder="1" applyAlignment="1">
      <alignment vertical="center"/>
    </xf>
    <xf numFmtId="0" fontId="10" fillId="3" borderId="23" xfId="0" applyFont="1" applyFill="1" applyBorder="1" applyAlignment="1">
      <alignment vertical="center"/>
    </xf>
    <xf numFmtId="0" fontId="10" fillId="3" borderId="24" xfId="0" applyFont="1" applyFill="1" applyBorder="1" applyAlignment="1">
      <alignment vertical="center"/>
    </xf>
    <xf numFmtId="0" fontId="6" fillId="3" borderId="84" xfId="0" applyFont="1" applyFill="1" applyBorder="1" applyAlignment="1">
      <alignment vertical="center"/>
    </xf>
    <xf numFmtId="0" fontId="6" fillId="3" borderId="62" xfId="0" applyFont="1" applyFill="1" applyBorder="1" applyAlignment="1">
      <alignment vertical="center"/>
    </xf>
    <xf numFmtId="0" fontId="6" fillId="3" borderId="75" xfId="0" applyFont="1" applyFill="1" applyBorder="1" applyAlignment="1">
      <alignment vertical="center"/>
    </xf>
    <xf numFmtId="0" fontId="6" fillId="3" borderId="83" xfId="0" applyFont="1" applyFill="1" applyBorder="1" applyAlignment="1">
      <alignment vertical="center"/>
    </xf>
    <xf numFmtId="0" fontId="6" fillId="3" borderId="76" xfId="0" applyFont="1" applyFill="1" applyBorder="1" applyAlignment="1">
      <alignment vertical="center"/>
    </xf>
    <xf numFmtId="2" fontId="6" fillId="0" borderId="20" xfId="0" quotePrefix="1" applyNumberFormat="1" applyFont="1" applyBorder="1" applyAlignment="1">
      <alignment vertical="center"/>
    </xf>
    <xf numFmtId="0" fontId="6" fillId="0" borderId="108" xfId="0" quotePrefix="1" applyFont="1" applyBorder="1" applyAlignment="1">
      <alignment vertical="center"/>
    </xf>
    <xf numFmtId="0" fontId="6" fillId="0" borderId="108" xfId="0" quotePrefix="1" applyFont="1" applyFill="1" applyBorder="1" applyAlignment="1">
      <alignment vertical="center"/>
    </xf>
    <xf numFmtId="0" fontId="6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3" borderId="61" xfId="0" applyFont="1" applyFill="1" applyBorder="1" applyAlignment="1">
      <alignment vertical="center"/>
    </xf>
    <xf numFmtId="0" fontId="6" fillId="0" borderId="30" xfId="0" quotePrefix="1" applyFont="1" applyFill="1" applyBorder="1" applyAlignment="1">
      <alignment vertical="center"/>
    </xf>
    <xf numFmtId="0" fontId="6" fillId="0" borderId="15" xfId="0" quotePrefix="1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26" xfId="0" applyFont="1" applyFill="1" applyBorder="1" applyAlignment="1">
      <alignment vertical="center"/>
    </xf>
    <xf numFmtId="0" fontId="6" fillId="3" borderId="13" xfId="0" applyFont="1" applyFill="1" applyBorder="1" applyAlignment="1">
      <alignment vertical="center"/>
    </xf>
    <xf numFmtId="2" fontId="6" fillId="0" borderId="33" xfId="0" applyNumberFormat="1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21" fillId="0" borderId="18" xfId="0" applyFont="1" applyFill="1" applyBorder="1" applyAlignment="1">
      <alignment horizontal="right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7" xfId="0" applyFont="1" applyBorder="1" applyAlignment="1">
      <alignment horizontal="left" vertical="center"/>
    </xf>
    <xf numFmtId="0" fontId="6" fillId="3" borderId="61" xfId="0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left" vertical="center"/>
    </xf>
    <xf numFmtId="2" fontId="6" fillId="0" borderId="0" xfId="0" applyNumberFormat="1" applyFont="1" applyFill="1">
      <alignment vertical="center"/>
    </xf>
    <xf numFmtId="0" fontId="6" fillId="0" borderId="0" xfId="0" applyFont="1" applyFill="1" applyAlignment="1">
      <alignment horizontal="center" vertical="center"/>
    </xf>
    <xf numFmtId="177" fontId="6" fillId="0" borderId="0" xfId="0" applyNumberFormat="1" applyFont="1" applyFill="1">
      <alignment vertical="center"/>
    </xf>
    <xf numFmtId="177" fontId="7" fillId="0" borderId="0" xfId="0" applyNumberFormat="1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6" fillId="3" borderId="61" xfId="0" applyFont="1" applyFill="1" applyBorder="1" applyAlignment="1">
      <alignment horizontal="center" vertical="center"/>
    </xf>
    <xf numFmtId="0" fontId="6" fillId="0" borderId="20" xfId="0" applyNumberFormat="1" applyFont="1" applyFill="1" applyBorder="1" applyAlignment="1">
      <alignment vertical="center"/>
    </xf>
    <xf numFmtId="43" fontId="6" fillId="0" borderId="20" xfId="0" applyNumberFormat="1" applyFont="1" applyFill="1" applyBorder="1" applyAlignment="1">
      <alignment vertical="center"/>
    </xf>
    <xf numFmtId="177" fontId="6" fillId="0" borderId="20" xfId="0" applyNumberFormat="1" applyFont="1" applyFill="1" applyBorder="1" applyAlignment="1">
      <alignment vertical="center"/>
    </xf>
    <xf numFmtId="179" fontId="6" fillId="0" borderId="21" xfId="0" applyNumberFormat="1" applyFont="1" applyFill="1" applyBorder="1" applyAlignment="1">
      <alignment vertical="center"/>
    </xf>
    <xf numFmtId="184" fontId="6" fillId="0" borderId="20" xfId="0" applyNumberFormat="1" applyFont="1" applyFill="1" applyBorder="1" applyAlignment="1">
      <alignment vertical="center"/>
    </xf>
    <xf numFmtId="2" fontId="8" fillId="0" borderId="20" xfId="0" applyNumberFormat="1" applyFont="1" applyFill="1" applyBorder="1" applyAlignment="1">
      <alignment vertical="center"/>
    </xf>
    <xf numFmtId="0" fontId="6" fillId="0" borderId="15" xfId="0" applyFont="1" applyBorder="1" applyAlignment="1">
      <alignment vertical="center"/>
    </xf>
    <xf numFmtId="0" fontId="6" fillId="0" borderId="98" xfId="0" applyFont="1" applyBorder="1" applyAlignment="1">
      <alignment vertical="center"/>
    </xf>
    <xf numFmtId="0" fontId="6" fillId="0" borderId="17" xfId="0" applyFont="1" applyBorder="1" applyAlignment="1">
      <alignment vertical="center"/>
    </xf>
    <xf numFmtId="0" fontId="6" fillId="0" borderId="18" xfId="0" applyFont="1" applyBorder="1" applyAlignment="1">
      <alignment vertical="center"/>
    </xf>
    <xf numFmtId="0" fontId="21" fillId="0" borderId="19" xfId="0" applyFont="1" applyFill="1" applyBorder="1" applyAlignment="1">
      <alignment vertical="center"/>
    </xf>
    <xf numFmtId="0" fontId="6" fillId="3" borderId="81" xfId="0" applyFont="1" applyFill="1" applyBorder="1" applyAlignment="1">
      <alignment vertical="center"/>
    </xf>
    <xf numFmtId="0" fontId="10" fillId="0" borderId="3" xfId="0" applyFont="1" applyFill="1" applyBorder="1">
      <alignment vertical="center"/>
    </xf>
    <xf numFmtId="0" fontId="10" fillId="0" borderId="69" xfId="0" applyFont="1" applyFill="1" applyBorder="1" applyAlignment="1">
      <alignment vertical="center"/>
    </xf>
    <xf numFmtId="0" fontId="10" fillId="0" borderId="3" xfId="0" applyFont="1" applyFill="1" applyBorder="1" applyAlignment="1">
      <alignment vertical="center"/>
    </xf>
    <xf numFmtId="0" fontId="10" fillId="0" borderId="90" xfId="0" applyFont="1" applyFill="1" applyBorder="1" applyAlignment="1">
      <alignment vertical="center"/>
    </xf>
    <xf numFmtId="0" fontId="10" fillId="0" borderId="69" xfId="0" applyFont="1" applyFill="1" applyBorder="1">
      <alignment vertical="center"/>
    </xf>
    <xf numFmtId="0" fontId="10" fillId="0" borderId="90" xfId="0" applyFont="1" applyFill="1" applyBorder="1">
      <alignment vertical="center"/>
    </xf>
    <xf numFmtId="0" fontId="64" fillId="0" borderId="0" xfId="0" applyFont="1" applyBorder="1" applyAlignment="1">
      <alignment horizontal="right" vertical="center"/>
    </xf>
    <xf numFmtId="0" fontId="8" fillId="0" borderId="0" xfId="0" applyFont="1" applyBorder="1" applyAlignment="1">
      <alignment vertical="center"/>
    </xf>
    <xf numFmtId="0" fontId="6" fillId="0" borderId="15" xfId="0" applyFont="1" applyFill="1" applyBorder="1" applyAlignment="1">
      <alignment vertical="center"/>
    </xf>
    <xf numFmtId="0" fontId="6" fillId="0" borderId="33" xfId="0" applyNumberFormat="1" applyFont="1" applyFill="1" applyBorder="1" applyAlignment="1">
      <alignment vertical="center"/>
    </xf>
    <xf numFmtId="2" fontId="6" fillId="0" borderId="33" xfId="0" applyNumberFormat="1" applyFont="1" applyFill="1" applyBorder="1" applyAlignment="1">
      <alignment vertical="center"/>
    </xf>
    <xf numFmtId="177" fontId="6" fillId="0" borderId="33" xfId="0" applyNumberFormat="1" applyFont="1" applyFill="1" applyBorder="1" applyAlignment="1">
      <alignment vertical="center"/>
    </xf>
    <xf numFmtId="2" fontId="6" fillId="0" borderId="21" xfId="0" applyNumberFormat="1" applyFont="1" applyFill="1" applyBorder="1" applyAlignment="1">
      <alignment vertical="center"/>
    </xf>
    <xf numFmtId="0" fontId="6" fillId="0" borderId="33" xfId="0" applyFont="1" applyFill="1" applyBorder="1" applyAlignment="1">
      <alignment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1" fontId="8" fillId="0" borderId="21" xfId="0" applyNumberFormat="1" applyFont="1" applyFill="1" applyBorder="1" applyAlignment="1">
      <alignment vertical="center"/>
    </xf>
    <xf numFmtId="2" fontId="8" fillId="0" borderId="21" xfId="0" applyNumberFormat="1" applyFont="1" applyFill="1" applyBorder="1" applyAlignment="1">
      <alignment vertical="center"/>
    </xf>
    <xf numFmtId="0" fontId="6" fillId="3" borderId="24" xfId="0" quotePrefix="1" applyFont="1" applyFill="1" applyBorder="1" applyAlignment="1">
      <alignment horizontal="center" vertical="center"/>
    </xf>
    <xf numFmtId="177" fontId="8" fillId="0" borderId="21" xfId="0" applyNumberFormat="1" applyFont="1" applyFill="1" applyBorder="1" applyAlignment="1">
      <alignment vertical="center"/>
    </xf>
    <xf numFmtId="1" fontId="6" fillId="0" borderId="30" xfId="0" applyNumberFormat="1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Fill="1" applyBorder="1" applyAlignment="1">
      <alignment horizontal="left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3" borderId="75" xfId="0" applyFont="1" applyFill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6" fillId="3" borderId="61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0" borderId="27" xfId="0" applyFont="1" applyBorder="1" applyAlignment="1">
      <alignment horizontal="left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76" xfId="0" applyFont="1" applyFill="1" applyBorder="1" applyAlignment="1">
      <alignment horizontal="center" vertical="center"/>
    </xf>
    <xf numFmtId="0" fontId="6" fillId="3" borderId="23" xfId="0" quotePrefix="1" applyFont="1" applyFill="1" applyBorder="1" applyAlignment="1">
      <alignment horizontal="center" vertical="center"/>
    </xf>
    <xf numFmtId="0" fontId="7" fillId="0" borderId="40" xfId="0" quotePrefix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3" fontId="7" fillId="0" borderId="0" xfId="0" applyNumberFormat="1" applyFont="1" applyAlignment="1">
      <alignment horizontal="left" vertical="center"/>
    </xf>
    <xf numFmtId="41" fontId="6" fillId="0" borderId="0" xfId="12" applyFont="1" applyFill="1" applyAlignment="1">
      <alignment horizontal="center" vertical="center"/>
    </xf>
    <xf numFmtId="0" fontId="6" fillId="0" borderId="0" xfId="0" applyFont="1" applyFill="1" applyAlignment="1">
      <alignment horizontal="right" vertical="center"/>
    </xf>
    <xf numFmtId="0" fontId="10" fillId="0" borderId="0" xfId="0" applyFont="1" applyFill="1">
      <alignment vertical="center"/>
    </xf>
    <xf numFmtId="0" fontId="18" fillId="0" borderId="0" xfId="0" applyFont="1" applyFill="1" applyAlignment="1">
      <alignment horizontal="left" vertical="center"/>
    </xf>
    <xf numFmtId="177" fontId="6" fillId="0" borderId="0" xfId="0" applyNumberFormat="1" applyFont="1" applyFill="1" applyBorder="1" applyAlignment="1">
      <alignment vertical="center"/>
    </xf>
    <xf numFmtId="0" fontId="6" fillId="0" borderId="33" xfId="0" applyFont="1" applyBorder="1" applyAlignment="1">
      <alignment vertical="center"/>
    </xf>
    <xf numFmtId="177" fontId="6" fillId="0" borderId="33" xfId="0" applyNumberFormat="1" applyFont="1" applyBorder="1" applyAlignment="1">
      <alignment vertical="center"/>
    </xf>
    <xf numFmtId="1" fontId="6" fillId="0" borderId="33" xfId="0" applyNumberFormat="1" applyFont="1" applyFill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6" fillId="0" borderId="25" xfId="0" applyFont="1" applyBorder="1" applyAlignment="1">
      <alignment vertical="center"/>
    </xf>
    <xf numFmtId="177" fontId="8" fillId="0" borderId="20" xfId="0" applyNumberFormat="1" applyFont="1" applyFill="1" applyBorder="1" applyAlignment="1">
      <alignment vertical="center"/>
    </xf>
    <xf numFmtId="0" fontId="43" fillId="3" borderId="24" xfId="0" applyFont="1" applyFill="1" applyBorder="1" applyAlignment="1">
      <alignment vertical="center"/>
    </xf>
    <xf numFmtId="0" fontId="67" fillId="0" borderId="0" xfId="0" applyFont="1" applyBorder="1">
      <alignment vertical="center"/>
    </xf>
    <xf numFmtId="0" fontId="6" fillId="0" borderId="6" xfId="0" applyFont="1" applyFill="1" applyBorder="1" applyAlignment="1">
      <alignment vertical="center"/>
    </xf>
    <xf numFmtId="41" fontId="67" fillId="0" borderId="0" xfId="12" applyFont="1" applyAlignment="1">
      <alignment vertical="center"/>
    </xf>
    <xf numFmtId="0" fontId="67" fillId="0" borderId="27" xfId="0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3" borderId="62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9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6" fillId="0" borderId="39" xfId="0" applyFont="1" applyBorder="1" applyAlignment="1">
      <alignment vertical="center"/>
    </xf>
    <xf numFmtId="0" fontId="67" fillId="0" borderId="45" xfId="0" applyFont="1" applyBorder="1">
      <alignment vertical="center"/>
    </xf>
    <xf numFmtId="0" fontId="67" fillId="0" borderId="6" xfId="0" applyFont="1" applyBorder="1">
      <alignment vertical="center"/>
    </xf>
    <xf numFmtId="0" fontId="67" fillId="0" borderId="2" xfId="0" applyFont="1" applyBorder="1">
      <alignment vertical="center"/>
    </xf>
    <xf numFmtId="0" fontId="6" fillId="3" borderId="37" xfId="0" applyFont="1" applyFill="1" applyBorder="1" applyAlignment="1">
      <alignment vertical="center"/>
    </xf>
    <xf numFmtId="0" fontId="6" fillId="3" borderId="60" xfId="0" applyFont="1" applyFill="1" applyBorder="1" applyAlignment="1">
      <alignment vertical="center"/>
    </xf>
    <xf numFmtId="0" fontId="6" fillId="3" borderId="41" xfId="0" applyFont="1" applyFill="1" applyBorder="1" applyAlignment="1">
      <alignment vertical="center"/>
    </xf>
    <xf numFmtId="0" fontId="6" fillId="3" borderId="14" xfId="0" applyFont="1" applyFill="1" applyBorder="1" applyAlignment="1">
      <alignment vertical="center"/>
    </xf>
    <xf numFmtId="2" fontId="6" fillId="0" borderId="34" xfId="0" applyNumberFormat="1" applyFont="1" applyBorder="1" applyAlignment="1">
      <alignment vertical="center"/>
    </xf>
    <xf numFmtId="0" fontId="67" fillId="3" borderId="22" xfId="0" applyFont="1" applyFill="1" applyBorder="1" applyAlignment="1">
      <alignment vertical="center"/>
    </xf>
    <xf numFmtId="1" fontId="6" fillId="0" borderId="20" xfId="0" applyNumberFormat="1" applyFont="1" applyFill="1" applyBorder="1" applyAlignment="1">
      <alignment vertical="center"/>
    </xf>
    <xf numFmtId="1" fontId="6" fillId="0" borderId="21" xfId="0" applyNumberFormat="1" applyFont="1" applyFill="1" applyBorder="1" applyAlignment="1">
      <alignment vertical="center"/>
    </xf>
    <xf numFmtId="177" fontId="6" fillId="0" borderId="21" xfId="0" applyNumberFormat="1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45" xfId="0" applyFont="1" applyFill="1" applyBorder="1" applyAlignment="1">
      <alignment vertical="center"/>
    </xf>
    <xf numFmtId="2" fontId="8" fillId="0" borderId="33" xfId="0" applyNumberFormat="1" applyFont="1" applyFill="1" applyBorder="1" applyAlignment="1">
      <alignment vertical="center"/>
    </xf>
    <xf numFmtId="177" fontId="8" fillId="0" borderId="33" xfId="0" applyNumberFormat="1" applyFont="1" applyFill="1" applyBorder="1" applyAlignment="1">
      <alignment vertical="center"/>
    </xf>
    <xf numFmtId="0" fontId="37" fillId="3" borderId="23" xfId="0" applyFont="1" applyFill="1" applyBorder="1" applyAlignment="1">
      <alignment vertical="center"/>
    </xf>
    <xf numFmtId="0" fontId="8" fillId="0" borderId="33" xfId="0" applyFont="1" applyBorder="1" applyAlignment="1">
      <alignment vertical="center"/>
    </xf>
    <xf numFmtId="0" fontId="6" fillId="3" borderId="25" xfId="0" quotePrefix="1" applyFont="1" applyFill="1" applyBorder="1" applyAlignment="1">
      <alignment vertical="center"/>
    </xf>
    <xf numFmtId="2" fontId="8" fillId="0" borderId="33" xfId="0" applyNumberFormat="1" applyFont="1" applyBorder="1" applyAlignment="1">
      <alignment vertical="center"/>
    </xf>
    <xf numFmtId="2" fontId="8" fillId="0" borderId="16" xfId="0" applyNumberFormat="1" applyFont="1" applyBorder="1" applyAlignment="1">
      <alignment vertical="center"/>
    </xf>
    <xf numFmtId="0" fontId="6" fillId="3" borderId="24" xfId="0" quotePrefix="1" applyFont="1" applyFill="1" applyBorder="1" applyAlignment="1">
      <alignment vertical="center"/>
    </xf>
    <xf numFmtId="0" fontId="8" fillId="0" borderId="21" xfId="0" applyFont="1" applyBorder="1" applyAlignment="1">
      <alignment vertical="center"/>
    </xf>
    <xf numFmtId="2" fontId="8" fillId="0" borderId="21" xfId="0" applyNumberFormat="1" applyFont="1" applyBorder="1" applyAlignment="1">
      <alignment vertical="center"/>
    </xf>
    <xf numFmtId="179" fontId="6" fillId="0" borderId="0" xfId="0" applyNumberFormat="1" applyFont="1" applyBorder="1" applyAlignment="1">
      <alignment vertical="center"/>
    </xf>
    <xf numFmtId="2" fontId="6" fillId="0" borderId="20" xfId="0" applyNumberFormat="1" applyFont="1" applyBorder="1" applyAlignment="1">
      <alignment vertical="center"/>
    </xf>
    <xf numFmtId="0" fontId="6" fillId="3" borderId="73" xfId="0" applyFont="1" applyFill="1" applyBorder="1" applyAlignment="1">
      <alignment vertical="center"/>
    </xf>
    <xf numFmtId="1" fontId="8" fillId="0" borderId="21" xfId="0" applyNumberFormat="1" applyFont="1" applyBorder="1" applyAlignment="1">
      <alignment vertical="center"/>
    </xf>
    <xf numFmtId="2" fontId="6" fillId="0" borderId="0" xfId="0" applyNumberFormat="1" applyFont="1" applyBorder="1" applyAlignment="1">
      <alignment horizontal="left" vertical="center"/>
    </xf>
    <xf numFmtId="0" fontId="6" fillId="0" borderId="11" xfId="0" applyFont="1" applyFill="1" applyBorder="1">
      <alignment vertical="center"/>
    </xf>
    <xf numFmtId="0" fontId="6" fillId="0" borderId="12" xfId="0" applyFont="1" applyFill="1" applyBorder="1">
      <alignment vertical="center"/>
    </xf>
    <xf numFmtId="0" fontId="6" fillId="0" borderId="16" xfId="0" applyFont="1" applyFill="1" applyBorder="1">
      <alignment vertical="center"/>
    </xf>
    <xf numFmtId="0" fontId="6" fillId="0" borderId="19" xfId="0" applyFont="1" applyFill="1" applyBorder="1">
      <alignment vertical="center"/>
    </xf>
    <xf numFmtId="0" fontId="69" fillId="2" borderId="11" xfId="0" applyFont="1" applyFill="1" applyBorder="1">
      <alignment vertical="center"/>
    </xf>
    <xf numFmtId="0" fontId="66" fillId="0" borderId="0" xfId="0" applyFont="1" applyFill="1" applyBorder="1" applyAlignment="1">
      <alignment horizontal="left" vertical="center"/>
    </xf>
    <xf numFmtId="192" fontId="6" fillId="0" borderId="0" xfId="0" applyNumberFormat="1" applyFont="1" applyFill="1" applyBorder="1" applyAlignment="1">
      <alignment vertical="center"/>
    </xf>
    <xf numFmtId="0" fontId="6" fillId="0" borderId="39" xfId="0" quotePrefix="1" applyFont="1" applyFill="1" applyBorder="1" applyAlignment="1">
      <alignment vertical="center" wrapText="1"/>
    </xf>
    <xf numFmtId="0" fontId="6" fillId="0" borderId="40" xfId="0" quotePrefix="1" applyFont="1" applyFill="1" applyBorder="1" applyAlignment="1">
      <alignment vertical="center" wrapText="1"/>
    </xf>
    <xf numFmtId="0" fontId="36" fillId="0" borderId="39" xfId="0" applyFont="1" applyBorder="1" applyAlignment="1">
      <alignment vertical="center"/>
    </xf>
    <xf numFmtId="0" fontId="36" fillId="0" borderId="59" xfId="0" applyFont="1" applyBorder="1" applyAlignment="1">
      <alignment vertical="center"/>
    </xf>
    <xf numFmtId="0" fontId="36" fillId="0" borderId="2" xfId="0" applyFont="1" applyBorder="1" applyAlignment="1">
      <alignment vertical="center"/>
    </xf>
    <xf numFmtId="0" fontId="36" fillId="0" borderId="9" xfId="0" applyFont="1" applyBorder="1" applyAlignment="1">
      <alignment vertical="center"/>
    </xf>
    <xf numFmtId="0" fontId="6" fillId="0" borderId="6" xfId="0" quotePrefix="1" applyFont="1" applyFill="1" applyBorder="1" applyAlignment="1">
      <alignment vertical="center" wrapText="1"/>
    </xf>
    <xf numFmtId="0" fontId="6" fillId="0" borderId="8" xfId="0" quotePrefix="1" applyFont="1" applyFill="1" applyBorder="1" applyAlignment="1">
      <alignment horizontal="center" vertical="center"/>
    </xf>
    <xf numFmtId="0" fontId="6" fillId="0" borderId="18" xfId="0" quotePrefix="1" applyFont="1" applyFill="1" applyBorder="1" applyAlignment="1">
      <alignment vertical="center"/>
    </xf>
    <xf numFmtId="0" fontId="6" fillId="0" borderId="86" xfId="0" quotePrefix="1" applyFont="1" applyFill="1" applyBorder="1" applyAlignment="1">
      <alignment horizontal="center" vertical="center"/>
    </xf>
    <xf numFmtId="180" fontId="6" fillId="0" borderId="86" xfId="0" applyNumberFormat="1" applyFont="1" applyFill="1" applyBorder="1" applyAlignment="1">
      <alignment horizontal="center" vertical="center"/>
    </xf>
    <xf numFmtId="180" fontId="6" fillId="0" borderId="11" xfId="0" applyNumberFormat="1" applyFont="1" applyFill="1" applyBorder="1" applyAlignment="1">
      <alignment horizontal="center" vertical="center"/>
    </xf>
    <xf numFmtId="0" fontId="6" fillId="0" borderId="115" xfId="0" quotePrefix="1" applyFont="1" applyFill="1" applyBorder="1" applyAlignment="1">
      <alignment horizontal="center" vertical="center"/>
    </xf>
    <xf numFmtId="180" fontId="6" fillId="0" borderId="8" xfId="0" applyNumberFormat="1" applyFont="1" applyFill="1" applyBorder="1" applyAlignment="1">
      <alignment horizontal="center" vertical="center"/>
    </xf>
    <xf numFmtId="180" fontId="6" fillId="0" borderId="2" xfId="0" applyNumberFormat="1" applyFont="1" applyFill="1" applyBorder="1" applyAlignment="1">
      <alignment horizontal="center" vertical="center"/>
    </xf>
    <xf numFmtId="0" fontId="6" fillId="0" borderId="116" xfId="0" quotePrefix="1" applyFont="1" applyFill="1" applyBorder="1" applyAlignment="1">
      <alignment horizontal="center" vertical="center"/>
    </xf>
    <xf numFmtId="2" fontId="8" fillId="0" borderId="0" xfId="0" applyNumberFormat="1" applyFont="1" applyBorder="1" applyAlignment="1">
      <alignment vertical="center"/>
    </xf>
    <xf numFmtId="0" fontId="6" fillId="3" borderId="94" xfId="0" applyFont="1" applyFill="1" applyBorder="1" applyAlignment="1">
      <alignment vertical="center"/>
    </xf>
    <xf numFmtId="2" fontId="8" fillId="0" borderId="55" xfId="0" applyNumberFormat="1" applyFont="1" applyBorder="1" applyAlignment="1">
      <alignment vertical="center"/>
    </xf>
    <xf numFmtId="2" fontId="8" fillId="0" borderId="6" xfId="0" applyNumberFormat="1" applyFont="1" applyBorder="1" applyAlignment="1">
      <alignment vertical="center"/>
    </xf>
    <xf numFmtId="2" fontId="8" fillId="0" borderId="93" xfId="0" applyNumberFormat="1" applyFont="1" applyBorder="1" applyAlignment="1">
      <alignment vertical="center"/>
    </xf>
    <xf numFmtId="0" fontId="70" fillId="0" borderId="4" xfId="0" applyFont="1" applyBorder="1">
      <alignment vertical="center"/>
    </xf>
    <xf numFmtId="0" fontId="71" fillId="0" borderId="0" xfId="0" applyFont="1" applyBorder="1">
      <alignment vertical="center"/>
    </xf>
    <xf numFmtId="197" fontId="54" fillId="0" borderId="117" xfId="0" applyNumberFormat="1" applyFont="1" applyFill="1" applyBorder="1" applyAlignment="1">
      <alignment vertical="center"/>
    </xf>
    <xf numFmtId="197" fontId="54" fillId="0" borderId="123" xfId="0" applyNumberFormat="1" applyFont="1" applyFill="1" applyBorder="1" applyAlignment="1">
      <alignment vertical="center"/>
    </xf>
    <xf numFmtId="197" fontId="54" fillId="0" borderId="124" xfId="0" applyNumberFormat="1" applyFont="1" applyFill="1" applyBorder="1" applyAlignment="1">
      <alignment vertical="center"/>
    </xf>
    <xf numFmtId="0" fontId="6" fillId="3" borderId="30" xfId="0" applyFont="1" applyFill="1" applyBorder="1" applyAlignment="1">
      <alignment vertical="center"/>
    </xf>
    <xf numFmtId="0" fontId="6" fillId="3" borderId="26" xfId="0" applyFont="1" applyFill="1" applyBorder="1" applyAlignment="1">
      <alignment horizontal="centerContinuous" vertical="center"/>
    </xf>
    <xf numFmtId="0" fontId="6" fillId="3" borderId="41" xfId="0" applyFont="1" applyFill="1" applyBorder="1" applyAlignment="1">
      <alignment horizontal="centerContinuous" vertical="center"/>
    </xf>
    <xf numFmtId="0" fontId="6" fillId="3" borderId="127" xfId="0" applyFont="1" applyFill="1" applyBorder="1" applyAlignment="1">
      <alignment horizontal="centerContinuous" vertical="center"/>
    </xf>
    <xf numFmtId="0" fontId="6" fillId="3" borderId="128" xfId="0" applyFont="1" applyFill="1" applyBorder="1" applyAlignment="1">
      <alignment horizontal="centerContinuous" vertical="center"/>
    </xf>
    <xf numFmtId="0" fontId="6" fillId="3" borderId="83" xfId="0" applyFont="1" applyFill="1" applyBorder="1" applyAlignment="1">
      <alignment horizontal="center" vertical="center"/>
    </xf>
    <xf numFmtId="0" fontId="6" fillId="3" borderId="84" xfId="0" applyFont="1" applyFill="1" applyBorder="1" applyAlignment="1">
      <alignment horizontal="center" vertical="center"/>
    </xf>
    <xf numFmtId="0" fontId="6" fillId="0" borderId="103" xfId="0" applyFont="1" applyBorder="1">
      <alignment vertical="center"/>
    </xf>
    <xf numFmtId="0" fontId="6" fillId="0" borderId="9" xfId="0" applyFont="1" applyBorder="1" applyAlignment="1">
      <alignment vertical="center"/>
    </xf>
    <xf numFmtId="0" fontId="6" fillId="0" borderId="9" xfId="0" applyFont="1" applyBorder="1">
      <alignment vertical="center"/>
    </xf>
    <xf numFmtId="0" fontId="6" fillId="0" borderId="0" xfId="0" quotePrefix="1" applyFont="1" applyBorder="1" applyAlignment="1">
      <alignment vertical="center"/>
    </xf>
    <xf numFmtId="0" fontId="6" fillId="3" borderId="82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/>
    </xf>
    <xf numFmtId="0" fontId="6" fillId="3" borderId="25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9" fillId="3" borderId="3" xfId="0" applyFont="1" applyFill="1" applyBorder="1" applyAlignment="1">
      <alignment vertical="center"/>
    </xf>
    <xf numFmtId="0" fontId="17" fillId="6" borderId="0" xfId="0" applyFont="1" applyFill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0" xfId="37" applyFont="1" applyAlignment="1">
      <alignment horizontal="left" vertical="center"/>
    </xf>
    <xf numFmtId="0" fontId="6" fillId="0" borderId="0" xfId="37" quotePrefix="1" applyFont="1" applyAlignment="1">
      <alignment horizontal="center" vertical="center"/>
    </xf>
    <xf numFmtId="0" fontId="6" fillId="0" borderId="0" xfId="37" applyFont="1">
      <alignment vertical="center"/>
    </xf>
    <xf numFmtId="200" fontId="8" fillId="0" borderId="0" xfId="37" applyNumberFormat="1" applyFont="1" applyAlignment="1">
      <alignment vertical="center"/>
    </xf>
    <xf numFmtId="0" fontId="6" fillId="0" borderId="6" xfId="0" applyFont="1" applyBorder="1" applyAlignment="1">
      <alignment horizontal="right" vertical="center"/>
    </xf>
    <xf numFmtId="199" fontId="0" fillId="0" borderId="0" xfId="0" applyNumberFormat="1">
      <alignment vertical="center"/>
    </xf>
    <xf numFmtId="0" fontId="6" fillId="0" borderId="7" xfId="0" applyFont="1" applyBorder="1" applyAlignment="1">
      <alignment vertical="center"/>
    </xf>
    <xf numFmtId="199" fontId="6" fillId="0" borderId="33" xfId="0" applyNumberFormat="1" applyFont="1" applyFill="1" applyBorder="1" applyAlignment="1">
      <alignment vertical="center"/>
    </xf>
    <xf numFmtId="9" fontId="6" fillId="0" borderId="0" xfId="0" applyNumberFormat="1" applyFont="1">
      <alignment vertical="center"/>
    </xf>
    <xf numFmtId="201" fontId="6" fillId="0" borderId="0" xfId="0" applyNumberFormat="1" applyFont="1" applyFill="1">
      <alignment vertical="center"/>
    </xf>
    <xf numFmtId="0" fontId="37" fillId="2" borderId="11" xfId="0" applyFont="1" applyFill="1" applyBorder="1">
      <alignment vertical="center"/>
    </xf>
    <xf numFmtId="0" fontId="37" fillId="2" borderId="12" xfId="0" applyFont="1" applyFill="1" applyBorder="1">
      <alignment vertical="center"/>
    </xf>
    <xf numFmtId="0" fontId="37" fillId="2" borderId="2" xfId="0" applyFont="1" applyFill="1" applyBorder="1">
      <alignment vertical="center"/>
    </xf>
    <xf numFmtId="0" fontId="37" fillId="2" borderId="14" xfId="0" applyFont="1" applyFill="1" applyBorder="1">
      <alignment vertical="center"/>
    </xf>
    <xf numFmtId="0" fontId="37" fillId="0" borderId="0" xfId="0" applyFont="1" applyBorder="1">
      <alignment vertical="center"/>
    </xf>
    <xf numFmtId="0" fontId="37" fillId="0" borderId="16" xfId="0" applyFont="1" applyBorder="1">
      <alignment vertical="center"/>
    </xf>
    <xf numFmtId="0" fontId="37" fillId="2" borderId="0" xfId="0" applyFont="1" applyFill="1" applyBorder="1">
      <alignment vertical="center"/>
    </xf>
    <xf numFmtId="0" fontId="37" fillId="2" borderId="16" xfId="0" applyFont="1" applyFill="1" applyBorder="1">
      <alignment vertical="center"/>
    </xf>
    <xf numFmtId="0" fontId="37" fillId="2" borderId="18" xfId="0" applyFont="1" applyFill="1" applyBorder="1">
      <alignment vertical="center"/>
    </xf>
    <xf numFmtId="0" fontId="37" fillId="2" borderId="19" xfId="0" applyFont="1" applyFill="1" applyBorder="1">
      <alignment vertical="center"/>
    </xf>
    <xf numFmtId="0" fontId="37" fillId="2" borderId="11" xfId="0" applyFont="1" applyFill="1" applyBorder="1" applyAlignment="1">
      <alignment horizontal="centerContinuous" vertical="center"/>
    </xf>
    <xf numFmtId="0" fontId="37" fillId="2" borderId="10" xfId="0" applyFont="1" applyFill="1" applyBorder="1" applyAlignment="1">
      <alignment horizontal="center" vertical="center"/>
    </xf>
    <xf numFmtId="0" fontId="37" fillId="2" borderId="13" xfId="0" applyFont="1" applyFill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7" fillId="2" borderId="15" xfId="0" applyFont="1" applyFill="1" applyBorder="1" applyAlignment="1">
      <alignment horizontal="center" vertical="center"/>
    </xf>
    <xf numFmtId="0" fontId="37" fillId="2" borderId="17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Continuous" vertical="center"/>
    </xf>
    <xf numFmtId="0" fontId="5" fillId="7" borderId="130" xfId="38" applyFont="1" applyFill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36" fillId="0" borderId="20" xfId="0" applyFont="1" applyFill="1" applyBorder="1" applyAlignment="1">
      <alignment vertical="center"/>
    </xf>
    <xf numFmtId="0" fontId="66" fillId="3" borderId="61" xfId="0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98" fontId="43" fillId="0" borderId="33" xfId="0" applyNumberFormat="1" applyFont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0" xfId="0" applyFont="1" applyFill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37" fillId="2" borderId="3" xfId="0" applyFont="1" applyFill="1" applyBorder="1" applyAlignment="1">
      <alignment horizontal="center" vertical="center"/>
    </xf>
    <xf numFmtId="0" fontId="37" fillId="2" borderId="8" xfId="0" applyFont="1" applyFill="1" applyBorder="1" applyAlignment="1">
      <alignment horizontal="center" vertical="center"/>
    </xf>
    <xf numFmtId="202" fontId="10" fillId="0" borderId="49" xfId="0" applyNumberFormat="1" applyFont="1" applyBorder="1" applyAlignment="1">
      <alignment vertical="center"/>
    </xf>
    <xf numFmtId="202" fontId="6" fillId="0" borderId="0" xfId="0" applyNumberFormat="1" applyFont="1">
      <alignment vertical="center"/>
    </xf>
    <xf numFmtId="202" fontId="6" fillId="0" borderId="0" xfId="0" applyNumberFormat="1" applyFont="1" applyBorder="1" applyAlignment="1">
      <alignment horizontal="center" vertical="center"/>
    </xf>
    <xf numFmtId="0" fontId="77" fillId="0" borderId="30" xfId="0" quotePrefix="1" applyFont="1" applyBorder="1" applyAlignment="1">
      <alignment vertical="center"/>
    </xf>
    <xf numFmtId="177" fontId="77" fillId="0" borderId="20" xfId="0" quotePrefix="1" applyNumberFormat="1" applyFont="1" applyBorder="1" applyAlignment="1">
      <alignment vertical="center"/>
    </xf>
    <xf numFmtId="177" fontId="77" fillId="0" borderId="21" xfId="0" quotePrefix="1" applyNumberFormat="1" applyFont="1" applyBorder="1" applyAlignment="1">
      <alignment vertical="center"/>
    </xf>
    <xf numFmtId="0" fontId="77" fillId="0" borderId="15" xfId="0" quotePrefix="1" applyFont="1" applyBorder="1" applyAlignment="1">
      <alignment vertical="center"/>
    </xf>
    <xf numFmtId="177" fontId="77" fillId="0" borderId="33" xfId="0" quotePrefix="1" applyNumberFormat="1" applyFont="1" applyBorder="1" applyAlignment="1">
      <alignment vertical="center"/>
    </xf>
    <xf numFmtId="0" fontId="77" fillId="0" borderId="82" xfId="0" quotePrefix="1" applyFont="1" applyBorder="1" applyAlignment="1">
      <alignment vertical="center"/>
    </xf>
    <xf numFmtId="198" fontId="77" fillId="0" borderId="43" xfId="0" quotePrefix="1" applyNumberFormat="1" applyFont="1" applyBorder="1" applyAlignment="1">
      <alignment vertical="center"/>
    </xf>
    <xf numFmtId="198" fontId="77" fillId="0" borderId="20" xfId="0" quotePrefix="1" applyNumberFormat="1" applyFont="1" applyBorder="1" applyAlignment="1">
      <alignment vertical="center"/>
    </xf>
    <xf numFmtId="198" fontId="77" fillId="0" borderId="77" xfId="0" quotePrefix="1" applyNumberFormat="1" applyFont="1" applyBorder="1" applyAlignment="1">
      <alignment vertical="center"/>
    </xf>
    <xf numFmtId="198" fontId="77" fillId="0" borderId="21" xfId="0" quotePrefix="1" applyNumberFormat="1" applyFont="1" applyBorder="1" applyAlignment="1">
      <alignment vertical="center"/>
    </xf>
    <xf numFmtId="202" fontId="43" fillId="0" borderId="20" xfId="0" applyNumberFormat="1" applyFont="1" applyFill="1" applyBorder="1" applyAlignment="1">
      <alignment vertical="center"/>
    </xf>
    <xf numFmtId="202" fontId="43" fillId="0" borderId="33" xfId="0" applyNumberFormat="1" applyFont="1" applyFill="1" applyBorder="1" applyAlignment="1">
      <alignment vertical="center"/>
    </xf>
    <xf numFmtId="2" fontId="8" fillId="0" borderId="20" xfId="0" applyNumberFormat="1" applyFont="1" applyFill="1" applyBorder="1" applyAlignment="1">
      <alignment horizontal="center" vertical="center"/>
    </xf>
    <xf numFmtId="202" fontId="43" fillId="0" borderId="33" xfId="0" applyNumberFormat="1" applyFont="1" applyBorder="1">
      <alignment vertical="center"/>
    </xf>
    <xf numFmtId="2" fontId="6" fillId="0" borderId="33" xfId="0" quotePrefix="1" applyNumberFormat="1" applyFont="1" applyBorder="1" applyAlignment="1">
      <alignment vertical="center"/>
    </xf>
    <xf numFmtId="2" fontId="6" fillId="0" borderId="55" xfId="0" quotePrefix="1" applyNumberFormat="1" applyFont="1" applyBorder="1" applyAlignment="1">
      <alignment vertical="center"/>
    </xf>
    <xf numFmtId="2" fontId="6" fillId="0" borderId="77" xfId="0" quotePrefix="1" applyNumberFormat="1" applyFont="1" applyBorder="1" applyAlignment="1">
      <alignment vertical="center"/>
    </xf>
    <xf numFmtId="2" fontId="6" fillId="0" borderId="21" xfId="0" quotePrefix="1" applyNumberFormat="1" applyFont="1" applyBorder="1" applyAlignment="1">
      <alignment vertical="center"/>
    </xf>
    <xf numFmtId="2" fontId="6" fillId="0" borderId="46" xfId="0" quotePrefix="1" applyNumberFormat="1" applyFont="1" applyBorder="1" applyAlignment="1">
      <alignment vertical="center"/>
    </xf>
    <xf numFmtId="2" fontId="6" fillId="0" borderId="47" xfId="0" quotePrefix="1" applyNumberFormat="1" applyFont="1" applyBorder="1" applyAlignment="1">
      <alignment vertical="center"/>
    </xf>
    <xf numFmtId="2" fontId="6" fillId="0" borderId="34" xfId="0" quotePrefix="1" applyNumberFormat="1" applyFont="1" applyBorder="1" applyAlignment="1">
      <alignment vertical="center"/>
    </xf>
    <xf numFmtId="2" fontId="6" fillId="0" borderId="46" xfId="0" quotePrefix="1" applyNumberFormat="1" applyFont="1" applyFill="1" applyBorder="1" applyAlignment="1">
      <alignment vertical="center"/>
    </xf>
    <xf numFmtId="2" fontId="6" fillId="0" borderId="33" xfId="0" quotePrefix="1" applyNumberFormat="1" applyFont="1" applyFill="1" applyBorder="1" applyAlignment="1">
      <alignment vertical="center"/>
    </xf>
    <xf numFmtId="2" fontId="6" fillId="0" borderId="47" xfId="0" quotePrefix="1" applyNumberFormat="1" applyFont="1" applyFill="1" applyBorder="1" applyAlignment="1">
      <alignment vertical="center"/>
    </xf>
    <xf numFmtId="2" fontId="6" fillId="0" borderId="34" xfId="0" quotePrefix="1" applyNumberFormat="1" applyFont="1" applyFill="1" applyBorder="1" applyAlignment="1">
      <alignment vertical="center"/>
    </xf>
    <xf numFmtId="2" fontId="6" fillId="0" borderId="20" xfId="0" quotePrefix="1" applyNumberFormat="1" applyFont="1" applyFill="1" applyBorder="1" applyAlignment="1">
      <alignment vertical="center"/>
    </xf>
    <xf numFmtId="2" fontId="6" fillId="0" borderId="21" xfId="0" quotePrefix="1" applyNumberFormat="1" applyFont="1" applyFill="1" applyBorder="1" applyAlignment="1">
      <alignment vertical="center"/>
    </xf>
    <xf numFmtId="198" fontId="6" fillId="0" borderId="20" xfId="0" applyNumberFormat="1" applyFont="1" applyFill="1" applyBorder="1" applyAlignment="1">
      <alignment vertical="center"/>
    </xf>
    <xf numFmtId="0" fontId="77" fillId="0" borderId="15" xfId="0" applyFont="1" applyBorder="1" applyAlignment="1">
      <alignment vertical="center"/>
    </xf>
    <xf numFmtId="177" fontId="77" fillId="0" borderId="33" xfId="0" applyNumberFormat="1" applyFont="1" applyBorder="1" applyAlignment="1">
      <alignment vertical="center"/>
    </xf>
    <xf numFmtId="177" fontId="77" fillId="0" borderId="21" xfId="0" applyNumberFormat="1" applyFont="1" applyBorder="1" applyAlignment="1">
      <alignment vertical="center"/>
    </xf>
    <xf numFmtId="0" fontId="43" fillId="0" borderId="15" xfId="0" applyFont="1" applyBorder="1" applyAlignment="1">
      <alignment vertical="center"/>
    </xf>
    <xf numFmtId="177" fontId="43" fillId="0" borderId="33" xfId="0" applyNumberFormat="1" applyFont="1" applyBorder="1" applyAlignment="1">
      <alignment vertical="center"/>
    </xf>
    <xf numFmtId="0" fontId="43" fillId="3" borderId="36" xfId="0" applyFont="1" applyFill="1" applyBorder="1" applyAlignment="1">
      <alignment vertical="center"/>
    </xf>
    <xf numFmtId="9" fontId="43" fillId="0" borderId="21" xfId="0" applyNumberFormat="1" applyFont="1" applyBorder="1">
      <alignment vertical="center"/>
    </xf>
    <xf numFmtId="1" fontId="43" fillId="0" borderId="33" xfId="0" applyNumberFormat="1" applyFont="1" applyBorder="1" applyAlignment="1">
      <alignment vertical="center"/>
    </xf>
    <xf numFmtId="0" fontId="43" fillId="0" borderId="15" xfId="0" applyFont="1" applyFill="1" applyBorder="1" applyAlignment="1">
      <alignment vertical="center"/>
    </xf>
    <xf numFmtId="177" fontId="43" fillId="0" borderId="33" xfId="0" applyNumberFormat="1" applyFont="1" applyFill="1" applyBorder="1" applyAlignment="1">
      <alignment vertical="center"/>
    </xf>
    <xf numFmtId="0" fontId="43" fillId="0" borderId="33" xfId="0" applyNumberFormat="1" applyFont="1" applyFill="1" applyBorder="1" applyAlignment="1">
      <alignment vertical="center"/>
    </xf>
    <xf numFmtId="177" fontId="78" fillId="0" borderId="20" xfId="0" applyNumberFormat="1" applyFont="1" applyFill="1" applyBorder="1" applyAlignment="1">
      <alignment vertical="center"/>
    </xf>
    <xf numFmtId="177" fontId="78" fillId="0" borderId="21" xfId="0" applyNumberFormat="1" applyFont="1" applyFill="1" applyBorder="1" applyAlignment="1">
      <alignment vertical="center"/>
    </xf>
    <xf numFmtId="2" fontId="43" fillId="0" borderId="33" xfId="0" applyNumberFormat="1" applyFont="1" applyFill="1" applyBorder="1" applyAlignment="1">
      <alignment vertical="center"/>
    </xf>
    <xf numFmtId="1" fontId="6" fillId="0" borderId="43" xfId="0" applyNumberFormat="1" applyFont="1" applyFill="1" applyBorder="1" applyAlignment="1">
      <alignment vertical="center"/>
    </xf>
    <xf numFmtId="202" fontId="77" fillId="0" borderId="33" xfId="0" applyNumberFormat="1" applyFont="1" applyFill="1" applyBorder="1" applyAlignment="1">
      <alignment vertical="center"/>
    </xf>
    <xf numFmtId="202" fontId="77" fillId="0" borderId="21" xfId="0" applyNumberFormat="1" applyFont="1" applyFill="1" applyBorder="1" applyAlignment="1">
      <alignment vertical="center"/>
    </xf>
    <xf numFmtId="202" fontId="77" fillId="0" borderId="33" xfId="0" applyNumberFormat="1" applyFont="1" applyBorder="1" applyAlignment="1">
      <alignment vertical="center"/>
    </xf>
    <xf numFmtId="0" fontId="6" fillId="0" borderId="7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0" fillId="0" borderId="0" xfId="0" applyFont="1">
      <alignment vertical="center"/>
    </xf>
    <xf numFmtId="0" fontId="0" fillId="0" borderId="3" xfId="0" applyFont="1" applyBorder="1">
      <alignment vertical="center"/>
    </xf>
    <xf numFmtId="0" fontId="0" fillId="0" borderId="0" xfId="0" applyFont="1" applyBorder="1">
      <alignment vertical="center"/>
    </xf>
    <xf numFmtId="0" fontId="0" fillId="0" borderId="4" xfId="0" applyFont="1" applyBorder="1">
      <alignment vertical="center"/>
    </xf>
    <xf numFmtId="0" fontId="0" fillId="0" borderId="0" xfId="0" applyFont="1" applyFill="1" applyBorder="1">
      <alignment vertical="center"/>
    </xf>
    <xf numFmtId="2" fontId="0" fillId="0" borderId="0" xfId="0" applyNumberFormat="1" applyFont="1">
      <alignment vertical="center"/>
    </xf>
    <xf numFmtId="178" fontId="0" fillId="0" borderId="0" xfId="0" applyNumberFormat="1" applyFont="1">
      <alignment vertical="center"/>
    </xf>
    <xf numFmtId="177" fontId="0" fillId="0" borderId="0" xfId="0" applyNumberFormat="1" applyFont="1">
      <alignment vertical="center"/>
    </xf>
    <xf numFmtId="184" fontId="0" fillId="0" borderId="0" xfId="0" applyNumberFormat="1" applyFont="1">
      <alignment vertical="center"/>
    </xf>
    <xf numFmtId="43" fontId="0" fillId="0" borderId="0" xfId="0" applyNumberFormat="1" applyFont="1">
      <alignment vertical="center"/>
    </xf>
    <xf numFmtId="179" fontId="0" fillId="0" borderId="0" xfId="0" applyNumberFormat="1" applyFont="1">
      <alignment vertical="center"/>
    </xf>
    <xf numFmtId="193" fontId="0" fillId="0" borderId="0" xfId="0" applyNumberFormat="1" applyFont="1">
      <alignment vertical="center"/>
    </xf>
    <xf numFmtId="199" fontId="0" fillId="0" borderId="0" xfId="0" applyNumberFormat="1" applyFo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4" xfId="0" applyFill="1" applyBorder="1">
      <alignment vertical="center"/>
    </xf>
    <xf numFmtId="2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84" fontId="0" fillId="0" borderId="0" xfId="0" applyNumberFormat="1" applyFill="1">
      <alignment vertical="center"/>
    </xf>
    <xf numFmtId="43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193" fontId="0" fillId="0" borderId="0" xfId="0" applyNumberFormat="1" applyFill="1">
      <alignment vertical="center"/>
    </xf>
    <xf numFmtId="199" fontId="0" fillId="0" borderId="0" xfId="0" applyNumberFormat="1" applyFill="1">
      <alignment vertical="center"/>
    </xf>
    <xf numFmtId="2" fontId="0" fillId="0" borderId="0" xfId="0" applyNumberFormat="1" applyFill="1" applyBorder="1">
      <alignment vertical="center"/>
    </xf>
    <xf numFmtId="0" fontId="70" fillId="0" borderId="3" xfId="0" applyFont="1" applyBorder="1">
      <alignment vertical="center"/>
    </xf>
    <xf numFmtId="0" fontId="70" fillId="0" borderId="0" xfId="0" applyFont="1">
      <alignment vertical="center"/>
    </xf>
    <xf numFmtId="0" fontId="80" fillId="0" borderId="0" xfId="0" applyFo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0" xfId="0" applyFill="1" applyBorder="1">
      <alignment vertical="center"/>
    </xf>
    <xf numFmtId="2" fontId="0" fillId="4" borderId="0" xfId="0" applyNumberFormat="1" applyFill="1">
      <alignment vertical="center"/>
    </xf>
    <xf numFmtId="178" fontId="0" fillId="4" borderId="0" xfId="0" applyNumberFormat="1" applyFill="1">
      <alignment vertical="center"/>
    </xf>
    <xf numFmtId="177" fontId="0" fillId="4" borderId="0" xfId="0" applyNumberFormat="1" applyFill="1">
      <alignment vertical="center"/>
    </xf>
    <xf numFmtId="184" fontId="0" fillId="4" borderId="0" xfId="0" applyNumberFormat="1" applyFill="1">
      <alignment vertical="center"/>
    </xf>
    <xf numFmtId="43" fontId="0" fillId="4" borderId="0" xfId="0" applyNumberFormat="1" applyFill="1">
      <alignment vertical="center"/>
    </xf>
    <xf numFmtId="179" fontId="0" fillId="4" borderId="0" xfId="0" applyNumberFormat="1" applyFill="1">
      <alignment vertical="center"/>
    </xf>
    <xf numFmtId="193" fontId="0" fillId="4" borderId="0" xfId="0" applyNumberFormat="1" applyFill="1">
      <alignment vertical="center"/>
    </xf>
    <xf numFmtId="199" fontId="0" fillId="4" borderId="0" xfId="0" applyNumberFormat="1" applyFill="1">
      <alignment vertical="center"/>
    </xf>
    <xf numFmtId="198" fontId="6" fillId="0" borderId="0" xfId="0" applyNumberFormat="1" applyFont="1" applyAlignment="1">
      <alignment horizontal="center" vertical="center"/>
    </xf>
    <xf numFmtId="0" fontId="0" fillId="0" borderId="0" xfId="0" quotePrefix="1">
      <alignment vertical="center"/>
    </xf>
    <xf numFmtId="0" fontId="6" fillId="0" borderId="136" xfId="0" applyFont="1" applyFill="1" applyBorder="1" applyAlignment="1">
      <alignment horizontal="center" vertical="center"/>
    </xf>
    <xf numFmtId="0" fontId="6" fillId="0" borderId="137" xfId="0" applyFont="1" applyFill="1" applyBorder="1" applyAlignment="1">
      <alignment vertical="center"/>
    </xf>
    <xf numFmtId="177" fontId="6" fillId="0" borderId="23" xfId="0" applyNumberFormat="1" applyFont="1" applyBorder="1" applyAlignment="1">
      <alignment vertical="center"/>
    </xf>
    <xf numFmtId="0" fontId="6" fillId="0" borderId="136" xfId="0" applyFont="1" applyBorder="1" applyAlignment="1">
      <alignment horizontal="center" vertical="center"/>
    </xf>
    <xf numFmtId="177" fontId="6" fillId="0" borderId="137" xfId="0" applyNumberFormat="1" applyFont="1" applyBorder="1" applyAlignment="1">
      <alignment vertical="center"/>
    </xf>
    <xf numFmtId="0" fontId="6" fillId="0" borderId="137" xfId="0" applyFont="1" applyBorder="1">
      <alignment vertical="center"/>
    </xf>
    <xf numFmtId="0" fontId="6" fillId="0" borderId="137" xfId="0" applyFont="1" applyBorder="1" applyAlignment="1">
      <alignment vertical="center"/>
    </xf>
    <xf numFmtId="179" fontId="6" fillId="0" borderId="137" xfId="0" applyNumberFormat="1" applyFont="1" applyBorder="1" applyAlignment="1">
      <alignment vertical="center"/>
    </xf>
    <xf numFmtId="2" fontId="8" fillId="0" borderId="137" xfId="0" applyNumberFormat="1" applyFont="1" applyBorder="1" applyAlignment="1">
      <alignment vertical="center"/>
    </xf>
    <xf numFmtId="0" fontId="8" fillId="0" borderId="137" xfId="0" applyFont="1" applyBorder="1" applyAlignment="1">
      <alignment vertical="center"/>
    </xf>
    <xf numFmtId="0" fontId="77" fillId="0" borderId="17" xfId="0" quotePrefix="1" applyFont="1" applyBorder="1" applyAlignment="1">
      <alignment vertical="center"/>
    </xf>
    <xf numFmtId="177" fontId="77" fillId="0" borderId="91" xfId="0" quotePrefix="1" applyNumberFormat="1" applyFont="1" applyBorder="1" applyAlignment="1">
      <alignment vertical="center"/>
    </xf>
    <xf numFmtId="177" fontId="77" fillId="0" borderId="137" xfId="0" quotePrefix="1" applyNumberFormat="1" applyFont="1" applyBorder="1" applyAlignment="1">
      <alignment vertical="center"/>
    </xf>
    <xf numFmtId="177" fontId="77" fillId="0" borderId="138" xfId="0" quotePrefix="1" applyNumberFormat="1" applyFont="1" applyBorder="1" applyAlignment="1">
      <alignment vertical="center"/>
    </xf>
    <xf numFmtId="0" fontId="77" fillId="0" borderId="136" xfId="0" quotePrefix="1" applyFont="1" applyBorder="1" applyAlignment="1">
      <alignment vertical="center"/>
    </xf>
    <xf numFmtId="198" fontId="77" fillId="0" borderId="137" xfId="0" quotePrefix="1" applyNumberFormat="1" applyFont="1" applyBorder="1" applyAlignment="1">
      <alignment vertical="center"/>
    </xf>
    <xf numFmtId="198" fontId="77" fillId="0" borderId="138" xfId="0" quotePrefix="1" applyNumberFormat="1" applyFont="1" applyBorder="1" applyAlignment="1">
      <alignment vertical="center"/>
    </xf>
    <xf numFmtId="0" fontId="6" fillId="0" borderId="135" xfId="0" quotePrefix="1" applyFont="1" applyBorder="1" applyAlignment="1">
      <alignment vertical="center"/>
    </xf>
    <xf numFmtId="2" fontId="6" fillId="0" borderId="141" xfId="0" quotePrefix="1" applyNumberFormat="1" applyFont="1" applyBorder="1" applyAlignment="1">
      <alignment vertical="center"/>
    </xf>
    <xf numFmtId="2" fontId="6" fillId="0" borderId="137" xfId="0" quotePrefix="1" applyNumberFormat="1" applyFont="1" applyBorder="1" applyAlignment="1">
      <alignment vertical="center"/>
    </xf>
    <xf numFmtId="2" fontId="6" fillId="0" borderId="142" xfId="0" quotePrefix="1" applyNumberFormat="1" applyFont="1" applyBorder="1" applyAlignment="1">
      <alignment vertical="center"/>
    </xf>
    <xf numFmtId="2" fontId="6" fillId="0" borderId="143" xfId="0" quotePrefix="1" applyNumberFormat="1" applyFont="1" applyBorder="1" applyAlignment="1">
      <alignment vertical="center"/>
    </xf>
    <xf numFmtId="2" fontId="6" fillId="0" borderId="138" xfId="0" quotePrefix="1" applyNumberFormat="1" applyFont="1" applyBorder="1" applyAlignment="1">
      <alignment vertical="center"/>
    </xf>
    <xf numFmtId="0" fontId="6" fillId="0" borderId="17" xfId="0" quotePrefix="1" applyFont="1" applyBorder="1" applyAlignment="1">
      <alignment vertical="center"/>
    </xf>
    <xf numFmtId="0" fontId="6" fillId="0" borderId="136" xfId="0" quotePrefix="1" applyFont="1" applyBorder="1" applyAlignment="1">
      <alignment vertical="center"/>
    </xf>
    <xf numFmtId="2" fontId="6" fillId="0" borderId="91" xfId="0" applyNumberFormat="1" applyFont="1" applyBorder="1" applyAlignment="1">
      <alignment vertical="center"/>
    </xf>
    <xf numFmtId="2" fontId="6" fillId="0" borderId="91" xfId="0" quotePrefix="1" applyNumberFormat="1" applyFont="1" applyBorder="1" applyAlignment="1">
      <alignment vertical="center"/>
    </xf>
    <xf numFmtId="0" fontId="6" fillId="0" borderId="31" xfId="0" applyFont="1" applyFill="1" applyBorder="1" applyAlignment="1">
      <alignment horizontal="center" vertical="center"/>
    </xf>
    <xf numFmtId="0" fontId="6" fillId="0" borderId="23" xfId="0" applyFont="1" applyFill="1" applyBorder="1" applyAlignment="1">
      <alignment vertical="center"/>
    </xf>
    <xf numFmtId="0" fontId="6" fillId="0" borderId="82" xfId="0" applyFont="1" applyFill="1" applyBorder="1" applyAlignment="1">
      <alignment horizontal="center" vertical="center"/>
    </xf>
    <xf numFmtId="0" fontId="6" fillId="0" borderId="43" xfId="0" applyFont="1" applyFill="1" applyBorder="1" applyAlignment="1">
      <alignment vertical="center"/>
    </xf>
    <xf numFmtId="1" fontId="43" fillId="0" borderId="20" xfId="0" applyNumberFormat="1" applyFont="1" applyBorder="1" applyAlignment="1">
      <alignment vertical="center"/>
    </xf>
    <xf numFmtId="202" fontId="43" fillId="0" borderId="20" xfId="0" applyNumberFormat="1" applyFont="1" applyBorder="1" applyAlignment="1">
      <alignment vertical="center"/>
    </xf>
    <xf numFmtId="177" fontId="43" fillId="0" borderId="20" xfId="0" applyNumberFormat="1" applyFont="1" applyBorder="1" applyAlignment="1">
      <alignment vertical="center"/>
    </xf>
    <xf numFmtId="198" fontId="43" fillId="0" borderId="20" xfId="0" applyNumberFormat="1" applyFont="1" applyBorder="1" applyAlignment="1">
      <alignment vertical="center"/>
    </xf>
    <xf numFmtId="198" fontId="43" fillId="0" borderId="47" xfId="0" applyNumberFormat="1" applyFont="1" applyBorder="1" applyAlignment="1">
      <alignment vertical="center"/>
    </xf>
    <xf numFmtId="1" fontId="43" fillId="0" borderId="23" xfId="0" applyNumberFormat="1" applyFont="1" applyBorder="1" applyAlignment="1">
      <alignment vertical="center"/>
    </xf>
    <xf numFmtId="202" fontId="43" fillId="0" borderId="23" xfId="0" applyNumberFormat="1" applyFont="1" applyBorder="1" applyAlignment="1">
      <alignment vertical="center"/>
    </xf>
    <xf numFmtId="177" fontId="43" fillId="0" borderId="23" xfId="0" applyNumberFormat="1" applyFont="1" applyBorder="1" applyAlignment="1">
      <alignment vertical="center"/>
    </xf>
    <xf numFmtId="198" fontId="43" fillId="0" borderId="23" xfId="0" applyNumberFormat="1" applyFont="1" applyBorder="1" applyAlignment="1">
      <alignment vertical="center"/>
    </xf>
    <xf numFmtId="198" fontId="43" fillId="0" borderId="140" xfId="0" applyNumberFormat="1" applyFont="1" applyBorder="1" applyAlignment="1">
      <alignment vertical="center"/>
    </xf>
    <xf numFmtId="0" fontId="43" fillId="0" borderId="46" xfId="0" applyFont="1" applyBorder="1" applyAlignment="1">
      <alignment horizontal="center" vertical="center"/>
    </xf>
    <xf numFmtId="0" fontId="43" fillId="0" borderId="139" xfId="0" applyFont="1" applyBorder="1" applyAlignment="1">
      <alignment horizontal="center" vertical="center"/>
    </xf>
    <xf numFmtId="0" fontId="43" fillId="0" borderId="21" xfId="0" applyFont="1" applyBorder="1" applyAlignment="1">
      <alignment vertical="center"/>
    </xf>
    <xf numFmtId="0" fontId="43" fillId="0" borderId="138" xfId="0" applyFont="1" applyBorder="1" applyAlignment="1">
      <alignment vertical="center"/>
    </xf>
    <xf numFmtId="177" fontId="77" fillId="0" borderId="43" xfId="0" quotePrefix="1" applyNumberFormat="1" applyFont="1" applyBorder="1" applyAlignment="1">
      <alignment vertical="center"/>
    </xf>
    <xf numFmtId="177" fontId="77" fillId="0" borderId="77" xfId="0" quotePrefix="1" applyNumberFormat="1" applyFont="1" applyBorder="1" applyAlignment="1">
      <alignment vertical="center"/>
    </xf>
    <xf numFmtId="0" fontId="77" fillId="0" borderId="31" xfId="0" quotePrefix="1" applyFont="1" applyBorder="1" applyAlignment="1">
      <alignment vertical="center"/>
    </xf>
    <xf numFmtId="177" fontId="77" fillId="0" borderId="23" xfId="0" quotePrefix="1" applyNumberFormat="1" applyFont="1" applyBorder="1" applyAlignment="1">
      <alignment vertical="center"/>
    </xf>
    <xf numFmtId="177" fontId="77" fillId="0" borderId="24" xfId="0" quotePrefix="1" applyNumberFormat="1" applyFont="1" applyBorder="1" applyAlignment="1">
      <alignment vertical="center"/>
    </xf>
    <xf numFmtId="198" fontId="77" fillId="0" borderId="23" xfId="0" quotePrefix="1" applyNumberFormat="1" applyFont="1" applyBorder="1" applyAlignment="1">
      <alignment vertical="center"/>
    </xf>
    <xf numFmtId="198" fontId="77" fillId="0" borderId="24" xfId="0" quotePrefix="1" applyNumberFormat="1" applyFont="1" applyBorder="1" applyAlignment="1">
      <alignment vertical="center"/>
    </xf>
    <xf numFmtId="0" fontId="6" fillId="0" borderId="109" xfId="0" quotePrefix="1" applyFont="1" applyBorder="1" applyAlignment="1">
      <alignment vertical="center"/>
    </xf>
    <xf numFmtId="2" fontId="6" fillId="0" borderId="28" xfId="0" quotePrefix="1" applyNumberFormat="1" applyFont="1" applyBorder="1" applyAlignment="1">
      <alignment vertical="center"/>
    </xf>
    <xf numFmtId="2" fontId="6" fillId="0" borderId="23" xfId="0" quotePrefix="1" applyNumberFormat="1" applyFont="1" applyBorder="1" applyAlignment="1">
      <alignment vertical="center"/>
    </xf>
    <xf numFmtId="2" fontId="6" fillId="0" borderId="139" xfId="0" quotePrefix="1" applyNumberFormat="1" applyFont="1" applyBorder="1" applyAlignment="1">
      <alignment vertical="center"/>
    </xf>
    <xf numFmtId="2" fontId="6" fillId="0" borderId="140" xfId="0" quotePrefix="1" applyNumberFormat="1" applyFont="1" applyBorder="1" applyAlignment="1">
      <alignment vertical="center"/>
    </xf>
    <xf numFmtId="2" fontId="6" fillId="0" borderId="24" xfId="0" quotePrefix="1" applyNumberFormat="1" applyFont="1" applyBorder="1" applyAlignment="1">
      <alignment vertical="center"/>
    </xf>
    <xf numFmtId="0" fontId="6" fillId="0" borderId="132" xfId="0" quotePrefix="1" applyFont="1" applyBorder="1" applyAlignment="1">
      <alignment vertical="center"/>
    </xf>
    <xf numFmtId="2" fontId="6" fillId="0" borderId="74" xfId="0" quotePrefix="1" applyNumberFormat="1" applyFont="1" applyBorder="1" applyAlignment="1">
      <alignment vertical="center"/>
    </xf>
    <xf numFmtId="2" fontId="6" fillId="0" borderId="43" xfId="0" quotePrefix="1" applyNumberFormat="1" applyFont="1" applyBorder="1" applyAlignment="1">
      <alignment vertical="center"/>
    </xf>
    <xf numFmtId="2" fontId="6" fillId="0" borderId="144" xfId="0" quotePrefix="1" applyNumberFormat="1" applyFont="1" applyBorder="1" applyAlignment="1">
      <alignment vertical="center"/>
    </xf>
    <xf numFmtId="2" fontId="6" fillId="0" borderId="145" xfId="0" quotePrefix="1" applyNumberFormat="1" applyFont="1" applyBorder="1" applyAlignment="1">
      <alignment vertical="center"/>
    </xf>
    <xf numFmtId="0" fontId="6" fillId="0" borderId="13" xfId="0" quotePrefix="1" applyFont="1" applyBorder="1" applyAlignment="1">
      <alignment vertical="center"/>
    </xf>
    <xf numFmtId="2" fontId="6" fillId="0" borderId="25" xfId="0" quotePrefix="1" applyNumberFormat="1" applyFont="1" applyBorder="1" applyAlignment="1">
      <alignment vertical="center"/>
    </xf>
    <xf numFmtId="0" fontId="6" fillId="0" borderId="42" xfId="0" quotePrefix="1" applyFont="1" applyBorder="1" applyAlignment="1">
      <alignment vertical="center"/>
    </xf>
    <xf numFmtId="0" fontId="6" fillId="0" borderId="31" xfId="0" quotePrefix="1" applyFont="1" applyBorder="1" applyAlignment="1">
      <alignment vertical="center"/>
    </xf>
    <xf numFmtId="2" fontId="6" fillId="0" borderId="25" xfId="0" applyNumberFormat="1" applyFont="1" applyBorder="1" applyAlignment="1">
      <alignment vertical="center"/>
    </xf>
    <xf numFmtId="0" fontId="6" fillId="0" borderId="82" xfId="0" quotePrefix="1" applyFont="1" applyBorder="1" applyAlignment="1">
      <alignment vertical="center"/>
    </xf>
    <xf numFmtId="2" fontId="6" fillId="0" borderId="55" xfId="0" applyNumberFormat="1" applyFont="1" applyBorder="1" applyAlignment="1">
      <alignment vertical="center"/>
    </xf>
    <xf numFmtId="0" fontId="6" fillId="0" borderId="31" xfId="0" applyFont="1" applyFill="1" applyBorder="1" applyAlignment="1">
      <alignment vertical="center"/>
    </xf>
    <xf numFmtId="0" fontId="36" fillId="0" borderId="23" xfId="0" applyFont="1" applyFill="1" applyBorder="1" applyAlignment="1">
      <alignment vertical="center"/>
    </xf>
    <xf numFmtId="0" fontId="6" fillId="0" borderId="23" xfId="0" applyNumberFormat="1" applyFont="1" applyFill="1" applyBorder="1" applyAlignment="1">
      <alignment vertical="center"/>
    </xf>
    <xf numFmtId="202" fontId="43" fillId="0" borderId="23" xfId="0" applyNumberFormat="1" applyFont="1" applyFill="1" applyBorder="1" applyAlignment="1">
      <alignment vertical="center"/>
    </xf>
    <xf numFmtId="43" fontId="6" fillId="0" borderId="23" xfId="0" applyNumberFormat="1" applyFont="1" applyFill="1" applyBorder="1" applyAlignment="1">
      <alignment vertical="center"/>
    </xf>
    <xf numFmtId="2" fontId="6" fillId="0" borderId="23" xfId="0" applyNumberFormat="1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179" fontId="6" fillId="0" borderId="24" xfId="0" applyNumberFormat="1" applyFont="1" applyFill="1" applyBorder="1" applyAlignment="1">
      <alignment vertical="center"/>
    </xf>
    <xf numFmtId="0" fontId="6" fillId="0" borderId="82" xfId="0" applyFont="1" applyFill="1" applyBorder="1" applyAlignment="1">
      <alignment vertical="center"/>
    </xf>
    <xf numFmtId="0" fontId="36" fillId="0" borderId="43" xfId="0" applyFont="1" applyFill="1" applyBorder="1" applyAlignment="1">
      <alignment vertical="center"/>
    </xf>
    <xf numFmtId="0" fontId="6" fillId="0" borderId="43" xfId="0" applyNumberFormat="1" applyFont="1" applyFill="1" applyBorder="1" applyAlignment="1">
      <alignment vertical="center"/>
    </xf>
    <xf numFmtId="202" fontId="43" fillId="0" borderId="43" xfId="0" applyNumberFormat="1" applyFont="1" applyFill="1" applyBorder="1" applyAlignment="1">
      <alignment vertical="center"/>
    </xf>
    <xf numFmtId="43" fontId="6" fillId="0" borderId="43" xfId="0" applyNumberFormat="1" applyFont="1" applyFill="1" applyBorder="1" applyAlignment="1">
      <alignment vertical="center"/>
    </xf>
    <xf numFmtId="2" fontId="6" fillId="0" borderId="43" xfId="0" applyNumberFormat="1" applyFont="1" applyFill="1" applyBorder="1" applyAlignment="1">
      <alignment vertical="center"/>
    </xf>
    <xf numFmtId="0" fontId="7" fillId="0" borderId="43" xfId="0" applyFont="1" applyFill="1" applyBorder="1" applyAlignment="1">
      <alignment vertical="center"/>
    </xf>
    <xf numFmtId="179" fontId="6" fillId="0" borderId="77" xfId="0" applyNumberFormat="1" applyFont="1" applyFill="1" applyBorder="1" applyAlignment="1">
      <alignment vertical="center"/>
    </xf>
    <xf numFmtId="184" fontId="43" fillId="0" borderId="33" xfId="0" applyNumberFormat="1" applyFont="1" applyBorder="1">
      <alignment vertical="center"/>
    </xf>
    <xf numFmtId="184" fontId="43" fillId="0" borderId="25" xfId="0" applyNumberFormat="1" applyFont="1" applyBorder="1">
      <alignment vertical="center"/>
    </xf>
    <xf numFmtId="184" fontId="6" fillId="0" borderId="23" xfId="0" applyNumberFormat="1" applyFont="1" applyFill="1" applyBorder="1" applyAlignment="1">
      <alignment vertical="center"/>
    </xf>
    <xf numFmtId="2" fontId="8" fillId="0" borderId="24" xfId="0" applyNumberFormat="1" applyFont="1" applyFill="1" applyBorder="1" applyAlignment="1">
      <alignment vertical="center"/>
    </xf>
    <xf numFmtId="184" fontId="43" fillId="0" borderId="55" xfId="0" applyNumberFormat="1" applyFont="1" applyBorder="1">
      <alignment vertical="center"/>
    </xf>
    <xf numFmtId="184" fontId="6" fillId="0" borderId="43" xfId="0" applyNumberFormat="1" applyFont="1" applyFill="1" applyBorder="1" applyAlignment="1">
      <alignment vertical="center"/>
    </xf>
    <xf numFmtId="2" fontId="8" fillId="0" borderId="77" xfId="0" applyNumberFormat="1" applyFont="1" applyFill="1" applyBorder="1" applyAlignment="1">
      <alignment vertical="center"/>
    </xf>
    <xf numFmtId="0" fontId="6" fillId="0" borderId="13" xfId="0" applyFont="1" applyFill="1" applyBorder="1" applyAlignment="1">
      <alignment vertical="center"/>
    </xf>
    <xf numFmtId="0" fontId="6" fillId="0" borderId="25" xfId="0" applyNumberFormat="1" applyFont="1" applyFill="1" applyBorder="1" applyAlignment="1">
      <alignment vertical="center"/>
    </xf>
    <xf numFmtId="199" fontId="6" fillId="0" borderId="25" xfId="0" applyNumberFormat="1" applyFont="1" applyFill="1" applyBorder="1" applyAlignment="1">
      <alignment vertical="center"/>
    </xf>
    <xf numFmtId="202" fontId="43" fillId="0" borderId="25" xfId="0" applyNumberFormat="1" applyFont="1" applyBorder="1">
      <alignment vertical="center"/>
    </xf>
    <xf numFmtId="2" fontId="6" fillId="0" borderId="25" xfId="0" applyNumberFormat="1" applyFont="1" applyFill="1" applyBorder="1" applyAlignment="1">
      <alignment vertical="center"/>
    </xf>
    <xf numFmtId="2" fontId="6" fillId="0" borderId="24" xfId="0" applyNumberFormat="1" applyFont="1" applyFill="1" applyBorder="1" applyAlignment="1">
      <alignment vertical="center"/>
    </xf>
    <xf numFmtId="0" fontId="6" fillId="0" borderId="42" xfId="0" applyFont="1" applyFill="1" applyBorder="1" applyAlignment="1">
      <alignment vertical="center"/>
    </xf>
    <xf numFmtId="0" fontId="6" fillId="0" borderId="55" xfId="0" applyNumberFormat="1" applyFont="1" applyFill="1" applyBorder="1" applyAlignment="1">
      <alignment vertical="center"/>
    </xf>
    <xf numFmtId="199" fontId="6" fillId="0" borderId="55" xfId="0" applyNumberFormat="1" applyFont="1" applyFill="1" applyBorder="1" applyAlignment="1">
      <alignment vertical="center"/>
    </xf>
    <xf numFmtId="202" fontId="43" fillId="0" borderId="55" xfId="0" applyNumberFormat="1" applyFont="1" applyBorder="1">
      <alignment vertical="center"/>
    </xf>
    <xf numFmtId="2" fontId="6" fillId="0" borderId="55" xfId="0" applyNumberFormat="1" applyFont="1" applyFill="1" applyBorder="1" applyAlignment="1">
      <alignment vertical="center"/>
    </xf>
    <xf numFmtId="2" fontId="6" fillId="0" borderId="77" xfId="0" applyNumberFormat="1" applyFont="1" applyFill="1" applyBorder="1" applyAlignment="1">
      <alignment vertical="center"/>
    </xf>
    <xf numFmtId="2" fontId="6" fillId="0" borderId="23" xfId="0" applyNumberFormat="1" applyFont="1" applyFill="1" applyBorder="1" applyAlignment="1">
      <alignment horizontal="center" vertical="center"/>
    </xf>
    <xf numFmtId="0" fontId="6" fillId="0" borderId="25" xfId="0" applyFont="1" applyFill="1" applyBorder="1" applyAlignment="1">
      <alignment vertical="center"/>
    </xf>
    <xf numFmtId="177" fontId="6" fillId="0" borderId="25" xfId="0" applyNumberFormat="1" applyFont="1" applyFill="1" applyBorder="1" applyAlignment="1">
      <alignment vertical="center"/>
    </xf>
    <xf numFmtId="2" fontId="6" fillId="0" borderId="43" xfId="0" applyNumberFormat="1" applyFont="1" applyFill="1" applyBorder="1" applyAlignment="1">
      <alignment horizontal="center" vertical="center"/>
    </xf>
    <xf numFmtId="0" fontId="6" fillId="0" borderId="55" xfId="0" applyFont="1" applyFill="1" applyBorder="1" applyAlignment="1">
      <alignment vertical="center"/>
    </xf>
    <xf numFmtId="177" fontId="6" fillId="0" borderId="55" xfId="0" applyNumberFormat="1" applyFont="1" applyFill="1" applyBorder="1" applyAlignment="1">
      <alignment vertical="center"/>
    </xf>
    <xf numFmtId="202" fontId="43" fillId="0" borderId="25" xfId="0" applyNumberFormat="1" applyFont="1" applyFill="1" applyBorder="1" applyAlignment="1">
      <alignment vertical="center"/>
    </xf>
    <xf numFmtId="202" fontId="43" fillId="0" borderId="55" xfId="0" applyNumberFormat="1" applyFont="1" applyFill="1" applyBorder="1" applyAlignment="1">
      <alignment vertical="center"/>
    </xf>
    <xf numFmtId="177" fontId="6" fillId="0" borderId="23" xfId="0" applyNumberFormat="1" applyFont="1" applyFill="1" applyBorder="1" applyAlignment="1">
      <alignment vertical="center"/>
    </xf>
    <xf numFmtId="177" fontId="6" fillId="0" borderId="43" xfId="0" applyNumberFormat="1" applyFont="1" applyFill="1" applyBorder="1" applyAlignment="1">
      <alignment vertical="center"/>
    </xf>
    <xf numFmtId="2" fontId="43" fillId="0" borderId="20" xfId="0" applyNumberFormat="1" applyFont="1" applyFill="1" applyBorder="1" applyAlignment="1">
      <alignment vertical="center"/>
    </xf>
    <xf numFmtId="2" fontId="43" fillId="0" borderId="23" xfId="0" applyNumberFormat="1" applyFont="1" applyFill="1" applyBorder="1" applyAlignment="1">
      <alignment vertical="center"/>
    </xf>
    <xf numFmtId="2" fontId="43" fillId="0" borderId="43" xfId="0" applyNumberFormat="1" applyFont="1" applyFill="1" applyBorder="1" applyAlignment="1">
      <alignment vertical="center"/>
    </xf>
    <xf numFmtId="184" fontId="43" fillId="0" borderId="33" xfId="0" applyNumberFormat="1" applyFont="1" applyFill="1" applyBorder="1" applyAlignment="1">
      <alignment vertical="center"/>
    </xf>
    <xf numFmtId="184" fontId="43" fillId="0" borderId="25" xfId="0" applyNumberFormat="1" applyFont="1" applyFill="1" applyBorder="1" applyAlignment="1">
      <alignment vertical="center"/>
    </xf>
    <xf numFmtId="184" fontId="43" fillId="0" borderId="55" xfId="0" applyNumberFormat="1" applyFont="1" applyFill="1" applyBorder="1" applyAlignment="1">
      <alignment vertical="center"/>
    </xf>
    <xf numFmtId="0" fontId="6" fillId="0" borderId="6" xfId="0" quotePrefix="1" applyFont="1" applyBorder="1">
      <alignment vertical="center"/>
    </xf>
    <xf numFmtId="0" fontId="6" fillId="0" borderId="13" xfId="0" applyFont="1" applyBorder="1" applyAlignment="1">
      <alignment vertical="center"/>
    </xf>
    <xf numFmtId="177" fontId="6" fillId="0" borderId="25" xfId="0" applyNumberFormat="1" applyFont="1" applyBorder="1" applyAlignment="1">
      <alignment vertical="center"/>
    </xf>
    <xf numFmtId="0" fontId="6" fillId="0" borderId="24" xfId="0" applyFont="1" applyBorder="1" applyAlignment="1">
      <alignment vertical="center"/>
    </xf>
    <xf numFmtId="0" fontId="6" fillId="0" borderId="42" xfId="0" applyFont="1" applyBorder="1" applyAlignment="1">
      <alignment vertical="center"/>
    </xf>
    <xf numFmtId="0" fontId="6" fillId="0" borderId="55" xfId="0" applyFont="1" applyBorder="1" applyAlignment="1">
      <alignment vertical="center"/>
    </xf>
    <xf numFmtId="177" fontId="6" fillId="0" borderId="55" xfId="0" applyNumberFormat="1" applyFont="1" applyBorder="1" applyAlignment="1">
      <alignment vertical="center"/>
    </xf>
    <xf numFmtId="0" fontId="6" fillId="0" borderId="77" xfId="0" applyFont="1" applyBorder="1" applyAlignment="1">
      <alignment vertical="center"/>
    </xf>
    <xf numFmtId="0" fontId="77" fillId="0" borderId="13" xfId="0" applyFont="1" applyBorder="1" applyAlignment="1">
      <alignment vertical="center"/>
    </xf>
    <xf numFmtId="177" fontId="77" fillId="0" borderId="25" xfId="0" applyNumberFormat="1" applyFont="1" applyBorder="1" applyAlignment="1">
      <alignment vertical="center"/>
    </xf>
    <xf numFmtId="177" fontId="77" fillId="0" borderId="24" xfId="0" applyNumberFormat="1" applyFont="1" applyBorder="1" applyAlignment="1">
      <alignment vertical="center"/>
    </xf>
    <xf numFmtId="0" fontId="77" fillId="0" borderId="42" xfId="0" applyFont="1" applyBorder="1" applyAlignment="1">
      <alignment vertical="center"/>
    </xf>
    <xf numFmtId="177" fontId="77" fillId="0" borderId="55" xfId="0" applyNumberFormat="1" applyFont="1" applyBorder="1" applyAlignment="1">
      <alignment vertical="center"/>
    </xf>
    <xf numFmtId="177" fontId="77" fillId="0" borderId="77" xfId="0" applyNumberFormat="1" applyFont="1" applyBorder="1" applyAlignment="1">
      <alignment vertical="center"/>
    </xf>
    <xf numFmtId="0" fontId="43" fillId="0" borderId="13" xfId="0" applyFont="1" applyBorder="1" applyAlignment="1">
      <alignment vertical="center"/>
    </xf>
    <xf numFmtId="198" fontId="43" fillId="0" borderId="25" xfId="0" applyNumberFormat="1" applyFont="1" applyBorder="1" applyAlignment="1">
      <alignment vertical="center"/>
    </xf>
    <xf numFmtId="177" fontId="43" fillId="0" borderId="25" xfId="0" applyNumberFormat="1" applyFont="1" applyBorder="1" applyAlignment="1">
      <alignment vertical="center"/>
    </xf>
    <xf numFmtId="9" fontId="43" fillId="0" borderId="24" xfId="0" applyNumberFormat="1" applyFont="1" applyBorder="1">
      <alignment vertical="center"/>
    </xf>
    <xf numFmtId="0" fontId="43" fillId="0" borderId="42" xfId="0" applyFont="1" applyBorder="1" applyAlignment="1">
      <alignment vertical="center"/>
    </xf>
    <xf numFmtId="198" fontId="43" fillId="0" borderId="55" xfId="0" applyNumberFormat="1" applyFont="1" applyBorder="1" applyAlignment="1">
      <alignment vertical="center"/>
    </xf>
    <xf numFmtId="177" fontId="43" fillId="0" borderId="55" xfId="0" applyNumberFormat="1" applyFont="1" applyBorder="1" applyAlignment="1">
      <alignment vertical="center"/>
    </xf>
    <xf numFmtId="9" fontId="43" fillId="0" borderId="77" xfId="0" applyNumberFormat="1" applyFont="1" applyBorder="1">
      <alignment vertical="center"/>
    </xf>
    <xf numFmtId="1" fontId="6" fillId="0" borderId="33" xfId="0" applyNumberFormat="1" applyFont="1" applyFill="1" applyBorder="1" applyAlignment="1">
      <alignment horizontal="center" vertical="center"/>
    </xf>
    <xf numFmtId="2" fontId="43" fillId="0" borderId="25" xfId="0" applyNumberFormat="1" applyFont="1" applyFill="1" applyBorder="1" applyAlignment="1">
      <alignment vertical="center"/>
    </xf>
    <xf numFmtId="1" fontId="6" fillId="0" borderId="25" xfId="0" applyNumberFormat="1" applyFont="1" applyFill="1" applyBorder="1" applyAlignment="1">
      <alignment horizontal="center" vertical="center"/>
    </xf>
    <xf numFmtId="177" fontId="8" fillId="0" borderId="24" xfId="0" applyNumberFormat="1" applyFont="1" applyFill="1" applyBorder="1" applyAlignment="1">
      <alignment vertical="center"/>
    </xf>
    <xf numFmtId="2" fontId="43" fillId="0" borderId="55" xfId="0" applyNumberFormat="1" applyFont="1" applyFill="1" applyBorder="1" applyAlignment="1">
      <alignment vertical="center"/>
    </xf>
    <xf numFmtId="1" fontId="6" fillId="0" borderId="55" xfId="0" applyNumberFormat="1" applyFont="1" applyFill="1" applyBorder="1" applyAlignment="1">
      <alignment horizontal="center" vertical="center"/>
    </xf>
    <xf numFmtId="177" fontId="8" fillId="0" borderId="77" xfId="0" applyNumberFormat="1" applyFont="1" applyFill="1" applyBorder="1" applyAlignment="1">
      <alignment vertical="center"/>
    </xf>
    <xf numFmtId="0" fontId="43" fillId="0" borderId="13" xfId="0" applyFont="1" applyFill="1" applyBorder="1" applyAlignment="1">
      <alignment vertical="center"/>
    </xf>
    <xf numFmtId="177" fontId="43" fillId="0" borderId="25" xfId="0" applyNumberFormat="1" applyFont="1" applyFill="1" applyBorder="1" applyAlignment="1">
      <alignment vertical="center"/>
    </xf>
    <xf numFmtId="177" fontId="78" fillId="0" borderId="23" xfId="0" applyNumberFormat="1" applyFont="1" applyFill="1" applyBorder="1" applyAlignment="1">
      <alignment vertical="center"/>
    </xf>
    <xf numFmtId="177" fontId="78" fillId="0" borderId="24" xfId="0" applyNumberFormat="1" applyFont="1" applyFill="1" applyBorder="1" applyAlignment="1">
      <alignment vertical="center"/>
    </xf>
    <xf numFmtId="0" fontId="43" fillId="0" borderId="42" xfId="0" applyFont="1" applyFill="1" applyBorder="1" applyAlignment="1">
      <alignment vertical="center"/>
    </xf>
    <xf numFmtId="177" fontId="43" fillId="0" borderId="55" xfId="0" applyNumberFormat="1" applyFont="1" applyFill="1" applyBorder="1" applyAlignment="1">
      <alignment vertical="center"/>
    </xf>
    <xf numFmtId="177" fontId="78" fillId="0" borderId="43" xfId="0" applyNumberFormat="1" applyFont="1" applyFill="1" applyBorder="1" applyAlignment="1">
      <alignment vertical="center"/>
    </xf>
    <xf numFmtId="177" fontId="78" fillId="0" borderId="77" xfId="0" applyNumberFormat="1" applyFont="1" applyFill="1" applyBorder="1" applyAlignment="1">
      <alignment vertical="center"/>
    </xf>
    <xf numFmtId="202" fontId="77" fillId="0" borderId="25" xfId="0" applyNumberFormat="1" applyFont="1" applyFill="1" applyBorder="1" applyAlignment="1">
      <alignment vertical="center"/>
    </xf>
    <xf numFmtId="202" fontId="77" fillId="0" borderId="24" xfId="0" applyNumberFormat="1" applyFont="1" applyFill="1" applyBorder="1" applyAlignment="1">
      <alignment vertical="center"/>
    </xf>
    <xf numFmtId="202" fontId="77" fillId="0" borderId="55" xfId="0" applyNumberFormat="1" applyFont="1" applyFill="1" applyBorder="1" applyAlignment="1">
      <alignment vertical="center"/>
    </xf>
    <xf numFmtId="202" fontId="77" fillId="0" borderId="77" xfId="0" applyNumberFormat="1" applyFont="1" applyFill="1" applyBorder="1" applyAlignment="1">
      <alignment vertical="center"/>
    </xf>
    <xf numFmtId="177" fontId="43" fillId="0" borderId="20" xfId="0" applyNumberFormat="1" applyFont="1" applyFill="1" applyBorder="1" applyAlignment="1">
      <alignment vertical="center"/>
    </xf>
    <xf numFmtId="177" fontId="43" fillId="0" borderId="23" xfId="0" applyNumberFormat="1" applyFont="1" applyFill="1" applyBorder="1" applyAlignment="1">
      <alignment vertical="center"/>
    </xf>
    <xf numFmtId="1" fontId="6" fillId="0" borderId="23" xfId="0" applyNumberFormat="1" applyFont="1" applyFill="1" applyBorder="1" applyAlignment="1">
      <alignment vertical="center"/>
    </xf>
    <xf numFmtId="177" fontId="43" fillId="0" borderId="43" xfId="0" applyNumberFormat="1" applyFont="1" applyFill="1" applyBorder="1" applyAlignment="1">
      <alignment vertical="center"/>
    </xf>
    <xf numFmtId="1" fontId="6" fillId="0" borderId="24" xfId="0" applyNumberFormat="1" applyFont="1" applyFill="1" applyBorder="1" applyAlignment="1">
      <alignment vertical="center"/>
    </xf>
    <xf numFmtId="1" fontId="6" fillId="0" borderId="77" xfId="0" applyNumberFormat="1" applyFont="1" applyFill="1" applyBorder="1" applyAlignment="1">
      <alignment vertical="center"/>
    </xf>
    <xf numFmtId="0" fontId="6" fillId="0" borderId="93" xfId="0" applyFont="1" applyBorder="1" applyAlignment="1">
      <alignment vertical="center"/>
    </xf>
    <xf numFmtId="1" fontId="6" fillId="0" borderId="25" xfId="0" applyNumberFormat="1" applyFont="1" applyFill="1" applyBorder="1" applyAlignment="1">
      <alignment vertical="center"/>
    </xf>
    <xf numFmtId="177" fontId="8" fillId="0" borderId="23" xfId="0" applyNumberFormat="1" applyFont="1" applyFill="1" applyBorder="1" applyAlignment="1">
      <alignment vertical="center"/>
    </xf>
    <xf numFmtId="1" fontId="6" fillId="0" borderId="55" xfId="0" applyNumberFormat="1" applyFont="1" applyFill="1" applyBorder="1" applyAlignment="1">
      <alignment vertical="center"/>
    </xf>
    <xf numFmtId="177" fontId="8" fillId="0" borderId="43" xfId="0" applyNumberFormat="1" applyFont="1" applyFill="1" applyBorder="1" applyAlignment="1">
      <alignment vertical="center"/>
    </xf>
    <xf numFmtId="177" fontId="6" fillId="0" borderId="2" xfId="0" applyNumberFormat="1" applyFont="1" applyFill="1" applyBorder="1" applyAlignment="1">
      <alignment vertical="center"/>
    </xf>
    <xf numFmtId="177" fontId="6" fillId="0" borderId="24" xfId="0" applyNumberFormat="1" applyFont="1" applyFill="1" applyBorder="1" applyAlignment="1">
      <alignment vertical="center"/>
    </xf>
    <xf numFmtId="177" fontId="6" fillId="0" borderId="6" xfId="0" applyNumberFormat="1" applyFont="1" applyFill="1" applyBorder="1" applyAlignment="1">
      <alignment vertical="center"/>
    </xf>
    <xf numFmtId="177" fontId="6" fillId="0" borderId="77" xfId="0" applyNumberFormat="1" applyFont="1" applyFill="1" applyBorder="1" applyAlignment="1">
      <alignment vertical="center"/>
    </xf>
    <xf numFmtId="2" fontId="6" fillId="0" borderId="28" xfId="0" applyNumberFormat="1" applyFont="1" applyBorder="1" applyAlignment="1">
      <alignment vertical="center"/>
    </xf>
    <xf numFmtId="0" fontId="8" fillId="0" borderId="25" xfId="0" applyFont="1" applyBorder="1" applyAlignment="1">
      <alignment vertical="center"/>
    </xf>
    <xf numFmtId="0" fontId="8" fillId="0" borderId="24" xfId="0" applyFont="1" applyBorder="1" applyAlignment="1">
      <alignment vertical="center"/>
    </xf>
    <xf numFmtId="2" fontId="6" fillId="0" borderId="74" xfId="0" applyNumberFormat="1" applyFont="1" applyBorder="1" applyAlignment="1">
      <alignment vertical="center"/>
    </xf>
    <xf numFmtId="0" fontId="8" fillId="0" borderId="55" xfId="0" applyFont="1" applyBorder="1" applyAlignment="1">
      <alignment vertical="center"/>
    </xf>
    <xf numFmtId="0" fontId="8" fillId="0" borderId="77" xfId="0" applyFont="1" applyBorder="1" applyAlignment="1">
      <alignment vertical="center"/>
    </xf>
    <xf numFmtId="177" fontId="6" fillId="0" borderId="43" xfId="0" applyNumberFormat="1" applyFont="1" applyBorder="1" applyAlignment="1">
      <alignment vertical="center"/>
    </xf>
    <xf numFmtId="2" fontId="6" fillId="0" borderId="23" xfId="0" applyNumberFormat="1" applyFont="1" applyBorder="1" applyAlignment="1">
      <alignment vertical="center"/>
    </xf>
    <xf numFmtId="1" fontId="8" fillId="0" borderId="24" xfId="0" applyNumberFormat="1" applyFont="1" applyBorder="1" applyAlignment="1">
      <alignment vertical="center"/>
    </xf>
    <xf numFmtId="2" fontId="6" fillId="0" borderId="43" xfId="0" applyNumberFormat="1" applyFont="1" applyBorder="1" applyAlignment="1">
      <alignment vertical="center"/>
    </xf>
    <xf numFmtId="1" fontId="8" fillId="0" borderId="77" xfId="0" applyNumberFormat="1" applyFont="1" applyBorder="1" applyAlignment="1">
      <alignment vertical="center"/>
    </xf>
    <xf numFmtId="202" fontId="77" fillId="0" borderId="25" xfId="0" applyNumberFormat="1" applyFont="1" applyBorder="1" applyAlignment="1">
      <alignment vertical="center"/>
    </xf>
    <xf numFmtId="2" fontId="8" fillId="0" borderId="24" xfId="0" applyNumberFormat="1" applyFont="1" applyBorder="1" applyAlignment="1">
      <alignment vertical="center"/>
    </xf>
    <xf numFmtId="202" fontId="77" fillId="0" borderId="55" xfId="0" applyNumberFormat="1" applyFont="1" applyBorder="1" applyAlignment="1">
      <alignment vertical="center"/>
    </xf>
    <xf numFmtId="2" fontId="8" fillId="0" borderId="77" xfId="0" applyNumberFormat="1" applyFont="1" applyBorder="1" applyAlignment="1">
      <alignment vertical="center"/>
    </xf>
    <xf numFmtId="2" fontId="8" fillId="0" borderId="25" xfId="0" applyNumberFormat="1" applyFont="1" applyBorder="1" applyAlignment="1">
      <alignment vertical="center"/>
    </xf>
    <xf numFmtId="2" fontId="8" fillId="0" borderId="2" xfId="0" applyNumberFormat="1" applyFont="1" applyBorder="1" applyAlignment="1">
      <alignment vertical="center"/>
    </xf>
    <xf numFmtId="2" fontId="8" fillId="0" borderId="14" xfId="0" applyNumberFormat="1" applyFont="1" applyBorder="1" applyAlignment="1">
      <alignment vertical="center"/>
    </xf>
    <xf numFmtId="0" fontId="81" fillId="0" borderId="0" xfId="0" applyFont="1">
      <alignment vertical="center"/>
    </xf>
    <xf numFmtId="0" fontId="82" fillId="0" borderId="0" xfId="0" applyFont="1">
      <alignment vertical="center"/>
    </xf>
    <xf numFmtId="0" fontId="83" fillId="0" borderId="0" xfId="0" applyFo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30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82" xfId="0" applyFont="1" applyBorder="1" applyAlignment="1">
      <alignment vertical="center"/>
    </xf>
    <xf numFmtId="0" fontId="6" fillId="3" borderId="25" xfId="0" applyFont="1" applyFill="1" applyBorder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17" fillId="6" borderId="0" xfId="0" applyFont="1" applyFill="1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5" fillId="0" borderId="131" xfId="38" applyFont="1" applyFill="1" applyBorder="1" applyAlignment="1">
      <alignment wrapText="1"/>
    </xf>
    <xf numFmtId="11" fontId="5" fillId="0" borderId="131" xfId="38" applyNumberFormat="1" applyFont="1" applyFill="1" applyBorder="1" applyAlignment="1">
      <alignment horizontal="right" wrapText="1"/>
    </xf>
    <xf numFmtId="2" fontId="5" fillId="0" borderId="131" xfId="38" applyNumberFormat="1" applyFont="1" applyFill="1" applyBorder="1" applyAlignment="1">
      <alignment horizontal="right" wrapText="1"/>
    </xf>
    <xf numFmtId="203" fontId="0" fillId="0" borderId="0" xfId="0" applyNumberFormat="1">
      <alignment vertical="center"/>
    </xf>
    <xf numFmtId="0" fontId="6" fillId="0" borderId="0" xfId="0" applyFont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10" fillId="2" borderId="147" xfId="0" applyFont="1" applyFill="1" applyBorder="1">
      <alignment vertical="center"/>
    </xf>
    <xf numFmtId="0" fontId="6" fillId="0" borderId="2" xfId="0" applyFont="1" applyFill="1" applyBorder="1" applyAlignment="1">
      <alignment vertical="center"/>
    </xf>
    <xf numFmtId="0" fontId="66" fillId="0" borderId="0" xfId="0" applyFont="1">
      <alignment vertical="center"/>
    </xf>
    <xf numFmtId="0" fontId="66" fillId="3" borderId="22" xfId="0" applyFont="1" applyFill="1" applyBorder="1" applyAlignment="1">
      <alignment horizontal="center" vertical="center"/>
    </xf>
    <xf numFmtId="0" fontId="6" fillId="0" borderId="40" xfId="0" applyFont="1" applyFill="1" applyBorder="1" applyAlignment="1">
      <alignment vertical="center"/>
    </xf>
    <xf numFmtId="0" fontId="67" fillId="0" borderId="146" xfId="0" applyFont="1" applyFill="1" applyBorder="1">
      <alignment vertical="center"/>
    </xf>
    <xf numFmtId="0" fontId="24" fillId="0" borderId="0" xfId="0" applyFont="1" applyBorder="1" applyAlignment="1">
      <alignment vertical="center"/>
    </xf>
    <xf numFmtId="0" fontId="19" fillId="3" borderId="0" xfId="0" applyFont="1" applyFill="1" applyAlignment="1">
      <alignment horizontal="left" vertical="center"/>
    </xf>
    <xf numFmtId="0" fontId="6" fillId="0" borderId="10" xfId="0" applyFont="1" applyBorder="1">
      <alignment vertical="center"/>
    </xf>
    <xf numFmtId="0" fontId="6" fillId="0" borderId="11" xfId="0" applyFont="1" applyBorder="1" applyAlignment="1">
      <alignment horizontal="right" vertical="center"/>
    </xf>
    <xf numFmtId="0" fontId="6" fillId="0" borderId="11" xfId="0" quotePrefix="1" applyFont="1" applyBorder="1" applyAlignment="1">
      <alignment horizontal="right" vertical="center"/>
    </xf>
    <xf numFmtId="0" fontId="6" fillId="0" borderId="12" xfId="0" quotePrefix="1" applyFont="1" applyBorder="1" applyAlignment="1">
      <alignment horizontal="right" vertical="center"/>
    </xf>
    <xf numFmtId="0" fontId="6" fillId="0" borderId="16" xfId="0" applyFont="1" applyBorder="1">
      <alignment vertical="center"/>
    </xf>
    <xf numFmtId="204" fontId="6" fillId="0" borderId="0" xfId="0" applyNumberFormat="1" applyFont="1">
      <alignment vertical="center"/>
    </xf>
    <xf numFmtId="203" fontId="0" fillId="0" borderId="0" xfId="0" applyNumberFormat="1" applyFont="1">
      <alignment vertical="center"/>
    </xf>
    <xf numFmtId="0" fontId="0" fillId="0" borderId="0" xfId="0" applyNumberFormat="1" applyFont="1">
      <alignment vertical="center"/>
    </xf>
    <xf numFmtId="192" fontId="0" fillId="0" borderId="0" xfId="0" applyNumberFormat="1">
      <alignment vertical="center"/>
    </xf>
    <xf numFmtId="205" fontId="0" fillId="0" borderId="0" xfId="0" applyNumberFormat="1">
      <alignment vertical="center"/>
    </xf>
    <xf numFmtId="206" fontId="0" fillId="0" borderId="0" xfId="0" applyNumberFormat="1">
      <alignment vertical="center"/>
    </xf>
    <xf numFmtId="207" fontId="0" fillId="0" borderId="0" xfId="0" applyNumberFormat="1">
      <alignment vertical="center"/>
    </xf>
    <xf numFmtId="0" fontId="19" fillId="3" borderId="0" xfId="0" applyFont="1" applyFill="1" applyBorder="1" applyAlignment="1">
      <alignment horizontal="center" vertical="center"/>
    </xf>
    <xf numFmtId="205" fontId="0" fillId="0" borderId="0" xfId="0" applyNumberFormat="1" applyFill="1">
      <alignment vertical="center"/>
    </xf>
    <xf numFmtId="192" fontId="0" fillId="0" borderId="0" xfId="0" applyNumberFormat="1" applyFill="1">
      <alignment vertical="center"/>
    </xf>
    <xf numFmtId="0" fontId="0" fillId="0" borderId="0" xfId="0" quotePrefix="1" applyFill="1" applyBorder="1">
      <alignment vertical="center"/>
    </xf>
    <xf numFmtId="0" fontId="86" fillId="0" borderId="0" xfId="0" applyFont="1">
      <alignment vertical="center"/>
    </xf>
    <xf numFmtId="0" fontId="87" fillId="0" borderId="0" xfId="0" applyFont="1">
      <alignment vertical="center"/>
    </xf>
    <xf numFmtId="0" fontId="88" fillId="8" borderId="148" xfId="0" applyFont="1" applyFill="1" applyBorder="1" applyAlignment="1">
      <alignment horizontal="center" vertical="center"/>
    </xf>
    <xf numFmtId="0" fontId="88" fillId="8" borderId="149" xfId="0" applyFont="1" applyFill="1" applyBorder="1" applyAlignment="1">
      <alignment horizontal="center" vertical="center"/>
    </xf>
    <xf numFmtId="0" fontId="88" fillId="8" borderId="153" xfId="0" applyFont="1" applyFill="1" applyBorder="1" applyAlignment="1">
      <alignment horizontal="center" vertical="center"/>
    </xf>
    <xf numFmtId="0" fontId="88" fillId="8" borderId="154" xfId="0" applyFont="1" applyFill="1" applyBorder="1" applyAlignment="1">
      <alignment horizontal="center" vertical="center"/>
    </xf>
    <xf numFmtId="0" fontId="88" fillId="8" borderId="155" xfId="0" applyFont="1" applyFill="1" applyBorder="1" applyAlignment="1">
      <alignment horizontal="center" vertical="center"/>
    </xf>
    <xf numFmtId="0" fontId="88" fillId="8" borderId="158" xfId="0" applyFont="1" applyFill="1" applyBorder="1" applyAlignment="1">
      <alignment horizontal="center" vertical="center"/>
    </xf>
    <xf numFmtId="0" fontId="88" fillId="8" borderId="159" xfId="0" applyFont="1" applyFill="1" applyBorder="1" applyAlignment="1">
      <alignment horizontal="center" vertical="center"/>
    </xf>
    <xf numFmtId="0" fontId="88" fillId="8" borderId="160" xfId="0" applyFont="1" applyFill="1" applyBorder="1" applyAlignment="1">
      <alignment horizontal="center" vertical="center"/>
    </xf>
    <xf numFmtId="0" fontId="88" fillId="8" borderId="161" xfId="0" applyFont="1" applyFill="1" applyBorder="1" applyAlignment="1">
      <alignment horizontal="center" vertical="center"/>
    </xf>
    <xf numFmtId="0" fontId="88" fillId="8" borderId="162" xfId="0" applyFont="1" applyFill="1" applyBorder="1" applyAlignment="1">
      <alignment horizontal="center" vertical="center"/>
    </xf>
    <xf numFmtId="0" fontId="88" fillId="8" borderId="163" xfId="0" applyFont="1" applyFill="1" applyBorder="1" applyAlignment="1">
      <alignment horizontal="center" vertical="center"/>
    </xf>
    <xf numFmtId="0" fontId="88" fillId="9" borderId="164" xfId="0" applyFont="1" applyFill="1" applyBorder="1" applyAlignment="1">
      <alignment horizontal="center" vertical="center"/>
    </xf>
    <xf numFmtId="0" fontId="88" fillId="8" borderId="166" xfId="0" applyFont="1" applyFill="1" applyBorder="1" applyAlignment="1">
      <alignment horizontal="center" vertical="center"/>
    </xf>
    <xf numFmtId="0" fontId="88" fillId="9" borderId="162" xfId="0" applyFont="1" applyFill="1" applyBorder="1" applyAlignment="1">
      <alignment horizontal="center" vertical="center"/>
    </xf>
    <xf numFmtId="0" fontId="88" fillId="8" borderId="167" xfId="0" applyFont="1" applyFill="1" applyBorder="1" applyAlignment="1">
      <alignment horizontal="center" vertical="center"/>
    </xf>
    <xf numFmtId="0" fontId="88" fillId="9" borderId="168" xfId="0" applyFont="1" applyFill="1" applyBorder="1" applyAlignment="1">
      <alignment horizontal="center" vertical="center"/>
    </xf>
    <xf numFmtId="0" fontId="88" fillId="9" borderId="169" xfId="0" applyFont="1" applyFill="1" applyBorder="1" applyAlignment="1">
      <alignment horizontal="center" vertical="center"/>
    </xf>
    <xf numFmtId="0" fontId="88" fillId="9" borderId="172" xfId="0" applyFont="1" applyFill="1" applyBorder="1" applyAlignment="1">
      <alignment horizontal="center" vertical="center"/>
    </xf>
    <xf numFmtId="0" fontId="88" fillId="9" borderId="173" xfId="0" applyFont="1" applyFill="1" applyBorder="1" applyAlignment="1">
      <alignment horizontal="center" vertical="center"/>
    </xf>
    <xf numFmtId="0" fontId="88" fillId="9" borderId="155" xfId="0" applyFont="1" applyFill="1" applyBorder="1" applyAlignment="1">
      <alignment horizontal="center" vertical="center"/>
    </xf>
    <xf numFmtId="0" fontId="17" fillId="4" borderId="0" xfId="0" quotePrefix="1" applyFont="1" applyFill="1" applyAlignment="1">
      <alignment horizontal="left" vertical="center"/>
    </xf>
    <xf numFmtId="0" fontId="17" fillId="4" borderId="0" xfId="0" applyFont="1" applyFill="1" applyBorder="1">
      <alignment vertical="center"/>
    </xf>
    <xf numFmtId="0" fontId="0" fillId="4" borderId="0" xfId="0" quotePrefix="1" applyFill="1" applyBorder="1">
      <alignment vertical="center"/>
    </xf>
    <xf numFmtId="0" fontId="19" fillId="3" borderId="0" xfId="0" applyFont="1" applyFill="1" applyBorder="1" applyAlignment="1">
      <alignment horizontal="center" vertical="center"/>
    </xf>
    <xf numFmtId="202" fontId="0" fillId="0" borderId="0" xfId="0" applyNumberFormat="1">
      <alignment vertical="center"/>
    </xf>
    <xf numFmtId="208" fontId="0" fillId="0" borderId="0" xfId="0" applyNumberFormat="1">
      <alignment vertical="center"/>
    </xf>
    <xf numFmtId="179" fontId="6" fillId="0" borderId="0" xfId="0" applyNumberFormat="1" applyFont="1" applyFill="1">
      <alignment vertical="center"/>
    </xf>
    <xf numFmtId="209" fontId="6" fillId="0" borderId="0" xfId="0" applyNumberFormat="1" applyFont="1" applyFill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25" fillId="10" borderId="0" xfId="0" quotePrefix="1" applyFont="1" applyFill="1">
      <alignment vertical="center"/>
    </xf>
    <xf numFmtId="0" fontId="90" fillId="10" borderId="0" xfId="0" applyFont="1" applyFill="1" applyAlignment="1">
      <alignment horizontal="center" vertical="center"/>
    </xf>
    <xf numFmtId="0" fontId="91" fillId="11" borderId="0" xfId="0" applyFont="1" applyFill="1" applyAlignment="1">
      <alignment horizontal="left" vertical="center"/>
    </xf>
    <xf numFmtId="0" fontId="6" fillId="11" borderId="0" xfId="0" applyFont="1" applyFill="1">
      <alignment vertical="center"/>
    </xf>
    <xf numFmtId="0" fontId="92" fillId="0" borderId="0" xfId="0" quotePrefix="1" applyFont="1">
      <alignment vertical="center"/>
    </xf>
    <xf numFmtId="0" fontId="6" fillId="0" borderId="0" xfId="0" quotePrefix="1" applyFont="1" applyBorder="1" applyAlignment="1">
      <alignment horizontal="right" vertical="center"/>
    </xf>
    <xf numFmtId="2" fontId="79" fillId="0" borderId="33" xfId="0" applyNumberFormat="1" applyFont="1" applyFill="1" applyBorder="1" applyAlignment="1">
      <alignment vertical="center"/>
    </xf>
    <xf numFmtId="177" fontId="6" fillId="0" borderId="0" xfId="0" applyNumberFormat="1" applyFont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2" xfId="0" quotePrefix="1" applyFont="1" applyFill="1" applyBorder="1" applyAlignment="1">
      <alignment horizontal="center" vertical="center"/>
    </xf>
    <xf numFmtId="179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right" vertical="center"/>
    </xf>
    <xf numFmtId="2" fontId="6" fillId="0" borderId="0" xfId="0" applyNumberFormat="1" applyFont="1" applyBorder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6" fillId="0" borderId="0" xfId="0" quotePrefix="1" applyNumberFormat="1" applyFont="1" applyAlignment="1">
      <alignment horizontal="center" vertical="center"/>
    </xf>
    <xf numFmtId="2" fontId="6" fillId="0" borderId="0" xfId="0" quotePrefix="1" applyNumberFormat="1" applyFont="1" applyAlignment="1">
      <alignment horizontal="right" vertical="center"/>
    </xf>
    <xf numFmtId="2" fontId="7" fillId="0" borderId="0" xfId="0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202" fontId="7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2" xfId="0" quotePrefix="1" applyFont="1" applyBorder="1" applyAlignment="1">
      <alignment horizontal="center" vertical="center"/>
    </xf>
    <xf numFmtId="41" fontId="6" fillId="0" borderId="0" xfId="12" quotePrefix="1" applyFont="1" applyAlignment="1">
      <alignment vertical="center"/>
    </xf>
    <xf numFmtId="0" fontId="10" fillId="0" borderId="0" xfId="0" quotePrefix="1" applyFont="1" applyFill="1" applyBorder="1">
      <alignment vertical="center"/>
    </xf>
    <xf numFmtId="0" fontId="10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6" fillId="3" borderId="81" xfId="0" applyFont="1" applyFill="1" applyBorder="1">
      <alignment vertical="center"/>
    </xf>
    <xf numFmtId="0" fontId="6" fillId="0" borderId="176" xfId="0" applyFont="1" applyBorder="1">
      <alignment vertical="center"/>
    </xf>
    <xf numFmtId="0" fontId="6" fillId="0" borderId="0" xfId="0" applyFont="1" applyFill="1" applyAlignment="1">
      <alignment vertical="center"/>
    </xf>
    <xf numFmtId="0" fontId="6" fillId="0" borderId="0" xfId="12" applyNumberFormat="1" applyFont="1" applyAlignment="1">
      <alignment vertical="center"/>
    </xf>
    <xf numFmtId="0" fontId="6" fillId="0" borderId="2" xfId="0" quotePrefix="1" applyFont="1" applyFill="1" applyBorder="1">
      <alignment vertical="center"/>
    </xf>
    <xf numFmtId="0" fontId="6" fillId="0" borderId="27" xfId="0" quotePrefix="1" applyFont="1" applyBorder="1">
      <alignment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Fill="1" applyAlignment="1">
      <alignment horizontal="center" vertical="center"/>
    </xf>
    <xf numFmtId="0" fontId="6" fillId="0" borderId="0" xfId="0" quotePrefix="1" applyFont="1" applyFill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202" fontId="6" fillId="0" borderId="0" xfId="0" applyNumberFormat="1" applyFont="1" applyAlignment="1">
      <alignment horizontal="center" vertical="center"/>
    </xf>
    <xf numFmtId="0" fontId="6" fillId="0" borderId="96" xfId="0" applyFont="1" applyBorder="1">
      <alignment vertical="center"/>
    </xf>
    <xf numFmtId="0" fontId="6" fillId="0" borderId="9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quotePrefix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/>
    </xf>
    <xf numFmtId="179" fontId="6" fillId="0" borderId="0" xfId="0" applyNumberFormat="1" applyFont="1" applyFill="1" applyBorder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0" borderId="0" xfId="0" quotePrefix="1" applyFont="1" applyFill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2" fontId="6" fillId="0" borderId="0" xfId="0" applyNumberFormat="1" applyFont="1" applyAlignment="1">
      <alignment vertical="center"/>
    </xf>
    <xf numFmtId="0" fontId="10" fillId="2" borderId="177" xfId="0" applyFont="1" applyFill="1" applyBorder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6" fillId="0" borderId="0" xfId="0" quotePrefix="1" applyFont="1" applyFill="1" applyBorder="1" applyAlignment="1">
      <alignment horizontal="center" vertical="center"/>
    </xf>
    <xf numFmtId="0" fontId="94" fillId="0" borderId="0" xfId="0" applyFont="1" applyBorder="1">
      <alignment vertical="center"/>
    </xf>
    <xf numFmtId="43" fontId="6" fillId="0" borderId="0" xfId="0" quotePrefix="1" applyNumberFormat="1" applyFont="1" applyBorder="1" applyAlignment="1">
      <alignment horizontal="left" vertical="center"/>
    </xf>
    <xf numFmtId="0" fontId="95" fillId="0" borderId="0" xfId="0" applyFont="1">
      <alignment vertical="center"/>
    </xf>
    <xf numFmtId="43" fontId="6" fillId="0" borderId="0" xfId="0" applyNumberFormat="1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39" xfId="0" applyFont="1" applyBorder="1" applyAlignment="1">
      <alignment horizontal="left" vertical="center"/>
    </xf>
    <xf numFmtId="0" fontId="6" fillId="0" borderId="40" xfId="0" applyFont="1" applyBorder="1" applyAlignment="1">
      <alignment horizontal="left" vertical="center"/>
    </xf>
    <xf numFmtId="0" fontId="6" fillId="0" borderId="0" xfId="0" quotePrefix="1" applyFont="1" applyFill="1" applyBorder="1" applyAlignment="1">
      <alignment horizontal="left" vertical="center"/>
    </xf>
    <xf numFmtId="0" fontId="6" fillId="0" borderId="0" xfId="0" applyFont="1" applyFill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0" fontId="6" fillId="0" borderId="0" xfId="0" quotePrefix="1" applyFont="1" applyFill="1" applyAlignment="1">
      <alignment horizontal="center" vertical="center"/>
    </xf>
    <xf numFmtId="179" fontId="8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43" fontId="6" fillId="0" borderId="0" xfId="0" applyNumberFormat="1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2" fontId="7" fillId="0" borderId="0" xfId="0" applyNumberFormat="1" applyFont="1" applyBorder="1" applyAlignment="1">
      <alignment vertical="center"/>
    </xf>
    <xf numFmtId="0" fontId="6" fillId="0" borderId="174" xfId="0" applyFont="1" applyBorder="1">
      <alignment vertical="center"/>
    </xf>
    <xf numFmtId="0" fontId="6" fillId="0" borderId="52" xfId="0" applyFont="1" applyFill="1" applyBorder="1">
      <alignment vertical="center"/>
    </xf>
    <xf numFmtId="0" fontId="10" fillId="0" borderId="52" xfId="0" applyFont="1" applyFill="1" applyBorder="1">
      <alignment vertical="center"/>
    </xf>
    <xf numFmtId="0" fontId="6" fillId="0" borderId="52" xfId="0" applyFont="1" applyBorder="1">
      <alignment vertical="center"/>
    </xf>
    <xf numFmtId="0" fontId="6" fillId="0" borderId="52" xfId="0" applyFont="1" applyBorder="1" applyAlignment="1">
      <alignment horizontal="center" vertical="center"/>
    </xf>
    <xf numFmtId="0" fontId="6" fillId="0" borderId="175" xfId="0" applyFont="1" applyBorder="1">
      <alignment vertical="center"/>
    </xf>
    <xf numFmtId="2" fontId="9" fillId="0" borderId="0" xfId="0" applyNumberFormat="1" applyFont="1" applyBorder="1" applyAlignment="1">
      <alignment horizontal="left" vertical="center"/>
    </xf>
    <xf numFmtId="0" fontId="6" fillId="2" borderId="10" xfId="0" applyFont="1" applyFill="1" applyBorder="1" applyAlignment="1">
      <alignment horizontal="left" vertical="center"/>
    </xf>
    <xf numFmtId="0" fontId="10" fillId="2" borderId="11" xfId="0" applyFont="1" applyFill="1" applyBorder="1">
      <alignment vertical="center"/>
    </xf>
    <xf numFmtId="0" fontId="6" fillId="2" borderId="15" xfId="0" quotePrefix="1" applyFont="1" applyFill="1" applyBorder="1">
      <alignment vertical="center"/>
    </xf>
    <xf numFmtId="0" fontId="6" fillId="2" borderId="18" xfId="0" applyFont="1" applyFill="1" applyBorder="1" applyAlignment="1">
      <alignment horizontal="left" vertical="center"/>
    </xf>
    <xf numFmtId="180" fontId="6" fillId="0" borderId="52" xfId="0" applyNumberFormat="1" applyFont="1" applyBorder="1">
      <alignment vertical="center"/>
    </xf>
    <xf numFmtId="0" fontId="6" fillId="0" borderId="52" xfId="0" quotePrefix="1" applyFont="1" applyBorder="1">
      <alignment vertical="center"/>
    </xf>
    <xf numFmtId="0" fontId="6" fillId="0" borderId="52" xfId="0" applyFont="1" applyBorder="1" applyAlignment="1">
      <alignment horizontal="left" vertical="center"/>
    </xf>
    <xf numFmtId="0" fontId="6" fillId="0" borderId="52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0" xfId="0" applyFont="1" applyFill="1" applyAlignment="1">
      <alignment horizontal="left" vertical="center"/>
    </xf>
    <xf numFmtId="179" fontId="6" fillId="0" borderId="0" xfId="0" quotePrefix="1" applyNumberFormat="1" applyFont="1" applyAlignment="1">
      <alignment horizontal="center" vertical="center"/>
    </xf>
    <xf numFmtId="0" fontId="99" fillId="0" borderId="0" xfId="0" applyFont="1" applyBorder="1">
      <alignment vertical="center"/>
    </xf>
    <xf numFmtId="179" fontId="9" fillId="0" borderId="0" xfId="0" applyNumberFormat="1" applyFont="1" applyBorder="1" applyAlignment="1">
      <alignment horizontal="center" vertical="center"/>
    </xf>
    <xf numFmtId="0" fontId="10" fillId="5" borderId="52" xfId="0" applyFont="1" applyFill="1" applyBorder="1">
      <alignment vertical="center"/>
    </xf>
    <xf numFmtId="2" fontId="10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0" fontId="69" fillId="2" borderId="0" xfId="0" applyFont="1" applyFill="1" applyBorder="1">
      <alignment vertical="center"/>
    </xf>
    <xf numFmtId="0" fontId="6" fillId="2" borderId="18" xfId="0" quotePrefix="1" applyFont="1" applyFill="1" applyBorder="1">
      <alignment vertical="center"/>
    </xf>
    <xf numFmtId="0" fontId="6" fillId="2" borderId="18" xfId="0" quotePrefix="1" applyFont="1" applyFill="1" applyBorder="1" applyAlignment="1">
      <alignment horizontal="center" vertical="center"/>
    </xf>
    <xf numFmtId="0" fontId="6" fillId="2" borderId="11" xfId="0" quotePrefix="1" applyFont="1" applyFill="1" applyBorder="1">
      <alignment vertical="center"/>
    </xf>
    <xf numFmtId="0" fontId="6" fillId="2" borderId="11" xfId="0" applyFont="1" applyFill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6" xfId="0" applyFont="1" applyBorder="1" applyAlignment="1">
      <alignment horizontal="center" vertical="center"/>
    </xf>
    <xf numFmtId="0" fontId="6" fillId="0" borderId="39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0" xfId="0" quotePrefix="1" applyFont="1" applyAlignment="1">
      <alignment horizontal="left" vertical="center"/>
    </xf>
    <xf numFmtId="179" fontId="9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left" vertical="center"/>
    </xf>
    <xf numFmtId="179" fontId="6" fillId="0" borderId="0" xfId="0" applyNumberFormat="1" applyFont="1" applyFill="1" applyAlignment="1">
      <alignment horizontal="center" vertical="center"/>
    </xf>
    <xf numFmtId="0" fontId="6" fillId="0" borderId="0" xfId="0" quotePrefix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77" fontId="6" fillId="0" borderId="0" xfId="0" applyNumberFormat="1" applyFont="1" applyFill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2" fontId="6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179" fontId="6" fillId="0" borderId="0" xfId="0" applyNumberFormat="1" applyFont="1" applyBorder="1" applyAlignment="1">
      <alignment horizontal="center" vertical="center"/>
    </xf>
    <xf numFmtId="202" fontId="6" fillId="0" borderId="0" xfId="0" applyNumberFormat="1" applyFont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77" fontId="6" fillId="0" borderId="0" xfId="0" applyNumberFormat="1" applyFont="1" applyBorder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179" fontId="6" fillId="0" borderId="0" xfId="0" applyNumberFormat="1" applyFont="1" applyAlignment="1">
      <alignment horizontal="center" vertical="center"/>
    </xf>
    <xf numFmtId="177" fontId="8" fillId="0" borderId="0" xfId="0" applyNumberFormat="1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77" fontId="6" fillId="0" borderId="0" xfId="0" applyNumberFormat="1" applyFont="1" applyBorder="1" applyAlignment="1">
      <alignment horizontal="left" vertical="center"/>
    </xf>
    <xf numFmtId="0" fontId="6" fillId="0" borderId="0" xfId="0" quotePrefix="1" applyFont="1" applyAlignment="1">
      <alignment vertical="center"/>
    </xf>
    <xf numFmtId="212" fontId="6" fillId="0" borderId="0" xfId="0" quotePrefix="1" applyNumberFormat="1" applyFont="1" applyBorder="1" applyAlignment="1">
      <alignment vertical="center"/>
    </xf>
    <xf numFmtId="1" fontId="6" fillId="0" borderId="178" xfId="0" applyNumberFormat="1" applyFont="1" applyBorder="1" applyAlignment="1">
      <alignment horizontal="center" vertical="center"/>
    </xf>
    <xf numFmtId="212" fontId="6" fillId="0" borderId="178" xfId="0" quotePrefix="1" applyNumberFormat="1" applyFont="1" applyBorder="1" applyAlignment="1">
      <alignment vertical="center"/>
    </xf>
    <xf numFmtId="177" fontId="6" fillId="0" borderId="178" xfId="0" applyNumberFormat="1" applyFont="1" applyBorder="1" applyAlignment="1">
      <alignment horizontal="center" vertical="center"/>
    </xf>
    <xf numFmtId="0" fontId="6" fillId="0" borderId="178" xfId="0" applyFont="1" applyBorder="1" applyAlignment="1">
      <alignment horizontal="center" vertical="center"/>
    </xf>
    <xf numFmtId="0" fontId="6" fillId="0" borderId="178" xfId="0" applyFont="1" applyBorder="1">
      <alignment vertical="center"/>
    </xf>
    <xf numFmtId="0" fontId="6" fillId="0" borderId="178" xfId="0" applyFont="1" applyBorder="1" applyAlignment="1">
      <alignment horizontal="center" vertical="center"/>
    </xf>
    <xf numFmtId="0" fontId="6" fillId="0" borderId="178" xfId="0" quotePrefix="1" applyFont="1" applyBorder="1">
      <alignment vertical="center"/>
    </xf>
    <xf numFmtId="0" fontId="67" fillId="0" borderId="178" xfId="0" applyFont="1" applyBorder="1">
      <alignment vertical="center"/>
    </xf>
    <xf numFmtId="0" fontId="6" fillId="0" borderId="0" xfId="0" applyNumberFormat="1" applyFont="1" applyAlignment="1">
      <alignment vertical="center"/>
    </xf>
    <xf numFmtId="177" fontId="6" fillId="0" borderId="0" xfId="0" applyNumberFormat="1" applyFont="1" applyAlignment="1">
      <alignment vertical="center"/>
    </xf>
    <xf numFmtId="0" fontId="6" fillId="0" borderId="0" xfId="0" quotePrefix="1" applyNumberFormat="1" applyFont="1" applyBorder="1" applyAlignment="1">
      <alignment horizontal="left" vertical="center"/>
    </xf>
    <xf numFmtId="0" fontId="18" fillId="0" borderId="0" xfId="0" applyFont="1" applyFill="1" applyBorder="1" applyAlignment="1">
      <alignment horizontal="left" vertical="center"/>
    </xf>
    <xf numFmtId="2" fontId="6" fillId="0" borderId="0" xfId="0" applyNumberFormat="1" applyFont="1" applyBorder="1" applyAlignment="1">
      <alignment horizontal="left" vertical="center"/>
    </xf>
    <xf numFmtId="1" fontId="6" fillId="0" borderId="0" xfId="0" applyNumberFormat="1" applyFont="1" applyBorder="1" applyAlignment="1">
      <alignment horizontal="left" vertical="center"/>
    </xf>
    <xf numFmtId="43" fontId="6" fillId="0" borderId="40" xfId="0" applyNumberFormat="1" applyFont="1" applyBorder="1" applyAlignment="1">
      <alignment horizontal="center" vertical="center"/>
    </xf>
    <xf numFmtId="43" fontId="6" fillId="0" borderId="40" xfId="0" quotePrefix="1" applyNumberFormat="1" applyFont="1" applyBorder="1" applyAlignment="1">
      <alignment horizontal="left" vertical="center"/>
    </xf>
    <xf numFmtId="0" fontId="10" fillId="0" borderId="40" xfId="0" applyFont="1" applyBorder="1" applyAlignment="1">
      <alignment horizontal="center" vertical="center"/>
    </xf>
    <xf numFmtId="0" fontId="6" fillId="0" borderId="40" xfId="0" applyFont="1" applyFill="1" applyBorder="1" applyAlignment="1">
      <alignment horizontal="center" vertical="center"/>
    </xf>
    <xf numFmtId="0" fontId="18" fillId="0" borderId="40" xfId="0" applyFont="1" applyFill="1" applyBorder="1" applyAlignment="1">
      <alignment horizontal="center" vertical="center"/>
    </xf>
    <xf numFmtId="0" fontId="6" fillId="0" borderId="180" xfId="0" applyFont="1" applyBorder="1">
      <alignment vertical="center"/>
    </xf>
    <xf numFmtId="0" fontId="6" fillId="0" borderId="181" xfId="0" applyFont="1" applyFill="1" applyBorder="1">
      <alignment vertical="center"/>
    </xf>
    <xf numFmtId="0" fontId="6" fillId="0" borderId="182" xfId="0" applyFont="1" applyBorder="1">
      <alignment vertical="center"/>
    </xf>
    <xf numFmtId="0" fontId="6" fillId="0" borderId="50" xfId="0" quotePrefix="1" applyFont="1" applyBorder="1">
      <alignment vertical="center"/>
    </xf>
    <xf numFmtId="0" fontId="18" fillId="0" borderId="50" xfId="0" applyFont="1" applyFill="1" applyBorder="1" applyAlignment="1">
      <alignment horizontal="center" vertical="center"/>
    </xf>
    <xf numFmtId="43" fontId="6" fillId="0" borderId="50" xfId="0" quotePrefix="1" applyNumberFormat="1" applyFont="1" applyBorder="1" applyAlignment="1">
      <alignment horizontal="left" vertical="center"/>
    </xf>
    <xf numFmtId="0" fontId="6" fillId="0" borderId="50" xfId="0" quotePrefix="1" applyFont="1" applyBorder="1" applyAlignment="1">
      <alignment horizontal="left" vertical="center"/>
    </xf>
    <xf numFmtId="0" fontId="10" fillId="0" borderId="50" xfId="0" applyFont="1" applyBorder="1" applyAlignment="1">
      <alignment horizontal="center" vertical="center"/>
    </xf>
    <xf numFmtId="0" fontId="6" fillId="0" borderId="50" xfId="0" applyFont="1" applyFill="1" applyBorder="1" applyAlignment="1">
      <alignment horizontal="center" vertical="center"/>
    </xf>
    <xf numFmtId="0" fontId="6" fillId="0" borderId="183" xfId="0" applyFont="1" applyFill="1" applyBorder="1">
      <alignment vertical="center"/>
    </xf>
    <xf numFmtId="0" fontId="6" fillId="0" borderId="184" xfId="0" applyFont="1" applyBorder="1">
      <alignment vertical="center"/>
    </xf>
    <xf numFmtId="0" fontId="6" fillId="0" borderId="185" xfId="0" applyFont="1" applyBorder="1">
      <alignment vertical="center"/>
    </xf>
    <xf numFmtId="0" fontId="10" fillId="0" borderId="185" xfId="0" quotePrefix="1" applyFont="1" applyBorder="1">
      <alignment vertical="center"/>
    </xf>
    <xf numFmtId="0" fontId="10" fillId="0" borderId="185" xfId="0" applyFont="1" applyBorder="1">
      <alignment vertical="center"/>
    </xf>
    <xf numFmtId="0" fontId="6" fillId="0" borderId="185" xfId="0" applyFont="1" applyFill="1" applyBorder="1" applyAlignment="1">
      <alignment horizontal="center" vertical="center"/>
    </xf>
    <xf numFmtId="0" fontId="6" fillId="0" borderId="186" xfId="0" applyFont="1" applyFill="1" applyBorder="1">
      <alignment vertical="center"/>
    </xf>
    <xf numFmtId="0" fontId="6" fillId="0" borderId="50" xfId="0" applyFont="1" applyBorder="1" applyAlignment="1">
      <alignment horizontal="center" vertical="center"/>
    </xf>
    <xf numFmtId="0" fontId="6" fillId="0" borderId="50" xfId="0" applyFont="1" applyBorder="1" applyAlignment="1">
      <alignment horizontal="left" vertical="center"/>
    </xf>
    <xf numFmtId="43" fontId="6" fillId="0" borderId="50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vertical="center"/>
    </xf>
    <xf numFmtId="0" fontId="6" fillId="0" borderId="187" xfId="0" applyFont="1" applyBorder="1">
      <alignment vertical="center"/>
    </xf>
    <xf numFmtId="0" fontId="6" fillId="0" borderId="188" xfId="0" applyFont="1" applyFill="1" applyBorder="1">
      <alignment vertical="center"/>
    </xf>
    <xf numFmtId="0" fontId="6" fillId="0" borderId="189" xfId="0" applyFont="1" applyBorder="1">
      <alignment vertical="center"/>
    </xf>
    <xf numFmtId="0" fontId="6" fillId="0" borderId="51" xfId="0" applyFont="1" applyBorder="1" applyAlignment="1">
      <alignment horizontal="center" vertical="center"/>
    </xf>
    <xf numFmtId="0" fontId="6" fillId="0" borderId="51" xfId="0" applyFont="1" applyBorder="1" applyAlignment="1">
      <alignment horizontal="left" vertical="center"/>
    </xf>
    <xf numFmtId="43" fontId="6" fillId="0" borderId="51" xfId="0" applyNumberFormat="1" applyFont="1" applyBorder="1" applyAlignment="1">
      <alignment horizontal="center" vertical="center"/>
    </xf>
    <xf numFmtId="0" fontId="6" fillId="0" borderId="51" xfId="0" applyFont="1" applyBorder="1">
      <alignment vertical="center"/>
    </xf>
    <xf numFmtId="43" fontId="6" fillId="0" borderId="51" xfId="0" quotePrefix="1" applyNumberFormat="1" applyFont="1" applyBorder="1" applyAlignment="1">
      <alignment horizontal="left" vertical="center"/>
    </xf>
    <xf numFmtId="43" fontId="6" fillId="0" borderId="51" xfId="0" applyNumberFormat="1" applyFont="1" applyBorder="1" applyAlignment="1">
      <alignment horizontal="left" vertical="center"/>
    </xf>
    <xf numFmtId="0" fontId="6" fillId="0" borderId="51" xfId="0" applyFont="1" applyBorder="1" applyAlignment="1">
      <alignment vertical="center"/>
    </xf>
    <xf numFmtId="0" fontId="10" fillId="0" borderId="51" xfId="0" applyFont="1" applyBorder="1" applyAlignment="1">
      <alignment horizontal="center" vertical="center"/>
    </xf>
    <xf numFmtId="0" fontId="6" fillId="0" borderId="51" xfId="0" applyFont="1" applyFill="1" applyBorder="1" applyAlignment="1">
      <alignment horizontal="center" vertical="center"/>
    </xf>
    <xf numFmtId="0" fontId="6" fillId="0" borderId="190" xfId="0" applyFont="1" applyFill="1" applyBorder="1">
      <alignment vertical="center"/>
    </xf>
    <xf numFmtId="0" fontId="6" fillId="0" borderId="191" xfId="0" applyFont="1" applyBorder="1">
      <alignment vertical="center"/>
    </xf>
    <xf numFmtId="43" fontId="6" fillId="0" borderId="39" xfId="0" applyNumberFormat="1" applyFont="1" applyBorder="1" applyAlignment="1">
      <alignment horizontal="center" vertical="center"/>
    </xf>
    <xf numFmtId="43" fontId="6" fillId="0" borderId="39" xfId="0" quotePrefix="1" applyNumberFormat="1" applyFont="1" applyBorder="1" applyAlignment="1">
      <alignment horizontal="left" vertical="center"/>
    </xf>
    <xf numFmtId="43" fontId="6" fillId="0" borderId="39" xfId="0" applyNumberFormat="1" applyFont="1" applyBorder="1" applyAlignment="1">
      <alignment horizontal="left" vertical="center"/>
    </xf>
    <xf numFmtId="0" fontId="10" fillId="0" borderId="39" xfId="0" applyFont="1" applyBorder="1" applyAlignment="1">
      <alignment horizontal="center" vertical="center"/>
    </xf>
    <xf numFmtId="0" fontId="6" fillId="0" borderId="39" xfId="0" applyFont="1" applyFill="1" applyBorder="1" applyAlignment="1">
      <alignment horizontal="center" vertical="center"/>
    </xf>
    <xf numFmtId="0" fontId="6" fillId="0" borderId="192" xfId="0" applyFont="1" applyFill="1" applyBorder="1">
      <alignment vertical="center"/>
    </xf>
    <xf numFmtId="0" fontId="10" fillId="0" borderId="193" xfId="0" applyFont="1" applyBorder="1">
      <alignment vertical="center"/>
    </xf>
    <xf numFmtId="0" fontId="10" fillId="0" borderId="194" xfId="0" applyFont="1" applyBorder="1">
      <alignment vertical="center"/>
    </xf>
    <xf numFmtId="0" fontId="10" fillId="0" borderId="185" xfId="0" applyFont="1" applyBorder="1" applyAlignment="1">
      <alignment vertical="center"/>
    </xf>
    <xf numFmtId="0" fontId="10" fillId="0" borderId="193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195" xfId="0" applyFont="1" applyBorder="1" applyAlignment="1">
      <alignment vertical="center"/>
    </xf>
    <xf numFmtId="0" fontId="6" fillId="0" borderId="197" xfId="0" applyFont="1" applyBorder="1" applyAlignment="1">
      <alignment vertical="center"/>
    </xf>
    <xf numFmtId="0" fontId="6" fillId="0" borderId="58" xfId="0" applyFont="1" applyBorder="1" applyAlignment="1">
      <alignment vertical="center"/>
    </xf>
    <xf numFmtId="0" fontId="10" fillId="0" borderId="185" xfId="0" applyFont="1" applyBorder="1" applyAlignment="1">
      <alignment horizontal="right" vertical="center"/>
    </xf>
    <xf numFmtId="0" fontId="6" fillId="0" borderId="4" xfId="0" applyFont="1" applyBorder="1" applyAlignment="1">
      <alignment vertical="center"/>
    </xf>
    <xf numFmtId="0" fontId="6" fillId="0" borderId="196" xfId="0" applyFont="1" applyBorder="1" applyAlignment="1">
      <alignment vertical="center"/>
    </xf>
    <xf numFmtId="0" fontId="6" fillId="0" borderId="198" xfId="0" applyFont="1" applyBorder="1" applyAlignment="1">
      <alignment vertical="center"/>
    </xf>
    <xf numFmtId="0" fontId="6" fillId="0" borderId="70" xfId="0" applyFont="1" applyBorder="1" applyAlignment="1">
      <alignment vertical="center"/>
    </xf>
    <xf numFmtId="0" fontId="6" fillId="0" borderId="59" xfId="0" applyFont="1" applyBorder="1" applyAlignment="1">
      <alignment vertical="center"/>
    </xf>
    <xf numFmtId="0" fontId="6" fillId="0" borderId="50" xfId="0" applyFont="1" applyBorder="1" applyAlignment="1">
      <alignment horizontal="right" vertical="center"/>
    </xf>
    <xf numFmtId="0" fontId="6" fillId="0" borderId="51" xfId="0" applyFont="1" applyBorder="1" applyAlignment="1">
      <alignment horizontal="right" vertical="center"/>
    </xf>
    <xf numFmtId="0" fontId="6" fillId="0" borderId="40" xfId="0" applyFont="1" applyBorder="1" applyAlignment="1">
      <alignment horizontal="right" vertical="center"/>
    </xf>
    <xf numFmtId="0" fontId="6" fillId="0" borderId="39" xfId="0" applyFont="1" applyBorder="1" applyAlignment="1">
      <alignment horizontal="right" vertical="center"/>
    </xf>
    <xf numFmtId="0" fontId="99" fillId="0" borderId="3" xfId="0" quotePrefix="1" applyFont="1" applyBorder="1" applyAlignment="1">
      <alignment vertical="center"/>
    </xf>
    <xf numFmtId="0" fontId="7" fillId="0" borderId="10" xfId="0" applyFont="1" applyFill="1" applyBorder="1" applyAlignment="1">
      <alignment vertical="center"/>
    </xf>
    <xf numFmtId="0" fontId="7" fillId="0" borderId="12" xfId="0" applyFont="1" applyFill="1" applyBorder="1" applyAlignment="1">
      <alignment vertical="center"/>
    </xf>
    <xf numFmtId="0" fontId="7" fillId="0" borderId="15" xfId="0" quotePrefix="1" applyFont="1" applyFill="1" applyBorder="1" applyAlignment="1">
      <alignment vertical="center"/>
    </xf>
    <xf numFmtId="0" fontId="7" fillId="0" borderId="16" xfId="0" applyFont="1" applyFill="1" applyBorder="1" applyAlignment="1">
      <alignment vertical="center"/>
    </xf>
    <xf numFmtId="0" fontId="7" fillId="0" borderId="17" xfId="0" quotePrefix="1" applyFont="1" applyFill="1" applyBorder="1" applyAlignment="1">
      <alignment vertical="center"/>
    </xf>
    <xf numFmtId="0" fontId="7" fillId="0" borderId="19" xfId="0" applyFont="1" applyFill="1" applyBorder="1" applyAlignment="1">
      <alignment vertical="center"/>
    </xf>
    <xf numFmtId="0" fontId="66" fillId="0" borderId="0" xfId="0" applyFont="1" applyBorder="1">
      <alignment vertical="center"/>
    </xf>
    <xf numFmtId="0" fontId="6" fillId="0" borderId="0" xfId="0" applyNumberFormat="1" applyFont="1" applyBorder="1">
      <alignment vertical="center"/>
    </xf>
    <xf numFmtId="0" fontId="6" fillId="0" borderId="0" xfId="0" quotePrefix="1" applyFont="1" applyFill="1" applyAlignment="1">
      <alignment vertical="center"/>
    </xf>
    <xf numFmtId="202" fontId="6" fillId="0" borderId="0" xfId="0" quotePrefix="1" applyNumberFormat="1" applyFont="1" applyBorder="1" applyAlignment="1">
      <alignment horizontal="center" vertical="center"/>
    </xf>
    <xf numFmtId="179" fontId="6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0" fontId="66" fillId="0" borderId="0" xfId="0" applyFont="1" applyFill="1">
      <alignment vertical="center"/>
    </xf>
    <xf numFmtId="2" fontId="6" fillId="0" borderId="0" xfId="0" applyNumberFormat="1" applyFont="1" applyFill="1" applyAlignment="1">
      <alignment horizontal="left" vertical="center"/>
    </xf>
    <xf numFmtId="0" fontId="6" fillId="0" borderId="45" xfId="0" quotePrefix="1" applyFont="1" applyBorder="1">
      <alignment vertical="center"/>
    </xf>
    <xf numFmtId="0" fontId="9" fillId="0" borderId="0" xfId="0" applyFont="1" applyFill="1">
      <alignment vertical="center"/>
    </xf>
    <xf numFmtId="180" fontId="6" fillId="0" borderId="0" xfId="0" quotePrefix="1" applyNumberFormat="1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45" xfId="0" quotePrefix="1" applyFont="1" applyBorder="1" applyAlignment="1">
      <alignment horizontal="center" vertical="center"/>
    </xf>
    <xf numFmtId="0" fontId="6" fillId="0" borderId="178" xfId="0" applyFont="1" applyBorder="1" applyAlignment="1">
      <alignment horizontal="center" vertical="center"/>
    </xf>
    <xf numFmtId="0" fontId="6" fillId="0" borderId="178" xfId="0" quotePrefix="1" applyFont="1" applyFill="1" applyBorder="1" applyAlignment="1">
      <alignment horizontal="left" vertical="center"/>
    </xf>
    <xf numFmtId="0" fontId="6" fillId="0" borderId="178" xfId="0" applyFont="1" applyFill="1" applyBorder="1" applyAlignment="1">
      <alignment vertical="center"/>
    </xf>
    <xf numFmtId="0" fontId="6" fillId="0" borderId="178" xfId="0" quotePrefix="1" applyFont="1" applyFill="1" applyBorder="1">
      <alignment vertical="center"/>
    </xf>
    <xf numFmtId="2" fontId="8" fillId="0" borderId="0" xfId="0" applyNumberFormat="1" applyFont="1" applyFill="1" applyAlignment="1">
      <alignment horizontal="left" vertical="center"/>
    </xf>
    <xf numFmtId="2" fontId="6" fillId="0" borderId="178" xfId="0" applyNumberFormat="1" applyFont="1" applyFill="1" applyBorder="1" applyAlignment="1">
      <alignment horizontal="left" vertical="center"/>
    </xf>
    <xf numFmtId="2" fontId="8" fillId="0" borderId="178" xfId="0" applyNumberFormat="1" applyFont="1" applyFill="1" applyBorder="1" applyAlignment="1">
      <alignment horizontal="left" vertical="center"/>
    </xf>
    <xf numFmtId="0" fontId="6" fillId="0" borderId="178" xfId="0" applyFont="1" applyFill="1" applyBorder="1">
      <alignment vertical="center"/>
    </xf>
    <xf numFmtId="2" fontId="6" fillId="0" borderId="0" xfId="0" quotePrefix="1" applyNumberFormat="1" applyFont="1" applyFill="1" applyAlignment="1">
      <alignment horizontal="left" vertical="center"/>
    </xf>
    <xf numFmtId="0" fontId="6" fillId="0" borderId="146" xfId="0" applyFont="1" applyFill="1" applyBorder="1" applyAlignment="1">
      <alignment vertical="center"/>
    </xf>
    <xf numFmtId="0" fontId="6" fillId="0" borderId="44" xfId="0" quotePrefix="1" applyFont="1" applyBorder="1">
      <alignment vertical="center"/>
    </xf>
    <xf numFmtId="0" fontId="6" fillId="0" borderId="199" xfId="0" applyFont="1" applyBorder="1">
      <alignment vertical="center"/>
    </xf>
    <xf numFmtId="0" fontId="6" fillId="0" borderId="146" xfId="0" applyFont="1" applyFill="1" applyBorder="1">
      <alignment vertical="center"/>
    </xf>
    <xf numFmtId="0" fontId="6" fillId="0" borderId="146" xfId="0" applyFont="1" applyBorder="1">
      <alignment vertical="center"/>
    </xf>
    <xf numFmtId="0" fontId="37" fillId="0" borderId="146" xfId="0" applyFont="1" applyBorder="1">
      <alignment vertical="center"/>
    </xf>
    <xf numFmtId="2" fontId="6" fillId="0" borderId="146" xfId="0" quotePrefix="1" applyNumberFormat="1" applyFont="1" applyFill="1" applyBorder="1" applyAlignment="1">
      <alignment horizontal="left" vertical="center"/>
    </xf>
    <xf numFmtId="0" fontId="6" fillId="0" borderId="200" xfId="0" applyFont="1" applyFill="1" applyBorder="1">
      <alignment vertical="center"/>
    </xf>
    <xf numFmtId="0" fontId="6" fillId="0" borderId="4" xfId="0" applyFont="1" applyFill="1" applyBorder="1">
      <alignment vertical="center"/>
    </xf>
    <xf numFmtId="0" fontId="6" fillId="0" borderId="8" xfId="0" applyFont="1" applyBorder="1">
      <alignment vertical="center"/>
    </xf>
    <xf numFmtId="0" fontId="6" fillId="0" borderId="9" xfId="0" applyFont="1" applyFill="1" applyBorder="1">
      <alignment vertical="center"/>
    </xf>
    <xf numFmtId="0" fontId="6" fillId="0" borderId="199" xfId="0" applyFont="1" applyFill="1" applyBorder="1">
      <alignment vertical="center"/>
    </xf>
    <xf numFmtId="0" fontId="6" fillId="0" borderId="146" xfId="0" quotePrefix="1" applyFont="1" applyBorder="1">
      <alignment vertical="center"/>
    </xf>
    <xf numFmtId="0" fontId="6" fillId="0" borderId="146" xfId="0" applyFont="1" applyBorder="1" applyAlignment="1">
      <alignment horizontal="left" vertical="center"/>
    </xf>
    <xf numFmtId="0" fontId="6" fillId="0" borderId="146" xfId="0" quotePrefix="1" applyFont="1" applyFill="1" applyBorder="1">
      <alignment vertical="center"/>
    </xf>
    <xf numFmtId="0" fontId="6" fillId="0" borderId="200" xfId="0" applyFont="1" applyFill="1" applyBorder="1" applyAlignment="1">
      <alignment horizontal="center" vertical="center"/>
    </xf>
    <xf numFmtId="0" fontId="6" fillId="0" borderId="176" xfId="0" applyFont="1" applyFill="1" applyBorder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4" xfId="0" quotePrefix="1" applyFont="1" applyFill="1" applyBorder="1">
      <alignment vertical="center"/>
    </xf>
    <xf numFmtId="0" fontId="6" fillId="0" borderId="178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101" fillId="0" borderId="0" xfId="0" applyFont="1" applyFill="1">
      <alignment vertical="center"/>
    </xf>
    <xf numFmtId="0" fontId="102" fillId="0" borderId="0" xfId="0" applyFont="1">
      <alignment vertical="center"/>
    </xf>
    <xf numFmtId="2" fontId="6" fillId="0" borderId="0" xfId="0" quotePrefix="1" applyNumberFormat="1" applyFont="1" applyFill="1" applyBorder="1" applyAlignment="1">
      <alignment horizontal="left" vertical="center"/>
    </xf>
    <xf numFmtId="2" fontId="8" fillId="0" borderId="0" xfId="0" applyNumberFormat="1" applyFont="1" applyFill="1" applyBorder="1" applyAlignment="1">
      <alignment horizontal="left" vertical="center"/>
    </xf>
    <xf numFmtId="2" fontId="6" fillId="0" borderId="18" xfId="0" quotePrefix="1" applyNumberFormat="1" applyFont="1" applyFill="1" applyBorder="1" applyAlignment="1">
      <alignment horizontal="left" vertical="center"/>
    </xf>
    <xf numFmtId="2" fontId="8" fillId="0" borderId="18" xfId="0" applyNumberFormat="1" applyFont="1" applyFill="1" applyBorder="1" applyAlignment="1">
      <alignment horizontal="left" vertical="center"/>
    </xf>
    <xf numFmtId="2" fontId="6" fillId="0" borderId="0" xfId="0" applyNumberFormat="1" applyFont="1" applyAlignment="1">
      <alignment horizontal="left" vertical="center"/>
    </xf>
    <xf numFmtId="0" fontId="6" fillId="0" borderId="7" xfId="0" applyFont="1" applyBorder="1">
      <alignment vertical="center"/>
    </xf>
    <xf numFmtId="0" fontId="9" fillId="0" borderId="0" xfId="0" applyFont="1" applyFill="1" applyAlignment="1">
      <alignment horizontal="left" vertical="center"/>
    </xf>
    <xf numFmtId="0" fontId="8" fillId="0" borderId="0" xfId="0" applyFont="1" applyAlignment="1">
      <alignment vertical="center"/>
    </xf>
    <xf numFmtId="179" fontId="6" fillId="0" borderId="0" xfId="0" applyNumberFormat="1" applyFont="1" applyAlignment="1">
      <alignment vertical="center"/>
    </xf>
    <xf numFmtId="177" fontId="37" fillId="0" borderId="0" xfId="0" quotePrefix="1" applyNumberFormat="1" applyFont="1" applyFill="1" applyBorder="1" applyAlignment="1">
      <alignment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7" fillId="0" borderId="0" xfId="0" applyFont="1" applyFill="1" applyBorder="1">
      <alignment vertical="center"/>
    </xf>
    <xf numFmtId="0" fontId="6" fillId="0" borderId="4" xfId="0" quotePrefix="1" applyFont="1" applyFill="1" applyBorder="1" applyAlignment="1">
      <alignment horizontal="center" vertical="center"/>
    </xf>
    <xf numFmtId="0" fontId="6" fillId="0" borderId="178" xfId="0" applyFont="1" applyBorder="1" applyAlignment="1">
      <alignment horizontal="left" vertical="center"/>
    </xf>
    <xf numFmtId="0" fontId="6" fillId="0" borderId="6" xfId="0" quotePrefix="1" applyFont="1" applyBorder="1" applyAlignment="1">
      <alignment horizontal="left" vertical="center"/>
    </xf>
    <xf numFmtId="0" fontId="9" fillId="0" borderId="0" xfId="0" applyFont="1" applyBorder="1">
      <alignment vertical="center"/>
    </xf>
    <xf numFmtId="0" fontId="89" fillId="0" borderId="0" xfId="0" applyFont="1" applyAlignment="1">
      <alignment horizontal="left" vertical="center"/>
    </xf>
    <xf numFmtId="0" fontId="6" fillId="0" borderId="178" xfId="0" quotePrefix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4" fillId="0" borderId="0" xfId="0" applyFont="1" applyBorder="1">
      <alignment vertical="center"/>
    </xf>
    <xf numFmtId="177" fontId="8" fillId="0" borderId="0" xfId="0" applyNumberFormat="1" applyFont="1" applyAlignment="1">
      <alignment horizontal="center" vertical="center"/>
    </xf>
    <xf numFmtId="0" fontId="6" fillId="0" borderId="18" xfId="0" quotePrefix="1" applyFont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8" xfId="0" applyFont="1" applyFill="1" applyBorder="1" applyAlignment="1">
      <alignment horizontal="right" vertical="center"/>
    </xf>
    <xf numFmtId="0" fontId="22" fillId="2" borderId="0" xfId="0" applyFont="1" applyFill="1" applyBorder="1">
      <alignment vertical="center"/>
    </xf>
    <xf numFmtId="2" fontId="6" fillId="2" borderId="0" xfId="0" applyNumberFormat="1" applyFont="1" applyFill="1" applyBorder="1" applyAlignment="1">
      <alignment vertical="center"/>
    </xf>
    <xf numFmtId="0" fontId="6" fillId="2" borderId="18" xfId="0" applyFont="1" applyFill="1" applyBorder="1" applyAlignment="1">
      <alignment vertical="center"/>
    </xf>
    <xf numFmtId="0" fontId="69" fillId="2" borderId="18" xfId="0" applyFont="1" applyFill="1" applyBorder="1">
      <alignment vertical="center"/>
    </xf>
    <xf numFmtId="0" fontId="67" fillId="2" borderId="18" xfId="0" applyFont="1" applyFill="1" applyBorder="1">
      <alignment vertical="center"/>
    </xf>
    <xf numFmtId="177" fontId="6" fillId="2" borderId="18" xfId="0" applyNumberFormat="1" applyFont="1" applyFill="1" applyBorder="1" applyAlignment="1">
      <alignment vertical="center"/>
    </xf>
    <xf numFmtId="194" fontId="6" fillId="2" borderId="0" xfId="0" applyNumberFormat="1" applyFont="1" applyFill="1" applyBorder="1" applyAlignment="1">
      <alignment vertical="center"/>
    </xf>
    <xf numFmtId="179" fontId="6" fillId="2" borderId="18" xfId="0" applyNumberFormat="1" applyFont="1" applyFill="1" applyBorder="1" applyAlignment="1">
      <alignment vertical="center"/>
    </xf>
    <xf numFmtId="0" fontId="6" fillId="2" borderId="0" xfId="0" applyNumberFormat="1" applyFont="1" applyFill="1" applyBorder="1" applyAlignment="1">
      <alignment vertical="center"/>
    </xf>
    <xf numFmtId="0" fontId="69" fillId="5" borderId="52" xfId="0" applyFont="1" applyFill="1" applyBorder="1">
      <alignment vertical="center"/>
    </xf>
    <xf numFmtId="0" fontId="6" fillId="0" borderId="175" xfId="0" applyFont="1" applyBorder="1" applyAlignment="1">
      <alignment horizontal="center" vertical="center"/>
    </xf>
    <xf numFmtId="179" fontId="6" fillId="0" borderId="0" xfId="0" quotePrefix="1" applyNumberFormat="1" applyFont="1" applyBorder="1" applyAlignment="1">
      <alignment horizontal="center" vertical="center"/>
    </xf>
    <xf numFmtId="1" fontId="6" fillId="0" borderId="0" xfId="0" quotePrefix="1" applyNumberFormat="1" applyFont="1" applyBorder="1" applyAlignment="1">
      <alignment vertical="center"/>
    </xf>
    <xf numFmtId="0" fontId="6" fillId="0" borderId="0" xfId="0" quotePrefix="1" applyNumberFormat="1" applyFont="1" applyAlignment="1">
      <alignment horizontal="left" vertical="center"/>
    </xf>
    <xf numFmtId="0" fontId="6" fillId="0" borderId="176" xfId="0" applyFont="1" applyBorder="1" applyAlignment="1">
      <alignment vertical="center"/>
    </xf>
    <xf numFmtId="0" fontId="6" fillId="2" borderId="17" xfId="0" quotePrefix="1" applyFont="1" applyFill="1" applyBorder="1">
      <alignment vertical="center"/>
    </xf>
    <xf numFmtId="0" fontId="65" fillId="5" borderId="52" xfId="0" applyFont="1" applyFill="1" applyBorder="1">
      <alignment vertical="center"/>
    </xf>
    <xf numFmtId="180" fontId="6" fillId="0" borderId="0" xfId="0" quotePrefix="1" applyNumberFormat="1" applyFont="1" applyFill="1" applyBorder="1">
      <alignment vertical="center"/>
    </xf>
    <xf numFmtId="0" fontId="107" fillId="0" borderId="0" xfId="0" applyFont="1" applyAlignment="1">
      <alignment horizontal="right" vertical="center"/>
    </xf>
    <xf numFmtId="0" fontId="6" fillId="0" borderId="65" xfId="0" applyFont="1" applyBorder="1" applyAlignment="1">
      <alignment vertical="center"/>
    </xf>
    <xf numFmtId="0" fontId="0" fillId="0" borderId="6" xfId="0" applyBorder="1">
      <alignment vertical="center"/>
    </xf>
    <xf numFmtId="0" fontId="6" fillId="0" borderId="6" xfId="0" applyFont="1" applyFill="1" applyBorder="1" applyAlignment="1">
      <alignment horizontal="right" vertical="center"/>
    </xf>
    <xf numFmtId="180" fontId="6" fillId="0" borderId="6" xfId="0" quotePrefix="1" applyNumberFormat="1" applyFont="1" applyFill="1" applyBorder="1">
      <alignment vertical="center"/>
    </xf>
    <xf numFmtId="0" fontId="6" fillId="0" borderId="6" xfId="0" quotePrefix="1" applyFont="1" applyBorder="1" applyAlignment="1">
      <alignment horizontal="center" vertical="center"/>
    </xf>
    <xf numFmtId="0" fontId="0" fillId="0" borderId="178" xfId="0" applyBorder="1">
      <alignment vertical="center"/>
    </xf>
    <xf numFmtId="0" fontId="6" fillId="0" borderId="178" xfId="0" applyFont="1" applyBorder="1" applyAlignment="1">
      <alignment horizontal="right" vertical="center"/>
    </xf>
    <xf numFmtId="180" fontId="6" fillId="0" borderId="178" xfId="0" quotePrefix="1" applyNumberFormat="1" applyFont="1" applyFill="1" applyBorder="1">
      <alignment vertical="center"/>
    </xf>
    <xf numFmtId="177" fontId="6" fillId="0" borderId="6" xfId="0" applyNumberFormat="1" applyFont="1" applyFill="1" applyBorder="1" applyAlignment="1">
      <alignment horizontal="left" vertical="center"/>
    </xf>
    <xf numFmtId="179" fontId="8" fillId="0" borderId="0" xfId="0" applyNumberFormat="1" applyFont="1" applyBorder="1" applyAlignment="1">
      <alignment horizontal="left" vertical="center"/>
    </xf>
    <xf numFmtId="179" fontId="6" fillId="0" borderId="0" xfId="0" quotePrefix="1" applyNumberFormat="1" applyFont="1" applyBorder="1" applyAlignment="1">
      <alignment vertical="center"/>
    </xf>
    <xf numFmtId="0" fontId="55" fillId="0" borderId="18" xfId="0" applyFont="1" applyBorder="1">
      <alignment vertical="center"/>
    </xf>
    <xf numFmtId="0" fontId="0" fillId="0" borderId="18" xfId="0" applyBorder="1">
      <alignment vertical="center"/>
    </xf>
    <xf numFmtId="180" fontId="6" fillId="0" borderId="18" xfId="0" quotePrefix="1" applyNumberFormat="1" applyFont="1" applyFill="1" applyBorder="1">
      <alignment vertical="center"/>
    </xf>
    <xf numFmtId="179" fontId="6" fillId="0" borderId="18" xfId="0" quotePrefix="1" applyNumberFormat="1" applyFont="1" applyBorder="1" applyAlignment="1">
      <alignment vertical="center"/>
    </xf>
    <xf numFmtId="0" fontId="55" fillId="0" borderId="0" xfId="0" applyFont="1" applyBorder="1">
      <alignment vertical="center"/>
    </xf>
    <xf numFmtId="177" fontId="8" fillId="0" borderId="0" xfId="0" applyNumberFormat="1" applyFont="1" applyBorder="1" applyAlignment="1">
      <alignment horizontal="left" vertical="center"/>
    </xf>
    <xf numFmtId="0" fontId="65" fillId="2" borderId="0" xfId="0" applyFont="1" applyFill="1" applyBorder="1">
      <alignment vertical="center"/>
    </xf>
    <xf numFmtId="0" fontId="66" fillId="2" borderId="18" xfId="0" applyFont="1" applyFill="1" applyBorder="1">
      <alignment vertical="center"/>
    </xf>
    <xf numFmtId="0" fontId="6" fillId="10" borderId="0" xfId="0" applyFont="1" applyFill="1" applyBorder="1">
      <alignment vertical="center"/>
    </xf>
    <xf numFmtId="0" fontId="25" fillId="10" borderId="0" xfId="0" applyFont="1" applyFill="1" applyBorder="1">
      <alignment vertical="center"/>
    </xf>
    <xf numFmtId="0" fontId="90" fillId="10" borderId="0" xfId="0" quotePrefix="1" applyFont="1" applyFill="1" applyBorder="1">
      <alignment vertical="center"/>
    </xf>
    <xf numFmtId="0" fontId="107" fillId="10" borderId="0" xfId="0" applyFont="1" applyFill="1" applyBorder="1">
      <alignment vertical="center"/>
    </xf>
    <xf numFmtId="0" fontId="108" fillId="0" borderId="0" xfId="0" applyFont="1" applyAlignment="1">
      <alignment horizontal="right" vertical="center"/>
    </xf>
    <xf numFmtId="177" fontId="6" fillId="0" borderId="0" xfId="0" quotePrefix="1" applyNumberFormat="1" applyFont="1" applyBorder="1" applyAlignment="1">
      <alignment horizontal="left" vertical="center"/>
    </xf>
    <xf numFmtId="0" fontId="6" fillId="2" borderId="95" xfId="0" applyFont="1" applyFill="1" applyBorder="1">
      <alignment vertical="center"/>
    </xf>
    <xf numFmtId="0" fontId="6" fillId="2" borderId="96" xfId="0" applyFont="1" applyFill="1" applyBorder="1">
      <alignment vertical="center"/>
    </xf>
    <xf numFmtId="0" fontId="6" fillId="2" borderId="81" xfId="0" applyFont="1" applyFill="1" applyBorder="1">
      <alignment vertical="center"/>
    </xf>
    <xf numFmtId="0" fontId="6" fillId="2" borderId="96" xfId="0" applyFont="1" applyFill="1" applyBorder="1" applyAlignment="1">
      <alignment vertical="center"/>
    </xf>
    <xf numFmtId="0" fontId="6" fillId="2" borderId="81" xfId="0" applyFont="1" applyFill="1" applyBorder="1" applyAlignment="1">
      <alignment vertical="center"/>
    </xf>
    <xf numFmtId="0" fontId="6" fillId="2" borderId="97" xfId="0" applyFont="1" applyFill="1" applyBorder="1" applyAlignment="1">
      <alignment vertical="center"/>
    </xf>
    <xf numFmtId="0" fontId="6" fillId="11" borderId="0" xfId="0" applyFont="1" applyFill="1" applyBorder="1">
      <alignment vertical="center"/>
    </xf>
    <xf numFmtId="0" fontId="91" fillId="11" borderId="0" xfId="0" applyFont="1" applyFill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40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18" xfId="0" applyFont="1" applyBorder="1" applyAlignment="1">
      <alignment horizontal="left" vertical="center"/>
    </xf>
    <xf numFmtId="0" fontId="6" fillId="0" borderId="6" xfId="0" applyFont="1" applyBorder="1" applyAlignment="1">
      <alignment horizontal="center" vertical="center"/>
    </xf>
    <xf numFmtId="0" fontId="6" fillId="0" borderId="39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0" xfId="0" quotePrefix="1" applyFont="1" applyAlignment="1">
      <alignment horizontal="left" vertical="center"/>
    </xf>
    <xf numFmtId="0" fontId="6" fillId="0" borderId="0" xfId="0" quotePrefix="1" applyFont="1" applyFill="1" applyBorder="1" applyAlignment="1">
      <alignment horizontal="left" vertical="center"/>
    </xf>
    <xf numFmtId="0" fontId="6" fillId="0" borderId="2" xfId="0" quotePrefix="1" applyFont="1" applyFill="1" applyBorder="1" applyAlignment="1">
      <alignment horizontal="center" vertical="center"/>
    </xf>
    <xf numFmtId="177" fontId="6" fillId="0" borderId="0" xfId="0" applyNumberFormat="1" applyFont="1" applyBorder="1" applyAlignment="1">
      <alignment horizontal="left" vertical="center"/>
    </xf>
    <xf numFmtId="0" fontId="6" fillId="0" borderId="178" xfId="0" applyFont="1" applyBorder="1" applyAlignment="1">
      <alignment horizontal="center" vertical="center"/>
    </xf>
    <xf numFmtId="179" fontId="8" fillId="0" borderId="0" xfId="0" applyNumberFormat="1" applyFont="1" applyBorder="1" applyAlignment="1">
      <alignment horizontal="left" vertical="center"/>
    </xf>
    <xf numFmtId="2" fontId="6" fillId="0" borderId="0" xfId="0" applyNumberFormat="1" applyFon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79" fontId="6" fillId="0" borderId="0" xfId="0" applyNumberFormat="1" applyFont="1" applyBorder="1" applyAlignment="1">
      <alignment horizontal="center" vertical="center"/>
    </xf>
    <xf numFmtId="177" fontId="6" fillId="0" borderId="0" xfId="0" applyNumberFormat="1" applyFont="1" applyBorder="1" applyAlignment="1">
      <alignment horizontal="center" vertical="center"/>
    </xf>
    <xf numFmtId="179" fontId="6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" fontId="6" fillId="0" borderId="0" xfId="0" applyNumberFormat="1" applyFont="1" applyBorder="1" applyAlignment="1">
      <alignment horizontal="left" vertical="center"/>
    </xf>
    <xf numFmtId="177" fontId="6" fillId="0" borderId="178" xfId="0" applyNumberFormat="1" applyFont="1" applyBorder="1" applyAlignment="1">
      <alignment horizontal="center" vertical="center"/>
    </xf>
    <xf numFmtId="177" fontId="6" fillId="0" borderId="6" xfId="0" applyNumberFormat="1" applyFont="1" applyFill="1" applyBorder="1" applyAlignment="1">
      <alignment horizontal="left" vertical="center"/>
    </xf>
    <xf numFmtId="177" fontId="8" fillId="0" borderId="0" xfId="0" applyNumberFormat="1" applyFont="1" applyBorder="1" applyAlignment="1">
      <alignment horizontal="left" vertical="center"/>
    </xf>
    <xf numFmtId="177" fontId="6" fillId="0" borderId="0" xfId="0" applyNumberFormat="1" applyFont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177" fontId="6" fillId="0" borderId="0" xfId="0" applyNumberFormat="1" applyFont="1" applyFill="1" applyAlignment="1">
      <alignment horizontal="center" vertical="center"/>
    </xf>
    <xf numFmtId="0" fontId="10" fillId="0" borderId="0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0" xfId="0" quotePrefix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6" fillId="0" borderId="178" xfId="0" applyFont="1" applyBorder="1" applyAlignment="1">
      <alignment horizontal="left" vertical="center"/>
    </xf>
    <xf numFmtId="2" fontId="6" fillId="0" borderId="0" xfId="0" applyNumberFormat="1" applyFont="1" applyAlignment="1">
      <alignment horizontal="center" vertical="center"/>
    </xf>
    <xf numFmtId="179" fontId="6" fillId="0" borderId="0" xfId="0" applyNumberFormat="1" applyFont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2" fontId="6" fillId="0" borderId="0" xfId="0" applyNumberFormat="1" applyFont="1" applyBorder="1" applyAlignment="1">
      <alignment horizontal="left" vertical="center"/>
    </xf>
    <xf numFmtId="1" fontId="6" fillId="0" borderId="178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89" fillId="0" borderId="0" xfId="0" applyFont="1" applyAlignment="1">
      <alignment horizontal="left" vertical="center"/>
    </xf>
    <xf numFmtId="0" fontId="6" fillId="0" borderId="0" xfId="0" applyNumberFormat="1" applyFont="1" applyAlignment="1">
      <alignment horizontal="center" vertical="center"/>
    </xf>
    <xf numFmtId="177" fontId="8" fillId="0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179" fontId="6" fillId="0" borderId="0" xfId="0" applyNumberFormat="1" applyFont="1" applyFill="1" applyBorder="1" applyAlignment="1">
      <alignment horizontal="center" vertical="center"/>
    </xf>
    <xf numFmtId="2" fontId="6" fillId="0" borderId="178" xfId="0" applyNumberFormat="1" applyFont="1" applyFill="1" applyBorder="1" applyAlignment="1">
      <alignment horizontal="left" vertical="center"/>
    </xf>
    <xf numFmtId="2" fontId="6" fillId="0" borderId="0" xfId="0" applyNumberFormat="1" applyFont="1" applyFill="1" applyBorder="1" applyAlignment="1">
      <alignment horizontal="left" vertical="center"/>
    </xf>
    <xf numFmtId="0" fontId="6" fillId="0" borderId="178" xfId="0" applyFont="1" applyFill="1" applyBorder="1" applyAlignment="1">
      <alignment horizontal="center" vertical="center"/>
    </xf>
    <xf numFmtId="179" fontId="8" fillId="0" borderId="0" xfId="0" applyNumberFormat="1" applyFont="1" applyFill="1" applyAlignment="1">
      <alignment horizontal="center" vertical="center"/>
    </xf>
    <xf numFmtId="2" fontId="6" fillId="0" borderId="0" xfId="0" quotePrefix="1" applyNumberFormat="1" applyFont="1" applyFill="1" applyAlignment="1">
      <alignment horizontal="left" vertical="center"/>
    </xf>
    <xf numFmtId="177" fontId="8" fillId="0" borderId="0" xfId="0" applyNumberFormat="1" applyFont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177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2" xfId="0" quotePrefix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2" fontId="6" fillId="0" borderId="0" xfId="0" applyNumberFormat="1" applyFont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8" xfId="0" applyFont="1" applyFill="1" applyBorder="1" applyAlignment="1">
      <alignment horizontal="left" vertical="center"/>
    </xf>
    <xf numFmtId="0" fontId="6" fillId="0" borderId="0" xfId="0" quotePrefix="1" applyFont="1" applyFill="1" applyBorder="1" applyAlignment="1">
      <alignment horizontal="center" vertical="center"/>
    </xf>
    <xf numFmtId="0" fontId="6" fillId="0" borderId="0" xfId="0" quotePrefix="1" applyFont="1" applyFill="1" applyAlignment="1">
      <alignment horizontal="left" vertical="center"/>
    </xf>
    <xf numFmtId="2" fontId="6" fillId="0" borderId="0" xfId="0" applyNumberFormat="1" applyFont="1" applyFill="1" applyAlignment="1">
      <alignment horizontal="left" vertical="center"/>
    </xf>
    <xf numFmtId="2" fontId="6" fillId="0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Fill="1" applyAlignment="1">
      <alignment horizontal="left" vertical="center"/>
    </xf>
    <xf numFmtId="177" fontId="6" fillId="0" borderId="0" xfId="0" applyNumberFormat="1" applyFont="1" applyAlignment="1">
      <alignment horizontal="left" vertical="center"/>
    </xf>
    <xf numFmtId="2" fontId="6" fillId="0" borderId="0" xfId="0" quotePrefix="1" applyNumberFormat="1" applyFont="1" applyAlignment="1">
      <alignment horizontal="center" vertical="center"/>
    </xf>
    <xf numFmtId="0" fontId="6" fillId="0" borderId="0" xfId="0" quotePrefix="1" applyFont="1" applyAlignment="1">
      <alignment vertical="center"/>
    </xf>
    <xf numFmtId="0" fontId="6" fillId="0" borderId="146" xfId="0" applyFont="1" applyBorder="1" applyAlignment="1">
      <alignment horizontal="left" vertical="center"/>
    </xf>
    <xf numFmtId="202" fontId="6" fillId="0" borderId="0" xfId="0" applyNumberFormat="1" applyFont="1" applyBorder="1" applyAlignment="1">
      <alignment horizontal="center" vertical="center"/>
    </xf>
    <xf numFmtId="179" fontId="6" fillId="0" borderId="0" xfId="0" applyNumberFormat="1" applyFont="1" applyFill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6" fillId="0" borderId="45" xfId="0" applyFont="1" applyBorder="1" applyAlignment="1">
      <alignment horizontal="right" vertical="center"/>
    </xf>
    <xf numFmtId="0" fontId="10" fillId="0" borderId="45" xfId="0" applyFont="1" applyFill="1" applyBorder="1">
      <alignment vertical="center"/>
    </xf>
    <xf numFmtId="0" fontId="6" fillId="0" borderId="45" xfId="0" applyFont="1" applyBorder="1" applyAlignment="1">
      <alignment vertical="center"/>
    </xf>
    <xf numFmtId="0" fontId="6" fillId="0" borderId="44" xfId="0" applyFont="1" applyBorder="1" applyAlignment="1">
      <alignment vertical="center"/>
    </xf>
    <xf numFmtId="0" fontId="67" fillId="0" borderId="0" xfId="0" applyFont="1">
      <alignment vertical="center"/>
    </xf>
    <xf numFmtId="0" fontId="6" fillId="0" borderId="178" xfId="0" applyFont="1" applyBorder="1" applyAlignment="1">
      <alignment vertical="center"/>
    </xf>
    <xf numFmtId="0" fontId="66" fillId="0" borderId="0" xfId="0" quotePrefix="1" applyFont="1">
      <alignment vertical="center"/>
    </xf>
    <xf numFmtId="0" fontId="56" fillId="0" borderId="0" xfId="0" applyFont="1">
      <alignment vertical="center"/>
    </xf>
    <xf numFmtId="0" fontId="91" fillId="0" borderId="0" xfId="0" quotePrefix="1" applyFont="1">
      <alignment vertical="center"/>
    </xf>
    <xf numFmtId="0" fontId="6" fillId="0" borderId="45" xfId="0" quotePrefix="1" applyFont="1" applyBorder="1" applyAlignment="1">
      <alignment vertical="center"/>
    </xf>
    <xf numFmtId="0" fontId="43" fillId="0" borderId="44" xfId="0" applyFont="1" applyBorder="1">
      <alignment vertical="center"/>
    </xf>
    <xf numFmtId="0" fontId="43" fillId="0" borderId="45" xfId="0" applyFont="1" applyFill="1" applyBorder="1">
      <alignment vertical="center"/>
    </xf>
    <xf numFmtId="0" fontId="6" fillId="3" borderId="0" xfId="0" applyFont="1" applyFill="1">
      <alignment vertical="center"/>
    </xf>
    <xf numFmtId="0" fontId="18" fillId="3" borderId="179" xfId="0" applyFont="1" applyFill="1" applyBorder="1">
      <alignment vertical="center"/>
    </xf>
    <xf numFmtId="0" fontId="67" fillId="3" borderId="22" xfId="0" applyFont="1" applyFill="1" applyBorder="1" applyAlignment="1">
      <alignment horizontal="center" vertical="center"/>
    </xf>
    <xf numFmtId="177" fontId="111" fillId="0" borderId="20" xfId="0" applyNumberFormat="1" applyFont="1" applyFill="1" applyBorder="1" applyAlignment="1">
      <alignment vertical="center"/>
    </xf>
    <xf numFmtId="179" fontId="6" fillId="0" borderId="20" xfId="0" applyNumberFormat="1" applyFont="1" applyFill="1" applyBorder="1" applyAlignment="1">
      <alignment vertical="center"/>
    </xf>
    <xf numFmtId="0" fontId="107" fillId="0" borderId="146" xfId="0" applyFont="1" applyBorder="1" applyAlignment="1">
      <alignment horizontal="right" vertical="center"/>
    </xf>
    <xf numFmtId="180" fontId="6" fillId="0" borderId="146" xfId="0" quotePrefix="1" applyNumberFormat="1" applyFont="1" applyBorder="1">
      <alignment vertical="center"/>
    </xf>
    <xf numFmtId="0" fontId="6" fillId="0" borderId="200" xfId="0" applyFont="1" applyBorder="1">
      <alignment vertical="center"/>
    </xf>
    <xf numFmtId="0" fontId="107" fillId="0" borderId="0" xfId="0" applyFont="1" applyBorder="1" applyAlignment="1">
      <alignment horizontal="right" vertical="center"/>
    </xf>
    <xf numFmtId="0" fontId="107" fillId="0" borderId="178" xfId="0" applyFont="1" applyBorder="1" applyAlignment="1">
      <alignment horizontal="right" vertical="center"/>
    </xf>
    <xf numFmtId="180" fontId="6" fillId="0" borderId="178" xfId="0" quotePrefix="1" applyNumberFormat="1" applyFont="1" applyBorder="1">
      <alignment vertical="center"/>
    </xf>
    <xf numFmtId="1" fontId="6" fillId="0" borderId="178" xfId="0" applyNumberFormat="1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178" xfId="0" applyFont="1" applyFill="1" applyBorder="1" applyAlignment="1">
      <alignment horizontal="center" vertical="center"/>
    </xf>
    <xf numFmtId="0" fontId="6" fillId="0" borderId="178" xfId="0" applyFont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2" fontId="6" fillId="0" borderId="0" xfId="0" applyNumberFormat="1" applyFont="1" applyBorder="1" applyAlignment="1">
      <alignment horizontal="left" vertical="center"/>
    </xf>
    <xf numFmtId="0" fontId="6" fillId="0" borderId="0" xfId="0" quotePrefix="1" applyFont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0" fontId="6" fillId="0" borderId="0" xfId="0" quotePrefix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left" vertical="center"/>
    </xf>
    <xf numFmtId="0" fontId="6" fillId="0" borderId="0" xfId="39" quotePrefix="1" applyFont="1" applyAlignment="1">
      <alignment vertical="center"/>
    </xf>
    <xf numFmtId="0" fontId="6" fillId="0" borderId="0" xfId="39" applyFont="1" applyAlignment="1">
      <alignment vertical="center"/>
    </xf>
    <xf numFmtId="0" fontId="6" fillId="0" borderId="178" xfId="39" applyFont="1" applyBorder="1" applyAlignment="1">
      <alignment vertical="center"/>
    </xf>
    <xf numFmtId="0" fontId="6" fillId="0" borderId="178" xfId="39" quotePrefix="1" applyFont="1" applyBorder="1" applyAlignment="1">
      <alignment vertical="center"/>
    </xf>
    <xf numFmtId="0" fontId="13" fillId="0" borderId="178" xfId="39" applyFont="1" applyBorder="1" applyAlignment="1">
      <alignment horizontal="right" vertical="center"/>
    </xf>
    <xf numFmtId="0" fontId="6" fillId="0" borderId="0" xfId="39" quotePrefix="1" applyFont="1" applyAlignment="1">
      <alignment horizontal="left" vertical="center"/>
    </xf>
    <xf numFmtId="0" fontId="6" fillId="0" borderId="0" xfId="39" applyFont="1" applyAlignment="1">
      <alignment horizontal="left" vertical="center"/>
    </xf>
    <xf numFmtId="0" fontId="6" fillId="0" borderId="178" xfId="39" applyFont="1" applyBorder="1" applyAlignment="1">
      <alignment horizontal="centerContinuous" vertical="center"/>
    </xf>
    <xf numFmtId="0" fontId="6" fillId="0" borderId="0" xfId="39" applyFont="1" applyAlignment="1">
      <alignment horizontal="centerContinuous" vertical="center"/>
    </xf>
    <xf numFmtId="0" fontId="6" fillId="0" borderId="178" xfId="39" quotePrefix="1" applyFont="1" applyBorder="1" applyAlignment="1">
      <alignment horizontal="left" vertical="center"/>
    </xf>
    <xf numFmtId="0" fontId="6" fillId="0" borderId="177" xfId="0" applyFont="1" applyBorder="1">
      <alignment vertical="center"/>
    </xf>
    <xf numFmtId="0" fontId="15" fillId="2" borderId="177" xfId="0" applyFont="1" applyFill="1" applyBorder="1" applyAlignment="1">
      <alignment horizontal="right" vertical="center"/>
    </xf>
    <xf numFmtId="0" fontId="6" fillId="2" borderId="177" xfId="0" applyFont="1" applyFill="1" applyBorder="1">
      <alignment vertical="center"/>
    </xf>
    <xf numFmtId="0" fontId="6" fillId="2" borderId="177" xfId="0" applyFont="1" applyFill="1" applyBorder="1" applyAlignment="1">
      <alignment horizontal="center" vertical="center"/>
    </xf>
    <xf numFmtId="0" fontId="6" fillId="2" borderId="177" xfId="0" applyFont="1" applyFill="1" applyBorder="1" applyAlignment="1">
      <alignment vertical="center"/>
    </xf>
    <xf numFmtId="0" fontId="6" fillId="0" borderId="0" xfId="39" quotePrefix="1" applyFont="1" applyBorder="1" applyAlignment="1">
      <alignment vertical="center"/>
    </xf>
    <xf numFmtId="0" fontId="6" fillId="0" borderId="0" xfId="39" applyFont="1" applyBorder="1" applyAlignment="1">
      <alignment vertical="center"/>
    </xf>
    <xf numFmtId="0" fontId="113" fillId="0" borderId="0" xfId="0" quotePrefix="1" applyFont="1" applyAlignment="1">
      <alignment horizontal="left" vertical="center"/>
    </xf>
    <xf numFmtId="0" fontId="10" fillId="0" borderId="0" xfId="39" applyFont="1" applyAlignment="1">
      <alignment horizontal="left" vertical="center"/>
    </xf>
    <xf numFmtId="0" fontId="108" fillId="0" borderId="0" xfId="39" applyFont="1" applyAlignment="1">
      <alignment horizontal="right" vertical="center"/>
    </xf>
    <xf numFmtId="0" fontId="0" fillId="0" borderId="0" xfId="0" applyAlignment="1"/>
    <xf numFmtId="0" fontId="89" fillId="0" borderId="0" xfId="39" applyFont="1" applyAlignment="1">
      <alignment horizontal="right" vertical="center"/>
    </xf>
    <xf numFmtId="2" fontId="6" fillId="0" borderId="0" xfId="0" quotePrefix="1" applyNumberFormat="1" applyFont="1">
      <alignment vertical="center"/>
    </xf>
    <xf numFmtId="179" fontId="6" fillId="0" borderId="0" xfId="0" applyNumberFormat="1" applyFont="1">
      <alignment vertical="center"/>
    </xf>
    <xf numFmtId="0" fontId="6" fillId="0" borderId="178" xfId="0" applyFont="1" applyBorder="1" applyAlignment="1">
      <alignment horizontal="centerContinuous" vertical="center"/>
    </xf>
    <xf numFmtId="41" fontId="6" fillId="0" borderId="178" xfId="12" applyFont="1" applyBorder="1" applyAlignment="1">
      <alignment horizontal="centerContinuous" vertical="center"/>
    </xf>
    <xf numFmtId="179" fontId="6" fillId="0" borderId="0" xfId="0" applyNumberFormat="1" applyFont="1" applyAlignment="1">
      <alignment horizontal="centerContinuous" vertical="center"/>
    </xf>
    <xf numFmtId="0" fontId="6" fillId="0" borderId="0" xfId="0" applyFont="1" applyAlignment="1">
      <alignment horizontal="centerContinuous" vertical="center"/>
    </xf>
    <xf numFmtId="41" fontId="6" fillId="0" borderId="0" xfId="12" applyFont="1" applyAlignment="1">
      <alignment horizontal="centerContinuous" vertical="center"/>
    </xf>
    <xf numFmtId="41" fontId="6" fillId="0" borderId="178" xfId="12" quotePrefix="1" applyFont="1" applyBorder="1" applyAlignment="1">
      <alignment horizontal="centerContinuous" vertical="center"/>
    </xf>
    <xf numFmtId="41" fontId="6" fillId="0" borderId="178" xfId="12" applyFont="1" applyBorder="1" applyAlignment="1">
      <alignment vertical="center"/>
    </xf>
    <xf numFmtId="179" fontId="6" fillId="0" borderId="0" xfId="0" applyNumberFormat="1" applyFont="1" applyAlignment="1">
      <alignment horizontal="left" vertical="center"/>
    </xf>
    <xf numFmtId="177" fontId="6" fillId="0" borderId="18" xfId="0" applyNumberFormat="1" applyFont="1" applyBorder="1" applyAlignment="1">
      <alignment horizontal="center" vertical="center"/>
    </xf>
    <xf numFmtId="2" fontId="6" fillId="0" borderId="18" xfId="0" applyNumberFormat="1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2" fontId="7" fillId="0" borderId="0" xfId="0" applyNumberFormat="1" applyFont="1">
      <alignment vertical="center"/>
    </xf>
    <xf numFmtId="182" fontId="6" fillId="0" borderId="0" xfId="0" applyNumberFormat="1" applyFont="1" applyAlignment="1">
      <alignment horizontal="left" vertical="center"/>
    </xf>
    <xf numFmtId="180" fontId="6" fillId="2" borderId="177" xfId="0" applyNumberFormat="1" applyFont="1" applyFill="1" applyBorder="1">
      <alignment vertical="center"/>
    </xf>
    <xf numFmtId="0" fontId="5" fillId="0" borderId="0" xfId="0" applyFont="1" applyAlignment="1">
      <alignment horizontal="left" vertical="center"/>
    </xf>
    <xf numFmtId="180" fontId="6" fillId="0" borderId="0" xfId="0" applyNumberFormat="1" applyFont="1">
      <alignment vertical="center"/>
    </xf>
    <xf numFmtId="180" fontId="6" fillId="0" borderId="178" xfId="0" applyNumberFormat="1" applyFont="1" applyBorder="1">
      <alignment vertical="center"/>
    </xf>
    <xf numFmtId="0" fontId="0" fillId="2" borderId="177" xfId="0" applyFill="1" applyBorder="1">
      <alignment vertical="center"/>
    </xf>
    <xf numFmtId="177" fontId="6" fillId="0" borderId="40" xfId="0" applyNumberFormat="1" applyFont="1" applyBorder="1">
      <alignment vertical="center"/>
    </xf>
    <xf numFmtId="0" fontId="6" fillId="0" borderId="45" xfId="0" applyFont="1" applyBorder="1" applyAlignment="1">
      <alignment horizontal="left" vertical="center"/>
    </xf>
    <xf numFmtId="0" fontId="24" fillId="0" borderId="178" xfId="0" applyFont="1" applyBorder="1">
      <alignment vertical="center"/>
    </xf>
    <xf numFmtId="0" fontId="22" fillId="0" borderId="0" xfId="0" applyFont="1" applyAlignment="1">
      <alignment horizontal="right" vertical="center"/>
    </xf>
    <xf numFmtId="0" fontId="67" fillId="0" borderId="39" xfId="0" applyFont="1" applyBorder="1">
      <alignment vertical="center"/>
    </xf>
    <xf numFmtId="0" fontId="115" fillId="0" borderId="0" xfId="0" applyFont="1">
      <alignment vertical="center"/>
    </xf>
    <xf numFmtId="0" fontId="10" fillId="0" borderId="44" xfId="0" applyFont="1" applyBorder="1">
      <alignment vertical="center"/>
    </xf>
    <xf numFmtId="180" fontId="10" fillId="2" borderId="177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6" fillId="2" borderId="60" xfId="0" applyFont="1" applyFill="1" applyBorder="1" applyAlignment="1">
      <alignment vertical="center"/>
    </xf>
    <xf numFmtId="0" fontId="6" fillId="2" borderId="178" xfId="0" applyFont="1" applyFill="1" applyBorder="1" applyAlignment="1">
      <alignment vertical="center"/>
    </xf>
    <xf numFmtId="0" fontId="6" fillId="2" borderId="60" xfId="0" applyFont="1" applyFill="1" applyBorder="1" applyAlignment="1">
      <alignment horizontal="left" vertical="center"/>
    </xf>
    <xf numFmtId="0" fontId="6" fillId="2" borderId="178" xfId="0" applyFont="1" applyFill="1" applyBorder="1" applyAlignment="1">
      <alignment horizontal="left" vertical="center"/>
    </xf>
    <xf numFmtId="177" fontId="6" fillId="0" borderId="18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/>
    </xf>
    <xf numFmtId="0" fontId="6" fillId="0" borderId="90" xfId="0" applyFont="1" applyBorder="1">
      <alignment vertical="center"/>
    </xf>
    <xf numFmtId="0" fontId="6" fillId="2" borderId="178" xfId="0" applyFont="1" applyFill="1" applyBorder="1">
      <alignment vertical="center"/>
    </xf>
    <xf numFmtId="41" fontId="6" fillId="2" borderId="178" xfId="12" applyFont="1" applyFill="1" applyBorder="1" applyAlignment="1">
      <alignment horizontal="left" vertical="center"/>
    </xf>
    <xf numFmtId="41" fontId="6" fillId="2" borderId="178" xfId="12" applyFont="1" applyFill="1" applyBorder="1" applyAlignment="1">
      <alignment vertical="center"/>
    </xf>
    <xf numFmtId="0" fontId="6" fillId="2" borderId="78" xfId="0" applyFont="1" applyFill="1" applyBorder="1">
      <alignment vertical="center"/>
    </xf>
    <xf numFmtId="0" fontId="6" fillId="2" borderId="60" xfId="0" applyFont="1" applyFill="1" applyBorder="1">
      <alignment vertical="center"/>
    </xf>
    <xf numFmtId="0" fontId="6" fillId="2" borderId="85" xfId="0" applyFont="1" applyFill="1" applyBorder="1">
      <alignment vertical="center"/>
    </xf>
    <xf numFmtId="0" fontId="6" fillId="2" borderId="61" xfId="0" applyFont="1" applyFill="1" applyBorder="1">
      <alignment vertical="center"/>
    </xf>
    <xf numFmtId="0" fontId="6" fillId="0" borderId="33" xfId="0" applyFont="1" applyBorder="1">
      <alignment vertical="center"/>
    </xf>
    <xf numFmtId="0" fontId="6" fillId="0" borderId="91" xfId="0" applyFont="1" applyBorder="1">
      <alignment vertical="center"/>
    </xf>
    <xf numFmtId="0" fontId="117" fillId="0" borderId="0" xfId="0" quotePrefix="1" applyFont="1" applyAlignment="1">
      <alignment horizontal="left" vertical="center"/>
    </xf>
    <xf numFmtId="0" fontId="10" fillId="0" borderId="52" xfId="0" applyFont="1" applyBorder="1">
      <alignment vertical="center"/>
    </xf>
    <xf numFmtId="41" fontId="10" fillId="2" borderId="177" xfId="12" applyFont="1" applyFill="1" applyBorder="1" applyAlignment="1">
      <alignment vertical="center"/>
    </xf>
    <xf numFmtId="0" fontId="6" fillId="0" borderId="178" xfId="12" applyNumberFormat="1" applyFont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6" fillId="3" borderId="0" xfId="0" applyFont="1" applyFill="1" applyBorder="1">
      <alignment vertical="center"/>
    </xf>
    <xf numFmtId="0" fontId="0" fillId="3" borderId="0" xfId="0" applyFill="1" applyAlignment="1"/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6" fillId="0" borderId="178" xfId="0" applyFont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0" fontId="10" fillId="0" borderId="0" xfId="0" applyFont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178" xfId="0" applyFont="1" applyFill="1" applyBorder="1" applyAlignment="1">
      <alignment horizontal="center" vertical="center"/>
    </xf>
    <xf numFmtId="0" fontId="6" fillId="0" borderId="0" xfId="0" quotePrefix="1" applyFont="1" applyFill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0" fontId="6" fillId="0" borderId="0" xfId="0" quotePrefix="1" applyFont="1" applyAlignment="1">
      <alignment vertical="center"/>
    </xf>
    <xf numFmtId="0" fontId="6" fillId="0" borderId="0" xfId="39" quotePrefix="1" applyFont="1" applyAlignment="1">
      <alignment horizontal="left" vertical="center"/>
    </xf>
    <xf numFmtId="0" fontId="10" fillId="0" borderId="178" xfId="0" applyFont="1" applyBorder="1" applyAlignment="1">
      <alignment horizontal="left" vertical="center"/>
    </xf>
    <xf numFmtId="0" fontId="10" fillId="2" borderId="177" xfId="0" quotePrefix="1" applyFont="1" applyFill="1" applyBorder="1">
      <alignment vertical="center"/>
    </xf>
    <xf numFmtId="0" fontId="10" fillId="2" borderId="177" xfId="0" applyFont="1" applyFill="1" applyBorder="1" applyAlignment="1">
      <alignment horizontal="left" vertical="center"/>
    </xf>
    <xf numFmtId="0" fontId="10" fillId="2" borderId="177" xfId="12" applyNumberFormat="1" applyFont="1" applyFill="1" applyBorder="1" applyAlignment="1">
      <alignment horizontal="left" vertical="center"/>
    </xf>
    <xf numFmtId="0" fontId="10" fillId="2" borderId="177" xfId="0" applyFont="1" applyFill="1" applyBorder="1" applyAlignment="1">
      <alignment horizontal="center" vertical="center"/>
    </xf>
    <xf numFmtId="0" fontId="99" fillId="0" borderId="0" xfId="0" applyFont="1">
      <alignment vertical="center"/>
    </xf>
    <xf numFmtId="0" fontId="6" fillId="0" borderId="0" xfId="39" applyFont="1" applyBorder="1" applyAlignment="1">
      <alignment horizontal="left" vertical="center"/>
    </xf>
    <xf numFmtId="0" fontId="9" fillId="0" borderId="178" xfId="0" applyFont="1" applyFill="1" applyBorder="1">
      <alignment vertical="center"/>
    </xf>
    <xf numFmtId="0" fontId="89" fillId="0" borderId="0" xfId="0" applyFont="1" applyBorder="1" applyAlignment="1">
      <alignment horizontal="right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6" fillId="0" borderId="0" xfId="39" quotePrefix="1" applyFont="1" applyAlignment="1">
      <alignment horizontal="center" vertical="center"/>
    </xf>
    <xf numFmtId="0" fontId="6" fillId="0" borderId="178" xfId="0" quotePrefix="1" applyFont="1" applyFill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0" xfId="39" quotePrefix="1" applyFont="1" applyBorder="1" applyAlignment="1">
      <alignment horizontal="center" vertical="center"/>
    </xf>
    <xf numFmtId="0" fontId="6" fillId="0" borderId="178" xfId="39" quotePrefix="1" applyFont="1" applyBorder="1" applyAlignment="1">
      <alignment horizontal="center" vertical="center"/>
    </xf>
    <xf numFmtId="0" fontId="6" fillId="2" borderId="177" xfId="39" quotePrefix="1" applyFont="1" applyFill="1" applyBorder="1" applyAlignment="1">
      <alignment vertical="center"/>
    </xf>
    <xf numFmtId="0" fontId="6" fillId="2" borderId="177" xfId="0" quotePrefix="1" applyFont="1" applyFill="1" applyBorder="1">
      <alignment vertical="center"/>
    </xf>
    <xf numFmtId="0" fontId="6" fillId="2" borderId="177" xfId="39" quotePrefix="1" applyFont="1" applyFill="1" applyBorder="1" applyAlignment="1">
      <alignment horizontal="center" vertical="center"/>
    </xf>
    <xf numFmtId="1" fontId="6" fillId="0" borderId="0" xfId="0" applyNumberFormat="1" applyFont="1" applyBorder="1" applyAlignment="1">
      <alignment vertical="center"/>
    </xf>
    <xf numFmtId="2" fontId="6" fillId="0" borderId="0" xfId="0" applyNumberFormat="1" applyFont="1" applyBorder="1" applyAlignment="1">
      <alignment vertical="center"/>
    </xf>
    <xf numFmtId="1" fontId="6" fillId="0" borderId="178" xfId="0" applyNumberFormat="1" applyFont="1" applyBorder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6" fillId="0" borderId="178" xfId="39" applyFont="1" applyBorder="1" applyAlignment="1">
      <alignment horizontal="left" vertical="center"/>
    </xf>
    <xf numFmtId="0" fontId="8" fillId="0" borderId="0" xfId="39" quotePrefix="1" applyFont="1" applyAlignment="1">
      <alignment horizontal="center" vertical="center"/>
    </xf>
    <xf numFmtId="1" fontId="6" fillId="0" borderId="178" xfId="0" quotePrefix="1" applyNumberFormat="1" applyFont="1" applyBorder="1" applyAlignment="1">
      <alignment vertical="center"/>
    </xf>
    <xf numFmtId="0" fontId="6" fillId="2" borderId="177" xfId="39" quotePrefix="1" applyFont="1" applyFill="1" applyBorder="1" applyAlignment="1">
      <alignment horizontal="left" vertical="center"/>
    </xf>
    <xf numFmtId="0" fontId="6" fillId="2" borderId="201" xfId="0" quotePrefix="1" applyFont="1" applyFill="1" applyBorder="1" applyAlignment="1">
      <alignment horizontal="left" vertical="center"/>
    </xf>
    <xf numFmtId="0" fontId="6" fillId="2" borderId="202" xfId="0" applyFont="1" applyFill="1" applyBorder="1">
      <alignment vertical="center"/>
    </xf>
    <xf numFmtId="0" fontId="6" fillId="0" borderId="33" xfId="0" quotePrefix="1" applyFont="1" applyBorder="1">
      <alignment vertical="center"/>
    </xf>
    <xf numFmtId="0" fontId="6" fillId="0" borderId="33" xfId="39" quotePrefix="1" applyFont="1" applyBorder="1" applyAlignment="1">
      <alignment horizontal="center" vertical="center"/>
    </xf>
    <xf numFmtId="0" fontId="6" fillId="0" borderId="34" xfId="0" applyFont="1" applyFill="1" applyBorder="1">
      <alignment vertical="center"/>
    </xf>
    <xf numFmtId="0" fontId="6" fillId="0" borderId="25" xfId="0" applyFont="1" applyBorder="1">
      <alignment vertical="center"/>
    </xf>
    <xf numFmtId="0" fontId="6" fillId="0" borderId="178" xfId="0" quotePrefix="1" applyFont="1" applyBorder="1" applyAlignment="1">
      <alignment vertical="center"/>
    </xf>
    <xf numFmtId="0" fontId="6" fillId="0" borderId="178" xfId="0" quotePrefix="1" applyFont="1" applyFill="1" applyBorder="1" applyAlignment="1">
      <alignment vertical="center"/>
    </xf>
    <xf numFmtId="0" fontId="6" fillId="0" borderId="0" xfId="0" quotePrefix="1" applyFont="1" applyFill="1" applyBorder="1" applyAlignment="1">
      <alignment vertical="center"/>
    </xf>
    <xf numFmtId="0" fontId="6" fillId="0" borderId="178" xfId="0" quotePrefix="1" applyFont="1" applyBorder="1" applyAlignment="1">
      <alignment horizontal="center" vertical="center"/>
    </xf>
    <xf numFmtId="0" fontId="6" fillId="2" borderId="203" xfId="0" quotePrefix="1" applyFont="1" applyFill="1" applyBorder="1" applyAlignment="1">
      <alignment horizontal="left" vertical="center"/>
    </xf>
    <xf numFmtId="0" fontId="6" fillId="0" borderId="33" xfId="39" applyFont="1" applyBorder="1" applyAlignment="1">
      <alignment vertical="center"/>
    </xf>
    <xf numFmtId="0" fontId="6" fillId="0" borderId="25" xfId="39" applyFont="1" applyBorder="1" applyAlignment="1">
      <alignment vertical="center"/>
    </xf>
    <xf numFmtId="2" fontId="6" fillId="0" borderId="178" xfId="0" quotePrefix="1" applyNumberFormat="1" applyFont="1" applyBorder="1" applyAlignment="1">
      <alignment vertical="center"/>
    </xf>
    <xf numFmtId="2" fontId="6" fillId="0" borderId="0" xfId="0" quotePrefix="1" applyNumberFormat="1" applyFont="1" applyBorder="1" applyAlignment="1">
      <alignment vertical="center"/>
    </xf>
    <xf numFmtId="0" fontId="6" fillId="0" borderId="204" xfId="39" applyFont="1" applyBorder="1" applyAlignment="1">
      <alignment vertical="center"/>
    </xf>
    <xf numFmtId="0" fontId="6" fillId="3" borderId="26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" fontId="6" fillId="0" borderId="0" xfId="39" quotePrefix="1" applyNumberFormat="1" applyFont="1" applyBorder="1" applyAlignment="1">
      <alignment vertical="center"/>
    </xf>
    <xf numFmtId="0" fontId="6" fillId="0" borderId="146" xfId="0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1" fontId="6" fillId="0" borderId="178" xfId="39" quotePrefix="1" applyNumberFormat="1" applyFont="1" applyBorder="1" applyAlignment="1">
      <alignment vertical="center"/>
    </xf>
    <xf numFmtId="0" fontId="6" fillId="0" borderId="178" xfId="0" applyNumberFormat="1" applyFont="1" applyBorder="1" applyAlignment="1">
      <alignment vertical="center"/>
    </xf>
    <xf numFmtId="0" fontId="6" fillId="0" borderId="34" xfId="0" applyNumberFormat="1" applyFont="1" applyBorder="1" applyAlignment="1">
      <alignment vertical="center"/>
    </xf>
    <xf numFmtId="1" fontId="6" fillId="0" borderId="146" xfId="0" applyNumberFormat="1" applyFont="1" applyBorder="1" applyAlignment="1">
      <alignment vertical="center"/>
    </xf>
    <xf numFmtId="1" fontId="6" fillId="0" borderId="146" xfId="0" quotePrefix="1" applyNumberFormat="1" applyFont="1" applyBorder="1" applyAlignment="1">
      <alignment vertical="center"/>
    </xf>
    <xf numFmtId="2" fontId="6" fillId="0" borderId="146" xfId="0" quotePrefix="1" applyNumberFormat="1" applyFont="1" applyBorder="1" applyAlignment="1">
      <alignment vertical="center"/>
    </xf>
    <xf numFmtId="0" fontId="6" fillId="0" borderId="25" xfId="39" quotePrefix="1" applyFont="1" applyBorder="1" applyAlignment="1">
      <alignment horizontal="left" vertical="center"/>
    </xf>
    <xf numFmtId="0" fontId="6" fillId="0" borderId="0" xfId="39" applyFont="1" applyBorder="1" applyAlignment="1">
      <alignment horizontal="centerContinuous" vertical="center"/>
    </xf>
    <xf numFmtId="0" fontId="6" fillId="0" borderId="178" xfId="0" quotePrefix="1" applyNumberFormat="1" applyFont="1" applyBorder="1" applyAlignment="1">
      <alignment vertical="center"/>
    </xf>
    <xf numFmtId="0" fontId="6" fillId="0" borderId="178" xfId="0" quotePrefix="1" applyNumberFormat="1" applyFont="1" applyFill="1" applyBorder="1" applyAlignment="1">
      <alignment vertical="center"/>
    </xf>
    <xf numFmtId="0" fontId="6" fillId="0" borderId="0" xfId="0" quotePrefix="1" applyNumberFormat="1" applyFont="1" applyBorder="1" applyAlignment="1">
      <alignment vertical="center"/>
    </xf>
    <xf numFmtId="0" fontId="6" fillId="0" borderId="0" xfId="0" quotePrefix="1" applyNumberFormat="1" applyFont="1" applyFill="1" applyBorder="1" applyAlignment="1">
      <alignment vertical="center"/>
    </xf>
    <xf numFmtId="0" fontId="6" fillId="0" borderId="0" xfId="39" quotePrefix="1" applyNumberFormat="1" applyFont="1" applyBorder="1" applyAlignment="1">
      <alignment vertical="center"/>
    </xf>
    <xf numFmtId="0" fontId="6" fillId="0" borderId="146" xfId="0" applyNumberFormat="1" applyFont="1" applyBorder="1" applyAlignment="1">
      <alignment vertical="center"/>
    </xf>
    <xf numFmtId="0" fontId="6" fillId="0" borderId="0" xfId="0" quotePrefix="1" applyNumberFormat="1" applyFont="1" applyBorder="1">
      <alignment vertical="center"/>
    </xf>
    <xf numFmtId="0" fontId="6" fillId="0" borderId="0" xfId="0" quotePrefix="1" applyNumberFormat="1" applyFont="1" applyFill="1" applyBorder="1" applyAlignment="1">
      <alignment horizontal="center" vertical="center"/>
    </xf>
    <xf numFmtId="0" fontId="6" fillId="0" borderId="146" xfId="0" applyNumberFormat="1" applyFont="1" applyFill="1" applyBorder="1" applyAlignment="1">
      <alignment vertical="center"/>
    </xf>
    <xf numFmtId="0" fontId="6" fillId="0" borderId="0" xfId="0" applyNumberFormat="1" applyFont="1" applyFill="1" applyBorder="1">
      <alignment vertical="center"/>
    </xf>
    <xf numFmtId="177" fontId="6" fillId="0" borderId="178" xfId="0" quotePrefix="1" applyNumberFormat="1" applyFont="1" applyBorder="1" applyAlignment="1">
      <alignment vertical="center"/>
    </xf>
    <xf numFmtId="177" fontId="6" fillId="0" borderId="0" xfId="0" quotePrefix="1" applyNumberFormat="1" applyFont="1" applyBorder="1" applyAlignment="1">
      <alignment vertical="center"/>
    </xf>
    <xf numFmtId="177" fontId="6" fillId="0" borderId="146" xfId="0" applyNumberFormat="1" applyFont="1" applyBorder="1" applyAlignment="1">
      <alignment vertical="center"/>
    </xf>
    <xf numFmtId="0" fontId="117" fillId="0" borderId="0" xfId="0" quotePrefix="1" applyFont="1" applyAlignment="1">
      <alignment horizontal="left"/>
    </xf>
    <xf numFmtId="0" fontId="6" fillId="0" borderId="0" xfId="0" applyFont="1" applyAlignment="1"/>
    <xf numFmtId="0" fontId="6" fillId="0" borderId="0" xfId="0" quotePrefix="1" applyFont="1" applyAlignment="1"/>
    <xf numFmtId="0" fontId="6" fillId="3" borderId="0" xfId="0" applyFont="1" applyFill="1" applyAlignment="1"/>
    <xf numFmtId="2" fontId="6" fillId="0" borderId="21" xfId="0" applyNumberFormat="1" applyFont="1" applyFill="1" applyBorder="1" applyAlignment="1">
      <alignment horizontal="center" vertical="center"/>
    </xf>
    <xf numFmtId="2" fontId="6" fillId="0" borderId="24" xfId="0" applyNumberFormat="1" applyFont="1" applyFill="1" applyBorder="1" applyAlignment="1">
      <alignment horizontal="center" vertical="center"/>
    </xf>
    <xf numFmtId="2" fontId="6" fillId="0" borderId="205" xfId="0" applyNumberFormat="1" applyFont="1" applyFill="1" applyBorder="1" applyAlignment="1">
      <alignment horizontal="center" vertical="center"/>
    </xf>
    <xf numFmtId="0" fontId="6" fillId="3" borderId="75" xfId="0" quotePrefix="1" applyFont="1" applyFill="1" applyBorder="1" applyAlignment="1">
      <alignment horizontal="center" vertical="center"/>
    </xf>
    <xf numFmtId="0" fontId="6" fillId="3" borderId="76" xfId="0" quotePrefix="1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79" fontId="6" fillId="0" borderId="0" xfId="0" applyNumberFormat="1" applyFont="1" applyFill="1" applyBorder="1" applyAlignment="1">
      <alignment horizontal="center" vertical="center"/>
    </xf>
    <xf numFmtId="2" fontId="8" fillId="0" borderId="21" xfId="0" applyNumberFormat="1" applyFont="1" applyFill="1" applyBorder="1" applyAlignment="1">
      <alignment horizontal="center" vertical="center"/>
    </xf>
    <xf numFmtId="0" fontId="88" fillId="8" borderId="170" xfId="0" applyFont="1" applyFill="1" applyBorder="1" applyAlignment="1">
      <alignment horizontal="center" vertical="center"/>
    </xf>
    <xf numFmtId="0" fontId="88" fillId="8" borderId="154" xfId="0" applyFont="1" applyFill="1" applyBorder="1" applyAlignment="1">
      <alignment horizontal="center" vertical="center"/>
    </xf>
    <xf numFmtId="0" fontId="88" fillId="8" borderId="166" xfId="0" applyFont="1" applyFill="1" applyBorder="1" applyAlignment="1">
      <alignment horizontal="center" vertical="center"/>
    </xf>
    <xf numFmtId="0" fontId="88" fillId="8" borderId="171" xfId="0" applyFont="1" applyFill="1" applyBorder="1" applyAlignment="1">
      <alignment horizontal="center" vertical="center"/>
    </xf>
    <xf numFmtId="0" fontId="88" fillId="9" borderId="165" xfId="0" applyFont="1" applyFill="1" applyBorder="1" applyAlignment="1">
      <alignment horizontal="center" vertical="center"/>
    </xf>
    <xf numFmtId="0" fontId="88" fillId="9" borderId="163" xfId="0" applyFont="1" applyFill="1" applyBorder="1" applyAlignment="1">
      <alignment horizontal="center" vertical="center"/>
    </xf>
    <xf numFmtId="0" fontId="88" fillId="9" borderId="164" xfId="0" applyFont="1" applyFill="1" applyBorder="1" applyAlignment="1">
      <alignment horizontal="center" vertical="center"/>
    </xf>
    <xf numFmtId="0" fontId="88" fillId="9" borderId="162" xfId="0" applyFont="1" applyFill="1" applyBorder="1" applyAlignment="1">
      <alignment horizontal="center" vertical="center"/>
    </xf>
    <xf numFmtId="0" fontId="88" fillId="8" borderId="155" xfId="0" applyFont="1" applyFill="1" applyBorder="1" applyAlignment="1">
      <alignment horizontal="center" vertical="center"/>
    </xf>
    <xf numFmtId="0" fontId="88" fillId="8" borderId="156" xfId="0" applyFont="1" applyFill="1" applyBorder="1" applyAlignment="1">
      <alignment horizontal="center" vertical="center"/>
    </xf>
    <xf numFmtId="0" fontId="88" fillId="8" borderId="0" xfId="0" applyFont="1" applyFill="1" applyAlignment="1">
      <alignment horizontal="center" vertical="center"/>
    </xf>
    <xf numFmtId="0" fontId="88" fillId="8" borderId="157" xfId="0" applyFont="1" applyFill="1" applyBorder="1" applyAlignment="1">
      <alignment horizontal="center" vertical="center"/>
    </xf>
    <xf numFmtId="0" fontId="88" fillId="8" borderId="159" xfId="0" applyFont="1" applyFill="1" applyBorder="1" applyAlignment="1">
      <alignment horizontal="center" vertical="center"/>
    </xf>
    <xf numFmtId="0" fontId="88" fillId="8" borderId="160" xfId="0" applyFont="1" applyFill="1" applyBorder="1" applyAlignment="1">
      <alignment horizontal="center" vertical="center"/>
    </xf>
    <xf numFmtId="0" fontId="88" fillId="8" borderId="161" xfId="0" applyFont="1" applyFill="1" applyBorder="1" applyAlignment="1">
      <alignment horizontal="center" vertical="center"/>
    </xf>
    <xf numFmtId="0" fontId="88" fillId="8" borderId="149" xfId="0" applyFont="1" applyFill="1" applyBorder="1" applyAlignment="1">
      <alignment horizontal="center" vertical="center"/>
    </xf>
    <xf numFmtId="0" fontId="88" fillId="8" borderId="150" xfId="0" applyFont="1" applyFill="1" applyBorder="1" applyAlignment="1">
      <alignment horizontal="center" vertical="center"/>
    </xf>
    <xf numFmtId="0" fontId="88" fillId="8" borderId="151" xfId="0" applyFont="1" applyFill="1" applyBorder="1" applyAlignment="1">
      <alignment horizontal="center" vertical="center"/>
    </xf>
    <xf numFmtId="0" fontId="88" fillId="8" borderId="152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19" fillId="3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right" vertical="center"/>
    </xf>
    <xf numFmtId="1" fontId="8" fillId="0" borderId="0" xfId="0" applyNumberFormat="1" applyFont="1" applyBorder="1" applyAlignment="1">
      <alignment horizontal="center" vertical="center"/>
    </xf>
    <xf numFmtId="41" fontId="6" fillId="0" borderId="0" xfId="12" applyNumberFormat="1" applyFont="1" applyBorder="1" applyAlignment="1">
      <alignment horizontal="center" vertical="center"/>
    </xf>
    <xf numFmtId="200" fontId="8" fillId="0" borderId="0" xfId="37" applyNumberFormat="1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6" fillId="2" borderId="3" xfId="0" applyFont="1" applyFill="1" applyBorder="1" applyAlignment="1">
      <alignment horizontal="center" vertical="center"/>
    </xf>
    <xf numFmtId="0" fontId="37" fillId="2" borderId="8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0" fontId="10" fillId="2" borderId="0" xfId="0" applyFont="1" applyFill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37" fillId="2" borderId="3" xfId="0" applyFont="1" applyFill="1" applyBorder="1" applyAlignment="1">
      <alignment horizontal="center" vertical="center"/>
    </xf>
    <xf numFmtId="0" fontId="52" fillId="2" borderId="125" xfId="0" applyFont="1" applyFill="1" applyBorder="1" applyAlignment="1">
      <alignment horizontal="center" vertical="center" wrapText="1"/>
    </xf>
    <xf numFmtId="0" fontId="52" fillId="2" borderId="72" xfId="0" applyFont="1" applyFill="1" applyBorder="1" applyAlignment="1">
      <alignment horizontal="center" vertical="center" wrapText="1"/>
    </xf>
    <xf numFmtId="0" fontId="52" fillId="2" borderId="115" xfId="0" applyFont="1" applyFill="1" applyBorder="1" applyAlignment="1">
      <alignment horizontal="center" vertical="center" wrapText="1"/>
    </xf>
    <xf numFmtId="0" fontId="52" fillId="2" borderId="116" xfId="0" applyFont="1" applyFill="1" applyBorder="1" applyAlignment="1">
      <alignment horizontal="center" vertical="center" wrapText="1"/>
    </xf>
    <xf numFmtId="0" fontId="53" fillId="2" borderId="10" xfId="36" applyFont="1" applyFill="1" applyBorder="1" applyAlignment="1">
      <alignment horizontal="center" vertical="center" shrinkToFit="1"/>
    </xf>
    <xf numFmtId="0" fontId="53" fillId="2" borderId="11" xfId="36" applyFont="1" applyFill="1" applyBorder="1" applyAlignment="1">
      <alignment horizontal="center" vertical="center" shrinkToFit="1"/>
    </xf>
    <xf numFmtId="0" fontId="53" fillId="2" borderId="87" xfId="36" applyFont="1" applyFill="1" applyBorder="1" applyAlignment="1">
      <alignment horizontal="center" vertical="center" shrinkToFit="1"/>
    </xf>
    <xf numFmtId="0" fontId="53" fillId="2" borderId="13" xfId="36" applyFont="1" applyFill="1" applyBorder="1" applyAlignment="1">
      <alignment horizontal="center" vertical="center" shrinkToFit="1"/>
    </xf>
    <xf numFmtId="0" fontId="53" fillId="2" borderId="2" xfId="36" applyFont="1" applyFill="1" applyBorder="1" applyAlignment="1">
      <alignment horizontal="center" vertical="center" shrinkToFit="1"/>
    </xf>
    <xf numFmtId="0" fontId="53" fillId="2" borderId="9" xfId="36" applyFont="1" applyFill="1" applyBorder="1" applyAlignment="1">
      <alignment horizontal="center" vertical="center" shrinkToFit="1"/>
    </xf>
    <xf numFmtId="0" fontId="6" fillId="3" borderId="10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53" fillId="2" borderId="42" xfId="36" applyFont="1" applyFill="1" applyBorder="1" applyAlignment="1">
      <alignment horizontal="center" vertical="center" wrapText="1" shrinkToFit="1"/>
    </xf>
    <xf numFmtId="0" fontId="53" fillId="2" borderId="7" xfId="36" applyFont="1" applyFill="1" applyBorder="1" applyAlignment="1">
      <alignment horizontal="center" vertical="center" wrapText="1" shrinkToFit="1"/>
    </xf>
    <xf numFmtId="0" fontId="53" fillId="2" borderId="98" xfId="36" applyFont="1" applyFill="1" applyBorder="1" applyAlignment="1">
      <alignment horizontal="center" vertical="center" wrapText="1" shrinkToFit="1"/>
    </xf>
    <xf numFmtId="0" fontId="53" fillId="2" borderId="70" xfId="36" applyFont="1" applyFill="1" applyBorder="1" applyAlignment="1">
      <alignment horizontal="center" vertical="center" wrapText="1" shrinkToFit="1"/>
    </xf>
    <xf numFmtId="0" fontId="53" fillId="2" borderId="104" xfId="36" applyFont="1" applyFill="1" applyBorder="1" applyAlignment="1">
      <alignment horizontal="center" vertical="center" wrapText="1" shrinkToFit="1"/>
    </xf>
    <xf numFmtId="0" fontId="53" fillId="2" borderId="59" xfId="36" applyFont="1" applyFill="1" applyBorder="1" applyAlignment="1">
      <alignment horizontal="center" vertical="center" wrapText="1" shrinkToFit="1"/>
    </xf>
    <xf numFmtId="0" fontId="53" fillId="2" borderId="17" xfId="36" applyFont="1" applyFill="1" applyBorder="1" applyAlignment="1">
      <alignment horizontal="center" vertical="center" wrapText="1" shrinkToFit="1"/>
    </xf>
    <xf numFmtId="0" fontId="53" fillId="2" borderId="92" xfId="36" applyFont="1" applyFill="1" applyBorder="1" applyAlignment="1">
      <alignment horizontal="center" vertical="center" wrapText="1" shrinkToFit="1"/>
    </xf>
    <xf numFmtId="0" fontId="6" fillId="3" borderId="107" xfId="0" applyFont="1" applyFill="1" applyBorder="1" applyAlignment="1">
      <alignment horizontal="center" vertical="center"/>
    </xf>
    <xf numFmtId="0" fontId="6" fillId="3" borderId="108" xfId="0" applyFont="1" applyFill="1" applyBorder="1" applyAlignment="1">
      <alignment horizontal="center" vertical="center"/>
    </xf>
    <xf numFmtId="0" fontId="6" fillId="3" borderId="109" xfId="0" applyFont="1" applyFill="1" applyBorder="1" applyAlignment="1">
      <alignment horizontal="center" vertical="center"/>
    </xf>
    <xf numFmtId="0" fontId="6" fillId="3" borderId="127" xfId="0" applyFont="1" applyFill="1" applyBorder="1" applyAlignment="1">
      <alignment horizontal="center" vertical="center"/>
    </xf>
    <xf numFmtId="0" fontId="6" fillId="3" borderId="128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vertical="center"/>
    </xf>
    <xf numFmtId="0" fontId="6" fillId="3" borderId="86" xfId="0" applyFont="1" applyFill="1" applyBorder="1" applyAlignment="1">
      <alignment horizontal="center" vertical="center" wrapText="1"/>
    </xf>
    <xf numFmtId="0" fontId="6" fillId="3" borderId="87" xfId="0" applyFont="1" applyFill="1" applyBorder="1" applyAlignment="1">
      <alignment horizontal="center" vertical="center" wrapText="1"/>
    </xf>
    <xf numFmtId="0" fontId="6" fillId="3" borderId="69" xfId="0" applyFont="1" applyFill="1" applyBorder="1" applyAlignment="1">
      <alignment horizontal="center" vertical="center"/>
    </xf>
    <xf numFmtId="0" fontId="6" fillId="3" borderId="70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129" xfId="0" applyFont="1" applyFill="1" applyBorder="1" applyAlignment="1">
      <alignment horizontal="center" vertical="center"/>
    </xf>
    <xf numFmtId="0" fontId="6" fillId="3" borderId="60" xfId="0" applyFont="1" applyFill="1" applyBorder="1" applyAlignment="1">
      <alignment horizontal="center" vertical="center"/>
    </xf>
    <xf numFmtId="0" fontId="6" fillId="3" borderId="73" xfId="0" applyFont="1" applyFill="1" applyBorder="1" applyAlignment="1">
      <alignment horizontal="center" vertical="center"/>
    </xf>
    <xf numFmtId="0" fontId="6" fillId="3" borderId="99" xfId="0" applyFont="1" applyFill="1" applyBorder="1" applyAlignment="1">
      <alignment horizontal="center" vertical="center"/>
    </xf>
    <xf numFmtId="0" fontId="6" fillId="3" borderId="126" xfId="0" applyFont="1" applyFill="1" applyBorder="1" applyAlignment="1">
      <alignment horizontal="center" vertical="center"/>
    </xf>
    <xf numFmtId="0" fontId="6" fillId="3" borderId="105" xfId="0" applyFont="1" applyFill="1" applyBorder="1" applyAlignment="1">
      <alignment horizontal="center" vertical="center"/>
    </xf>
    <xf numFmtId="0" fontId="6" fillId="3" borderId="65" xfId="0" applyFont="1" applyFill="1" applyBorder="1" applyAlignment="1">
      <alignment horizontal="center" vertical="center"/>
    </xf>
    <xf numFmtId="0" fontId="6" fillId="3" borderId="110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3" borderId="38" xfId="0" applyFont="1" applyFill="1" applyBorder="1" applyAlignment="1">
      <alignment horizontal="center" vertical="center"/>
    </xf>
    <xf numFmtId="0" fontId="6" fillId="3" borderId="80" xfId="0" applyFont="1" applyFill="1" applyBorder="1" applyAlignment="1">
      <alignment horizontal="center" vertical="center"/>
    </xf>
    <xf numFmtId="0" fontId="6" fillId="3" borderId="54" xfId="0" applyFont="1" applyFill="1" applyBorder="1" applyAlignment="1">
      <alignment horizontal="center" vertical="center"/>
    </xf>
    <xf numFmtId="0" fontId="6" fillId="3" borderId="89" xfId="0" applyFont="1" applyFill="1" applyBorder="1" applyAlignment="1">
      <alignment horizontal="center" vertical="center"/>
    </xf>
    <xf numFmtId="0" fontId="10" fillId="3" borderId="95" xfId="0" quotePrefix="1" applyFont="1" applyFill="1" applyBorder="1" applyAlignment="1">
      <alignment horizontal="center" vertical="center"/>
    </xf>
    <xf numFmtId="0" fontId="10" fillId="3" borderId="96" xfId="0" quotePrefix="1" applyFont="1" applyFill="1" applyBorder="1" applyAlignment="1">
      <alignment horizontal="center" vertical="center"/>
    </xf>
    <xf numFmtId="0" fontId="10" fillId="3" borderId="97" xfId="0" quotePrefix="1" applyFont="1" applyFill="1" applyBorder="1" applyAlignment="1">
      <alignment horizontal="center" vertical="center"/>
    </xf>
    <xf numFmtId="0" fontId="6" fillId="3" borderId="35" xfId="0" applyFont="1" applyFill="1" applyBorder="1" applyAlignment="1">
      <alignment horizontal="center" vertical="center"/>
    </xf>
    <xf numFmtId="0" fontId="6" fillId="3" borderId="206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left" vertical="center"/>
    </xf>
    <xf numFmtId="0" fontId="74" fillId="0" borderId="0" xfId="0" applyFont="1" applyBorder="1" applyAlignment="1">
      <alignment horizontal="left" vertical="center"/>
    </xf>
    <xf numFmtId="0" fontId="6" fillId="0" borderId="40" xfId="0" applyFont="1" applyBorder="1" applyAlignment="1">
      <alignment horizontal="left" vertical="center"/>
    </xf>
    <xf numFmtId="0" fontId="6" fillId="0" borderId="42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98" xfId="0" applyFont="1" applyBorder="1" applyAlignment="1">
      <alignment horizontal="left" vertical="center"/>
    </xf>
    <xf numFmtId="0" fontId="6" fillId="0" borderId="17" xfId="0" applyFont="1" applyBorder="1" applyAlignment="1">
      <alignment horizontal="left" vertical="center"/>
    </xf>
    <xf numFmtId="0" fontId="6" fillId="0" borderId="18" xfId="0" applyFont="1" applyBorder="1" applyAlignment="1">
      <alignment horizontal="left" vertical="center"/>
    </xf>
    <xf numFmtId="0" fontId="6" fillId="0" borderId="6" xfId="0" applyFont="1" applyBorder="1" applyAlignment="1">
      <alignment horizontal="center" vertical="center"/>
    </xf>
    <xf numFmtId="0" fontId="6" fillId="0" borderId="39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10" fillId="3" borderId="37" xfId="0" applyFont="1" applyFill="1" applyBorder="1" applyAlignment="1">
      <alignment horizontal="center" vertical="center"/>
    </xf>
    <xf numFmtId="0" fontId="10" fillId="3" borderId="60" xfId="0" applyFont="1" applyFill="1" applyBorder="1" applyAlignment="1">
      <alignment horizontal="center" vertical="center"/>
    </xf>
    <xf numFmtId="0" fontId="10" fillId="3" borderId="38" xfId="0" applyFont="1" applyFill="1" applyBorder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0" fontId="10" fillId="3" borderId="206" xfId="0" applyFont="1" applyFill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left" vertical="center"/>
    </xf>
    <xf numFmtId="0" fontId="67" fillId="0" borderId="40" xfId="0" applyFont="1" applyBorder="1" applyAlignment="1">
      <alignment horizontal="left" vertical="center"/>
    </xf>
    <xf numFmtId="0" fontId="6" fillId="3" borderId="78" xfId="0" applyFont="1" applyFill="1" applyBorder="1" applyAlignment="1">
      <alignment horizontal="center" vertical="center"/>
    </xf>
    <xf numFmtId="0" fontId="6" fillId="3" borderId="85" xfId="0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/>
    </xf>
    <xf numFmtId="0" fontId="10" fillId="0" borderId="34" xfId="0" applyFont="1" applyFill="1" applyBorder="1" applyAlignment="1">
      <alignment horizontal="center" vertical="center"/>
    </xf>
    <xf numFmtId="0" fontId="6" fillId="3" borderId="86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79" xfId="0" applyFont="1" applyFill="1" applyBorder="1" applyAlignment="1">
      <alignment horizontal="center" vertical="center"/>
    </xf>
    <xf numFmtId="0" fontId="6" fillId="3" borderId="45" xfId="0" applyFont="1" applyFill="1" applyBorder="1" applyAlignment="1">
      <alignment horizontal="center" vertical="center"/>
    </xf>
    <xf numFmtId="0" fontId="6" fillId="3" borderId="62" xfId="0" applyFont="1" applyFill="1" applyBorder="1" applyAlignment="1">
      <alignment horizontal="center" vertical="center"/>
    </xf>
    <xf numFmtId="41" fontId="6" fillId="3" borderId="61" xfId="12" applyFont="1" applyFill="1" applyBorder="1" applyAlignment="1">
      <alignment horizontal="center" vertical="center"/>
    </xf>
    <xf numFmtId="41" fontId="6" fillId="3" borderId="45" xfId="12" applyFont="1" applyFill="1" applyBorder="1" applyAlignment="1">
      <alignment horizontal="center" vertical="center"/>
    </xf>
    <xf numFmtId="41" fontId="6" fillId="3" borderId="68" xfId="12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93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41" fontId="6" fillId="0" borderId="8" xfId="12" applyFont="1" applyBorder="1" applyAlignment="1">
      <alignment horizontal="center" vertical="center"/>
    </xf>
    <xf numFmtId="41" fontId="6" fillId="0" borderId="28" xfId="12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179" fontId="6" fillId="0" borderId="80" xfId="12" applyNumberFormat="1" applyFont="1" applyBorder="1" applyAlignment="1">
      <alignment horizontal="center" vertical="center"/>
    </xf>
    <xf numFmtId="179" fontId="6" fillId="0" borderId="89" xfId="12" applyNumberFormat="1" applyFont="1" applyBorder="1" applyAlignment="1">
      <alignment horizontal="center" vertical="center"/>
    </xf>
    <xf numFmtId="179" fontId="6" fillId="0" borderId="111" xfId="12" applyNumberFormat="1" applyFont="1" applyBorder="1" applyAlignment="1">
      <alignment horizontal="center" vertical="center"/>
    </xf>
    <xf numFmtId="179" fontId="6" fillId="0" borderId="106" xfId="12" applyNumberFormat="1" applyFont="1" applyBorder="1" applyAlignment="1">
      <alignment horizontal="center" vertical="center"/>
    </xf>
    <xf numFmtId="0" fontId="6" fillId="0" borderId="80" xfId="12" applyNumberFormat="1" applyFont="1" applyBorder="1" applyAlignment="1">
      <alignment horizontal="center" vertical="center"/>
    </xf>
    <xf numFmtId="0" fontId="6" fillId="0" borderId="54" xfId="12" applyNumberFormat="1" applyFont="1" applyBorder="1" applyAlignment="1">
      <alignment horizontal="center" vertical="center"/>
    </xf>
    <xf numFmtId="1" fontId="6" fillId="0" borderId="111" xfId="12" applyNumberFormat="1" applyFont="1" applyBorder="1" applyAlignment="1">
      <alignment horizontal="center" vertical="center"/>
    </xf>
    <xf numFmtId="1" fontId="6" fillId="0" borderId="112" xfId="12" applyNumberFormat="1" applyFont="1" applyBorder="1" applyAlignment="1">
      <alignment horizontal="center" vertical="center"/>
    </xf>
    <xf numFmtId="0" fontId="6" fillId="0" borderId="63" xfId="12" applyNumberFormat="1" applyFont="1" applyBorder="1" applyAlignment="1">
      <alignment horizontal="center" vertical="center"/>
    </xf>
    <xf numFmtId="1" fontId="6" fillId="0" borderId="101" xfId="12" applyNumberFormat="1" applyFont="1" applyBorder="1" applyAlignment="1">
      <alignment horizontal="center" vertical="center"/>
    </xf>
    <xf numFmtId="0" fontId="6" fillId="0" borderId="88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113" xfId="0" applyFont="1" applyBorder="1" applyAlignment="1">
      <alignment horizontal="center" vertical="center"/>
    </xf>
    <xf numFmtId="0" fontId="6" fillId="0" borderId="11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87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86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0" xfId="0" quotePrefix="1" applyFont="1" applyAlignment="1">
      <alignment horizontal="left" vertical="center"/>
    </xf>
    <xf numFmtId="2" fontId="6" fillId="0" borderId="58" xfId="0" applyNumberFormat="1" applyFont="1" applyFill="1" applyBorder="1" applyAlignment="1">
      <alignment horizontal="left" vertical="center"/>
    </xf>
    <xf numFmtId="2" fontId="6" fillId="0" borderId="39" xfId="0" applyNumberFormat="1" applyFont="1" applyFill="1" applyBorder="1" applyAlignment="1">
      <alignment horizontal="left" vertical="center"/>
    </xf>
    <xf numFmtId="2" fontId="6" fillId="0" borderId="59" xfId="0" applyNumberFormat="1" applyFont="1" applyFill="1" applyBorder="1" applyAlignment="1">
      <alignment horizontal="left" vertical="center"/>
    </xf>
    <xf numFmtId="2" fontId="6" fillId="0" borderId="8" xfId="0" applyNumberFormat="1" applyFont="1" applyFill="1" applyBorder="1" applyAlignment="1">
      <alignment horizontal="left" vertical="center"/>
    </xf>
    <xf numFmtId="2" fontId="6" fillId="0" borderId="2" xfId="0" applyNumberFormat="1" applyFont="1" applyFill="1" applyBorder="1" applyAlignment="1">
      <alignment horizontal="left" vertical="center"/>
    </xf>
    <xf numFmtId="2" fontId="6" fillId="0" borderId="9" xfId="0" applyNumberFormat="1" applyFont="1" applyFill="1" applyBorder="1" applyAlignment="1">
      <alignment horizontal="left" vertical="center"/>
    </xf>
    <xf numFmtId="0" fontId="6" fillId="0" borderId="69" xfId="0" applyFont="1" applyFill="1" applyBorder="1" applyAlignment="1">
      <alignment horizontal="center" vertical="center"/>
    </xf>
    <xf numFmtId="0" fontId="6" fillId="0" borderId="70" xfId="0" applyFont="1" applyFill="1" applyBorder="1" applyAlignment="1">
      <alignment horizontal="center" vertical="center"/>
    </xf>
    <xf numFmtId="0" fontId="6" fillId="0" borderId="67" xfId="0" applyFont="1" applyFill="1" applyBorder="1" applyAlignment="1">
      <alignment horizontal="center" vertical="center"/>
    </xf>
    <xf numFmtId="0" fontId="6" fillId="0" borderId="68" xfId="0" applyFont="1" applyFill="1" applyBorder="1" applyAlignment="1">
      <alignment horizontal="center" vertical="center"/>
    </xf>
    <xf numFmtId="0" fontId="6" fillId="0" borderId="3" xfId="0" quotePrefix="1" applyFont="1" applyFill="1" applyBorder="1" applyAlignment="1">
      <alignment horizontal="left" vertical="center" wrapText="1"/>
    </xf>
    <xf numFmtId="0" fontId="6" fillId="0" borderId="0" xfId="0" quotePrefix="1" applyFont="1" applyFill="1" applyBorder="1" applyAlignment="1">
      <alignment horizontal="left" vertical="center"/>
    </xf>
    <xf numFmtId="0" fontId="6" fillId="0" borderId="4" xfId="0" quotePrefix="1" applyFont="1" applyFill="1" applyBorder="1" applyAlignment="1">
      <alignment horizontal="left" vertical="center"/>
    </xf>
    <xf numFmtId="0" fontId="6" fillId="0" borderId="8" xfId="0" quotePrefix="1" applyFont="1" applyFill="1" applyBorder="1" applyAlignment="1">
      <alignment horizontal="left" vertical="center"/>
    </xf>
    <xf numFmtId="0" fontId="6" fillId="0" borderId="2" xfId="0" quotePrefix="1" applyFont="1" applyFill="1" applyBorder="1" applyAlignment="1">
      <alignment horizontal="left" vertical="center"/>
    </xf>
    <xf numFmtId="0" fontId="6" fillId="0" borderId="9" xfId="0" quotePrefix="1" applyFont="1" applyFill="1" applyBorder="1" applyAlignment="1">
      <alignment horizontal="left" vertical="center"/>
    </xf>
    <xf numFmtId="0" fontId="6" fillId="0" borderId="3" xfId="0" quotePrefix="1" applyFont="1" applyFill="1" applyBorder="1" applyAlignment="1">
      <alignment horizontal="left" vertical="center"/>
    </xf>
    <xf numFmtId="11" fontId="6" fillId="0" borderId="3" xfId="0" applyNumberFormat="1" applyFont="1" applyFill="1" applyBorder="1" applyAlignment="1">
      <alignment horizontal="left" vertical="center"/>
    </xf>
    <xf numFmtId="11" fontId="6" fillId="0" borderId="0" xfId="0" applyNumberFormat="1" applyFont="1" applyFill="1" applyBorder="1" applyAlignment="1">
      <alignment horizontal="left" vertical="center"/>
    </xf>
    <xf numFmtId="11" fontId="6" fillId="0" borderId="4" xfId="0" applyNumberFormat="1" applyFont="1" applyFill="1" applyBorder="1" applyAlignment="1">
      <alignment horizontal="left" vertical="center"/>
    </xf>
    <xf numFmtId="11" fontId="6" fillId="0" borderId="8" xfId="0" applyNumberFormat="1" applyFont="1" applyFill="1" applyBorder="1" applyAlignment="1">
      <alignment horizontal="left" vertical="center"/>
    </xf>
    <xf numFmtId="11" fontId="6" fillId="0" borderId="2" xfId="0" applyNumberFormat="1" applyFont="1" applyFill="1" applyBorder="1" applyAlignment="1">
      <alignment horizontal="left" vertical="center"/>
    </xf>
    <xf numFmtId="11" fontId="6" fillId="0" borderId="9" xfId="0" applyNumberFormat="1" applyFont="1" applyFill="1" applyBorder="1" applyAlignment="1">
      <alignment horizontal="left" vertical="center"/>
    </xf>
    <xf numFmtId="0" fontId="6" fillId="0" borderId="71" xfId="0" quotePrefix="1" applyFont="1" applyFill="1" applyBorder="1" applyAlignment="1">
      <alignment horizontal="center" vertical="center"/>
    </xf>
    <xf numFmtId="0" fontId="6" fillId="0" borderId="57" xfId="0" quotePrefix="1" applyFont="1" applyFill="1" applyBorder="1" applyAlignment="1">
      <alignment horizontal="center" vertical="center"/>
    </xf>
    <xf numFmtId="0" fontId="6" fillId="0" borderId="120" xfId="0" quotePrefix="1" applyFont="1" applyFill="1" applyBorder="1" applyAlignment="1">
      <alignment horizontal="center" vertical="center"/>
    </xf>
    <xf numFmtId="0" fontId="6" fillId="0" borderId="121" xfId="0" quotePrefix="1" applyFont="1" applyFill="1" applyBorder="1" applyAlignment="1">
      <alignment horizontal="center" vertical="center"/>
    </xf>
    <xf numFmtId="11" fontId="6" fillId="0" borderId="5" xfId="0" applyNumberFormat="1" applyFont="1" applyFill="1" applyBorder="1" applyAlignment="1">
      <alignment horizontal="center" vertical="center"/>
    </xf>
    <xf numFmtId="11" fontId="6" fillId="0" borderId="7" xfId="0" applyNumberFormat="1" applyFont="1" applyFill="1" applyBorder="1" applyAlignment="1">
      <alignment horizontal="center" vertical="center"/>
    </xf>
    <xf numFmtId="11" fontId="6" fillId="0" borderId="69" xfId="0" applyNumberFormat="1" applyFont="1" applyFill="1" applyBorder="1" applyAlignment="1">
      <alignment horizontal="center" vertical="center"/>
    </xf>
    <xf numFmtId="11" fontId="6" fillId="0" borderId="70" xfId="0" applyNumberFormat="1" applyFont="1" applyFill="1" applyBorder="1" applyAlignment="1">
      <alignment horizontal="center" vertical="center"/>
    </xf>
    <xf numFmtId="11" fontId="6" fillId="0" borderId="58" xfId="0" applyNumberFormat="1" applyFont="1" applyFill="1" applyBorder="1" applyAlignment="1">
      <alignment horizontal="center" vertical="center"/>
    </xf>
    <xf numFmtId="11" fontId="6" fillId="0" borderId="59" xfId="0" applyNumberFormat="1" applyFont="1" applyFill="1" applyBorder="1" applyAlignment="1">
      <alignment horizontal="center" vertical="center"/>
    </xf>
    <xf numFmtId="11" fontId="6" fillId="0" borderId="90" xfId="0" applyNumberFormat="1" applyFont="1" applyFill="1" applyBorder="1" applyAlignment="1">
      <alignment horizontal="center" vertical="center"/>
    </xf>
    <xf numFmtId="11" fontId="6" fillId="0" borderId="92" xfId="0" applyNumberFormat="1" applyFont="1" applyFill="1" applyBorder="1" applyAlignment="1">
      <alignment horizontal="center" vertical="center"/>
    </xf>
    <xf numFmtId="199" fontId="6" fillId="0" borderId="0" xfId="0" applyNumberFormat="1" applyFont="1" applyFill="1" applyBorder="1" applyAlignment="1">
      <alignment horizontal="left" vertical="center"/>
    </xf>
    <xf numFmtId="0" fontId="36" fillId="0" borderId="58" xfId="0" applyFont="1" applyBorder="1" applyAlignment="1">
      <alignment horizontal="left" vertical="center"/>
    </xf>
    <xf numFmtId="0" fontId="36" fillId="0" borderId="39" xfId="0" applyFont="1" applyBorder="1" applyAlignment="1">
      <alignment horizontal="left" vertical="center"/>
    </xf>
    <xf numFmtId="0" fontId="36" fillId="0" borderId="59" xfId="0" applyFont="1" applyBorder="1" applyAlignment="1">
      <alignment horizontal="left" vertical="center"/>
    </xf>
    <xf numFmtId="0" fontId="36" fillId="0" borderId="8" xfId="0" applyFont="1" applyBorder="1" applyAlignment="1">
      <alignment horizontal="left" vertical="center"/>
    </xf>
    <xf numFmtId="0" fontId="36" fillId="0" borderId="2" xfId="0" applyFont="1" applyBorder="1" applyAlignment="1">
      <alignment horizontal="left" vertical="center"/>
    </xf>
    <xf numFmtId="0" fontId="36" fillId="0" borderId="9" xfId="0" applyFont="1" applyBorder="1" applyAlignment="1">
      <alignment horizontal="left" vertical="center"/>
    </xf>
    <xf numFmtId="0" fontId="36" fillId="0" borderId="120" xfId="0" applyFont="1" applyBorder="1" applyAlignment="1">
      <alignment horizontal="center" vertical="center"/>
    </xf>
    <xf numFmtId="0" fontId="36" fillId="0" borderId="57" xfId="0" applyFont="1" applyBorder="1" applyAlignment="1">
      <alignment horizontal="center" vertical="center"/>
    </xf>
    <xf numFmtId="2" fontId="6" fillId="0" borderId="122" xfId="0" applyNumberFormat="1" applyFont="1" applyFill="1" applyBorder="1" applyAlignment="1">
      <alignment horizontal="center" vertical="center"/>
    </xf>
    <xf numFmtId="2" fontId="6" fillId="0" borderId="117" xfId="0" applyNumberFormat="1" applyFont="1" applyFill="1" applyBorder="1" applyAlignment="1">
      <alignment horizontal="center" vertical="center"/>
    </xf>
    <xf numFmtId="2" fontId="6" fillId="0" borderId="118" xfId="0" applyNumberFormat="1" applyFont="1" applyFill="1" applyBorder="1" applyAlignment="1">
      <alignment horizontal="center" vertical="center"/>
    </xf>
    <xf numFmtId="2" fontId="6" fillId="0" borderId="119" xfId="0" applyNumberFormat="1" applyFont="1" applyFill="1" applyBorder="1" applyAlignment="1">
      <alignment horizontal="center" vertical="center"/>
    </xf>
    <xf numFmtId="0" fontId="36" fillId="0" borderId="121" xfId="0" applyFont="1" applyBorder="1" applyAlignment="1">
      <alignment horizontal="center" vertical="center"/>
    </xf>
    <xf numFmtId="195" fontId="6" fillId="0" borderId="5" xfId="0" applyNumberFormat="1" applyFont="1" applyFill="1" applyBorder="1" applyAlignment="1">
      <alignment horizontal="center" vertical="center"/>
    </xf>
    <xf numFmtId="195" fontId="6" fillId="0" borderId="7" xfId="0" applyNumberFormat="1" applyFont="1" applyFill="1" applyBorder="1" applyAlignment="1">
      <alignment horizontal="center" vertical="center"/>
    </xf>
    <xf numFmtId="195" fontId="6" fillId="0" borderId="69" xfId="0" applyNumberFormat="1" applyFont="1" applyFill="1" applyBorder="1" applyAlignment="1">
      <alignment horizontal="center" vertical="center"/>
    </xf>
    <xf numFmtId="195" fontId="6" fillId="0" borderId="70" xfId="0" applyNumberFormat="1" applyFont="1" applyFill="1" applyBorder="1" applyAlignment="1">
      <alignment horizontal="center" vertical="center"/>
    </xf>
    <xf numFmtId="0" fontId="36" fillId="0" borderId="71" xfId="0" applyFont="1" applyBorder="1" applyAlignment="1">
      <alignment horizontal="center" vertical="center"/>
    </xf>
    <xf numFmtId="0" fontId="6" fillId="0" borderId="134" xfId="0" applyFont="1" applyFill="1" applyBorder="1" applyAlignment="1">
      <alignment horizontal="center" vertical="center"/>
    </xf>
    <xf numFmtId="0" fontId="6" fillId="0" borderId="135" xfId="0" applyFont="1" applyFill="1" applyBorder="1" applyAlignment="1">
      <alignment horizontal="center" vertical="center"/>
    </xf>
    <xf numFmtId="0" fontId="6" fillId="0" borderId="5" xfId="0" quotePrefix="1" applyFont="1" applyFill="1" applyBorder="1" applyAlignment="1">
      <alignment horizontal="left" vertical="center" wrapText="1"/>
    </xf>
    <xf numFmtId="0" fontId="6" fillId="0" borderId="6" xfId="0" quotePrefix="1" applyFont="1" applyFill="1" applyBorder="1" applyAlignment="1">
      <alignment horizontal="left" vertical="center" wrapText="1"/>
    </xf>
    <xf numFmtId="0" fontId="6" fillId="0" borderId="69" xfId="0" quotePrefix="1" applyFont="1" applyFill="1" applyBorder="1" applyAlignment="1">
      <alignment horizontal="left" vertical="center" wrapText="1"/>
    </xf>
    <xf numFmtId="0" fontId="6" fillId="0" borderId="40" xfId="0" quotePrefix="1" applyFont="1" applyFill="1" applyBorder="1" applyAlignment="1">
      <alignment horizontal="left" vertical="center" wrapText="1"/>
    </xf>
    <xf numFmtId="0" fontId="6" fillId="0" borderId="58" xfId="0" quotePrefix="1" applyFont="1" applyFill="1" applyBorder="1" applyAlignment="1">
      <alignment horizontal="left" vertical="center" wrapText="1"/>
    </xf>
    <xf numFmtId="0" fontId="6" fillId="0" borderId="39" xfId="0" quotePrefix="1" applyFont="1" applyFill="1" applyBorder="1" applyAlignment="1">
      <alignment horizontal="left" vertical="center" wrapText="1"/>
    </xf>
    <xf numFmtId="0" fontId="6" fillId="0" borderId="58" xfId="0" quotePrefix="1" applyFont="1" applyFill="1" applyBorder="1" applyAlignment="1">
      <alignment horizontal="left" vertical="center"/>
    </xf>
    <xf numFmtId="0" fontId="6" fillId="0" borderId="39" xfId="0" quotePrefix="1" applyFont="1" applyFill="1" applyBorder="1" applyAlignment="1">
      <alignment horizontal="left" vertical="center"/>
    </xf>
    <xf numFmtId="0" fontId="6" fillId="0" borderId="90" xfId="0" quotePrefix="1" applyFont="1" applyFill="1" applyBorder="1" applyAlignment="1">
      <alignment horizontal="left" vertical="center"/>
    </xf>
    <xf numFmtId="0" fontId="6" fillId="0" borderId="18" xfId="0" quotePrefix="1" applyFont="1" applyFill="1" applyBorder="1" applyAlignment="1">
      <alignment horizontal="left" vertical="center"/>
    </xf>
    <xf numFmtId="0" fontId="6" fillId="0" borderId="86" xfId="0" quotePrefix="1" applyFont="1" applyFill="1" applyBorder="1" applyAlignment="1">
      <alignment horizontal="center" vertical="center"/>
    </xf>
    <xf numFmtId="0" fontId="6" fillId="0" borderId="11" xfId="0" quotePrefix="1" applyFont="1" applyFill="1" applyBorder="1" applyAlignment="1">
      <alignment horizontal="center" vertical="center"/>
    </xf>
    <xf numFmtId="0" fontId="6" fillId="0" borderId="87" xfId="0" quotePrefix="1" applyFont="1" applyFill="1" applyBorder="1" applyAlignment="1">
      <alignment horizontal="center" vertical="center"/>
    </xf>
    <xf numFmtId="0" fontId="6" fillId="0" borderId="8" xfId="0" quotePrefix="1" applyFont="1" applyFill="1" applyBorder="1" applyAlignment="1">
      <alignment horizontal="center" vertical="center"/>
    </xf>
    <xf numFmtId="0" fontId="6" fillId="0" borderId="2" xfId="0" quotePrefix="1" applyFont="1" applyFill="1" applyBorder="1" applyAlignment="1">
      <alignment horizontal="center" vertical="center"/>
    </xf>
    <xf numFmtId="0" fontId="6" fillId="0" borderId="9" xfId="0" quotePrefix="1" applyFont="1" applyFill="1" applyBorder="1" applyAlignment="1">
      <alignment horizontal="center" vertical="center"/>
    </xf>
    <xf numFmtId="0" fontId="6" fillId="0" borderId="107" xfId="0" applyFont="1" applyFill="1" applyBorder="1" applyAlignment="1">
      <alignment horizontal="center" vertical="center"/>
    </xf>
    <xf numFmtId="0" fontId="6" fillId="0" borderId="109" xfId="0" applyFont="1" applyFill="1" applyBorder="1" applyAlignment="1">
      <alignment horizontal="center" vertical="center"/>
    </xf>
    <xf numFmtId="0" fontId="6" fillId="0" borderId="132" xfId="0" applyFont="1" applyFill="1" applyBorder="1" applyAlignment="1">
      <alignment horizontal="center" vertical="center"/>
    </xf>
    <xf numFmtId="0" fontId="6" fillId="0" borderId="133" xfId="0" applyFont="1" applyFill="1" applyBorder="1" applyAlignment="1">
      <alignment horizontal="center" vertical="center"/>
    </xf>
    <xf numFmtId="177" fontId="8" fillId="0" borderId="18" xfId="0" applyNumberFormat="1" applyFont="1" applyBorder="1" applyAlignment="1">
      <alignment horizontal="left" vertical="center"/>
    </xf>
    <xf numFmtId="0" fontId="9" fillId="2" borderId="0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177" fontId="6" fillId="2" borderId="0" xfId="0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center" vertical="center"/>
    </xf>
    <xf numFmtId="2" fontId="22" fillId="2" borderId="0" xfId="0" applyNumberFormat="1" applyFont="1" applyFill="1" applyBorder="1" applyAlignment="1">
      <alignment horizontal="left" vertical="center"/>
    </xf>
    <xf numFmtId="2" fontId="22" fillId="2" borderId="16" xfId="0" applyNumberFormat="1" applyFont="1" applyFill="1" applyBorder="1" applyAlignment="1">
      <alignment horizontal="left" vertical="center"/>
    </xf>
    <xf numFmtId="177" fontId="6" fillId="2" borderId="18" xfId="0" applyNumberFormat="1" applyFont="1" applyFill="1" applyBorder="1" applyAlignment="1">
      <alignment horizontal="center" vertical="center"/>
    </xf>
    <xf numFmtId="177" fontId="6" fillId="0" borderId="0" xfId="0" applyNumberFormat="1" applyFont="1" applyBorder="1" applyAlignment="1">
      <alignment horizontal="left" vertical="center"/>
    </xf>
    <xf numFmtId="0" fontId="6" fillId="0" borderId="178" xfId="0" applyFont="1" applyBorder="1" applyAlignment="1">
      <alignment horizontal="center" vertical="center"/>
    </xf>
    <xf numFmtId="179" fontId="8" fillId="0" borderId="0" xfId="0" applyNumberFormat="1" applyFont="1" applyBorder="1" applyAlignment="1">
      <alignment horizontal="left" vertical="center"/>
    </xf>
    <xf numFmtId="1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79" fontId="6" fillId="0" borderId="0" xfId="0" applyNumberFormat="1" applyFont="1" applyBorder="1" applyAlignment="1">
      <alignment horizontal="center" vertical="center"/>
    </xf>
    <xf numFmtId="177" fontId="6" fillId="0" borderId="0" xfId="0" applyNumberFormat="1" applyFont="1" applyBorder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2" fontId="6" fillId="2" borderId="18" xfId="0" applyNumberFormat="1" applyFont="1" applyFill="1" applyBorder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79" fontId="6" fillId="0" borderId="0" xfId="0" applyNumberFormat="1" applyFont="1" applyAlignment="1">
      <alignment horizontal="center" vertical="center"/>
    </xf>
    <xf numFmtId="177" fontId="6" fillId="0" borderId="146" xfId="0" applyNumberFormat="1" applyFont="1" applyFill="1" applyBorder="1" applyAlignment="1">
      <alignment horizontal="center" vertical="center"/>
    </xf>
    <xf numFmtId="1" fontId="6" fillId="0" borderId="0" xfId="0" applyNumberFormat="1" applyFont="1" applyBorder="1" applyAlignment="1">
      <alignment horizontal="left" vertical="center"/>
    </xf>
    <xf numFmtId="177" fontId="6" fillId="0" borderId="178" xfId="0" applyNumberFormat="1" applyFont="1" applyBorder="1" applyAlignment="1">
      <alignment horizontal="center" vertical="center"/>
    </xf>
    <xf numFmtId="2" fontId="6" fillId="0" borderId="178" xfId="0" applyNumberFormat="1" applyFont="1" applyBorder="1" applyAlignment="1">
      <alignment horizontal="center" vertical="center"/>
    </xf>
    <xf numFmtId="177" fontId="6" fillId="0" borderId="6" xfId="0" applyNumberFormat="1" applyFont="1" applyFill="1" applyBorder="1" applyAlignment="1">
      <alignment horizontal="left" vertical="center"/>
    </xf>
    <xf numFmtId="177" fontId="8" fillId="0" borderId="0" xfId="0" applyNumberFormat="1" applyFont="1" applyBorder="1" applyAlignment="1">
      <alignment horizontal="left" vertical="center"/>
    </xf>
    <xf numFmtId="0" fontId="9" fillId="2" borderId="18" xfId="0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179" fontId="6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146" xfId="0" applyNumberFormat="1" applyFont="1" applyBorder="1" applyAlignment="1">
      <alignment horizontal="left" vertical="center"/>
    </xf>
    <xf numFmtId="0" fontId="6" fillId="0" borderId="146" xfId="0" applyFont="1" applyBorder="1" applyAlignment="1">
      <alignment horizontal="left" vertical="center"/>
    </xf>
    <xf numFmtId="180" fontId="6" fillId="0" borderId="0" xfId="0" quotePrefix="1" applyNumberFormat="1" applyFont="1" applyBorder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2" fontId="6" fillId="0" borderId="0" xfId="0" quotePrefix="1" applyNumberFormat="1" applyFont="1" applyBorder="1" applyAlignment="1">
      <alignment horizontal="center" vertical="center"/>
    </xf>
    <xf numFmtId="177" fontId="6" fillId="0" borderId="0" xfId="0" applyNumberFormat="1" applyFont="1" applyFill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/>
    </xf>
    <xf numFmtId="0" fontId="10" fillId="0" borderId="0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0" xfId="0" quotePrefix="1" applyFont="1" applyFill="1" applyAlignment="1">
      <alignment horizontal="center" vertical="center"/>
    </xf>
    <xf numFmtId="2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6" fillId="0" borderId="147" xfId="0" applyFont="1" applyBorder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179" fontId="6" fillId="2" borderId="18" xfId="0" applyNumberFormat="1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0" borderId="178" xfId="0" applyFont="1" applyBorder="1" applyAlignment="1">
      <alignment horizontal="left" vertical="center"/>
    </xf>
    <xf numFmtId="2" fontId="6" fillId="2" borderId="0" xfId="0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left" vertical="center"/>
    </xf>
    <xf numFmtId="194" fontId="6" fillId="2" borderId="0" xfId="0" applyNumberFormat="1" applyFont="1" applyFill="1" applyBorder="1" applyAlignment="1">
      <alignment horizontal="left" vertical="center"/>
    </xf>
    <xf numFmtId="179" fontId="6" fillId="0" borderId="146" xfId="0" applyNumberFormat="1" applyFont="1" applyBorder="1" applyAlignment="1">
      <alignment horizontal="center" vertical="center"/>
    </xf>
    <xf numFmtId="0" fontId="6" fillId="0" borderId="146" xfId="0" applyFont="1" applyBorder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89" fillId="0" borderId="0" xfId="0" applyFont="1" applyAlignment="1">
      <alignment horizontal="left" vertical="center"/>
    </xf>
    <xf numFmtId="179" fontId="6" fillId="0" borderId="6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177" fontId="8" fillId="0" borderId="0" xfId="0" applyNumberFormat="1" applyFont="1" applyFill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177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79" fontId="6" fillId="0" borderId="0" xfId="0" applyNumberFormat="1" applyFont="1" applyFill="1" applyBorder="1" applyAlignment="1">
      <alignment horizontal="center" vertical="center"/>
    </xf>
    <xf numFmtId="2" fontId="6" fillId="0" borderId="178" xfId="0" applyNumberFormat="1" applyFont="1" applyFill="1" applyBorder="1" applyAlignment="1">
      <alignment horizontal="left" vertical="center"/>
    </xf>
    <xf numFmtId="0" fontId="6" fillId="0" borderId="146" xfId="0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left" vertical="center"/>
    </xf>
    <xf numFmtId="192" fontId="6" fillId="0" borderId="178" xfId="0" applyNumberFormat="1" applyFont="1" applyFill="1" applyBorder="1" applyAlignment="1">
      <alignment horizontal="center" vertical="center"/>
    </xf>
    <xf numFmtId="0" fontId="6" fillId="0" borderId="178" xfId="0" applyFont="1" applyFill="1" applyBorder="1" applyAlignment="1">
      <alignment horizontal="center" vertical="center"/>
    </xf>
    <xf numFmtId="179" fontId="8" fillId="0" borderId="0" xfId="0" applyNumberFormat="1" applyFont="1" applyFill="1" applyAlignment="1">
      <alignment horizontal="center" vertical="center"/>
    </xf>
    <xf numFmtId="2" fontId="6" fillId="0" borderId="0" xfId="0" quotePrefix="1" applyNumberFormat="1" applyFont="1" applyFill="1" applyAlignment="1">
      <alignment horizontal="left" vertical="center"/>
    </xf>
    <xf numFmtId="1" fontId="6" fillId="0" borderId="44" xfId="0" applyNumberFormat="1" applyFont="1" applyBorder="1" applyAlignment="1">
      <alignment horizontal="left" vertical="center"/>
    </xf>
    <xf numFmtId="1" fontId="6" fillId="0" borderId="66" xfId="0" applyNumberFormat="1" applyFont="1" applyBorder="1" applyAlignment="1">
      <alignment horizontal="left" vertical="center"/>
    </xf>
    <xf numFmtId="179" fontId="6" fillId="0" borderId="0" xfId="0" applyNumberFormat="1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37" fillId="0" borderId="0" xfId="0" quotePrefix="1" applyFont="1" applyFill="1" applyBorder="1" applyAlignment="1">
      <alignment horizontal="left" vertical="center"/>
    </xf>
    <xf numFmtId="2" fontId="8" fillId="0" borderId="0" xfId="0" applyNumberFormat="1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6" fillId="0" borderId="39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left" vertical="center"/>
    </xf>
    <xf numFmtId="0" fontId="6" fillId="0" borderId="40" xfId="0" applyNumberFormat="1" applyFont="1" applyBorder="1" applyAlignment="1">
      <alignment horizontal="left" vertical="center"/>
    </xf>
    <xf numFmtId="0" fontId="6" fillId="0" borderId="50" xfId="0" applyNumberFormat="1" applyFont="1" applyBorder="1" applyAlignment="1">
      <alignment horizontal="left" vertical="center"/>
    </xf>
    <xf numFmtId="177" fontId="8" fillId="0" borderId="0" xfId="0" applyNumberFormat="1" applyFont="1" applyAlignment="1">
      <alignment horizontal="center" vertical="center"/>
    </xf>
    <xf numFmtId="2" fontId="6" fillId="0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2" xfId="0" quotePrefix="1" applyFont="1" applyBorder="1" applyAlignment="1">
      <alignment horizontal="center" vertical="center"/>
    </xf>
    <xf numFmtId="2" fontId="6" fillId="0" borderId="0" xfId="0" applyNumberFormat="1" applyFont="1" applyBorder="1" applyAlignment="1">
      <alignment horizontal="left" vertical="center"/>
    </xf>
    <xf numFmtId="2" fontId="9" fillId="0" borderId="18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77" fontId="37" fillId="0" borderId="0" xfId="0" quotePrefix="1" applyNumberFormat="1" applyFont="1" applyFill="1" applyBorder="1" applyAlignment="1">
      <alignment horizontal="center" vertical="center"/>
    </xf>
    <xf numFmtId="2" fontId="6" fillId="0" borderId="2" xfId="0" applyNumberFormat="1" applyFont="1" applyBorder="1" applyAlignment="1">
      <alignment horizontal="center" vertical="center"/>
    </xf>
    <xf numFmtId="2" fontId="6" fillId="0" borderId="178" xfId="0" applyNumberFormat="1" applyFont="1" applyBorder="1" applyAlignment="1">
      <alignment horizontal="left" vertical="center"/>
    </xf>
    <xf numFmtId="177" fontId="6" fillId="0" borderId="2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0" fontId="6" fillId="0" borderId="177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0" xfId="0" quotePrefix="1" applyFont="1" applyFill="1" applyBorder="1" applyAlignment="1">
      <alignment horizontal="center" vertical="center"/>
    </xf>
    <xf numFmtId="1" fontId="6" fillId="0" borderId="178" xfId="0" applyNumberFormat="1" applyFont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179" fontId="6" fillId="0" borderId="178" xfId="0" applyNumberFormat="1" applyFont="1" applyBorder="1" applyAlignment="1">
      <alignment horizontal="center" vertical="center"/>
    </xf>
    <xf numFmtId="203" fontId="8" fillId="0" borderId="0" xfId="0" applyNumberFormat="1" applyFont="1" applyBorder="1" applyAlignment="1">
      <alignment horizontal="center" vertical="center"/>
    </xf>
    <xf numFmtId="2" fontId="6" fillId="0" borderId="178" xfId="0" quotePrefix="1" applyNumberFormat="1" applyFont="1" applyBorder="1" applyAlignment="1">
      <alignment horizontal="center" vertical="center"/>
    </xf>
    <xf numFmtId="2" fontId="6" fillId="0" borderId="2" xfId="0" quotePrefix="1" applyNumberFormat="1" applyFont="1" applyBorder="1" applyAlignment="1">
      <alignment horizontal="center" vertical="center"/>
    </xf>
    <xf numFmtId="0" fontId="74" fillId="0" borderId="39" xfId="0" applyFont="1" applyBorder="1" applyAlignment="1">
      <alignment horizontal="center" vertical="center"/>
    </xf>
    <xf numFmtId="0" fontId="74" fillId="0" borderId="40" xfId="0" applyFont="1" applyBorder="1" applyAlignment="1">
      <alignment horizontal="center" vertical="center"/>
    </xf>
    <xf numFmtId="2" fontId="6" fillId="2" borderId="0" xfId="0" applyNumberFormat="1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8" xfId="0" applyFont="1" applyFill="1" applyBorder="1" applyAlignment="1">
      <alignment horizontal="left" vertical="center"/>
    </xf>
    <xf numFmtId="2" fontId="6" fillId="0" borderId="0" xfId="0" applyNumberFormat="1" applyFont="1" applyFill="1" applyAlignment="1">
      <alignment horizontal="left" vertical="center"/>
    </xf>
    <xf numFmtId="177" fontId="7" fillId="0" borderId="0" xfId="0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92" fontId="6" fillId="0" borderId="0" xfId="0" applyNumberFormat="1" applyFont="1" applyBorder="1" applyAlignment="1">
      <alignment horizontal="center" vertical="center"/>
    </xf>
    <xf numFmtId="211" fontId="6" fillId="0" borderId="2" xfId="12" applyNumberFormat="1" applyFont="1" applyBorder="1" applyAlignment="1">
      <alignment horizontal="center" vertical="center"/>
    </xf>
    <xf numFmtId="0" fontId="6" fillId="0" borderId="0" xfId="0" quotePrefix="1" applyFont="1" applyFill="1" applyAlignment="1">
      <alignment horizontal="left" vertical="center"/>
    </xf>
    <xf numFmtId="192" fontId="6" fillId="0" borderId="0" xfId="0" applyNumberFormat="1" applyFont="1" applyBorder="1" applyAlignment="1">
      <alignment horizontal="left" vertical="center"/>
    </xf>
    <xf numFmtId="2" fontId="9" fillId="0" borderId="18" xfId="0" applyNumberFormat="1" applyFont="1" applyBorder="1" applyAlignment="1">
      <alignment horizontal="left" vertical="center"/>
    </xf>
    <xf numFmtId="1" fontId="6" fillId="0" borderId="50" xfId="0" applyNumberFormat="1" applyFont="1" applyBorder="1" applyAlignment="1">
      <alignment horizontal="left" vertical="center"/>
    </xf>
    <xf numFmtId="2" fontId="6" fillId="0" borderId="2" xfId="0" applyNumberFormat="1" applyFont="1" applyFill="1" applyBorder="1" applyAlignment="1">
      <alignment horizontal="right" vertical="center"/>
    </xf>
    <xf numFmtId="0" fontId="6" fillId="0" borderId="2" xfId="0" applyFont="1" applyFill="1" applyBorder="1" applyAlignment="1">
      <alignment horizontal="right" vertical="center"/>
    </xf>
    <xf numFmtId="2" fontId="6" fillId="0" borderId="0" xfId="0" applyNumberFormat="1" applyFont="1" applyFill="1" applyBorder="1" applyAlignment="1">
      <alignment horizontal="center" vertical="center"/>
    </xf>
    <xf numFmtId="2" fontId="6" fillId="0" borderId="50" xfId="0" applyNumberFormat="1" applyFont="1" applyBorder="1" applyAlignment="1">
      <alignment horizontal="left" vertical="center"/>
    </xf>
    <xf numFmtId="1" fontId="6" fillId="0" borderId="39" xfId="0" applyNumberFormat="1" applyFont="1" applyBorder="1" applyAlignment="1">
      <alignment horizontal="left" vertical="center"/>
    </xf>
    <xf numFmtId="1" fontId="6" fillId="0" borderId="51" xfId="0" applyNumberFormat="1" applyFont="1" applyBorder="1" applyAlignment="1">
      <alignment horizontal="left" vertical="center"/>
    </xf>
    <xf numFmtId="177" fontId="6" fillId="0" borderId="27" xfId="0" applyNumberFormat="1" applyFont="1" applyBorder="1" applyAlignment="1">
      <alignment horizontal="center" vertical="center"/>
    </xf>
    <xf numFmtId="1" fontId="6" fillId="0" borderId="40" xfId="0" applyNumberFormat="1" applyFont="1" applyBorder="1" applyAlignment="1">
      <alignment horizontal="left" vertical="center"/>
    </xf>
    <xf numFmtId="179" fontId="6" fillId="0" borderId="40" xfId="0" applyNumberFormat="1" applyFont="1" applyBorder="1" applyAlignment="1">
      <alignment horizontal="left" vertical="center"/>
    </xf>
    <xf numFmtId="0" fontId="99" fillId="2" borderId="51" xfId="0" quotePrefix="1" applyFont="1" applyFill="1" applyBorder="1" applyAlignment="1">
      <alignment horizontal="center" vertical="center"/>
    </xf>
    <xf numFmtId="0" fontId="99" fillId="2" borderId="198" xfId="0" quotePrefix="1" applyFont="1" applyFill="1" applyBorder="1" applyAlignment="1">
      <alignment horizontal="center" vertical="center"/>
    </xf>
    <xf numFmtId="2" fontId="6" fillId="0" borderId="0" xfId="0" applyNumberFormat="1" applyFont="1" applyAlignment="1">
      <alignment horizontal="left" vertical="center"/>
    </xf>
    <xf numFmtId="1" fontId="6" fillId="0" borderId="4" xfId="0" applyNumberFormat="1" applyFont="1" applyBorder="1" applyAlignment="1">
      <alignment horizontal="left" vertical="center"/>
    </xf>
    <xf numFmtId="1" fontId="6" fillId="0" borderId="70" xfId="0" applyNumberFormat="1" applyFont="1" applyBorder="1" applyAlignment="1">
      <alignment horizontal="left" vertical="center"/>
    </xf>
    <xf numFmtId="2" fontId="8" fillId="0" borderId="0" xfId="0" applyNumberFormat="1" applyFont="1" applyAlignment="1">
      <alignment horizontal="left" vertical="center"/>
    </xf>
    <xf numFmtId="210" fontId="6" fillId="0" borderId="0" xfId="0" applyNumberFormat="1" applyFont="1" applyAlignment="1">
      <alignment horizontal="center" vertical="center"/>
    </xf>
    <xf numFmtId="2" fontId="6" fillId="0" borderId="0" xfId="0" quotePrefix="1" applyNumberFormat="1" applyFont="1" applyAlignment="1">
      <alignment horizontal="center" vertical="center"/>
    </xf>
    <xf numFmtId="2" fontId="6" fillId="0" borderId="40" xfId="0" applyNumberFormat="1" applyFont="1" applyBorder="1" applyAlignment="1">
      <alignment horizontal="left" vertical="center"/>
    </xf>
    <xf numFmtId="177" fontId="6" fillId="0" borderId="0" xfId="0" applyNumberFormat="1" applyFont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vertical="center"/>
    </xf>
    <xf numFmtId="210" fontId="6" fillId="0" borderId="0" xfId="0" applyNumberFormat="1" applyFont="1" applyAlignment="1">
      <alignment horizontal="right" vertical="center"/>
    </xf>
    <xf numFmtId="0" fontId="18" fillId="0" borderId="174" xfId="0" applyFont="1" applyFill="1" applyBorder="1" applyAlignment="1">
      <alignment horizontal="center" vertical="center"/>
    </xf>
    <xf numFmtId="0" fontId="18" fillId="0" borderId="52" xfId="0" applyFont="1" applyFill="1" applyBorder="1" applyAlignment="1">
      <alignment horizontal="center" vertical="center"/>
    </xf>
    <xf numFmtId="0" fontId="18" fillId="0" borderId="175" xfId="0" applyFont="1" applyFill="1" applyBorder="1" applyAlignment="1">
      <alignment horizontal="center" vertical="center"/>
    </xf>
    <xf numFmtId="0" fontId="10" fillId="0" borderId="185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6" fillId="0" borderId="51" xfId="0" applyNumberFormat="1" applyFont="1" applyBorder="1" applyAlignment="1">
      <alignment horizontal="left" vertical="center"/>
    </xf>
    <xf numFmtId="178" fontId="6" fillId="0" borderId="0" xfId="0" applyNumberFormat="1" applyFont="1" applyBorder="1" applyAlignment="1">
      <alignment horizontal="left" vertical="center"/>
    </xf>
    <xf numFmtId="1" fontId="6" fillId="0" borderId="198" xfId="0" applyNumberFormat="1" applyFont="1" applyBorder="1" applyAlignment="1">
      <alignment horizontal="left" vertical="center"/>
    </xf>
    <xf numFmtId="1" fontId="6" fillId="0" borderId="59" xfId="0" applyNumberFormat="1" applyFont="1" applyBorder="1" applyAlignment="1">
      <alignment horizontal="left" vertical="center"/>
    </xf>
    <xf numFmtId="0" fontId="8" fillId="0" borderId="178" xfId="0" applyFont="1" applyFill="1" applyBorder="1" applyAlignment="1">
      <alignment horizontal="center" vertical="center"/>
    </xf>
    <xf numFmtId="202" fontId="6" fillId="0" borderId="0" xfId="0" applyNumberFormat="1" applyFont="1" applyBorder="1" applyAlignment="1">
      <alignment horizontal="center" vertical="center"/>
    </xf>
    <xf numFmtId="202" fontId="6" fillId="0" borderId="0" xfId="0" applyNumberFormat="1" applyFont="1" applyFill="1" applyAlignment="1">
      <alignment horizontal="center" vertical="center"/>
    </xf>
    <xf numFmtId="2" fontId="8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8" fillId="0" borderId="0" xfId="0" applyFont="1" applyFill="1" applyAlignment="1">
      <alignment horizontal="left" vertical="center"/>
    </xf>
    <xf numFmtId="0" fontId="9" fillId="0" borderId="18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6" fillId="0" borderId="27" xfId="0" applyFont="1" applyBorder="1" applyAlignment="1">
      <alignment horizontal="left" vertical="center"/>
    </xf>
    <xf numFmtId="179" fontId="6" fillId="0" borderId="0" xfId="0" applyNumberFormat="1" applyFont="1" applyFill="1" applyAlignment="1">
      <alignment horizontal="left" vertical="center"/>
    </xf>
    <xf numFmtId="177" fontId="6" fillId="0" borderId="146" xfId="0" applyNumberFormat="1" applyFont="1" applyFill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77" fontId="6" fillId="0" borderId="28" xfId="0" applyNumberFormat="1" applyFont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6" fillId="0" borderId="146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34" xfId="0" applyNumberFormat="1" applyFont="1" applyBorder="1" applyAlignment="1">
      <alignment horizontal="center" vertical="center"/>
    </xf>
    <xf numFmtId="1" fontId="6" fillId="0" borderId="0" xfId="0" quotePrefix="1" applyNumberFormat="1" applyFont="1" applyBorder="1" applyAlignment="1">
      <alignment horizontal="center" vertical="center"/>
    </xf>
    <xf numFmtId="177" fontId="6" fillId="0" borderId="34" xfId="0" applyNumberFormat="1" applyFont="1" applyBorder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6" fillId="0" borderId="178" xfId="0" applyNumberFormat="1" applyFont="1" applyBorder="1" applyAlignment="1">
      <alignment horizontal="center" vertical="center"/>
    </xf>
    <xf numFmtId="0" fontId="6" fillId="0" borderId="178" xfId="0" applyNumberFormat="1" applyFont="1" applyFill="1" applyBorder="1" applyAlignment="1">
      <alignment horizontal="center" vertical="center"/>
    </xf>
    <xf numFmtId="177" fontId="6" fillId="0" borderId="0" xfId="0" quotePrefix="1" applyNumberFormat="1" applyFont="1" applyBorder="1" applyAlignment="1">
      <alignment horizontal="center" vertical="center"/>
    </xf>
    <xf numFmtId="177" fontId="6" fillId="0" borderId="178" xfId="0" quotePrefix="1" applyNumberFormat="1" applyFont="1" applyBorder="1" applyAlignment="1">
      <alignment horizontal="center" vertical="center"/>
    </xf>
    <xf numFmtId="1" fontId="6" fillId="0" borderId="178" xfId="0" quotePrefix="1" applyNumberFormat="1" applyFont="1" applyBorder="1" applyAlignment="1">
      <alignment horizontal="center" vertical="center"/>
    </xf>
    <xf numFmtId="0" fontId="6" fillId="0" borderId="178" xfId="0" quotePrefix="1" applyFont="1" applyBorder="1" applyAlignment="1">
      <alignment horizontal="center" vertical="center"/>
    </xf>
    <xf numFmtId="1" fontId="6" fillId="0" borderId="178" xfId="0" quotePrefix="1" applyNumberFormat="1" applyFont="1" applyFill="1" applyBorder="1" applyAlignment="1">
      <alignment horizontal="center" vertical="center"/>
    </xf>
    <xf numFmtId="0" fontId="6" fillId="0" borderId="178" xfId="0" quotePrefix="1" applyFont="1" applyFill="1" applyBorder="1" applyAlignment="1">
      <alignment horizontal="center" vertical="center"/>
    </xf>
    <xf numFmtId="0" fontId="6" fillId="0" borderId="146" xfId="0" quotePrefix="1" applyFont="1" applyFill="1" applyBorder="1" applyAlignment="1">
      <alignment horizontal="center" vertical="center"/>
    </xf>
    <xf numFmtId="3" fontId="6" fillId="0" borderId="146" xfId="0" applyNumberFormat="1" applyFont="1" applyBorder="1" applyAlignment="1">
      <alignment horizontal="center" vertical="center"/>
    </xf>
    <xf numFmtId="177" fontId="6" fillId="0" borderId="146" xfId="0" applyNumberFormat="1" applyFont="1" applyBorder="1" applyAlignment="1">
      <alignment horizontal="center" vertical="center"/>
    </xf>
    <xf numFmtId="1" fontId="6" fillId="0" borderId="146" xfId="0" applyNumberFormat="1" applyFont="1" applyBorder="1" applyAlignment="1">
      <alignment horizontal="center" vertical="center"/>
    </xf>
    <xf numFmtId="0" fontId="6" fillId="0" borderId="0" xfId="39" quotePrefix="1" applyFont="1" applyAlignment="1">
      <alignment horizontal="center" vertical="center"/>
    </xf>
    <xf numFmtId="0" fontId="6" fillId="0" borderId="178" xfId="0" quotePrefix="1" applyNumberFormat="1" applyFont="1" applyFill="1" applyBorder="1" applyAlignment="1">
      <alignment horizontal="center" vertical="center"/>
    </xf>
    <xf numFmtId="1" fontId="6" fillId="0" borderId="146" xfId="0" applyNumberFormat="1" applyFont="1" applyFill="1" applyBorder="1" applyAlignment="1">
      <alignment horizontal="center" vertical="center"/>
    </xf>
    <xf numFmtId="0" fontId="6" fillId="0" borderId="0" xfId="39" quotePrefix="1" applyFont="1" applyAlignment="1">
      <alignment horizontal="left" vertical="center"/>
    </xf>
    <xf numFmtId="1" fontId="6" fillId="0" borderId="178" xfId="0" applyNumberFormat="1" applyFont="1" applyFill="1" applyBorder="1" applyAlignment="1">
      <alignment horizontal="center" vertical="center"/>
    </xf>
    <xf numFmtId="41" fontId="6" fillId="0" borderId="0" xfId="12" applyNumberFormat="1" applyFont="1" applyFill="1" applyBorder="1" applyAlignment="1">
      <alignment horizontal="left" vertical="center"/>
    </xf>
    <xf numFmtId="41" fontId="6" fillId="0" borderId="0" xfId="12" applyFont="1" applyFill="1" applyBorder="1" applyAlignment="1">
      <alignment horizontal="center" vertical="center"/>
    </xf>
    <xf numFmtId="41" fontId="6" fillId="0" borderId="178" xfId="12" applyNumberFormat="1" applyFont="1" applyFill="1" applyBorder="1" applyAlignment="1">
      <alignment horizontal="left" vertical="center"/>
    </xf>
    <xf numFmtId="41" fontId="6" fillId="0" borderId="178" xfId="12" applyFont="1" applyFill="1" applyBorder="1" applyAlignment="1">
      <alignment horizontal="center" vertical="center"/>
    </xf>
    <xf numFmtId="0" fontId="95" fillId="0" borderId="39" xfId="0" applyFont="1" applyBorder="1" applyAlignment="1">
      <alignment horizontal="center" vertical="center"/>
    </xf>
    <xf numFmtId="0" fontId="95" fillId="0" borderId="178" xfId="0" applyFont="1" applyBorder="1" applyAlignment="1">
      <alignment horizontal="center" vertical="center"/>
    </xf>
    <xf numFmtId="177" fontId="6" fillId="0" borderId="44" xfId="0" applyNumberFormat="1" applyFont="1" applyBorder="1" applyAlignment="1">
      <alignment horizontal="left" vertical="center"/>
    </xf>
    <xf numFmtId="177" fontId="6" fillId="0" borderId="27" xfId="0" applyNumberFormat="1" applyFont="1" applyBorder="1" applyAlignment="1">
      <alignment horizontal="left" vertical="center"/>
    </xf>
    <xf numFmtId="0" fontId="6" fillId="2" borderId="86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178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177" fontId="6" fillId="0" borderId="146" xfId="0" applyNumberFormat="1" applyFont="1" applyBorder="1" applyAlignment="1">
      <alignment horizontal="left" vertical="center"/>
    </xf>
    <xf numFmtId="2" fontId="6" fillId="0" borderId="50" xfId="0" applyNumberFormat="1" applyFont="1" applyFill="1" applyBorder="1" applyAlignment="1">
      <alignment horizontal="left" vertical="center"/>
    </xf>
    <xf numFmtId="0" fontId="6" fillId="12" borderId="0" xfId="0" applyNumberFormat="1" applyFont="1" applyFill="1" applyBorder="1" applyAlignment="1">
      <alignment horizontal="left" vertical="center"/>
    </xf>
    <xf numFmtId="0" fontId="6" fillId="12" borderId="50" xfId="0" applyNumberFormat="1" applyFont="1" applyFill="1" applyBorder="1" applyAlignment="1">
      <alignment horizontal="left" vertical="center"/>
    </xf>
    <xf numFmtId="41" fontId="6" fillId="0" borderId="0" xfId="12" applyFont="1" applyFill="1" applyBorder="1" applyAlignment="1">
      <alignment horizontal="left" vertical="center"/>
    </xf>
    <xf numFmtId="41" fontId="6" fillId="0" borderId="178" xfId="12" applyFont="1" applyFill="1" applyBorder="1" applyAlignment="1">
      <alignment horizontal="left" vertical="center"/>
    </xf>
    <xf numFmtId="3" fontId="6" fillId="0" borderId="0" xfId="12" applyNumberFormat="1" applyFont="1" applyFill="1" applyBorder="1" applyAlignment="1">
      <alignment horizontal="left" vertical="center"/>
    </xf>
    <xf numFmtId="3" fontId="6" fillId="0" borderId="178" xfId="12" applyNumberFormat="1" applyFont="1" applyFill="1" applyBorder="1" applyAlignment="1">
      <alignment horizontal="left" vertical="center"/>
    </xf>
    <xf numFmtId="0" fontId="6" fillId="0" borderId="34" xfId="0" applyFont="1" applyBorder="1" applyAlignment="1">
      <alignment horizontal="center" vertical="center"/>
    </xf>
    <xf numFmtId="1" fontId="6" fillId="0" borderId="178" xfId="39" quotePrefix="1" applyNumberFormat="1" applyFont="1" applyBorder="1" applyAlignment="1">
      <alignment horizontal="center" vertical="center"/>
    </xf>
    <xf numFmtId="0" fontId="6" fillId="0" borderId="178" xfId="39" quotePrefix="1" applyFont="1" applyBorder="1" applyAlignment="1">
      <alignment horizontal="center" vertical="center"/>
    </xf>
    <xf numFmtId="0" fontId="6" fillId="0" borderId="178" xfId="39" applyFont="1" applyBorder="1" applyAlignment="1">
      <alignment horizontal="center" vertical="center"/>
    </xf>
    <xf numFmtId="0" fontId="8" fillId="0" borderId="0" xfId="39" quotePrefix="1" applyFont="1" applyAlignment="1">
      <alignment horizontal="center" vertical="center"/>
    </xf>
    <xf numFmtId="2" fontId="6" fillId="0" borderId="34" xfId="0" applyNumberFormat="1" applyFont="1" applyBorder="1" applyAlignment="1">
      <alignment horizontal="center" vertical="center"/>
    </xf>
    <xf numFmtId="2" fontId="6" fillId="0" borderId="146" xfId="0" applyNumberFormat="1" applyFont="1" applyBorder="1" applyAlignment="1">
      <alignment horizontal="center" vertical="center"/>
    </xf>
    <xf numFmtId="1" fontId="6" fillId="0" borderId="0" xfId="39" quotePrefix="1" applyNumberFormat="1" applyFont="1" applyBorder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177" fontId="8" fillId="0" borderId="0" xfId="0" applyNumberFormat="1" applyFont="1" applyFill="1" applyBorder="1" applyAlignment="1">
      <alignment vertical="center"/>
    </xf>
    <xf numFmtId="2" fontId="79" fillId="0" borderId="0" xfId="0" applyNumberFormat="1" applyFont="1" applyFill="1" applyBorder="1" applyAlignment="1">
      <alignment vertical="center"/>
    </xf>
    <xf numFmtId="1" fontId="6" fillId="0" borderId="0" xfId="0" applyNumberFormat="1" applyFont="1" applyFill="1" applyBorder="1" applyAlignment="1">
      <alignment vertical="center"/>
    </xf>
    <xf numFmtId="0" fontId="6" fillId="3" borderId="61" xfId="0" applyFont="1" applyFill="1" applyBorder="1" applyAlignment="1">
      <alignment horizontal="center" vertical="center"/>
    </xf>
    <xf numFmtId="0" fontId="6" fillId="3" borderId="94" xfId="0" applyFont="1" applyFill="1" applyBorder="1" applyAlignment="1">
      <alignment horizontal="center" vertical="center"/>
    </xf>
    <xf numFmtId="2" fontId="79" fillId="0" borderId="21" xfId="0" applyNumberFormat="1" applyFont="1" applyFill="1" applyBorder="1" applyAlignment="1">
      <alignment vertical="center"/>
    </xf>
  </cellXfs>
  <cellStyles count="40">
    <cellStyle name="Comma" xfId="1" xr:uid="{00000000-0005-0000-0000-000000000000}"/>
    <cellStyle name="Comma [0]" xfId="12" builtinId="6"/>
    <cellStyle name="Currency" xfId="2" xr:uid="{00000000-0005-0000-0000-000002000000}"/>
    <cellStyle name="Date" xfId="3" xr:uid="{00000000-0005-0000-0000-000003000000}"/>
    <cellStyle name="Fixed" xfId="4" xr:uid="{00000000-0005-0000-0000-000004000000}"/>
    <cellStyle name="Header1" xfId="34" xr:uid="{00000000-0005-0000-0000-000005000000}"/>
    <cellStyle name="Header2" xfId="35" xr:uid="{00000000-0005-0000-0000-000006000000}"/>
    <cellStyle name="Heading1" xfId="5" xr:uid="{00000000-0005-0000-0000-000007000000}"/>
    <cellStyle name="Heading2" xfId="6" xr:uid="{00000000-0005-0000-0000-000008000000}"/>
    <cellStyle name="Normal" xfId="0" builtinId="0"/>
    <cellStyle name="Normal 2" xfId="39" xr:uid="{5BA92ACF-1661-4748-8095-4E01801CC0BE}"/>
    <cellStyle name="Normal_input" xfId="38" xr:uid="{E8FE9564-DF40-4B05-BFDF-06271BD0392E}"/>
    <cellStyle name="Percent" xfId="7" xr:uid="{00000000-0005-0000-0000-00000A000000}"/>
    <cellStyle name="Total" xfId="8" xr:uid="{00000000-0005-0000-0000-00000B000000}"/>
    <cellStyle name="고정소숫점" xfId="14" xr:uid="{00000000-0005-0000-0000-00000C000000}"/>
    <cellStyle name="고정출력1" xfId="15" xr:uid="{00000000-0005-0000-0000-00000D000000}"/>
    <cellStyle name="고정출력2" xfId="16" xr:uid="{00000000-0005-0000-0000-00000E000000}"/>
    <cellStyle name="날짜" xfId="17" xr:uid="{00000000-0005-0000-0000-00000F000000}"/>
    <cellStyle name="달러" xfId="18" xr:uid="{00000000-0005-0000-0000-000010000000}"/>
    <cellStyle name="똿뗦먛귟_PRODUCT DETAIL Q1" xfId="19" xr:uid="{00000000-0005-0000-0000-000011000000}"/>
    <cellStyle name="믅됞 [0.00]_PRODUCT DETAIL Q1" xfId="20" xr:uid="{00000000-0005-0000-0000-000012000000}"/>
    <cellStyle name="믅됞_PRODUCT DETAIL Q1" xfId="21" xr:uid="{00000000-0005-0000-0000-000013000000}"/>
    <cellStyle name="백분율 2" xfId="9" xr:uid="{00000000-0005-0000-0000-000014000000}"/>
    <cellStyle name="뷭?_BOOKSHIP" xfId="22" xr:uid="{00000000-0005-0000-0000-000015000000}"/>
    <cellStyle name="숫자(R)" xfId="23" xr:uid="{00000000-0005-0000-0000-000016000000}"/>
    <cellStyle name="자리수" xfId="24" xr:uid="{00000000-0005-0000-0000-000017000000}"/>
    <cellStyle name="자리수0" xfId="25" xr:uid="{00000000-0005-0000-0000-000018000000}"/>
    <cellStyle name="콤마 [0]_(type)총괄" xfId="26" xr:uid="{00000000-0005-0000-0000-000019000000}"/>
    <cellStyle name="콤마_(type)총괄" xfId="27" xr:uid="{00000000-0005-0000-0000-00001A000000}"/>
    <cellStyle name="퍼센트" xfId="28" xr:uid="{00000000-0005-0000-0000-00001B000000}"/>
    <cellStyle name="표준 10" xfId="36" xr:uid="{00000000-0005-0000-0000-00001C000000}"/>
    <cellStyle name="표준 2" xfId="10" xr:uid="{00000000-0005-0000-0000-00001D000000}"/>
    <cellStyle name="표준 2 2" xfId="29" xr:uid="{00000000-0005-0000-0000-00001E000000}"/>
    <cellStyle name="표준 2 2 21" xfId="37" xr:uid="{2B32D58B-2CD1-4C19-B932-53E450038FE5}"/>
    <cellStyle name="표준 3" xfId="13" xr:uid="{00000000-0005-0000-0000-00001F000000}"/>
    <cellStyle name="표준 4" xfId="30" xr:uid="{00000000-0005-0000-0000-000020000000}"/>
    <cellStyle name="표준 5" xfId="11" xr:uid="{00000000-0005-0000-0000-000021000000}"/>
    <cellStyle name="합산" xfId="31" xr:uid="{00000000-0005-0000-0000-000022000000}"/>
    <cellStyle name="화폐기호" xfId="32" xr:uid="{00000000-0005-0000-0000-000023000000}"/>
    <cellStyle name="화폐기호0" xfId="33" xr:uid="{00000000-0005-0000-0000-000024000000}"/>
  </cellStyles>
  <dxfs count="140"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3988698864871185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SUM!$C$3</c:f>
              <c:strCache>
                <c:ptCount val="1"/>
                <c:pt idx="0">
                  <c:v>abs(fl)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SUM!$C$5:$C$66</c:f>
              <c:numCache>
                <c:formatCode>0.00</c:formatCode>
                <c:ptCount val="62"/>
                <c:pt idx="0">
                  <c:v>18.525943310897638</c:v>
                </c:pt>
                <c:pt idx="1">
                  <c:v>18.525943310897638</c:v>
                </c:pt>
                <c:pt idx="2">
                  <c:v>18.525943310897638</c:v>
                </c:pt>
                <c:pt idx="3">
                  <c:v>18.525943310897638</c:v>
                </c:pt>
                <c:pt idx="4">
                  <c:v>13.692815277429251</c:v>
                </c:pt>
                <c:pt idx="5">
                  <c:v>13.692815277429251</c:v>
                </c:pt>
                <c:pt idx="6">
                  <c:v>13.692815277429251</c:v>
                </c:pt>
                <c:pt idx="7">
                  <c:v>13.979637026628728</c:v>
                </c:pt>
                <c:pt idx="8">
                  <c:v>11.125150219023094</c:v>
                </c:pt>
                <c:pt idx="9">
                  <c:v>11.414361899612091</c:v>
                </c:pt>
                <c:pt idx="10">
                  <c:v>11.414355480687631</c:v>
                </c:pt>
                <c:pt idx="11">
                  <c:v>11.82436898189669</c:v>
                </c:pt>
                <c:pt idx="12">
                  <c:v>7.4547120043034294</c:v>
                </c:pt>
                <c:pt idx="13">
                  <c:v>7.4547120043034294</c:v>
                </c:pt>
                <c:pt idx="14">
                  <c:v>7.4547120043034294</c:v>
                </c:pt>
                <c:pt idx="15">
                  <c:v>7.4547120043034294</c:v>
                </c:pt>
                <c:pt idx="16">
                  <c:v>7.4547120043034294</c:v>
                </c:pt>
                <c:pt idx="17">
                  <c:v>7.4547120043034294</c:v>
                </c:pt>
                <c:pt idx="18">
                  <c:v>7.4547120043034294</c:v>
                </c:pt>
                <c:pt idx="19">
                  <c:v>7.4547120043034294</c:v>
                </c:pt>
                <c:pt idx="20">
                  <c:v>7.4547120043034294</c:v>
                </c:pt>
                <c:pt idx="21">
                  <c:v>7.4547120043034294</c:v>
                </c:pt>
                <c:pt idx="22">
                  <c:v>12.24455320734682</c:v>
                </c:pt>
                <c:pt idx="23">
                  <c:v>11.693129484663265</c:v>
                </c:pt>
                <c:pt idx="24">
                  <c:v>14.430050067984372</c:v>
                </c:pt>
                <c:pt idx="25">
                  <c:v>13.970427256595917</c:v>
                </c:pt>
                <c:pt idx="26">
                  <c:v>13.970427256595917</c:v>
                </c:pt>
                <c:pt idx="27">
                  <c:v>13.970427256595917</c:v>
                </c:pt>
                <c:pt idx="28">
                  <c:v>18.560515151039887</c:v>
                </c:pt>
                <c:pt idx="29">
                  <c:v>18.560515151039887</c:v>
                </c:pt>
                <c:pt idx="30">
                  <c:v>11.052509463353175</c:v>
                </c:pt>
                <c:pt idx="31">
                  <c:v>11.052509463353175</c:v>
                </c:pt>
                <c:pt idx="32">
                  <c:v>5.1913526639174741</c:v>
                </c:pt>
                <c:pt idx="33">
                  <c:v>5.1913526639174741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4.7028155802039491</c:v>
                </c:pt>
                <c:pt idx="43">
                  <c:v>4.7028155802039491</c:v>
                </c:pt>
                <c:pt idx="44">
                  <c:v>7.3353315951441704</c:v>
                </c:pt>
                <c:pt idx="45">
                  <c:v>7.3353315951441704</c:v>
                </c:pt>
                <c:pt idx="46">
                  <c:v>15.889507411456828</c:v>
                </c:pt>
                <c:pt idx="47">
                  <c:v>15.889507411456828</c:v>
                </c:pt>
                <c:pt idx="48">
                  <c:v>18.560515151039887</c:v>
                </c:pt>
                <c:pt idx="49">
                  <c:v>18.560515151039887</c:v>
                </c:pt>
                <c:pt idx="50">
                  <c:v>18.560515151039887</c:v>
                </c:pt>
                <c:pt idx="51">
                  <c:v>18.560515151039887</c:v>
                </c:pt>
                <c:pt idx="52">
                  <c:v>18.344194128312612</c:v>
                </c:pt>
                <c:pt idx="53">
                  <c:v>18.344194128312612</c:v>
                </c:pt>
                <c:pt idx="54">
                  <c:v>18.344194128312612</c:v>
                </c:pt>
                <c:pt idx="55">
                  <c:v>18.344194128312612</c:v>
                </c:pt>
                <c:pt idx="56">
                  <c:v>18.344194128312612</c:v>
                </c:pt>
                <c:pt idx="57">
                  <c:v>18.344194128312612</c:v>
                </c:pt>
                <c:pt idx="58">
                  <c:v>18.47186305521582</c:v>
                </c:pt>
                <c:pt idx="59">
                  <c:v>18.47186305521582</c:v>
                </c:pt>
                <c:pt idx="60">
                  <c:v>18.47186305521582</c:v>
                </c:pt>
                <c:pt idx="61">
                  <c:v>18.47186305521582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E-4949-869D-A271F6FE8B64}"/>
            </c:ext>
          </c:extLst>
        </c:ser>
        <c:ser>
          <c:idx val="0"/>
          <c:order val="1"/>
          <c:tx>
            <c:strRef>
              <c:f>SUM!$D$3</c:f>
              <c:strCache>
                <c:ptCount val="1"/>
                <c:pt idx="0">
                  <c:v>0.6Fy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SUM!$D$5:$D$66</c:f>
              <c:numCache>
                <c:formatCode>General</c:formatCode>
                <c:ptCount val="62"/>
                <c:pt idx="0">
                  <c:v>228</c:v>
                </c:pt>
                <c:pt idx="1">
                  <c:v>228</c:v>
                </c:pt>
                <c:pt idx="2">
                  <c:v>228</c:v>
                </c:pt>
                <c:pt idx="3">
                  <c:v>228</c:v>
                </c:pt>
                <c:pt idx="4">
                  <c:v>228</c:v>
                </c:pt>
                <c:pt idx="5">
                  <c:v>228</c:v>
                </c:pt>
                <c:pt idx="6">
                  <c:v>228</c:v>
                </c:pt>
                <c:pt idx="7">
                  <c:v>228</c:v>
                </c:pt>
                <c:pt idx="8">
                  <c:v>228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  <c:pt idx="12">
                  <c:v>228</c:v>
                </c:pt>
                <c:pt idx="13">
                  <c:v>228</c:v>
                </c:pt>
                <c:pt idx="14">
                  <c:v>228</c:v>
                </c:pt>
                <c:pt idx="15">
                  <c:v>228</c:v>
                </c:pt>
                <c:pt idx="16">
                  <c:v>228</c:v>
                </c:pt>
                <c:pt idx="17">
                  <c:v>228</c:v>
                </c:pt>
                <c:pt idx="18">
                  <c:v>228</c:v>
                </c:pt>
                <c:pt idx="19">
                  <c:v>228</c:v>
                </c:pt>
                <c:pt idx="20">
                  <c:v>228</c:v>
                </c:pt>
                <c:pt idx="21">
                  <c:v>228</c:v>
                </c:pt>
                <c:pt idx="22">
                  <c:v>228</c:v>
                </c:pt>
                <c:pt idx="23">
                  <c:v>228</c:v>
                </c:pt>
                <c:pt idx="24">
                  <c:v>228</c:v>
                </c:pt>
                <c:pt idx="25">
                  <c:v>228</c:v>
                </c:pt>
                <c:pt idx="26">
                  <c:v>228</c:v>
                </c:pt>
                <c:pt idx="27">
                  <c:v>228</c:v>
                </c:pt>
                <c:pt idx="28">
                  <c:v>228</c:v>
                </c:pt>
                <c:pt idx="29">
                  <c:v>228</c:v>
                </c:pt>
                <c:pt idx="30">
                  <c:v>228</c:v>
                </c:pt>
                <c:pt idx="31">
                  <c:v>228</c:v>
                </c:pt>
                <c:pt idx="32">
                  <c:v>228</c:v>
                </c:pt>
                <c:pt idx="33">
                  <c:v>228</c:v>
                </c:pt>
                <c:pt idx="34">
                  <c:v>228</c:v>
                </c:pt>
                <c:pt idx="35">
                  <c:v>228</c:v>
                </c:pt>
                <c:pt idx="36">
                  <c:v>228</c:v>
                </c:pt>
                <c:pt idx="37">
                  <c:v>228</c:v>
                </c:pt>
                <c:pt idx="38">
                  <c:v>228</c:v>
                </c:pt>
                <c:pt idx="39">
                  <c:v>228</c:v>
                </c:pt>
                <c:pt idx="40">
                  <c:v>228</c:v>
                </c:pt>
                <c:pt idx="41">
                  <c:v>228</c:v>
                </c:pt>
                <c:pt idx="42">
                  <c:v>228</c:v>
                </c:pt>
                <c:pt idx="43">
                  <c:v>228</c:v>
                </c:pt>
                <c:pt idx="44">
                  <c:v>228</c:v>
                </c:pt>
                <c:pt idx="45">
                  <c:v>228</c:v>
                </c:pt>
                <c:pt idx="46">
                  <c:v>228</c:v>
                </c:pt>
                <c:pt idx="47">
                  <c:v>228</c:v>
                </c:pt>
                <c:pt idx="48">
                  <c:v>228</c:v>
                </c:pt>
                <c:pt idx="49">
                  <c:v>228</c:v>
                </c:pt>
                <c:pt idx="50">
                  <c:v>228</c:v>
                </c:pt>
                <c:pt idx="51">
                  <c:v>228</c:v>
                </c:pt>
                <c:pt idx="52">
                  <c:v>228</c:v>
                </c:pt>
                <c:pt idx="53">
                  <c:v>228</c:v>
                </c:pt>
                <c:pt idx="54">
                  <c:v>228</c:v>
                </c:pt>
                <c:pt idx="55">
                  <c:v>228</c:v>
                </c:pt>
                <c:pt idx="56">
                  <c:v>228</c:v>
                </c:pt>
                <c:pt idx="57">
                  <c:v>228</c:v>
                </c:pt>
                <c:pt idx="58">
                  <c:v>228</c:v>
                </c:pt>
                <c:pt idx="59">
                  <c:v>228</c:v>
                </c:pt>
                <c:pt idx="60">
                  <c:v>228</c:v>
                </c:pt>
                <c:pt idx="61">
                  <c:v>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E-4949-869D-A271F6FE8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3724876057159525"/>
          <c:y val="0.41436982797532473"/>
          <c:w val="7.1179786229710676E-2"/>
          <c:h val="0.23920022736011501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SUM!$G$3</c:f>
              <c:strCache>
                <c:ptCount val="1"/>
                <c:pt idx="0">
                  <c:v>fbu+fl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SUM!$G$5:$G$66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F-47BE-925B-95F3E47EF350}"/>
            </c:ext>
          </c:extLst>
        </c:ser>
        <c:ser>
          <c:idx val="0"/>
          <c:order val="1"/>
          <c:tx>
            <c:strRef>
              <c:f>SUM!$H$3</c:f>
              <c:strCache>
                <c:ptCount val="1"/>
                <c:pt idx="0">
                  <c:v>ΦfRhFyc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SUM!$H$5:$H$66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9F-47BE-925B-95F3E47E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589297171186948"/>
          <c:y val="0.29547386194560077"/>
          <c:w val="8.0044484235388944E-2"/>
          <c:h val="0.24769279636223815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SUM!$I$3</c:f>
              <c:strCache>
                <c:ptCount val="1"/>
                <c:pt idx="0">
                  <c:v>fbu+1/3fl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SUM!$I$5:$I$66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86-4158-92DD-08D0494CCCE5}"/>
            </c:ext>
          </c:extLst>
        </c:ser>
        <c:ser>
          <c:idx val="0"/>
          <c:order val="1"/>
          <c:tx>
            <c:strRef>
              <c:f>SUM!$J$3</c:f>
              <c:strCache>
                <c:ptCount val="1"/>
                <c:pt idx="0">
                  <c:v>Fnc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SUM!$J$5:$J$66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86-4158-92DD-08D0494C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0965995917177025"/>
          <c:y val="0.38889212096895537"/>
          <c:w val="8.3931753428780578E-2"/>
          <c:h val="0.23070765835799187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SUM!$K$3</c:f>
              <c:strCache>
                <c:ptCount val="1"/>
                <c:pt idx="0">
                  <c:v>fbu+fl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SUM!$K$5:$K$66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C-42E3-B64A-1184C49E51C3}"/>
            </c:ext>
          </c:extLst>
        </c:ser>
        <c:ser>
          <c:idx val="0"/>
          <c:order val="1"/>
          <c:tx>
            <c:strRef>
              <c:f>SUM!$L$3</c:f>
              <c:strCache>
                <c:ptCount val="1"/>
                <c:pt idx="0">
                  <c:v>ΦfFt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SUM!$L$5:$L$66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C-42E3-B64A-1184C49E5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712753961310392"/>
          <c:y val="0.20528883636890741"/>
          <c:w val="8.0044484235388944E-2"/>
          <c:h val="0.2302250239948842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2"/>
          <c:order val="0"/>
          <c:tx>
            <c:strRef>
              <c:f>SUM!$R$3</c:f>
              <c:strCache>
                <c:ptCount val="1"/>
                <c:pt idx="0">
                  <c:v>fdeck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SUM!$R$5:$R$66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2.4728272657858699</c:v>
                </c:pt>
                <c:pt idx="4">
                  <c:v>2.0618968286431296</c:v>
                </c:pt>
                <c:pt idx="5">
                  <c:v>4.6290868382874386</c:v>
                </c:pt>
                <c:pt idx="6">
                  <c:v>4.6290849515083714</c:v>
                </c:pt>
                <c:pt idx="7">
                  <c:v>7.4365673266243979</c:v>
                </c:pt>
                <c:pt idx="8">
                  <c:v>6.5354780503787424</c:v>
                </c:pt>
                <c:pt idx="9">
                  <c:v>8.5288868646784461</c:v>
                </c:pt>
                <c:pt idx="10">
                  <c:v>8.5288910100654167</c:v>
                </c:pt>
                <c:pt idx="11">
                  <c:v>9.8797460119570353</c:v>
                </c:pt>
                <c:pt idx="12">
                  <c:v>9.3913791197090148</c:v>
                </c:pt>
                <c:pt idx="13">
                  <c:v>10.306978893217218</c:v>
                </c:pt>
                <c:pt idx="14">
                  <c:v>10.306962005448359</c:v>
                </c:pt>
                <c:pt idx="15">
                  <c:v>10.61096582557524</c:v>
                </c:pt>
                <c:pt idx="16">
                  <c:v>10.610977647013442</c:v>
                </c:pt>
                <c:pt idx="17">
                  <c:v>10.569218698025617</c:v>
                </c:pt>
                <c:pt idx="18">
                  <c:v>10.569225340548037</c:v>
                </c:pt>
                <c:pt idx="19">
                  <c:v>10.024341478253067</c:v>
                </c:pt>
                <c:pt idx="20">
                  <c:v>10.024325153409833</c:v>
                </c:pt>
                <c:pt idx="21">
                  <c:v>8.9704135396652305</c:v>
                </c:pt>
                <c:pt idx="22">
                  <c:v>9.5807976745566137</c:v>
                </c:pt>
                <c:pt idx="23">
                  <c:v>8.1107924853884761</c:v>
                </c:pt>
                <c:pt idx="24">
                  <c:v>8.2283857842029633</c:v>
                </c:pt>
                <c:pt idx="25">
                  <c:v>6.1334814112687281</c:v>
                </c:pt>
                <c:pt idx="26">
                  <c:v>6.1334838510545096</c:v>
                </c:pt>
                <c:pt idx="27">
                  <c:v>3.7554544151038192</c:v>
                </c:pt>
                <c:pt idx="28">
                  <c:v>4.2229916137169727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4.859403218875447</c:v>
                </c:pt>
                <c:pt idx="54">
                  <c:v>4.859403218875447</c:v>
                </c:pt>
                <c:pt idx="55">
                  <c:v>4.0155606906146577</c:v>
                </c:pt>
                <c:pt idx="56">
                  <c:v>4.0155606906146577</c:v>
                </c:pt>
                <c:pt idx="57">
                  <c:v>1.5292097657540487</c:v>
                </c:pt>
                <c:pt idx="58">
                  <c:v>1.6873910918049171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61-4387-9886-F42ED59314E0}"/>
            </c:ext>
          </c:extLst>
        </c:ser>
        <c:ser>
          <c:idx val="3"/>
          <c:order val="1"/>
          <c:tx>
            <c:strRef>
              <c:f>SUM!$U$3</c:f>
              <c:strCache>
                <c:ptCount val="1"/>
                <c:pt idx="0">
                  <c:v>0.6f'c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SUM!$T$5:$T$66</c:f>
              <c:numCache>
                <c:formatCode>0.00</c:formatCode>
                <c:ptCount val="6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1-4387-9886-F42ED593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"/>
        <c:minorUnit val="2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712753961310392"/>
          <c:y val="0.24451844793286184"/>
          <c:w val="8.0044484235388944E-2"/>
          <c:h val="0.273170503368607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SUM!$W$3</c:f>
              <c:strCache>
                <c:ptCount val="1"/>
                <c:pt idx="0">
                  <c:v>fbu 인장</c:v>
                </c:pt>
              </c:strCache>
            </c:strRef>
          </c:tx>
          <c:spPr>
            <a:ln w="25400" cmpd="dbl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SUM!$W$5:$W$66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4-4F50-9126-B7EF8C81D137}"/>
            </c:ext>
          </c:extLst>
        </c:ser>
        <c:ser>
          <c:idx val="1"/>
          <c:order val="1"/>
          <c:tx>
            <c:strRef>
              <c:f>SUM!$V$3</c:f>
              <c:strCache>
                <c:ptCount val="1"/>
                <c:pt idx="0">
                  <c:v>fbu 압축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SUM!$V$5:$V$66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4-4F50-9126-B7EF8C81D137}"/>
            </c:ext>
          </c:extLst>
        </c:ser>
        <c:ser>
          <c:idx val="3"/>
          <c:order val="2"/>
          <c:tx>
            <c:strRef>
              <c:f>SUM!$Y$3</c:f>
              <c:strCache>
                <c:ptCount val="1"/>
                <c:pt idx="0">
                  <c:v>ΦfFnt</c:v>
                </c:pt>
              </c:strCache>
            </c:strRef>
          </c:tx>
          <c:spPr>
            <a:ln w="25400" cap="rnd" cmpd="dbl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SUM!$Y$5:$Y$66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4-4F50-9126-B7EF8C81D137}"/>
            </c:ext>
          </c:extLst>
        </c:ser>
        <c:ser>
          <c:idx val="2"/>
          <c:order val="3"/>
          <c:tx>
            <c:strRef>
              <c:f>SUM!$X$3</c:f>
              <c:strCache>
                <c:ptCount val="1"/>
                <c:pt idx="0">
                  <c:v>ΦfFnc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SUM!$X$5:$X$66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4-4F50-9126-B7EF8C81D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5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836210751433847"/>
          <c:y val="0.10958935065852195"/>
          <c:w val="8.0044484235388944E-2"/>
          <c:h val="0.28756611701564211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SUM!$Z$3</c:f>
              <c:strCache>
                <c:ptCount val="1"/>
                <c:pt idx="0">
                  <c:v>Mu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SUM!$Z$5:$Z$66</c:f>
              <c:numCache>
                <c:formatCode>0</c:formatCode>
                <c:ptCount val="62"/>
                <c:pt idx="0">
                  <c:v>-2.2499999999999999E-2</c:v>
                </c:pt>
                <c:pt idx="1">
                  <c:v>-274.62350000000004</c:v>
                </c:pt>
                <c:pt idx="2">
                  <c:v>-274.61899999999997</c:v>
                </c:pt>
                <c:pt idx="3">
                  <c:v>14278.054</c:v>
                </c:pt>
                <c:pt idx="4">
                  <c:v>14278.029</c:v>
                </c:pt>
                <c:pt idx="5">
                  <c:v>32201.196499999998</c:v>
                </c:pt>
                <c:pt idx="6">
                  <c:v>32201.152000000002</c:v>
                </c:pt>
                <c:pt idx="7">
                  <c:v>52046.373</c:v>
                </c:pt>
                <c:pt idx="8">
                  <c:v>52046.338000000003</c:v>
                </c:pt>
                <c:pt idx="9">
                  <c:v>68221.945500000002</c:v>
                </c:pt>
                <c:pt idx="10">
                  <c:v>68221.875499999995</c:v>
                </c:pt>
                <c:pt idx="11">
                  <c:v>79319.916000000012</c:v>
                </c:pt>
                <c:pt idx="12">
                  <c:v>79319.841</c:v>
                </c:pt>
                <c:pt idx="13">
                  <c:v>87006.146500000003</c:v>
                </c:pt>
                <c:pt idx="14">
                  <c:v>87006.021500000003</c:v>
                </c:pt>
                <c:pt idx="15">
                  <c:v>89497.790500000003</c:v>
                </c:pt>
                <c:pt idx="16">
                  <c:v>89497.893000000011</c:v>
                </c:pt>
                <c:pt idx="17">
                  <c:v>88640.763000000006</c:v>
                </c:pt>
                <c:pt idx="18">
                  <c:v>88640.85500000001</c:v>
                </c:pt>
                <c:pt idx="19">
                  <c:v>83281.955000000002</c:v>
                </c:pt>
                <c:pt idx="20">
                  <c:v>83281.944999999992</c:v>
                </c:pt>
                <c:pt idx="21">
                  <c:v>73354.997499999998</c:v>
                </c:pt>
                <c:pt idx="22">
                  <c:v>73355.107499999998</c:v>
                </c:pt>
                <c:pt idx="23">
                  <c:v>60230.861000000004</c:v>
                </c:pt>
                <c:pt idx="24">
                  <c:v>60231.040999999997</c:v>
                </c:pt>
                <c:pt idx="25">
                  <c:v>42321.550999999999</c:v>
                </c:pt>
                <c:pt idx="26">
                  <c:v>42321.611000000004</c:v>
                </c:pt>
                <c:pt idx="27">
                  <c:v>21555.933000000001</c:v>
                </c:pt>
                <c:pt idx="28">
                  <c:v>21555.845499999999</c:v>
                </c:pt>
                <c:pt idx="29">
                  <c:v>-19300.044999999998</c:v>
                </c:pt>
                <c:pt idx="30">
                  <c:v>-19300.057500000003</c:v>
                </c:pt>
                <c:pt idx="31">
                  <c:v>-43945.677000000011</c:v>
                </c:pt>
                <c:pt idx="32">
                  <c:v>-43945.630000000005</c:v>
                </c:pt>
                <c:pt idx="33">
                  <c:v>-76746.111499999999</c:v>
                </c:pt>
                <c:pt idx="34">
                  <c:v>-76746.051500000001</c:v>
                </c:pt>
                <c:pt idx="35">
                  <c:v>-102672.22149999999</c:v>
                </c:pt>
                <c:pt idx="36">
                  <c:v>-102672.35399999999</c:v>
                </c:pt>
                <c:pt idx="37">
                  <c:v>-114524.89750000002</c:v>
                </c:pt>
                <c:pt idx="38">
                  <c:v>-114522.23199999999</c:v>
                </c:pt>
                <c:pt idx="39">
                  <c:v>-105785.81299999999</c:v>
                </c:pt>
                <c:pt idx="40">
                  <c:v>-105785.65549999999</c:v>
                </c:pt>
                <c:pt idx="41">
                  <c:v>-87316.733500000002</c:v>
                </c:pt>
                <c:pt idx="42">
                  <c:v>-87316.59599999999</c:v>
                </c:pt>
                <c:pt idx="43">
                  <c:v>-65173.652000000002</c:v>
                </c:pt>
                <c:pt idx="44">
                  <c:v>-65173.6495</c:v>
                </c:pt>
                <c:pt idx="45">
                  <c:v>-47886.451000000001</c:v>
                </c:pt>
                <c:pt idx="46">
                  <c:v>-47886.490999999995</c:v>
                </c:pt>
                <c:pt idx="47">
                  <c:v>-33086.458500000008</c:v>
                </c:pt>
                <c:pt idx="48">
                  <c:v>-33086.433499999999</c:v>
                </c:pt>
                <c:pt idx="49">
                  <c:v>-21471.9555</c:v>
                </c:pt>
                <c:pt idx="50">
                  <c:v>-21471.9555</c:v>
                </c:pt>
                <c:pt idx="51">
                  <c:v>-11978.594500000001</c:v>
                </c:pt>
                <c:pt idx="52">
                  <c:v>-11978.607000000002</c:v>
                </c:pt>
                <c:pt idx="53">
                  <c:v>18162.058500000003</c:v>
                </c:pt>
                <c:pt idx="54">
                  <c:v>18162.058500000003</c:v>
                </c:pt>
                <c:pt idx="55">
                  <c:v>16543.497499999998</c:v>
                </c:pt>
                <c:pt idx="56">
                  <c:v>16543.510000000002</c:v>
                </c:pt>
                <c:pt idx="57">
                  <c:v>6710.4380000000001</c:v>
                </c:pt>
                <c:pt idx="58">
                  <c:v>6710.4505000000008</c:v>
                </c:pt>
                <c:pt idx="59">
                  <c:v>-274.52449999999999</c:v>
                </c:pt>
                <c:pt idx="60">
                  <c:v>-274.56600000000003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A4-4E0B-BEE6-C76C47583685}"/>
            </c:ext>
          </c:extLst>
        </c:ser>
        <c:ser>
          <c:idx val="2"/>
          <c:order val="1"/>
          <c:tx>
            <c:strRef>
              <c:f>SUM!$AA$3</c:f>
              <c:strCache>
                <c:ptCount val="1"/>
                <c:pt idx="0">
                  <c:v>ΦfMn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SUM!$AA$5:$AA$66</c:f>
              <c:numCache>
                <c:formatCode>0</c:formatCode>
                <c:ptCount val="62"/>
                <c:pt idx="0">
                  <c:v>31874.789538587065</c:v>
                </c:pt>
                <c:pt idx="1">
                  <c:v>31874.789538587065</c:v>
                </c:pt>
                <c:pt idx="2">
                  <c:v>31874.789538587065</c:v>
                </c:pt>
                <c:pt idx="3">
                  <c:v>61478.937612745642</c:v>
                </c:pt>
                <c:pt idx="4">
                  <c:v>83743.281114864061</c:v>
                </c:pt>
                <c:pt idx="5">
                  <c:v>81452.900663436361</c:v>
                </c:pt>
                <c:pt idx="6">
                  <c:v>81452.917237778398</c:v>
                </c:pt>
                <c:pt idx="7">
                  <c:v>77582.776531478579</c:v>
                </c:pt>
                <c:pt idx="8">
                  <c:v>117364.48706155812</c:v>
                </c:pt>
                <c:pt idx="9">
                  <c:v>117364.48706155812</c:v>
                </c:pt>
                <c:pt idx="10">
                  <c:v>117364.48706155812</c:v>
                </c:pt>
                <c:pt idx="11">
                  <c:v>117364.48706155812</c:v>
                </c:pt>
                <c:pt idx="12">
                  <c:v>130042.64171156453</c:v>
                </c:pt>
                <c:pt idx="13">
                  <c:v>130042.64171156453</c:v>
                </c:pt>
                <c:pt idx="14">
                  <c:v>130042.64171156453</c:v>
                </c:pt>
                <c:pt idx="15">
                  <c:v>130042.64171156453</c:v>
                </c:pt>
                <c:pt idx="16">
                  <c:v>130042.64171156453</c:v>
                </c:pt>
                <c:pt idx="17">
                  <c:v>130042.64171156453</c:v>
                </c:pt>
                <c:pt idx="18">
                  <c:v>130042.64171156453</c:v>
                </c:pt>
                <c:pt idx="19">
                  <c:v>130042.64171156453</c:v>
                </c:pt>
                <c:pt idx="20">
                  <c:v>130042.64171156453</c:v>
                </c:pt>
                <c:pt idx="21">
                  <c:v>130042.64171156453</c:v>
                </c:pt>
                <c:pt idx="22">
                  <c:v>113143.94768355771</c:v>
                </c:pt>
                <c:pt idx="23">
                  <c:v>113143.94768355771</c:v>
                </c:pt>
                <c:pt idx="24">
                  <c:v>113115.6492133463</c:v>
                </c:pt>
                <c:pt idx="25">
                  <c:v>113115.6492133463</c:v>
                </c:pt>
                <c:pt idx="26">
                  <c:v>113115.6492133463</c:v>
                </c:pt>
                <c:pt idx="27">
                  <c:v>113115.6492133463</c:v>
                </c:pt>
                <c:pt idx="28">
                  <c:v>83756.40301645358</c:v>
                </c:pt>
                <c:pt idx="29">
                  <c:v>43367.731940758145</c:v>
                </c:pt>
                <c:pt idx="30">
                  <c:v>52945.58194170786</c:v>
                </c:pt>
                <c:pt idx="31">
                  <c:v>52945.58194170786</c:v>
                </c:pt>
                <c:pt idx="32">
                  <c:v>111833.29968346468</c:v>
                </c:pt>
                <c:pt idx="33">
                  <c:v>109767.64951328484</c:v>
                </c:pt>
                <c:pt idx="34">
                  <c:v>161123.19717351606</c:v>
                </c:pt>
                <c:pt idx="35">
                  <c:v>161123.19717351606</c:v>
                </c:pt>
                <c:pt idx="36">
                  <c:v>179025.80399285004</c:v>
                </c:pt>
                <c:pt idx="37">
                  <c:v>179025.80399285004</c:v>
                </c:pt>
                <c:pt idx="38">
                  <c:v>179025.80399285004</c:v>
                </c:pt>
                <c:pt idx="39">
                  <c:v>179025.80399285004</c:v>
                </c:pt>
                <c:pt idx="40">
                  <c:v>161123.19717351606</c:v>
                </c:pt>
                <c:pt idx="41">
                  <c:v>161123.19717351606</c:v>
                </c:pt>
                <c:pt idx="42">
                  <c:v>118016.46692503565</c:v>
                </c:pt>
                <c:pt idx="43">
                  <c:v>118431.19390245817</c:v>
                </c:pt>
                <c:pt idx="44">
                  <c:v>62723.505499360166</c:v>
                </c:pt>
                <c:pt idx="45">
                  <c:v>62723.505499360166</c:v>
                </c:pt>
                <c:pt idx="46">
                  <c:v>52111.705229174222</c:v>
                </c:pt>
                <c:pt idx="47">
                  <c:v>52111.705229174222</c:v>
                </c:pt>
                <c:pt idx="48">
                  <c:v>43367.731940758145</c:v>
                </c:pt>
                <c:pt idx="49">
                  <c:v>43367.731940758145</c:v>
                </c:pt>
                <c:pt idx="50">
                  <c:v>43367.731940758145</c:v>
                </c:pt>
                <c:pt idx="51">
                  <c:v>43367.731940758145</c:v>
                </c:pt>
                <c:pt idx="52">
                  <c:v>32568.879310273685</c:v>
                </c:pt>
                <c:pt idx="53">
                  <c:v>65023.106148950392</c:v>
                </c:pt>
                <c:pt idx="54">
                  <c:v>65023.106148950392</c:v>
                </c:pt>
                <c:pt idx="55">
                  <c:v>64421.871321991974</c:v>
                </c:pt>
                <c:pt idx="56">
                  <c:v>64421.865268041329</c:v>
                </c:pt>
                <c:pt idx="57">
                  <c:v>65272.802655467778</c:v>
                </c:pt>
                <c:pt idx="58">
                  <c:v>58921.023702323429</c:v>
                </c:pt>
                <c:pt idx="59">
                  <c:v>29320.56363570091</c:v>
                </c:pt>
                <c:pt idx="60">
                  <c:v>29320.56363570091</c:v>
                </c:pt>
                <c:pt idx="61">
                  <c:v>59770.029548127226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A4-4E0B-BEE6-C76C47583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200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589297171186948"/>
          <c:y val="0.12515279811129137"/>
          <c:w val="8.0044484235388944E-2"/>
          <c:h val="0.2018159036653081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SUM!$AD$3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mpd="sng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SUM!$AD$5:$AD$66</c:f>
              <c:numCache>
                <c:formatCode>General</c:formatCode>
                <c:ptCount val="62"/>
                <c:pt idx="0">
                  <c:v>-4549.4716078986594</c:v>
                </c:pt>
                <c:pt idx="1">
                  <c:v>-4549.4716078986594</c:v>
                </c:pt>
                <c:pt idx="2">
                  <c:v>-4549.4716078986594</c:v>
                </c:pt>
                <c:pt idx="3">
                  <c:v>-4549.4716078986594</c:v>
                </c:pt>
                <c:pt idx="4">
                  <c:v>-4987.9984783153504</c:v>
                </c:pt>
                <c:pt idx="5">
                  <c:v>-4987.9984783153504</c:v>
                </c:pt>
                <c:pt idx="6">
                  <c:v>-4987.9984783153504</c:v>
                </c:pt>
                <c:pt idx="7">
                  <c:v>-4987.9984783153504</c:v>
                </c:pt>
                <c:pt idx="8">
                  <c:v>-4987.9984783153504</c:v>
                </c:pt>
                <c:pt idx="9">
                  <c:v>-4987.9984783153504</c:v>
                </c:pt>
                <c:pt idx="10">
                  <c:v>-4987.9984783153504</c:v>
                </c:pt>
                <c:pt idx="11">
                  <c:v>-4987.9984783153504</c:v>
                </c:pt>
                <c:pt idx="12">
                  <c:v>-4987.9984783153504</c:v>
                </c:pt>
                <c:pt idx="13">
                  <c:v>-4987.9984783153504</c:v>
                </c:pt>
                <c:pt idx="14">
                  <c:v>-4987.9984783153504</c:v>
                </c:pt>
                <c:pt idx="15">
                  <c:v>-4987.9984783153504</c:v>
                </c:pt>
                <c:pt idx="16">
                  <c:v>-4987.9984783153504</c:v>
                </c:pt>
                <c:pt idx="17">
                  <c:v>-4987.9984783153504</c:v>
                </c:pt>
                <c:pt idx="18">
                  <c:v>-4987.9984783153504</c:v>
                </c:pt>
                <c:pt idx="19">
                  <c:v>-4987.9984783153504</c:v>
                </c:pt>
                <c:pt idx="20">
                  <c:v>-4987.9984783153504</c:v>
                </c:pt>
                <c:pt idx="21">
                  <c:v>-4987.9984783153504</c:v>
                </c:pt>
                <c:pt idx="22">
                  <c:v>-4987.9984783153504</c:v>
                </c:pt>
                <c:pt idx="23">
                  <c:v>-4987.9984783153504</c:v>
                </c:pt>
                <c:pt idx="24">
                  <c:v>-4987.9984783153504</c:v>
                </c:pt>
                <c:pt idx="25">
                  <c:v>-4987.9984783153504</c:v>
                </c:pt>
                <c:pt idx="26">
                  <c:v>-4987.9984783153504</c:v>
                </c:pt>
                <c:pt idx="27">
                  <c:v>-4987.9984783153504</c:v>
                </c:pt>
                <c:pt idx="28">
                  <c:v>-4987.9984783153504</c:v>
                </c:pt>
                <c:pt idx="29">
                  <c:v>-4987.9984783153504</c:v>
                </c:pt>
                <c:pt idx="30">
                  <c:v>-5018.9937439250962</c:v>
                </c:pt>
                <c:pt idx="31">
                  <c:v>-5018.9937439250962</c:v>
                </c:pt>
                <c:pt idx="32">
                  <c:v>-5264.2376535428275</c:v>
                </c:pt>
                <c:pt idx="33">
                  <c:v>-5264.2376535428275</c:v>
                </c:pt>
                <c:pt idx="34">
                  <c:v>-6794.4795403845001</c:v>
                </c:pt>
                <c:pt idx="35">
                  <c:v>-6794.4795403845001</c:v>
                </c:pt>
                <c:pt idx="36">
                  <c:v>-7048.1261490788047</c:v>
                </c:pt>
                <c:pt idx="37">
                  <c:v>-7048.1261490788047</c:v>
                </c:pt>
                <c:pt idx="38">
                  <c:v>-7048.1261490788047</c:v>
                </c:pt>
                <c:pt idx="39">
                  <c:v>-7048.1261490788047</c:v>
                </c:pt>
                <c:pt idx="40">
                  <c:v>-6794.4795403845001</c:v>
                </c:pt>
                <c:pt idx="41">
                  <c:v>-6794.4795403845001</c:v>
                </c:pt>
                <c:pt idx="42">
                  <c:v>-5264.2376535428275</c:v>
                </c:pt>
                <c:pt idx="43">
                  <c:v>-5264.2376535428275</c:v>
                </c:pt>
                <c:pt idx="44">
                  <c:v>-5018.9937439250962</c:v>
                </c:pt>
                <c:pt idx="45">
                  <c:v>-5018.9937439250962</c:v>
                </c:pt>
                <c:pt idx="46">
                  <c:v>-4987.9984783153504</c:v>
                </c:pt>
                <c:pt idx="47">
                  <c:v>-4987.9984783153504</c:v>
                </c:pt>
                <c:pt idx="48">
                  <c:v>-4987.9984783153504</c:v>
                </c:pt>
                <c:pt idx="49">
                  <c:v>-4987.9984783153504</c:v>
                </c:pt>
                <c:pt idx="50">
                  <c:v>-4987.9984783153504</c:v>
                </c:pt>
                <c:pt idx="51">
                  <c:v>-4987.9984783153504</c:v>
                </c:pt>
                <c:pt idx="52">
                  <c:v>-4987.9984783153504</c:v>
                </c:pt>
                <c:pt idx="53">
                  <c:v>-4987.9984783153504</c:v>
                </c:pt>
                <c:pt idx="54">
                  <c:v>-4987.9984783153504</c:v>
                </c:pt>
                <c:pt idx="55">
                  <c:v>-4987.9984783153504</c:v>
                </c:pt>
                <c:pt idx="56">
                  <c:v>-4987.9984783153504</c:v>
                </c:pt>
                <c:pt idx="57">
                  <c:v>-4987.9984783153504</c:v>
                </c:pt>
                <c:pt idx="58">
                  <c:v>-4549.4716078986594</c:v>
                </c:pt>
                <c:pt idx="59">
                  <c:v>-4549.4716078986594</c:v>
                </c:pt>
                <c:pt idx="60">
                  <c:v>-4549.4716078986594</c:v>
                </c:pt>
                <c:pt idx="61">
                  <c:v>-4549.4716078986594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E3-4FDA-A974-0D93D9918B28}"/>
            </c:ext>
          </c:extLst>
        </c:ser>
        <c:ser>
          <c:idx val="1"/>
          <c:order val="1"/>
          <c:tx>
            <c:strRef>
              <c:f>SUM!$AB$3</c:f>
              <c:strCache>
                <c:ptCount val="1"/>
                <c:pt idx="0">
                  <c:v>Vu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SUM!$AB$5:$AB$66</c:f>
              <c:numCache>
                <c:formatCode>General</c:formatCode>
                <c:ptCount val="62"/>
                <c:pt idx="0">
                  <c:v>1.1337549958544833E-2</c:v>
                </c:pt>
                <c:pt idx="1">
                  <c:v>-266.91741921847478</c:v>
                </c:pt>
                <c:pt idx="2">
                  <c:v>2849.6271723449299</c:v>
                </c:pt>
                <c:pt idx="3">
                  <c:v>2627.1625228950275</c:v>
                </c:pt>
                <c:pt idx="4">
                  <c:v>2627.1574839839345</c:v>
                </c:pt>
                <c:pt idx="5">
                  <c:v>2376.362312752065</c:v>
                </c:pt>
                <c:pt idx="6">
                  <c:v>2278.5618354085568</c:v>
                </c:pt>
                <c:pt idx="7">
                  <c:v>1950.8431513268429</c:v>
                </c:pt>
                <c:pt idx="8">
                  <c:v>1950.8494499657088</c:v>
                </c:pt>
                <c:pt idx="9">
                  <c:v>1628.5722859729876</c:v>
                </c:pt>
                <c:pt idx="10">
                  <c:v>1515.8856055339095</c:v>
                </c:pt>
                <c:pt idx="11">
                  <c:v>1190.5309265913297</c:v>
                </c:pt>
                <c:pt idx="12">
                  <c:v>1190.5510822357005</c:v>
                </c:pt>
                <c:pt idx="13">
                  <c:v>872.26775917504244</c:v>
                </c:pt>
                <c:pt idx="14">
                  <c:v>767.47856409153223</c:v>
                </c:pt>
                <c:pt idx="15">
                  <c:v>441.21360586005858</c:v>
                </c:pt>
                <c:pt idx="16">
                  <c:v>441.18589184904886</c:v>
                </c:pt>
                <c:pt idx="17">
                  <c:v>-700.01308736266071</c:v>
                </c:pt>
                <c:pt idx="18">
                  <c:v>-766.43072252980801</c:v>
                </c:pt>
                <c:pt idx="19">
                  <c:v>-1091.1991241667536</c:v>
                </c:pt>
                <c:pt idx="20">
                  <c:v>-1162.036640198851</c:v>
                </c:pt>
                <c:pt idx="21">
                  <c:v>-1482.5058428915165</c:v>
                </c:pt>
                <c:pt idx="22">
                  <c:v>-1482.5411152691652</c:v>
                </c:pt>
                <c:pt idx="23">
                  <c:v>-1806.5826539809907</c:v>
                </c:pt>
                <c:pt idx="24">
                  <c:v>-1920.758836539067</c:v>
                </c:pt>
                <c:pt idx="25">
                  <c:v>-2234.5691182227474</c:v>
                </c:pt>
                <c:pt idx="26">
                  <c:v>-2234.5502223061494</c:v>
                </c:pt>
                <c:pt idx="27">
                  <c:v>-2560.6476367437908</c:v>
                </c:pt>
                <c:pt idx="28">
                  <c:v>-2682.3852092875527</c:v>
                </c:pt>
                <c:pt idx="29">
                  <c:v>-2988.8245718248509</c:v>
                </c:pt>
                <c:pt idx="30">
                  <c:v>-2988.8107981480598</c:v>
                </c:pt>
                <c:pt idx="31">
                  <c:v>-3312.695865639475</c:v>
                </c:pt>
                <c:pt idx="32">
                  <c:v>-3460.3983728550111</c:v>
                </c:pt>
                <c:pt idx="33">
                  <c:v>-3847.3670930200797</c:v>
                </c:pt>
                <c:pt idx="34">
                  <c:v>-3847.4227035063905</c:v>
                </c:pt>
                <c:pt idx="35">
                  <c:v>-4156.124304277364</c:v>
                </c:pt>
                <c:pt idx="36">
                  <c:v>-4155.9474888806599</c:v>
                </c:pt>
                <c:pt idx="37">
                  <c:v>-4292.5707606288815</c:v>
                </c:pt>
                <c:pt idx="38">
                  <c:v>3444.2365694163273</c:v>
                </c:pt>
                <c:pt idx="39">
                  <c:v>3304.3327146012116</c:v>
                </c:pt>
                <c:pt idx="40">
                  <c:v>3304.3075287969459</c:v>
                </c:pt>
                <c:pt idx="41">
                  <c:v>2988.6904921504997</c:v>
                </c:pt>
                <c:pt idx="42">
                  <c:v>2988.6819706409283</c:v>
                </c:pt>
                <c:pt idx="43">
                  <c:v>2588.1333850810688</c:v>
                </c:pt>
                <c:pt idx="44">
                  <c:v>2442.7099129186827</c:v>
                </c:pt>
                <c:pt idx="45">
                  <c:v>2100.4776148489723</c:v>
                </c:pt>
                <c:pt idx="46">
                  <c:v>2100.4942757596514</c:v>
                </c:pt>
                <c:pt idx="47">
                  <c:v>1781.1633630828239</c:v>
                </c:pt>
                <c:pt idx="48">
                  <c:v>1659.7530678145322</c:v>
                </c:pt>
                <c:pt idx="49">
                  <c:v>1339.3639838082408</c:v>
                </c:pt>
                <c:pt idx="50">
                  <c:v>1339.3702824471065</c:v>
                </c:pt>
                <c:pt idx="51">
                  <c:v>1033.819783826558</c:v>
                </c:pt>
                <c:pt idx="52">
                  <c:v>997.24232820474606</c:v>
                </c:pt>
                <c:pt idx="53">
                  <c:v>688.62766774873523</c:v>
                </c:pt>
                <c:pt idx="54">
                  <c:v>688.62766774873523</c:v>
                </c:pt>
                <c:pt idx="55">
                  <c:v>391.52565941174004</c:v>
                </c:pt>
                <c:pt idx="56">
                  <c:v>-638.15617062550393</c:v>
                </c:pt>
                <c:pt idx="57">
                  <c:v>-1070.2909184243142</c:v>
                </c:pt>
                <c:pt idx="58">
                  <c:v>-1070.2909184243142</c:v>
                </c:pt>
                <c:pt idx="59">
                  <c:v>-1322.1505596245138</c:v>
                </c:pt>
                <c:pt idx="60">
                  <c:v>266.80404371888932</c:v>
                </c:pt>
                <c:pt idx="61">
                  <c:v>236.28839814157928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E3-4FDA-A974-0D93D9918B28}"/>
            </c:ext>
          </c:extLst>
        </c:ser>
        <c:ser>
          <c:idx val="2"/>
          <c:order val="2"/>
          <c:tx>
            <c:strRef>
              <c:f>SUM!$AC$3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SUM!$AC$5:$AC$66</c:f>
              <c:numCache>
                <c:formatCode>General</c:formatCode>
                <c:ptCount val="62"/>
                <c:pt idx="0">
                  <c:v>4549.4716078986594</c:v>
                </c:pt>
                <c:pt idx="1">
                  <c:v>4549.4716078986594</c:v>
                </c:pt>
                <c:pt idx="2">
                  <c:v>4549.4716078986594</c:v>
                </c:pt>
                <c:pt idx="3">
                  <c:v>4549.4716078986594</c:v>
                </c:pt>
                <c:pt idx="4">
                  <c:v>4987.9984783153504</c:v>
                </c:pt>
                <c:pt idx="5">
                  <c:v>4987.9984783153504</c:v>
                </c:pt>
                <c:pt idx="6">
                  <c:v>4987.9984783153504</c:v>
                </c:pt>
                <c:pt idx="7">
                  <c:v>4987.9984783153504</c:v>
                </c:pt>
                <c:pt idx="8">
                  <c:v>4987.9984783153504</c:v>
                </c:pt>
                <c:pt idx="9">
                  <c:v>4987.9984783153504</c:v>
                </c:pt>
                <c:pt idx="10">
                  <c:v>4987.9984783153504</c:v>
                </c:pt>
                <c:pt idx="11">
                  <c:v>4987.9984783153504</c:v>
                </c:pt>
                <c:pt idx="12">
                  <c:v>4987.9984783153504</c:v>
                </c:pt>
                <c:pt idx="13">
                  <c:v>4987.9984783153504</c:v>
                </c:pt>
                <c:pt idx="14">
                  <c:v>4987.9984783153504</c:v>
                </c:pt>
                <c:pt idx="15">
                  <c:v>4987.9984783153504</c:v>
                </c:pt>
                <c:pt idx="16">
                  <c:v>4987.9984783153504</c:v>
                </c:pt>
                <c:pt idx="17">
                  <c:v>4987.9984783153504</c:v>
                </c:pt>
                <c:pt idx="18">
                  <c:v>4987.9984783153504</c:v>
                </c:pt>
                <c:pt idx="19">
                  <c:v>4987.9984783153504</c:v>
                </c:pt>
                <c:pt idx="20">
                  <c:v>4987.9984783153504</c:v>
                </c:pt>
                <c:pt idx="21">
                  <c:v>4987.9984783153504</c:v>
                </c:pt>
                <c:pt idx="22">
                  <c:v>4987.9984783153504</c:v>
                </c:pt>
                <c:pt idx="23">
                  <c:v>4987.9984783153504</c:v>
                </c:pt>
                <c:pt idx="24">
                  <c:v>4987.9984783153504</c:v>
                </c:pt>
                <c:pt idx="25">
                  <c:v>4987.9984783153504</c:v>
                </c:pt>
                <c:pt idx="26">
                  <c:v>4987.9984783153504</c:v>
                </c:pt>
                <c:pt idx="27">
                  <c:v>4987.9984783153504</c:v>
                </c:pt>
                <c:pt idx="28">
                  <c:v>4987.9984783153504</c:v>
                </c:pt>
                <c:pt idx="29">
                  <c:v>4987.9984783153504</c:v>
                </c:pt>
                <c:pt idx="30">
                  <c:v>5018.9937439250962</c:v>
                </c:pt>
                <c:pt idx="31">
                  <c:v>5018.9937439250962</c:v>
                </c:pt>
                <c:pt idx="32">
                  <c:v>5264.2376535428275</c:v>
                </c:pt>
                <c:pt idx="33">
                  <c:v>5264.2376535428275</c:v>
                </c:pt>
                <c:pt idx="34">
                  <c:v>6794.4795403845001</c:v>
                </c:pt>
                <c:pt idx="35">
                  <c:v>6794.4795403845001</c:v>
                </c:pt>
                <c:pt idx="36">
                  <c:v>7048.1261490788047</c:v>
                </c:pt>
                <c:pt idx="37">
                  <c:v>7048.1261490788047</c:v>
                </c:pt>
                <c:pt idx="38">
                  <c:v>7048.1261490788047</c:v>
                </c:pt>
                <c:pt idx="39">
                  <c:v>7048.1261490788047</c:v>
                </c:pt>
                <c:pt idx="40">
                  <c:v>6794.4795403845001</c:v>
                </c:pt>
                <c:pt idx="41">
                  <c:v>6794.4795403845001</c:v>
                </c:pt>
                <c:pt idx="42">
                  <c:v>5264.2376535428275</c:v>
                </c:pt>
                <c:pt idx="43">
                  <c:v>5264.2376535428275</c:v>
                </c:pt>
                <c:pt idx="44">
                  <c:v>5018.9937439250962</c:v>
                </c:pt>
                <c:pt idx="45">
                  <c:v>5018.9937439250962</c:v>
                </c:pt>
                <c:pt idx="46">
                  <c:v>4987.9984783153504</c:v>
                </c:pt>
                <c:pt idx="47">
                  <c:v>4987.9984783153504</c:v>
                </c:pt>
                <c:pt idx="48">
                  <c:v>4987.9984783153504</c:v>
                </c:pt>
                <c:pt idx="49">
                  <c:v>4987.9984783153504</c:v>
                </c:pt>
                <c:pt idx="50">
                  <c:v>4987.9984783153504</c:v>
                </c:pt>
                <c:pt idx="51">
                  <c:v>4987.9984783153504</c:v>
                </c:pt>
                <c:pt idx="52">
                  <c:v>4987.9984783153504</c:v>
                </c:pt>
                <c:pt idx="53">
                  <c:v>4987.9984783153504</c:v>
                </c:pt>
                <c:pt idx="54">
                  <c:v>4987.9984783153504</c:v>
                </c:pt>
                <c:pt idx="55">
                  <c:v>4987.9984783153504</c:v>
                </c:pt>
                <c:pt idx="56">
                  <c:v>4987.9984783153504</c:v>
                </c:pt>
                <c:pt idx="57">
                  <c:v>4987.9984783153504</c:v>
                </c:pt>
                <c:pt idx="58">
                  <c:v>4549.4716078986594</c:v>
                </c:pt>
                <c:pt idx="59">
                  <c:v>4549.4716078986594</c:v>
                </c:pt>
                <c:pt idx="60">
                  <c:v>4549.4716078986594</c:v>
                </c:pt>
                <c:pt idx="61">
                  <c:v>4549.4716078986594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E3-4FDA-A974-0D93D9918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  <c:spPr>
            <a:ln w="381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  <c:max val="10000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5000"/>
        <c:minorUnit val="10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2836210751433847"/>
          <c:y val="0.13350564363311088"/>
          <c:w val="8.0044484235388944E-2"/>
          <c:h val="0.17396372538634464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SUM!$E$3</c:f>
              <c:strCache>
                <c:ptCount val="1"/>
                <c:pt idx="0">
                  <c:v>fbu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SUM!$E$5:$E$66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E2-4F4E-919F-A5CC78FAFC51}"/>
            </c:ext>
          </c:extLst>
        </c:ser>
        <c:ser>
          <c:idx val="0"/>
          <c:order val="1"/>
          <c:tx>
            <c:strRef>
              <c:f>SUM!$M$3</c:f>
              <c:strCache>
                <c:ptCount val="1"/>
                <c:pt idx="0">
                  <c:v>Fcrw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SUM!$M$5:$M$66</c:f>
              <c:numCache>
                <c:formatCode>0.00</c:formatCode>
                <c:ptCount val="62"/>
                <c:pt idx="0">
                  <c:v>379.51910719072885</c:v>
                </c:pt>
                <c:pt idx="1">
                  <c:v>379.51910719072885</c:v>
                </c:pt>
                <c:pt idx="2">
                  <c:v>379.51910719072885</c:v>
                </c:pt>
                <c:pt idx="3">
                  <c:v>379.51910719072885</c:v>
                </c:pt>
                <c:pt idx="4">
                  <c:v>379.5982638603615</c:v>
                </c:pt>
                <c:pt idx="5">
                  <c:v>379.5982638603615</c:v>
                </c:pt>
                <c:pt idx="6">
                  <c:v>379.5982638603615</c:v>
                </c:pt>
                <c:pt idx="7">
                  <c:v>379.5982638603615</c:v>
                </c:pt>
                <c:pt idx="8">
                  <c:v>379.64073020030537</c:v>
                </c:pt>
                <c:pt idx="9">
                  <c:v>379.64073020030537</c:v>
                </c:pt>
                <c:pt idx="10">
                  <c:v>379.64073020030537</c:v>
                </c:pt>
                <c:pt idx="11">
                  <c:v>379.64073020030537</c:v>
                </c:pt>
                <c:pt idx="12">
                  <c:v>379.70896106468712</c:v>
                </c:pt>
                <c:pt idx="13">
                  <c:v>379.70896106468712</c:v>
                </c:pt>
                <c:pt idx="14">
                  <c:v>379.70896106468712</c:v>
                </c:pt>
                <c:pt idx="15">
                  <c:v>379.70896106468712</c:v>
                </c:pt>
                <c:pt idx="16">
                  <c:v>379.70896106468712</c:v>
                </c:pt>
                <c:pt idx="17">
                  <c:v>379.70896106468712</c:v>
                </c:pt>
                <c:pt idx="18">
                  <c:v>379.70896106468712</c:v>
                </c:pt>
                <c:pt idx="19">
                  <c:v>379.70896106468712</c:v>
                </c:pt>
                <c:pt idx="20">
                  <c:v>379.70896106468712</c:v>
                </c:pt>
                <c:pt idx="21">
                  <c:v>379.70896106468712</c:v>
                </c:pt>
                <c:pt idx="22">
                  <c:v>379.62516376960559</c:v>
                </c:pt>
                <c:pt idx="23">
                  <c:v>379.62516376960559</c:v>
                </c:pt>
                <c:pt idx="24">
                  <c:v>379.55057740545942</c:v>
                </c:pt>
                <c:pt idx="25">
                  <c:v>379.55057740545942</c:v>
                </c:pt>
                <c:pt idx="26">
                  <c:v>379.55057740545942</c:v>
                </c:pt>
                <c:pt idx="27">
                  <c:v>379.55057740545942</c:v>
                </c:pt>
                <c:pt idx="28">
                  <c:v>379.4583249094602</c:v>
                </c:pt>
                <c:pt idx="29">
                  <c:v>379.4583249094602</c:v>
                </c:pt>
                <c:pt idx="30">
                  <c:v>379.59020989073042</c:v>
                </c:pt>
                <c:pt idx="31">
                  <c:v>379.59020989073042</c:v>
                </c:pt>
                <c:pt idx="32">
                  <c:v>379.71457390181416</c:v>
                </c:pt>
                <c:pt idx="33">
                  <c:v>379.71457390181416</c:v>
                </c:pt>
                <c:pt idx="34">
                  <c:v>379.83589662126923</c:v>
                </c:pt>
                <c:pt idx="35">
                  <c:v>379.83589662126923</c:v>
                </c:pt>
                <c:pt idx="36">
                  <c:v>379.82766143697751</c:v>
                </c:pt>
                <c:pt idx="37">
                  <c:v>379.82766143697751</c:v>
                </c:pt>
                <c:pt idx="38">
                  <c:v>379.82766143697751</c:v>
                </c:pt>
                <c:pt idx="39">
                  <c:v>379.82766143697751</c:v>
                </c:pt>
                <c:pt idx="40">
                  <c:v>379.83589662126923</c:v>
                </c:pt>
                <c:pt idx="41">
                  <c:v>379.83589662126923</c:v>
                </c:pt>
                <c:pt idx="42">
                  <c:v>379.74348556207576</c:v>
                </c:pt>
                <c:pt idx="43">
                  <c:v>379.74348556207576</c:v>
                </c:pt>
                <c:pt idx="44">
                  <c:v>379.72812323033014</c:v>
                </c:pt>
                <c:pt idx="45">
                  <c:v>379.72812323033014</c:v>
                </c:pt>
                <c:pt idx="46">
                  <c:v>379.51243286979144</c:v>
                </c:pt>
                <c:pt idx="47">
                  <c:v>379.51243286979144</c:v>
                </c:pt>
                <c:pt idx="48">
                  <c:v>379.4583249094602</c:v>
                </c:pt>
                <c:pt idx="49">
                  <c:v>379.4583249094602</c:v>
                </c:pt>
                <c:pt idx="50">
                  <c:v>379.4583249094602</c:v>
                </c:pt>
                <c:pt idx="51">
                  <c:v>379.4583249094602</c:v>
                </c:pt>
                <c:pt idx="52">
                  <c:v>379.50317749469554</c:v>
                </c:pt>
                <c:pt idx="53">
                  <c:v>379.50317749469554</c:v>
                </c:pt>
                <c:pt idx="54">
                  <c:v>379.50317749469554</c:v>
                </c:pt>
                <c:pt idx="55">
                  <c:v>379.50317749469554</c:v>
                </c:pt>
                <c:pt idx="56">
                  <c:v>379.50317749469554</c:v>
                </c:pt>
                <c:pt idx="57">
                  <c:v>379.50317749469554</c:v>
                </c:pt>
                <c:pt idx="58">
                  <c:v>379.53157750434622</c:v>
                </c:pt>
                <c:pt idx="59">
                  <c:v>379.53157750434622</c:v>
                </c:pt>
                <c:pt idx="60">
                  <c:v>379.53157750434622</c:v>
                </c:pt>
                <c:pt idx="61">
                  <c:v>272.63090207484976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E2-4F4E-919F-A5CC78FA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218926800816561"/>
          <c:y val="0.11185403210797323"/>
          <c:w val="8.0044484235388944E-2"/>
          <c:h val="0.17887811388324923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SUM!$P$3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mpd="sng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SUM!$P$5:$P$66</c:f>
              <c:numCache>
                <c:formatCode>0</c:formatCode>
                <c:ptCount val="62"/>
                <c:pt idx="0">
                  <c:v>-1312.556246380452</c:v>
                </c:pt>
                <c:pt idx="1">
                  <c:v>-1312.556246380452</c:v>
                </c:pt>
                <c:pt idx="2">
                  <c:v>-1312.556246380452</c:v>
                </c:pt>
                <c:pt idx="3">
                  <c:v>-1312.556246380452</c:v>
                </c:pt>
                <c:pt idx="4">
                  <c:v>-1319.9787397030161</c:v>
                </c:pt>
                <c:pt idx="5">
                  <c:v>-1319.9787397030161</c:v>
                </c:pt>
                <c:pt idx="6">
                  <c:v>-1319.9787397030161</c:v>
                </c:pt>
                <c:pt idx="7">
                  <c:v>-1319.9787397030161</c:v>
                </c:pt>
                <c:pt idx="8">
                  <c:v>-1319.9787397030161</c:v>
                </c:pt>
                <c:pt idx="9">
                  <c:v>-1319.9787397030161</c:v>
                </c:pt>
                <c:pt idx="10">
                  <c:v>-1319.9787397030161</c:v>
                </c:pt>
                <c:pt idx="11">
                  <c:v>-1319.9787397030161</c:v>
                </c:pt>
                <c:pt idx="12">
                  <c:v>-1319.9787397030161</c:v>
                </c:pt>
                <c:pt idx="13">
                  <c:v>-1319.9787397030161</c:v>
                </c:pt>
                <c:pt idx="14">
                  <c:v>-1319.9787397030161</c:v>
                </c:pt>
                <c:pt idx="15">
                  <c:v>-1319.9787397030161</c:v>
                </c:pt>
                <c:pt idx="16">
                  <c:v>-1319.9787397030161</c:v>
                </c:pt>
                <c:pt idx="17">
                  <c:v>-1319.9787397030161</c:v>
                </c:pt>
                <c:pt idx="18">
                  <c:v>-1319.9787397030161</c:v>
                </c:pt>
                <c:pt idx="19">
                  <c:v>-1319.9787397030161</c:v>
                </c:pt>
                <c:pt idx="20">
                  <c:v>-1319.9787397030161</c:v>
                </c:pt>
                <c:pt idx="21">
                  <c:v>-1319.9787397030161</c:v>
                </c:pt>
                <c:pt idx="22">
                  <c:v>-1319.9787397030161</c:v>
                </c:pt>
                <c:pt idx="23">
                  <c:v>-1319.9787397030161</c:v>
                </c:pt>
                <c:pt idx="24">
                  <c:v>-1319.9787397030161</c:v>
                </c:pt>
                <c:pt idx="25">
                  <c:v>-1319.9787397030161</c:v>
                </c:pt>
                <c:pt idx="26">
                  <c:v>-1319.9787397030161</c:v>
                </c:pt>
                <c:pt idx="27">
                  <c:v>-1319.9787397030161</c:v>
                </c:pt>
                <c:pt idx="28">
                  <c:v>-1319.9787397030161</c:v>
                </c:pt>
                <c:pt idx="29">
                  <c:v>-1319.9787397030161</c:v>
                </c:pt>
                <c:pt idx="30">
                  <c:v>-1320.7525127251954</c:v>
                </c:pt>
                <c:pt idx="31">
                  <c:v>-1320.7525127251954</c:v>
                </c:pt>
                <c:pt idx="32">
                  <c:v>-1327.6749109114714</c:v>
                </c:pt>
                <c:pt idx="33">
                  <c:v>-1327.6749109114714</c:v>
                </c:pt>
                <c:pt idx="34">
                  <c:v>-2131.4878867507468</c:v>
                </c:pt>
                <c:pt idx="35">
                  <c:v>-2131.4878867507468</c:v>
                </c:pt>
                <c:pt idx="36">
                  <c:v>-2146.4709774097842</c:v>
                </c:pt>
                <c:pt idx="37">
                  <c:v>-2146.4709774097842</c:v>
                </c:pt>
                <c:pt idx="38">
                  <c:v>-2146.4709774097842</c:v>
                </c:pt>
                <c:pt idx="39">
                  <c:v>-2146.4709774097842</c:v>
                </c:pt>
                <c:pt idx="40">
                  <c:v>-2131.4878867507468</c:v>
                </c:pt>
                <c:pt idx="41">
                  <c:v>-2131.4878867507468</c:v>
                </c:pt>
                <c:pt idx="42">
                  <c:v>-1327.6749109114714</c:v>
                </c:pt>
                <c:pt idx="43">
                  <c:v>-1327.6749109114714</c:v>
                </c:pt>
                <c:pt idx="44">
                  <c:v>-1320.7525127251954</c:v>
                </c:pt>
                <c:pt idx="45">
                  <c:v>-1320.7525127251954</c:v>
                </c:pt>
                <c:pt idx="46">
                  <c:v>-1319.9787397030161</c:v>
                </c:pt>
                <c:pt idx="47">
                  <c:v>-1319.9787397030161</c:v>
                </c:pt>
                <c:pt idx="48">
                  <c:v>-1319.9787397030161</c:v>
                </c:pt>
                <c:pt idx="49">
                  <c:v>-1319.9787397030161</c:v>
                </c:pt>
                <c:pt idx="50">
                  <c:v>-1319.9787397030161</c:v>
                </c:pt>
                <c:pt idx="51">
                  <c:v>-1319.9787397030161</c:v>
                </c:pt>
                <c:pt idx="52">
                  <c:v>-1319.9787397030161</c:v>
                </c:pt>
                <c:pt idx="53">
                  <c:v>-1319.9787397030161</c:v>
                </c:pt>
                <c:pt idx="54">
                  <c:v>-1319.9787397030161</c:v>
                </c:pt>
                <c:pt idx="55">
                  <c:v>-1319.9787397030161</c:v>
                </c:pt>
                <c:pt idx="56">
                  <c:v>-1319.9787397030161</c:v>
                </c:pt>
                <c:pt idx="57">
                  <c:v>-1319.9787397030161</c:v>
                </c:pt>
                <c:pt idx="58">
                  <c:v>-1312.556246380452</c:v>
                </c:pt>
                <c:pt idx="59">
                  <c:v>-1312.556246380452</c:v>
                </c:pt>
                <c:pt idx="60">
                  <c:v>-1312.556246380452</c:v>
                </c:pt>
                <c:pt idx="61">
                  <c:v>-1312.556246380452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BD-454A-8D26-5BD8A521F1E8}"/>
            </c:ext>
          </c:extLst>
        </c:ser>
        <c:ser>
          <c:idx val="1"/>
          <c:order val="1"/>
          <c:tx>
            <c:strRef>
              <c:f>SUM!$N$3</c:f>
              <c:strCache>
                <c:ptCount val="1"/>
                <c:pt idx="0">
                  <c:v>Vu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SUM!$N$5:$N$66</c:f>
              <c:numCache>
                <c:formatCode>General</c:formatCode>
                <c:ptCount val="62"/>
                <c:pt idx="0">
                  <c:v>0.23125000000000001</c:v>
                </c:pt>
                <c:pt idx="1">
                  <c:v>-24.243750000000006</c:v>
                </c:pt>
                <c:pt idx="2">
                  <c:v>1312.1624999999999</c:v>
                </c:pt>
                <c:pt idx="3">
                  <c:v>1194.2249999999999</c:v>
                </c:pt>
                <c:pt idx="4">
                  <c:v>1194.2</c:v>
                </c:pt>
                <c:pt idx="5">
                  <c:v>1075.73125</c:v>
                </c:pt>
                <c:pt idx="6">
                  <c:v>1022.9875</c:v>
                </c:pt>
                <c:pt idx="7">
                  <c:v>862.89375000000007</c:v>
                </c:pt>
                <c:pt idx="8">
                  <c:v>862.90625</c:v>
                </c:pt>
                <c:pt idx="9">
                  <c:v>689.15000000000009</c:v>
                </c:pt>
                <c:pt idx="10">
                  <c:v>626.40625</c:v>
                </c:pt>
                <c:pt idx="11">
                  <c:v>452.65625</c:v>
                </c:pt>
                <c:pt idx="12">
                  <c:v>452.68124999999998</c:v>
                </c:pt>
                <c:pt idx="13">
                  <c:v>271.34999999999997</c:v>
                </c:pt>
                <c:pt idx="14">
                  <c:v>204.82500000000002</c:v>
                </c:pt>
                <c:pt idx="15">
                  <c:v>23.493750000000002</c:v>
                </c:pt>
                <c:pt idx="16">
                  <c:v>23.493750000000002</c:v>
                </c:pt>
                <c:pt idx="17">
                  <c:v>-157.83750000000001</c:v>
                </c:pt>
                <c:pt idx="18">
                  <c:v>-203.23125000000002</c:v>
                </c:pt>
                <c:pt idx="19">
                  <c:v>-384.5625</c:v>
                </c:pt>
                <c:pt idx="20">
                  <c:v>-433.96874999999994</c:v>
                </c:pt>
                <c:pt idx="21">
                  <c:v>-615.29999999999995</c:v>
                </c:pt>
                <c:pt idx="22">
                  <c:v>-615.32500000000005</c:v>
                </c:pt>
                <c:pt idx="23">
                  <c:v>-787.02499999999998</c:v>
                </c:pt>
                <c:pt idx="24">
                  <c:v>-847.51250000000005</c:v>
                </c:pt>
                <c:pt idx="25">
                  <c:v>-1017.10625</c:v>
                </c:pt>
                <c:pt idx="26">
                  <c:v>-1017.0812500000001</c:v>
                </c:pt>
                <c:pt idx="27">
                  <c:v>-1186.6812500000001</c:v>
                </c:pt>
                <c:pt idx="28">
                  <c:v>-1248.8062499999999</c:v>
                </c:pt>
                <c:pt idx="29">
                  <c:v>-1406.1</c:v>
                </c:pt>
                <c:pt idx="30">
                  <c:v>-1406.1125000000002</c:v>
                </c:pt>
                <c:pt idx="31">
                  <c:v>-1570.79375</c:v>
                </c:pt>
                <c:pt idx="32">
                  <c:v>-1645.40625</c:v>
                </c:pt>
                <c:pt idx="33">
                  <c:v>-1871.9875</c:v>
                </c:pt>
                <c:pt idx="34">
                  <c:v>-1872.0375000000001</c:v>
                </c:pt>
                <c:pt idx="35">
                  <c:v>-2063.03125</c:v>
                </c:pt>
                <c:pt idx="36">
                  <c:v>-2062.875</c:v>
                </c:pt>
                <c:pt idx="37">
                  <c:v>-2147.9874999999997</c:v>
                </c:pt>
                <c:pt idx="38">
                  <c:v>1699.8125</c:v>
                </c:pt>
                <c:pt idx="39">
                  <c:v>1614.7</c:v>
                </c:pt>
                <c:pt idx="40">
                  <c:v>1614.6624999999999</c:v>
                </c:pt>
                <c:pt idx="41">
                  <c:v>1424.1624999999999</c:v>
                </c:pt>
                <c:pt idx="42">
                  <c:v>1424.16875</c:v>
                </c:pt>
                <c:pt idx="43">
                  <c:v>1194.0125</c:v>
                </c:pt>
                <c:pt idx="44">
                  <c:v>1125.8812500000001</c:v>
                </c:pt>
                <c:pt idx="45">
                  <c:v>951.25625000000002</c:v>
                </c:pt>
                <c:pt idx="46">
                  <c:v>951.25</c:v>
                </c:pt>
                <c:pt idx="47">
                  <c:v>788.48125000000005</c:v>
                </c:pt>
                <c:pt idx="48">
                  <c:v>719.85625000000005</c:v>
                </c:pt>
                <c:pt idx="49">
                  <c:v>562.56250000000011</c:v>
                </c:pt>
                <c:pt idx="50">
                  <c:v>562.56875000000014</c:v>
                </c:pt>
                <c:pt idx="51">
                  <c:v>405.27499999999998</c:v>
                </c:pt>
                <c:pt idx="52">
                  <c:v>345.57499999999999</c:v>
                </c:pt>
                <c:pt idx="53">
                  <c:v>193.71875</c:v>
                </c:pt>
                <c:pt idx="54">
                  <c:v>193.71875</c:v>
                </c:pt>
                <c:pt idx="55">
                  <c:v>41.856250000000003</c:v>
                </c:pt>
                <c:pt idx="56">
                  <c:v>-24.900000000000002</c:v>
                </c:pt>
                <c:pt idx="57">
                  <c:v>-221.40625</c:v>
                </c:pt>
                <c:pt idx="58">
                  <c:v>-221.40625</c:v>
                </c:pt>
                <c:pt idx="59">
                  <c:v>-349.68124999999998</c:v>
                </c:pt>
                <c:pt idx="60">
                  <c:v>24.337500000000002</c:v>
                </c:pt>
                <c:pt idx="61">
                  <c:v>6.2500000000000003E-3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BD-454A-8D26-5BD8A521F1E8}"/>
            </c:ext>
          </c:extLst>
        </c:ser>
        <c:ser>
          <c:idx val="2"/>
          <c:order val="2"/>
          <c:tx>
            <c:strRef>
              <c:f>SUM!$O$3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SUM!$O$5:$O$66</c:f>
              <c:numCache>
                <c:formatCode>0.0</c:formatCode>
                <c:ptCount val="62"/>
                <c:pt idx="0">
                  <c:v>1312.556246380452</c:v>
                </c:pt>
                <c:pt idx="1">
                  <c:v>1312.556246380452</c:v>
                </c:pt>
                <c:pt idx="2">
                  <c:v>1312.556246380452</c:v>
                </c:pt>
                <c:pt idx="3">
                  <c:v>1312.556246380452</c:v>
                </c:pt>
                <c:pt idx="4">
                  <c:v>1319.9787397030161</c:v>
                </c:pt>
                <c:pt idx="5">
                  <c:v>1319.9787397030161</c:v>
                </c:pt>
                <c:pt idx="6">
                  <c:v>1319.9787397030161</c:v>
                </c:pt>
                <c:pt idx="7">
                  <c:v>1319.9787397030161</c:v>
                </c:pt>
                <c:pt idx="8">
                  <c:v>1319.9787397030161</c:v>
                </c:pt>
                <c:pt idx="9">
                  <c:v>1319.9787397030161</c:v>
                </c:pt>
                <c:pt idx="10">
                  <c:v>1319.9787397030161</c:v>
                </c:pt>
                <c:pt idx="11">
                  <c:v>1319.9787397030161</c:v>
                </c:pt>
                <c:pt idx="12">
                  <c:v>1319.9787397030161</c:v>
                </c:pt>
                <c:pt idx="13">
                  <c:v>1319.9787397030161</c:v>
                </c:pt>
                <c:pt idx="14">
                  <c:v>1319.9787397030161</c:v>
                </c:pt>
                <c:pt idx="15">
                  <c:v>1319.9787397030161</c:v>
                </c:pt>
                <c:pt idx="16">
                  <c:v>1319.9787397030161</c:v>
                </c:pt>
                <c:pt idx="17">
                  <c:v>1319.9787397030161</c:v>
                </c:pt>
                <c:pt idx="18">
                  <c:v>1319.9787397030161</c:v>
                </c:pt>
                <c:pt idx="19">
                  <c:v>1319.9787397030161</c:v>
                </c:pt>
                <c:pt idx="20">
                  <c:v>1319.9787397030161</c:v>
                </c:pt>
                <c:pt idx="21">
                  <c:v>1319.9787397030161</c:v>
                </c:pt>
                <c:pt idx="22">
                  <c:v>1319.9787397030161</c:v>
                </c:pt>
                <c:pt idx="23">
                  <c:v>1319.9787397030161</c:v>
                </c:pt>
                <c:pt idx="24">
                  <c:v>1319.9787397030161</c:v>
                </c:pt>
                <c:pt idx="25">
                  <c:v>1319.9787397030161</c:v>
                </c:pt>
                <c:pt idx="26">
                  <c:v>1319.9787397030161</c:v>
                </c:pt>
                <c:pt idx="27">
                  <c:v>1319.9787397030161</c:v>
                </c:pt>
                <c:pt idx="28">
                  <c:v>1319.9787397030161</c:v>
                </c:pt>
                <c:pt idx="29">
                  <c:v>1319.9787397030161</c:v>
                </c:pt>
                <c:pt idx="30">
                  <c:v>1320.7525127251954</c:v>
                </c:pt>
                <c:pt idx="31">
                  <c:v>1320.7525127251954</c:v>
                </c:pt>
                <c:pt idx="32">
                  <c:v>1327.6749109114714</c:v>
                </c:pt>
                <c:pt idx="33">
                  <c:v>1327.6749109114714</c:v>
                </c:pt>
                <c:pt idx="34">
                  <c:v>2131.4878867507468</c:v>
                </c:pt>
                <c:pt idx="35">
                  <c:v>2131.4878867507468</c:v>
                </c:pt>
                <c:pt idx="36">
                  <c:v>2146.4709774097842</c:v>
                </c:pt>
                <c:pt idx="37">
                  <c:v>2146.4709774097842</c:v>
                </c:pt>
                <c:pt idx="38">
                  <c:v>2146.4709774097842</c:v>
                </c:pt>
                <c:pt idx="39">
                  <c:v>2146.4709774097842</c:v>
                </c:pt>
                <c:pt idx="40">
                  <c:v>2131.4878867507468</c:v>
                </c:pt>
                <c:pt idx="41">
                  <c:v>2131.4878867507468</c:v>
                </c:pt>
                <c:pt idx="42">
                  <c:v>1327.6749109114714</c:v>
                </c:pt>
                <c:pt idx="43">
                  <c:v>1327.6749109114714</c:v>
                </c:pt>
                <c:pt idx="44">
                  <c:v>1320.7525127251954</c:v>
                </c:pt>
                <c:pt idx="45">
                  <c:v>1320.7525127251954</c:v>
                </c:pt>
                <c:pt idx="46">
                  <c:v>1319.9787397030161</c:v>
                </c:pt>
                <c:pt idx="47">
                  <c:v>1319.9787397030161</c:v>
                </c:pt>
                <c:pt idx="48">
                  <c:v>1319.9787397030161</c:v>
                </c:pt>
                <c:pt idx="49">
                  <c:v>1319.9787397030161</c:v>
                </c:pt>
                <c:pt idx="50">
                  <c:v>1319.9787397030161</c:v>
                </c:pt>
                <c:pt idx="51">
                  <c:v>1319.9787397030161</c:v>
                </c:pt>
                <c:pt idx="52">
                  <c:v>1319.9787397030161</c:v>
                </c:pt>
                <c:pt idx="53">
                  <c:v>1319.9787397030161</c:v>
                </c:pt>
                <c:pt idx="54">
                  <c:v>1319.9787397030161</c:v>
                </c:pt>
                <c:pt idx="55">
                  <c:v>1319.9787397030161</c:v>
                </c:pt>
                <c:pt idx="56">
                  <c:v>1319.9787397030161</c:v>
                </c:pt>
                <c:pt idx="57">
                  <c:v>1319.9787397030161</c:v>
                </c:pt>
                <c:pt idx="58">
                  <c:v>1312.556246380452</c:v>
                </c:pt>
                <c:pt idx="59">
                  <c:v>1312.556246380452</c:v>
                </c:pt>
                <c:pt idx="60">
                  <c:v>1312.556246380452</c:v>
                </c:pt>
                <c:pt idx="61">
                  <c:v>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BD-454A-8D26-5BD8A521F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  <c:spPr>
            <a:ln w="381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5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2959667541557303"/>
          <c:y val="0.11556842390216918"/>
          <c:w val="8.0044484235388944E-2"/>
          <c:h val="0.15602650565540294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SUM!$AG$3</c:f>
              <c:strCache>
                <c:ptCount val="1"/>
                <c:pt idx="0">
                  <c:v>fbu 인장</c:v>
                </c:pt>
              </c:strCache>
            </c:strRef>
          </c:tx>
          <c:spPr>
            <a:ln w="25400" cmpd="dbl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SUM!$AG$5:$AG$66</c:f>
              <c:numCache>
                <c:formatCode>0.00</c:formatCode>
                <c:ptCount val="62"/>
                <c:pt idx="0">
                  <c:v>2.4486449175564252E-4</c:v>
                </c:pt>
                <c:pt idx="1">
                  <c:v>1.7062754294474489</c:v>
                </c:pt>
                <c:pt idx="2">
                  <c:v>1.7063338357277509</c:v>
                </c:pt>
                <c:pt idx="3">
                  <c:v>98.015377329802618</c:v>
                </c:pt>
                <c:pt idx="4">
                  <c:v>70.457604527347627</c:v>
                </c:pt>
                <c:pt idx="5">
                  <c:v>159.06351154993905</c:v>
                </c:pt>
                <c:pt idx="6">
                  <c:v>159.06324574638279</c:v>
                </c:pt>
                <c:pt idx="7">
                  <c:v>257.38275800703201</c:v>
                </c:pt>
                <c:pt idx="8">
                  <c:v>168.77258855260271</c:v>
                </c:pt>
                <c:pt idx="9">
                  <c:v>221.39619707712728</c:v>
                </c:pt>
                <c:pt idx="10">
                  <c:v>221.39590913479728</c:v>
                </c:pt>
                <c:pt idx="11">
                  <c:v>257.56235405558527</c:v>
                </c:pt>
                <c:pt idx="12">
                  <c:v>225.65911578894838</c:v>
                </c:pt>
                <c:pt idx="13">
                  <c:v>247.50325153057574</c:v>
                </c:pt>
                <c:pt idx="14">
                  <c:v>247.50291088227388</c:v>
                </c:pt>
                <c:pt idx="15">
                  <c:v>254.54673706927233</c:v>
                </c:pt>
                <c:pt idx="16">
                  <c:v>254.54704203077279</c:v>
                </c:pt>
                <c:pt idx="17">
                  <c:v>251.88109495757953</c:v>
                </c:pt>
                <c:pt idx="18">
                  <c:v>251.88136098865277</c:v>
                </c:pt>
                <c:pt idx="19">
                  <c:v>236.29113977818463</c:v>
                </c:pt>
                <c:pt idx="20">
                  <c:v>236.29116411204635</c:v>
                </c:pt>
                <c:pt idx="21">
                  <c:v>207.5823304811347</c:v>
                </c:pt>
                <c:pt idx="22">
                  <c:v>247.95829106992863</c:v>
                </c:pt>
                <c:pt idx="23">
                  <c:v>202.42636709133177</c:v>
                </c:pt>
                <c:pt idx="24">
                  <c:v>204.98559693046343</c:v>
                </c:pt>
                <c:pt idx="25">
                  <c:v>142.21135093161624</c:v>
                </c:pt>
                <c:pt idx="26">
                  <c:v>142.21159473527078</c:v>
                </c:pt>
                <c:pt idx="27">
                  <c:v>69.172195706737554</c:v>
                </c:pt>
                <c:pt idx="28">
                  <c:v>100.72185170403407</c:v>
                </c:pt>
                <c:pt idx="29">
                  <c:v>124.42926806383137</c:v>
                </c:pt>
                <c:pt idx="30">
                  <c:v>100.88935739940497</c:v>
                </c:pt>
                <c:pt idx="31">
                  <c:v>242.35346540405965</c:v>
                </c:pt>
                <c:pt idx="32">
                  <c:v>152.47612912340156</c:v>
                </c:pt>
                <c:pt idx="33">
                  <c:v>267.65525669140129</c:v>
                </c:pt>
                <c:pt idx="34">
                  <c:v>146.1250264133437</c:v>
                </c:pt>
                <c:pt idx="35">
                  <c:v>195.68025632982938</c:v>
                </c:pt>
                <c:pt idx="36">
                  <c:v>189.60045702891051</c:v>
                </c:pt>
                <c:pt idx="37">
                  <c:v>211.5585821319703</c:v>
                </c:pt>
                <c:pt idx="38">
                  <c:v>211.55437030380548</c:v>
                </c:pt>
                <c:pt idx="39">
                  <c:v>195.22339414821215</c:v>
                </c:pt>
                <c:pt idx="40">
                  <c:v>201.48214330122192</c:v>
                </c:pt>
                <c:pt idx="41">
                  <c:v>165.78275268019314</c:v>
                </c:pt>
                <c:pt idx="42">
                  <c:v>280.91962480998933</c:v>
                </c:pt>
                <c:pt idx="43">
                  <c:v>207.69278050936867</c:v>
                </c:pt>
                <c:pt idx="44">
                  <c:v>269.34248946555658</c:v>
                </c:pt>
                <c:pt idx="45">
                  <c:v>194.81446401199821</c:v>
                </c:pt>
                <c:pt idx="46">
                  <c:v>283.82065404120863</c:v>
                </c:pt>
                <c:pt idx="47">
                  <c:v>189.84515350706562</c:v>
                </c:pt>
                <c:pt idx="48">
                  <c:v>211.79533268210758</c:v>
                </c:pt>
                <c:pt idx="49">
                  <c:v>130.28318885838365</c:v>
                </c:pt>
                <c:pt idx="50">
                  <c:v>130.28318885838365</c:v>
                </c:pt>
                <c:pt idx="51">
                  <c:v>64.901673908539863</c:v>
                </c:pt>
                <c:pt idx="52">
                  <c:v>69.003390895663784</c:v>
                </c:pt>
                <c:pt idx="53">
                  <c:v>104.10168836806361</c:v>
                </c:pt>
                <c:pt idx="54">
                  <c:v>104.51381637231903</c:v>
                </c:pt>
                <c:pt idx="55">
                  <c:v>98.851041554692955</c:v>
                </c:pt>
                <c:pt idx="56">
                  <c:v>98.851143921311007</c:v>
                </c:pt>
                <c:pt idx="57">
                  <c:v>41.049651304115358</c:v>
                </c:pt>
                <c:pt idx="58">
                  <c:v>45.364783274106934</c:v>
                </c:pt>
                <c:pt idx="59">
                  <c:v>1.7368375264845035</c:v>
                </c:pt>
                <c:pt idx="60">
                  <c:v>1.7372990617578352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3-4050-9F91-C0C1529E078E}"/>
            </c:ext>
          </c:extLst>
        </c:ser>
        <c:ser>
          <c:idx val="1"/>
          <c:order val="1"/>
          <c:tx>
            <c:strRef>
              <c:f>SUM!$AF$3</c:f>
              <c:strCache>
                <c:ptCount val="1"/>
                <c:pt idx="0">
                  <c:v>fbu 압축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SUM!$AF$5:$AF$66</c:f>
              <c:numCache>
                <c:formatCode>0.00</c:formatCode>
                <c:ptCount val="62"/>
                <c:pt idx="0">
                  <c:v>-2.1058754536361785E-4</c:v>
                </c:pt>
                <c:pt idx="1">
                  <c:v>-1.904752526946053</c:v>
                </c:pt>
                <c:pt idx="2">
                  <c:v>-1.9047898522748292</c:v>
                </c:pt>
                <c:pt idx="3">
                  <c:v>-71.334950875146163</c:v>
                </c:pt>
                <c:pt idx="4">
                  <c:v>-53.617563055074484</c:v>
                </c:pt>
                <c:pt idx="5">
                  <c:v>-121.45895167896074</c:v>
                </c:pt>
                <c:pt idx="6">
                  <c:v>-121.45865651548422</c:v>
                </c:pt>
                <c:pt idx="7">
                  <c:v>-197.31102157532837</c:v>
                </c:pt>
                <c:pt idx="8">
                  <c:v>-163.61278114435103</c:v>
                </c:pt>
                <c:pt idx="9">
                  <c:v>-215.22779506293875</c:v>
                </c:pt>
                <c:pt idx="10">
                  <c:v>-215.22734501056041</c:v>
                </c:pt>
                <c:pt idx="11">
                  <c:v>-250.93902701526093</c:v>
                </c:pt>
                <c:pt idx="12">
                  <c:v>-216.32051451662332</c:v>
                </c:pt>
                <c:pt idx="13">
                  <c:v>-237.1581910995456</c:v>
                </c:pt>
                <c:pt idx="14">
                  <c:v>-237.15784186006064</c:v>
                </c:pt>
                <c:pt idx="15">
                  <c:v>-243.74663791112033</c:v>
                </c:pt>
                <c:pt idx="16">
                  <c:v>-243.7469631052075</c:v>
                </c:pt>
                <c:pt idx="17">
                  <c:v>-240.31779975484068</c:v>
                </c:pt>
                <c:pt idx="18">
                  <c:v>-240.31814432612413</c:v>
                </c:pt>
                <c:pt idx="19">
                  <c:v>-224.06530213113965</c:v>
                </c:pt>
                <c:pt idx="20">
                  <c:v>-224.0654681697705</c:v>
                </c:pt>
                <c:pt idx="21">
                  <c:v>-194.78254485594192</c:v>
                </c:pt>
                <c:pt idx="22">
                  <c:v>-233.60690183278581</c:v>
                </c:pt>
                <c:pt idx="23">
                  <c:v>-186.54818767280241</c:v>
                </c:pt>
                <c:pt idx="24">
                  <c:v>-204.6790217876638</c:v>
                </c:pt>
                <c:pt idx="25">
                  <c:v>-135.29218933974741</c:v>
                </c:pt>
                <c:pt idx="26">
                  <c:v>-135.2925324594566</c:v>
                </c:pt>
                <c:pt idx="27">
                  <c:v>-53.621753229861916</c:v>
                </c:pt>
                <c:pt idx="28">
                  <c:v>-64.491585627609382</c:v>
                </c:pt>
                <c:pt idx="29">
                  <c:v>-105.58480480468377</c:v>
                </c:pt>
                <c:pt idx="30">
                  <c:v>-85.205733701368331</c:v>
                </c:pt>
                <c:pt idx="31">
                  <c:v>-198.59462539890259</c:v>
                </c:pt>
                <c:pt idx="32">
                  <c:v>-114.49809136942919</c:v>
                </c:pt>
                <c:pt idx="33">
                  <c:v>-202.72760786275177</c:v>
                </c:pt>
                <c:pt idx="34">
                  <c:v>-157.5256122471643</c:v>
                </c:pt>
                <c:pt idx="35">
                  <c:v>-211.81998146038285</c:v>
                </c:pt>
                <c:pt idx="36">
                  <c:v>-199.67153375924252</c:v>
                </c:pt>
                <c:pt idx="37">
                  <c:v>-223.20120059589294</c:v>
                </c:pt>
                <c:pt idx="38">
                  <c:v>-223.19823516194259</c:v>
                </c:pt>
                <c:pt idx="39">
                  <c:v>-205.38693438027693</c:v>
                </c:pt>
                <c:pt idx="40">
                  <c:v>-217.89167903764434</c:v>
                </c:pt>
                <c:pt idx="41">
                  <c:v>-178.00781807326427</c:v>
                </c:pt>
                <c:pt idx="42">
                  <c:v>-218.86396699294551</c:v>
                </c:pt>
                <c:pt idx="43">
                  <c:v>-160.07714027226467</c:v>
                </c:pt>
                <c:pt idx="44">
                  <c:v>-241.5446476035425</c:v>
                </c:pt>
                <c:pt idx="45">
                  <c:v>-176.23542235659244</c:v>
                </c:pt>
                <c:pt idx="46">
                  <c:v>-218.75318888655647</c:v>
                </c:pt>
                <c:pt idx="47">
                  <c:v>-149.0754723087523</c:v>
                </c:pt>
                <c:pt idx="48">
                  <c:v>-180.50892344890909</c:v>
                </c:pt>
                <c:pt idx="49">
                  <c:v>-114.571955943489</c:v>
                </c:pt>
                <c:pt idx="50">
                  <c:v>-114.571955943489</c:v>
                </c:pt>
                <c:pt idx="51">
                  <c:v>-61.120820776983564</c:v>
                </c:pt>
                <c:pt idx="52">
                  <c:v>-81.9892343002156</c:v>
                </c:pt>
                <c:pt idx="53">
                  <c:v>-32.387423705175699</c:v>
                </c:pt>
                <c:pt idx="54">
                  <c:v>-32.387423705175699</c:v>
                </c:pt>
                <c:pt idx="55">
                  <c:v>-40.640166668244198</c:v>
                </c:pt>
                <c:pt idx="56">
                  <c:v>-40.640273772663001</c:v>
                </c:pt>
                <c:pt idx="57">
                  <c:v>-19.135976955403198</c:v>
                </c:pt>
                <c:pt idx="58">
                  <c:v>-20.883228992184055</c:v>
                </c:pt>
                <c:pt idx="59">
                  <c:v>-2.0720062237502197</c:v>
                </c:pt>
                <c:pt idx="60">
                  <c:v>-2.0724070390995681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73-4050-9F91-C0C1529E078E}"/>
            </c:ext>
          </c:extLst>
        </c:ser>
        <c:ser>
          <c:idx val="3"/>
          <c:order val="2"/>
          <c:tx>
            <c:strRef>
              <c:f>SUM!$AH$3</c:f>
              <c:strCache>
                <c:ptCount val="1"/>
                <c:pt idx="0">
                  <c:v>0.95RhFyf</c:v>
                </c:pt>
              </c:strCache>
            </c:strRef>
          </c:tx>
          <c:spPr>
            <a:ln w="25400" cap="rnd" cmpd="sng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SUM!$AH$5:$AH$66</c:f>
              <c:numCache>
                <c:formatCode>0.00</c:formatCode>
                <c:ptCount val="62"/>
                <c:pt idx="0">
                  <c:v>360.55830178006357</c:v>
                </c:pt>
                <c:pt idx="1">
                  <c:v>360.55830178006357</c:v>
                </c:pt>
                <c:pt idx="2">
                  <c:v>360.55830178006357</c:v>
                </c:pt>
                <c:pt idx="3">
                  <c:v>360.35735376352159</c:v>
                </c:pt>
                <c:pt idx="4">
                  <c:v>360.51248764060472</c:v>
                </c:pt>
                <c:pt idx="5">
                  <c:v>360.51248764060472</c:v>
                </c:pt>
                <c:pt idx="6">
                  <c:v>360.51248764060472</c:v>
                </c:pt>
                <c:pt idx="7">
                  <c:v>360.51248764060472</c:v>
                </c:pt>
                <c:pt idx="8">
                  <c:v>360.73094462262759</c:v>
                </c:pt>
                <c:pt idx="9">
                  <c:v>360.73094462262759</c:v>
                </c:pt>
                <c:pt idx="10">
                  <c:v>360.73094462262759</c:v>
                </c:pt>
                <c:pt idx="11">
                  <c:v>360.73094462262759</c:v>
                </c:pt>
                <c:pt idx="12">
                  <c:v>360.77141099120502</c:v>
                </c:pt>
                <c:pt idx="13">
                  <c:v>360.77141099120502</c:v>
                </c:pt>
                <c:pt idx="14">
                  <c:v>360.77141099120502</c:v>
                </c:pt>
                <c:pt idx="15">
                  <c:v>360.77141099120502</c:v>
                </c:pt>
                <c:pt idx="16">
                  <c:v>360.77141099120502</c:v>
                </c:pt>
                <c:pt idx="17">
                  <c:v>360.77141099120502</c:v>
                </c:pt>
                <c:pt idx="18">
                  <c:v>360.77141099120502</c:v>
                </c:pt>
                <c:pt idx="19">
                  <c:v>360.77141099120502</c:v>
                </c:pt>
                <c:pt idx="20">
                  <c:v>360.77141099120502</c:v>
                </c:pt>
                <c:pt idx="21">
                  <c:v>360.77141099120502</c:v>
                </c:pt>
                <c:pt idx="22">
                  <c:v>360.71422305972874</c:v>
                </c:pt>
                <c:pt idx="23">
                  <c:v>360.71422305972874</c:v>
                </c:pt>
                <c:pt idx="24">
                  <c:v>360.71524769644878</c:v>
                </c:pt>
                <c:pt idx="25">
                  <c:v>360.71524769644878</c:v>
                </c:pt>
                <c:pt idx="26">
                  <c:v>360.71524769644878</c:v>
                </c:pt>
                <c:pt idx="27">
                  <c:v>360.71524769644878</c:v>
                </c:pt>
                <c:pt idx="28">
                  <c:v>360.51410237124884</c:v>
                </c:pt>
                <c:pt idx="29">
                  <c:v>360.52649483050521</c:v>
                </c:pt>
                <c:pt idx="30">
                  <c:v>360.63945686625016</c:v>
                </c:pt>
                <c:pt idx="31">
                  <c:v>360.63945686625016</c:v>
                </c:pt>
                <c:pt idx="32">
                  <c:v>360.73992512351214</c:v>
                </c:pt>
                <c:pt idx="33">
                  <c:v>360.73992512351214</c:v>
                </c:pt>
                <c:pt idx="34">
                  <c:v>360.84892495666708</c:v>
                </c:pt>
                <c:pt idx="35">
                  <c:v>360.84892495666708</c:v>
                </c:pt>
                <c:pt idx="36">
                  <c:v>360.84100997166524</c:v>
                </c:pt>
                <c:pt idx="37">
                  <c:v>360.84100997166524</c:v>
                </c:pt>
                <c:pt idx="38">
                  <c:v>360.84100997166524</c:v>
                </c:pt>
                <c:pt idx="39">
                  <c:v>360.84100997166524</c:v>
                </c:pt>
                <c:pt idx="40">
                  <c:v>360.84892495666708</c:v>
                </c:pt>
                <c:pt idx="41">
                  <c:v>360.84892495666708</c:v>
                </c:pt>
                <c:pt idx="42">
                  <c:v>360.76608315752844</c:v>
                </c:pt>
                <c:pt idx="43">
                  <c:v>360.76608315752844</c:v>
                </c:pt>
                <c:pt idx="44">
                  <c:v>360.75905716865952</c:v>
                </c:pt>
                <c:pt idx="45">
                  <c:v>360.75905716865952</c:v>
                </c:pt>
                <c:pt idx="46">
                  <c:v>360.57085633129793</c:v>
                </c:pt>
                <c:pt idx="47">
                  <c:v>360.57085633129793</c:v>
                </c:pt>
                <c:pt idx="48">
                  <c:v>360.52649483050521</c:v>
                </c:pt>
                <c:pt idx="49">
                  <c:v>360.52649483050521</c:v>
                </c:pt>
                <c:pt idx="50">
                  <c:v>360.52649483050521</c:v>
                </c:pt>
                <c:pt idx="51">
                  <c:v>360.52649483050521</c:v>
                </c:pt>
                <c:pt idx="52">
                  <c:v>360.44845367586038</c:v>
                </c:pt>
                <c:pt idx="53">
                  <c:v>360.2307712656746</c:v>
                </c:pt>
                <c:pt idx="54">
                  <c:v>360.2307712656746</c:v>
                </c:pt>
                <c:pt idx="55">
                  <c:v>360.2307712656746</c:v>
                </c:pt>
                <c:pt idx="56">
                  <c:v>360.2307712656746</c:v>
                </c:pt>
                <c:pt idx="57">
                  <c:v>360.2307712656746</c:v>
                </c:pt>
                <c:pt idx="58">
                  <c:v>360.26432261617896</c:v>
                </c:pt>
                <c:pt idx="59">
                  <c:v>360.47705274777741</c:v>
                </c:pt>
                <c:pt idx="60">
                  <c:v>360.47705274777741</c:v>
                </c:pt>
                <c:pt idx="61">
                  <c:v>360.26432261617896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73-4050-9F91-C0C1529E078E}"/>
            </c:ext>
          </c:extLst>
        </c:ser>
        <c:ser>
          <c:idx val="2"/>
          <c:order val="3"/>
          <c:tx>
            <c:strRef>
              <c:f>SUM!$AI$3</c:f>
              <c:strCache>
                <c:ptCount val="1"/>
                <c:pt idx="0">
                  <c:v>0.95RhFyf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SUM!$AI$5:$AI$66</c:f>
              <c:numCache>
                <c:formatCode>General</c:formatCode>
                <c:ptCount val="62"/>
                <c:pt idx="0">
                  <c:v>-360.55830178006357</c:v>
                </c:pt>
                <c:pt idx="1">
                  <c:v>-360.55830178006357</c:v>
                </c:pt>
                <c:pt idx="2">
                  <c:v>-360.55830178006357</c:v>
                </c:pt>
                <c:pt idx="3">
                  <c:v>-360.35735376352159</c:v>
                </c:pt>
                <c:pt idx="4">
                  <c:v>-360.51248764060472</c:v>
                </c:pt>
                <c:pt idx="5">
                  <c:v>-360.51248764060472</c:v>
                </c:pt>
                <c:pt idx="6">
                  <c:v>-360.51248764060472</c:v>
                </c:pt>
                <c:pt idx="7">
                  <c:v>-360.51248764060472</c:v>
                </c:pt>
                <c:pt idx="8">
                  <c:v>-360.73094462262759</c:v>
                </c:pt>
                <c:pt idx="9">
                  <c:v>-360.73094462262759</c:v>
                </c:pt>
                <c:pt idx="10">
                  <c:v>-360.73094462262759</c:v>
                </c:pt>
                <c:pt idx="11">
                  <c:v>-360.73094462262759</c:v>
                </c:pt>
                <c:pt idx="12">
                  <c:v>-360.77141099120502</c:v>
                </c:pt>
                <c:pt idx="13">
                  <c:v>-360.77141099120502</c:v>
                </c:pt>
                <c:pt idx="14">
                  <c:v>-360.77141099120502</c:v>
                </c:pt>
                <c:pt idx="15">
                  <c:v>-360.77141099120502</c:v>
                </c:pt>
                <c:pt idx="16">
                  <c:v>-360.77141099120502</c:v>
                </c:pt>
                <c:pt idx="17">
                  <c:v>-360.77141099120502</c:v>
                </c:pt>
                <c:pt idx="18">
                  <c:v>-360.77141099120502</c:v>
                </c:pt>
                <c:pt idx="19">
                  <c:v>-360.77141099120502</c:v>
                </c:pt>
                <c:pt idx="20">
                  <c:v>-360.77141099120502</c:v>
                </c:pt>
                <c:pt idx="21">
                  <c:v>-360.77141099120502</c:v>
                </c:pt>
                <c:pt idx="22">
                  <c:v>-360.71422305972874</c:v>
                </c:pt>
                <c:pt idx="23">
                  <c:v>-360.71422305972874</c:v>
                </c:pt>
                <c:pt idx="24">
                  <c:v>-360.71524769644878</c:v>
                </c:pt>
                <c:pt idx="25">
                  <c:v>-360.71524769644878</c:v>
                </c:pt>
                <c:pt idx="26">
                  <c:v>-360.71524769644878</c:v>
                </c:pt>
                <c:pt idx="27">
                  <c:v>-360.71524769644878</c:v>
                </c:pt>
                <c:pt idx="28">
                  <c:v>-360.51410237124884</c:v>
                </c:pt>
                <c:pt idx="29">
                  <c:v>-360.52649483050521</c:v>
                </c:pt>
                <c:pt idx="30">
                  <c:v>-360.63945686625016</c:v>
                </c:pt>
                <c:pt idx="31">
                  <c:v>-360.63945686625016</c:v>
                </c:pt>
                <c:pt idx="32">
                  <c:v>-360.73992512351214</c:v>
                </c:pt>
                <c:pt idx="33">
                  <c:v>-360.73992512351214</c:v>
                </c:pt>
                <c:pt idx="34">
                  <c:v>-360.84892495666708</c:v>
                </c:pt>
                <c:pt idx="35">
                  <c:v>-360.84892495666708</c:v>
                </c:pt>
                <c:pt idx="36">
                  <c:v>-360.84100997166524</c:v>
                </c:pt>
                <c:pt idx="37">
                  <c:v>-360.84100997166524</c:v>
                </c:pt>
                <c:pt idx="38">
                  <c:v>-360.84100997166524</c:v>
                </c:pt>
                <c:pt idx="39">
                  <c:v>-360.84100997166524</c:v>
                </c:pt>
                <c:pt idx="40">
                  <c:v>-360.84892495666708</c:v>
                </c:pt>
                <c:pt idx="41">
                  <c:v>-360.84892495666708</c:v>
                </c:pt>
                <c:pt idx="42">
                  <c:v>-360.76608315752844</c:v>
                </c:pt>
                <c:pt idx="43">
                  <c:v>-360.76608315752844</c:v>
                </c:pt>
                <c:pt idx="44">
                  <c:v>-360.75905716865952</c:v>
                </c:pt>
                <c:pt idx="45">
                  <c:v>-360.75905716865952</c:v>
                </c:pt>
                <c:pt idx="46">
                  <c:v>-360.57085633129793</c:v>
                </c:pt>
                <c:pt idx="47">
                  <c:v>-360.57085633129793</c:v>
                </c:pt>
                <c:pt idx="48">
                  <c:v>-360.52649483050521</c:v>
                </c:pt>
                <c:pt idx="49">
                  <c:v>-360.52649483050521</c:v>
                </c:pt>
                <c:pt idx="50">
                  <c:v>-360.52649483050521</c:v>
                </c:pt>
                <c:pt idx="51">
                  <c:v>-360.52649483050521</c:v>
                </c:pt>
                <c:pt idx="52">
                  <c:v>-360.44845367586038</c:v>
                </c:pt>
                <c:pt idx="53">
                  <c:v>-360.2307712656746</c:v>
                </c:pt>
                <c:pt idx="54">
                  <c:v>-360.2307712656746</c:v>
                </c:pt>
                <c:pt idx="55">
                  <c:v>-360.2307712656746</c:v>
                </c:pt>
                <c:pt idx="56">
                  <c:v>-360.2307712656746</c:v>
                </c:pt>
                <c:pt idx="57">
                  <c:v>-360.2307712656746</c:v>
                </c:pt>
                <c:pt idx="58">
                  <c:v>-360.26432261617896</c:v>
                </c:pt>
                <c:pt idx="59">
                  <c:v>-360.47705274777741</c:v>
                </c:pt>
                <c:pt idx="60">
                  <c:v>-360.47705274777741</c:v>
                </c:pt>
                <c:pt idx="61">
                  <c:v>-360.26432261617896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73-4050-9F91-C0C1529E0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500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200"/>
        <c:minorUnit val="5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2193331389131896"/>
          <c:y val="0.1036102774148747"/>
          <c:w val="8.6473245810522473E-2"/>
          <c:h val="0.23973353106646425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SUM!$AJ$3</c:f>
              <c:strCache>
                <c:ptCount val="1"/>
                <c:pt idx="0">
                  <c:v>fc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SUM!$AJ$5:$AJ$66</c:f>
              <c:numCache>
                <c:formatCode>0.00</c:formatCode>
                <c:ptCount val="62"/>
                <c:pt idx="0">
                  <c:v>2.1058754536361785E-4</c:v>
                </c:pt>
                <c:pt idx="1">
                  <c:v>1.904752526946053</c:v>
                </c:pt>
                <c:pt idx="2">
                  <c:v>1.9047898522748292</c:v>
                </c:pt>
                <c:pt idx="3">
                  <c:v>71.334950875146163</c:v>
                </c:pt>
                <c:pt idx="4">
                  <c:v>53.617563055074484</c:v>
                </c:pt>
                <c:pt idx="5">
                  <c:v>121.45895167896074</c:v>
                </c:pt>
                <c:pt idx="6">
                  <c:v>121.45865651548422</c:v>
                </c:pt>
                <c:pt idx="7">
                  <c:v>197.31102157532837</c:v>
                </c:pt>
                <c:pt idx="8">
                  <c:v>163.61278114435103</c:v>
                </c:pt>
                <c:pt idx="9">
                  <c:v>215.22779506293875</c:v>
                </c:pt>
                <c:pt idx="10">
                  <c:v>215.22734501056041</c:v>
                </c:pt>
                <c:pt idx="11">
                  <c:v>250.93902701526093</c:v>
                </c:pt>
                <c:pt idx="12">
                  <c:v>216.32051451662332</c:v>
                </c:pt>
                <c:pt idx="13">
                  <c:v>237.1581910995456</c:v>
                </c:pt>
                <c:pt idx="14">
                  <c:v>237.15784186006064</c:v>
                </c:pt>
                <c:pt idx="15">
                  <c:v>243.74663791112033</c:v>
                </c:pt>
                <c:pt idx="16">
                  <c:v>243.7469631052075</c:v>
                </c:pt>
                <c:pt idx="17">
                  <c:v>240.31779975484068</c:v>
                </c:pt>
                <c:pt idx="18">
                  <c:v>240.31814432612413</c:v>
                </c:pt>
                <c:pt idx="19">
                  <c:v>224.06530213113965</c:v>
                </c:pt>
                <c:pt idx="20">
                  <c:v>224.0654681697705</c:v>
                </c:pt>
                <c:pt idx="21">
                  <c:v>194.78254485594192</c:v>
                </c:pt>
                <c:pt idx="22">
                  <c:v>233.60690183278581</c:v>
                </c:pt>
                <c:pt idx="23">
                  <c:v>186.54818767280241</c:v>
                </c:pt>
                <c:pt idx="24">
                  <c:v>204.6790217876638</c:v>
                </c:pt>
                <c:pt idx="25">
                  <c:v>135.29218933974741</c:v>
                </c:pt>
                <c:pt idx="26">
                  <c:v>135.2925324594566</c:v>
                </c:pt>
                <c:pt idx="27">
                  <c:v>53.621753229861916</c:v>
                </c:pt>
                <c:pt idx="28">
                  <c:v>64.491585627609382</c:v>
                </c:pt>
                <c:pt idx="29">
                  <c:v>105.58480480468377</c:v>
                </c:pt>
                <c:pt idx="30">
                  <c:v>85.205733701368331</c:v>
                </c:pt>
                <c:pt idx="31">
                  <c:v>198.59462539890259</c:v>
                </c:pt>
                <c:pt idx="32">
                  <c:v>114.49809136942919</c:v>
                </c:pt>
                <c:pt idx="33">
                  <c:v>202.72760786275177</c:v>
                </c:pt>
                <c:pt idx="34">
                  <c:v>157.5256122471643</c:v>
                </c:pt>
                <c:pt idx="35">
                  <c:v>211.81998146038285</c:v>
                </c:pt>
                <c:pt idx="36">
                  <c:v>199.67153375924252</c:v>
                </c:pt>
                <c:pt idx="37">
                  <c:v>223.20120059589294</c:v>
                </c:pt>
                <c:pt idx="38">
                  <c:v>223.19823516194259</c:v>
                </c:pt>
                <c:pt idx="39">
                  <c:v>205.38693438027693</c:v>
                </c:pt>
                <c:pt idx="40">
                  <c:v>217.89167903764434</c:v>
                </c:pt>
                <c:pt idx="41">
                  <c:v>178.00781807326427</c:v>
                </c:pt>
                <c:pt idx="42">
                  <c:v>218.86396699294551</c:v>
                </c:pt>
                <c:pt idx="43">
                  <c:v>160.07714027226467</c:v>
                </c:pt>
                <c:pt idx="44">
                  <c:v>241.5446476035425</c:v>
                </c:pt>
                <c:pt idx="45">
                  <c:v>176.23542235659244</c:v>
                </c:pt>
                <c:pt idx="46">
                  <c:v>218.75318888655647</c:v>
                </c:pt>
                <c:pt idx="47">
                  <c:v>149.0754723087523</c:v>
                </c:pt>
                <c:pt idx="48">
                  <c:v>180.50892344890909</c:v>
                </c:pt>
                <c:pt idx="49">
                  <c:v>114.571955943489</c:v>
                </c:pt>
                <c:pt idx="50">
                  <c:v>114.571955943489</c:v>
                </c:pt>
                <c:pt idx="51">
                  <c:v>61.120820776983564</c:v>
                </c:pt>
                <c:pt idx="52">
                  <c:v>81.9892343002156</c:v>
                </c:pt>
                <c:pt idx="53">
                  <c:v>32.387423705175699</c:v>
                </c:pt>
                <c:pt idx="54">
                  <c:v>32.387423705175699</c:v>
                </c:pt>
                <c:pt idx="55">
                  <c:v>40.640166668244198</c:v>
                </c:pt>
                <c:pt idx="56">
                  <c:v>40.640273772663001</c:v>
                </c:pt>
                <c:pt idx="57">
                  <c:v>19.135976955403198</c:v>
                </c:pt>
                <c:pt idx="58">
                  <c:v>20.883228992184055</c:v>
                </c:pt>
                <c:pt idx="59">
                  <c:v>2.0720062237502197</c:v>
                </c:pt>
                <c:pt idx="60">
                  <c:v>2.0724070390995681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54-4892-8492-DB131C9537BC}"/>
            </c:ext>
          </c:extLst>
        </c:ser>
        <c:ser>
          <c:idx val="3"/>
          <c:order val="1"/>
          <c:tx>
            <c:strRef>
              <c:f>SUM!$AK$3</c:f>
              <c:strCache>
                <c:ptCount val="1"/>
                <c:pt idx="0">
                  <c:v>Fcrw</c:v>
                </c:pt>
              </c:strCache>
            </c:strRef>
          </c:tx>
          <c:spPr>
            <a:ln w="25400" cap="rnd" cmpd="sng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SUM!$AK$5:$AK$66</c:f>
              <c:numCache>
                <c:formatCode>0.00</c:formatCode>
                <c:ptCount val="62"/>
                <c:pt idx="0">
                  <c:v>379.53505450533009</c:v>
                </c:pt>
                <c:pt idx="1">
                  <c:v>379.53505450533009</c:v>
                </c:pt>
                <c:pt idx="2">
                  <c:v>379.53505450533009</c:v>
                </c:pt>
                <c:pt idx="3">
                  <c:v>379.32353027739117</c:v>
                </c:pt>
                <c:pt idx="4">
                  <c:v>379.48682909537342</c:v>
                </c:pt>
                <c:pt idx="5">
                  <c:v>379.48682909537342</c:v>
                </c:pt>
                <c:pt idx="6">
                  <c:v>379.48682909537342</c:v>
                </c:pt>
                <c:pt idx="7">
                  <c:v>379.48682909537342</c:v>
                </c:pt>
                <c:pt idx="8">
                  <c:v>379.71678381329224</c:v>
                </c:pt>
                <c:pt idx="9">
                  <c:v>379.71678381329224</c:v>
                </c:pt>
                <c:pt idx="10">
                  <c:v>379.71678381329224</c:v>
                </c:pt>
                <c:pt idx="11">
                  <c:v>379.71678381329224</c:v>
                </c:pt>
                <c:pt idx="12">
                  <c:v>379.75937999074216</c:v>
                </c:pt>
                <c:pt idx="13">
                  <c:v>379.75937999074216</c:v>
                </c:pt>
                <c:pt idx="14">
                  <c:v>379.75937999074216</c:v>
                </c:pt>
                <c:pt idx="15">
                  <c:v>379.75937999074216</c:v>
                </c:pt>
                <c:pt idx="16">
                  <c:v>379.75937999074216</c:v>
                </c:pt>
                <c:pt idx="17">
                  <c:v>379.75937999074216</c:v>
                </c:pt>
                <c:pt idx="18">
                  <c:v>379.75937999074216</c:v>
                </c:pt>
                <c:pt idx="19">
                  <c:v>379.75937999074216</c:v>
                </c:pt>
                <c:pt idx="20">
                  <c:v>379.75937999074216</c:v>
                </c:pt>
                <c:pt idx="21">
                  <c:v>379.75937999074216</c:v>
                </c:pt>
                <c:pt idx="22">
                  <c:v>379.69918216813556</c:v>
                </c:pt>
                <c:pt idx="23">
                  <c:v>379.69918216813556</c:v>
                </c:pt>
                <c:pt idx="24">
                  <c:v>379.70026073310402</c:v>
                </c:pt>
                <c:pt idx="25">
                  <c:v>379.70026073310402</c:v>
                </c:pt>
                <c:pt idx="26">
                  <c:v>379.70026073310402</c:v>
                </c:pt>
                <c:pt idx="27">
                  <c:v>379.70026073310402</c:v>
                </c:pt>
                <c:pt idx="28">
                  <c:v>379.48852881184092</c:v>
                </c:pt>
                <c:pt idx="29">
                  <c:v>379.50157350579502</c:v>
                </c:pt>
                <c:pt idx="30">
                  <c:v>379.62048091184226</c:v>
                </c:pt>
                <c:pt idx="31">
                  <c:v>379.62048091184226</c:v>
                </c:pt>
                <c:pt idx="32">
                  <c:v>379.72623697211804</c:v>
                </c:pt>
                <c:pt idx="33">
                  <c:v>379.72623697211804</c:v>
                </c:pt>
                <c:pt idx="34">
                  <c:v>379.84097363859689</c:v>
                </c:pt>
                <c:pt idx="35">
                  <c:v>379.84097363859689</c:v>
                </c:pt>
                <c:pt idx="36">
                  <c:v>379.83264207543715</c:v>
                </c:pt>
                <c:pt idx="37">
                  <c:v>379.83264207543715</c:v>
                </c:pt>
                <c:pt idx="38">
                  <c:v>379.83264207543715</c:v>
                </c:pt>
                <c:pt idx="39">
                  <c:v>379.83264207543715</c:v>
                </c:pt>
                <c:pt idx="40">
                  <c:v>379.84097363859689</c:v>
                </c:pt>
                <c:pt idx="41">
                  <c:v>379.84097363859689</c:v>
                </c:pt>
                <c:pt idx="42">
                  <c:v>379.75377174476682</c:v>
                </c:pt>
                <c:pt idx="43">
                  <c:v>379.75377174476682</c:v>
                </c:pt>
                <c:pt idx="44">
                  <c:v>379.74637596701001</c:v>
                </c:pt>
                <c:pt idx="45">
                  <c:v>379.74637596701001</c:v>
                </c:pt>
                <c:pt idx="46">
                  <c:v>379.54826982241889</c:v>
                </c:pt>
                <c:pt idx="47">
                  <c:v>379.54826982241889</c:v>
                </c:pt>
                <c:pt idx="48">
                  <c:v>379.50157350579502</c:v>
                </c:pt>
                <c:pt idx="49">
                  <c:v>379.50157350579502</c:v>
                </c:pt>
                <c:pt idx="50">
                  <c:v>379.50157350579502</c:v>
                </c:pt>
                <c:pt idx="51">
                  <c:v>379.50157350579502</c:v>
                </c:pt>
                <c:pt idx="52">
                  <c:v>379.4194249219583</c:v>
                </c:pt>
                <c:pt idx="53">
                  <c:v>379.19028554281539</c:v>
                </c:pt>
                <c:pt idx="54">
                  <c:v>379.19028554281539</c:v>
                </c:pt>
                <c:pt idx="55">
                  <c:v>379.19028554281539</c:v>
                </c:pt>
                <c:pt idx="56">
                  <c:v>379.19028554281539</c:v>
                </c:pt>
                <c:pt idx="57">
                  <c:v>379.19028554281539</c:v>
                </c:pt>
                <c:pt idx="58">
                  <c:v>379.22560275387258</c:v>
                </c:pt>
                <c:pt idx="59">
                  <c:v>379.44952920818679</c:v>
                </c:pt>
                <c:pt idx="60">
                  <c:v>379.44952920818679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54-4892-8492-DB131C953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5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1946417808884997"/>
          <c:y val="0.13955647759598913"/>
          <c:w val="8.6473245810522473E-2"/>
          <c:h val="0.2098381648482280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107790484942474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SUM!$AM$4</c:f>
              <c:strCache>
                <c:ptCount val="1"/>
                <c:pt idx="0">
                  <c:v>γ(Δ)f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SUM!$AM$5:$AM$66</c:f>
              <c:numCache>
                <c:formatCode>0.00</c:formatCode>
                <c:ptCount val="62"/>
                <c:pt idx="0">
                  <c:v>2.1375400821127121E-4</c:v>
                </c:pt>
                <c:pt idx="1">
                  <c:v>0.74564523197698451</c:v>
                </c:pt>
                <c:pt idx="2">
                  <c:v>0.74564523197698451</c:v>
                </c:pt>
                <c:pt idx="3">
                  <c:v>6.0246490461918345</c:v>
                </c:pt>
                <c:pt idx="4">
                  <c:v>4.4564221193714344</c:v>
                </c:pt>
                <c:pt idx="5">
                  <c:v>8.5194032591582154</c:v>
                </c:pt>
                <c:pt idx="6">
                  <c:v>8.5193610353999443</c:v>
                </c:pt>
                <c:pt idx="7">
                  <c:v>13.520258517697338</c:v>
                </c:pt>
                <c:pt idx="8">
                  <c:v>9.0841631280358275</c:v>
                </c:pt>
                <c:pt idx="9">
                  <c:v>10.896711908505241</c:v>
                </c:pt>
                <c:pt idx="10">
                  <c:v>10.896683538669894</c:v>
                </c:pt>
                <c:pt idx="11">
                  <c:v>12.686763409542628</c:v>
                </c:pt>
                <c:pt idx="12">
                  <c:v>11.299475354368358</c:v>
                </c:pt>
                <c:pt idx="13">
                  <c:v>11.827012623479844</c:v>
                </c:pt>
                <c:pt idx="14">
                  <c:v>11.827012623479844</c:v>
                </c:pt>
                <c:pt idx="15">
                  <c:v>12.532155959483973</c:v>
                </c:pt>
                <c:pt idx="16">
                  <c:v>12.532155959483973</c:v>
                </c:pt>
                <c:pt idx="17">
                  <c:v>12.236373256532586</c:v>
                </c:pt>
                <c:pt idx="18">
                  <c:v>12.236423791762887</c:v>
                </c:pt>
                <c:pt idx="19">
                  <c:v>11.966211915343774</c:v>
                </c:pt>
                <c:pt idx="20">
                  <c:v>11.966237182958924</c:v>
                </c:pt>
                <c:pt idx="21">
                  <c:v>11.72915115000208</c:v>
                </c:pt>
                <c:pt idx="22">
                  <c:v>13.73177794784012</c:v>
                </c:pt>
                <c:pt idx="23">
                  <c:v>12.404552801871422</c:v>
                </c:pt>
                <c:pt idx="24">
                  <c:v>12.405990550862972</c:v>
                </c:pt>
                <c:pt idx="25">
                  <c:v>11.470085710055777</c:v>
                </c:pt>
                <c:pt idx="26">
                  <c:v>11.470026539236986</c:v>
                </c:pt>
                <c:pt idx="27">
                  <c:v>9.7447829757663307</c:v>
                </c:pt>
                <c:pt idx="28">
                  <c:v>13.908465775164984</c:v>
                </c:pt>
                <c:pt idx="29">
                  <c:v>16.40498900564311</c:v>
                </c:pt>
                <c:pt idx="30">
                  <c:v>13.669077259625645</c:v>
                </c:pt>
                <c:pt idx="31">
                  <c:v>11.387800586979543</c:v>
                </c:pt>
                <c:pt idx="32">
                  <c:v>7.4378546700260966</c:v>
                </c:pt>
                <c:pt idx="33">
                  <c:v>8.233542182239928</c:v>
                </c:pt>
                <c:pt idx="34">
                  <c:v>4.7175720973964221</c:v>
                </c:pt>
                <c:pt idx="35">
                  <c:v>5.4797691609479227</c:v>
                </c:pt>
                <c:pt idx="36">
                  <c:v>5.3173043956134265</c:v>
                </c:pt>
                <c:pt idx="37">
                  <c:v>6.0179252922106174</c:v>
                </c:pt>
                <c:pt idx="38">
                  <c:v>6.0142930602139906</c:v>
                </c:pt>
                <c:pt idx="39">
                  <c:v>5.8169862193696646</c:v>
                </c:pt>
                <c:pt idx="40">
                  <c:v>5.9947746020955082</c:v>
                </c:pt>
                <c:pt idx="41">
                  <c:v>6.228796179043476</c:v>
                </c:pt>
                <c:pt idx="42">
                  <c:v>10.164964518349779</c:v>
                </c:pt>
                <c:pt idx="43">
                  <c:v>10.953073338868883</c:v>
                </c:pt>
                <c:pt idx="44">
                  <c:v>14.101334994771051</c:v>
                </c:pt>
                <c:pt idx="45">
                  <c:v>15.236789745794832</c:v>
                </c:pt>
                <c:pt idx="46">
                  <c:v>21.135596667448695</c:v>
                </c:pt>
                <c:pt idx="47">
                  <c:v>20.876176388383424</c:v>
                </c:pt>
                <c:pt idx="48">
                  <c:v>22.972293077735586</c:v>
                </c:pt>
                <c:pt idx="49">
                  <c:v>23.384195093996286</c:v>
                </c:pt>
                <c:pt idx="50">
                  <c:v>23.38425016111076</c:v>
                </c:pt>
                <c:pt idx="51">
                  <c:v>21.331017730857194</c:v>
                </c:pt>
                <c:pt idx="52">
                  <c:v>27.274718954742532</c:v>
                </c:pt>
                <c:pt idx="53">
                  <c:v>19.854600101639917</c:v>
                </c:pt>
                <c:pt idx="54">
                  <c:v>19.854600101639917</c:v>
                </c:pt>
                <c:pt idx="55">
                  <c:v>15.336585384206167</c:v>
                </c:pt>
                <c:pt idx="56">
                  <c:v>15.336641287776132</c:v>
                </c:pt>
                <c:pt idx="57">
                  <c:v>6.7231310347043314</c:v>
                </c:pt>
                <c:pt idx="58">
                  <c:v>7.4396212924044862</c:v>
                </c:pt>
                <c:pt idx="59">
                  <c:v>0.81166053518722059</c:v>
                </c:pt>
                <c:pt idx="60">
                  <c:v>0.81127288568144773</c:v>
                </c:pt>
                <c:pt idx="61">
                  <c:v>1.2372252966256432E-4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8-4309-B238-66B68C44B570}"/>
            </c:ext>
          </c:extLst>
        </c:ser>
        <c:ser>
          <c:idx val="3"/>
          <c:order val="1"/>
          <c:tx>
            <c:strRef>
              <c:f>SUM!$AN$4</c:f>
              <c:strCache>
                <c:ptCount val="1"/>
                <c:pt idx="0">
                  <c:v>(ΔF)n</c:v>
                </c:pt>
              </c:strCache>
            </c:strRef>
          </c:tx>
          <c:spPr>
            <a:ln w="25400" cap="rnd" cmpd="sng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SUM!$AN$5:$AN$66</c:f>
              <c:numCache>
                <c:formatCode>0.00</c:formatCode>
                <c:ptCount val="62"/>
                <c:pt idx="0">
                  <c:v>44.785427170200244</c:v>
                </c:pt>
                <c:pt idx="1">
                  <c:v>44.785427170200244</c:v>
                </c:pt>
                <c:pt idx="2">
                  <c:v>44.785427170200244</c:v>
                </c:pt>
                <c:pt idx="3">
                  <c:v>44.785427170200244</c:v>
                </c:pt>
                <c:pt idx="4">
                  <c:v>44.785427170200244</c:v>
                </c:pt>
                <c:pt idx="5">
                  <c:v>44.785427170200244</c:v>
                </c:pt>
                <c:pt idx="6">
                  <c:v>44.785427170200244</c:v>
                </c:pt>
                <c:pt idx="7">
                  <c:v>44.785427170200244</c:v>
                </c:pt>
                <c:pt idx="8">
                  <c:v>44.785427170200244</c:v>
                </c:pt>
                <c:pt idx="9">
                  <c:v>44.785427170200244</c:v>
                </c:pt>
                <c:pt idx="10">
                  <c:v>44.785427170200244</c:v>
                </c:pt>
                <c:pt idx="11">
                  <c:v>44.785427170200244</c:v>
                </c:pt>
                <c:pt idx="12">
                  <c:v>44.785427170200244</c:v>
                </c:pt>
                <c:pt idx="13">
                  <c:v>44.785427170200244</c:v>
                </c:pt>
                <c:pt idx="14">
                  <c:v>44.785427170200244</c:v>
                </c:pt>
                <c:pt idx="15">
                  <c:v>44.785427170200244</c:v>
                </c:pt>
                <c:pt idx="16">
                  <c:v>44.785427170200244</c:v>
                </c:pt>
                <c:pt idx="17">
                  <c:v>44.785427170200244</c:v>
                </c:pt>
                <c:pt idx="18">
                  <c:v>44.785427170200244</c:v>
                </c:pt>
                <c:pt idx="19">
                  <c:v>44.785427170200244</c:v>
                </c:pt>
                <c:pt idx="20">
                  <c:v>44.785427170200244</c:v>
                </c:pt>
                <c:pt idx="21">
                  <c:v>44.785427170200244</c:v>
                </c:pt>
                <c:pt idx="22">
                  <c:v>44.785427170200244</c:v>
                </c:pt>
                <c:pt idx="23">
                  <c:v>44.785427170200244</c:v>
                </c:pt>
                <c:pt idx="24">
                  <c:v>44.785427170200244</c:v>
                </c:pt>
                <c:pt idx="25">
                  <c:v>44.785427170200244</c:v>
                </c:pt>
                <c:pt idx="26">
                  <c:v>44.785427170200244</c:v>
                </c:pt>
                <c:pt idx="27">
                  <c:v>44.785427170200244</c:v>
                </c:pt>
                <c:pt idx="28">
                  <c:v>44.785427170200244</c:v>
                </c:pt>
                <c:pt idx="29">
                  <c:v>44.785427170200244</c:v>
                </c:pt>
                <c:pt idx="30">
                  <c:v>44.785427170200244</c:v>
                </c:pt>
                <c:pt idx="31">
                  <c:v>44.785427170200244</c:v>
                </c:pt>
                <c:pt idx="32">
                  <c:v>44.785427170200244</c:v>
                </c:pt>
                <c:pt idx="33">
                  <c:v>44.785427170200244</c:v>
                </c:pt>
                <c:pt idx="34">
                  <c:v>44.785427170200244</c:v>
                </c:pt>
                <c:pt idx="35">
                  <c:v>44.785427170200244</c:v>
                </c:pt>
                <c:pt idx="36">
                  <c:v>44.785427170200244</c:v>
                </c:pt>
                <c:pt idx="37">
                  <c:v>44.785427170200244</c:v>
                </c:pt>
                <c:pt idx="38">
                  <c:v>44.785427170200244</c:v>
                </c:pt>
                <c:pt idx="39">
                  <c:v>44.785427170200244</c:v>
                </c:pt>
                <c:pt idx="40">
                  <c:v>44.785427170200244</c:v>
                </c:pt>
                <c:pt idx="41">
                  <c:v>44.785427170200244</c:v>
                </c:pt>
                <c:pt idx="42">
                  <c:v>44.785427170200244</c:v>
                </c:pt>
                <c:pt idx="43">
                  <c:v>44.785427170200244</c:v>
                </c:pt>
                <c:pt idx="44">
                  <c:v>44.785427170200244</c:v>
                </c:pt>
                <c:pt idx="45">
                  <c:v>44.785427170200244</c:v>
                </c:pt>
                <c:pt idx="46">
                  <c:v>44.785427170200244</c:v>
                </c:pt>
                <c:pt idx="47">
                  <c:v>44.785427170200244</c:v>
                </c:pt>
                <c:pt idx="48">
                  <c:v>44.785427170200244</c:v>
                </c:pt>
                <c:pt idx="49">
                  <c:v>44.785427170200244</c:v>
                </c:pt>
                <c:pt idx="50">
                  <c:v>44.785427170200244</c:v>
                </c:pt>
                <c:pt idx="51">
                  <c:v>44.785427170200244</c:v>
                </c:pt>
                <c:pt idx="52">
                  <c:v>44.785427170200244</c:v>
                </c:pt>
                <c:pt idx="53">
                  <c:v>44.785427170200244</c:v>
                </c:pt>
                <c:pt idx="54">
                  <c:v>44.785427170200244</c:v>
                </c:pt>
                <c:pt idx="55">
                  <c:v>44.785427170200244</c:v>
                </c:pt>
                <c:pt idx="56">
                  <c:v>44.785427170200244</c:v>
                </c:pt>
                <c:pt idx="57">
                  <c:v>44.785427170200244</c:v>
                </c:pt>
                <c:pt idx="58">
                  <c:v>44.785427170200244</c:v>
                </c:pt>
                <c:pt idx="59">
                  <c:v>44.785427170200244</c:v>
                </c:pt>
                <c:pt idx="60">
                  <c:v>44.785427170200244</c:v>
                </c:pt>
                <c:pt idx="61">
                  <c:v>44.785427170200244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8-4309-B238-66B68C44B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20"/>
        <c:minorUnit val="5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316788179255374"/>
          <c:y val="0.11634368059601477"/>
          <c:w val="8.6473245810522473E-2"/>
          <c:h val="0.27563350224134164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2"/>
          <c:order val="0"/>
          <c:tx>
            <c:strRef>
              <c:f>SUM!$S$3</c:f>
              <c:strCache>
                <c:ptCount val="1"/>
                <c:pt idx="0">
                  <c:v>fbot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SUM!$S$5:$S$66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15.4399984659143</c:v>
                </c:pt>
                <c:pt idx="33">
                  <c:v>26.519805527609559</c:v>
                </c:pt>
                <c:pt idx="34">
                  <c:v>19.703781550591621</c:v>
                </c:pt>
                <c:pt idx="35">
                  <c:v>26.12367109807861</c:v>
                </c:pt>
                <c:pt idx="36">
                  <c:v>24.011271711642685</c:v>
                </c:pt>
                <c:pt idx="37">
                  <c:v>26.67746480068778</c:v>
                </c:pt>
                <c:pt idx="38">
                  <c:v>26.676725759762313</c:v>
                </c:pt>
                <c:pt idx="39">
                  <c:v>24.738386388171804</c:v>
                </c:pt>
                <c:pt idx="40">
                  <c:v>26.914875980235166</c:v>
                </c:pt>
                <c:pt idx="41">
                  <c:v>22.399562789479209</c:v>
                </c:pt>
                <c:pt idx="42">
                  <c:v>29.08925227943876</c:v>
                </c:pt>
                <c:pt idx="43">
                  <c:v>21.921516362988235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0-4888-9B50-AD1C78A4A609}"/>
            </c:ext>
          </c:extLst>
        </c:ser>
        <c:ser>
          <c:idx val="3"/>
          <c:order val="1"/>
          <c:tx>
            <c:strRef>
              <c:f>SUM!$U$3</c:f>
              <c:strCache>
                <c:ptCount val="1"/>
                <c:pt idx="0">
                  <c:v>0.6f'c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SUM!$U$5:$U$66</c:f>
              <c:numCache>
                <c:formatCode>0</c:formatCode>
                <c:ptCount val="6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0-4888-9B50-AD1C78A4A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"/>
        <c:minorUnit val="2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712753961310392"/>
          <c:y val="0.23602587893073876"/>
          <c:w val="8.0044484235388944E-2"/>
          <c:h val="0.25618536536436132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SUM!$AP$4</c:f>
              <c:strCache>
                <c:ptCount val="1"/>
                <c:pt idx="0">
                  <c:v>Vcr</c:v>
                </c:pt>
              </c:strCache>
            </c:strRef>
          </c:tx>
          <c:spPr>
            <a:ln w="25400" cmpd="sng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SUM!$AQ$5:$AQ$66</c:f>
              <c:numCache>
                <c:formatCode>0.00</c:formatCode>
                <c:ptCount val="62"/>
                <c:pt idx="0">
                  <c:v>-1312.556246380452</c:v>
                </c:pt>
                <c:pt idx="1">
                  <c:v>-1312.556246380452</c:v>
                </c:pt>
                <c:pt idx="2">
                  <c:v>-1312.556246380452</c:v>
                </c:pt>
                <c:pt idx="3">
                  <c:v>-1312.556246380452</c:v>
                </c:pt>
                <c:pt idx="4">
                  <c:v>-1319.9787397030161</c:v>
                </c:pt>
                <c:pt idx="5">
                  <c:v>-1319.9787397030161</c:v>
                </c:pt>
                <c:pt idx="6">
                  <c:v>-1319.9787397030161</c:v>
                </c:pt>
                <c:pt idx="7">
                  <c:v>-1319.9787397030161</c:v>
                </c:pt>
                <c:pt idx="8">
                  <c:v>-1319.9787397030161</c:v>
                </c:pt>
                <c:pt idx="9">
                  <c:v>-1319.9787397030161</c:v>
                </c:pt>
                <c:pt idx="10">
                  <c:v>-1319.9787397030161</c:v>
                </c:pt>
                <c:pt idx="11">
                  <c:v>-1319.9787397030161</c:v>
                </c:pt>
                <c:pt idx="12">
                  <c:v>-1319.9787397030161</c:v>
                </c:pt>
                <c:pt idx="13">
                  <c:v>-1319.9787397030161</c:v>
                </c:pt>
                <c:pt idx="14">
                  <c:v>-1319.9787397030161</c:v>
                </c:pt>
                <c:pt idx="15">
                  <c:v>-1319.9787397030161</c:v>
                </c:pt>
                <c:pt idx="16">
                  <c:v>-1319.9787397030161</c:v>
                </c:pt>
                <c:pt idx="17">
                  <c:v>-1319.9787397030161</c:v>
                </c:pt>
                <c:pt idx="18">
                  <c:v>-1319.9787397030161</c:v>
                </c:pt>
                <c:pt idx="19">
                  <c:v>-1319.9787397030161</c:v>
                </c:pt>
                <c:pt idx="20">
                  <c:v>-1319.9787397030161</c:v>
                </c:pt>
                <c:pt idx="21">
                  <c:v>-1319.9787397030161</c:v>
                </c:pt>
                <c:pt idx="22">
                  <c:v>-1319.9787397030161</c:v>
                </c:pt>
                <c:pt idx="23">
                  <c:v>-1319.9787397030161</c:v>
                </c:pt>
                <c:pt idx="24">
                  <c:v>-1319.9787397030161</c:v>
                </c:pt>
                <c:pt idx="25">
                  <c:v>-1319.9787397030161</c:v>
                </c:pt>
                <c:pt idx="26">
                  <c:v>-1319.9787397030161</c:v>
                </c:pt>
                <c:pt idx="27">
                  <c:v>-1319.9787397030161</c:v>
                </c:pt>
                <c:pt idx="28">
                  <c:v>-1319.9787397030161</c:v>
                </c:pt>
                <c:pt idx="29">
                  <c:v>-1319.9787397030161</c:v>
                </c:pt>
                <c:pt idx="30">
                  <c:v>-1320.7525127251954</c:v>
                </c:pt>
                <c:pt idx="31">
                  <c:v>-1320.7525127251954</c:v>
                </c:pt>
                <c:pt idx="32">
                  <c:v>-1327.6749109114714</c:v>
                </c:pt>
                <c:pt idx="33">
                  <c:v>-1327.6749109114714</c:v>
                </c:pt>
                <c:pt idx="34">
                  <c:v>-2131.4878867507468</c:v>
                </c:pt>
                <c:pt idx="35">
                  <c:v>-2131.4878867507468</c:v>
                </c:pt>
                <c:pt idx="36">
                  <c:v>-2146.4709774097842</c:v>
                </c:pt>
                <c:pt idx="37">
                  <c:v>-2146.4709774097842</c:v>
                </c:pt>
                <c:pt idx="38">
                  <c:v>-2146.4709774097842</c:v>
                </c:pt>
                <c:pt idx="39">
                  <c:v>-2146.4709774097842</c:v>
                </c:pt>
                <c:pt idx="40">
                  <c:v>-2131.4878867507468</c:v>
                </c:pt>
                <c:pt idx="41">
                  <c:v>-2131.4878867507468</c:v>
                </c:pt>
                <c:pt idx="42">
                  <c:v>-1327.6749109114714</c:v>
                </c:pt>
                <c:pt idx="43">
                  <c:v>-1327.6749109114714</c:v>
                </c:pt>
                <c:pt idx="44">
                  <c:v>-1320.7525127251954</c:v>
                </c:pt>
                <c:pt idx="45">
                  <c:v>-1320.7525127251954</c:v>
                </c:pt>
                <c:pt idx="46">
                  <c:v>-1319.9787397030161</c:v>
                </c:pt>
                <c:pt idx="47">
                  <c:v>-1319.9787397030161</c:v>
                </c:pt>
                <c:pt idx="48">
                  <c:v>-1319.9787397030161</c:v>
                </c:pt>
                <c:pt idx="49">
                  <c:v>-1319.9787397030161</c:v>
                </c:pt>
                <c:pt idx="50">
                  <c:v>-1319.9787397030161</c:v>
                </c:pt>
                <c:pt idx="51">
                  <c:v>-1319.9787397030161</c:v>
                </c:pt>
                <c:pt idx="52">
                  <c:v>-1319.9787397030161</c:v>
                </c:pt>
                <c:pt idx="53">
                  <c:v>-1319.9787397030161</c:v>
                </c:pt>
                <c:pt idx="54">
                  <c:v>-1319.9787397030161</c:v>
                </c:pt>
                <c:pt idx="55">
                  <c:v>-1319.9787397030161</c:v>
                </c:pt>
                <c:pt idx="56">
                  <c:v>-1319.9787397030161</c:v>
                </c:pt>
                <c:pt idx="57">
                  <c:v>-1319.9787397030161</c:v>
                </c:pt>
                <c:pt idx="58">
                  <c:v>-1312.556246380452</c:v>
                </c:pt>
                <c:pt idx="59">
                  <c:v>-1312.556246380452</c:v>
                </c:pt>
                <c:pt idx="60">
                  <c:v>-1312.556246380452</c:v>
                </c:pt>
                <c:pt idx="61">
                  <c:v>-1312.556246380452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E-41E6-BAF3-F67E41E237E9}"/>
            </c:ext>
          </c:extLst>
        </c:ser>
        <c:ser>
          <c:idx val="1"/>
          <c:order val="1"/>
          <c:tx>
            <c:strRef>
              <c:f>SUM!$AO$4</c:f>
              <c:strCache>
                <c:ptCount val="1"/>
                <c:pt idx="0">
                  <c:v>Vu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SUM!$AO$5:$AO$66</c:f>
              <c:numCache>
                <c:formatCode>0.00</c:formatCode>
                <c:ptCount val="62"/>
                <c:pt idx="0">
                  <c:v>2.5597668350847895</c:v>
                </c:pt>
                <c:pt idx="1">
                  <c:v>-180.50387316221918</c:v>
                </c:pt>
                <c:pt idx="2">
                  <c:v>1681.2503222637063</c:v>
                </c:pt>
                <c:pt idx="3">
                  <c:v>1527.9893219240973</c:v>
                </c:pt>
                <c:pt idx="4">
                  <c:v>1527.9842830130046</c:v>
                </c:pt>
                <c:pt idx="5">
                  <c:v>1358.6264811878082</c:v>
                </c:pt>
                <c:pt idx="6">
                  <c:v>1325.7148333859257</c:v>
                </c:pt>
                <c:pt idx="7">
                  <c:v>1103.1184164109493</c:v>
                </c:pt>
                <c:pt idx="8">
                  <c:v>1103.1158969554026</c:v>
                </c:pt>
                <c:pt idx="9">
                  <c:v>877.95467423424884</c:v>
                </c:pt>
                <c:pt idx="10">
                  <c:v>866.01497440012758</c:v>
                </c:pt>
                <c:pt idx="11">
                  <c:v>639.61166009462636</c:v>
                </c:pt>
                <c:pt idx="12">
                  <c:v>639.61166009462636</c:v>
                </c:pt>
                <c:pt idx="13">
                  <c:v>412.96899751222247</c:v>
                </c:pt>
                <c:pt idx="14">
                  <c:v>400.8000272233844</c:v>
                </c:pt>
                <c:pt idx="15">
                  <c:v>169.16128429258163</c:v>
                </c:pt>
                <c:pt idx="16">
                  <c:v>169.14868701484991</c:v>
                </c:pt>
                <c:pt idx="17">
                  <c:v>-358.18847556808021</c:v>
                </c:pt>
                <c:pt idx="18">
                  <c:v>-356.05953563142009</c:v>
                </c:pt>
                <c:pt idx="19">
                  <c:v>-585.94473750196778</c:v>
                </c:pt>
                <c:pt idx="20">
                  <c:v>-593.28139205291961</c:v>
                </c:pt>
                <c:pt idx="21">
                  <c:v>-817.76992014320001</c:v>
                </c:pt>
                <c:pt idx="22">
                  <c:v>-817.78755633202445</c:v>
                </c:pt>
                <c:pt idx="23">
                  <c:v>-1038.9781171121413</c:v>
                </c:pt>
                <c:pt idx="24">
                  <c:v>-1055.5788097069974</c:v>
                </c:pt>
                <c:pt idx="25">
                  <c:v>-1270.0298269006462</c:v>
                </c:pt>
                <c:pt idx="26">
                  <c:v>-1270.0147101673683</c:v>
                </c:pt>
                <c:pt idx="27">
                  <c:v>-1488.5976344570197</c:v>
                </c:pt>
                <c:pt idx="28">
                  <c:v>-1512.9053415681401</c:v>
                </c:pt>
                <c:pt idx="29">
                  <c:v>-1715.9583418701316</c:v>
                </c:pt>
                <c:pt idx="30">
                  <c:v>-1715.9622604166555</c:v>
                </c:pt>
                <c:pt idx="31">
                  <c:v>-1927.5765770422743</c:v>
                </c:pt>
                <c:pt idx="32">
                  <c:v>-1981.529112099086</c:v>
                </c:pt>
                <c:pt idx="33">
                  <c:v>-2237.6166516516041</c:v>
                </c:pt>
                <c:pt idx="34">
                  <c:v>-2237.6579810892954</c:v>
                </c:pt>
                <c:pt idx="35">
                  <c:v>-2447.6506032653879</c:v>
                </c:pt>
                <c:pt idx="36">
                  <c:v>-2447.5124932174635</c:v>
                </c:pt>
                <c:pt idx="37">
                  <c:v>-2528.0494092118734</c:v>
                </c:pt>
                <c:pt idx="38">
                  <c:v>2081.1962540568802</c:v>
                </c:pt>
                <c:pt idx="39">
                  <c:v>1986.2178188708308</c:v>
                </c:pt>
                <c:pt idx="40">
                  <c:v>1986.1923955110726</c:v>
                </c:pt>
                <c:pt idx="41">
                  <c:v>1769.0444841021233</c:v>
                </c:pt>
                <c:pt idx="42">
                  <c:v>1769.0407507760387</c:v>
                </c:pt>
                <c:pt idx="43">
                  <c:v>1495.6193570646788</c:v>
                </c:pt>
                <c:pt idx="44">
                  <c:v>1452.0773709214909</c:v>
                </c:pt>
                <c:pt idx="45">
                  <c:v>1222.3786000587484</c:v>
                </c:pt>
                <c:pt idx="46">
                  <c:v>1222.3869225192943</c:v>
                </c:pt>
                <c:pt idx="47">
                  <c:v>1004.0433465065454</c:v>
                </c:pt>
                <c:pt idx="48">
                  <c:v>984.01115545756977</c:v>
                </c:pt>
                <c:pt idx="49">
                  <c:v>764.19369795020987</c:v>
                </c:pt>
                <c:pt idx="50">
                  <c:v>764.19873686130256</c:v>
                </c:pt>
                <c:pt idx="51">
                  <c:v>547.42730110947161</c:v>
                </c:pt>
                <c:pt idx="52">
                  <c:v>546.25323482487556</c:v>
                </c:pt>
                <c:pt idx="53">
                  <c:v>325.30958068830017</c:v>
                </c:pt>
                <c:pt idx="54">
                  <c:v>325.30958068830017</c:v>
                </c:pt>
                <c:pt idx="55">
                  <c:v>108.56333949193267</c:v>
                </c:pt>
                <c:pt idx="56">
                  <c:v>74.749726604459255</c:v>
                </c:pt>
                <c:pt idx="57">
                  <c:v>-491.30894827022092</c:v>
                </c:pt>
                <c:pt idx="58">
                  <c:v>-491.30894827022092</c:v>
                </c:pt>
                <c:pt idx="59">
                  <c:v>-617.77049996337632</c:v>
                </c:pt>
                <c:pt idx="60">
                  <c:v>184.37627633694879</c:v>
                </c:pt>
                <c:pt idx="61">
                  <c:v>143.80800312972903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2E-41E6-BAF3-F67E41E237E9}"/>
            </c:ext>
          </c:extLst>
        </c:ser>
        <c:ser>
          <c:idx val="2"/>
          <c:order val="2"/>
          <c:tx>
            <c:strRef>
              <c:f>SUM!$AP$4</c:f>
              <c:strCache>
                <c:ptCount val="1"/>
                <c:pt idx="0">
                  <c:v>Vcr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SUM!$AP$5:$AP$66</c:f>
              <c:numCache>
                <c:formatCode>0.00</c:formatCode>
                <c:ptCount val="62"/>
                <c:pt idx="0">
                  <c:v>1312.556246380452</c:v>
                </c:pt>
                <c:pt idx="1">
                  <c:v>1312.556246380452</c:v>
                </c:pt>
                <c:pt idx="2">
                  <c:v>1312.556246380452</c:v>
                </c:pt>
                <c:pt idx="3">
                  <c:v>1312.556246380452</c:v>
                </c:pt>
                <c:pt idx="4">
                  <c:v>1319.9787397030161</c:v>
                </c:pt>
                <c:pt idx="5">
                  <c:v>1319.9787397030161</c:v>
                </c:pt>
                <c:pt idx="6">
                  <c:v>1319.9787397030161</c:v>
                </c:pt>
                <c:pt idx="7">
                  <c:v>1319.9787397030161</c:v>
                </c:pt>
                <c:pt idx="8">
                  <c:v>1319.9787397030161</c:v>
                </c:pt>
                <c:pt idx="9">
                  <c:v>1319.9787397030161</c:v>
                </c:pt>
                <c:pt idx="10">
                  <c:v>1319.9787397030161</c:v>
                </c:pt>
                <c:pt idx="11">
                  <c:v>1319.9787397030161</c:v>
                </c:pt>
                <c:pt idx="12">
                  <c:v>1319.9787397030161</c:v>
                </c:pt>
                <c:pt idx="13">
                  <c:v>1319.9787397030161</c:v>
                </c:pt>
                <c:pt idx="14">
                  <c:v>1319.9787397030161</c:v>
                </c:pt>
                <c:pt idx="15">
                  <c:v>1319.9787397030161</c:v>
                </c:pt>
                <c:pt idx="16">
                  <c:v>1319.9787397030161</c:v>
                </c:pt>
                <c:pt idx="17">
                  <c:v>1319.9787397030161</c:v>
                </c:pt>
                <c:pt idx="18">
                  <c:v>1319.9787397030161</c:v>
                </c:pt>
                <c:pt idx="19">
                  <c:v>1319.9787397030161</c:v>
                </c:pt>
                <c:pt idx="20">
                  <c:v>1319.9787397030161</c:v>
                </c:pt>
                <c:pt idx="21">
                  <c:v>1319.9787397030161</c:v>
                </c:pt>
                <c:pt idx="22">
                  <c:v>1319.9787397030161</c:v>
                </c:pt>
                <c:pt idx="23">
                  <c:v>1319.9787397030161</c:v>
                </c:pt>
                <c:pt idx="24">
                  <c:v>1319.9787397030161</c:v>
                </c:pt>
                <c:pt idx="25">
                  <c:v>1319.9787397030161</c:v>
                </c:pt>
                <c:pt idx="26">
                  <c:v>1319.9787397030161</c:v>
                </c:pt>
                <c:pt idx="27">
                  <c:v>1319.9787397030161</c:v>
                </c:pt>
                <c:pt idx="28">
                  <c:v>1319.9787397030161</c:v>
                </c:pt>
                <c:pt idx="29">
                  <c:v>1319.9787397030161</c:v>
                </c:pt>
                <c:pt idx="30">
                  <c:v>1320.7525127251954</c:v>
                </c:pt>
                <c:pt idx="31">
                  <c:v>1320.7525127251954</c:v>
                </c:pt>
                <c:pt idx="32">
                  <c:v>1327.6749109114714</c:v>
                </c:pt>
                <c:pt idx="33">
                  <c:v>1327.6749109114714</c:v>
                </c:pt>
                <c:pt idx="34">
                  <c:v>2131.4878867507468</c:v>
                </c:pt>
                <c:pt idx="35">
                  <c:v>2131.4878867507468</c:v>
                </c:pt>
                <c:pt idx="36">
                  <c:v>2146.4709774097842</c:v>
                </c:pt>
                <c:pt idx="37">
                  <c:v>2146.4709774097842</c:v>
                </c:pt>
                <c:pt idx="38">
                  <c:v>2146.4709774097842</c:v>
                </c:pt>
                <c:pt idx="39">
                  <c:v>2146.4709774097842</c:v>
                </c:pt>
                <c:pt idx="40">
                  <c:v>2131.4878867507468</c:v>
                </c:pt>
                <c:pt idx="41">
                  <c:v>2131.4878867507468</c:v>
                </c:pt>
                <c:pt idx="42">
                  <c:v>1327.6749109114714</c:v>
                </c:pt>
                <c:pt idx="43">
                  <c:v>1327.6749109114714</c:v>
                </c:pt>
                <c:pt idx="44">
                  <c:v>1320.7525127251954</c:v>
                </c:pt>
                <c:pt idx="45">
                  <c:v>1320.7525127251954</c:v>
                </c:pt>
                <c:pt idx="46">
                  <c:v>1319.9787397030161</c:v>
                </c:pt>
                <c:pt idx="47">
                  <c:v>1319.9787397030161</c:v>
                </c:pt>
                <c:pt idx="48">
                  <c:v>1319.9787397030161</c:v>
                </c:pt>
                <c:pt idx="49">
                  <c:v>1319.9787397030161</c:v>
                </c:pt>
                <c:pt idx="50">
                  <c:v>1319.9787397030161</c:v>
                </c:pt>
                <c:pt idx="51">
                  <c:v>1319.9787397030161</c:v>
                </c:pt>
                <c:pt idx="52">
                  <c:v>1319.9787397030161</c:v>
                </c:pt>
                <c:pt idx="53">
                  <c:v>1319.9787397030161</c:v>
                </c:pt>
                <c:pt idx="54">
                  <c:v>1319.9787397030161</c:v>
                </c:pt>
                <c:pt idx="55">
                  <c:v>1319.9787397030161</c:v>
                </c:pt>
                <c:pt idx="56">
                  <c:v>1319.9787397030161</c:v>
                </c:pt>
                <c:pt idx="57">
                  <c:v>1319.9787397030161</c:v>
                </c:pt>
                <c:pt idx="58">
                  <c:v>1312.556246380452</c:v>
                </c:pt>
                <c:pt idx="59">
                  <c:v>1312.556246380452</c:v>
                </c:pt>
                <c:pt idx="60">
                  <c:v>1312.556246380452</c:v>
                </c:pt>
                <c:pt idx="61">
                  <c:v>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2E-41E6-BAF3-F67E41E23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  <c:spPr>
            <a:ln w="381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  <c:max val="10000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5000"/>
        <c:minorUnit val="10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206581121804235"/>
          <c:y val="0.12752657038946366"/>
          <c:w val="8.0044484235388944E-2"/>
          <c:h val="0.16200557889905018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5.emf"/><Relationship Id="rId7" Type="http://schemas.openxmlformats.org/officeDocument/2006/relationships/image" Target="../media/image12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1.emf"/><Relationship Id="rId5" Type="http://schemas.openxmlformats.org/officeDocument/2006/relationships/image" Target="../media/image9.emf"/><Relationship Id="rId4" Type="http://schemas.openxmlformats.org/officeDocument/2006/relationships/image" Target="../media/image15.emf"/><Relationship Id="rId9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457200</xdr:colOff>
      <xdr:row>3</xdr:row>
      <xdr:rowOff>47625</xdr:rowOff>
    </xdr:from>
    <xdr:to>
      <xdr:col>30</xdr:col>
      <xdr:colOff>533400</xdr:colOff>
      <xdr:row>23</xdr:row>
      <xdr:rowOff>9525</xdr:rowOff>
    </xdr:to>
    <xdr:pic>
      <xdr:nvPicPr>
        <xdr:cNvPr id="2" name="Picture 9" descr="http://www.iisc.co.kr/iisc/products/sub_kor/shapes/angle_1_b_p1.gif">
          <a:extLst>
            <a:ext uri="{FF2B5EF4-FFF2-40B4-BE49-F238E27FC236}">
              <a16:creationId xmlns:a16="http://schemas.microsoft.com/office/drawing/2014/main" id="{6FEEDF5F-AFC2-448E-ACDB-F844BD45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571500"/>
          <a:ext cx="3886200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590550</xdr:colOff>
      <xdr:row>25</xdr:row>
      <xdr:rowOff>161925</xdr:rowOff>
    </xdr:from>
    <xdr:to>
      <xdr:col>31</xdr:col>
      <xdr:colOff>304800</xdr:colOff>
      <xdr:row>50</xdr:row>
      <xdr:rowOff>114300</xdr:rowOff>
    </xdr:to>
    <xdr:pic>
      <xdr:nvPicPr>
        <xdr:cNvPr id="3" name="Picture 13" descr="http://www.iisc.co.kr/iisc/products/sub_kor/shapes/angle_1_b_p2.gif">
          <a:extLst>
            <a:ext uri="{FF2B5EF4-FFF2-40B4-BE49-F238E27FC236}">
              <a16:creationId xmlns:a16="http://schemas.microsoft.com/office/drawing/2014/main" id="{C3024718-5867-4D3C-8A26-C9FC59AF4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5525" y="4467225"/>
          <a:ext cx="4286250" cy="423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4110511</xdr:colOff>
      <xdr:row>2</xdr:row>
      <xdr:rowOff>4038</xdr:rowOff>
    </xdr:from>
    <xdr:to>
      <xdr:col>5</xdr:col>
      <xdr:colOff>599651</xdr:colOff>
      <xdr:row>23</xdr:row>
      <xdr:rowOff>116798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5129686" y="346938"/>
          <a:ext cx="4956865" cy="3713210"/>
          <a:chOff x="5132861" y="346938"/>
          <a:chExt cx="4960040" cy="3713210"/>
        </a:xfrm>
      </xdr:grpSpPr>
      <xdr:grpSp>
        <xdr:nvGrpSpPr>
          <xdr:cNvPr id="536" name="Group 535">
            <a:extLst>
              <a:ext uri="{FF2B5EF4-FFF2-40B4-BE49-F238E27FC236}">
                <a16:creationId xmlns:a16="http://schemas.microsoft.com/office/drawing/2014/main" id="{00000000-0008-0000-0300-000018020000}"/>
              </a:ext>
            </a:extLst>
          </xdr:cNvPr>
          <xdr:cNvGrpSpPr/>
        </xdr:nvGrpSpPr>
        <xdr:grpSpPr>
          <a:xfrm>
            <a:off x="5132861" y="346938"/>
            <a:ext cx="4960040" cy="3713210"/>
            <a:chOff x="14107624" y="674916"/>
            <a:chExt cx="4948872" cy="3741775"/>
          </a:xfrm>
        </xdr:grpSpPr>
        <xdr:grpSp>
          <xdr:nvGrpSpPr>
            <xdr:cNvPr id="533" name="Group 532">
              <a:extLst>
                <a:ext uri="{FF2B5EF4-FFF2-40B4-BE49-F238E27FC236}">
                  <a16:creationId xmlns:a16="http://schemas.microsoft.com/office/drawing/2014/main" id="{00000000-0008-0000-0300-000015020000}"/>
                </a:ext>
              </a:extLst>
            </xdr:cNvPr>
            <xdr:cNvGrpSpPr/>
          </xdr:nvGrpSpPr>
          <xdr:grpSpPr>
            <a:xfrm>
              <a:off x="14107624" y="674916"/>
              <a:ext cx="4948872" cy="3741775"/>
              <a:chOff x="12966812" y="347951"/>
              <a:chExt cx="4958787" cy="3729168"/>
            </a:xfrm>
          </xdr:grpSpPr>
          <xdr:grpSp>
            <xdr:nvGrpSpPr>
              <xdr:cNvPr id="482" name="Group 481">
                <a:extLst>
                  <a:ext uri="{FF2B5EF4-FFF2-40B4-BE49-F238E27FC236}">
                    <a16:creationId xmlns:a16="http://schemas.microsoft.com/office/drawing/2014/main" id="{00000000-0008-0000-0300-0000E2010000}"/>
                  </a:ext>
                </a:extLst>
              </xdr:cNvPr>
              <xdr:cNvGrpSpPr/>
            </xdr:nvGrpSpPr>
            <xdr:grpSpPr>
              <a:xfrm>
                <a:off x="12966812" y="347951"/>
                <a:ext cx="4958787" cy="3729168"/>
                <a:chOff x="12938638" y="362314"/>
                <a:chExt cx="4933136" cy="3785899"/>
              </a:xfrm>
            </xdr:grpSpPr>
            <xdr:cxnSp macro="">
              <xdr:nvCxnSpPr>
                <xdr:cNvPr id="475" name="Straight Connector 474">
                  <a:extLst>
                    <a:ext uri="{FF2B5EF4-FFF2-40B4-BE49-F238E27FC236}">
                      <a16:creationId xmlns:a16="http://schemas.microsoft.com/office/drawing/2014/main" id="{00000000-0008-0000-0300-0000DB010000}"/>
                    </a:ext>
                  </a:extLst>
                </xdr:cNvPr>
                <xdr:cNvCxnSpPr/>
              </xdr:nvCxnSpPr>
              <xdr:spPr>
                <a:xfrm>
                  <a:off x="16912935" y="2505316"/>
                  <a:ext cx="0" cy="1196628"/>
                </a:xfrm>
                <a:prstGeom prst="line">
                  <a:avLst/>
                </a:prstGeom>
                <a:ln w="0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481" name="Group 480">
                  <a:extLst>
                    <a:ext uri="{FF2B5EF4-FFF2-40B4-BE49-F238E27FC236}">
                      <a16:creationId xmlns:a16="http://schemas.microsoft.com/office/drawing/2014/main" id="{00000000-0008-0000-0300-0000E1010000}"/>
                    </a:ext>
                  </a:extLst>
                </xdr:cNvPr>
                <xdr:cNvGrpSpPr/>
              </xdr:nvGrpSpPr>
              <xdr:grpSpPr>
                <a:xfrm>
                  <a:off x="12938638" y="362314"/>
                  <a:ext cx="4933136" cy="3785899"/>
                  <a:chOff x="12938638" y="362314"/>
                  <a:chExt cx="4933136" cy="3785899"/>
                </a:xfrm>
              </xdr:grpSpPr>
              <xdr:cxnSp macro="">
                <xdr:nvCxnSpPr>
                  <xdr:cNvPr id="336" name="Straight Connector 335">
                    <a:extLst>
                      <a:ext uri="{FF2B5EF4-FFF2-40B4-BE49-F238E27FC236}">
                        <a16:creationId xmlns:a16="http://schemas.microsoft.com/office/drawing/2014/main" id="{00000000-0008-0000-0300-000050010000}"/>
                      </a:ext>
                    </a:extLst>
                  </xdr:cNvPr>
                  <xdr:cNvCxnSpPr/>
                </xdr:nvCxnSpPr>
                <xdr:spPr>
                  <a:xfrm flipH="1">
                    <a:off x="13345546" y="1929201"/>
                    <a:ext cx="1193881" cy="0"/>
                  </a:xfrm>
                  <a:prstGeom prst="line">
                    <a:avLst/>
                  </a:prstGeom>
                  <a:ln w="0">
                    <a:headEnd type="none"/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38" name="TextBox 337">
                    <a:extLst>
                      <a:ext uri="{FF2B5EF4-FFF2-40B4-BE49-F238E27FC236}">
                        <a16:creationId xmlns:a16="http://schemas.microsoft.com/office/drawing/2014/main" id="{00000000-0008-0000-0300-000052010000}"/>
                      </a:ext>
                    </a:extLst>
                  </xdr:cNvPr>
                  <xdr:cNvSpPr txBox="1"/>
                </xdr:nvSpPr>
                <xdr:spPr>
                  <a:xfrm>
                    <a:off x="13020822" y="1726942"/>
                    <a:ext cx="553368" cy="25497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Hst</a:t>
                    </a:r>
                    <a:endParaRPr lang="en-US" sz="900"/>
                  </a:p>
                </xdr:txBody>
              </xdr:sp>
              <xdr:cxnSp macro="">
                <xdr:nvCxnSpPr>
                  <xdr:cNvPr id="384" name="Straight Connector 383">
                    <a:extLst>
                      <a:ext uri="{FF2B5EF4-FFF2-40B4-BE49-F238E27FC236}">
                        <a16:creationId xmlns:a16="http://schemas.microsoft.com/office/drawing/2014/main" id="{00000000-0008-0000-0300-000080010000}"/>
                      </a:ext>
                    </a:extLst>
                  </xdr:cNvPr>
                  <xdr:cNvCxnSpPr/>
                </xdr:nvCxnSpPr>
                <xdr:spPr>
                  <a:xfrm>
                    <a:off x="13628914" y="2261313"/>
                    <a:ext cx="3388280" cy="0"/>
                  </a:xfrm>
                  <a:prstGeom prst="line">
                    <a:avLst/>
                  </a:prstGeom>
                  <a:ln w="0">
                    <a:solidFill>
                      <a:srgbClr val="C00000"/>
                    </a:solidFill>
                    <a:prstDash val="sys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480" name="Group 479">
                    <a:extLst>
                      <a:ext uri="{FF2B5EF4-FFF2-40B4-BE49-F238E27FC236}">
                        <a16:creationId xmlns:a16="http://schemas.microsoft.com/office/drawing/2014/main" id="{00000000-0008-0000-0300-0000E0010000}"/>
                      </a:ext>
                    </a:extLst>
                  </xdr:cNvPr>
                  <xdr:cNvGrpSpPr/>
                </xdr:nvGrpSpPr>
                <xdr:grpSpPr>
                  <a:xfrm>
                    <a:off x="12938638" y="362314"/>
                    <a:ext cx="4933136" cy="3785899"/>
                    <a:chOff x="12966367" y="354195"/>
                    <a:chExt cx="4957625" cy="3700237"/>
                  </a:xfrm>
                </xdr:grpSpPr>
                <xdr:grpSp>
                  <xdr:nvGrpSpPr>
                    <xdr:cNvPr id="335" name="Group 334">
                      <a:extLst>
                        <a:ext uri="{FF2B5EF4-FFF2-40B4-BE49-F238E27FC236}">
                          <a16:creationId xmlns:a16="http://schemas.microsoft.com/office/drawing/2014/main" id="{00000000-0008-0000-0300-00004F010000}"/>
                        </a:ext>
                      </a:extLst>
                    </xdr:cNvPr>
                    <xdr:cNvGrpSpPr/>
                  </xdr:nvGrpSpPr>
                  <xdr:grpSpPr>
                    <a:xfrm>
                      <a:off x="12966367" y="354195"/>
                      <a:ext cx="4957625" cy="3700237"/>
                      <a:chOff x="12982376" y="353570"/>
                      <a:chExt cx="4979019" cy="3682366"/>
                    </a:xfrm>
                  </xdr:grpSpPr>
                  <xdr:cxnSp macro="">
                    <xdr:nvCxnSpPr>
                      <xdr:cNvPr id="317" name="직선 연결선 32">
                        <a:extLst>
                          <a:ext uri="{FF2B5EF4-FFF2-40B4-BE49-F238E27FC236}">
                            <a16:creationId xmlns:a16="http://schemas.microsoft.com/office/drawing/2014/main" id="{00000000-0008-0000-0300-00003D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4669181" y="1727677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18" name="직선 연결선 37">
                        <a:extLst>
                          <a:ext uri="{FF2B5EF4-FFF2-40B4-BE49-F238E27FC236}">
                            <a16:creationId xmlns:a16="http://schemas.microsoft.com/office/drawing/2014/main" id="{00000000-0008-0000-0300-00003E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5049905" y="1729912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19" name="직선 연결선 38">
                        <a:extLst>
                          <a:ext uri="{FF2B5EF4-FFF2-40B4-BE49-F238E27FC236}">
                            <a16:creationId xmlns:a16="http://schemas.microsoft.com/office/drawing/2014/main" id="{00000000-0008-0000-0300-00003F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5429666" y="1727533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20" name="직선 연결선 39">
                        <a:extLst>
                          <a:ext uri="{FF2B5EF4-FFF2-40B4-BE49-F238E27FC236}">
                            <a16:creationId xmlns:a16="http://schemas.microsoft.com/office/drawing/2014/main" id="{00000000-0008-0000-0300-000040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6148100" y="1732870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21" name="직선 연결선 38">
                        <a:extLst>
                          <a:ext uri="{FF2B5EF4-FFF2-40B4-BE49-F238E27FC236}">
                            <a16:creationId xmlns:a16="http://schemas.microsoft.com/office/drawing/2014/main" id="{00000000-0008-0000-0300-000041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5778502" y="1725727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grpSp>
                    <xdr:nvGrpSpPr>
                      <xdr:cNvPr id="334" name="Group 333">
                        <a:extLst>
                          <a:ext uri="{FF2B5EF4-FFF2-40B4-BE49-F238E27FC236}">
                            <a16:creationId xmlns:a16="http://schemas.microsoft.com/office/drawing/2014/main" id="{00000000-0008-0000-0300-00004E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982376" y="353570"/>
                        <a:ext cx="4979019" cy="3682366"/>
                        <a:chOff x="12957484" y="355088"/>
                        <a:chExt cx="4950374" cy="3709606"/>
                      </a:xfrm>
                    </xdr:grpSpPr>
                    <xdr:grpSp>
                      <xdr:nvGrpSpPr>
                        <xdr:cNvPr id="313" name="Group 312">
                          <a:extLst>
                            <a:ext uri="{FF2B5EF4-FFF2-40B4-BE49-F238E27FC236}">
                              <a16:creationId xmlns:a16="http://schemas.microsoft.com/office/drawing/2014/main" id="{00000000-0008-0000-0300-000039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3101644" y="355088"/>
                          <a:ext cx="4806214" cy="3709606"/>
                          <a:chOff x="13135874" y="362428"/>
                          <a:chExt cx="4824157" cy="3696315"/>
                        </a:xfrm>
                      </xdr:grpSpPr>
                      <xdr:grpSp>
                        <xdr:nvGrpSpPr>
                          <xdr:cNvPr id="226" name="Group 225">
                            <a:extLst>
                              <a:ext uri="{FF2B5EF4-FFF2-40B4-BE49-F238E27FC236}">
                                <a16:creationId xmlns:a16="http://schemas.microsoft.com/office/drawing/2014/main" id="{00000000-0008-0000-0300-0000E2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135874" y="947437"/>
                            <a:ext cx="4824157" cy="3111306"/>
                            <a:chOff x="1268455" y="930558"/>
                            <a:chExt cx="4807814" cy="3114281"/>
                          </a:xfrm>
                        </xdr:grpSpPr>
                        <xdr:grpSp>
                          <xdr:nvGrpSpPr>
                            <xdr:cNvPr id="227" name="Group 226">
                              <a:extLst>
                                <a:ext uri="{FF2B5EF4-FFF2-40B4-BE49-F238E27FC236}">
                                  <a16:creationId xmlns:a16="http://schemas.microsoft.com/office/drawing/2014/main" id="{00000000-0008-0000-0300-0000E3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268455" y="1273164"/>
                              <a:ext cx="4807814" cy="2771675"/>
                              <a:chOff x="1268559" y="1267730"/>
                              <a:chExt cx="4808542" cy="2758736"/>
                            </a:xfrm>
                          </xdr:grpSpPr>
                          <xdr:cxnSp macro="">
                            <xdr:nvCxnSpPr>
                              <xdr:cNvPr id="233" name="Straight Connector 232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9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180205" y="3202101"/>
                                <a:ext cx="0" cy="392832"/>
                              </a:xfrm>
                              <a:prstGeom prst="line">
                                <a:avLst/>
                              </a:prstGeom>
                              <a:ln w="0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234" name="TextBox 233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A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2098903" y="3235778"/>
                                <a:ext cx="395288" cy="226112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Hsb</a:t>
                                </a:r>
                                <a:endParaRPr lang="en-US" sz="900"/>
                              </a:p>
                            </xdr:txBody>
                          </xdr:sp>
                          <xdr:grpSp>
                            <xdr:nvGrpSpPr>
                              <xdr:cNvPr id="240" name="Group 239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F0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268559" y="1267730"/>
                                <a:ext cx="4808542" cy="2758736"/>
                                <a:chOff x="3724407" y="50137041"/>
                                <a:chExt cx="2357388" cy="1411707"/>
                              </a:xfrm>
                            </xdr:grpSpPr>
                            <xdr:grpSp>
                              <xdr:nvGrpSpPr>
                                <xdr:cNvPr id="259" name="Group 25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0301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24407" y="50137041"/>
                                  <a:ext cx="2357388" cy="1411707"/>
                                  <a:chOff x="3810000" y="34064478"/>
                                  <a:chExt cx="2362194" cy="1412278"/>
                                </a:xfrm>
                              </xdr:grpSpPr>
                              <xdr:sp macro="" textlink="">
                                <xdr:nvSpPr>
                                  <xdr:cNvPr id="267" name="Freeform 266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0B01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810000" y="34064478"/>
                                    <a:ext cx="2240756" cy="235744"/>
                                  </a:xfrm>
                                  <a:custGeom>
                                    <a:avLst/>
                                    <a:gdLst>
                                      <a:gd name="connsiteX0" fmla="*/ 0 w 2240756"/>
                                      <a:gd name="connsiteY0" fmla="*/ 0 h 235744"/>
                                      <a:gd name="connsiteX1" fmla="*/ 2240756 w 2240756"/>
                                      <a:gd name="connsiteY1" fmla="*/ 0 h 235744"/>
                                      <a:gd name="connsiteX2" fmla="*/ 2240756 w 2240756"/>
                                      <a:gd name="connsiteY2" fmla="*/ 119063 h 235744"/>
                                      <a:gd name="connsiteX3" fmla="*/ 1969294 w 2240756"/>
                                      <a:gd name="connsiteY3" fmla="*/ 119063 h 235744"/>
                                      <a:gd name="connsiteX4" fmla="*/ 1854994 w 2240756"/>
                                      <a:gd name="connsiteY4" fmla="*/ 233363 h 235744"/>
                                      <a:gd name="connsiteX5" fmla="*/ 1521619 w 2240756"/>
                                      <a:gd name="connsiteY5" fmla="*/ 233363 h 235744"/>
                                      <a:gd name="connsiteX6" fmla="*/ 1409700 w 2240756"/>
                                      <a:gd name="connsiteY6" fmla="*/ 121444 h 235744"/>
                                      <a:gd name="connsiteX7" fmla="*/ 842963 w 2240756"/>
                                      <a:gd name="connsiteY7" fmla="*/ 121444 h 235744"/>
                                      <a:gd name="connsiteX8" fmla="*/ 728663 w 2240756"/>
                                      <a:gd name="connsiteY8" fmla="*/ 235744 h 235744"/>
                                      <a:gd name="connsiteX9" fmla="*/ 385763 w 2240756"/>
                                      <a:gd name="connsiteY9" fmla="*/ 235744 h 235744"/>
                                      <a:gd name="connsiteX10" fmla="*/ 266700 w 2240756"/>
                                      <a:gd name="connsiteY10" fmla="*/ 116681 h 235744"/>
                                      <a:gd name="connsiteX11" fmla="*/ 2381 w 2240756"/>
                                      <a:gd name="connsiteY11" fmla="*/ 116681 h 235744"/>
                                      <a:gd name="connsiteX12" fmla="*/ 0 w 2240756"/>
                                      <a:gd name="connsiteY12" fmla="*/ 0 h 235744"/>
                                      <a:gd name="connsiteX0" fmla="*/ 0 w 2240756"/>
                                      <a:gd name="connsiteY0" fmla="*/ 0 h 235744"/>
                                      <a:gd name="connsiteX1" fmla="*/ 2240756 w 2240756"/>
                                      <a:gd name="connsiteY1" fmla="*/ 0 h 235744"/>
                                      <a:gd name="connsiteX2" fmla="*/ 2240756 w 2240756"/>
                                      <a:gd name="connsiteY2" fmla="*/ 119063 h 235744"/>
                                      <a:gd name="connsiteX3" fmla="*/ 1969294 w 2240756"/>
                                      <a:gd name="connsiteY3" fmla="*/ 119063 h 235744"/>
                                      <a:gd name="connsiteX4" fmla="*/ 1854994 w 2240756"/>
                                      <a:gd name="connsiteY4" fmla="*/ 233363 h 235744"/>
                                      <a:gd name="connsiteX5" fmla="*/ 1521619 w 2240756"/>
                                      <a:gd name="connsiteY5" fmla="*/ 233363 h 235744"/>
                                      <a:gd name="connsiteX6" fmla="*/ 1409700 w 2240756"/>
                                      <a:gd name="connsiteY6" fmla="*/ 121444 h 235744"/>
                                      <a:gd name="connsiteX7" fmla="*/ 860494 w 2240756"/>
                                      <a:gd name="connsiteY7" fmla="*/ 178285 h 235744"/>
                                      <a:gd name="connsiteX8" fmla="*/ 728663 w 2240756"/>
                                      <a:gd name="connsiteY8" fmla="*/ 235744 h 235744"/>
                                      <a:gd name="connsiteX9" fmla="*/ 385763 w 2240756"/>
                                      <a:gd name="connsiteY9" fmla="*/ 235744 h 235744"/>
                                      <a:gd name="connsiteX10" fmla="*/ 266700 w 2240756"/>
                                      <a:gd name="connsiteY10" fmla="*/ 116681 h 235744"/>
                                      <a:gd name="connsiteX11" fmla="*/ 2381 w 2240756"/>
                                      <a:gd name="connsiteY11" fmla="*/ 116681 h 235744"/>
                                      <a:gd name="connsiteX12" fmla="*/ 0 w 2240756"/>
                                      <a:gd name="connsiteY12" fmla="*/ 0 h 235744"/>
                                      <a:gd name="connsiteX0" fmla="*/ 0 w 2240756"/>
                                      <a:gd name="connsiteY0" fmla="*/ 0 h 235744"/>
                                      <a:gd name="connsiteX1" fmla="*/ 2240756 w 2240756"/>
                                      <a:gd name="connsiteY1" fmla="*/ 0 h 235744"/>
                                      <a:gd name="connsiteX2" fmla="*/ 2240756 w 2240756"/>
                                      <a:gd name="connsiteY2" fmla="*/ 119063 h 235744"/>
                                      <a:gd name="connsiteX3" fmla="*/ 1969294 w 2240756"/>
                                      <a:gd name="connsiteY3" fmla="*/ 119063 h 235744"/>
                                      <a:gd name="connsiteX4" fmla="*/ 1854994 w 2240756"/>
                                      <a:gd name="connsiteY4" fmla="*/ 233363 h 235744"/>
                                      <a:gd name="connsiteX5" fmla="*/ 1521619 w 2240756"/>
                                      <a:gd name="connsiteY5" fmla="*/ 233363 h 235744"/>
                                      <a:gd name="connsiteX6" fmla="*/ 1399181 w 2240756"/>
                                      <a:gd name="connsiteY6" fmla="*/ 173448 h 235744"/>
                                      <a:gd name="connsiteX7" fmla="*/ 860494 w 2240756"/>
                                      <a:gd name="connsiteY7" fmla="*/ 178285 h 235744"/>
                                      <a:gd name="connsiteX8" fmla="*/ 728663 w 2240756"/>
                                      <a:gd name="connsiteY8" fmla="*/ 235744 h 235744"/>
                                      <a:gd name="connsiteX9" fmla="*/ 385763 w 2240756"/>
                                      <a:gd name="connsiteY9" fmla="*/ 235744 h 235744"/>
                                      <a:gd name="connsiteX10" fmla="*/ 266700 w 2240756"/>
                                      <a:gd name="connsiteY10" fmla="*/ 116681 h 235744"/>
                                      <a:gd name="connsiteX11" fmla="*/ 2381 w 2240756"/>
                                      <a:gd name="connsiteY11" fmla="*/ 116681 h 235744"/>
                                      <a:gd name="connsiteX12" fmla="*/ 0 w 2240756"/>
                                      <a:gd name="connsiteY12" fmla="*/ 0 h 235744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</a:cxnLst>
                                    <a:rect l="l" t="t" r="r" b="b"/>
                                    <a:pathLst>
                                      <a:path w="2240756" h="235744">
                                        <a:moveTo>
                                          <a:pt x="0" y="0"/>
                                        </a:moveTo>
                                        <a:lnTo>
                                          <a:pt x="2240756" y="0"/>
                                        </a:lnTo>
                                        <a:lnTo>
                                          <a:pt x="2240756" y="119063"/>
                                        </a:lnTo>
                                        <a:lnTo>
                                          <a:pt x="1969294" y="119063"/>
                                        </a:lnTo>
                                        <a:lnTo>
                                          <a:pt x="1854994" y="233363"/>
                                        </a:lnTo>
                                        <a:lnTo>
                                          <a:pt x="1521619" y="233363"/>
                                        </a:lnTo>
                                        <a:lnTo>
                                          <a:pt x="1399181" y="173448"/>
                                        </a:lnTo>
                                        <a:lnTo>
                                          <a:pt x="860494" y="178285"/>
                                        </a:lnTo>
                                        <a:lnTo>
                                          <a:pt x="728663" y="235744"/>
                                        </a:lnTo>
                                        <a:lnTo>
                                          <a:pt x="385763" y="235744"/>
                                        </a:lnTo>
                                        <a:lnTo>
                                          <a:pt x="266700" y="116681"/>
                                        </a:lnTo>
                                        <a:lnTo>
                                          <a:pt x="2381" y="116681"/>
                                        </a:lnTo>
                                        <a:cubicBezTo>
                                          <a:pt x="1587" y="77787"/>
                                          <a:pt x="794" y="38894"/>
                                          <a:pt x="0" y="0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pattFill prst="pct20">
                                    <a:fgClr>
                                      <a:schemeClr val="accent1"/>
                                    </a:fgClr>
                                    <a:bgClr>
                                      <a:schemeClr val="bg1"/>
                                    </a:bgClr>
                                  </a:pattFill>
                                  <a:ln w="15875">
                                    <a:solidFill>
                                      <a:schemeClr val="accent1">
                                        <a:shade val="50000"/>
                                      </a:schemeClr>
                                    </a:solidFill>
                                    <a:prstDash val="solid"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grpSp>
                                <xdr:nvGrpSpPr>
                                  <xdr:cNvPr id="268" name="Group 26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0C01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845725" y="34257144"/>
                                    <a:ext cx="2326469" cy="1219612"/>
                                    <a:chOff x="3888806" y="25827697"/>
                                    <a:chExt cx="2326469" cy="1090971"/>
                                  </a:xfrm>
                                </xdr:grpSpPr>
                                <xdr:sp macro="" textlink="">
                                  <xdr:nvSpPr>
                                    <xdr:cNvPr id="269" name="Freeform 268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0D01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4536281" y="26431875"/>
                                      <a:ext cx="895350" cy="309563"/>
                                    </a:xfrm>
                                    <a:custGeom>
                                      <a:avLst/>
                                      <a:gdLst>
                                        <a:gd name="connsiteX0" fmla="*/ 0 w 895350"/>
                                        <a:gd name="connsiteY0" fmla="*/ 0 h 309563"/>
                                        <a:gd name="connsiteX1" fmla="*/ 895350 w 895350"/>
                                        <a:gd name="connsiteY1" fmla="*/ 0 h 309563"/>
                                        <a:gd name="connsiteX2" fmla="*/ 809625 w 895350"/>
                                        <a:gd name="connsiteY2" fmla="*/ 309563 h 309563"/>
                                        <a:gd name="connsiteX3" fmla="*/ 73819 w 895350"/>
                                        <a:gd name="connsiteY3" fmla="*/ 304800 h 309563"/>
                                        <a:gd name="connsiteX4" fmla="*/ 0 w 895350"/>
                                        <a:gd name="connsiteY4" fmla="*/ 0 h 309563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</a:cxnLst>
                                      <a:rect l="l" t="t" r="r" b="b"/>
                                      <a:pathLst>
                                        <a:path w="895350" h="309563">
                                          <a:moveTo>
                                            <a:pt x="0" y="0"/>
                                          </a:moveTo>
                                          <a:lnTo>
                                            <a:pt x="895350" y="0"/>
                                          </a:lnTo>
                                          <a:lnTo>
                                            <a:pt x="809625" y="309563"/>
                                          </a:lnTo>
                                          <a:lnTo>
                                            <a:pt x="73819" y="304800"/>
                                          </a:lnTo>
                                          <a:lnTo>
                                            <a:pt x="0" y="0"/>
                                          </a:lnTo>
                                          <a:close/>
                                        </a:path>
                                      </a:pathLst>
                                    </a:custGeom>
                                    <a:pattFill prst="pct5">
                                      <a:fgClr>
                                        <a:schemeClr val="accent1">
                                          <a:lumMod val="75000"/>
                                        </a:schemeClr>
                                      </a:fgClr>
                                      <a:bgClr>
                                        <a:schemeClr val="bg1"/>
                                      </a:bgClr>
                                    </a:pattFill>
                                    <a:ln w="15875"/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ko-KR" altLang="en-US" sz="1100"/>
                                    </a:p>
                                  </xdr:txBody>
                                </xdr:sp>
                                <xdr:grpSp>
                                  <xdr:nvGrpSpPr>
                                    <xdr:cNvPr id="270" name="Group 26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0E01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3888806" y="25827697"/>
                                      <a:ext cx="2326469" cy="1090971"/>
                                      <a:chOff x="3888806" y="19731697"/>
                                      <a:chExt cx="2326469" cy="1090971"/>
                                    </a:xfrm>
                                  </xdr:grpSpPr>
                                  <xdr:grpSp>
                                    <xdr:nvGrpSpPr>
                                      <xdr:cNvPr id="273" name="Group 272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11010000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3888806" y="19731697"/>
                                        <a:ext cx="2326469" cy="1090971"/>
                                        <a:chOff x="3784501" y="19541411"/>
                                        <a:chExt cx="2349385" cy="1037985"/>
                                      </a:xfrm>
                                    </xdr:grpSpPr>
                                    <xdr:grpSp>
                                      <xdr:nvGrpSpPr>
                                        <xdr:cNvPr id="277" name="Group 276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5010000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3784501" y="19541411"/>
                                          <a:ext cx="2349385" cy="1037985"/>
                                          <a:chOff x="3784501" y="19541411"/>
                                          <a:chExt cx="2349385" cy="1037985"/>
                                        </a:xfrm>
                                      </xdr:grpSpPr>
                                      <xdr:grpSp>
                                        <xdr:nvGrpSpPr>
                                          <xdr:cNvPr id="281" name="Group 280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1901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3784501" y="19541411"/>
                                            <a:ext cx="2349385" cy="1037985"/>
                                            <a:chOff x="3784501" y="19541411"/>
                                            <a:chExt cx="2349385" cy="1037985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287" name="Group 286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F01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3784501" y="19541411"/>
                                              <a:ext cx="1842089" cy="1037985"/>
                                              <a:chOff x="3784501" y="19541411"/>
                                              <a:chExt cx="1842089" cy="1037985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304" name="그룹 7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3001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4136504" y="19541411"/>
                                                <a:ext cx="1490086" cy="883936"/>
                                                <a:chOff x="2973044" y="377279"/>
                                                <a:chExt cx="1570520" cy="1065008"/>
                                              </a:xfrm>
                                            </xdr:grpSpPr>
                                            <xdr:cxnSp macro="">
                                              <xdr:nvCxnSpPr>
                                                <xdr:cNvPr id="306" name="직선 연결선 3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2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>
                                                  <a:off x="3207515" y="1442287"/>
                                                  <a:ext cx="1111112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905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307" name="직선 연결선 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3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 flipV="1">
                                                  <a:off x="3121216" y="388272"/>
                                                  <a:ext cx="247294" cy="1050604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524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308" name="직선 연결선 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4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V="1">
                                                  <a:off x="4166565" y="399805"/>
                                                  <a:ext cx="227574" cy="103615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524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309" name="직선 연결선 6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5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>
                                                  <a:off x="2973044" y="377279"/>
                                                  <a:ext cx="1570520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905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</xdr:grpSp>
                                          <xdr:cxnSp macro="">
                                            <xdr:nvCxnSpPr>
                                              <xdr:cNvPr id="299" name="Straight Connector 298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2B01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 flipH="1">
                                                <a:off x="3883820" y="20393025"/>
                                                <a:ext cx="433386" cy="0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 w="0">
                                                <a:headEnd type="none"/>
                                                <a:tailEnd type="oval" w="sm" len="sm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cxnSp macro="">
                                            <xdr:nvCxnSpPr>
                                              <xdr:cNvPr id="300" name="Straight Connector 299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2C01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 flipH="1">
                                                <a:off x="3882983" y="20457885"/>
                                                <a:ext cx="434223" cy="0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 w="0">
                                                <a:headEnd type="none"/>
                                                <a:tailEnd type="oval" w="sm" len="sm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sp macro="" textlink="">
                                            <xdr:nvSpPr>
                                              <xdr:cNvPr id="303" name="TextBox 30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2F010000}"/>
                                                  </a:ext>
                                                </a:extLst>
                                              </xdr:cNvPr>
                                              <xdr:cNvSpPr txBox="1"/>
                                            </xdr:nvSpPr>
                                            <xdr:spPr>
                                              <a:xfrm>
                                                <a:off x="3784501" y="20451150"/>
                                                <a:ext cx="304139" cy="128246"/>
                                              </a:xfrm>
                                              <a:prstGeom prst="rect">
                                                <a:avLst/>
                                              </a:prstGeom>
                                              <a:noFill/>
                                              <a:ln w="9525" cmpd="sng">
                                                <a:noFill/>
                                              </a:ln>
                                            </xdr:spPr>
                                            <xdr:style>
                                              <a:lnRef idx="0">
                                                <a:scrgbClr r="0" g="0" b="0"/>
                                              </a:lnRef>
                                              <a:fillRef idx="0">
                                                <a:scrgbClr r="0" g="0" b="0"/>
                                              </a:fillRef>
                                              <a:effectRef idx="0">
                                                <a:scrgbClr r="0" g="0" b="0"/>
                                              </a:effectRef>
                                              <a:fontRef idx="minor">
                                                <a:schemeClr val="dk1"/>
                                              </a:fontRef>
                                            </xdr:style>
                                            <xdr:txBody>
                                              <a:bodyPr vertOverflow="clip" horzOverflow="clip" wrap="square" rtlCol="0" anchor="ctr"/>
                                              <a:lstStyle/>
                                              <a:p>
                                                <a:r>
                                                  <a:rPr lang="en-US" altLang="ko-KR" sz="900"/>
                                                  <a:t>tb, tfc, tc</a:t>
                                                </a:r>
                                                <a:endParaRPr lang="en-US" sz="900"/>
                                              </a:p>
                                            </xdr:txBody>
                                          </xdr:sp>
                                        </xdr:grpSp>
                                        <xdr:cxnSp macro="">
                                          <xdr:nvCxnSpPr>
                                            <xdr:cNvPr id="290" name="Straight Connector 289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2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859106" y="19784627"/>
                                              <a:ext cx="0" cy="612274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91" name="Straight Connector 29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3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462373" y="20387827"/>
                                              <a:ext cx="397605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headEnd type="none"/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92" name="Straight Connector 291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4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579267" y="19780520"/>
                                              <a:ext cx="280898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headEnd type="none"/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294" name="TextBox 293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601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5825697" y="20026496"/>
                                              <a:ext cx="308189" cy="132779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Dcp, Dp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  <xdr:grpSp>
                                        <xdr:nvGrpSpPr>
                                          <xdr:cNvPr id="282" name="Group 281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1A01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4361627" y="20477319"/>
                                            <a:ext cx="1052521" cy="94257"/>
                                            <a:chOff x="4361627" y="20477319"/>
                                            <a:chExt cx="1052521" cy="94257"/>
                                          </a:xfrm>
                                        </xdr:grpSpPr>
                                        <xdr:cxnSp macro="">
                                          <xdr:nvCxnSpPr>
                                            <xdr:cNvPr id="283" name="Straight Connector 282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B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4361627" y="20477319"/>
                                              <a:ext cx="0" cy="94214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84" name="Straight Connector 283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C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4364955" y="20571014"/>
                                              <a:ext cx="1049193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85" name="Straight Connector 284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D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408912" y="20479346"/>
                                              <a:ext cx="0" cy="92178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286" name="TextBox 285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E01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4737342" y="20496070"/>
                                              <a:ext cx="472819" cy="75506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bb, bc, bfc, bbot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</xdr:grpSp>
                                    <xdr:cxnSp macro="">
                                      <xdr:nvCxnSpPr>
                                        <xdr:cNvPr id="278" name="Straight Connector 277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601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H="1">
                                          <a:off x="4117499" y="20113840"/>
                                          <a:ext cx="215052" cy="0"/>
                                        </a:xfrm>
                                        <a:prstGeom prst="line">
                                          <a:avLst/>
                                        </a:prstGeom>
                                        <a:ln w="0">
                                          <a:headEnd type="none"/>
                                          <a:tailEnd type="oval" w="sm" len="sm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279" name="Straight Connector 278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701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>
                                          <a:off x="4116803" y="20118523"/>
                                          <a:ext cx="0" cy="274504"/>
                                        </a:xfrm>
                                        <a:prstGeom prst="line">
                                          <a:avLst/>
                                        </a:prstGeom>
                                        <a:ln w="0">
                                          <a:headEnd type="none"/>
                                          <a:tailEnd type="oval" w="sm" len="sm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280" name="TextBox 279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8010000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4002409" y="20218240"/>
                                          <a:ext cx="186560" cy="98916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9525" cmpd="sng">
                                          <a:noFill/>
                                        </a:ln>
                                      </xdr:spPr>
                                      <xdr:style>
                                        <a:lnRef idx="0">
                                          <a:scrgbClr r="0" g="0" b="0"/>
                                        </a:lnRef>
                                        <a:fillRef idx="0">
                                          <a:scrgbClr r="0" g="0" b="0"/>
                                        </a:fillRef>
                                        <a:effectRef idx="0">
                                          <a:scrgbClr r="0" g="0" b="0"/>
                                        </a:effectRef>
                                        <a:fontRef idx="minor">
                                          <a:schemeClr val="dk1"/>
                                        </a:fontRef>
                                      </xdr:style>
                                      <xdr:txBody>
                                        <a:bodyPr vertOverflow="clip" horzOverflow="clip" wrap="square" rtlCol="0" anchor="ctr"/>
                                        <a:lstStyle/>
                                        <a:p>
                                          <a:r>
                                            <a:rPr lang="en-US" altLang="ko-KR" sz="900"/>
                                            <a:t>Hc</a:t>
                                          </a:r>
                                          <a:endParaRPr lang="en-US" sz="900"/>
                                        </a:p>
                                      </xdr:txBody>
                                    </xdr:sp>
                                  </xdr:grpSp>
                                  <xdr:sp macro="" textlink="">
                                    <xdr:nvSpPr>
                                      <xdr:cNvPr id="272" name="TextBox 27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1001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4490417" y="19898044"/>
                                        <a:ext cx="614136" cy="123788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altLang="ko-KR" sz="900"/>
                                          <a:t>Plastic Neutral axis</a:t>
                                        </a:r>
                                        <a:endParaRPr lang="en-US" sz="900"/>
                                      </a:p>
                                    </xdr:txBody>
                                  </xdr:sp>
                                </xdr:grpSp>
                              </xdr:grpSp>
                            </xdr:grpSp>
                            <xdr:cxnSp macro="">
                              <xdr:nvCxnSpPr>
                                <xdr:cNvPr id="244" name="직선 연결선 32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4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633166" y="51261168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45" name="직선 연결선 3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5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779861" y="51263292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46" name="직선 연결선 3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6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918049" y="51263293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47" name="직선 연결선 3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7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5068462" y="51261167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cxnSp macro="">
                            <xdr:nvCxnSpPr>
                              <xdr:cNvPr id="232" name="Straight Connector 231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8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2182586" y="3470842"/>
                                <a:ext cx="861029" cy="0"/>
                              </a:xfrm>
                              <a:prstGeom prst="line">
                                <a:avLst/>
                              </a:prstGeom>
                              <a:ln w="0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228" name="Straight Connector 227">
                              <a:extLst>
                                <a:ext uri="{FF2B5EF4-FFF2-40B4-BE49-F238E27FC236}">
                                  <a16:creationId xmlns:a16="http://schemas.microsoft.com/office/drawing/2014/main" id="{00000000-0008-0000-0300-0000E4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2047875" y="1126191"/>
                              <a:ext cx="0" cy="128855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29" name="Straight Connector 228">
                              <a:extLst>
                                <a:ext uri="{FF2B5EF4-FFF2-40B4-BE49-F238E27FC236}">
                                  <a16:creationId xmlns:a16="http://schemas.microsoft.com/office/drawing/2014/main" id="{00000000-0008-0000-0300-0000E5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5030508" y="1128994"/>
                              <a:ext cx="0" cy="121329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30" name="Straight Connector 229">
                              <a:extLst>
                                <a:ext uri="{FF2B5EF4-FFF2-40B4-BE49-F238E27FC236}">
                                  <a16:creationId xmlns:a16="http://schemas.microsoft.com/office/drawing/2014/main" id="{00000000-0008-0000-0300-0000E6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2050679" y="1128992"/>
                              <a:ext cx="2988275" cy="0"/>
                            </a:xfrm>
                            <a:prstGeom prst="line">
                              <a:avLst/>
                            </a:prstGeom>
                            <a:ln w="0">
                              <a:headEnd type="none"/>
                              <a:tailEnd type="none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31" name="TextBox 230">
                              <a:extLst>
                                <a:ext uri="{FF2B5EF4-FFF2-40B4-BE49-F238E27FC236}">
                                  <a16:creationId xmlns:a16="http://schemas.microsoft.com/office/drawing/2014/main" id="{00000000-0008-0000-0300-0000E7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3259626" y="930558"/>
                              <a:ext cx="816525" cy="22630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bt,</a:t>
                              </a:r>
                              <a:r>
                                <a:rPr lang="en-US" altLang="ko-KR" sz="900" baseline="0"/>
                                <a:t> bft, btop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12" name="TextBox 311">
                            <a:extLst>
                              <a:ext uri="{FF2B5EF4-FFF2-40B4-BE49-F238E27FC236}">
                                <a16:creationId xmlns:a16="http://schemas.microsoft.com/office/drawing/2014/main" id="{00000000-0008-0000-0300-000038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173159" y="362428"/>
                            <a:ext cx="1006414" cy="27856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1400" b="1"/>
                              <a:t>Negative</a:t>
                            </a:r>
                            <a:endParaRPr lang="en-US" sz="1400" b="1"/>
                          </a:p>
                        </xdr:txBody>
                      </xdr:sp>
                    </xdr:grpSp>
                    <xdr:cxnSp macro="">
                      <xdr:nvCxnSpPr>
                        <xdr:cNvPr id="325" name="Straight Connector 324">
                          <a:extLst>
                            <a:ext uri="{FF2B5EF4-FFF2-40B4-BE49-F238E27FC236}">
                              <a16:creationId xmlns:a16="http://schemas.microsoft.com/office/drawing/2014/main" id="{00000000-0008-0000-0300-000045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3372751" y="1550716"/>
                          <a:ext cx="0" cy="2246268"/>
                        </a:xfrm>
                        <a:prstGeom prst="line">
                          <a:avLst/>
                        </a:prstGeom>
                        <a:ln w="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27" name="Straight Connector 326">
                          <a:extLst>
                            <a:ext uri="{FF2B5EF4-FFF2-40B4-BE49-F238E27FC236}">
                              <a16:creationId xmlns:a16="http://schemas.microsoft.com/office/drawing/2014/main" id="{00000000-0008-0000-0300-000047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3372754" y="1568140"/>
                          <a:ext cx="293298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28" name="Straight Connector 327">
                          <a:extLst>
                            <a:ext uri="{FF2B5EF4-FFF2-40B4-BE49-F238E27FC236}">
                              <a16:creationId xmlns:a16="http://schemas.microsoft.com/office/drawing/2014/main" id="{00000000-0008-0000-0300-000048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3372753" y="1753994"/>
                          <a:ext cx="307819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333" name="TextBox 332">
                          <a:extLst>
                            <a:ext uri="{FF2B5EF4-FFF2-40B4-BE49-F238E27FC236}">
                              <a16:creationId xmlns:a16="http://schemas.microsoft.com/office/drawing/2014/main" id="{00000000-0008-0000-0300-00004D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2957484" y="1530389"/>
                          <a:ext cx="556436" cy="24780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bt,bft</a:t>
                          </a:r>
                          <a:endParaRPr lang="en-US" sz="900"/>
                        </a:p>
                      </xdr:txBody>
                    </xdr:sp>
                  </xdr:grpSp>
                </xdr:grpSp>
                <xdr:cxnSp macro="">
                  <xdr:nvCxnSpPr>
                    <xdr:cNvPr id="473" name="Straight Connector 472">
                      <a:extLst>
                        <a:ext uri="{FF2B5EF4-FFF2-40B4-BE49-F238E27FC236}">
                          <a16:creationId xmlns:a16="http://schemas.microsoft.com/office/drawing/2014/main" id="{00000000-0008-0000-0300-0000D9010000}"/>
                        </a:ext>
                      </a:extLst>
                    </xdr:cNvPr>
                    <xdr:cNvCxnSpPr/>
                  </xdr:nvCxnSpPr>
                  <xdr:spPr>
                    <a:xfrm>
                      <a:off x="13631058" y="2455357"/>
                      <a:ext cx="3405048" cy="0"/>
                    </a:xfrm>
                    <a:prstGeom prst="line">
                      <a:avLst/>
                    </a:prstGeom>
                    <a:ln w="0">
                      <a:solidFill>
                        <a:srgbClr val="C00000"/>
                      </a:solidFill>
                      <a:prstDash val="sys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74" name="TextBox 473">
                      <a:extLst>
                        <a:ext uri="{FF2B5EF4-FFF2-40B4-BE49-F238E27FC236}">
                          <a16:creationId xmlns:a16="http://schemas.microsoft.com/office/drawing/2014/main" id="{00000000-0008-0000-0300-0000DA010000}"/>
                        </a:ext>
                      </a:extLst>
                    </xdr:cNvPr>
                    <xdr:cNvSpPr txBox="1"/>
                  </xdr:nvSpPr>
                  <xdr:spPr>
                    <a:xfrm>
                      <a:off x="14411029" y="2401442"/>
                      <a:ext cx="1252823" cy="27154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Elastic Neutral axis</a:t>
                      </a:r>
                      <a:endParaRPr lang="en-US" sz="900"/>
                    </a:p>
                  </xdr:txBody>
                </xdr:sp>
                <xdr:cxnSp macro="">
                  <xdr:nvCxnSpPr>
                    <xdr:cNvPr id="476" name="Straight Connector 475">
                      <a:extLst>
                        <a:ext uri="{FF2B5EF4-FFF2-40B4-BE49-F238E27FC236}">
                          <a16:creationId xmlns:a16="http://schemas.microsoft.com/office/drawing/2014/main" id="{00000000-0008-0000-0300-0000DC010000}"/>
                        </a:ext>
                      </a:extLst>
                    </xdr:cNvPr>
                    <xdr:cNvCxnSpPr/>
                  </xdr:nvCxnSpPr>
                  <xdr:spPr>
                    <a:xfrm>
                      <a:off x="16629529" y="2454087"/>
                      <a:ext cx="334259" cy="0"/>
                    </a:xfrm>
                    <a:prstGeom prst="line">
                      <a:avLst/>
                    </a:prstGeom>
                    <a:ln w="0">
                      <a:headEnd type="none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79" name="TextBox 478">
                      <a:extLst>
                        <a:ext uri="{FF2B5EF4-FFF2-40B4-BE49-F238E27FC236}">
                          <a16:creationId xmlns:a16="http://schemas.microsoft.com/office/drawing/2014/main" id="{00000000-0008-0000-0300-0000DF010000}"/>
                        </a:ext>
                      </a:extLst>
                    </xdr:cNvPr>
                    <xdr:cNvSpPr txBox="1"/>
                  </xdr:nvSpPr>
                  <xdr:spPr>
                    <a:xfrm>
                      <a:off x="16906875" y="2840692"/>
                      <a:ext cx="363715" cy="30621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Dc</a:t>
                      </a:r>
                      <a:endParaRPr lang="en-US" sz="900"/>
                    </a:p>
                  </xdr:txBody>
                </xdr:sp>
              </xdr:grpSp>
            </xdr:grpSp>
          </xdr:grpSp>
          <xdr:cxnSp macro="">
            <xdr:nvCxnSpPr>
              <xdr:cNvPr id="524" name="Straight Connector 523">
                <a:extLst>
                  <a:ext uri="{FF2B5EF4-FFF2-40B4-BE49-F238E27FC236}">
                    <a16:creationId xmlns:a16="http://schemas.microsoft.com/office/drawing/2014/main" id="{00000000-0008-0000-0300-00000C020000}"/>
                  </a:ext>
                </a:extLst>
              </xdr:cNvPr>
              <xdr:cNvCxnSpPr/>
            </xdr:nvCxnSpPr>
            <xdr:spPr>
              <a:xfrm>
                <a:off x="16099175" y="3118831"/>
                <a:ext cx="215658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5" name="Straight Connector 524">
                <a:extLst>
                  <a:ext uri="{FF2B5EF4-FFF2-40B4-BE49-F238E27FC236}">
                    <a16:creationId xmlns:a16="http://schemas.microsoft.com/office/drawing/2014/main" id="{00000000-0008-0000-0300-00000D020000}"/>
                  </a:ext>
                </a:extLst>
              </xdr:cNvPr>
              <xdr:cNvCxnSpPr/>
            </xdr:nvCxnSpPr>
            <xdr:spPr>
              <a:xfrm>
                <a:off x="16030270" y="3404574"/>
                <a:ext cx="195900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6" name="Straight Connector 525">
                <a:extLst>
                  <a:ext uri="{FF2B5EF4-FFF2-40B4-BE49-F238E27FC236}">
                    <a16:creationId xmlns:a16="http://schemas.microsoft.com/office/drawing/2014/main" id="{00000000-0008-0000-0300-00000E020000}"/>
                  </a:ext>
                </a:extLst>
              </xdr:cNvPr>
              <xdr:cNvCxnSpPr/>
            </xdr:nvCxnSpPr>
            <xdr:spPr>
              <a:xfrm>
                <a:off x="16032906" y="3404680"/>
                <a:ext cx="701708" cy="0"/>
              </a:xfrm>
              <a:prstGeom prst="line">
                <a:avLst/>
              </a:prstGeom>
              <a:ln w="0">
                <a:headEnd type="none"/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8" name="Straight Connector 527">
                <a:extLst>
                  <a:ext uri="{FF2B5EF4-FFF2-40B4-BE49-F238E27FC236}">
                    <a16:creationId xmlns:a16="http://schemas.microsoft.com/office/drawing/2014/main" id="{00000000-0008-0000-0300-000010020000}"/>
                  </a:ext>
                </a:extLst>
              </xdr:cNvPr>
              <xdr:cNvCxnSpPr/>
            </xdr:nvCxnSpPr>
            <xdr:spPr>
              <a:xfrm>
                <a:off x="16734613" y="3407214"/>
                <a:ext cx="0" cy="228730"/>
              </a:xfrm>
              <a:prstGeom prst="line">
                <a:avLst/>
              </a:prstGeom>
              <a:ln w="0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32" name="TextBox 531">
                <a:extLst>
                  <a:ext uri="{FF2B5EF4-FFF2-40B4-BE49-F238E27FC236}">
                    <a16:creationId xmlns:a16="http://schemas.microsoft.com/office/drawing/2014/main" id="{00000000-0008-0000-0300-000014020000}"/>
                  </a:ext>
                </a:extLst>
              </xdr:cNvPr>
              <xdr:cNvSpPr txBox="1"/>
            </xdr:nvSpPr>
            <xdr:spPr>
              <a:xfrm>
                <a:off x="16661149" y="3356550"/>
                <a:ext cx="363800" cy="30861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ds</a:t>
                </a:r>
                <a:endParaRPr lang="en-US" sz="900"/>
              </a:p>
            </xdr:txBody>
          </xdr:sp>
        </xdr:grpSp>
        <xdr:cxnSp macro="">
          <xdr:nvCxnSpPr>
            <xdr:cNvPr id="534" name="Straight Connector 533">
              <a:extLst>
                <a:ext uri="{FF2B5EF4-FFF2-40B4-BE49-F238E27FC236}">
                  <a16:creationId xmlns:a16="http://schemas.microsoft.com/office/drawing/2014/main" id="{00000000-0008-0000-0300-000016020000}"/>
                </a:ext>
              </a:extLst>
            </xdr:cNvPr>
            <xdr:cNvCxnSpPr/>
          </xdr:nvCxnSpPr>
          <xdr:spPr>
            <a:xfrm>
              <a:off x="15652243" y="3448680"/>
              <a:ext cx="215227" cy="0"/>
            </a:xfrm>
            <a:prstGeom prst="line">
              <a:avLst/>
            </a:prstGeom>
            <a:ln w="63500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5" name="Straight Connector 534">
              <a:extLst>
                <a:ext uri="{FF2B5EF4-FFF2-40B4-BE49-F238E27FC236}">
                  <a16:creationId xmlns:a16="http://schemas.microsoft.com/office/drawing/2014/main" id="{00000000-0008-0000-0300-000017020000}"/>
                </a:ext>
              </a:extLst>
            </xdr:cNvPr>
            <xdr:cNvCxnSpPr/>
          </xdr:nvCxnSpPr>
          <xdr:spPr>
            <a:xfrm>
              <a:off x="15722164" y="3748472"/>
              <a:ext cx="195508" cy="0"/>
            </a:xfrm>
            <a:prstGeom prst="line">
              <a:avLst/>
            </a:prstGeom>
            <a:ln w="63500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GrpSpPr/>
        </xdr:nvGrpSpPr>
        <xdr:grpSpPr>
          <a:xfrm>
            <a:off x="6875376" y="3079144"/>
            <a:ext cx="828346" cy="415978"/>
            <a:chOff x="8729991" y="2699635"/>
            <a:chExt cx="827775" cy="414941"/>
          </a:xfrm>
        </xdr:grpSpPr>
        <xdr:cxnSp macro="">
          <xdr:nvCxnSpPr>
            <xdr:cNvPr id="214" name="Straight Connector 213">
              <a:extLst>
                <a:ext uri="{FF2B5EF4-FFF2-40B4-BE49-F238E27FC236}">
                  <a16:creationId xmlns:a16="http://schemas.microsoft.com/office/drawing/2014/main" id="{00000000-0008-0000-0300-0000D6000000}"/>
                </a:ext>
              </a:extLst>
            </xdr:cNvPr>
            <xdr:cNvCxnSpPr/>
          </xdr:nvCxnSpPr>
          <xdr:spPr>
            <a:xfrm flipV="1">
              <a:off x="8983026" y="2884218"/>
              <a:ext cx="0" cy="224739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5" name="Straight Connector 214">
              <a:extLst>
                <a:ext uri="{FF2B5EF4-FFF2-40B4-BE49-F238E27FC236}">
                  <a16:creationId xmlns:a16="http://schemas.microsoft.com/office/drawing/2014/main" id="{00000000-0008-0000-0300-0000D7000000}"/>
                </a:ext>
              </a:extLst>
            </xdr:cNvPr>
            <xdr:cNvCxnSpPr/>
          </xdr:nvCxnSpPr>
          <xdr:spPr>
            <a:xfrm flipV="1">
              <a:off x="8735467" y="2884218"/>
              <a:ext cx="0" cy="224739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Connector 215">
              <a:extLst>
                <a:ext uri="{FF2B5EF4-FFF2-40B4-BE49-F238E27FC236}">
                  <a16:creationId xmlns:a16="http://schemas.microsoft.com/office/drawing/2014/main" id="{00000000-0008-0000-0300-0000D8000000}"/>
                </a:ext>
              </a:extLst>
            </xdr:cNvPr>
            <xdr:cNvCxnSpPr/>
          </xdr:nvCxnSpPr>
          <xdr:spPr>
            <a:xfrm flipV="1">
              <a:off x="9274940" y="2889837"/>
              <a:ext cx="0" cy="224739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1" name="Straight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/>
          </xdr:nvCxnSpPr>
          <xdr:spPr>
            <a:xfrm>
              <a:off x="8732888" y="2881665"/>
              <a:ext cx="544114" cy="0"/>
            </a:xfrm>
            <a:prstGeom prst="line">
              <a:avLst/>
            </a:prstGeom>
            <a:ln w="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2" name="TextBox 221">
              <a:extLst>
                <a:ext uri="{FF2B5EF4-FFF2-40B4-BE49-F238E27FC236}">
                  <a16:creationId xmlns:a16="http://schemas.microsoft.com/office/drawing/2014/main" id="{00000000-0008-0000-0300-0000DE000000}"/>
                </a:ext>
              </a:extLst>
            </xdr:cNvPr>
            <xdr:cNvSpPr txBox="1"/>
          </xdr:nvSpPr>
          <xdr:spPr>
            <a:xfrm>
              <a:off x="8729991" y="2699635"/>
              <a:ext cx="827775" cy="2274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w       w</a:t>
              </a:r>
              <a:endParaRPr lang="en-US" sz="900"/>
            </a:p>
          </xdr:txBody>
        </xdr:sp>
      </xdr:grpSp>
    </xdr:grpSp>
    <xdr:clientData/>
  </xdr:twoCellAnchor>
  <xdr:twoCellAnchor>
    <xdr:from>
      <xdr:col>0</xdr:col>
      <xdr:colOff>0</xdr:colOff>
      <xdr:row>1</xdr:row>
      <xdr:rowOff>115578</xdr:rowOff>
    </xdr:from>
    <xdr:to>
      <xdr:col>2</xdr:col>
      <xdr:colOff>6489534</xdr:colOff>
      <xdr:row>24</xdr:row>
      <xdr:rowOff>99076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0" y="287028"/>
          <a:ext cx="7508709" cy="3926848"/>
          <a:chOff x="0" y="287890"/>
          <a:chExt cx="7509044" cy="3946663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GrpSpPr/>
        </xdr:nvGrpSpPr>
        <xdr:grpSpPr>
          <a:xfrm>
            <a:off x="0" y="287890"/>
            <a:ext cx="7509044" cy="3946663"/>
            <a:chOff x="0" y="287890"/>
            <a:chExt cx="7509044" cy="3946663"/>
          </a:xfrm>
        </xdr:grpSpPr>
        <xdr:grpSp>
          <xdr:nvGrpSpPr>
            <xdr:cNvPr id="515" name="Group 514">
              <a:extLst>
                <a:ext uri="{FF2B5EF4-FFF2-40B4-BE49-F238E27FC236}">
                  <a16:creationId xmlns:a16="http://schemas.microsoft.com/office/drawing/2014/main" id="{00000000-0008-0000-0300-000003020000}"/>
                </a:ext>
              </a:extLst>
            </xdr:cNvPr>
            <xdr:cNvGrpSpPr/>
          </xdr:nvGrpSpPr>
          <xdr:grpSpPr>
            <a:xfrm>
              <a:off x="0" y="287890"/>
              <a:ext cx="7509044" cy="3946663"/>
              <a:chOff x="7839523" y="287221"/>
              <a:chExt cx="7490430" cy="3931553"/>
            </a:xfrm>
          </xdr:grpSpPr>
          <xdr:grpSp>
            <xdr:nvGrpSpPr>
              <xdr:cNvPr id="493" name="Group 492">
                <a:extLst>
                  <a:ext uri="{FF2B5EF4-FFF2-40B4-BE49-F238E27FC236}">
                    <a16:creationId xmlns:a16="http://schemas.microsoft.com/office/drawing/2014/main" id="{00000000-0008-0000-0300-0000ED010000}"/>
                  </a:ext>
                </a:extLst>
              </xdr:cNvPr>
              <xdr:cNvGrpSpPr/>
            </xdr:nvGrpSpPr>
            <xdr:grpSpPr>
              <a:xfrm>
                <a:off x="7839523" y="287221"/>
                <a:ext cx="7490430" cy="3931553"/>
                <a:chOff x="7840319" y="286257"/>
                <a:chExt cx="7499430" cy="3909743"/>
              </a:xfrm>
            </xdr:grpSpPr>
            <xdr:grpSp>
              <xdr:nvGrpSpPr>
                <xdr:cNvPr id="484" name="Group 483">
                  <a:extLst>
                    <a:ext uri="{FF2B5EF4-FFF2-40B4-BE49-F238E27FC236}">
                      <a16:creationId xmlns:a16="http://schemas.microsoft.com/office/drawing/2014/main" id="{00000000-0008-0000-0300-0000E4010000}"/>
                    </a:ext>
                  </a:extLst>
                </xdr:cNvPr>
                <xdr:cNvGrpSpPr/>
              </xdr:nvGrpSpPr>
              <xdr:grpSpPr>
                <a:xfrm>
                  <a:off x="7840319" y="286257"/>
                  <a:ext cx="7499430" cy="3909743"/>
                  <a:chOff x="7840299" y="285916"/>
                  <a:chExt cx="7487554" cy="3902018"/>
                </a:xfrm>
              </xdr:grpSpPr>
              <xdr:sp macro="" textlink="">
                <xdr:nvSpPr>
                  <xdr:cNvPr id="391" name="TextBox 390">
                    <a:extLst>
                      <a:ext uri="{FF2B5EF4-FFF2-40B4-BE49-F238E27FC236}">
                        <a16:creationId xmlns:a16="http://schemas.microsoft.com/office/drawing/2014/main" id="{00000000-0008-0000-0300-000087010000}"/>
                      </a:ext>
                    </a:extLst>
                  </xdr:cNvPr>
                  <xdr:cNvSpPr txBox="1"/>
                </xdr:nvSpPr>
                <xdr:spPr>
                  <a:xfrm>
                    <a:off x="8740513" y="1879420"/>
                    <a:ext cx="359975" cy="36797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Dc</a:t>
                    </a:r>
                    <a:endParaRPr lang="en-US" sz="900"/>
                  </a:p>
                </xdr:txBody>
              </xdr:sp>
              <xdr:grpSp>
                <xdr:nvGrpSpPr>
                  <xdr:cNvPr id="472" name="Group 471">
                    <a:extLst>
                      <a:ext uri="{FF2B5EF4-FFF2-40B4-BE49-F238E27FC236}">
                        <a16:creationId xmlns:a16="http://schemas.microsoft.com/office/drawing/2014/main" id="{00000000-0008-0000-0300-0000D8010000}"/>
                      </a:ext>
                    </a:extLst>
                  </xdr:cNvPr>
                  <xdr:cNvGrpSpPr/>
                </xdr:nvGrpSpPr>
                <xdr:grpSpPr>
                  <a:xfrm>
                    <a:off x="7840299" y="285916"/>
                    <a:ext cx="7487554" cy="3902018"/>
                    <a:chOff x="7841750" y="288078"/>
                    <a:chExt cx="7498685" cy="3950929"/>
                  </a:xfrm>
                </xdr:grpSpPr>
                <xdr:grpSp>
                  <xdr:nvGrpSpPr>
                    <xdr:cNvPr id="401" name="Group 400">
                      <a:extLst>
                        <a:ext uri="{FF2B5EF4-FFF2-40B4-BE49-F238E27FC236}">
                          <a16:creationId xmlns:a16="http://schemas.microsoft.com/office/drawing/2014/main" id="{00000000-0008-0000-0300-000091010000}"/>
                        </a:ext>
                      </a:extLst>
                    </xdr:cNvPr>
                    <xdr:cNvGrpSpPr/>
                  </xdr:nvGrpSpPr>
                  <xdr:grpSpPr>
                    <a:xfrm>
                      <a:off x="7841750" y="288078"/>
                      <a:ext cx="7498685" cy="3950929"/>
                      <a:chOff x="7839328" y="287146"/>
                      <a:chExt cx="7504935" cy="3929856"/>
                    </a:xfrm>
                  </xdr:grpSpPr>
                  <xdr:grpSp>
                    <xdr:nvGrpSpPr>
                      <xdr:cNvPr id="392" name="Group 391">
                        <a:extLst>
                          <a:ext uri="{FF2B5EF4-FFF2-40B4-BE49-F238E27FC236}">
                            <a16:creationId xmlns:a16="http://schemas.microsoft.com/office/drawing/2014/main" id="{00000000-0008-0000-0300-000088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839328" y="287146"/>
                        <a:ext cx="7504935" cy="3929856"/>
                        <a:chOff x="7839328" y="287146"/>
                        <a:chExt cx="7504935" cy="3929856"/>
                      </a:xfrm>
                    </xdr:grpSpPr>
                    <xdr:grpSp>
                      <xdr:nvGrpSpPr>
                        <xdr:cNvPr id="382" name="Group 381">
                          <a:extLst>
                            <a:ext uri="{FF2B5EF4-FFF2-40B4-BE49-F238E27FC236}">
                              <a16:creationId xmlns:a16="http://schemas.microsoft.com/office/drawing/2014/main" id="{00000000-0008-0000-0300-00007E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7839328" y="287146"/>
                          <a:ext cx="7504935" cy="3929856"/>
                          <a:chOff x="7840925" y="287028"/>
                          <a:chExt cx="7495410" cy="3927181"/>
                        </a:xfrm>
                      </xdr:grpSpPr>
                      <xdr:grpSp>
                        <xdr:nvGrpSpPr>
                          <xdr:cNvPr id="352" name="Group 351">
                            <a:extLst>
                              <a:ext uri="{FF2B5EF4-FFF2-40B4-BE49-F238E27FC236}">
                                <a16:creationId xmlns:a16="http://schemas.microsoft.com/office/drawing/2014/main" id="{00000000-0008-0000-0300-000060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7840925" y="287028"/>
                            <a:ext cx="5311286" cy="3927181"/>
                            <a:chOff x="7841848" y="287370"/>
                            <a:chExt cx="5311468" cy="3941360"/>
                          </a:xfrm>
                        </xdr:grpSpPr>
                        <xdr:grpSp>
                          <xdr:nvGrpSpPr>
                            <xdr:cNvPr id="311" name="Group 310">
                              <a:extLst>
                                <a:ext uri="{FF2B5EF4-FFF2-40B4-BE49-F238E27FC236}">
                                  <a16:creationId xmlns:a16="http://schemas.microsoft.com/office/drawing/2014/main" id="{00000000-0008-0000-0300-000037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7841848" y="287370"/>
                              <a:ext cx="5311468" cy="3941360"/>
                              <a:chOff x="7846138" y="295571"/>
                              <a:chExt cx="5327776" cy="3910269"/>
                            </a:xfrm>
                          </xdr:grpSpPr>
                          <xdr:grpSp>
                            <xdr:nvGrpSpPr>
                              <xdr:cNvPr id="225" name="Group 224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1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846138" y="810673"/>
                                <a:ext cx="5327776" cy="3395167"/>
                                <a:chOff x="582069" y="795163"/>
                                <a:chExt cx="5288096" cy="3398311"/>
                              </a:xfrm>
                            </xdr:grpSpPr>
                            <xdr:grpSp>
                              <xdr:nvGrpSpPr>
                                <xdr:cNvPr id="217" name="Group 21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9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582069" y="795163"/>
                                  <a:ext cx="5288096" cy="3398311"/>
                                  <a:chOff x="582069" y="791961"/>
                                  <a:chExt cx="5288897" cy="3382446"/>
                                </a:xfrm>
                              </xdr:grpSpPr>
                              <xdr:cxnSp macro="">
                                <xdr:nvCxnSpPr>
                                  <xdr:cNvPr id="150" name="Straight Connector 149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96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2182586" y="3470842"/>
                                    <a:ext cx="861029" cy="0"/>
                                  </a:xfrm>
                                  <a:prstGeom prst="line">
                                    <a:avLst/>
                                  </a:prstGeom>
                                  <a:ln w="0">
                                    <a:headEnd type="none"/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152" name="Straight Connector 15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98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2180205" y="3202101"/>
                                    <a:ext cx="0" cy="392832"/>
                                  </a:xfrm>
                                  <a:prstGeom prst="line">
                                    <a:avLst/>
                                  </a:prstGeom>
                                  <a:ln w="0">
                                    <a:headEnd type="none"/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sp macro="" textlink="">
                                <xdr:nvSpPr>
                                  <xdr:cNvPr id="154" name="TextBox 153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9A000000}"/>
                                      </a:ext>
                                    </a:extLst>
                                  </xdr:cNvPr>
                                  <xdr:cNvSpPr txBox="1"/>
                                </xdr:nvSpPr>
                                <xdr:spPr>
                                  <a:xfrm>
                                    <a:off x="2098903" y="3235778"/>
                                    <a:ext cx="395288" cy="226112"/>
                                  </a:xfrm>
                                  <a:prstGeom prst="rect">
                                    <a:avLst/>
                                  </a:prstGeom>
                                  <a:noFill/>
                                  <a:ln w="9525" cmpd="sng">
                                    <a:noFill/>
                                  </a:ln>
                                </xdr:spPr>
                                <xdr:style>
                                  <a:lnRef idx="0">
                                    <a:scrgbClr r="0" g="0" b="0"/>
                                  </a:lnRef>
                                  <a:fillRef idx="0">
                                    <a:scrgbClr r="0" g="0" b="0"/>
                                  </a:fillRef>
                                  <a:effectRef idx="0">
                                    <a:scrgbClr r="0" g="0" b="0"/>
                                  </a:effectRef>
                                  <a:fontRef idx="minor">
                                    <a:schemeClr val="dk1"/>
                                  </a:fontRef>
                                </xdr:style>
                                <xdr:txBody>
                                  <a:bodyPr vertOverflow="clip" horzOverflow="clip" wrap="square" rtlCol="0" anchor="ctr"/>
                                  <a:lstStyle/>
                                  <a:p>
                                    <a:r>
                                      <a:rPr lang="en-US" altLang="ko-KR" sz="900"/>
                                      <a:t>Hsb</a:t>
                                    </a:r>
                                    <a:endParaRPr lang="en-US" sz="900"/>
                                  </a:p>
                                </xdr:txBody>
                              </xdr:sp>
                              <xdr:grpSp>
                                <xdr:nvGrpSpPr>
                                  <xdr:cNvPr id="213" name="Group 212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D5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582069" y="791961"/>
                                    <a:ext cx="5288897" cy="3382446"/>
                                    <a:chOff x="582069" y="797404"/>
                                    <a:chExt cx="5287536" cy="3409278"/>
                                  </a:xfrm>
                                </xdr:grpSpPr>
                                <xdr:grpSp>
                                  <xdr:nvGrpSpPr>
                                    <xdr:cNvPr id="146" name="Group 145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9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582069" y="797404"/>
                                      <a:ext cx="5287536" cy="3409278"/>
                                      <a:chOff x="1154786" y="1000928"/>
                                      <a:chExt cx="5289624" cy="3377403"/>
                                    </a:xfrm>
                                  </xdr:grpSpPr>
                                  <xdr:grpSp>
                                    <xdr:nvGrpSpPr>
                                      <xdr:cNvPr id="65" name="Group 6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41000000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1154786" y="1000928"/>
                                        <a:ext cx="5289624" cy="3377403"/>
                                        <a:chOff x="3387857" y="49893555"/>
                                        <a:chExt cx="2592883" cy="1730872"/>
                                      </a:xfrm>
                                    </xdr:grpSpPr>
                                    <xdr:grpSp>
                                      <xdr:nvGrpSpPr>
                                        <xdr:cNvPr id="66" name="Group 65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2000000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3387857" y="49893555"/>
                                          <a:ext cx="2592883" cy="1730872"/>
                                          <a:chOff x="3387857" y="49893555"/>
                                          <a:chExt cx="2592883" cy="1730872"/>
                                        </a:xfrm>
                                      </xdr:grpSpPr>
                                      <xdr:grpSp>
                                        <xdr:nvGrpSpPr>
                                          <xdr:cNvPr id="71" name="Group 70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4700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3387857" y="49893555"/>
                                            <a:ext cx="2592883" cy="1730872"/>
                                            <a:chOff x="3319822" y="48543048"/>
                                            <a:chExt cx="2592883" cy="1730872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77" name="Group 76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D00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3319822" y="48775146"/>
                                              <a:ext cx="2572749" cy="1498774"/>
                                              <a:chOff x="3319822" y="48775146"/>
                                              <a:chExt cx="2572749" cy="1498774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82" name="Group 81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52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3646351" y="48786574"/>
                                                <a:ext cx="2246220" cy="1487346"/>
                                                <a:chOff x="3799957" y="34064478"/>
                                                <a:chExt cx="2250799" cy="1487946"/>
                                              </a:xfrm>
                                            </xdr:grpSpPr>
                                            <xdr:sp macro="" textlink="">
                                              <xdr:nvSpPr>
                                                <xdr:cNvPr id="90" name="Freeform 89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A000000}"/>
                                                    </a:ext>
                                                  </a:extLst>
                                                </xdr:cNvPr>
                                                <xdr:cNvSpPr/>
                                              </xdr:nvSpPr>
                                              <xdr:spPr>
                                                <a:xfrm>
                                                  <a:off x="3810000" y="34064478"/>
                                                  <a:ext cx="2240756" cy="235744"/>
                                                </a:xfrm>
                                                <a:custGeom>
                                                  <a:avLst/>
                                                  <a:gdLst>
                                                    <a:gd name="connsiteX0" fmla="*/ 0 w 2240756"/>
                                                    <a:gd name="connsiteY0" fmla="*/ 0 h 235744"/>
                                                    <a:gd name="connsiteX1" fmla="*/ 2240756 w 2240756"/>
                                                    <a:gd name="connsiteY1" fmla="*/ 0 h 235744"/>
                                                    <a:gd name="connsiteX2" fmla="*/ 2240756 w 2240756"/>
                                                    <a:gd name="connsiteY2" fmla="*/ 119063 h 235744"/>
                                                    <a:gd name="connsiteX3" fmla="*/ 1969294 w 2240756"/>
                                                    <a:gd name="connsiteY3" fmla="*/ 119063 h 235744"/>
                                                    <a:gd name="connsiteX4" fmla="*/ 1854994 w 2240756"/>
                                                    <a:gd name="connsiteY4" fmla="*/ 233363 h 235744"/>
                                                    <a:gd name="connsiteX5" fmla="*/ 1521619 w 2240756"/>
                                                    <a:gd name="connsiteY5" fmla="*/ 233363 h 235744"/>
                                                    <a:gd name="connsiteX6" fmla="*/ 1409700 w 2240756"/>
                                                    <a:gd name="connsiteY6" fmla="*/ 121444 h 235744"/>
                                                    <a:gd name="connsiteX7" fmla="*/ 842963 w 2240756"/>
                                                    <a:gd name="connsiteY7" fmla="*/ 121444 h 235744"/>
                                                    <a:gd name="connsiteX8" fmla="*/ 728663 w 2240756"/>
                                                    <a:gd name="connsiteY8" fmla="*/ 235744 h 235744"/>
                                                    <a:gd name="connsiteX9" fmla="*/ 385763 w 2240756"/>
                                                    <a:gd name="connsiteY9" fmla="*/ 235744 h 235744"/>
                                                    <a:gd name="connsiteX10" fmla="*/ 266700 w 2240756"/>
                                                    <a:gd name="connsiteY10" fmla="*/ 116681 h 235744"/>
                                                    <a:gd name="connsiteX11" fmla="*/ 2381 w 2240756"/>
                                                    <a:gd name="connsiteY11" fmla="*/ 116681 h 235744"/>
                                                    <a:gd name="connsiteX12" fmla="*/ 0 w 2240756"/>
                                                    <a:gd name="connsiteY12" fmla="*/ 0 h 235744"/>
                                                  </a:gdLst>
                                                  <a:ahLst/>
                                                  <a:cxnLst>
                                                    <a:cxn ang="0">
                                                      <a:pos x="connsiteX0" y="connsiteY0"/>
                                                    </a:cxn>
                                                    <a:cxn ang="0">
                                                      <a:pos x="connsiteX1" y="connsiteY1"/>
                                                    </a:cxn>
                                                    <a:cxn ang="0">
                                                      <a:pos x="connsiteX2" y="connsiteY2"/>
                                                    </a:cxn>
                                                    <a:cxn ang="0">
                                                      <a:pos x="connsiteX3" y="connsiteY3"/>
                                                    </a:cxn>
                                                    <a:cxn ang="0">
                                                      <a:pos x="connsiteX4" y="connsiteY4"/>
                                                    </a:cxn>
                                                    <a:cxn ang="0">
                                                      <a:pos x="connsiteX5" y="connsiteY5"/>
                                                    </a:cxn>
                                                    <a:cxn ang="0">
                                                      <a:pos x="connsiteX6" y="connsiteY6"/>
                                                    </a:cxn>
                                                    <a:cxn ang="0">
                                                      <a:pos x="connsiteX7" y="connsiteY7"/>
                                                    </a:cxn>
                                                    <a:cxn ang="0">
                                                      <a:pos x="connsiteX8" y="connsiteY8"/>
                                                    </a:cxn>
                                                    <a:cxn ang="0">
                                                      <a:pos x="connsiteX9" y="connsiteY9"/>
                                                    </a:cxn>
                                                    <a:cxn ang="0">
                                                      <a:pos x="connsiteX10" y="connsiteY10"/>
                                                    </a:cxn>
                                                    <a:cxn ang="0">
                                                      <a:pos x="connsiteX11" y="connsiteY11"/>
                                                    </a:cxn>
                                                    <a:cxn ang="0">
                                                      <a:pos x="connsiteX12" y="connsiteY12"/>
                                                    </a:cxn>
                                                  </a:cxnLst>
                                                  <a:rect l="l" t="t" r="r" b="b"/>
                                                  <a:pathLst>
                                                    <a:path w="2240756" h="235744">
                                                      <a:moveTo>
                                                        <a:pt x="0" y="0"/>
                                                      </a:moveTo>
                                                      <a:lnTo>
                                                        <a:pt x="2240756" y="0"/>
                                                      </a:lnTo>
                                                      <a:lnTo>
                                                        <a:pt x="2240756" y="119063"/>
                                                      </a:lnTo>
                                                      <a:lnTo>
                                                        <a:pt x="1969294" y="119063"/>
                                                      </a:lnTo>
                                                      <a:lnTo>
                                                        <a:pt x="1854994" y="233363"/>
                                                      </a:lnTo>
                                                      <a:lnTo>
                                                        <a:pt x="1521619" y="233363"/>
                                                      </a:lnTo>
                                                      <a:lnTo>
                                                        <a:pt x="1409700" y="121444"/>
                                                      </a:lnTo>
                                                      <a:lnTo>
                                                        <a:pt x="842963" y="121444"/>
                                                      </a:lnTo>
                                                      <a:lnTo>
                                                        <a:pt x="728663" y="235744"/>
                                                      </a:lnTo>
                                                      <a:lnTo>
                                                        <a:pt x="385763" y="235744"/>
                                                      </a:lnTo>
                                                      <a:lnTo>
                                                        <a:pt x="266700" y="116681"/>
                                                      </a:lnTo>
                                                      <a:lnTo>
                                                        <a:pt x="2381" y="116681"/>
                                                      </a:lnTo>
                                                      <a:cubicBezTo>
                                                        <a:pt x="1587" y="77787"/>
                                                        <a:pt x="794" y="38894"/>
                                                        <a:pt x="0" y="0"/>
                                                      </a:cubicBezTo>
                                                      <a:close/>
                                                    </a:path>
                                                  </a:pathLst>
                                                </a:custGeom>
                                                <a:pattFill prst="pct20">
                                                  <a:fgClr>
                                                    <a:schemeClr val="accent1"/>
                                                  </a:fgClr>
                                                  <a:bgClr>
                                                    <a:schemeClr val="bg1"/>
                                                  </a:bgClr>
                                                </a:pattFill>
                                                <a:ln w="15875">
                                                  <a:solidFill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solidFill>
                                                  <a:prstDash val="solid"/>
                                                </a:ln>
                                              </xdr:spPr>
                                              <xdr:style>
                                                <a:lnRef idx="2">
                                                  <a:schemeClr val="accent1">
                                                    <a:shade val="50000"/>
                                                  </a:schemeClr>
                                                </a:lnRef>
                                                <a:fillRef idx="1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lt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rtlCol="0" anchor="t"/>
                                                <a:lstStyle/>
                                                <a:p>
                                                  <a:pPr algn="l"/>
                                                  <a:endParaRPr lang="ko-KR" altLang="en-US" sz="1100"/>
                                                </a:p>
                                              </xdr:txBody>
                                            </xdr:sp>
                                            <xdr:grpSp>
                                              <xdr:nvGrpSpPr>
                                                <xdr:cNvPr id="93" name="Group 92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D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3799957" y="34200328"/>
                                                  <a:ext cx="2118100" cy="1352096"/>
                                                  <a:chOff x="3843038" y="19680868"/>
                                                  <a:chExt cx="2118100" cy="1209481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94" name="Group 9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300-00005E000000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3843038" y="19680868"/>
                                                    <a:ext cx="2118100" cy="1209481"/>
                                                    <a:chOff x="3843038" y="19680868"/>
                                                    <a:chExt cx="2118100" cy="1209481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100" name="Group 99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4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3843038" y="19680868"/>
                                                      <a:ext cx="2118100" cy="1209481"/>
                                                      <a:chOff x="3738283" y="19493084"/>
                                                      <a:chExt cx="2138964" cy="1150741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104" name="Group 103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300-000068000000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3738283" y="19493084"/>
                                                        <a:ext cx="2138964" cy="1056478"/>
                                                        <a:chOff x="3738283" y="19493084"/>
                                                        <a:chExt cx="2138964" cy="1056478"/>
                                                      </a:xfrm>
                                                    </xdr:grpSpPr>
                                                    <xdr:grpSp>
                                                      <xdr:nvGrpSpPr>
                                                        <xdr:cNvPr id="110" name="Group 109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E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3738283" y="19493084"/>
                                                          <a:ext cx="1887983" cy="1056478"/>
                                                          <a:chOff x="3738283" y="19493084"/>
                                                          <a:chExt cx="1887983" cy="1056478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118" name="그룹 30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6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4135323" y="19543267"/>
                                                            <a:ext cx="1490943" cy="882081"/>
                                                            <a:chOff x="4444381" y="313952"/>
                                                            <a:chExt cx="1570114" cy="1069110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127" name="그룹 7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300-00007F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4444381" y="315446"/>
                                                              <a:ext cx="1421154" cy="1067616"/>
                                                              <a:chOff x="2971800" y="381000"/>
                                                              <a:chExt cx="1422339" cy="1061287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129" name="직선 연결선 3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1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3207515" y="1442287"/>
                                                                <a:ext cx="1111112" cy="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905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130" name="직선 연결선 4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2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H="1" flipV="1">
                                                                <a:off x="3121216" y="388272"/>
                                                                <a:ext cx="247294" cy="1050604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524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131" name="직선 연결선 5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3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V="1">
                                                                <a:off x="4166565" y="399805"/>
                                                                <a:ext cx="227574" cy="103615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524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132" name="직선 연결선 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4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2971800" y="381000"/>
                                                                <a:ext cx="363653" cy="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905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</xdr:grpSp>
                                                        <xdr:cxnSp macro="">
                                                          <xdr:nvCxnSpPr>
                                                            <xdr:cNvPr id="128" name="직선 연결선 29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300-000080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5651145" y="313952"/>
                                                              <a:ext cx="363350" cy="0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 w="190500">
                                                              <a:solidFill>
                                                                <a:schemeClr val="accent6">
                                                                  <a:lumMod val="75000"/>
                                                                </a:schemeClr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</xdr:grpSp>
                                                      <xdr:cxnSp macro="">
                                                        <xdr:nvCxnSpPr>
                                                          <xdr:cNvPr id="119" name="Straight Connector 118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7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738283" y="19509581"/>
                                                            <a:ext cx="316987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0" name="Straight Connector 119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8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>
                                                            <a:off x="3883819" y="19511963"/>
                                                            <a:ext cx="0" cy="946034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oval" w="sm" len="sm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1" name="Straight Connector 120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9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883818" y="19584399"/>
                                                            <a:ext cx="171451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2" name="Straight Connector 12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A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883820" y="20393025"/>
                                                            <a:ext cx="433386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3" name="Straight Connector 122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B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738284" y="20457885"/>
                                                            <a:ext cx="578921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sp macro="" textlink="">
                                                        <xdr:nvSpPr>
                                                          <xdr:cNvPr id="124" name="TextBox 123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C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3780449" y="19493084"/>
                                                            <a:ext cx="332077" cy="105773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altLang="ko-KR" sz="900"/>
                                                              <a:t>tt, tc, tfc</a:t>
                                                            </a:r>
                                                            <a:endParaRPr lang="en-US" sz="900"/>
                                                          </a:p>
                                                        </xdr:txBody>
                                                      </xdr:sp>
                                                      <xdr:sp macro="" textlink="">
                                                        <xdr:nvSpPr>
                                                          <xdr:cNvPr id="125" name="TextBox 124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D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3758472" y="19900156"/>
                                                            <a:ext cx="177601" cy="159991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altLang="ko-KR" sz="900"/>
                                                              <a:t>Dw</a:t>
                                                            </a:r>
                                                            <a:endParaRPr lang="en-US" sz="900"/>
                                                          </a:p>
                                                        </xdr:txBody>
                                                      </xdr:sp>
                                                      <xdr:sp macro="" textlink="">
                                                        <xdr:nvSpPr>
                                                          <xdr:cNvPr id="126" name="TextBox 125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E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3798874" y="20448467"/>
                                                            <a:ext cx="353463" cy="101095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altLang="ko-KR" sz="900"/>
                                                              <a:t>tb,tft, tt</a:t>
                                                            </a:r>
                                                            <a:endParaRPr lang="en-US" sz="900"/>
                                                          </a:p>
                                                        </xdr:txBody>
                                                      </xdr:sp>
                                                    </xdr:grpSp>
                                                    <xdr:cxnSp macro="">
                                                      <xdr:nvCxnSpPr>
                                                        <xdr:cNvPr id="111" name="Straight Connector 110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F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4195763" y="19885819"/>
                                                          <a:ext cx="1681484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>
                                                          <a:solidFill>
                                                            <a:srgbClr val="C0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</xdr:grpSp>
                                                  <xdr:grpSp>
                                                    <xdr:nvGrpSpPr>
                                                      <xdr:cNvPr id="105" name="Group 10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300-000069000000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4359267" y="20523636"/>
                                                        <a:ext cx="1052521" cy="120189"/>
                                                        <a:chOff x="4359267" y="20523636"/>
                                                        <a:chExt cx="1052521" cy="120189"/>
                                                      </a:xfrm>
                                                    </xdr:grpSpPr>
                                                    <xdr:cxnSp macro="">
                                                      <xdr:nvCxnSpPr>
                                                        <xdr:cNvPr id="106" name="Straight Connector 105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A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4359267" y="20523636"/>
                                                          <a:ext cx="0" cy="94214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>
                                                          <a:tailEnd type="oval" w="sm" len="sm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107" name="Straight Connector 106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B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4362595" y="20617331"/>
                                                          <a:ext cx="1049193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/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108" name="Straight Connector 107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C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5406552" y="20525663"/>
                                                          <a:ext cx="0" cy="92178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>
                                                          <a:tailEnd type="oval" w="sm" len="sm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sp macro="" textlink="">
                                                      <xdr:nvSpPr>
                                                        <xdr:cNvPr id="109" name="TextBox 108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D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 txBox="1"/>
                                                      </xdr:nvSpPr>
                                                      <xdr:spPr>
                                                        <a:xfrm>
                                                          <a:off x="4701618" y="20531781"/>
                                                          <a:ext cx="522275" cy="112044"/>
                                                        </a:xfrm>
                                                        <a:prstGeom prst="rect">
                                                          <a:avLst/>
                                                        </a:prstGeom>
                                                        <a:noFill/>
                                                        <a:ln w="9525" cmpd="sng">
                                                          <a:noFill/>
                                                        </a:ln>
                                                      </xdr:spPr>
                                                      <xdr:style>
                                                        <a:lnRef idx="0">
                                                          <a:scrgbClr r="0" g="0" b="0"/>
                                                        </a:lnRef>
                                                        <a:fillRef idx="0">
                                                          <a:scrgbClr r="0" g="0" b="0"/>
                                                        </a:fillRef>
                                                        <a:effectRef idx="0">
                                                          <a:scrgbClr r="0" g="0" b="0"/>
                                                        </a:effectRef>
                                                        <a:fontRef idx="minor">
                                                          <a:schemeClr val="dk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wrap="square" rtlCol="0" anchor="ctr"/>
                                                        <a:lstStyle/>
                                                        <a:p>
                                                          <a:r>
                                                            <a:rPr lang="en-US" altLang="ko-KR" sz="900"/>
                                                            <a:t>bb, bt, bft, bbot</a:t>
                                                          </a:r>
                                                          <a:endParaRPr lang="en-US" sz="900"/>
                                                        </a:p>
                                                      </xdr:txBody>
                                                    </xdr:sp>
                                                  </xdr:grpSp>
                                                </xdr:grpSp>
                                                <xdr:sp macro="" textlink="">
                                                  <xdr:nvSpPr>
                                                    <xdr:cNvPr id="97" name="Isosceles Triangle 9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1000000}"/>
                                                        </a:ext>
                                                      </a:extLst>
                                                    </xdr:cNvPr>
                                                    <xdr:cNvSpPr/>
                                                  </xdr:nvSpPr>
                                                  <xdr:spPr>
                                                    <a:xfrm flipH="1">
                                                      <a:off x="4412471" y="20158783"/>
                                                      <a:ext cx="80965" cy="314326"/>
                                                    </a:xfrm>
                                                    <a:prstGeom prst="triangle">
                                                      <a:avLst>
                                                        <a:gd name="adj" fmla="val 100000"/>
                                                      </a:avLst>
                                                    </a:prstGeom>
                                                    <a:noFill/>
                                                    <a:ln w="9525">
                                                      <a:solidFill>
                                                        <a:srgbClr val="C00000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2">
                                                      <a:schemeClr val="accent1">
                                                        <a:shade val="50000"/>
                                                      </a:schemeClr>
                                                    </a:lnRef>
                                                    <a:fillRef idx="1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lt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rtlCol="0" anchor="t"/>
                                                    <a:lstStyle/>
                                                    <a:p>
                                                      <a:pPr algn="l"/>
                                                      <a:endParaRPr lang="ko-KR" altLang="en-US" sz="1100"/>
                                                    </a:p>
                                                  </xdr:txBody>
                                                </xdr:sp>
                                                <xdr:sp macro="" textlink="">
                                                  <xdr:nvSpPr>
                                                    <xdr:cNvPr id="98" name="TextBox 97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2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4327731" y="20276484"/>
                                                      <a:ext cx="144922" cy="113740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altLang="ko-KR" sz="900"/>
                                                        <a:t>1</a:t>
                                                      </a:r>
                                                      <a:endParaRPr lang="en-US" sz="900"/>
                                                    </a:p>
                                                  </xdr:txBody>
                                                </xdr:sp>
                                                <xdr:sp macro="" textlink="">
                                                  <xdr:nvSpPr>
                                                    <xdr:cNvPr id="99" name="TextBox 98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3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4390177" y="20360468"/>
                                                      <a:ext cx="117409" cy="156393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altLang="ko-KR" sz="900"/>
                                                        <a:t>S</a:t>
                                                      </a:r>
                                                      <a:endParaRPr lang="en-US" sz="900"/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  <xdr:sp macro="" textlink="">
                                                <xdr:nvSpPr>
                                                  <xdr:cNvPr id="95" name="TextBox 9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300-00005F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4499543" y="20066815"/>
                                                    <a:ext cx="613099" cy="123788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altLang="ko-KR" sz="900"/>
                                                      <a:t>Elastic Neutral axis</a:t>
                                                    </a:r>
                                                    <a:endParaRPr lang="en-US" sz="9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  <xdr:grpSp>
                                            <xdr:nvGrpSpPr>
                                              <xdr:cNvPr id="83" name="Group 8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53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3319822" y="48783819"/>
                                                <a:ext cx="196694" cy="239325"/>
                                                <a:chOff x="3088840" y="48729051"/>
                                                <a:chExt cx="196694" cy="239325"/>
                                              </a:xfrm>
                                            </xdr:grpSpPr>
                                            <xdr:cxnSp macro="">
                                              <xdr:nvCxnSpPr>
                                                <xdr:cNvPr id="85" name="Straight Connector 8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500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>
                                                  <a:off x="3195028" y="48732763"/>
                                                  <a:ext cx="90506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0">
                                                  <a:headEnd type="none"/>
                                                  <a:tailEnd type="oval" w="sm" len="sm"/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86" name="Straight Connector 8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600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>
                                                  <a:off x="3193806" y="48846908"/>
                                                  <a:ext cx="89314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0">
                                                  <a:headEnd type="none"/>
                                                  <a:tailEnd type="oval" w="sm" len="sm"/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87" name="Straight Connector 86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700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>
                                                  <a:off x="3195028" y="48968376"/>
                                                  <a:ext cx="82545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0">
                                                  <a:headEnd type="none"/>
                                                  <a:tailEnd type="oval" w="sm" len="sm"/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sp macro="" textlink="">
                                              <xdr:nvSpPr>
                                                <xdr:cNvPr id="88" name="TextBox 87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8000000}"/>
                                                    </a:ext>
                                                  </a:extLst>
                                                </xdr:cNvPr>
                                                <xdr:cNvSpPr txBox="1"/>
                                              </xdr:nvSpPr>
                                              <xdr:spPr>
                                                <a:xfrm>
                                                  <a:off x="3092513" y="48729051"/>
                                                  <a:ext cx="134299" cy="103528"/>
                                                </a:xfrm>
                                                <a:prstGeom prst="rect">
                                                  <a:avLst/>
                                                </a:prstGeom>
                                                <a:noFill/>
                                                <a:ln w="9525" cmpd="sng">
                                                  <a:noFill/>
                                                </a:ln>
                                              </xdr:spPr>
                                              <xdr:style>
                                                <a:lnRef idx="0">
                                                  <a:scrgbClr r="0" g="0" b="0"/>
                                                </a:lnRef>
                                                <a:fillRef idx="0">
                                                  <a:scrgbClr r="0" g="0" b="0"/>
                                                </a:fillRef>
                                                <a:effectRef idx="0">
                                                  <a:scrgbClr r="0" g="0" b="0"/>
                                                </a:effectRef>
                                                <a:fontRef idx="minor">
                                                  <a:schemeClr val="dk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wrap="square" rtlCol="0" anchor="ctr"/>
                                                <a:lstStyle/>
                                                <a:p>
                                                  <a:r>
                                                    <a:rPr lang="en-US" altLang="ko-KR" sz="900"/>
                                                    <a:t>ts</a:t>
                                                  </a:r>
                                                  <a:endParaRPr lang="en-US" sz="900"/>
                                                </a:p>
                                              </xdr:txBody>
                                            </xdr:sp>
                                            <xdr:sp macro="" textlink="">
                                              <xdr:nvSpPr>
                                                <xdr:cNvPr id="89" name="TextBox 88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9000000}"/>
                                                    </a:ext>
                                                  </a:extLst>
                                                </xdr:cNvPr>
                                                <xdr:cNvSpPr txBox="1"/>
                                              </xdr:nvSpPr>
                                              <xdr:spPr>
                                                <a:xfrm>
                                                  <a:off x="3088840" y="48845868"/>
                                                  <a:ext cx="146528" cy="119291"/>
                                                </a:xfrm>
                                                <a:prstGeom prst="rect">
                                                  <a:avLst/>
                                                </a:prstGeom>
                                                <a:noFill/>
                                                <a:ln w="9525" cmpd="sng">
                                                  <a:noFill/>
                                                </a:ln>
                                              </xdr:spPr>
                                              <xdr:style>
                                                <a:lnRef idx="0">
                                                  <a:scrgbClr r="0" g="0" b="0"/>
                                                </a:lnRef>
                                                <a:fillRef idx="0">
                                                  <a:scrgbClr r="0" g="0" b="0"/>
                                                </a:fillRef>
                                                <a:effectRef idx="0">
                                                  <a:scrgbClr r="0" g="0" b="0"/>
                                                </a:effectRef>
                                                <a:fontRef idx="minor">
                                                  <a:schemeClr val="dk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wrap="square" rtlCol="0" anchor="ctr"/>
                                                <a:lstStyle/>
                                                <a:p>
                                                  <a:r>
                                                    <a:rPr lang="en-US" altLang="ko-KR" sz="900"/>
                                                    <a:t>th</a:t>
                                                  </a:r>
                                                  <a:endParaRPr lang="en-US" sz="900"/>
                                                </a:p>
                                              </xdr:txBody>
                                            </xdr:sp>
                                          </xdr:grpSp>
                                          <xdr:cxnSp macro="">
                                            <xdr:nvCxnSpPr>
                                              <xdr:cNvPr id="84" name="Straight Connector 83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5400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>
                                                <a:off x="3425241" y="48775146"/>
                                                <a:ext cx="0" cy="254794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 w="0"/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</xdr:grpSp>
                                        <xdr:cxnSp macro="">
                                          <xdr:nvCxnSpPr>
                                            <xdr:cNvPr id="78" name="Straight Connector 77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E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 flipV="1">
                                              <a:off x="3648074" y="48641554"/>
                                              <a:ext cx="0" cy="10701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79" name="Straight Connector 78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F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3640931" y="48641553"/>
                                              <a:ext cx="2271774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80" name="Straight Connector 79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50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 flipV="1">
                                              <a:off x="5898419" y="48641554"/>
                                              <a:ext cx="0" cy="10701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81" name="TextBox 8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5100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4681456" y="48543048"/>
                                              <a:ext cx="301223" cy="125884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bs, beff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  <xdr:grpSp>
                                        <xdr:nvGrpSpPr>
                                          <xdr:cNvPr id="72" name="Group 71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4800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5102619" y="50299143"/>
                                            <a:ext cx="198120" cy="190679"/>
                                            <a:chOff x="5195488" y="50368200"/>
                                            <a:chExt cx="198120" cy="190679"/>
                                          </a:xfrm>
                                        </xdr:grpSpPr>
                                        <xdr:cxnSp macro="">
                                          <xdr:nvCxnSpPr>
                                            <xdr:cNvPr id="73" name="Straight Connector 72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9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211514" y="50368200"/>
                                              <a:ext cx="0" cy="15780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74" name="Straight Connector 73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A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332180" y="50451522"/>
                                              <a:ext cx="0" cy="74478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75" name="Straight Connector 74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B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215906" y="50524960"/>
                                              <a:ext cx="125928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76" name="TextBox 75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C00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5195488" y="50416885"/>
                                              <a:ext cx="198120" cy="141994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bh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</xdr:grpSp>
                                    <xdr:cxnSp macro="">
                                      <xdr:nvCxnSpPr>
                                        <xdr:cNvPr id="67" name="직선 연결선 32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3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4622005" y="51261168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68" name="직선 연결선 37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4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4762498" y="51263292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69" name="직선 연결선 38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5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4900687" y="51263293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70" name="직선 연결선 39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6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5057300" y="51261167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</xdr:grpSp>
                                  <xdr:cxnSp macro="">
                                    <xdr:nvCxnSpPr>
                                      <xdr:cNvPr id="140" name="Straight Connector 139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8C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1823017" y="1772330"/>
                                        <a:ext cx="0" cy="2187349"/>
                                      </a:xfrm>
                                      <a:prstGeom prst="line">
                                        <a:avLst/>
                                      </a:prstGeom>
                                      <a:ln w="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sp macro="" textlink="">
                                    <xdr:nvSpPr>
                                      <xdr:cNvPr id="145" name="TextBox 14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91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1595097" y="2678906"/>
                                        <a:ext cx="358074" cy="367009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altLang="ko-KR" sz="900"/>
                                          <a:t>Dt</a:t>
                                        </a:r>
                                        <a:endParaRPr lang="en-US" sz="900"/>
                                      </a:p>
                                    </xdr:txBody>
                                  </xdr:sp>
                                </xdr:grpSp>
                                <xdr:cxnSp macro="">
                                  <xdr:nvCxnSpPr>
                                    <xdr:cNvPr id="210" name="Straight Connector 20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D2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4269042" y="2476500"/>
                                      <a:ext cx="0" cy="1134874"/>
                                    </a:xfrm>
                                    <a:prstGeom prst="line">
                                      <a:avLst/>
                                    </a:prstGeom>
                                    <a:ln w="0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sp macro="" textlink="">
                                  <xdr:nvSpPr>
                                    <xdr:cNvPr id="211" name="Arc 210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D300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244063">
                                      <a:off x="4263538" y="2692046"/>
                                      <a:ext cx="193575" cy="278050"/>
                                    </a:xfrm>
                                    <a:prstGeom prst="arc">
                                      <a:avLst>
                                        <a:gd name="adj1" fmla="val 12958620"/>
                                        <a:gd name="adj2" fmla="val 19536231"/>
                                      </a:avLst>
                                    </a:prstGeom>
                                    <a:ln w="0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ko-KR" altLang="en-US" sz="1100"/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212" name="TextBox 211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D4000000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4257675" y="2438874"/>
                                      <a:ext cx="323850" cy="361476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9525" cmpd="sng">
                                      <a:noFill/>
                                    </a:ln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dk1"/>
                                    </a:fontRef>
                                  </xdr:style>
                                  <xdr:txBody>
                                    <a:bodyPr vertOverflow="clip" horzOverflow="clip" wrap="square" rtlCol="0" anchor="ctr"/>
                                    <a:lstStyle/>
                                    <a:p>
                                      <a:r>
                                        <a:rPr lang="el-GR" altLang="ko-KR" sz="900">
                                          <a:ea typeface="맑은 고딕" panose="020B0503020000020004" pitchFamily="50" charset="-127"/>
                                        </a:rPr>
                                        <a:t>θ</a:t>
                                      </a:r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</xdr:grpSp>
                            <xdr:cxnSp macro="">
                              <xdr:nvCxnSpPr>
                                <xdr:cNvPr id="218" name="Straight Connector 21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A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2047875" y="1126191"/>
                                  <a:ext cx="0" cy="128855"/>
                                </a:xfrm>
                                <a:prstGeom prst="line">
                                  <a:avLst/>
                                </a:prstGeom>
                                <a:ln w="0">
                                  <a:tailEnd type="oval" w="sm" len="sm"/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19" name="Straight Connector 21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B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2728632" y="1128993"/>
                                  <a:ext cx="0" cy="128855"/>
                                </a:xfrm>
                                <a:prstGeom prst="line">
                                  <a:avLst/>
                                </a:prstGeom>
                                <a:ln w="0">
                                  <a:tailEnd type="oval" w="sm" len="sm"/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20" name="Straight Connector 21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C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>
                                  <a:off x="2050678" y="1128992"/>
                                  <a:ext cx="675153" cy="0"/>
                                </a:xfrm>
                                <a:prstGeom prst="line">
                                  <a:avLst/>
                                </a:prstGeom>
                                <a:ln w="0">
                                  <a:headEnd type="none"/>
                                  <a:tailEnd type="none" w="sm" len="sm"/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sp macro="" textlink="">
                              <xdr:nvSpPr>
                                <xdr:cNvPr id="224" name="TextBox 22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E0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986123" y="905055"/>
                                  <a:ext cx="944575" cy="299054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altLang="ko-KR" sz="900"/>
                                    <a:t>bt, bc, bfc, btop</a:t>
                                  </a:r>
                                  <a:endParaRPr lang="en-US" sz="9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310" name="TextBox 309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36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0518545" y="295571"/>
                                <a:ext cx="1006414" cy="278561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1400" b="1"/>
                                  <a:t>Positive</a:t>
                                </a:r>
                                <a:endParaRPr lang="en-US" sz="1400" b="1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42" name="Straight Connector 341">
                              <a:extLst>
                                <a:ext uri="{FF2B5EF4-FFF2-40B4-BE49-F238E27FC236}">
                                  <a16:creationId xmlns:a16="http://schemas.microsoft.com/office/drawing/2014/main" id="{00000000-0008-0000-0300-000056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12133621" y="1775952"/>
                              <a:ext cx="442452" cy="98546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5" name="Straight Connector 344">
                              <a:extLst>
                                <a:ext uri="{FF2B5EF4-FFF2-40B4-BE49-F238E27FC236}">
                                  <a16:creationId xmlns:a16="http://schemas.microsoft.com/office/drawing/2014/main" id="{00000000-0008-0000-0300-000059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11574411" y="3634863"/>
                              <a:ext cx="574573" cy="127973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7" name="Straight Connector 346">
                              <a:extLst>
                                <a:ext uri="{FF2B5EF4-FFF2-40B4-BE49-F238E27FC236}">
                                  <a16:creationId xmlns:a16="http://schemas.microsoft.com/office/drawing/2014/main" id="{00000000-0008-0000-0300-00005B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12152056" y="1871202"/>
                              <a:ext cx="414800" cy="1892709"/>
                            </a:xfrm>
                            <a:prstGeom prst="line">
                              <a:avLst/>
                            </a:prstGeom>
                            <a:ln w="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51" name="TextBox 350">
                              <a:extLst>
                                <a:ext uri="{FF2B5EF4-FFF2-40B4-BE49-F238E27FC236}">
                                  <a16:creationId xmlns:a16="http://schemas.microsoft.com/office/drawing/2014/main" id="{00000000-0008-0000-0300-00005F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 rot="732484">
                              <a:off x="12300126" y="2803218"/>
                              <a:ext cx="557256" cy="249205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Hw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cxnSp macro="">
                        <xdr:nvCxnSpPr>
                          <xdr:cNvPr id="372" name="Straight Connector 371">
                            <a:extLst>
                              <a:ext uri="{FF2B5EF4-FFF2-40B4-BE49-F238E27FC236}">
                                <a16:creationId xmlns:a16="http://schemas.microsoft.com/office/drawing/2014/main" id="{00000000-0008-0000-0300-000074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515350" y="764381"/>
                            <a:ext cx="0" cy="210812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3" name="Straight Connector 372">
                            <a:extLst>
                              <a:ext uri="{FF2B5EF4-FFF2-40B4-BE49-F238E27FC236}">
                                <a16:creationId xmlns:a16="http://schemas.microsoft.com/office/drawing/2014/main" id="{00000000-0008-0000-0300-000075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517731" y="766762"/>
                            <a:ext cx="6818604" cy="0"/>
                          </a:xfrm>
                          <a:prstGeom prst="line">
                            <a:avLst/>
                          </a:prstGeom>
                          <a:ln w="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4" name="Straight Connector 373">
                            <a:extLst>
                              <a:ext uri="{FF2B5EF4-FFF2-40B4-BE49-F238E27FC236}">
                                <a16:creationId xmlns:a16="http://schemas.microsoft.com/office/drawing/2014/main" id="{00000000-0008-0000-0300-000076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9653588" y="764381"/>
                            <a:ext cx="0" cy="210812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5" name="Straight Connector 374">
                            <a:extLst>
                              <a:ext uri="{FF2B5EF4-FFF2-40B4-BE49-F238E27FC236}">
                                <a16:creationId xmlns:a16="http://schemas.microsoft.com/office/drawing/2014/main" id="{00000000-0008-0000-0300-000077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11996737" y="766762"/>
                            <a:ext cx="0" cy="210812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7" name="Straight Connector 376">
                            <a:extLst>
                              <a:ext uri="{FF2B5EF4-FFF2-40B4-BE49-F238E27FC236}">
                                <a16:creationId xmlns:a16="http://schemas.microsoft.com/office/drawing/2014/main" id="{00000000-0008-0000-0300-000079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14197555" y="767184"/>
                            <a:ext cx="0" cy="210811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379" name="TextBox 378">
                            <a:extLst>
                              <a:ext uri="{FF2B5EF4-FFF2-40B4-BE49-F238E27FC236}">
                                <a16:creationId xmlns:a16="http://schemas.microsoft.com/office/drawing/2014/main" id="{00000000-0008-0000-0300-00007B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450" y="571500"/>
                            <a:ext cx="364291" cy="24799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b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80" name="TextBox 379">
                            <a:extLst>
                              <a:ext uri="{FF2B5EF4-FFF2-40B4-BE49-F238E27FC236}">
                                <a16:creationId xmlns:a16="http://schemas.microsoft.com/office/drawing/2014/main" id="{00000000-0008-0000-0300-00007C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0735220" y="561473"/>
                            <a:ext cx="364291" cy="24799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w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81" name="TextBox 380">
                            <a:extLst>
                              <a:ext uri="{FF2B5EF4-FFF2-40B4-BE49-F238E27FC236}">
                                <a16:creationId xmlns:a16="http://schemas.microsoft.com/office/drawing/2014/main" id="{00000000-0008-0000-0300-00007D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3001625" y="552450"/>
                            <a:ext cx="364291" cy="24799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a</a:t>
                            </a:r>
                            <a:endParaRPr lang="en-US" sz="900"/>
                          </a:p>
                        </xdr:txBody>
                      </xdr:sp>
                    </xdr:grpSp>
                    <xdr:cxnSp macro="">
                      <xdr:nvCxnSpPr>
                        <xdr:cNvPr id="385" name="Straight Connector 384">
                          <a:extLst>
                            <a:ext uri="{FF2B5EF4-FFF2-40B4-BE49-F238E27FC236}">
                              <a16:creationId xmlns:a16="http://schemas.microsoft.com/office/drawing/2014/main" id="{00000000-0008-0000-0300-00008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957997" y="1765958"/>
                          <a:ext cx="0" cy="695160"/>
                        </a:xfrm>
                        <a:prstGeom prst="line">
                          <a:avLst/>
                        </a:prstGeom>
                        <a:ln w="0">
                          <a:headEnd type="oval" w="sm" len="sm"/>
                          <a:tailEnd type="none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86" name="Straight Connector 385">
                          <a:extLst>
                            <a:ext uri="{FF2B5EF4-FFF2-40B4-BE49-F238E27FC236}">
                              <a16:creationId xmlns:a16="http://schemas.microsoft.com/office/drawing/2014/main" id="{00000000-0008-0000-0300-000082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960956" y="2461118"/>
                          <a:ext cx="372716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9" name="Group 398">
                        <a:extLst>
                          <a:ext uri="{FF2B5EF4-FFF2-40B4-BE49-F238E27FC236}">
                            <a16:creationId xmlns:a16="http://schemas.microsoft.com/office/drawing/2014/main" id="{00000000-0008-0000-0300-00008F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033448" y="1567779"/>
                        <a:ext cx="1132515" cy="2249267"/>
                        <a:chOff x="12299674" y="1680186"/>
                        <a:chExt cx="1132515" cy="2249267"/>
                      </a:xfrm>
                    </xdr:grpSpPr>
                    <xdr:cxnSp macro="">
                      <xdr:nvCxnSpPr>
                        <xdr:cNvPr id="393" name="Straight Connector 392">
                          <a:extLst>
                            <a:ext uri="{FF2B5EF4-FFF2-40B4-BE49-F238E27FC236}">
                              <a16:creationId xmlns:a16="http://schemas.microsoft.com/office/drawing/2014/main" id="{00000000-0008-0000-0300-000089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650952" y="1705291"/>
                          <a:ext cx="452193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4" name="Straight Connector 393">
                          <a:extLst>
                            <a:ext uri="{FF2B5EF4-FFF2-40B4-BE49-F238E27FC236}">
                              <a16:creationId xmlns:a16="http://schemas.microsoft.com/office/drawing/2014/main" id="{00000000-0008-0000-0300-00008A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3096139" y="1680186"/>
                          <a:ext cx="0" cy="2249267"/>
                        </a:xfrm>
                        <a:prstGeom prst="line">
                          <a:avLst/>
                        </a:prstGeom>
                        <a:ln w="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5" name="Straight Connector 394">
                          <a:extLst>
                            <a:ext uri="{FF2B5EF4-FFF2-40B4-BE49-F238E27FC236}">
                              <a16:creationId xmlns:a16="http://schemas.microsoft.com/office/drawing/2014/main" id="{00000000-0008-0000-0300-00008B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299674" y="3898011"/>
                          <a:ext cx="795721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6" name="Straight Connector 395">
                          <a:extLst>
                            <a:ext uri="{FF2B5EF4-FFF2-40B4-BE49-F238E27FC236}">
                              <a16:creationId xmlns:a16="http://schemas.microsoft.com/office/drawing/2014/main" id="{00000000-0008-0000-0300-00008C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530645" y="2573276"/>
                          <a:ext cx="567634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397" name="TextBox 396">
                          <a:extLst>
                            <a:ext uri="{FF2B5EF4-FFF2-40B4-BE49-F238E27FC236}">
                              <a16:creationId xmlns:a16="http://schemas.microsoft.com/office/drawing/2014/main" id="{00000000-0008-0000-0300-00008D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53931" y="1909435"/>
                          <a:ext cx="378258" cy="4099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YU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398" name="TextBox 397">
                          <a:extLst>
                            <a:ext uri="{FF2B5EF4-FFF2-40B4-BE49-F238E27FC236}">
                              <a16:creationId xmlns:a16="http://schemas.microsoft.com/office/drawing/2014/main" id="{00000000-0008-0000-0300-00008E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58187" y="3052219"/>
                          <a:ext cx="364262" cy="30740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YL</a:t>
                          </a:r>
                          <a:endParaRPr lang="en-US" sz="900"/>
                        </a:p>
                      </xdr:txBody>
                    </xdr:sp>
                  </xdr:grpSp>
                </xdr:grpSp>
                <xdr:cxnSp macro="">
                  <xdr:nvCxnSpPr>
                    <xdr:cNvPr id="465" name="Straight Connector 464">
                      <a:extLst>
                        <a:ext uri="{FF2B5EF4-FFF2-40B4-BE49-F238E27FC236}">
                          <a16:creationId xmlns:a16="http://schemas.microsoft.com/office/drawing/2014/main" id="{00000000-0008-0000-0300-0000D1010000}"/>
                        </a:ext>
                      </a:extLst>
                    </xdr:cNvPr>
                    <xdr:cNvCxnSpPr/>
                  </xdr:nvCxnSpPr>
                  <xdr:spPr>
                    <a:xfrm>
                      <a:off x="9259566" y="2225510"/>
                      <a:ext cx="3408027" cy="0"/>
                    </a:xfrm>
                    <a:prstGeom prst="line">
                      <a:avLst/>
                    </a:prstGeom>
                    <a:ln w="0">
                      <a:solidFill>
                        <a:srgbClr val="C00000"/>
                      </a:solidFill>
                      <a:prstDash val="sys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66" name="TextBox 465">
                      <a:extLst>
                        <a:ext uri="{FF2B5EF4-FFF2-40B4-BE49-F238E27FC236}">
                          <a16:creationId xmlns:a16="http://schemas.microsoft.com/office/drawing/2014/main" id="{00000000-0008-0000-0300-0000D2010000}"/>
                        </a:ext>
                      </a:extLst>
                    </xdr:cNvPr>
                    <xdr:cNvSpPr txBox="1"/>
                  </xdr:nvSpPr>
                  <xdr:spPr>
                    <a:xfrm>
                      <a:off x="9790773" y="2015507"/>
                      <a:ext cx="1255564" cy="27310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Plastic Neutral axis</a:t>
                      </a:r>
                      <a:endParaRPr lang="en-US" sz="900"/>
                    </a:p>
                  </xdr:txBody>
                </xdr:sp>
                <xdr:cxnSp macro="">
                  <xdr:nvCxnSpPr>
                    <xdr:cNvPr id="467" name="Straight Connector 466">
                      <a:extLst>
                        <a:ext uri="{FF2B5EF4-FFF2-40B4-BE49-F238E27FC236}">
                          <a16:creationId xmlns:a16="http://schemas.microsoft.com/office/drawing/2014/main" id="{00000000-0008-0000-0300-0000D3010000}"/>
                        </a:ext>
                      </a:extLst>
                    </xdr:cNvPr>
                    <xdr:cNvCxnSpPr/>
                  </xdr:nvCxnSpPr>
                  <xdr:spPr>
                    <a:xfrm>
                      <a:off x="9155000" y="1775000"/>
                      <a:ext cx="0" cy="460000"/>
                    </a:xfrm>
                    <a:prstGeom prst="line">
                      <a:avLst/>
                    </a:prstGeom>
                    <a:ln w="0">
                      <a:headEnd type="oval" w="sm" len="sm"/>
                      <a:tailEnd type="none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9" name="Straight Connector 468">
                      <a:extLst>
                        <a:ext uri="{FF2B5EF4-FFF2-40B4-BE49-F238E27FC236}">
                          <a16:creationId xmlns:a16="http://schemas.microsoft.com/office/drawing/2014/main" id="{00000000-0008-0000-0300-0000D5010000}"/>
                        </a:ext>
                      </a:extLst>
                    </xdr:cNvPr>
                    <xdr:cNvCxnSpPr/>
                  </xdr:nvCxnSpPr>
                  <xdr:spPr>
                    <a:xfrm flipH="1">
                      <a:off x="9160000" y="2225000"/>
                      <a:ext cx="182500" cy="0"/>
                    </a:xfrm>
                    <a:prstGeom prst="line">
                      <a:avLst/>
                    </a:prstGeom>
                    <a:ln w="0">
                      <a:headEnd type="none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71" name="TextBox 470">
                      <a:extLst>
                        <a:ext uri="{FF2B5EF4-FFF2-40B4-BE49-F238E27FC236}">
                          <a16:creationId xmlns:a16="http://schemas.microsoft.com/office/drawing/2014/main" id="{00000000-0008-0000-0300-0000D7010000}"/>
                        </a:ext>
                      </a:extLst>
                    </xdr:cNvPr>
                    <xdr:cNvSpPr txBox="1"/>
                  </xdr:nvSpPr>
                  <xdr:spPr>
                    <a:xfrm>
                      <a:off x="9077740" y="1829083"/>
                      <a:ext cx="455000" cy="322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Dcp</a:t>
                      </a:r>
                      <a:endParaRPr lang="en-US" sz="900"/>
                    </a:p>
                  </xdr:txBody>
                </xdr:sp>
              </xdr:grpSp>
            </xdr:grpSp>
            <xdr:cxnSp macro="">
              <xdr:nvCxnSpPr>
                <xdr:cNvPr id="489" name="Straight Connector 488">
                  <a:extLst>
                    <a:ext uri="{FF2B5EF4-FFF2-40B4-BE49-F238E27FC236}">
                      <a16:creationId xmlns:a16="http://schemas.microsoft.com/office/drawing/2014/main" id="{00000000-0008-0000-0300-0000E9010000}"/>
                    </a:ext>
                  </a:extLst>
                </xdr:cNvPr>
                <xdr:cNvCxnSpPr/>
              </xdr:nvCxnSpPr>
              <xdr:spPr>
                <a:xfrm>
                  <a:off x="11118924" y="1277341"/>
                  <a:ext cx="0" cy="927724"/>
                </a:xfrm>
                <a:prstGeom prst="line">
                  <a:avLst/>
                </a:prstGeom>
                <a:ln w="0">
                  <a:headEnd type="oval" w="sm" len="sm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92" name="TextBox 491">
                  <a:extLst>
                    <a:ext uri="{FF2B5EF4-FFF2-40B4-BE49-F238E27FC236}">
                      <a16:creationId xmlns:a16="http://schemas.microsoft.com/office/drawing/2014/main" id="{00000000-0008-0000-0300-0000EC010000}"/>
                    </a:ext>
                  </a:extLst>
                </xdr:cNvPr>
                <xdr:cNvSpPr txBox="1"/>
              </xdr:nvSpPr>
              <xdr:spPr>
                <a:xfrm>
                  <a:off x="10893186" y="1632464"/>
                  <a:ext cx="406049" cy="27848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Dp</a:t>
                  </a:r>
                  <a:endParaRPr lang="en-US" sz="900"/>
                </a:p>
              </xdr:txBody>
            </xdr:sp>
          </xdr:grpSp>
          <xdr:cxnSp macro="">
            <xdr:nvCxnSpPr>
              <xdr:cNvPr id="498" name="Straight Connector 497">
                <a:extLst>
                  <a:ext uri="{FF2B5EF4-FFF2-40B4-BE49-F238E27FC236}">
                    <a16:creationId xmlns:a16="http://schemas.microsoft.com/office/drawing/2014/main" id="{00000000-0008-0000-0300-0000F2010000}"/>
                  </a:ext>
                </a:extLst>
              </xdr:cNvPr>
              <xdr:cNvCxnSpPr/>
            </xdr:nvCxnSpPr>
            <xdr:spPr>
              <a:xfrm>
                <a:off x="9699061" y="2011371"/>
                <a:ext cx="215387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1" name="Straight Connector 500">
                <a:extLst>
                  <a:ext uri="{FF2B5EF4-FFF2-40B4-BE49-F238E27FC236}">
                    <a16:creationId xmlns:a16="http://schemas.microsoft.com/office/drawing/2014/main" id="{00000000-0008-0000-0300-0000F5010000}"/>
                  </a:ext>
                </a:extLst>
              </xdr:cNvPr>
              <xdr:cNvCxnSpPr/>
            </xdr:nvCxnSpPr>
            <xdr:spPr>
              <a:xfrm>
                <a:off x="9764334" y="2308725"/>
                <a:ext cx="195653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2" name="Straight Connector 501">
                <a:extLst>
                  <a:ext uri="{FF2B5EF4-FFF2-40B4-BE49-F238E27FC236}">
                    <a16:creationId xmlns:a16="http://schemas.microsoft.com/office/drawing/2014/main" id="{00000000-0008-0000-0300-0000F6010000}"/>
                  </a:ext>
                </a:extLst>
              </xdr:cNvPr>
              <xdr:cNvCxnSpPr/>
            </xdr:nvCxnSpPr>
            <xdr:spPr>
              <a:xfrm>
                <a:off x="11746208" y="2011372"/>
                <a:ext cx="213241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3" name="Straight Connector 502">
                <a:extLst>
                  <a:ext uri="{FF2B5EF4-FFF2-40B4-BE49-F238E27FC236}">
                    <a16:creationId xmlns:a16="http://schemas.microsoft.com/office/drawing/2014/main" id="{00000000-0008-0000-0300-0000F7010000}"/>
                  </a:ext>
                </a:extLst>
              </xdr:cNvPr>
              <xdr:cNvCxnSpPr/>
            </xdr:nvCxnSpPr>
            <xdr:spPr>
              <a:xfrm>
                <a:off x="11682957" y="2308726"/>
                <a:ext cx="213618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9" name="Straight Connector 508">
                <a:extLst>
                  <a:ext uri="{FF2B5EF4-FFF2-40B4-BE49-F238E27FC236}">
                    <a16:creationId xmlns:a16="http://schemas.microsoft.com/office/drawing/2014/main" id="{00000000-0008-0000-0300-0000FD010000}"/>
                  </a:ext>
                </a:extLst>
              </xdr:cNvPr>
              <xdr:cNvCxnSpPr/>
            </xdr:nvCxnSpPr>
            <xdr:spPr>
              <a:xfrm>
                <a:off x="9919507" y="2011371"/>
                <a:ext cx="301736" cy="0"/>
              </a:xfrm>
              <a:prstGeom prst="line">
                <a:avLst/>
              </a:prstGeom>
              <a:ln w="0">
                <a:headEnd type="none"/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11" name="Straight Connector 510">
                <a:extLst>
                  <a:ext uri="{FF2B5EF4-FFF2-40B4-BE49-F238E27FC236}">
                    <a16:creationId xmlns:a16="http://schemas.microsoft.com/office/drawing/2014/main" id="{00000000-0008-0000-0300-0000FF010000}"/>
                  </a:ext>
                </a:extLst>
              </xdr:cNvPr>
              <xdr:cNvCxnSpPr/>
            </xdr:nvCxnSpPr>
            <xdr:spPr>
              <a:xfrm>
                <a:off x="9981911" y="1767202"/>
                <a:ext cx="239634" cy="0"/>
              </a:xfrm>
              <a:prstGeom prst="line">
                <a:avLst/>
              </a:prstGeom>
              <a:ln w="0">
                <a:headEnd type="none"/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12" name="Straight Connector 511">
                <a:extLst>
                  <a:ext uri="{FF2B5EF4-FFF2-40B4-BE49-F238E27FC236}">
                    <a16:creationId xmlns:a16="http://schemas.microsoft.com/office/drawing/2014/main" id="{00000000-0008-0000-0300-000000020000}"/>
                  </a:ext>
                </a:extLst>
              </xdr:cNvPr>
              <xdr:cNvCxnSpPr/>
            </xdr:nvCxnSpPr>
            <xdr:spPr>
              <a:xfrm>
                <a:off x="10221244" y="1769619"/>
                <a:ext cx="0" cy="249838"/>
              </a:xfrm>
              <a:prstGeom prst="line">
                <a:avLst/>
              </a:prstGeom>
              <a:ln w="0">
                <a:headEnd type="none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14" name="TextBox 513">
                <a:extLst>
                  <a:ext uri="{FF2B5EF4-FFF2-40B4-BE49-F238E27FC236}">
                    <a16:creationId xmlns:a16="http://schemas.microsoft.com/office/drawing/2014/main" id="{00000000-0008-0000-0300-000002020000}"/>
                  </a:ext>
                </a:extLst>
              </xdr:cNvPr>
              <xdr:cNvSpPr txBox="1"/>
            </xdr:nvSpPr>
            <xdr:spPr>
              <a:xfrm>
                <a:off x="10151136" y="1747862"/>
                <a:ext cx="405562" cy="28004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ds</a:t>
                </a:r>
                <a:endParaRPr lang="en-US" sz="900"/>
              </a:p>
            </xdr:txBody>
          </xdr:sp>
        </xdr:grpSp>
        <xdr:cxnSp macro="">
          <xdr:nvCxnSpPr>
            <xdr:cNvPr id="205" name="Straight Connector 204">
              <a:extLst>
                <a:ext uri="{FF2B5EF4-FFF2-40B4-BE49-F238E27FC236}">
                  <a16:creationId xmlns:a16="http://schemas.microsoft.com/office/drawing/2014/main" id="{00000000-0008-0000-0300-0000CD000000}"/>
                </a:ext>
              </a:extLst>
            </xdr:cNvPr>
            <xdr:cNvCxnSpPr/>
          </xdr:nvCxnSpPr>
          <xdr:spPr>
            <a:xfrm>
              <a:off x="1928932" y="3821966"/>
              <a:ext cx="0" cy="219075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00000000-0008-0000-0300-0000CE000000}"/>
                </a:ext>
              </a:extLst>
            </xdr:cNvPr>
            <xdr:cNvCxnSpPr/>
          </xdr:nvCxnSpPr>
          <xdr:spPr>
            <a:xfrm>
              <a:off x="2299882" y="3642474"/>
              <a:ext cx="0" cy="400960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00000000-0008-0000-0300-0000D0000000}"/>
                </a:ext>
              </a:extLst>
            </xdr:cNvPr>
            <xdr:cNvCxnSpPr/>
          </xdr:nvCxnSpPr>
          <xdr:spPr>
            <a:xfrm>
              <a:off x="1931326" y="4042141"/>
              <a:ext cx="370948" cy="0"/>
            </a:xfrm>
            <a:prstGeom prst="line">
              <a:avLst/>
            </a:prstGeom>
            <a:ln w="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3" name="TextBox 222">
              <a:extLst>
                <a:ext uri="{FF2B5EF4-FFF2-40B4-BE49-F238E27FC236}">
                  <a16:creationId xmlns:a16="http://schemas.microsoft.com/office/drawing/2014/main" id="{00000000-0008-0000-0300-0000DF000000}"/>
                </a:ext>
              </a:extLst>
            </xdr:cNvPr>
            <xdr:cNvSpPr txBox="1"/>
          </xdr:nvSpPr>
          <xdr:spPr>
            <a:xfrm>
              <a:off x="1921754" y="3862653"/>
              <a:ext cx="490610" cy="1938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cbot</a:t>
              </a:r>
              <a:endParaRPr lang="en-US" sz="900"/>
            </a:p>
          </xdr:txBody>
        </xdr:sp>
      </xdr:grp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00000000-0008-0000-0300-0000EB000000}"/>
              </a:ext>
            </a:extLst>
          </xdr:cNvPr>
          <xdr:cNvCxnSpPr/>
        </xdr:nvCxnSpPr>
        <xdr:spPr>
          <a:xfrm flipV="1">
            <a:off x="4494460" y="1155923"/>
            <a:ext cx="0" cy="415281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00000000-0008-0000-0300-0000EC000000}"/>
              </a:ext>
            </a:extLst>
          </xdr:cNvPr>
          <xdr:cNvCxnSpPr/>
        </xdr:nvCxnSpPr>
        <xdr:spPr>
          <a:xfrm flipV="1">
            <a:off x="4121118" y="1153530"/>
            <a:ext cx="0" cy="622238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/>
        </xdr:nvCxnSpPr>
        <xdr:spPr>
          <a:xfrm flipH="1">
            <a:off x="4121119" y="1153529"/>
            <a:ext cx="378127" cy="0"/>
          </a:xfrm>
          <a:prstGeom prst="line">
            <a:avLst/>
          </a:prstGeom>
          <a:ln w="0">
            <a:headEnd type="none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8" name="TextBox 237">
            <a:extLst>
              <a:ext uri="{FF2B5EF4-FFF2-40B4-BE49-F238E27FC236}">
                <a16:creationId xmlns:a16="http://schemas.microsoft.com/office/drawing/2014/main" id="{00000000-0008-0000-0300-0000EE000000}"/>
              </a:ext>
            </a:extLst>
          </xdr:cNvPr>
          <xdr:cNvSpPr txBox="1"/>
        </xdr:nvSpPr>
        <xdr:spPr>
          <a:xfrm>
            <a:off x="4101973" y="962072"/>
            <a:ext cx="476250" cy="2465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/>
              <a:t>ctop</a:t>
            </a:r>
            <a:endParaRPr lang="en-US" sz="9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315856</xdr:colOff>
      <xdr:row>220</xdr:row>
      <xdr:rowOff>138769</xdr:rowOff>
    </xdr:from>
    <xdr:to>
      <xdr:col>14</xdr:col>
      <xdr:colOff>9524</xdr:colOff>
      <xdr:row>229</xdr:row>
      <xdr:rowOff>14293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GrpSpPr/>
      </xdr:nvGrpSpPr>
      <xdr:grpSpPr>
        <a:xfrm>
          <a:off x="4108847" y="41359907"/>
          <a:ext cx="2491637" cy="1559408"/>
          <a:chOff x="3685325" y="19361243"/>
          <a:chExt cx="2571619" cy="1590021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GrpSpPr/>
        </xdr:nvGrpSpPr>
        <xdr:grpSpPr>
          <a:xfrm>
            <a:off x="3685325" y="19361243"/>
            <a:ext cx="2571619" cy="1590021"/>
            <a:chOff x="3685325" y="19361243"/>
            <a:chExt cx="2571619" cy="1590021"/>
          </a:xfrm>
        </xdr:grpSpPr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400-000025000000}"/>
                </a:ext>
              </a:extLst>
            </xdr:cNvPr>
            <xdr:cNvGrpSpPr/>
          </xdr:nvGrpSpPr>
          <xdr:grpSpPr>
            <a:xfrm>
              <a:off x="3685325" y="19361243"/>
              <a:ext cx="2571619" cy="1590021"/>
              <a:chOff x="3685325" y="19458026"/>
              <a:chExt cx="2571619" cy="1597714"/>
            </a:xfrm>
          </xdr:grpSpPr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00000000-0008-0000-0400-000021000000}"/>
                  </a:ext>
                </a:extLst>
              </xdr:cNvPr>
              <xdr:cNvGrpSpPr/>
            </xdr:nvGrpSpPr>
            <xdr:grpSpPr>
              <a:xfrm>
                <a:off x="3685325" y="19458026"/>
                <a:ext cx="2571619" cy="1597714"/>
                <a:chOff x="3579019" y="19188957"/>
                <a:chExt cx="2596952" cy="1512798"/>
              </a:xfrm>
            </xdr:grpSpPr>
            <xdr:grpSp>
              <xdr:nvGrpSpPr>
                <xdr:cNvPr id="27" name="Group 26">
                  <a:extLst>
                    <a:ext uri="{FF2B5EF4-FFF2-40B4-BE49-F238E27FC236}">
                      <a16:creationId xmlns:a16="http://schemas.microsoft.com/office/drawing/2014/main" id="{00000000-0008-0000-0400-00001B000000}"/>
                    </a:ext>
                  </a:extLst>
                </xdr:cNvPr>
                <xdr:cNvGrpSpPr/>
              </xdr:nvGrpSpPr>
              <xdr:grpSpPr>
                <a:xfrm>
                  <a:off x="3579019" y="19188957"/>
                  <a:ext cx="2596952" cy="1512798"/>
                  <a:chOff x="3579019" y="19188957"/>
                  <a:chExt cx="2596952" cy="1512798"/>
                </a:xfrm>
              </xdr:grpSpPr>
              <xdr:grpSp>
                <xdr:nvGrpSpPr>
                  <xdr:cNvPr id="24" name="Group 23">
                    <a:extLst>
                      <a:ext uri="{FF2B5EF4-FFF2-40B4-BE49-F238E27FC236}">
                        <a16:creationId xmlns:a16="http://schemas.microsoft.com/office/drawing/2014/main" id="{00000000-0008-0000-0400-000018000000}"/>
                      </a:ext>
                    </a:extLst>
                  </xdr:cNvPr>
                  <xdr:cNvGrpSpPr/>
                </xdr:nvGrpSpPr>
                <xdr:grpSpPr>
                  <a:xfrm>
                    <a:off x="3579019" y="19447669"/>
                    <a:ext cx="2596952" cy="1254086"/>
                    <a:chOff x="3579019" y="19447669"/>
                    <a:chExt cx="2596952" cy="1254086"/>
                  </a:xfrm>
                </xdr:grpSpPr>
                <xdr:grpSp>
                  <xdr:nvGrpSpPr>
                    <xdr:cNvPr id="18" name="Group 17">
                      <a:extLst>
                        <a:ext uri="{FF2B5EF4-FFF2-40B4-BE49-F238E27FC236}">
                          <a16:creationId xmlns:a16="http://schemas.microsoft.com/office/drawing/2014/main" id="{00000000-0008-0000-0400-000012000000}"/>
                        </a:ext>
                      </a:extLst>
                    </xdr:cNvPr>
                    <xdr:cNvGrpSpPr/>
                  </xdr:nvGrpSpPr>
                  <xdr:grpSpPr>
                    <a:xfrm>
                      <a:off x="3579019" y="19447669"/>
                      <a:ext cx="2596952" cy="1065967"/>
                      <a:chOff x="3579019" y="19447669"/>
                      <a:chExt cx="2596952" cy="1065967"/>
                    </a:xfrm>
                  </xdr:grpSpPr>
                  <xdr:grpSp>
                    <xdr:nvGrpSpPr>
                      <xdr:cNvPr id="9" name="Group 8">
                        <a:extLst>
                          <a:ext uri="{FF2B5EF4-FFF2-40B4-BE49-F238E27FC236}">
                            <a16:creationId xmlns:a16="http://schemas.microsoft.com/office/drawing/2014/main" id="{00000000-0008-0000-0400-000009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579019" y="19447669"/>
                        <a:ext cx="2047247" cy="1065967"/>
                        <a:chOff x="3579019" y="19447669"/>
                        <a:chExt cx="2047247" cy="1065967"/>
                      </a:xfrm>
                    </xdr:grpSpPr>
                    <xdr:grpSp>
                      <xdr:nvGrpSpPr>
                        <xdr:cNvPr id="176" name="그룹 48">
                          <a:extLst>
                            <a:ext uri="{FF2B5EF4-FFF2-40B4-BE49-F238E27FC236}">
                              <a16:creationId xmlns:a16="http://schemas.microsoft.com/office/drawing/2014/main" id="{00000000-0008-0000-0400-0000B0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135323" y="19543267"/>
                          <a:ext cx="1490943" cy="882081"/>
                          <a:chOff x="4949316" y="313866"/>
                          <a:chExt cx="1573242" cy="1068620"/>
                        </a:xfrm>
                      </xdr:grpSpPr>
                      <xdr:grpSp>
                        <xdr:nvGrpSpPr>
                          <xdr:cNvPr id="178" name="그룹 30">
                            <a:extLst>
                              <a:ext uri="{FF2B5EF4-FFF2-40B4-BE49-F238E27FC236}">
                                <a16:creationId xmlns:a16="http://schemas.microsoft.com/office/drawing/2014/main" id="{00000000-0008-0000-0400-0000B2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949316" y="313866"/>
                            <a:ext cx="1573242" cy="1068620"/>
                            <a:chOff x="4444381" y="313952"/>
                            <a:chExt cx="1570114" cy="1069110"/>
                          </a:xfrm>
                        </xdr:grpSpPr>
                        <xdr:grpSp>
                          <xdr:nvGrpSpPr>
                            <xdr:cNvPr id="185" name="그룹 7">
                              <a:extLst>
                                <a:ext uri="{FF2B5EF4-FFF2-40B4-BE49-F238E27FC236}">
                                  <a16:creationId xmlns:a16="http://schemas.microsoft.com/office/drawing/2014/main" id="{00000000-0008-0000-0400-0000B9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444381" y="315446"/>
                              <a:ext cx="1421154" cy="1067616"/>
                              <a:chOff x="2971800" y="381000"/>
                              <a:chExt cx="1422339" cy="1061287"/>
                            </a:xfrm>
                          </xdr:grpSpPr>
                          <xdr:cxnSp macro="">
                            <xdr:nvCxnSpPr>
                              <xdr:cNvPr id="191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BF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1111112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92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0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93" name="직선 연결선 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1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4166565" y="399805"/>
                                <a:ext cx="227574" cy="1036150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94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2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184" name="직선 연결선 29">
                              <a:extLst>
                                <a:ext uri="{FF2B5EF4-FFF2-40B4-BE49-F238E27FC236}">
                                  <a16:creationId xmlns:a16="http://schemas.microsoft.com/office/drawing/2014/main" id="{00000000-0008-0000-0400-0000B8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51145" y="313952"/>
                              <a:ext cx="363350" cy="0"/>
                            </a:xfrm>
                            <a:prstGeom prst="line">
                              <a:avLst/>
                            </a:prstGeom>
                            <a:ln w="762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179" name="직선 연결선 32">
                            <a:extLst>
                              <a:ext uri="{FF2B5EF4-FFF2-40B4-BE49-F238E27FC236}">
                                <a16:creationId xmlns:a16="http://schemas.microsoft.com/office/drawing/2014/main" id="{00000000-0008-0000-0400-0000B3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496514" y="1271637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80" name="직선 연결선 37">
                            <a:extLst>
                              <a:ext uri="{FF2B5EF4-FFF2-40B4-BE49-F238E27FC236}">
                                <a16:creationId xmlns:a16="http://schemas.microsoft.com/office/drawing/2014/main" id="{00000000-0008-0000-0400-0000B4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646263" y="1274091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81" name="직선 연결선 38">
                            <a:extLst>
                              <a:ext uri="{FF2B5EF4-FFF2-40B4-BE49-F238E27FC236}">
                                <a16:creationId xmlns:a16="http://schemas.microsoft.com/office/drawing/2014/main" id="{00000000-0008-0000-0400-0000B5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793557" y="1274092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82" name="직선 연결선 39">
                            <a:extLst>
                              <a:ext uri="{FF2B5EF4-FFF2-40B4-BE49-F238E27FC236}">
                                <a16:creationId xmlns:a16="http://schemas.microsoft.com/office/drawing/2014/main" id="{00000000-0008-0000-0400-0000B6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960489" y="1271636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" name="Straight Connector 3">
                          <a:extLst>
                            <a:ext uri="{FF2B5EF4-FFF2-40B4-BE49-F238E27FC236}">
                              <a16:creationId xmlns:a16="http://schemas.microsoft.com/office/drawing/2014/main" id="{00000000-0008-0000-0400-000004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19" y="19509581"/>
                          <a:ext cx="171451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" name="Straight Connector 5">
                          <a:extLst>
                            <a:ext uri="{FF2B5EF4-FFF2-40B4-BE49-F238E27FC236}">
                              <a16:creationId xmlns:a16="http://schemas.microsoft.com/office/drawing/2014/main" id="{00000000-0008-0000-0400-00000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883819" y="19511963"/>
                          <a:ext cx="0" cy="97155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01" name="Straight Connector 200">
                          <a:extLst>
                            <a:ext uri="{FF2B5EF4-FFF2-40B4-BE49-F238E27FC236}">
                              <a16:creationId xmlns:a16="http://schemas.microsoft.com/office/drawing/2014/main" id="{00000000-0008-0000-0400-0000C9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18" y="19576539"/>
                          <a:ext cx="171451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02" name="Straight Connector 201">
                          <a:extLst>
                            <a:ext uri="{FF2B5EF4-FFF2-40B4-BE49-F238E27FC236}">
                              <a16:creationId xmlns:a16="http://schemas.microsoft.com/office/drawing/2014/main" id="{00000000-0008-0000-0400-0000CA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20" y="20393025"/>
                          <a:ext cx="433386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03" name="Straight Connector 202">
                          <a:extLst>
                            <a:ext uri="{FF2B5EF4-FFF2-40B4-BE49-F238E27FC236}">
                              <a16:creationId xmlns:a16="http://schemas.microsoft.com/office/drawing/2014/main" id="{00000000-0008-0000-0400-0000CB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19" y="20457885"/>
                          <a:ext cx="433386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04" name="TextBox 203">
                          <a:extLst>
                            <a:ext uri="{FF2B5EF4-FFF2-40B4-BE49-F238E27FC236}">
                              <a16:creationId xmlns:a16="http://schemas.microsoft.com/office/drawing/2014/main" id="{00000000-0008-0000-0400-0000CC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609976" y="19447669"/>
                          <a:ext cx="307182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tt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205" name="TextBox 204">
                          <a:extLst>
                            <a:ext uri="{FF2B5EF4-FFF2-40B4-BE49-F238E27FC236}">
                              <a16:creationId xmlns:a16="http://schemas.microsoft.com/office/drawing/2014/main" id="{00000000-0008-0000-0400-0000CD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79019" y="19888200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D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206" name="TextBox 205">
                          <a:extLst>
                            <a:ext uri="{FF2B5EF4-FFF2-40B4-BE49-F238E27FC236}">
                              <a16:creationId xmlns:a16="http://schemas.microsoft.com/office/drawing/2014/main" id="{00000000-0008-0000-0400-0000CE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98069" y="20326350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tb</a:t>
                          </a:r>
                          <a:endParaRPr lang="en-US" sz="900"/>
                        </a:p>
                      </xdr:txBody>
                    </xdr:sp>
                  </xdr:grpSp>
                  <xdr:cxnSp macro="">
                    <xdr:nvCxnSpPr>
                      <xdr:cNvPr id="11" name="Straight Connector 10">
                        <a:extLst>
                          <a:ext uri="{FF2B5EF4-FFF2-40B4-BE49-F238E27FC236}">
                            <a16:creationId xmlns:a16="http://schemas.microsoft.com/office/drawing/2014/main" id="{00000000-0008-0000-0400-00000B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195763" y="19885819"/>
                        <a:ext cx="1550193" cy="0"/>
                      </a:xfrm>
                      <a:prstGeom prst="line">
                        <a:avLst/>
                      </a:prstGeom>
                      <a:ln w="0">
                        <a:solidFill>
                          <a:srgbClr val="C00000"/>
                        </a:solidFill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7" name="Straight Connector 206">
                        <a:extLst>
                          <a:ext uri="{FF2B5EF4-FFF2-40B4-BE49-F238E27FC236}">
                            <a16:creationId xmlns:a16="http://schemas.microsoft.com/office/drawing/2014/main" id="{00000000-0008-0000-0400-0000CF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638802" y="19504819"/>
                        <a:ext cx="111917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8" name="Straight Connector 207">
                        <a:extLst>
                          <a:ext uri="{FF2B5EF4-FFF2-40B4-BE49-F238E27FC236}">
                            <a16:creationId xmlns:a16="http://schemas.microsoft.com/office/drawing/2014/main" id="{00000000-0008-0000-0400-0000D0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750719" y="19500056"/>
                        <a:ext cx="0" cy="97155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9" name="Straight Connector 208">
                        <a:extLst>
                          <a:ext uri="{FF2B5EF4-FFF2-40B4-BE49-F238E27FC236}">
                            <a16:creationId xmlns:a16="http://schemas.microsoft.com/office/drawing/2014/main" id="{00000000-0008-0000-0400-0000D1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464969" y="20462082"/>
                        <a:ext cx="285748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10" name="Straight Connector 209">
                        <a:extLst>
                          <a:ext uri="{FF2B5EF4-FFF2-40B4-BE49-F238E27FC236}">
                            <a16:creationId xmlns:a16="http://schemas.microsoft.com/office/drawing/2014/main" id="{00000000-0008-0000-0400-0000D2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579267" y="19885818"/>
                        <a:ext cx="171451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11" name="TextBox 210">
                        <a:extLst>
                          <a:ext uri="{FF2B5EF4-FFF2-40B4-BE49-F238E27FC236}">
                            <a16:creationId xmlns:a16="http://schemas.microsoft.com/office/drawing/2014/main" id="{00000000-0008-0000-0400-0000D3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681662" y="19627858"/>
                        <a:ext cx="494309" cy="15235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YU1</a:t>
                        </a:r>
                        <a:endParaRPr lang="en-US" sz="900"/>
                      </a:p>
                    </xdr:txBody>
                  </xdr:sp>
                  <xdr:sp macro="" textlink="">
                    <xdr:nvSpPr>
                      <xdr:cNvPr id="212" name="TextBox 211">
                        <a:extLst>
                          <a:ext uri="{FF2B5EF4-FFF2-40B4-BE49-F238E27FC236}">
                            <a16:creationId xmlns:a16="http://schemas.microsoft.com/office/drawing/2014/main" id="{00000000-0008-0000-0400-0000D4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707856" y="20059649"/>
                        <a:ext cx="438248" cy="202575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YL1</a:t>
                        </a:r>
                        <a:endParaRPr lang="en-US" sz="900"/>
                      </a:p>
                    </xdr:txBody>
                  </xdr:sp>
                </xdr:grpSp>
                <xdr:grpSp>
                  <xdr:nvGrpSpPr>
                    <xdr:cNvPr id="23" name="Group 22">
                      <a:extLst>
                        <a:ext uri="{FF2B5EF4-FFF2-40B4-BE49-F238E27FC236}">
                          <a16:creationId xmlns:a16="http://schemas.microsoft.com/office/drawing/2014/main" id="{00000000-0008-0000-0400-000017000000}"/>
                        </a:ext>
                      </a:extLst>
                    </xdr:cNvPr>
                    <xdr:cNvGrpSpPr/>
                  </xdr:nvGrpSpPr>
                  <xdr:grpSpPr>
                    <a:xfrm>
                      <a:off x="4357687" y="20514469"/>
                      <a:ext cx="1054894" cy="187286"/>
                      <a:chOff x="4357687" y="20514469"/>
                      <a:chExt cx="1054894" cy="187286"/>
                    </a:xfrm>
                  </xdr:grpSpPr>
                  <xdr:cxnSp macro="">
                    <xdr:nvCxnSpPr>
                      <xdr:cNvPr id="20" name="Straight Connector 19">
                        <a:extLst>
                          <a:ext uri="{FF2B5EF4-FFF2-40B4-BE49-F238E27FC236}">
                            <a16:creationId xmlns:a16="http://schemas.microsoft.com/office/drawing/2014/main" id="{00000000-0008-0000-0400-000014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357687" y="20519231"/>
                        <a:ext cx="0" cy="166688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2" name="Straight Connector 21">
                        <a:extLst>
                          <a:ext uri="{FF2B5EF4-FFF2-40B4-BE49-F238E27FC236}">
                            <a16:creationId xmlns:a16="http://schemas.microsoft.com/office/drawing/2014/main" id="{00000000-0008-0000-0400-000016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357687" y="20685919"/>
                        <a:ext cx="1054894" cy="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14" name="Straight Connector 213">
                        <a:extLst>
                          <a:ext uri="{FF2B5EF4-FFF2-40B4-BE49-F238E27FC236}">
                            <a16:creationId xmlns:a16="http://schemas.microsoft.com/office/drawing/2014/main" id="{00000000-0008-0000-0400-0000D6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407818" y="20521613"/>
                        <a:ext cx="0" cy="166688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15" name="TextBox 214">
                        <a:extLst>
                          <a:ext uri="{FF2B5EF4-FFF2-40B4-BE49-F238E27FC236}">
                            <a16:creationId xmlns:a16="http://schemas.microsoft.com/office/drawing/2014/main" id="{00000000-0008-0000-0400-0000D7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738687" y="20514469"/>
                        <a:ext cx="380999" cy="18728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bb</a:t>
                        </a:r>
                        <a:endParaRPr lang="en-US" sz="900"/>
                      </a:p>
                    </xdr:txBody>
                  </xdr:sp>
                </xdr:grpSp>
              </xdr:grpSp>
              <xdr:cxnSp macro="">
                <xdr:nvCxnSpPr>
                  <xdr:cNvPr id="216" name="Straight Connector 215">
                    <a:extLst>
                      <a:ext uri="{FF2B5EF4-FFF2-40B4-BE49-F238E27FC236}">
                        <a16:creationId xmlns:a16="http://schemas.microsoft.com/office/drawing/2014/main" id="{00000000-0008-0000-0400-0000D8000000}"/>
                      </a:ext>
                    </a:extLst>
                  </xdr:cNvPr>
                  <xdr:cNvCxnSpPr/>
                </xdr:nvCxnSpPr>
                <xdr:spPr>
                  <a:xfrm flipV="1">
                    <a:off x="4138613" y="19345275"/>
                    <a:ext cx="0" cy="135731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7" name="Straight Connector 216">
                    <a:extLst>
                      <a:ext uri="{FF2B5EF4-FFF2-40B4-BE49-F238E27FC236}">
                        <a16:creationId xmlns:a16="http://schemas.microsoft.com/office/drawing/2014/main" id="{00000000-0008-0000-0400-0000D9000000}"/>
                      </a:ext>
                    </a:extLst>
                  </xdr:cNvPr>
                  <xdr:cNvCxnSpPr/>
                </xdr:nvCxnSpPr>
                <xdr:spPr>
                  <a:xfrm flipV="1">
                    <a:off x="4479131" y="19347656"/>
                    <a:ext cx="0" cy="135731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8" name="Straight Connector 217">
                    <a:extLst>
                      <a:ext uri="{FF2B5EF4-FFF2-40B4-BE49-F238E27FC236}">
                        <a16:creationId xmlns:a16="http://schemas.microsoft.com/office/drawing/2014/main" id="{00000000-0008-0000-0400-0000DA000000}"/>
                      </a:ext>
                    </a:extLst>
                  </xdr:cNvPr>
                  <xdr:cNvCxnSpPr/>
                </xdr:nvCxnSpPr>
                <xdr:spPr>
                  <a:xfrm>
                    <a:off x="4126706" y="19347656"/>
                    <a:ext cx="357188" cy="0"/>
                  </a:xfrm>
                  <a:prstGeom prst="line">
                    <a:avLst/>
                  </a:prstGeom>
                  <a:ln w="3175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9" name="TextBox 218">
                    <a:extLst>
                      <a:ext uri="{FF2B5EF4-FFF2-40B4-BE49-F238E27FC236}">
                        <a16:creationId xmlns:a16="http://schemas.microsoft.com/office/drawing/2014/main" id="{00000000-0008-0000-0400-0000DB000000}"/>
                      </a:ext>
                    </a:extLst>
                  </xdr:cNvPr>
                  <xdr:cNvSpPr txBox="1"/>
                </xdr:nvSpPr>
                <xdr:spPr>
                  <a:xfrm>
                    <a:off x="4146578" y="19188957"/>
                    <a:ext cx="380999" cy="18728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bt</a:t>
                    </a:r>
                    <a:endParaRPr lang="en-US" sz="900"/>
                  </a:p>
                </xdr:txBody>
              </xdr:sp>
            </xdr:grpSp>
            <xdr:cxnSp macro="">
              <xdr:nvCxnSpPr>
                <xdr:cNvPr id="220" name="Straight Connector 219">
                  <a:extLst>
                    <a:ext uri="{FF2B5EF4-FFF2-40B4-BE49-F238E27FC236}">
                      <a16:creationId xmlns:a16="http://schemas.microsoft.com/office/drawing/2014/main" id="{00000000-0008-0000-0400-0000DC000000}"/>
                    </a:ext>
                  </a:extLst>
                </xdr:cNvPr>
                <xdr:cNvCxnSpPr/>
              </xdr:nvCxnSpPr>
              <xdr:spPr>
                <a:xfrm flipH="1">
                  <a:off x="4067175" y="20335875"/>
                  <a:ext cx="552449" cy="0"/>
                </a:xfrm>
                <a:prstGeom prst="line">
                  <a:avLst/>
                </a:prstGeom>
                <a:ln w="3175">
                  <a:headEnd type="none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1" name="Straight Connector 220">
                  <a:extLst>
                    <a:ext uri="{FF2B5EF4-FFF2-40B4-BE49-F238E27FC236}">
                      <a16:creationId xmlns:a16="http://schemas.microsoft.com/office/drawing/2014/main" id="{00000000-0008-0000-0400-0000DD000000}"/>
                    </a:ext>
                  </a:extLst>
                </xdr:cNvPr>
                <xdr:cNvCxnSpPr/>
              </xdr:nvCxnSpPr>
              <xdr:spPr>
                <a:xfrm>
                  <a:off x="4067175" y="20173950"/>
                  <a:ext cx="0" cy="219076"/>
                </a:xfrm>
                <a:prstGeom prst="line">
                  <a:avLst/>
                </a:prstGeom>
                <a:ln w="3175">
                  <a:headEnd type="none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22" name="TextBox 221">
                  <a:extLst>
                    <a:ext uri="{FF2B5EF4-FFF2-40B4-BE49-F238E27FC236}">
                      <a16:creationId xmlns:a16="http://schemas.microsoft.com/office/drawing/2014/main" id="{00000000-0008-0000-0400-0000DE000000}"/>
                    </a:ext>
                  </a:extLst>
                </xdr:cNvPr>
                <xdr:cNvSpPr txBox="1"/>
              </xdr:nvSpPr>
              <xdr:spPr>
                <a:xfrm>
                  <a:off x="3982303" y="20162498"/>
                  <a:ext cx="423862" cy="18728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Hsb</a:t>
                  </a:r>
                  <a:endParaRPr lang="en-US" sz="900"/>
                </a:p>
              </xdr:txBody>
            </xdr:sp>
          </xdr:grpSp>
          <xdr:cxnSp macro="">
            <xdr:nvCxnSpPr>
              <xdr:cNvPr id="223" name="Straight Connector 222">
                <a:extLst>
                  <a:ext uri="{FF2B5EF4-FFF2-40B4-BE49-F238E27FC236}">
                    <a16:creationId xmlns:a16="http://schemas.microsoft.com/office/drawing/2014/main" id="{00000000-0008-0000-0400-0000DF000000}"/>
                  </a:ext>
                </a:extLst>
              </xdr:cNvPr>
              <xdr:cNvCxnSpPr/>
            </xdr:nvCxnSpPr>
            <xdr:spPr>
              <a:xfrm>
                <a:off x="5336946" y="20120335"/>
                <a:ext cx="0" cy="611208"/>
              </a:xfrm>
              <a:prstGeom prst="line">
                <a:avLst/>
              </a:prstGeom>
              <a:ln w="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" name="Arc 34">
                <a:extLst>
                  <a:ext uri="{FF2B5EF4-FFF2-40B4-BE49-F238E27FC236}">
                    <a16:creationId xmlns:a16="http://schemas.microsoft.com/office/drawing/2014/main" id="{00000000-0008-0000-0400-000023000000}"/>
                  </a:ext>
                </a:extLst>
              </xdr:cNvPr>
              <xdr:cNvSpPr/>
            </xdr:nvSpPr>
            <xdr:spPr>
              <a:xfrm rot="244063">
                <a:off x="5324034" y="20374928"/>
                <a:ext cx="101795" cy="149749"/>
              </a:xfrm>
              <a:prstGeom prst="arc">
                <a:avLst>
                  <a:gd name="adj1" fmla="val 12958620"/>
                  <a:gd name="adj2" fmla="val 19536231"/>
                </a:avLst>
              </a:prstGeom>
              <a:ln w="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24" name="TextBox 223">
                <a:extLst>
                  <a:ext uri="{FF2B5EF4-FFF2-40B4-BE49-F238E27FC236}">
                    <a16:creationId xmlns:a16="http://schemas.microsoft.com/office/drawing/2014/main" id="{00000000-0008-0000-0400-0000E0000000}"/>
                  </a:ext>
                </a:extLst>
              </xdr:cNvPr>
              <xdr:cNvSpPr txBox="1"/>
            </xdr:nvSpPr>
            <xdr:spPr>
              <a:xfrm>
                <a:off x="5260844" y="20171889"/>
                <a:ext cx="377282" cy="19779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</a:rPr>
                  <a:t>θ</a:t>
                </a:r>
                <a:endParaRPr lang="en-US" sz="900"/>
              </a:p>
            </xdr:txBody>
          </xdr:sp>
        </xdr:grpSp>
        <xdr:sp macro="" textlink="">
          <xdr:nvSpPr>
            <xdr:cNvPr id="39" name="Isosceles Triangle 38">
              <a:extLst>
                <a:ext uri="{FF2B5EF4-FFF2-40B4-BE49-F238E27FC236}">
                  <a16:creationId xmlns:a16="http://schemas.microsoft.com/office/drawing/2014/main" id="{00000000-0008-0000-0400-000027000000}"/>
                </a:ext>
              </a:extLst>
            </xdr:cNvPr>
            <xdr:cNvSpPr/>
          </xdr:nvSpPr>
          <xdr:spPr>
            <a:xfrm flipH="1">
              <a:off x="4243384" y="19914394"/>
              <a:ext cx="80965" cy="314326"/>
            </a:xfrm>
            <a:prstGeom prst="triangle">
              <a:avLst>
                <a:gd name="adj" fmla="val 100000"/>
              </a:avLst>
            </a:prstGeom>
            <a:noFill/>
            <a:ln w="9525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5" name="TextBox 224">
              <a:extLst>
                <a:ext uri="{FF2B5EF4-FFF2-40B4-BE49-F238E27FC236}">
                  <a16:creationId xmlns:a16="http://schemas.microsoft.com/office/drawing/2014/main" id="{00000000-0008-0000-0400-0000E1000000}"/>
                </a:ext>
              </a:extLst>
            </xdr:cNvPr>
            <xdr:cNvSpPr txBox="1"/>
          </xdr:nvSpPr>
          <xdr:spPr>
            <a:xfrm>
              <a:off x="4071550" y="19991257"/>
              <a:ext cx="377282" cy="19684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1</a:t>
              </a:r>
              <a:endParaRPr lang="en-US" sz="900"/>
            </a:p>
          </xdr:txBody>
        </xdr:sp>
        <xdr:sp macro="" textlink="">
          <xdr:nvSpPr>
            <xdr:cNvPr id="226" name="TextBox 225">
              <a:extLst>
                <a:ext uri="{FF2B5EF4-FFF2-40B4-BE49-F238E27FC236}">
                  <a16:creationId xmlns:a16="http://schemas.microsoft.com/office/drawing/2014/main" id="{00000000-0008-0000-0400-0000E2000000}"/>
                </a:ext>
              </a:extLst>
            </xdr:cNvPr>
            <xdr:cNvSpPr txBox="1"/>
          </xdr:nvSpPr>
          <xdr:spPr>
            <a:xfrm>
              <a:off x="4169789" y="20194658"/>
              <a:ext cx="377282" cy="19684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S</a:t>
              </a:r>
              <a:endParaRPr lang="en-US" sz="900"/>
            </a:p>
          </xdr:txBody>
        </xdr:sp>
      </xdr:grpSp>
      <xdr:sp macro="" textlink="">
        <xdr:nvSpPr>
          <xdr:cNvPr id="227" name="TextBox 226">
            <a:extLst>
              <a:ext uri="{FF2B5EF4-FFF2-40B4-BE49-F238E27FC236}">
                <a16:creationId xmlns:a16="http://schemas.microsoft.com/office/drawing/2014/main" id="{00000000-0008-0000-0400-0000E3000000}"/>
              </a:ext>
            </a:extLst>
          </xdr:cNvPr>
          <xdr:cNvSpPr txBox="1"/>
        </xdr:nvSpPr>
        <xdr:spPr>
          <a:xfrm>
            <a:off x="4521993" y="19923918"/>
            <a:ext cx="826295" cy="1968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/>
              <a:t>Neutral Axis</a:t>
            </a:r>
            <a:endParaRPr lang="en-US" sz="900"/>
          </a:p>
        </xdr:txBody>
      </xdr:sp>
    </xdr:grpSp>
    <xdr:clientData/>
  </xdr:twoCellAnchor>
  <xdr:twoCellAnchor>
    <xdr:from>
      <xdr:col>7</xdr:col>
      <xdr:colOff>82542</xdr:colOff>
      <xdr:row>294</xdr:row>
      <xdr:rowOff>117090</xdr:rowOff>
    </xdr:from>
    <xdr:to>
      <xdr:col>13</xdr:col>
      <xdr:colOff>88444</xdr:colOff>
      <xdr:row>303</xdr:row>
      <xdr:rowOff>40828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pSpPr/>
      </xdr:nvGrpSpPr>
      <xdr:grpSpPr>
        <a:xfrm>
          <a:off x="3382274" y="55183496"/>
          <a:ext cx="2846393" cy="1607622"/>
          <a:chOff x="3261262" y="33866205"/>
          <a:chExt cx="2870632" cy="1638238"/>
        </a:xfrm>
      </xdr:grpSpPr>
      <xdr:grpSp>
        <xdr:nvGrpSpPr>
          <xdr:cNvPr id="409" name="Group 408">
            <a:extLst>
              <a:ext uri="{FF2B5EF4-FFF2-40B4-BE49-F238E27FC236}">
                <a16:creationId xmlns:a16="http://schemas.microsoft.com/office/drawing/2014/main" id="{00000000-0008-0000-0400-000099010000}"/>
              </a:ext>
            </a:extLst>
          </xdr:cNvPr>
          <xdr:cNvGrpSpPr/>
        </xdr:nvGrpSpPr>
        <xdr:grpSpPr>
          <a:xfrm>
            <a:off x="3261262" y="33866205"/>
            <a:ext cx="2870632" cy="1638238"/>
            <a:chOff x="3343274" y="33758981"/>
            <a:chExt cx="2875256" cy="1640471"/>
          </a:xfrm>
        </xdr:grpSpPr>
        <xdr:cxnSp macro="">
          <xdr:nvCxnSpPr>
            <xdr:cNvPr id="388" name="Straight Connector 387">
              <a:extLst>
                <a:ext uri="{FF2B5EF4-FFF2-40B4-BE49-F238E27FC236}">
                  <a16:creationId xmlns:a16="http://schemas.microsoft.com/office/drawing/2014/main" id="{00000000-0008-0000-0400-000084010000}"/>
                </a:ext>
              </a:extLst>
            </xdr:cNvPr>
            <xdr:cNvCxnSpPr/>
          </xdr:nvCxnSpPr>
          <xdr:spPr>
            <a:xfrm flipH="1">
              <a:off x="3586162" y="34061400"/>
              <a:ext cx="169778" cy="0"/>
            </a:xfrm>
            <a:prstGeom prst="line">
              <a:avLst/>
            </a:prstGeom>
            <a:ln w="3175">
              <a:headEnd type="none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388">
              <a:extLst>
                <a:ext uri="{FF2B5EF4-FFF2-40B4-BE49-F238E27FC236}">
                  <a16:creationId xmlns:a16="http://schemas.microsoft.com/office/drawing/2014/main" id="{00000000-0008-0000-0400-000085010000}"/>
                </a:ext>
              </a:extLst>
            </xdr:cNvPr>
            <xdr:cNvCxnSpPr/>
          </xdr:nvCxnSpPr>
          <xdr:spPr>
            <a:xfrm>
              <a:off x="3586163" y="34063782"/>
              <a:ext cx="0" cy="235743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389">
              <a:extLst>
                <a:ext uri="{FF2B5EF4-FFF2-40B4-BE49-F238E27FC236}">
                  <a16:creationId xmlns:a16="http://schemas.microsoft.com/office/drawing/2014/main" id="{00000000-0008-0000-0400-000086010000}"/>
                </a:ext>
              </a:extLst>
            </xdr:cNvPr>
            <xdr:cNvCxnSpPr/>
          </xdr:nvCxnSpPr>
          <xdr:spPr>
            <a:xfrm flipH="1">
              <a:off x="3583781" y="34175700"/>
              <a:ext cx="169778" cy="0"/>
            </a:xfrm>
            <a:prstGeom prst="line">
              <a:avLst/>
            </a:prstGeom>
            <a:ln w="3175">
              <a:headEnd type="none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400-000088010000}"/>
                </a:ext>
              </a:extLst>
            </xdr:cNvPr>
            <xdr:cNvCxnSpPr/>
          </xdr:nvCxnSpPr>
          <xdr:spPr>
            <a:xfrm flipH="1">
              <a:off x="3583784" y="34299526"/>
              <a:ext cx="164304" cy="0"/>
            </a:xfrm>
            <a:prstGeom prst="line">
              <a:avLst/>
            </a:prstGeom>
            <a:ln w="3175">
              <a:headEnd type="none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5" name="TextBox 394">
              <a:extLst>
                <a:ext uri="{FF2B5EF4-FFF2-40B4-BE49-F238E27FC236}">
                  <a16:creationId xmlns:a16="http://schemas.microsoft.com/office/drawing/2014/main" id="{00000000-0008-0000-0400-00008B010000}"/>
                </a:ext>
              </a:extLst>
            </xdr:cNvPr>
            <xdr:cNvSpPr txBox="1"/>
          </xdr:nvSpPr>
          <xdr:spPr>
            <a:xfrm>
              <a:off x="3343274" y="33992344"/>
              <a:ext cx="304185" cy="2200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ts</a:t>
              </a:r>
              <a:endParaRPr lang="en-US" sz="900"/>
            </a:p>
          </xdr:txBody>
        </xdr:sp>
        <xdr:sp macro="" textlink="">
          <xdr:nvSpPr>
            <xdr:cNvPr id="396" name="TextBox 395">
              <a:extLst>
                <a:ext uri="{FF2B5EF4-FFF2-40B4-BE49-F238E27FC236}">
                  <a16:creationId xmlns:a16="http://schemas.microsoft.com/office/drawing/2014/main" id="{00000000-0008-0000-0400-00008C010000}"/>
                </a:ext>
              </a:extLst>
            </xdr:cNvPr>
            <xdr:cNvSpPr txBox="1"/>
          </xdr:nvSpPr>
          <xdr:spPr>
            <a:xfrm>
              <a:off x="3343426" y="34138698"/>
              <a:ext cx="304185" cy="2200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th</a:t>
              </a:r>
              <a:endParaRPr lang="en-US" sz="900"/>
            </a:p>
          </xdr:txBody>
        </xdr:sp>
        <xdr:grpSp>
          <xdr:nvGrpSpPr>
            <xdr:cNvPr id="408" name="Group 407">
              <a:extLst>
                <a:ext uri="{FF2B5EF4-FFF2-40B4-BE49-F238E27FC236}">
                  <a16:creationId xmlns:a16="http://schemas.microsoft.com/office/drawing/2014/main" id="{00000000-0008-0000-0400-000098010000}"/>
                </a:ext>
              </a:extLst>
            </xdr:cNvPr>
            <xdr:cNvGrpSpPr/>
          </xdr:nvGrpSpPr>
          <xdr:grpSpPr>
            <a:xfrm>
              <a:off x="3642245" y="33758981"/>
              <a:ext cx="2576285" cy="1640471"/>
              <a:chOff x="3642245" y="33758981"/>
              <a:chExt cx="2576285" cy="1640471"/>
            </a:xfrm>
          </xdr:grpSpPr>
          <xdr:grpSp>
            <xdr:nvGrpSpPr>
              <xdr:cNvPr id="387" name="Group 386">
                <a:extLst>
                  <a:ext uri="{FF2B5EF4-FFF2-40B4-BE49-F238E27FC236}">
                    <a16:creationId xmlns:a16="http://schemas.microsoft.com/office/drawing/2014/main" id="{00000000-0008-0000-0400-000083010000}"/>
                  </a:ext>
                </a:extLst>
              </xdr:cNvPr>
              <xdr:cNvGrpSpPr/>
            </xdr:nvGrpSpPr>
            <xdr:grpSpPr>
              <a:xfrm>
                <a:off x="3642245" y="33758981"/>
                <a:ext cx="2576285" cy="1640471"/>
                <a:chOff x="3642245" y="33758981"/>
                <a:chExt cx="2576285" cy="1640471"/>
              </a:xfrm>
            </xdr:grpSpPr>
            <xdr:grpSp>
              <xdr:nvGrpSpPr>
                <xdr:cNvPr id="379" name="Group 378">
                  <a:extLst>
                    <a:ext uri="{FF2B5EF4-FFF2-40B4-BE49-F238E27FC236}">
                      <a16:creationId xmlns:a16="http://schemas.microsoft.com/office/drawing/2014/main" id="{00000000-0008-0000-0400-00007B010000}"/>
                    </a:ext>
                  </a:extLst>
                </xdr:cNvPr>
                <xdr:cNvGrpSpPr/>
              </xdr:nvGrpSpPr>
              <xdr:grpSpPr>
                <a:xfrm>
                  <a:off x="3642245" y="34053491"/>
                  <a:ext cx="2576285" cy="1345961"/>
                  <a:chOff x="3642245" y="34053491"/>
                  <a:chExt cx="2576285" cy="1345961"/>
                </a:xfrm>
              </xdr:grpSpPr>
              <xdr:sp macro="" textlink="">
                <xdr:nvSpPr>
                  <xdr:cNvPr id="378" name="Freeform 377">
                    <a:extLst>
                      <a:ext uri="{FF2B5EF4-FFF2-40B4-BE49-F238E27FC236}">
                        <a16:creationId xmlns:a16="http://schemas.microsoft.com/office/drawing/2014/main" id="{00000000-0008-0000-0400-00007A010000}"/>
                      </a:ext>
                    </a:extLst>
                  </xdr:cNvPr>
                  <xdr:cNvSpPr/>
                </xdr:nvSpPr>
                <xdr:spPr>
                  <a:xfrm>
                    <a:off x="3810000" y="34053491"/>
                    <a:ext cx="2240756" cy="235744"/>
                  </a:xfrm>
                  <a:custGeom>
                    <a:avLst/>
                    <a:gdLst>
                      <a:gd name="connsiteX0" fmla="*/ 0 w 2240756"/>
                      <a:gd name="connsiteY0" fmla="*/ 0 h 235744"/>
                      <a:gd name="connsiteX1" fmla="*/ 2240756 w 2240756"/>
                      <a:gd name="connsiteY1" fmla="*/ 0 h 235744"/>
                      <a:gd name="connsiteX2" fmla="*/ 2240756 w 2240756"/>
                      <a:gd name="connsiteY2" fmla="*/ 119063 h 235744"/>
                      <a:gd name="connsiteX3" fmla="*/ 1969294 w 2240756"/>
                      <a:gd name="connsiteY3" fmla="*/ 119063 h 235744"/>
                      <a:gd name="connsiteX4" fmla="*/ 1854994 w 2240756"/>
                      <a:gd name="connsiteY4" fmla="*/ 233363 h 235744"/>
                      <a:gd name="connsiteX5" fmla="*/ 1521619 w 2240756"/>
                      <a:gd name="connsiteY5" fmla="*/ 233363 h 235744"/>
                      <a:gd name="connsiteX6" fmla="*/ 1409700 w 2240756"/>
                      <a:gd name="connsiteY6" fmla="*/ 121444 h 235744"/>
                      <a:gd name="connsiteX7" fmla="*/ 842963 w 2240756"/>
                      <a:gd name="connsiteY7" fmla="*/ 121444 h 235744"/>
                      <a:gd name="connsiteX8" fmla="*/ 728663 w 2240756"/>
                      <a:gd name="connsiteY8" fmla="*/ 235744 h 235744"/>
                      <a:gd name="connsiteX9" fmla="*/ 385763 w 2240756"/>
                      <a:gd name="connsiteY9" fmla="*/ 235744 h 235744"/>
                      <a:gd name="connsiteX10" fmla="*/ 266700 w 2240756"/>
                      <a:gd name="connsiteY10" fmla="*/ 116681 h 235744"/>
                      <a:gd name="connsiteX11" fmla="*/ 2381 w 2240756"/>
                      <a:gd name="connsiteY11" fmla="*/ 116681 h 235744"/>
                      <a:gd name="connsiteX12" fmla="*/ 0 w 2240756"/>
                      <a:gd name="connsiteY12" fmla="*/ 0 h 235744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2240756" h="235744">
                        <a:moveTo>
                          <a:pt x="0" y="0"/>
                        </a:moveTo>
                        <a:lnTo>
                          <a:pt x="2240756" y="0"/>
                        </a:lnTo>
                        <a:lnTo>
                          <a:pt x="2240756" y="119063"/>
                        </a:lnTo>
                        <a:lnTo>
                          <a:pt x="1969294" y="119063"/>
                        </a:lnTo>
                        <a:lnTo>
                          <a:pt x="1854994" y="233363"/>
                        </a:lnTo>
                        <a:lnTo>
                          <a:pt x="1521619" y="233363"/>
                        </a:lnTo>
                        <a:lnTo>
                          <a:pt x="1409700" y="121444"/>
                        </a:lnTo>
                        <a:lnTo>
                          <a:pt x="842963" y="121444"/>
                        </a:lnTo>
                        <a:lnTo>
                          <a:pt x="728663" y="235744"/>
                        </a:lnTo>
                        <a:lnTo>
                          <a:pt x="385763" y="235744"/>
                        </a:lnTo>
                        <a:lnTo>
                          <a:pt x="266700" y="116681"/>
                        </a:lnTo>
                        <a:lnTo>
                          <a:pt x="2381" y="116681"/>
                        </a:lnTo>
                        <a:cubicBezTo>
                          <a:pt x="1587" y="77787"/>
                          <a:pt x="794" y="38894"/>
                          <a:pt x="0" y="0"/>
                        </a:cubicBezTo>
                        <a:close/>
                      </a:path>
                    </a:pathLst>
                  </a:custGeom>
                  <a:pattFill prst="pct20">
                    <a:fgClr>
                      <a:schemeClr val="accent1"/>
                    </a:fgClr>
                    <a:bgClr>
                      <a:schemeClr val="bg1"/>
                    </a:bgClr>
                  </a:pattFill>
                  <a:ln w="19050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305" name="Group 304">
                    <a:extLst>
                      <a:ext uri="{FF2B5EF4-FFF2-40B4-BE49-F238E27FC236}">
                        <a16:creationId xmlns:a16="http://schemas.microsoft.com/office/drawing/2014/main" id="{00000000-0008-0000-0400-000031010000}"/>
                      </a:ext>
                    </a:extLst>
                  </xdr:cNvPr>
                  <xdr:cNvGrpSpPr/>
                </xdr:nvGrpSpPr>
                <xdr:grpSpPr>
                  <a:xfrm>
                    <a:off x="3642245" y="34154426"/>
                    <a:ext cx="2576285" cy="1245026"/>
                    <a:chOff x="3685326" y="19639823"/>
                    <a:chExt cx="2576285" cy="1113705"/>
                  </a:xfrm>
                </xdr:grpSpPr>
                <xdr:grpSp>
                  <xdr:nvGrpSpPr>
                    <xdr:cNvPr id="306" name="Group 305">
                      <a:extLst>
                        <a:ext uri="{FF2B5EF4-FFF2-40B4-BE49-F238E27FC236}">
                          <a16:creationId xmlns:a16="http://schemas.microsoft.com/office/drawing/2014/main" id="{00000000-0008-0000-0400-000032010000}"/>
                        </a:ext>
                      </a:extLst>
                    </xdr:cNvPr>
                    <xdr:cNvGrpSpPr/>
                  </xdr:nvGrpSpPr>
                  <xdr:grpSpPr>
                    <a:xfrm>
                      <a:off x="3685326" y="19639823"/>
                      <a:ext cx="2576285" cy="1113705"/>
                      <a:chOff x="3685326" y="19639823"/>
                      <a:chExt cx="2576285" cy="1113705"/>
                    </a:xfrm>
                  </xdr:grpSpPr>
                  <xdr:grpSp>
                    <xdr:nvGrpSpPr>
                      <xdr:cNvPr id="321" name="Group 320">
                        <a:extLst>
                          <a:ext uri="{FF2B5EF4-FFF2-40B4-BE49-F238E27FC236}">
                            <a16:creationId xmlns:a16="http://schemas.microsoft.com/office/drawing/2014/main" id="{00000000-0008-0000-0400-000041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85326" y="19639823"/>
                        <a:ext cx="2576285" cy="1113705"/>
                        <a:chOff x="3579019" y="19454020"/>
                        <a:chExt cx="2601663" cy="1059616"/>
                      </a:xfrm>
                    </xdr:grpSpPr>
                    <xdr:grpSp>
                      <xdr:nvGrpSpPr>
                        <xdr:cNvPr id="327" name="Group 326">
                          <a:extLst>
                            <a:ext uri="{FF2B5EF4-FFF2-40B4-BE49-F238E27FC236}">
                              <a16:creationId xmlns:a16="http://schemas.microsoft.com/office/drawing/2014/main" id="{00000000-0008-0000-0400-000047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579019" y="19454020"/>
                          <a:ext cx="2047247" cy="1059616"/>
                          <a:chOff x="3579019" y="19454020"/>
                          <a:chExt cx="2047247" cy="1059616"/>
                        </a:xfrm>
                      </xdr:grpSpPr>
                      <xdr:grpSp>
                        <xdr:nvGrpSpPr>
                          <xdr:cNvPr id="335" name="그룹 30">
                            <a:extLst>
                              <a:ext uri="{FF2B5EF4-FFF2-40B4-BE49-F238E27FC236}">
                                <a16:creationId xmlns:a16="http://schemas.microsoft.com/office/drawing/2014/main" id="{00000000-0008-0000-0400-00004F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135323" y="19543267"/>
                            <a:ext cx="1490943" cy="882081"/>
                            <a:chOff x="4444381" y="313952"/>
                            <a:chExt cx="1570114" cy="1069110"/>
                          </a:xfrm>
                        </xdr:grpSpPr>
                        <xdr:grpSp>
                          <xdr:nvGrpSpPr>
                            <xdr:cNvPr id="344" name="그룹 7">
                              <a:extLst>
                                <a:ext uri="{FF2B5EF4-FFF2-40B4-BE49-F238E27FC236}">
                                  <a16:creationId xmlns:a16="http://schemas.microsoft.com/office/drawing/2014/main" id="{00000000-0008-0000-0400-000058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444381" y="315446"/>
                              <a:ext cx="1421154" cy="1067616"/>
                              <a:chOff x="2971800" y="381000"/>
                              <a:chExt cx="1422339" cy="1061287"/>
                            </a:xfrm>
                          </xdr:grpSpPr>
                          <xdr:cxnSp macro="">
                            <xdr:nvCxnSpPr>
                              <xdr:cNvPr id="346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A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1111112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347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B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348" name="직선 연결선 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C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4166565" y="399805"/>
                                <a:ext cx="227574" cy="1036150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349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D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345" name="직선 연결선 29">
                              <a:extLst>
                                <a:ext uri="{FF2B5EF4-FFF2-40B4-BE49-F238E27FC236}">
                                  <a16:creationId xmlns:a16="http://schemas.microsoft.com/office/drawing/2014/main" id="{00000000-0008-0000-0400-000059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51145" y="313952"/>
                              <a:ext cx="363350" cy="0"/>
                            </a:xfrm>
                            <a:prstGeom prst="line">
                              <a:avLst/>
                            </a:prstGeom>
                            <a:ln w="762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336" name="Straight Connector 335">
                            <a:extLst>
                              <a:ext uri="{FF2B5EF4-FFF2-40B4-BE49-F238E27FC236}">
                                <a16:creationId xmlns:a16="http://schemas.microsoft.com/office/drawing/2014/main" id="{00000000-0008-0000-0400-000050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19" y="19509581"/>
                            <a:ext cx="171451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7" name="Straight Connector 336">
                            <a:extLst>
                              <a:ext uri="{FF2B5EF4-FFF2-40B4-BE49-F238E27FC236}">
                                <a16:creationId xmlns:a16="http://schemas.microsoft.com/office/drawing/2014/main" id="{00000000-0008-0000-0400-000051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883819" y="19511963"/>
                            <a:ext cx="0" cy="971550"/>
                          </a:xfrm>
                          <a:prstGeom prst="line">
                            <a:avLst/>
                          </a:prstGeom>
                          <a:ln w="3175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8" name="Straight Connector 337">
                            <a:extLst>
                              <a:ext uri="{FF2B5EF4-FFF2-40B4-BE49-F238E27FC236}">
                                <a16:creationId xmlns:a16="http://schemas.microsoft.com/office/drawing/2014/main" id="{00000000-0008-0000-0400-000052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18" y="19576539"/>
                            <a:ext cx="171451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9" name="Straight Connector 338">
                            <a:extLst>
                              <a:ext uri="{FF2B5EF4-FFF2-40B4-BE49-F238E27FC236}">
                                <a16:creationId xmlns:a16="http://schemas.microsoft.com/office/drawing/2014/main" id="{00000000-0008-0000-0400-000053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20" y="20393025"/>
                            <a:ext cx="433386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0" name="Straight Connector 339">
                            <a:extLst>
                              <a:ext uri="{FF2B5EF4-FFF2-40B4-BE49-F238E27FC236}">
                                <a16:creationId xmlns:a16="http://schemas.microsoft.com/office/drawing/2014/main" id="{00000000-0008-0000-0400-000054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19" y="20457885"/>
                            <a:ext cx="433386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341" name="TextBox 340">
                            <a:extLst>
                              <a:ext uri="{FF2B5EF4-FFF2-40B4-BE49-F238E27FC236}">
                                <a16:creationId xmlns:a16="http://schemas.microsoft.com/office/drawing/2014/main" id="{00000000-0008-0000-0400-000055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648757" y="19454020"/>
                            <a:ext cx="307182" cy="1872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tt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42" name="TextBox 341">
                            <a:extLst>
                              <a:ext uri="{FF2B5EF4-FFF2-40B4-BE49-F238E27FC236}">
                                <a16:creationId xmlns:a16="http://schemas.microsoft.com/office/drawing/2014/main" id="{00000000-0008-0000-0400-000056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579019" y="19888200"/>
                            <a:ext cx="380999" cy="1872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Dw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43" name="TextBox 342">
                            <a:extLst>
                              <a:ext uri="{FF2B5EF4-FFF2-40B4-BE49-F238E27FC236}">
                                <a16:creationId xmlns:a16="http://schemas.microsoft.com/office/drawing/2014/main" id="{00000000-0008-0000-0400-000057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598069" y="20326350"/>
                            <a:ext cx="380999" cy="1872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tb</a:t>
                            </a:r>
                            <a:endParaRPr lang="en-US" sz="900"/>
                          </a:p>
                        </xdr:txBody>
                      </xdr:sp>
                    </xdr:grpSp>
                    <xdr:cxnSp macro="">
                      <xdr:nvCxnSpPr>
                        <xdr:cNvPr id="328" name="Straight Connector 327">
                          <a:extLst>
                            <a:ext uri="{FF2B5EF4-FFF2-40B4-BE49-F238E27FC236}">
                              <a16:creationId xmlns:a16="http://schemas.microsoft.com/office/drawing/2014/main" id="{00000000-0008-0000-0400-000048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195763" y="19885819"/>
                          <a:ext cx="1550193" cy="0"/>
                        </a:xfrm>
                        <a:prstGeom prst="line">
                          <a:avLst/>
                        </a:prstGeom>
                        <a:ln w="0">
                          <a:solidFill>
                            <a:srgbClr val="C00000"/>
                          </a:solidFill>
                          <a:prstDash val="sys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29" name="Straight Connector 328">
                          <a:extLst>
                            <a:ext uri="{FF2B5EF4-FFF2-40B4-BE49-F238E27FC236}">
                              <a16:creationId xmlns:a16="http://schemas.microsoft.com/office/drawing/2014/main" id="{00000000-0008-0000-0400-000049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38802" y="19510900"/>
                          <a:ext cx="223771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0" name="Straight Connector 329">
                          <a:extLst>
                            <a:ext uri="{FF2B5EF4-FFF2-40B4-BE49-F238E27FC236}">
                              <a16:creationId xmlns:a16="http://schemas.microsoft.com/office/drawing/2014/main" id="{00000000-0008-0000-0400-00004A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859106" y="19500056"/>
                          <a:ext cx="0" cy="97155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1" name="Straight Connector 330">
                          <a:extLst>
                            <a:ext uri="{FF2B5EF4-FFF2-40B4-BE49-F238E27FC236}">
                              <a16:creationId xmlns:a16="http://schemas.microsoft.com/office/drawing/2014/main" id="{00000000-0008-0000-0400-00004B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464969" y="20458025"/>
                          <a:ext cx="397605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2" name="Straight Connector 331">
                          <a:extLst>
                            <a:ext uri="{FF2B5EF4-FFF2-40B4-BE49-F238E27FC236}">
                              <a16:creationId xmlns:a16="http://schemas.microsoft.com/office/drawing/2014/main" id="{00000000-0008-0000-0400-00004C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579267" y="19885818"/>
                          <a:ext cx="280898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333" name="TextBox 332">
                          <a:extLst>
                            <a:ext uri="{FF2B5EF4-FFF2-40B4-BE49-F238E27FC236}">
                              <a16:creationId xmlns:a16="http://schemas.microsoft.com/office/drawing/2014/main" id="{00000000-0008-0000-0400-00004D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99683" y="19594955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YU3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334" name="TextBox 333">
                          <a:extLst>
                            <a:ext uri="{FF2B5EF4-FFF2-40B4-BE49-F238E27FC236}">
                              <a16:creationId xmlns:a16="http://schemas.microsoft.com/office/drawing/2014/main" id="{00000000-0008-0000-0400-00004E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92156" y="20055592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YL3</a:t>
                          </a:r>
                          <a:endParaRPr lang="en-US" sz="900"/>
                        </a:p>
                      </xdr:txBody>
                    </xdr:sp>
                  </xdr:grpSp>
                  <xdr:sp macro="" textlink="">
                    <xdr:nvSpPr>
                      <xdr:cNvPr id="309" name="Isosceles Triangle 308">
                        <a:extLst>
                          <a:ext uri="{FF2B5EF4-FFF2-40B4-BE49-F238E27FC236}">
                            <a16:creationId xmlns:a16="http://schemas.microsoft.com/office/drawing/2014/main" id="{00000000-0008-0000-0400-000035010000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4243384" y="19914394"/>
                        <a:ext cx="80965" cy="314326"/>
                      </a:xfrm>
                      <a:prstGeom prst="triangle">
                        <a:avLst>
                          <a:gd name="adj" fmla="val 100000"/>
                        </a:avLst>
                      </a:prstGeom>
                      <a:noFill/>
                      <a:ln w="9525">
                        <a:solidFill>
                          <a:srgbClr val="C0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310" name="TextBox 309">
                        <a:extLst>
                          <a:ext uri="{FF2B5EF4-FFF2-40B4-BE49-F238E27FC236}">
                            <a16:creationId xmlns:a16="http://schemas.microsoft.com/office/drawing/2014/main" id="{00000000-0008-0000-0400-000036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082186" y="20001595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1</a:t>
                        </a:r>
                        <a:endParaRPr lang="en-US" sz="900"/>
                      </a:p>
                    </xdr:txBody>
                  </xdr:sp>
                  <xdr:sp macro="" textlink="">
                    <xdr:nvSpPr>
                      <xdr:cNvPr id="311" name="TextBox 310">
                        <a:extLst>
                          <a:ext uri="{FF2B5EF4-FFF2-40B4-BE49-F238E27FC236}">
                            <a16:creationId xmlns:a16="http://schemas.microsoft.com/office/drawing/2014/main" id="{00000000-0008-0000-0400-000037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173349" y="20199066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S</a:t>
                        </a:r>
                        <a:endParaRPr lang="en-US" sz="900"/>
                      </a:p>
                    </xdr:txBody>
                  </xdr:sp>
                </xdr:grpSp>
                <xdr:sp macro="" textlink="">
                  <xdr:nvSpPr>
                    <xdr:cNvPr id="307" name="TextBox 306">
                      <a:extLst>
                        <a:ext uri="{FF2B5EF4-FFF2-40B4-BE49-F238E27FC236}">
                          <a16:creationId xmlns:a16="http://schemas.microsoft.com/office/drawing/2014/main" id="{00000000-0008-0000-0400-000033010000}"/>
                        </a:ext>
                      </a:extLst>
                    </xdr:cNvPr>
                    <xdr:cNvSpPr txBox="1"/>
                  </xdr:nvSpPr>
                  <xdr:spPr>
                    <a:xfrm>
                      <a:off x="4521993" y="19923918"/>
                      <a:ext cx="826295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Neutral Axis</a:t>
                      </a:r>
                      <a:endParaRPr lang="en-US" sz="900"/>
                    </a:p>
                  </xdr:txBody>
                </xdr:sp>
              </xdr:grpSp>
            </xdr:grpSp>
            <xdr:cxnSp macro="">
              <xdr:nvCxnSpPr>
                <xdr:cNvPr id="380" name="Straight Connector 379">
                  <a:extLst>
                    <a:ext uri="{FF2B5EF4-FFF2-40B4-BE49-F238E27FC236}">
                      <a16:creationId xmlns:a16="http://schemas.microsoft.com/office/drawing/2014/main" id="{00000000-0008-0000-0400-00007C010000}"/>
                    </a:ext>
                  </a:extLst>
                </xdr:cNvPr>
                <xdr:cNvCxnSpPr/>
              </xdr:nvCxnSpPr>
              <xdr:spPr>
                <a:xfrm flipV="1">
                  <a:off x="3807618" y="33935194"/>
                  <a:ext cx="0" cy="107156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3" name="Straight Connector 382">
                  <a:extLst>
                    <a:ext uri="{FF2B5EF4-FFF2-40B4-BE49-F238E27FC236}">
                      <a16:creationId xmlns:a16="http://schemas.microsoft.com/office/drawing/2014/main" id="{00000000-0008-0000-0400-00007F010000}"/>
                    </a:ext>
                  </a:extLst>
                </xdr:cNvPr>
                <xdr:cNvCxnSpPr/>
              </xdr:nvCxnSpPr>
              <xdr:spPr>
                <a:xfrm>
                  <a:off x="3807618" y="33935193"/>
                  <a:ext cx="2240757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5" name="Straight Connector 384">
                  <a:extLst>
                    <a:ext uri="{FF2B5EF4-FFF2-40B4-BE49-F238E27FC236}">
                      <a16:creationId xmlns:a16="http://schemas.microsoft.com/office/drawing/2014/main" id="{00000000-0008-0000-0400-000081010000}"/>
                    </a:ext>
                  </a:extLst>
                </xdr:cNvPr>
                <xdr:cNvCxnSpPr/>
              </xdr:nvCxnSpPr>
              <xdr:spPr>
                <a:xfrm flipV="1">
                  <a:off x="6048375" y="33935194"/>
                  <a:ext cx="0" cy="107156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86" name="TextBox 385">
                  <a:extLst>
                    <a:ext uri="{FF2B5EF4-FFF2-40B4-BE49-F238E27FC236}">
                      <a16:creationId xmlns:a16="http://schemas.microsoft.com/office/drawing/2014/main" id="{00000000-0008-0000-0400-000082010000}"/>
                    </a:ext>
                  </a:extLst>
                </xdr:cNvPr>
                <xdr:cNvSpPr txBox="1"/>
              </xdr:nvSpPr>
              <xdr:spPr>
                <a:xfrm>
                  <a:off x="4833937" y="33758981"/>
                  <a:ext cx="304185" cy="22005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bs</a:t>
                  </a:r>
                  <a:endParaRPr lang="en-US" sz="900"/>
                </a:p>
              </xdr:txBody>
            </xdr:sp>
          </xdr:grpSp>
          <xdr:cxnSp macro="">
            <xdr:nvCxnSpPr>
              <xdr:cNvPr id="399" name="Straight Connector 398">
                <a:extLst>
                  <a:ext uri="{FF2B5EF4-FFF2-40B4-BE49-F238E27FC236}">
                    <a16:creationId xmlns:a16="http://schemas.microsoft.com/office/drawing/2014/main" id="{00000000-0008-0000-0400-00008F010000}"/>
                  </a:ext>
                </a:extLst>
              </xdr:cNvPr>
              <xdr:cNvCxnSpPr/>
            </xdr:nvCxnSpPr>
            <xdr:spPr>
              <a:xfrm>
                <a:off x="5212556" y="34206656"/>
                <a:ext cx="0" cy="202407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02" name="Straight Connector 401">
                <a:extLst>
                  <a:ext uri="{FF2B5EF4-FFF2-40B4-BE49-F238E27FC236}">
                    <a16:creationId xmlns:a16="http://schemas.microsoft.com/office/drawing/2014/main" id="{00000000-0008-0000-0400-000092010000}"/>
                  </a:ext>
                </a:extLst>
              </xdr:cNvPr>
              <xdr:cNvCxnSpPr/>
            </xdr:nvCxnSpPr>
            <xdr:spPr>
              <a:xfrm>
                <a:off x="5331619" y="34290000"/>
                <a:ext cx="0" cy="121444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04" name="Straight Connector 403">
                <a:extLst>
                  <a:ext uri="{FF2B5EF4-FFF2-40B4-BE49-F238E27FC236}">
                    <a16:creationId xmlns:a16="http://schemas.microsoft.com/office/drawing/2014/main" id="{00000000-0008-0000-0400-000094010000}"/>
                  </a:ext>
                </a:extLst>
              </xdr:cNvPr>
              <xdr:cNvCxnSpPr/>
            </xdr:nvCxnSpPr>
            <xdr:spPr>
              <a:xfrm>
                <a:off x="5007769" y="34409062"/>
                <a:ext cx="3333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07" name="TextBox 406">
                <a:extLst>
                  <a:ext uri="{FF2B5EF4-FFF2-40B4-BE49-F238E27FC236}">
                    <a16:creationId xmlns:a16="http://schemas.microsoft.com/office/drawing/2014/main" id="{00000000-0008-0000-0400-000097010000}"/>
                  </a:ext>
                </a:extLst>
              </xdr:cNvPr>
              <xdr:cNvSpPr txBox="1"/>
            </xdr:nvSpPr>
            <xdr:spPr>
              <a:xfrm>
                <a:off x="4920173" y="34232129"/>
                <a:ext cx="347599" cy="22005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bh</a:t>
                </a:r>
                <a:endParaRPr lang="en-US" sz="900"/>
              </a:p>
            </xdr:txBody>
          </xdr:sp>
        </xdr:grpSp>
      </xdr:grpSp>
      <xdr:cxnSp macro="">
        <xdr:nvCxnSpPr>
          <xdr:cNvPr id="691" name="직선 연결선 32">
            <a:extLst>
              <a:ext uri="{FF2B5EF4-FFF2-40B4-BE49-F238E27FC236}">
                <a16:creationId xmlns:a16="http://schemas.microsoft.com/office/drawing/2014/main" id="{00000000-0008-0000-0400-0000B3020000}"/>
              </a:ext>
            </a:extLst>
          </xdr:cNvPr>
          <xdr:cNvCxnSpPr/>
        </xdr:nvCxnSpPr>
        <xdr:spPr>
          <a:xfrm flipV="1">
            <a:off x="4619623" y="35297270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2" name="직선 연결선 37">
            <a:extLst>
              <a:ext uri="{FF2B5EF4-FFF2-40B4-BE49-F238E27FC236}">
                <a16:creationId xmlns:a16="http://schemas.microsoft.com/office/drawing/2014/main" id="{00000000-0008-0000-0400-0000B4020000}"/>
              </a:ext>
            </a:extLst>
          </xdr:cNvPr>
          <xdr:cNvCxnSpPr/>
        </xdr:nvCxnSpPr>
        <xdr:spPr>
          <a:xfrm flipV="1">
            <a:off x="4760116" y="35299394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3" name="직선 연결선 38">
            <a:extLst>
              <a:ext uri="{FF2B5EF4-FFF2-40B4-BE49-F238E27FC236}">
                <a16:creationId xmlns:a16="http://schemas.microsoft.com/office/drawing/2014/main" id="{00000000-0008-0000-0400-0000B5020000}"/>
              </a:ext>
            </a:extLst>
          </xdr:cNvPr>
          <xdr:cNvCxnSpPr/>
        </xdr:nvCxnSpPr>
        <xdr:spPr>
          <a:xfrm flipV="1">
            <a:off x="4898305" y="35299395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4" name="직선 연결선 39">
            <a:extLst>
              <a:ext uri="{FF2B5EF4-FFF2-40B4-BE49-F238E27FC236}">
                <a16:creationId xmlns:a16="http://schemas.microsoft.com/office/drawing/2014/main" id="{00000000-0008-0000-0400-0000B6020000}"/>
              </a:ext>
            </a:extLst>
          </xdr:cNvPr>
          <xdr:cNvCxnSpPr/>
        </xdr:nvCxnSpPr>
        <xdr:spPr>
          <a:xfrm flipV="1">
            <a:off x="5054918" y="35297269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119954</xdr:colOff>
      <xdr:row>337</xdr:row>
      <xdr:rowOff>43589</xdr:rowOff>
    </xdr:from>
    <xdr:to>
      <xdr:col>13</xdr:col>
      <xdr:colOff>390525</xdr:colOff>
      <xdr:row>345</xdr:row>
      <xdr:rowOff>27331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pSpPr/>
      </xdr:nvGrpSpPr>
      <xdr:grpSpPr>
        <a:xfrm>
          <a:off x="3912945" y="63155218"/>
          <a:ext cx="2617803" cy="1480528"/>
          <a:chOff x="3488962" y="42110826"/>
          <a:chExt cx="2665276" cy="1507742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GrpSpPr/>
        </xdr:nvGrpSpPr>
        <xdr:grpSpPr>
          <a:xfrm>
            <a:off x="3488962" y="42110826"/>
            <a:ext cx="2665276" cy="1507742"/>
            <a:chOff x="3488962" y="42110826"/>
            <a:chExt cx="2665276" cy="1507742"/>
          </a:xfrm>
        </xdr:grpSpPr>
        <xdr:grpSp>
          <xdr:nvGrpSpPr>
            <xdr:cNvPr id="515" name="Group 514">
              <a:extLst>
                <a:ext uri="{FF2B5EF4-FFF2-40B4-BE49-F238E27FC236}">
                  <a16:creationId xmlns:a16="http://schemas.microsoft.com/office/drawing/2014/main" id="{00000000-0008-0000-0400-000003020000}"/>
                </a:ext>
              </a:extLst>
            </xdr:cNvPr>
            <xdr:cNvGrpSpPr/>
          </xdr:nvGrpSpPr>
          <xdr:grpSpPr>
            <a:xfrm>
              <a:off x="3488962" y="42110826"/>
              <a:ext cx="2665276" cy="1507742"/>
              <a:chOff x="3559753" y="42138648"/>
              <a:chExt cx="2666413" cy="1506858"/>
            </a:xfrm>
          </xdr:grpSpPr>
          <xdr:grpSp>
            <xdr:nvGrpSpPr>
              <xdr:cNvPr id="426" name="Group 425">
                <a:extLst>
                  <a:ext uri="{FF2B5EF4-FFF2-40B4-BE49-F238E27FC236}">
                    <a16:creationId xmlns:a16="http://schemas.microsoft.com/office/drawing/2014/main" id="{00000000-0008-0000-0400-0000AA010000}"/>
                  </a:ext>
                </a:extLst>
              </xdr:cNvPr>
              <xdr:cNvGrpSpPr/>
            </xdr:nvGrpSpPr>
            <xdr:grpSpPr>
              <a:xfrm>
                <a:off x="3559753" y="42138648"/>
                <a:ext cx="2666413" cy="1506858"/>
                <a:chOff x="3642245" y="34056257"/>
                <a:chExt cx="2670708" cy="1508360"/>
              </a:xfrm>
            </xdr:grpSpPr>
            <xdr:sp macro="" textlink="">
              <xdr:nvSpPr>
                <xdr:cNvPr id="431" name="Freeform 430">
                  <a:extLst>
                    <a:ext uri="{FF2B5EF4-FFF2-40B4-BE49-F238E27FC236}">
                      <a16:creationId xmlns:a16="http://schemas.microsoft.com/office/drawing/2014/main" id="{00000000-0008-0000-0400-0000AF010000}"/>
                    </a:ext>
                  </a:extLst>
                </xdr:cNvPr>
                <xdr:cNvSpPr/>
              </xdr:nvSpPr>
              <xdr:spPr>
                <a:xfrm>
                  <a:off x="3810000" y="34056257"/>
                  <a:ext cx="2240756" cy="235744"/>
                </a:xfrm>
                <a:custGeom>
                  <a:avLst/>
                  <a:gdLst>
                    <a:gd name="connsiteX0" fmla="*/ 0 w 2240756"/>
                    <a:gd name="connsiteY0" fmla="*/ 0 h 235744"/>
                    <a:gd name="connsiteX1" fmla="*/ 2240756 w 2240756"/>
                    <a:gd name="connsiteY1" fmla="*/ 0 h 235744"/>
                    <a:gd name="connsiteX2" fmla="*/ 2240756 w 2240756"/>
                    <a:gd name="connsiteY2" fmla="*/ 119063 h 235744"/>
                    <a:gd name="connsiteX3" fmla="*/ 1969294 w 2240756"/>
                    <a:gd name="connsiteY3" fmla="*/ 119063 h 235744"/>
                    <a:gd name="connsiteX4" fmla="*/ 1854994 w 2240756"/>
                    <a:gd name="connsiteY4" fmla="*/ 233363 h 235744"/>
                    <a:gd name="connsiteX5" fmla="*/ 1521619 w 2240756"/>
                    <a:gd name="connsiteY5" fmla="*/ 233363 h 235744"/>
                    <a:gd name="connsiteX6" fmla="*/ 1409700 w 2240756"/>
                    <a:gd name="connsiteY6" fmla="*/ 121444 h 235744"/>
                    <a:gd name="connsiteX7" fmla="*/ 842963 w 2240756"/>
                    <a:gd name="connsiteY7" fmla="*/ 121444 h 235744"/>
                    <a:gd name="connsiteX8" fmla="*/ 728663 w 2240756"/>
                    <a:gd name="connsiteY8" fmla="*/ 235744 h 235744"/>
                    <a:gd name="connsiteX9" fmla="*/ 385763 w 2240756"/>
                    <a:gd name="connsiteY9" fmla="*/ 235744 h 235744"/>
                    <a:gd name="connsiteX10" fmla="*/ 266700 w 2240756"/>
                    <a:gd name="connsiteY10" fmla="*/ 116681 h 235744"/>
                    <a:gd name="connsiteX11" fmla="*/ 2381 w 2240756"/>
                    <a:gd name="connsiteY11" fmla="*/ 116681 h 235744"/>
                    <a:gd name="connsiteX12" fmla="*/ 0 w 2240756"/>
                    <a:gd name="connsiteY12" fmla="*/ 0 h 2357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</a:cxnLst>
                  <a:rect l="l" t="t" r="r" b="b"/>
                  <a:pathLst>
                    <a:path w="2240756" h="235744">
                      <a:moveTo>
                        <a:pt x="0" y="0"/>
                      </a:moveTo>
                      <a:lnTo>
                        <a:pt x="2240756" y="0"/>
                      </a:lnTo>
                      <a:lnTo>
                        <a:pt x="2240756" y="119063"/>
                      </a:lnTo>
                      <a:lnTo>
                        <a:pt x="1969294" y="119063"/>
                      </a:lnTo>
                      <a:lnTo>
                        <a:pt x="1854994" y="233363"/>
                      </a:lnTo>
                      <a:lnTo>
                        <a:pt x="1521619" y="233363"/>
                      </a:lnTo>
                      <a:lnTo>
                        <a:pt x="1409700" y="121444"/>
                      </a:lnTo>
                      <a:lnTo>
                        <a:pt x="842963" y="121444"/>
                      </a:lnTo>
                      <a:lnTo>
                        <a:pt x="728663" y="235744"/>
                      </a:lnTo>
                      <a:lnTo>
                        <a:pt x="385763" y="235744"/>
                      </a:lnTo>
                      <a:lnTo>
                        <a:pt x="266700" y="116681"/>
                      </a:lnTo>
                      <a:lnTo>
                        <a:pt x="2381" y="116681"/>
                      </a:lnTo>
                      <a:cubicBezTo>
                        <a:pt x="1587" y="77787"/>
                        <a:pt x="794" y="38894"/>
                        <a:pt x="0" y="0"/>
                      </a:cubicBezTo>
                      <a:close/>
                    </a:path>
                  </a:pathLst>
                </a:custGeom>
                <a:noFill/>
                <a:ln w="9525">
                  <a:prstDash val="sysDot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432" name="Group 431">
                  <a:extLst>
                    <a:ext uri="{FF2B5EF4-FFF2-40B4-BE49-F238E27FC236}">
                      <a16:creationId xmlns:a16="http://schemas.microsoft.com/office/drawing/2014/main" id="{00000000-0008-0000-0400-0000B0010000}"/>
                    </a:ext>
                  </a:extLst>
                </xdr:cNvPr>
                <xdr:cNvGrpSpPr/>
              </xdr:nvGrpSpPr>
              <xdr:grpSpPr>
                <a:xfrm>
                  <a:off x="3642245" y="34142232"/>
                  <a:ext cx="2670708" cy="1422385"/>
                  <a:chOff x="3685326" y="25724903"/>
                  <a:chExt cx="2670708" cy="1272356"/>
                </a:xfrm>
              </xdr:grpSpPr>
              <xdr:sp macro="" textlink="">
                <xdr:nvSpPr>
                  <xdr:cNvPr id="433" name="Freeform 432">
                    <a:extLst>
                      <a:ext uri="{FF2B5EF4-FFF2-40B4-BE49-F238E27FC236}">
                        <a16:creationId xmlns:a16="http://schemas.microsoft.com/office/drawing/2014/main" id="{00000000-0008-0000-0400-0000B1010000}"/>
                      </a:ext>
                    </a:extLst>
                  </xdr:cNvPr>
                  <xdr:cNvSpPr/>
                </xdr:nvSpPr>
                <xdr:spPr>
                  <a:xfrm>
                    <a:off x="4536281" y="26431875"/>
                    <a:ext cx="895350" cy="309563"/>
                  </a:xfrm>
                  <a:custGeom>
                    <a:avLst/>
                    <a:gdLst>
                      <a:gd name="connsiteX0" fmla="*/ 0 w 895350"/>
                      <a:gd name="connsiteY0" fmla="*/ 0 h 309563"/>
                      <a:gd name="connsiteX1" fmla="*/ 895350 w 895350"/>
                      <a:gd name="connsiteY1" fmla="*/ 0 h 309563"/>
                      <a:gd name="connsiteX2" fmla="*/ 809625 w 895350"/>
                      <a:gd name="connsiteY2" fmla="*/ 309563 h 309563"/>
                      <a:gd name="connsiteX3" fmla="*/ 73819 w 895350"/>
                      <a:gd name="connsiteY3" fmla="*/ 304800 h 309563"/>
                      <a:gd name="connsiteX4" fmla="*/ 0 w 895350"/>
                      <a:gd name="connsiteY4" fmla="*/ 0 h 309563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895350" h="309563">
                        <a:moveTo>
                          <a:pt x="0" y="0"/>
                        </a:moveTo>
                        <a:lnTo>
                          <a:pt x="895350" y="0"/>
                        </a:lnTo>
                        <a:lnTo>
                          <a:pt x="809625" y="309563"/>
                        </a:lnTo>
                        <a:lnTo>
                          <a:pt x="73819" y="304800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pattFill prst="pct10">
                    <a:fgClr>
                      <a:schemeClr val="accent1">
                        <a:lumMod val="75000"/>
                      </a:schemeClr>
                    </a:fgClr>
                    <a:bgClr>
                      <a:schemeClr val="bg1"/>
                    </a:bgClr>
                  </a:pattFill>
                  <a:ln w="1587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434" name="Group 433">
                    <a:extLst>
                      <a:ext uri="{FF2B5EF4-FFF2-40B4-BE49-F238E27FC236}">
                        <a16:creationId xmlns:a16="http://schemas.microsoft.com/office/drawing/2014/main" id="{00000000-0008-0000-0400-0000B2010000}"/>
                      </a:ext>
                    </a:extLst>
                  </xdr:cNvPr>
                  <xdr:cNvGrpSpPr/>
                </xdr:nvGrpSpPr>
                <xdr:grpSpPr>
                  <a:xfrm>
                    <a:off x="3685326" y="25724903"/>
                    <a:ext cx="2670708" cy="1272356"/>
                    <a:chOff x="3685326" y="19628903"/>
                    <a:chExt cx="2670708" cy="1272356"/>
                  </a:xfrm>
                </xdr:grpSpPr>
                <xdr:grpSp>
                  <xdr:nvGrpSpPr>
                    <xdr:cNvPr id="435" name="Group 434">
                      <a:extLst>
                        <a:ext uri="{FF2B5EF4-FFF2-40B4-BE49-F238E27FC236}">
                          <a16:creationId xmlns:a16="http://schemas.microsoft.com/office/drawing/2014/main" id="{00000000-0008-0000-0400-0000B3010000}"/>
                        </a:ext>
                      </a:extLst>
                    </xdr:cNvPr>
                    <xdr:cNvGrpSpPr/>
                  </xdr:nvGrpSpPr>
                  <xdr:grpSpPr>
                    <a:xfrm>
                      <a:off x="3685326" y="19628903"/>
                      <a:ext cx="2670708" cy="1272356"/>
                      <a:chOff x="3685326" y="19628903"/>
                      <a:chExt cx="2670708" cy="1272356"/>
                    </a:xfrm>
                  </xdr:grpSpPr>
                  <xdr:grpSp>
                    <xdr:nvGrpSpPr>
                      <xdr:cNvPr id="437" name="Group 436">
                        <a:extLst>
                          <a:ext uri="{FF2B5EF4-FFF2-40B4-BE49-F238E27FC236}">
                            <a16:creationId xmlns:a16="http://schemas.microsoft.com/office/drawing/2014/main" id="{00000000-0008-0000-0400-0000B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85326" y="19628903"/>
                        <a:ext cx="2670708" cy="1272356"/>
                        <a:chOff x="3579019" y="19443616"/>
                        <a:chExt cx="2697016" cy="1210561"/>
                      </a:xfrm>
                    </xdr:grpSpPr>
                    <xdr:grpSp>
                      <xdr:nvGrpSpPr>
                        <xdr:cNvPr id="441" name="Group 440">
                          <a:extLst>
                            <a:ext uri="{FF2B5EF4-FFF2-40B4-BE49-F238E27FC236}">
                              <a16:creationId xmlns:a16="http://schemas.microsoft.com/office/drawing/2014/main" id="{00000000-0008-0000-0400-0000B9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579019" y="19443616"/>
                          <a:ext cx="2697016" cy="1210561"/>
                          <a:chOff x="3579019" y="19443616"/>
                          <a:chExt cx="2697016" cy="1210561"/>
                        </a:xfrm>
                      </xdr:grpSpPr>
                      <xdr:grpSp>
                        <xdr:nvGrpSpPr>
                          <xdr:cNvPr id="445" name="Group 444">
                            <a:extLst>
                              <a:ext uri="{FF2B5EF4-FFF2-40B4-BE49-F238E27FC236}">
                                <a16:creationId xmlns:a16="http://schemas.microsoft.com/office/drawing/2014/main" id="{00000000-0008-0000-0400-0000BD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579019" y="19443616"/>
                            <a:ext cx="2697016" cy="1070020"/>
                            <a:chOff x="3579019" y="19443616"/>
                            <a:chExt cx="2697016" cy="1070020"/>
                          </a:xfrm>
                        </xdr:grpSpPr>
                        <xdr:grpSp>
                          <xdr:nvGrpSpPr>
                            <xdr:cNvPr id="451" name="Group 450">
                              <a:extLst>
                                <a:ext uri="{FF2B5EF4-FFF2-40B4-BE49-F238E27FC236}">
                                  <a16:creationId xmlns:a16="http://schemas.microsoft.com/office/drawing/2014/main" id="{00000000-0008-0000-0400-0000C3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579019" y="19443616"/>
                              <a:ext cx="2042913" cy="1070020"/>
                              <a:chOff x="3579019" y="19443616"/>
                              <a:chExt cx="2042913" cy="1070020"/>
                            </a:xfrm>
                          </xdr:grpSpPr>
                          <xdr:grpSp>
                            <xdr:nvGrpSpPr>
                              <xdr:cNvPr id="468" name="그룹 7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401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135324" y="19544500"/>
                                <a:ext cx="1486608" cy="880848"/>
                                <a:chOff x="2971800" y="381000"/>
                                <a:chExt cx="1566854" cy="1061287"/>
                              </a:xfrm>
                            </xdr:grpSpPr>
                            <xdr:cxnSp macro="">
                              <xdr:nvCxnSpPr>
                                <xdr:cNvPr id="470" name="직선 연결선 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6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07515" y="1442287"/>
                                  <a:ext cx="1111112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471" name="직선 연결선 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7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 flipV="1">
                                  <a:off x="3121216" y="388272"/>
                                  <a:ext cx="247294" cy="1050604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472" name="직선 연결선 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8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166565" y="399805"/>
                                  <a:ext cx="227574" cy="1036150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473" name="직선 연결선 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9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971800" y="381000"/>
                                  <a:ext cx="1566854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cxnSp macro="">
                            <xdr:nvCxnSpPr>
                              <xdr:cNvPr id="460" name="Straight Connector 459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C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19509581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1" name="Straight Connector 460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D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883819" y="19511963"/>
                                <a:ext cx="0" cy="971550"/>
                              </a:xfrm>
                              <a:prstGeom prst="line">
                                <a:avLst/>
                              </a:prstGeom>
                              <a:ln w="3175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2" name="Straight Connector 461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E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8" y="19576539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3" name="Straight Connector 462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F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20" y="2039302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4" name="Straight Connector 46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0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2045788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465" name="TextBox 46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1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641237" y="19443616"/>
                                <a:ext cx="307182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tt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466" name="TextBox 46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2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79019" y="1988820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Dw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467" name="TextBox 46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3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98069" y="2032635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tb</a:t>
                                </a:r>
                                <a:endParaRPr lang="en-US" sz="9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452" name="Straight Connector 451">
                              <a:extLst>
                                <a:ext uri="{FF2B5EF4-FFF2-40B4-BE49-F238E27FC236}">
                                  <a16:creationId xmlns:a16="http://schemas.microsoft.com/office/drawing/2014/main" id="{00000000-0008-0000-0400-0000C4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195763" y="19885819"/>
                              <a:ext cx="1550193" cy="0"/>
                            </a:xfrm>
                            <a:prstGeom prst="line">
                              <a:avLst/>
                            </a:prstGeom>
                            <a:ln w="0">
                              <a:solidFill>
                                <a:srgbClr val="C00000"/>
                              </a:solidFill>
                              <a:prstDash val="sysDash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3" name="Straight Connector 452">
                              <a:extLst>
                                <a:ext uri="{FF2B5EF4-FFF2-40B4-BE49-F238E27FC236}">
                                  <a16:creationId xmlns:a16="http://schemas.microsoft.com/office/drawing/2014/main" id="{00000000-0008-0000-0400-0000C5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38802" y="19510900"/>
                              <a:ext cx="223771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4" name="Straight Connector 453">
                              <a:extLst>
                                <a:ext uri="{FF2B5EF4-FFF2-40B4-BE49-F238E27FC236}">
                                  <a16:creationId xmlns:a16="http://schemas.microsoft.com/office/drawing/2014/main" id="{00000000-0008-0000-0400-0000C6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859106" y="19500056"/>
                              <a:ext cx="0" cy="97155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5" name="Straight Connector 454">
                              <a:extLst>
                                <a:ext uri="{FF2B5EF4-FFF2-40B4-BE49-F238E27FC236}">
                                  <a16:creationId xmlns:a16="http://schemas.microsoft.com/office/drawing/2014/main" id="{00000000-0008-0000-0400-0000C7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464969" y="20458025"/>
                              <a:ext cx="397605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6" name="Straight Connector 455">
                              <a:extLst>
                                <a:ext uri="{FF2B5EF4-FFF2-40B4-BE49-F238E27FC236}">
                                  <a16:creationId xmlns:a16="http://schemas.microsoft.com/office/drawing/2014/main" id="{00000000-0008-0000-0400-0000C8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579267" y="19885818"/>
                              <a:ext cx="280898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457" name="TextBox 456">
                              <a:extLst>
                                <a:ext uri="{FF2B5EF4-FFF2-40B4-BE49-F238E27FC236}">
                                  <a16:creationId xmlns:a16="http://schemas.microsoft.com/office/drawing/2014/main" id="{00000000-0008-0000-0400-0000C9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799683" y="19576627"/>
                              <a:ext cx="476352" cy="20561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YU4</a:t>
                              </a:r>
                              <a:endParaRPr lang="en-US" sz="900"/>
                            </a:p>
                          </xdr:txBody>
                        </xdr:sp>
                        <xdr:sp macro="" textlink="">
                          <xdr:nvSpPr>
                            <xdr:cNvPr id="458" name="TextBox 457">
                              <a:extLst>
                                <a:ext uri="{FF2B5EF4-FFF2-40B4-BE49-F238E27FC236}">
                                  <a16:creationId xmlns:a16="http://schemas.microsoft.com/office/drawing/2014/main" id="{00000000-0008-0000-0400-0000CA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792156" y="20055592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YL4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grpSp>
                        <xdr:nvGrpSpPr>
                          <xdr:cNvPr id="446" name="Group 445">
                            <a:extLst>
                              <a:ext uri="{FF2B5EF4-FFF2-40B4-BE49-F238E27FC236}">
                                <a16:creationId xmlns:a16="http://schemas.microsoft.com/office/drawing/2014/main" id="{00000000-0008-0000-0400-0000BE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536746" y="20466891"/>
                            <a:ext cx="729594" cy="187286"/>
                            <a:chOff x="4536746" y="20466891"/>
                            <a:chExt cx="729594" cy="187286"/>
                          </a:xfrm>
                        </xdr:grpSpPr>
                        <xdr:cxnSp macro="">
                          <xdr:nvCxnSpPr>
                            <xdr:cNvPr id="447" name="Straight Connector 446">
                              <a:extLst>
                                <a:ext uri="{FF2B5EF4-FFF2-40B4-BE49-F238E27FC236}">
                                  <a16:creationId xmlns:a16="http://schemas.microsoft.com/office/drawing/2014/main" id="{00000000-0008-0000-0400-0000BF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36746" y="20477319"/>
                              <a:ext cx="0" cy="132842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48" name="Straight Connector 447">
                              <a:extLst>
                                <a:ext uri="{FF2B5EF4-FFF2-40B4-BE49-F238E27FC236}">
                                  <a16:creationId xmlns:a16="http://schemas.microsoft.com/office/drawing/2014/main" id="{00000000-0008-0000-0400-0000C0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42086" y="20613419"/>
                              <a:ext cx="724254" cy="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49" name="Straight Connector 448">
                              <a:extLst>
                                <a:ext uri="{FF2B5EF4-FFF2-40B4-BE49-F238E27FC236}">
                                  <a16:creationId xmlns:a16="http://schemas.microsoft.com/office/drawing/2014/main" id="{00000000-0008-0000-0400-0000C1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258157" y="20479346"/>
                              <a:ext cx="0" cy="135346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450" name="TextBox 449">
                              <a:extLst>
                                <a:ext uri="{FF2B5EF4-FFF2-40B4-BE49-F238E27FC236}">
                                  <a16:creationId xmlns:a16="http://schemas.microsoft.com/office/drawing/2014/main" id="{00000000-0008-0000-0400-0000C2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53116" y="20466891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b1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  <xdr:cxnSp macro="">
                      <xdr:nvCxnSpPr>
                        <xdr:cNvPr id="442" name="Straight Connector 441">
                          <a:extLst>
                            <a:ext uri="{FF2B5EF4-FFF2-40B4-BE49-F238E27FC236}">
                              <a16:creationId xmlns:a16="http://schemas.microsoft.com/office/drawing/2014/main" id="{00000000-0008-0000-0400-0000BA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067175" y="20113840"/>
                          <a:ext cx="265375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43" name="Straight Connector 442">
                          <a:extLst>
                            <a:ext uri="{FF2B5EF4-FFF2-40B4-BE49-F238E27FC236}">
                              <a16:creationId xmlns:a16="http://schemas.microsoft.com/office/drawing/2014/main" id="{00000000-0008-0000-0400-0000BB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067175" y="20118523"/>
                          <a:ext cx="0" cy="274504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444" name="TextBox 443">
                          <a:extLst>
                            <a:ext uri="{FF2B5EF4-FFF2-40B4-BE49-F238E27FC236}">
                              <a16:creationId xmlns:a16="http://schemas.microsoft.com/office/drawing/2014/main" id="{00000000-0008-0000-0400-0000B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995226" y="20159074"/>
                          <a:ext cx="423861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Hc</a:t>
                          </a:r>
                          <a:endParaRPr lang="en-US" sz="900"/>
                        </a:p>
                      </xdr:txBody>
                    </xdr:sp>
                  </xdr:grpSp>
                  <xdr:sp macro="" textlink="">
                    <xdr:nvSpPr>
                      <xdr:cNvPr id="438" name="Isosceles Triangle 437">
                        <a:extLst>
                          <a:ext uri="{FF2B5EF4-FFF2-40B4-BE49-F238E27FC236}">
                            <a16:creationId xmlns:a16="http://schemas.microsoft.com/office/drawing/2014/main" id="{00000000-0008-0000-0400-0000B6010000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4243384" y="19914394"/>
                        <a:ext cx="80965" cy="314326"/>
                      </a:xfrm>
                      <a:prstGeom prst="triangle">
                        <a:avLst>
                          <a:gd name="adj" fmla="val 100000"/>
                        </a:avLst>
                      </a:prstGeom>
                      <a:noFill/>
                      <a:ln w="9525">
                        <a:solidFill>
                          <a:srgbClr val="C0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439" name="TextBox 438">
                        <a:extLst>
                          <a:ext uri="{FF2B5EF4-FFF2-40B4-BE49-F238E27FC236}">
                            <a16:creationId xmlns:a16="http://schemas.microsoft.com/office/drawing/2014/main" id="{00000000-0008-0000-0400-0000B7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063838" y="20001732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1</a:t>
                        </a:r>
                        <a:endParaRPr lang="en-US" sz="900"/>
                      </a:p>
                    </xdr:txBody>
                  </xdr:sp>
                  <xdr:sp macro="" textlink="">
                    <xdr:nvSpPr>
                      <xdr:cNvPr id="440" name="TextBox 439">
                        <a:extLst>
                          <a:ext uri="{FF2B5EF4-FFF2-40B4-BE49-F238E27FC236}">
                            <a16:creationId xmlns:a16="http://schemas.microsoft.com/office/drawing/2014/main" id="{00000000-0008-0000-0400-0000B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160937" y="20182077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S</a:t>
                        </a:r>
                        <a:endParaRPr lang="en-US" sz="900"/>
                      </a:p>
                    </xdr:txBody>
                  </xdr:sp>
                </xdr:grpSp>
                <xdr:sp macro="" textlink="">
                  <xdr:nvSpPr>
                    <xdr:cNvPr id="436" name="TextBox 435">
                      <a:extLst>
                        <a:ext uri="{FF2B5EF4-FFF2-40B4-BE49-F238E27FC236}">
                          <a16:creationId xmlns:a16="http://schemas.microsoft.com/office/drawing/2014/main" id="{00000000-0008-0000-0400-0000B4010000}"/>
                        </a:ext>
                      </a:extLst>
                    </xdr:cNvPr>
                    <xdr:cNvSpPr txBox="1"/>
                  </xdr:nvSpPr>
                  <xdr:spPr>
                    <a:xfrm>
                      <a:off x="4521993" y="19923918"/>
                      <a:ext cx="826295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Neutral axis</a:t>
                      </a:r>
                      <a:endParaRPr lang="en-US" sz="900"/>
                    </a:p>
                  </xdr:txBody>
                </xdr:sp>
              </xdr:grpSp>
            </xdr:grpSp>
          </xdr:grpSp>
          <xdr:grpSp>
            <xdr:nvGrpSpPr>
              <xdr:cNvPr id="488" name="Group 487">
                <a:extLst>
                  <a:ext uri="{FF2B5EF4-FFF2-40B4-BE49-F238E27FC236}">
                    <a16:creationId xmlns:a16="http://schemas.microsoft.com/office/drawing/2014/main" id="{00000000-0008-0000-0400-0000E8010000}"/>
                  </a:ext>
                </a:extLst>
              </xdr:cNvPr>
              <xdr:cNvGrpSpPr/>
            </xdr:nvGrpSpPr>
            <xdr:grpSpPr>
              <a:xfrm>
                <a:off x="3771902" y="42148125"/>
                <a:ext cx="626740" cy="100489"/>
                <a:chOff x="3786188" y="42148125"/>
                <a:chExt cx="626740" cy="100489"/>
              </a:xfrm>
            </xdr:grpSpPr>
            <xdr:grpSp>
              <xdr:nvGrpSpPr>
                <xdr:cNvPr id="476" name="Group 475">
                  <a:extLst>
                    <a:ext uri="{FF2B5EF4-FFF2-40B4-BE49-F238E27FC236}">
                      <a16:creationId xmlns:a16="http://schemas.microsoft.com/office/drawing/2014/main" id="{00000000-0008-0000-0400-0000DC010000}"/>
                    </a:ext>
                  </a:extLst>
                </xdr:cNvPr>
                <xdr:cNvGrpSpPr/>
              </xdr:nvGrpSpPr>
              <xdr:grpSpPr>
                <a:xfrm>
                  <a:off x="3786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74" name="Oval 473">
                    <a:extLst>
                      <a:ext uri="{FF2B5EF4-FFF2-40B4-BE49-F238E27FC236}">
                        <a16:creationId xmlns:a16="http://schemas.microsoft.com/office/drawing/2014/main" id="{00000000-0008-0000-0400-0000DA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75" name="Oval 474">
                    <a:extLst>
                      <a:ext uri="{FF2B5EF4-FFF2-40B4-BE49-F238E27FC236}">
                        <a16:creationId xmlns:a16="http://schemas.microsoft.com/office/drawing/2014/main" id="{00000000-0008-0000-0400-0000DB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77" name="Group 476">
                  <a:extLst>
                    <a:ext uri="{FF2B5EF4-FFF2-40B4-BE49-F238E27FC236}">
                      <a16:creationId xmlns:a16="http://schemas.microsoft.com/office/drawing/2014/main" id="{00000000-0008-0000-0400-0000DD010000}"/>
                    </a:ext>
                  </a:extLst>
                </xdr:cNvPr>
                <xdr:cNvGrpSpPr/>
              </xdr:nvGrpSpPr>
              <xdr:grpSpPr>
                <a:xfrm>
                  <a:off x="397668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78" name="Oval 477">
                    <a:extLst>
                      <a:ext uri="{FF2B5EF4-FFF2-40B4-BE49-F238E27FC236}">
                        <a16:creationId xmlns:a16="http://schemas.microsoft.com/office/drawing/2014/main" id="{00000000-0008-0000-0400-0000DE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79" name="Oval 478">
                    <a:extLst>
                      <a:ext uri="{FF2B5EF4-FFF2-40B4-BE49-F238E27FC236}">
                        <a16:creationId xmlns:a16="http://schemas.microsoft.com/office/drawing/2014/main" id="{00000000-0008-0000-0400-0000DF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82" name="Group 481">
                  <a:extLst>
                    <a:ext uri="{FF2B5EF4-FFF2-40B4-BE49-F238E27FC236}">
                      <a16:creationId xmlns:a16="http://schemas.microsoft.com/office/drawing/2014/main" id="{00000000-0008-0000-0400-0000E2010000}"/>
                    </a:ext>
                  </a:extLst>
                </xdr:cNvPr>
                <xdr:cNvGrpSpPr/>
              </xdr:nvGrpSpPr>
              <xdr:grpSpPr>
                <a:xfrm>
                  <a:off x="4167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83" name="Oval 482">
                    <a:extLst>
                      <a:ext uri="{FF2B5EF4-FFF2-40B4-BE49-F238E27FC236}">
                        <a16:creationId xmlns:a16="http://schemas.microsoft.com/office/drawing/2014/main" id="{00000000-0008-0000-0400-0000E3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84" name="Oval 483">
                    <a:extLst>
                      <a:ext uri="{FF2B5EF4-FFF2-40B4-BE49-F238E27FC236}">
                        <a16:creationId xmlns:a16="http://schemas.microsoft.com/office/drawing/2014/main" id="{00000000-0008-0000-0400-0000E4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85" name="Group 484">
                  <a:extLst>
                    <a:ext uri="{FF2B5EF4-FFF2-40B4-BE49-F238E27FC236}">
                      <a16:creationId xmlns:a16="http://schemas.microsoft.com/office/drawing/2014/main" id="{00000000-0008-0000-0400-0000E5010000}"/>
                    </a:ext>
                  </a:extLst>
                </xdr:cNvPr>
                <xdr:cNvGrpSpPr/>
              </xdr:nvGrpSpPr>
              <xdr:grpSpPr>
                <a:xfrm>
                  <a:off x="436720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86" name="Oval 485">
                    <a:extLst>
                      <a:ext uri="{FF2B5EF4-FFF2-40B4-BE49-F238E27FC236}">
                        <a16:creationId xmlns:a16="http://schemas.microsoft.com/office/drawing/2014/main" id="{00000000-0008-0000-0400-0000E6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87" name="Oval 486">
                    <a:extLst>
                      <a:ext uri="{FF2B5EF4-FFF2-40B4-BE49-F238E27FC236}">
                        <a16:creationId xmlns:a16="http://schemas.microsoft.com/office/drawing/2014/main" id="{00000000-0008-0000-0400-0000E7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</xdr:grpSp>
          <xdr:grpSp>
            <xdr:nvGrpSpPr>
              <xdr:cNvPr id="489" name="Group 488">
                <a:extLst>
                  <a:ext uri="{FF2B5EF4-FFF2-40B4-BE49-F238E27FC236}">
                    <a16:creationId xmlns:a16="http://schemas.microsoft.com/office/drawing/2014/main" id="{00000000-0008-0000-0400-0000E9010000}"/>
                  </a:ext>
                </a:extLst>
              </xdr:cNvPr>
              <xdr:cNvGrpSpPr/>
            </xdr:nvGrpSpPr>
            <xdr:grpSpPr>
              <a:xfrm>
                <a:off x="4550569" y="42148125"/>
                <a:ext cx="626740" cy="100489"/>
                <a:chOff x="3786188" y="42148125"/>
                <a:chExt cx="626740" cy="100489"/>
              </a:xfrm>
            </xdr:grpSpPr>
            <xdr:grpSp>
              <xdr:nvGrpSpPr>
                <xdr:cNvPr id="490" name="Group 489">
                  <a:extLst>
                    <a:ext uri="{FF2B5EF4-FFF2-40B4-BE49-F238E27FC236}">
                      <a16:creationId xmlns:a16="http://schemas.microsoft.com/office/drawing/2014/main" id="{00000000-0008-0000-0400-0000EA010000}"/>
                    </a:ext>
                  </a:extLst>
                </xdr:cNvPr>
                <xdr:cNvGrpSpPr/>
              </xdr:nvGrpSpPr>
              <xdr:grpSpPr>
                <a:xfrm>
                  <a:off x="3786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00" name="Oval 499">
                    <a:extLst>
                      <a:ext uri="{FF2B5EF4-FFF2-40B4-BE49-F238E27FC236}">
                        <a16:creationId xmlns:a16="http://schemas.microsoft.com/office/drawing/2014/main" id="{00000000-0008-0000-0400-0000F4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01" name="Oval 500">
                    <a:extLst>
                      <a:ext uri="{FF2B5EF4-FFF2-40B4-BE49-F238E27FC236}">
                        <a16:creationId xmlns:a16="http://schemas.microsoft.com/office/drawing/2014/main" id="{00000000-0008-0000-0400-0000F5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91" name="Group 490">
                  <a:extLst>
                    <a:ext uri="{FF2B5EF4-FFF2-40B4-BE49-F238E27FC236}">
                      <a16:creationId xmlns:a16="http://schemas.microsoft.com/office/drawing/2014/main" id="{00000000-0008-0000-0400-0000EB010000}"/>
                    </a:ext>
                  </a:extLst>
                </xdr:cNvPr>
                <xdr:cNvGrpSpPr/>
              </xdr:nvGrpSpPr>
              <xdr:grpSpPr>
                <a:xfrm>
                  <a:off x="397668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98" name="Oval 497">
                    <a:extLst>
                      <a:ext uri="{FF2B5EF4-FFF2-40B4-BE49-F238E27FC236}">
                        <a16:creationId xmlns:a16="http://schemas.microsoft.com/office/drawing/2014/main" id="{00000000-0008-0000-0400-0000F2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99" name="Oval 498">
                    <a:extLst>
                      <a:ext uri="{FF2B5EF4-FFF2-40B4-BE49-F238E27FC236}">
                        <a16:creationId xmlns:a16="http://schemas.microsoft.com/office/drawing/2014/main" id="{00000000-0008-0000-0400-0000F3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92" name="Group 491">
                  <a:extLst>
                    <a:ext uri="{FF2B5EF4-FFF2-40B4-BE49-F238E27FC236}">
                      <a16:creationId xmlns:a16="http://schemas.microsoft.com/office/drawing/2014/main" id="{00000000-0008-0000-0400-0000EC010000}"/>
                    </a:ext>
                  </a:extLst>
                </xdr:cNvPr>
                <xdr:cNvGrpSpPr/>
              </xdr:nvGrpSpPr>
              <xdr:grpSpPr>
                <a:xfrm>
                  <a:off x="4167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96" name="Oval 495">
                    <a:extLst>
                      <a:ext uri="{FF2B5EF4-FFF2-40B4-BE49-F238E27FC236}">
                        <a16:creationId xmlns:a16="http://schemas.microsoft.com/office/drawing/2014/main" id="{00000000-0008-0000-0400-0000F0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97" name="Oval 496">
                    <a:extLst>
                      <a:ext uri="{FF2B5EF4-FFF2-40B4-BE49-F238E27FC236}">
                        <a16:creationId xmlns:a16="http://schemas.microsoft.com/office/drawing/2014/main" id="{00000000-0008-0000-0400-0000F1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93" name="Group 492">
                  <a:extLst>
                    <a:ext uri="{FF2B5EF4-FFF2-40B4-BE49-F238E27FC236}">
                      <a16:creationId xmlns:a16="http://schemas.microsoft.com/office/drawing/2014/main" id="{00000000-0008-0000-0400-0000ED010000}"/>
                    </a:ext>
                  </a:extLst>
                </xdr:cNvPr>
                <xdr:cNvGrpSpPr/>
              </xdr:nvGrpSpPr>
              <xdr:grpSpPr>
                <a:xfrm>
                  <a:off x="436720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94" name="Oval 493">
                    <a:extLst>
                      <a:ext uri="{FF2B5EF4-FFF2-40B4-BE49-F238E27FC236}">
                        <a16:creationId xmlns:a16="http://schemas.microsoft.com/office/drawing/2014/main" id="{00000000-0008-0000-0400-0000EE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95" name="Oval 494">
                    <a:extLst>
                      <a:ext uri="{FF2B5EF4-FFF2-40B4-BE49-F238E27FC236}">
                        <a16:creationId xmlns:a16="http://schemas.microsoft.com/office/drawing/2014/main" id="{00000000-0008-0000-0400-0000EF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</xdr:grpSp>
          <xdr:grpSp>
            <xdr:nvGrpSpPr>
              <xdr:cNvPr id="502" name="Group 501">
                <a:extLst>
                  <a:ext uri="{FF2B5EF4-FFF2-40B4-BE49-F238E27FC236}">
                    <a16:creationId xmlns:a16="http://schemas.microsoft.com/office/drawing/2014/main" id="{00000000-0008-0000-0400-0000F6010000}"/>
                  </a:ext>
                </a:extLst>
              </xdr:cNvPr>
              <xdr:cNvGrpSpPr/>
            </xdr:nvGrpSpPr>
            <xdr:grpSpPr>
              <a:xfrm>
                <a:off x="5288756" y="42148126"/>
                <a:ext cx="626740" cy="100489"/>
                <a:chOff x="3786188" y="42148125"/>
                <a:chExt cx="626740" cy="100489"/>
              </a:xfrm>
            </xdr:grpSpPr>
            <xdr:grpSp>
              <xdr:nvGrpSpPr>
                <xdr:cNvPr id="503" name="Group 502">
                  <a:extLst>
                    <a:ext uri="{FF2B5EF4-FFF2-40B4-BE49-F238E27FC236}">
                      <a16:creationId xmlns:a16="http://schemas.microsoft.com/office/drawing/2014/main" id="{00000000-0008-0000-0400-0000F7010000}"/>
                    </a:ext>
                  </a:extLst>
                </xdr:cNvPr>
                <xdr:cNvGrpSpPr/>
              </xdr:nvGrpSpPr>
              <xdr:grpSpPr>
                <a:xfrm>
                  <a:off x="3786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13" name="Oval 512">
                    <a:extLst>
                      <a:ext uri="{FF2B5EF4-FFF2-40B4-BE49-F238E27FC236}">
                        <a16:creationId xmlns:a16="http://schemas.microsoft.com/office/drawing/2014/main" id="{00000000-0008-0000-0400-00000102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14" name="Oval 513">
                    <a:extLst>
                      <a:ext uri="{FF2B5EF4-FFF2-40B4-BE49-F238E27FC236}">
                        <a16:creationId xmlns:a16="http://schemas.microsoft.com/office/drawing/2014/main" id="{00000000-0008-0000-0400-00000202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504" name="Group 503">
                  <a:extLst>
                    <a:ext uri="{FF2B5EF4-FFF2-40B4-BE49-F238E27FC236}">
                      <a16:creationId xmlns:a16="http://schemas.microsoft.com/office/drawing/2014/main" id="{00000000-0008-0000-0400-0000F8010000}"/>
                    </a:ext>
                  </a:extLst>
                </xdr:cNvPr>
                <xdr:cNvGrpSpPr/>
              </xdr:nvGrpSpPr>
              <xdr:grpSpPr>
                <a:xfrm>
                  <a:off x="397668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11" name="Oval 510">
                    <a:extLst>
                      <a:ext uri="{FF2B5EF4-FFF2-40B4-BE49-F238E27FC236}">
                        <a16:creationId xmlns:a16="http://schemas.microsoft.com/office/drawing/2014/main" id="{00000000-0008-0000-0400-0000FF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12" name="Oval 511">
                    <a:extLst>
                      <a:ext uri="{FF2B5EF4-FFF2-40B4-BE49-F238E27FC236}">
                        <a16:creationId xmlns:a16="http://schemas.microsoft.com/office/drawing/2014/main" id="{00000000-0008-0000-0400-00000002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505" name="Group 504">
                  <a:extLst>
                    <a:ext uri="{FF2B5EF4-FFF2-40B4-BE49-F238E27FC236}">
                      <a16:creationId xmlns:a16="http://schemas.microsoft.com/office/drawing/2014/main" id="{00000000-0008-0000-0400-0000F9010000}"/>
                    </a:ext>
                  </a:extLst>
                </xdr:cNvPr>
                <xdr:cNvGrpSpPr/>
              </xdr:nvGrpSpPr>
              <xdr:grpSpPr>
                <a:xfrm>
                  <a:off x="4167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09" name="Oval 508">
                    <a:extLst>
                      <a:ext uri="{FF2B5EF4-FFF2-40B4-BE49-F238E27FC236}">
                        <a16:creationId xmlns:a16="http://schemas.microsoft.com/office/drawing/2014/main" id="{00000000-0008-0000-0400-0000FD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10" name="Oval 509">
                    <a:extLst>
                      <a:ext uri="{FF2B5EF4-FFF2-40B4-BE49-F238E27FC236}">
                        <a16:creationId xmlns:a16="http://schemas.microsoft.com/office/drawing/2014/main" id="{00000000-0008-0000-0400-0000FE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506" name="Group 505">
                  <a:extLst>
                    <a:ext uri="{FF2B5EF4-FFF2-40B4-BE49-F238E27FC236}">
                      <a16:creationId xmlns:a16="http://schemas.microsoft.com/office/drawing/2014/main" id="{00000000-0008-0000-0400-0000FA010000}"/>
                    </a:ext>
                  </a:extLst>
                </xdr:cNvPr>
                <xdr:cNvGrpSpPr/>
              </xdr:nvGrpSpPr>
              <xdr:grpSpPr>
                <a:xfrm>
                  <a:off x="436720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07" name="Oval 506">
                    <a:extLst>
                      <a:ext uri="{FF2B5EF4-FFF2-40B4-BE49-F238E27FC236}">
                        <a16:creationId xmlns:a16="http://schemas.microsoft.com/office/drawing/2014/main" id="{00000000-0008-0000-0400-0000FB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08" name="Oval 507">
                    <a:extLst>
                      <a:ext uri="{FF2B5EF4-FFF2-40B4-BE49-F238E27FC236}">
                        <a16:creationId xmlns:a16="http://schemas.microsoft.com/office/drawing/2014/main" id="{00000000-0008-0000-0400-0000FC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</xdr:grpSp>
        </xdr:grpSp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pSpPr/>
          </xdr:nvGrpSpPr>
          <xdr:grpSpPr>
            <a:xfrm>
              <a:off x="4548185" y="43243498"/>
              <a:ext cx="435295" cy="76514"/>
              <a:chOff x="5238750" y="43129200"/>
              <a:chExt cx="435295" cy="76514"/>
            </a:xfrm>
          </xdr:grpSpPr>
          <xdr:cxnSp macro="">
            <xdr:nvCxnSpPr>
              <xdr:cNvPr id="695" name="직선 연결선 32">
                <a:extLst>
                  <a:ext uri="{FF2B5EF4-FFF2-40B4-BE49-F238E27FC236}">
                    <a16:creationId xmlns:a16="http://schemas.microsoft.com/office/drawing/2014/main" id="{00000000-0008-0000-0400-0000B7020000}"/>
                  </a:ext>
                </a:extLst>
              </xdr:cNvPr>
              <xdr:cNvCxnSpPr/>
            </xdr:nvCxnSpPr>
            <xdr:spPr>
              <a:xfrm flipV="1">
                <a:off x="5238750" y="43129201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96" name="직선 연결선 37">
                <a:extLst>
                  <a:ext uri="{FF2B5EF4-FFF2-40B4-BE49-F238E27FC236}">
                    <a16:creationId xmlns:a16="http://schemas.microsoft.com/office/drawing/2014/main" id="{00000000-0008-0000-0400-0000B8020000}"/>
                  </a:ext>
                </a:extLst>
              </xdr:cNvPr>
              <xdr:cNvCxnSpPr/>
            </xdr:nvCxnSpPr>
            <xdr:spPr>
              <a:xfrm flipV="1">
                <a:off x="5379243" y="43131325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97" name="직선 연결선 38">
                <a:extLst>
                  <a:ext uri="{FF2B5EF4-FFF2-40B4-BE49-F238E27FC236}">
                    <a16:creationId xmlns:a16="http://schemas.microsoft.com/office/drawing/2014/main" id="{00000000-0008-0000-0400-0000B9020000}"/>
                  </a:ext>
                </a:extLst>
              </xdr:cNvPr>
              <xdr:cNvCxnSpPr/>
            </xdr:nvCxnSpPr>
            <xdr:spPr>
              <a:xfrm flipV="1">
                <a:off x="5517432" y="43131326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98" name="직선 연결선 39">
                <a:extLst>
                  <a:ext uri="{FF2B5EF4-FFF2-40B4-BE49-F238E27FC236}">
                    <a16:creationId xmlns:a16="http://schemas.microsoft.com/office/drawing/2014/main" id="{00000000-0008-0000-0400-0000BA020000}"/>
                  </a:ext>
                </a:extLst>
              </xdr:cNvPr>
              <xdr:cNvCxnSpPr/>
            </xdr:nvCxnSpPr>
            <xdr:spPr>
              <a:xfrm flipV="1">
                <a:off x="5674045" y="43129200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703" name="직선 연결선 32">
            <a:extLst>
              <a:ext uri="{FF2B5EF4-FFF2-40B4-BE49-F238E27FC236}">
                <a16:creationId xmlns:a16="http://schemas.microsoft.com/office/drawing/2014/main" id="{00000000-0008-0000-0400-0000BF020000}"/>
              </a:ext>
            </a:extLst>
          </xdr:cNvPr>
          <xdr:cNvCxnSpPr/>
        </xdr:nvCxnSpPr>
        <xdr:spPr>
          <a:xfrm flipV="1">
            <a:off x="4438652" y="42345770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4" name="직선 연결선 37">
            <a:extLst>
              <a:ext uri="{FF2B5EF4-FFF2-40B4-BE49-F238E27FC236}">
                <a16:creationId xmlns:a16="http://schemas.microsoft.com/office/drawing/2014/main" id="{00000000-0008-0000-0400-0000C0020000}"/>
              </a:ext>
            </a:extLst>
          </xdr:cNvPr>
          <xdr:cNvCxnSpPr/>
        </xdr:nvCxnSpPr>
        <xdr:spPr>
          <a:xfrm flipV="1">
            <a:off x="4657724" y="42345513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5" name="직선 연결선 38">
            <a:extLst>
              <a:ext uri="{FF2B5EF4-FFF2-40B4-BE49-F238E27FC236}">
                <a16:creationId xmlns:a16="http://schemas.microsoft.com/office/drawing/2014/main" id="{00000000-0008-0000-0400-0000C1020000}"/>
              </a:ext>
            </a:extLst>
          </xdr:cNvPr>
          <xdr:cNvCxnSpPr/>
        </xdr:nvCxnSpPr>
        <xdr:spPr>
          <a:xfrm flipV="1">
            <a:off x="4884021" y="42345514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6" name="직선 연결선 39">
            <a:extLst>
              <a:ext uri="{FF2B5EF4-FFF2-40B4-BE49-F238E27FC236}">
                <a16:creationId xmlns:a16="http://schemas.microsoft.com/office/drawing/2014/main" id="{00000000-0008-0000-0400-0000C2020000}"/>
              </a:ext>
            </a:extLst>
          </xdr:cNvPr>
          <xdr:cNvCxnSpPr/>
        </xdr:nvCxnSpPr>
        <xdr:spPr>
          <a:xfrm flipV="1">
            <a:off x="5107309" y="42345769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420072</xdr:colOff>
      <xdr:row>259</xdr:row>
      <xdr:rowOff>140902</xdr:rowOff>
    </xdr:from>
    <xdr:to>
      <xdr:col>14</xdr:col>
      <xdr:colOff>57149</xdr:colOff>
      <xdr:row>268</xdr:row>
      <xdr:rowOff>77838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3DD18CB6-E414-4D2C-8F5C-2F5CF9A77BAE}"/>
            </a:ext>
          </a:extLst>
        </xdr:cNvPr>
        <xdr:cNvGrpSpPr/>
      </xdr:nvGrpSpPr>
      <xdr:grpSpPr>
        <a:xfrm>
          <a:off x="4213063" y="48658871"/>
          <a:ext cx="2435046" cy="1620820"/>
          <a:chOff x="4382472" y="27458602"/>
          <a:chExt cx="2625604" cy="1651436"/>
        </a:xfrm>
      </xdr:grpSpPr>
      <xdr:grpSp>
        <xdr:nvGrpSpPr>
          <xdr:cNvPr id="55" name="Group 5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GrpSpPr/>
        </xdr:nvGrpSpPr>
        <xdr:grpSpPr>
          <a:xfrm>
            <a:off x="4382472" y="27458602"/>
            <a:ext cx="2625604" cy="1651436"/>
            <a:chOff x="3642243" y="27245650"/>
            <a:chExt cx="2579315" cy="1651436"/>
          </a:xfrm>
        </xdr:grpSpPr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GrpSpPr/>
          </xdr:nvGrpSpPr>
          <xdr:grpSpPr>
            <a:xfrm>
              <a:off x="3642243" y="27245650"/>
              <a:ext cx="2579315" cy="1651436"/>
              <a:chOff x="3642243" y="27245650"/>
              <a:chExt cx="2579315" cy="1651436"/>
            </a:xfrm>
          </xdr:grpSpPr>
          <xdr:grpSp>
            <xdr:nvGrpSpPr>
              <xdr:cNvPr id="63" name="Group 62">
                <a:extLst>
                  <a:ext uri="{FF2B5EF4-FFF2-40B4-BE49-F238E27FC236}">
                    <a16:creationId xmlns:a16="http://schemas.microsoft.com/office/drawing/2014/main" id="{00000000-0008-0000-0400-00003F000000}"/>
                  </a:ext>
                </a:extLst>
              </xdr:cNvPr>
              <xdr:cNvGrpSpPr/>
            </xdr:nvGrpSpPr>
            <xdr:grpSpPr>
              <a:xfrm>
                <a:off x="3642243" y="27245650"/>
                <a:ext cx="2579315" cy="1651436"/>
                <a:chOff x="3685324" y="25519994"/>
                <a:chExt cx="2579315" cy="1477248"/>
              </a:xfrm>
            </xdr:grpSpPr>
            <xdr:sp macro="" textlink="">
              <xdr:nvSpPr>
                <xdr:cNvPr id="56" name="Freeform 55">
                  <a:extLst>
                    <a:ext uri="{FF2B5EF4-FFF2-40B4-BE49-F238E27FC236}">
                      <a16:creationId xmlns:a16="http://schemas.microsoft.com/office/drawing/2014/main" id="{00000000-0008-0000-0400-000038000000}"/>
                    </a:ext>
                  </a:extLst>
                </xdr:cNvPr>
                <xdr:cNvSpPr/>
              </xdr:nvSpPr>
              <xdr:spPr>
                <a:xfrm>
                  <a:off x="4536281" y="26431875"/>
                  <a:ext cx="895350" cy="309563"/>
                </a:xfrm>
                <a:custGeom>
                  <a:avLst/>
                  <a:gdLst>
                    <a:gd name="connsiteX0" fmla="*/ 0 w 895350"/>
                    <a:gd name="connsiteY0" fmla="*/ 0 h 309563"/>
                    <a:gd name="connsiteX1" fmla="*/ 895350 w 895350"/>
                    <a:gd name="connsiteY1" fmla="*/ 0 h 309563"/>
                    <a:gd name="connsiteX2" fmla="*/ 809625 w 895350"/>
                    <a:gd name="connsiteY2" fmla="*/ 309563 h 309563"/>
                    <a:gd name="connsiteX3" fmla="*/ 73819 w 895350"/>
                    <a:gd name="connsiteY3" fmla="*/ 304800 h 309563"/>
                    <a:gd name="connsiteX4" fmla="*/ 0 w 895350"/>
                    <a:gd name="connsiteY4" fmla="*/ 0 h 3095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895350" h="309563">
                      <a:moveTo>
                        <a:pt x="0" y="0"/>
                      </a:moveTo>
                      <a:lnTo>
                        <a:pt x="895350" y="0"/>
                      </a:lnTo>
                      <a:lnTo>
                        <a:pt x="809625" y="309563"/>
                      </a:lnTo>
                      <a:lnTo>
                        <a:pt x="73819" y="30480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pattFill prst="pct10">
                  <a:fgClr>
                    <a:schemeClr val="accent1">
                      <a:lumMod val="75000"/>
                    </a:schemeClr>
                  </a:fgClr>
                  <a:bgClr>
                    <a:schemeClr val="bg1"/>
                  </a:bgClr>
                </a:pattFill>
                <a:ln w="1587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28" name="Group 227">
                  <a:extLst>
                    <a:ext uri="{FF2B5EF4-FFF2-40B4-BE49-F238E27FC236}">
                      <a16:creationId xmlns:a16="http://schemas.microsoft.com/office/drawing/2014/main" id="{00000000-0008-0000-0400-0000E4000000}"/>
                    </a:ext>
                  </a:extLst>
                </xdr:cNvPr>
                <xdr:cNvGrpSpPr/>
              </xdr:nvGrpSpPr>
              <xdr:grpSpPr>
                <a:xfrm>
                  <a:off x="3685324" y="25519994"/>
                  <a:ext cx="2579315" cy="1477248"/>
                  <a:chOff x="3685324" y="19423994"/>
                  <a:chExt cx="2579315" cy="1477248"/>
                </a:xfrm>
              </xdr:grpSpPr>
              <xdr:grpSp>
                <xdr:nvGrpSpPr>
                  <xdr:cNvPr id="229" name="Group 228">
                    <a:extLst>
                      <a:ext uri="{FF2B5EF4-FFF2-40B4-BE49-F238E27FC236}">
                        <a16:creationId xmlns:a16="http://schemas.microsoft.com/office/drawing/2014/main" id="{00000000-0008-0000-0400-0000E5000000}"/>
                      </a:ext>
                    </a:extLst>
                  </xdr:cNvPr>
                  <xdr:cNvGrpSpPr/>
                </xdr:nvGrpSpPr>
                <xdr:grpSpPr>
                  <a:xfrm>
                    <a:off x="3685324" y="19423994"/>
                    <a:ext cx="2579315" cy="1477248"/>
                    <a:chOff x="3685324" y="19423994"/>
                    <a:chExt cx="2579315" cy="1477248"/>
                  </a:xfrm>
                </xdr:grpSpPr>
                <xdr:grpSp>
                  <xdr:nvGrpSpPr>
                    <xdr:cNvPr id="235" name="Group 234">
                      <a:extLst>
                        <a:ext uri="{FF2B5EF4-FFF2-40B4-BE49-F238E27FC236}">
                          <a16:creationId xmlns:a16="http://schemas.microsoft.com/office/drawing/2014/main" id="{00000000-0008-0000-0400-0000EB000000}"/>
                        </a:ext>
                      </a:extLst>
                    </xdr:cNvPr>
                    <xdr:cNvGrpSpPr/>
                  </xdr:nvGrpSpPr>
                  <xdr:grpSpPr>
                    <a:xfrm>
                      <a:off x="3685324" y="19423994"/>
                      <a:ext cx="2579315" cy="1477248"/>
                      <a:chOff x="3579019" y="19248674"/>
                      <a:chExt cx="2604724" cy="1405503"/>
                    </a:xfrm>
                  </xdr:grpSpPr>
                  <xdr:grpSp>
                    <xdr:nvGrpSpPr>
                      <xdr:cNvPr id="239" name="Group 238">
                        <a:extLst>
                          <a:ext uri="{FF2B5EF4-FFF2-40B4-BE49-F238E27FC236}">
                            <a16:creationId xmlns:a16="http://schemas.microsoft.com/office/drawing/2014/main" id="{00000000-0008-0000-0400-0000EF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579019" y="19248674"/>
                        <a:ext cx="2604724" cy="1405503"/>
                        <a:chOff x="3579019" y="19248674"/>
                        <a:chExt cx="2604724" cy="1405503"/>
                      </a:xfrm>
                    </xdr:grpSpPr>
                    <xdr:grpSp>
                      <xdr:nvGrpSpPr>
                        <xdr:cNvPr id="243" name="Group 242">
                          <a:extLst>
                            <a:ext uri="{FF2B5EF4-FFF2-40B4-BE49-F238E27FC236}">
                              <a16:creationId xmlns:a16="http://schemas.microsoft.com/office/drawing/2014/main" id="{00000000-0008-0000-0400-0000F3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579019" y="19447669"/>
                          <a:ext cx="2604724" cy="1206508"/>
                          <a:chOff x="3579019" y="19447669"/>
                          <a:chExt cx="2604724" cy="1206508"/>
                        </a:xfrm>
                      </xdr:grpSpPr>
                      <xdr:grpSp>
                        <xdr:nvGrpSpPr>
                          <xdr:cNvPr id="248" name="Group 247">
                            <a:extLst>
                              <a:ext uri="{FF2B5EF4-FFF2-40B4-BE49-F238E27FC236}">
                                <a16:creationId xmlns:a16="http://schemas.microsoft.com/office/drawing/2014/main" id="{00000000-0008-0000-0400-0000F8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579019" y="19447669"/>
                            <a:ext cx="2604724" cy="1065967"/>
                            <a:chOff x="3579019" y="19447669"/>
                            <a:chExt cx="2604724" cy="1065967"/>
                          </a:xfrm>
                        </xdr:grpSpPr>
                        <xdr:grpSp>
                          <xdr:nvGrpSpPr>
                            <xdr:cNvPr id="254" name="Group 253">
                              <a:extLst>
                                <a:ext uri="{FF2B5EF4-FFF2-40B4-BE49-F238E27FC236}">
                                  <a16:creationId xmlns:a16="http://schemas.microsoft.com/office/drawing/2014/main" id="{00000000-0008-0000-0400-0000FE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579019" y="19447669"/>
                              <a:ext cx="2049891" cy="1065967"/>
                              <a:chOff x="3579019" y="19447669"/>
                              <a:chExt cx="2049891" cy="1065967"/>
                            </a:xfrm>
                          </xdr:grpSpPr>
                          <xdr:grpSp>
                            <xdr:nvGrpSpPr>
                              <xdr:cNvPr id="276" name="그룹 7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1401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135323" y="19544500"/>
                                <a:ext cx="1493587" cy="880848"/>
                                <a:chOff x="2971800" y="381000"/>
                                <a:chExt cx="1574210" cy="1061287"/>
                              </a:xfrm>
                            </xdr:grpSpPr>
                            <xdr:cxnSp macro="">
                              <xdr:nvCxnSpPr>
                                <xdr:cNvPr id="278" name="직선 연결선 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6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07515" y="1442287"/>
                                  <a:ext cx="1111112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79" name="직선 연결선 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7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 flipV="1">
                                  <a:off x="3121216" y="388272"/>
                                  <a:ext cx="247294" cy="1050604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80" name="직선 연결선 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8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166565" y="399805"/>
                                  <a:ext cx="227574" cy="1036150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81" name="직선 연결선 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9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971800" y="381000"/>
                                  <a:ext cx="1574210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cxnSp macro="">
                            <xdr:nvCxnSpPr>
                              <xdr:cNvPr id="263" name="Straight Connector 262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7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19509581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4" name="Straight Connector 26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8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883819" y="19511963"/>
                                <a:ext cx="0" cy="971550"/>
                              </a:xfrm>
                              <a:prstGeom prst="line">
                                <a:avLst/>
                              </a:prstGeom>
                              <a:ln w="3175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5" name="Straight Connector 26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9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8" y="19576539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6" name="Straight Connector 26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A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20" y="2039302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7" name="Straight Connector 26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B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2045788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268" name="TextBox 267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C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609976" y="19447669"/>
                                <a:ext cx="307182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tt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269" name="TextBox 268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D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79019" y="1988820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Dw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270" name="TextBox 269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E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98069" y="2032635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tb</a:t>
                                </a:r>
                                <a:endParaRPr lang="en-US" sz="9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255" name="Straight Connector 254">
                              <a:extLst>
                                <a:ext uri="{FF2B5EF4-FFF2-40B4-BE49-F238E27FC236}">
                                  <a16:creationId xmlns:a16="http://schemas.microsoft.com/office/drawing/2014/main" id="{00000000-0008-0000-0400-0000FF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195763" y="19885819"/>
                              <a:ext cx="1550193" cy="0"/>
                            </a:xfrm>
                            <a:prstGeom prst="line">
                              <a:avLst/>
                            </a:prstGeom>
                            <a:ln w="0">
                              <a:solidFill>
                                <a:srgbClr val="C00000"/>
                              </a:solidFill>
                              <a:prstDash val="sysDash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6" name="Straight Connector 255">
                              <a:extLst>
                                <a:ext uri="{FF2B5EF4-FFF2-40B4-BE49-F238E27FC236}">
                                  <a16:creationId xmlns:a16="http://schemas.microsoft.com/office/drawing/2014/main" id="{00000000-0008-0000-0400-000000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38802" y="19504819"/>
                              <a:ext cx="111917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7" name="Straight Connector 256">
                              <a:extLst>
                                <a:ext uri="{FF2B5EF4-FFF2-40B4-BE49-F238E27FC236}">
                                  <a16:creationId xmlns:a16="http://schemas.microsoft.com/office/drawing/2014/main" id="{00000000-0008-0000-0400-000001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750719" y="19500056"/>
                              <a:ext cx="0" cy="97155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8" name="Straight Connector 257">
                              <a:extLst>
                                <a:ext uri="{FF2B5EF4-FFF2-40B4-BE49-F238E27FC236}">
                                  <a16:creationId xmlns:a16="http://schemas.microsoft.com/office/drawing/2014/main" id="{00000000-0008-0000-0400-000002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464969" y="20462082"/>
                              <a:ext cx="285748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9" name="Straight Connector 258">
                              <a:extLst>
                                <a:ext uri="{FF2B5EF4-FFF2-40B4-BE49-F238E27FC236}">
                                  <a16:creationId xmlns:a16="http://schemas.microsoft.com/office/drawing/2014/main" id="{00000000-0008-0000-0400-000003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579267" y="19885818"/>
                              <a:ext cx="171451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60" name="TextBox 259">
                              <a:extLst>
                                <a:ext uri="{FF2B5EF4-FFF2-40B4-BE49-F238E27FC236}">
                                  <a16:creationId xmlns:a16="http://schemas.microsoft.com/office/drawing/2014/main" id="{00000000-0008-0000-0400-000004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81663" y="19590828"/>
                              <a:ext cx="502080" cy="18938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YU2</a:t>
                              </a:r>
                              <a:endParaRPr lang="en-US" sz="900"/>
                            </a:p>
                          </xdr:txBody>
                        </xdr:sp>
                        <xdr:sp macro="" textlink="">
                          <xdr:nvSpPr>
                            <xdr:cNvPr id="261" name="TextBox 260">
                              <a:extLst>
                                <a:ext uri="{FF2B5EF4-FFF2-40B4-BE49-F238E27FC236}">
                                  <a16:creationId xmlns:a16="http://schemas.microsoft.com/office/drawing/2014/main" id="{00000000-0008-0000-0400-000005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707856" y="20059649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YL2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grpSp>
                        <xdr:nvGrpSpPr>
                          <xdr:cNvPr id="249" name="Group 248">
                            <a:extLst>
                              <a:ext uri="{FF2B5EF4-FFF2-40B4-BE49-F238E27FC236}">
                                <a16:creationId xmlns:a16="http://schemas.microsoft.com/office/drawing/2014/main" id="{00000000-0008-0000-0400-0000F9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536746" y="20466891"/>
                            <a:ext cx="729594" cy="187286"/>
                            <a:chOff x="4536746" y="20466891"/>
                            <a:chExt cx="729594" cy="187286"/>
                          </a:xfrm>
                        </xdr:grpSpPr>
                        <xdr:cxnSp macro="">
                          <xdr:nvCxnSpPr>
                            <xdr:cNvPr id="250" name="Straight Connector 249">
                              <a:extLst>
                                <a:ext uri="{FF2B5EF4-FFF2-40B4-BE49-F238E27FC236}">
                                  <a16:creationId xmlns:a16="http://schemas.microsoft.com/office/drawing/2014/main" id="{00000000-0008-0000-0400-0000FA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36746" y="20477319"/>
                              <a:ext cx="0" cy="132842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1" name="Straight Connector 250">
                              <a:extLst>
                                <a:ext uri="{FF2B5EF4-FFF2-40B4-BE49-F238E27FC236}">
                                  <a16:creationId xmlns:a16="http://schemas.microsoft.com/office/drawing/2014/main" id="{00000000-0008-0000-0400-0000FB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42086" y="20613419"/>
                              <a:ext cx="724254" cy="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2" name="Straight Connector 251">
                              <a:extLst>
                                <a:ext uri="{FF2B5EF4-FFF2-40B4-BE49-F238E27FC236}">
                                  <a16:creationId xmlns:a16="http://schemas.microsoft.com/office/drawing/2014/main" id="{00000000-0008-0000-0400-0000FC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241620" y="20479346"/>
                              <a:ext cx="0" cy="135346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53" name="TextBox 252">
                              <a:extLst>
                                <a:ext uri="{FF2B5EF4-FFF2-40B4-BE49-F238E27FC236}">
                                  <a16:creationId xmlns:a16="http://schemas.microsoft.com/office/drawing/2014/main" id="{00000000-0008-0000-0400-0000FD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53116" y="20466891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b1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  <xdr:cxnSp macro="">
                      <xdr:nvCxnSpPr>
                        <xdr:cNvPr id="244" name="Straight Connector 243">
                          <a:extLst>
                            <a:ext uri="{FF2B5EF4-FFF2-40B4-BE49-F238E27FC236}">
                              <a16:creationId xmlns:a16="http://schemas.microsoft.com/office/drawing/2014/main" id="{00000000-0008-0000-0400-0000F4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138613" y="19397619"/>
                          <a:ext cx="0" cy="83387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45" name="Straight Connector 244">
                          <a:extLst>
                            <a:ext uri="{FF2B5EF4-FFF2-40B4-BE49-F238E27FC236}">
                              <a16:creationId xmlns:a16="http://schemas.microsoft.com/office/drawing/2014/main" id="{00000000-0008-0000-0400-0000F5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5623772" y="19395106"/>
                          <a:ext cx="0" cy="88282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46" name="Straight Connector 245">
                          <a:extLst>
                            <a:ext uri="{FF2B5EF4-FFF2-40B4-BE49-F238E27FC236}">
                              <a16:creationId xmlns:a16="http://schemas.microsoft.com/office/drawing/2014/main" id="{00000000-0008-0000-0400-0000F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126706" y="19395400"/>
                          <a:ext cx="1502204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extLst>
                            <a:ext uri="{FF2B5EF4-FFF2-40B4-BE49-F238E27FC236}">
                              <a16:creationId xmlns:a16="http://schemas.microsoft.com/office/drawing/2014/main" id="{00000000-0008-0000-04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749781" y="19248674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bt</a:t>
                          </a:r>
                          <a:endParaRPr lang="en-US" sz="900"/>
                        </a:p>
                      </xdr:txBody>
                    </xdr:sp>
                  </xdr:grpSp>
                  <xdr:cxnSp macro="">
                    <xdr:nvCxnSpPr>
                      <xdr:cNvPr id="240" name="Straight Connector 239">
                        <a:extLst>
                          <a:ext uri="{FF2B5EF4-FFF2-40B4-BE49-F238E27FC236}">
                            <a16:creationId xmlns:a16="http://schemas.microsoft.com/office/drawing/2014/main" id="{00000000-0008-0000-0400-0000F000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4067175" y="20113840"/>
                        <a:ext cx="265375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41" name="Straight Connector 240">
                        <a:extLst>
                          <a:ext uri="{FF2B5EF4-FFF2-40B4-BE49-F238E27FC236}">
                            <a16:creationId xmlns:a16="http://schemas.microsoft.com/office/drawing/2014/main" id="{00000000-0008-0000-0400-0000F1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067175" y="20118523"/>
                        <a:ext cx="0" cy="274504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42" name="TextBox 241">
                        <a:extLst>
                          <a:ext uri="{FF2B5EF4-FFF2-40B4-BE49-F238E27FC236}">
                            <a16:creationId xmlns:a16="http://schemas.microsoft.com/office/drawing/2014/main" id="{00000000-0008-0000-0400-0000F2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992222" y="20161625"/>
                        <a:ext cx="423862" cy="18728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Hc</a:t>
                        </a:r>
                        <a:endParaRPr lang="en-US" sz="900"/>
                      </a:p>
                    </xdr:txBody>
                  </xdr:sp>
                </xdr:grpSp>
                <xdr:sp macro="" textlink="">
                  <xdr:nvSpPr>
                    <xdr:cNvPr id="232" name="Isosceles Triangle 231">
                      <a:extLst>
                        <a:ext uri="{FF2B5EF4-FFF2-40B4-BE49-F238E27FC236}">
                          <a16:creationId xmlns:a16="http://schemas.microsoft.com/office/drawing/2014/main" id="{00000000-0008-0000-0400-0000E8000000}"/>
                        </a:ext>
                      </a:extLst>
                    </xdr:cNvPr>
                    <xdr:cNvSpPr/>
                  </xdr:nvSpPr>
                  <xdr:spPr>
                    <a:xfrm flipH="1">
                      <a:off x="4243384" y="19914394"/>
                      <a:ext cx="80965" cy="314326"/>
                    </a:xfrm>
                    <a:prstGeom prst="triangle">
                      <a:avLst>
                        <a:gd name="adj" fmla="val 100000"/>
                      </a:avLst>
                    </a:prstGeom>
                    <a:noFill/>
                    <a:ln w="9525">
                      <a:solidFill>
                        <a:srgbClr val="C0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233" name="TextBox 232">
                      <a:extLst>
                        <a:ext uri="{FF2B5EF4-FFF2-40B4-BE49-F238E27FC236}">
                          <a16:creationId xmlns:a16="http://schemas.microsoft.com/office/drawing/2014/main" id="{00000000-0008-0000-0400-0000E9000000}"/>
                        </a:ext>
                      </a:extLst>
                    </xdr:cNvPr>
                    <xdr:cNvSpPr txBox="1"/>
                  </xdr:nvSpPr>
                  <xdr:spPr>
                    <a:xfrm>
                      <a:off x="4063498" y="19998759"/>
                      <a:ext cx="377282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1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234" name="TextBox 233">
                      <a:extLst>
                        <a:ext uri="{FF2B5EF4-FFF2-40B4-BE49-F238E27FC236}">
                          <a16:creationId xmlns:a16="http://schemas.microsoft.com/office/drawing/2014/main" id="{00000000-0008-0000-0400-0000EA000000}"/>
                        </a:ext>
                      </a:extLst>
                    </xdr:cNvPr>
                    <xdr:cNvSpPr txBox="1"/>
                  </xdr:nvSpPr>
                  <xdr:spPr>
                    <a:xfrm>
                      <a:off x="4160609" y="20176615"/>
                      <a:ext cx="377282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S</a:t>
                      </a:r>
                      <a:endParaRPr lang="en-US" sz="900"/>
                    </a:p>
                  </xdr:txBody>
                </xdr:sp>
              </xdr:grpSp>
              <xdr:sp macro="" textlink="">
                <xdr:nvSpPr>
                  <xdr:cNvPr id="230" name="TextBox 229">
                    <a:extLst>
                      <a:ext uri="{FF2B5EF4-FFF2-40B4-BE49-F238E27FC236}">
                        <a16:creationId xmlns:a16="http://schemas.microsoft.com/office/drawing/2014/main" id="{00000000-0008-0000-0400-0000E6000000}"/>
                      </a:ext>
                    </a:extLst>
                  </xdr:cNvPr>
                  <xdr:cNvSpPr txBox="1"/>
                </xdr:nvSpPr>
                <xdr:spPr>
                  <a:xfrm>
                    <a:off x="4521993" y="19923918"/>
                    <a:ext cx="826295" cy="19684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Neutral Axis</a:t>
                    </a:r>
                    <a:endParaRPr lang="en-US" sz="900"/>
                  </a:p>
                </xdr:txBody>
              </xdr:sp>
            </xdr:grpSp>
          </xdr:grpSp>
          <xdr:grpSp>
            <xdr:nvGrpSpPr>
              <xdr:cNvPr id="16" name="Group 15">
                <a:extLst>
                  <a:ext uri="{FF2B5EF4-FFF2-40B4-BE49-F238E27FC236}">
                    <a16:creationId xmlns:a16="http://schemas.microsoft.com/office/drawing/2014/main" id="{00000000-0008-0000-0400-000010000000}"/>
                  </a:ext>
                </a:extLst>
              </xdr:cNvPr>
              <xdr:cNvGrpSpPr/>
            </xdr:nvGrpSpPr>
            <xdr:grpSpPr>
              <a:xfrm>
                <a:off x="4712494" y="28515469"/>
                <a:ext cx="435295" cy="76514"/>
                <a:chOff x="5476875" y="28651200"/>
                <a:chExt cx="435295" cy="76514"/>
              </a:xfrm>
            </xdr:grpSpPr>
            <xdr:cxnSp macro="">
              <xdr:nvCxnSpPr>
                <xdr:cNvPr id="687" name="직선 연결선 32">
                  <a:extLst>
                    <a:ext uri="{FF2B5EF4-FFF2-40B4-BE49-F238E27FC236}">
                      <a16:creationId xmlns:a16="http://schemas.microsoft.com/office/drawing/2014/main" id="{00000000-0008-0000-0400-0000AF020000}"/>
                    </a:ext>
                  </a:extLst>
                </xdr:cNvPr>
                <xdr:cNvCxnSpPr/>
              </xdr:nvCxnSpPr>
              <xdr:spPr>
                <a:xfrm flipV="1">
                  <a:off x="5476875" y="28651201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88" name="직선 연결선 37">
                  <a:extLst>
                    <a:ext uri="{FF2B5EF4-FFF2-40B4-BE49-F238E27FC236}">
                      <a16:creationId xmlns:a16="http://schemas.microsoft.com/office/drawing/2014/main" id="{00000000-0008-0000-0400-0000B0020000}"/>
                    </a:ext>
                  </a:extLst>
                </xdr:cNvPr>
                <xdr:cNvCxnSpPr/>
              </xdr:nvCxnSpPr>
              <xdr:spPr>
                <a:xfrm flipV="1">
                  <a:off x="5617368" y="28653325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89" name="직선 연결선 38">
                  <a:extLst>
                    <a:ext uri="{FF2B5EF4-FFF2-40B4-BE49-F238E27FC236}">
                      <a16:creationId xmlns:a16="http://schemas.microsoft.com/office/drawing/2014/main" id="{00000000-0008-0000-0400-0000B1020000}"/>
                    </a:ext>
                  </a:extLst>
                </xdr:cNvPr>
                <xdr:cNvCxnSpPr/>
              </xdr:nvCxnSpPr>
              <xdr:spPr>
                <a:xfrm flipV="1">
                  <a:off x="5755557" y="28653326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90" name="직선 연결선 39">
                  <a:extLst>
                    <a:ext uri="{FF2B5EF4-FFF2-40B4-BE49-F238E27FC236}">
                      <a16:creationId xmlns:a16="http://schemas.microsoft.com/office/drawing/2014/main" id="{00000000-0008-0000-0400-0000B2020000}"/>
                    </a:ext>
                  </a:extLst>
                </xdr:cNvPr>
                <xdr:cNvCxnSpPr/>
              </xdr:nvCxnSpPr>
              <xdr:spPr>
                <a:xfrm flipV="1">
                  <a:off x="5912170" y="28651200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707" name="직선 연결선 32">
              <a:extLst>
                <a:ext uri="{FF2B5EF4-FFF2-40B4-BE49-F238E27FC236}">
                  <a16:creationId xmlns:a16="http://schemas.microsoft.com/office/drawing/2014/main" id="{00000000-0008-0000-0400-0000C3020000}"/>
                </a:ext>
              </a:extLst>
            </xdr:cNvPr>
            <xdr:cNvCxnSpPr/>
          </xdr:nvCxnSpPr>
          <xdr:spPr>
            <a:xfrm flipV="1">
              <a:off x="4605337" y="2762752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8" name="직선 연결선 37">
              <a:extLst>
                <a:ext uri="{FF2B5EF4-FFF2-40B4-BE49-F238E27FC236}">
                  <a16:creationId xmlns:a16="http://schemas.microsoft.com/office/drawing/2014/main" id="{00000000-0008-0000-0400-0000C4020000}"/>
                </a:ext>
              </a:extLst>
            </xdr:cNvPr>
            <xdr:cNvCxnSpPr/>
          </xdr:nvCxnSpPr>
          <xdr:spPr>
            <a:xfrm flipV="1">
              <a:off x="4824409" y="27627263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9" name="직선 연결선 38">
              <a:extLst>
                <a:ext uri="{FF2B5EF4-FFF2-40B4-BE49-F238E27FC236}">
                  <a16:creationId xmlns:a16="http://schemas.microsoft.com/office/drawing/2014/main" id="{00000000-0008-0000-0400-0000C5020000}"/>
                </a:ext>
              </a:extLst>
            </xdr:cNvPr>
            <xdr:cNvCxnSpPr/>
          </xdr:nvCxnSpPr>
          <xdr:spPr>
            <a:xfrm flipV="1">
              <a:off x="5050706" y="2762726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0" name="직선 연결선 39">
              <a:extLst>
                <a:ext uri="{FF2B5EF4-FFF2-40B4-BE49-F238E27FC236}">
                  <a16:creationId xmlns:a16="http://schemas.microsoft.com/office/drawing/2014/main" id="{00000000-0008-0000-0400-0000C6020000}"/>
                </a:ext>
              </a:extLst>
            </xdr:cNvPr>
            <xdr:cNvCxnSpPr/>
          </xdr:nvCxnSpPr>
          <xdr:spPr>
            <a:xfrm flipV="1">
              <a:off x="5273994" y="2762751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69C8730-F20D-4175-BE88-2B2BE529B2AA}"/>
              </a:ext>
            </a:extLst>
          </xdr:cNvPr>
          <xdr:cNvGrpSpPr/>
        </xdr:nvGrpSpPr>
        <xdr:grpSpPr>
          <a:xfrm flipV="1">
            <a:off x="5267321" y="28358306"/>
            <a:ext cx="871538" cy="121444"/>
            <a:chOff x="5448300" y="28270200"/>
            <a:chExt cx="712096" cy="161410"/>
          </a:xfrm>
        </xdr:grpSpPr>
        <xdr:cxnSp macro="">
          <xdr:nvCxnSpPr>
            <xdr:cNvPr id="459" name="Straight Connector 458">
              <a:extLst>
                <a:ext uri="{FF2B5EF4-FFF2-40B4-BE49-F238E27FC236}">
                  <a16:creationId xmlns:a16="http://schemas.microsoft.com/office/drawing/2014/main" id="{C9AF3194-FDD6-45E4-9A31-4061236E2D38}"/>
                </a:ext>
              </a:extLst>
            </xdr:cNvPr>
            <xdr:cNvCxnSpPr/>
          </xdr:nvCxnSpPr>
          <xdr:spPr>
            <a:xfrm>
              <a:off x="5448300" y="28270200"/>
              <a:ext cx="0" cy="156086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9" name="Straight Connector 468">
              <a:extLst>
                <a:ext uri="{FF2B5EF4-FFF2-40B4-BE49-F238E27FC236}">
                  <a16:creationId xmlns:a16="http://schemas.microsoft.com/office/drawing/2014/main" id="{5532F012-56B9-483D-AA76-5E31F36E9D21}"/>
                </a:ext>
              </a:extLst>
            </xdr:cNvPr>
            <xdr:cNvCxnSpPr/>
          </xdr:nvCxnSpPr>
          <xdr:spPr>
            <a:xfrm flipV="1">
              <a:off x="5450681" y="28430113"/>
              <a:ext cx="709715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1" name="Straight Connector 520">
              <a:extLst>
                <a:ext uri="{FF2B5EF4-FFF2-40B4-BE49-F238E27FC236}">
                  <a16:creationId xmlns:a16="http://schemas.microsoft.com/office/drawing/2014/main" id="{A5551922-C505-4AC4-9D13-A4DA73777758}"/>
                </a:ext>
              </a:extLst>
            </xdr:cNvPr>
            <xdr:cNvCxnSpPr/>
          </xdr:nvCxnSpPr>
          <xdr:spPr>
            <a:xfrm>
              <a:off x="6158825" y="28272581"/>
              <a:ext cx="0" cy="159029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2" name="TextBox 521">
            <a:extLst>
              <a:ext uri="{FF2B5EF4-FFF2-40B4-BE49-F238E27FC236}">
                <a16:creationId xmlns:a16="http://schemas.microsoft.com/office/drawing/2014/main" id="{60F653F0-4D51-47E0-8EC9-2A221C7D19E7}"/>
              </a:ext>
            </a:extLst>
          </xdr:cNvPr>
          <xdr:cNvSpPr txBox="1"/>
        </xdr:nvSpPr>
        <xdr:spPr>
          <a:xfrm>
            <a:off x="5557837" y="28194000"/>
            <a:ext cx="384053" cy="2200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/>
              <a:t>b2</a:t>
            </a:r>
            <a:endParaRPr lang="en-US" sz="900"/>
          </a:p>
        </xdr:txBody>
      </xdr:sp>
    </xdr:grpSp>
    <xdr:clientData/>
  </xdr:twoCellAnchor>
  <xdr:twoCellAnchor>
    <xdr:from>
      <xdr:col>2</xdr:col>
      <xdr:colOff>118504</xdr:colOff>
      <xdr:row>192</xdr:row>
      <xdr:rowOff>74741</xdr:rowOff>
    </xdr:from>
    <xdr:to>
      <xdr:col>4</xdr:col>
      <xdr:colOff>374709</xdr:colOff>
      <xdr:row>196</xdr:row>
      <xdr:rowOff>71398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C464DE3-050B-4F92-9F84-610B70FCE80E}"/>
            </a:ext>
          </a:extLst>
        </xdr:cNvPr>
        <xdr:cNvGrpSpPr/>
      </xdr:nvGrpSpPr>
      <xdr:grpSpPr>
        <a:xfrm>
          <a:off x="1036986" y="36057129"/>
          <a:ext cx="1217210" cy="745050"/>
          <a:chOff x="660351" y="19762197"/>
          <a:chExt cx="1244648" cy="751468"/>
        </a:xfrm>
      </xdr:grpSpPr>
      <xdr:grpSp>
        <xdr:nvGrpSpPr>
          <xdr:cNvPr id="557" name="그룹 48">
            <a:extLst>
              <a:ext uri="{FF2B5EF4-FFF2-40B4-BE49-F238E27FC236}">
                <a16:creationId xmlns:a16="http://schemas.microsoft.com/office/drawing/2014/main" id="{CD2C5CA3-6990-4085-856A-B9103478D4EF}"/>
              </a:ext>
            </a:extLst>
          </xdr:cNvPr>
          <xdr:cNvGrpSpPr/>
        </xdr:nvGrpSpPr>
        <xdr:grpSpPr>
          <a:xfrm>
            <a:off x="660351" y="19762197"/>
            <a:ext cx="1244648" cy="751468"/>
            <a:chOff x="4949316" y="313866"/>
            <a:chExt cx="1573242" cy="1068620"/>
          </a:xfrm>
        </xdr:grpSpPr>
        <xdr:grpSp>
          <xdr:nvGrpSpPr>
            <xdr:cNvPr id="566" name="그룹 30">
              <a:extLst>
                <a:ext uri="{FF2B5EF4-FFF2-40B4-BE49-F238E27FC236}">
                  <a16:creationId xmlns:a16="http://schemas.microsoft.com/office/drawing/2014/main" id="{FA542456-AE90-4097-B141-47BE784A3026}"/>
                </a:ext>
              </a:extLst>
            </xdr:cNvPr>
            <xdr:cNvGrpSpPr/>
          </xdr:nvGrpSpPr>
          <xdr:grpSpPr>
            <a:xfrm>
              <a:off x="4949316" y="313866"/>
              <a:ext cx="1573242" cy="1068620"/>
              <a:chOff x="4444381" y="313952"/>
              <a:chExt cx="1570114" cy="1069110"/>
            </a:xfrm>
          </xdr:grpSpPr>
          <xdr:grpSp>
            <xdr:nvGrpSpPr>
              <xdr:cNvPr id="581" name="그룹 7">
                <a:extLst>
                  <a:ext uri="{FF2B5EF4-FFF2-40B4-BE49-F238E27FC236}">
                    <a16:creationId xmlns:a16="http://schemas.microsoft.com/office/drawing/2014/main" id="{8D20E736-ADF1-4CF1-BDA4-3C107C250F13}"/>
                  </a:ext>
                </a:extLst>
              </xdr:cNvPr>
              <xdr:cNvGrpSpPr/>
            </xdr:nvGrpSpPr>
            <xdr:grpSpPr>
              <a:xfrm>
                <a:off x="4444381" y="315446"/>
                <a:ext cx="1421154" cy="1067616"/>
                <a:chOff x="2971800" y="381000"/>
                <a:chExt cx="1422339" cy="1061287"/>
              </a:xfrm>
            </xdr:grpSpPr>
            <xdr:cxnSp macro="">
              <xdr:nvCxnSpPr>
                <xdr:cNvPr id="583" name="직선 연결선 3">
                  <a:extLst>
                    <a:ext uri="{FF2B5EF4-FFF2-40B4-BE49-F238E27FC236}">
                      <a16:creationId xmlns:a16="http://schemas.microsoft.com/office/drawing/2014/main" id="{AAEC406F-432D-4160-9E1F-CA200FC9D79E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7620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4" name="직선 연결선 4">
                  <a:extLst>
                    <a:ext uri="{FF2B5EF4-FFF2-40B4-BE49-F238E27FC236}">
                      <a16:creationId xmlns:a16="http://schemas.microsoft.com/office/drawing/2014/main" id="{2E0AF46A-ADD0-4142-8400-8EA4CF25497F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5" name="직선 연결선 5">
                  <a:extLst>
                    <a:ext uri="{FF2B5EF4-FFF2-40B4-BE49-F238E27FC236}">
                      <a16:creationId xmlns:a16="http://schemas.microsoft.com/office/drawing/2014/main" id="{B41F79CE-3D36-49AB-A43A-E739043F8809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6" name="직선 연결선 6">
                  <a:extLst>
                    <a:ext uri="{FF2B5EF4-FFF2-40B4-BE49-F238E27FC236}">
                      <a16:creationId xmlns:a16="http://schemas.microsoft.com/office/drawing/2014/main" id="{7C2DBED5-A1D3-4E4D-94AA-AF4AD8E99787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7620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582" name="직선 연결선 29">
                <a:extLst>
                  <a:ext uri="{FF2B5EF4-FFF2-40B4-BE49-F238E27FC236}">
                    <a16:creationId xmlns:a16="http://schemas.microsoft.com/office/drawing/2014/main" id="{5629389F-4D42-4093-B344-89D607325864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762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67" name="직선 연결선 32">
              <a:extLst>
                <a:ext uri="{FF2B5EF4-FFF2-40B4-BE49-F238E27FC236}">
                  <a16:creationId xmlns:a16="http://schemas.microsoft.com/office/drawing/2014/main" id="{2B9C8139-ABB2-4D56-825F-B8C68C72AD5D}"/>
                </a:ext>
              </a:extLst>
            </xdr:cNvPr>
            <xdr:cNvCxnSpPr/>
          </xdr:nvCxnSpPr>
          <xdr:spPr>
            <a:xfrm flipV="1">
              <a:off x="5496514" y="1271637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8" name="직선 연결선 37">
              <a:extLst>
                <a:ext uri="{FF2B5EF4-FFF2-40B4-BE49-F238E27FC236}">
                  <a16:creationId xmlns:a16="http://schemas.microsoft.com/office/drawing/2014/main" id="{F1F8A839-3E0F-49B2-AC95-9096602980E4}"/>
                </a:ext>
              </a:extLst>
            </xdr:cNvPr>
            <xdr:cNvCxnSpPr/>
          </xdr:nvCxnSpPr>
          <xdr:spPr>
            <a:xfrm flipV="1">
              <a:off x="5646263" y="1274091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9" name="직선 연결선 38">
              <a:extLst>
                <a:ext uri="{FF2B5EF4-FFF2-40B4-BE49-F238E27FC236}">
                  <a16:creationId xmlns:a16="http://schemas.microsoft.com/office/drawing/2014/main" id="{A536935E-CF29-427A-BA11-DDF59509BF39}"/>
                </a:ext>
              </a:extLst>
            </xdr:cNvPr>
            <xdr:cNvCxnSpPr/>
          </xdr:nvCxnSpPr>
          <xdr:spPr>
            <a:xfrm flipV="1">
              <a:off x="5793557" y="1274092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0" name="직선 연결선 39">
              <a:extLst>
                <a:ext uri="{FF2B5EF4-FFF2-40B4-BE49-F238E27FC236}">
                  <a16:creationId xmlns:a16="http://schemas.microsoft.com/office/drawing/2014/main" id="{14139D0E-E6B5-4C04-AC43-D33E626A12B1}"/>
                </a:ext>
              </a:extLst>
            </xdr:cNvPr>
            <xdr:cNvCxnSpPr/>
          </xdr:nvCxnSpPr>
          <xdr:spPr>
            <a:xfrm flipV="1">
              <a:off x="5960489" y="1271636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09E309EC-8A4E-469B-B5EA-092A8EF668DE}"/>
              </a:ext>
            </a:extLst>
          </xdr:cNvPr>
          <xdr:cNvGrpSpPr/>
        </xdr:nvGrpSpPr>
        <xdr:grpSpPr>
          <a:xfrm>
            <a:off x="1042358" y="19916333"/>
            <a:ext cx="593067" cy="274661"/>
            <a:chOff x="1042358" y="19966010"/>
            <a:chExt cx="593067" cy="269575"/>
          </a:xfrm>
        </xdr:grpSpPr>
        <xdr:sp macro="" textlink="">
          <xdr:nvSpPr>
            <xdr:cNvPr id="942" name="TextBox 941">
              <a:extLst>
                <a:ext uri="{FF2B5EF4-FFF2-40B4-BE49-F238E27FC236}">
                  <a16:creationId xmlns:a16="http://schemas.microsoft.com/office/drawing/2014/main" id="{E2A4256D-18CA-4A20-AB67-2DA844E735E7}"/>
                </a:ext>
              </a:extLst>
            </xdr:cNvPr>
            <xdr:cNvSpPr txBox="1"/>
          </xdr:nvSpPr>
          <xdr:spPr>
            <a:xfrm>
              <a:off x="1042358" y="19966010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1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" name="Rectangle: Rounded Corners 1">
              <a:extLst>
                <a:ext uri="{FF2B5EF4-FFF2-40B4-BE49-F238E27FC236}">
                  <a16:creationId xmlns:a16="http://schemas.microsoft.com/office/drawing/2014/main" id="{43441633-2DD2-4CCC-990F-B09B528AE28D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7</xdr:col>
      <xdr:colOff>460249</xdr:colOff>
      <xdr:row>192</xdr:row>
      <xdr:rowOff>56844</xdr:rowOff>
    </xdr:from>
    <xdr:to>
      <xdr:col>10</xdr:col>
      <xdr:colOff>137772</xdr:colOff>
      <xdr:row>196</xdr:row>
      <xdr:rowOff>109988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A27EEBD-CAB6-4E44-BDD6-A8A53585D6AE}"/>
            </a:ext>
          </a:extLst>
        </xdr:cNvPr>
        <xdr:cNvGrpSpPr/>
      </xdr:nvGrpSpPr>
      <xdr:grpSpPr>
        <a:xfrm>
          <a:off x="3759981" y="36039232"/>
          <a:ext cx="1123282" cy="801537"/>
          <a:chOff x="2807532" y="19715725"/>
          <a:chExt cx="1198289" cy="807955"/>
        </a:xfrm>
      </xdr:grpSpPr>
      <xdr:grpSp>
        <xdr:nvGrpSpPr>
          <xdr:cNvPr id="588" name="Group 587">
            <a:extLst>
              <a:ext uri="{FF2B5EF4-FFF2-40B4-BE49-F238E27FC236}">
                <a16:creationId xmlns:a16="http://schemas.microsoft.com/office/drawing/2014/main" id="{135A380E-9134-442F-BC30-D0F655DBF460}"/>
              </a:ext>
            </a:extLst>
          </xdr:cNvPr>
          <xdr:cNvGrpSpPr/>
        </xdr:nvGrpSpPr>
        <xdr:grpSpPr>
          <a:xfrm>
            <a:off x="2807532" y="19715725"/>
            <a:ext cx="1198289" cy="807955"/>
            <a:chOff x="4193123" y="27593192"/>
            <a:chExt cx="1479018" cy="1034976"/>
          </a:xfrm>
        </xdr:grpSpPr>
        <xdr:grpSp>
          <xdr:nvGrpSpPr>
            <xdr:cNvPr id="594" name="Group 593">
              <a:extLst>
                <a:ext uri="{FF2B5EF4-FFF2-40B4-BE49-F238E27FC236}">
                  <a16:creationId xmlns:a16="http://schemas.microsoft.com/office/drawing/2014/main" id="{CE029204-61C5-44E6-B8AB-8D85DAB8C9C7}"/>
                </a:ext>
              </a:extLst>
            </xdr:cNvPr>
            <xdr:cNvGrpSpPr/>
          </xdr:nvGrpSpPr>
          <xdr:grpSpPr>
            <a:xfrm>
              <a:off x="4193123" y="27593192"/>
              <a:ext cx="1479018" cy="1034976"/>
              <a:chOff x="4193123" y="27593192"/>
              <a:chExt cx="1479018" cy="1034976"/>
            </a:xfrm>
          </xdr:grpSpPr>
          <xdr:grpSp>
            <xdr:nvGrpSpPr>
              <xdr:cNvPr id="599" name="Group 598">
                <a:extLst>
                  <a:ext uri="{FF2B5EF4-FFF2-40B4-BE49-F238E27FC236}">
                    <a16:creationId xmlns:a16="http://schemas.microsoft.com/office/drawing/2014/main" id="{0491EA09-DD24-4AC6-97B5-B68A929ECD0D}"/>
                  </a:ext>
                </a:extLst>
              </xdr:cNvPr>
              <xdr:cNvGrpSpPr/>
            </xdr:nvGrpSpPr>
            <xdr:grpSpPr>
              <a:xfrm>
                <a:off x="4193123" y="27593192"/>
                <a:ext cx="1479018" cy="1034976"/>
                <a:chOff x="4236204" y="25830930"/>
                <a:chExt cx="1479018" cy="925812"/>
              </a:xfrm>
            </xdr:grpSpPr>
            <xdr:sp macro="" textlink="">
              <xdr:nvSpPr>
                <xdr:cNvPr id="605" name="Freeform 55">
                  <a:extLst>
                    <a:ext uri="{FF2B5EF4-FFF2-40B4-BE49-F238E27FC236}">
                      <a16:creationId xmlns:a16="http://schemas.microsoft.com/office/drawing/2014/main" id="{E8A0EAAA-54FB-4793-B04B-E56F4164BD5F}"/>
                    </a:ext>
                  </a:extLst>
                </xdr:cNvPr>
                <xdr:cNvSpPr/>
              </xdr:nvSpPr>
              <xdr:spPr>
                <a:xfrm>
                  <a:off x="4536281" y="26431875"/>
                  <a:ext cx="895350" cy="309563"/>
                </a:xfrm>
                <a:custGeom>
                  <a:avLst/>
                  <a:gdLst>
                    <a:gd name="connsiteX0" fmla="*/ 0 w 895350"/>
                    <a:gd name="connsiteY0" fmla="*/ 0 h 309563"/>
                    <a:gd name="connsiteX1" fmla="*/ 895350 w 895350"/>
                    <a:gd name="connsiteY1" fmla="*/ 0 h 309563"/>
                    <a:gd name="connsiteX2" fmla="*/ 809625 w 895350"/>
                    <a:gd name="connsiteY2" fmla="*/ 309563 h 309563"/>
                    <a:gd name="connsiteX3" fmla="*/ 73819 w 895350"/>
                    <a:gd name="connsiteY3" fmla="*/ 304800 h 309563"/>
                    <a:gd name="connsiteX4" fmla="*/ 0 w 895350"/>
                    <a:gd name="connsiteY4" fmla="*/ 0 h 3095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895350" h="309563">
                      <a:moveTo>
                        <a:pt x="0" y="0"/>
                      </a:moveTo>
                      <a:lnTo>
                        <a:pt x="895350" y="0"/>
                      </a:lnTo>
                      <a:lnTo>
                        <a:pt x="809625" y="309563"/>
                      </a:lnTo>
                      <a:lnTo>
                        <a:pt x="73819" y="30480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pattFill prst="pct10">
                  <a:fgClr>
                    <a:schemeClr val="accent1">
                      <a:lumMod val="75000"/>
                    </a:schemeClr>
                  </a:fgClr>
                  <a:bgClr>
                    <a:schemeClr val="bg1"/>
                  </a:bgClr>
                </a:pattFill>
                <a:ln w="1587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664" name="그룹 7">
                  <a:extLst>
                    <a:ext uri="{FF2B5EF4-FFF2-40B4-BE49-F238E27FC236}">
                      <a16:creationId xmlns:a16="http://schemas.microsoft.com/office/drawing/2014/main" id="{A956562B-2E19-4497-B35E-90C2BBFBDE9E}"/>
                    </a:ext>
                  </a:extLst>
                </xdr:cNvPr>
                <xdr:cNvGrpSpPr/>
              </xdr:nvGrpSpPr>
              <xdr:grpSpPr>
                <a:xfrm>
                  <a:off x="4236204" y="25830930"/>
                  <a:ext cx="1479018" cy="925812"/>
                  <a:chOff x="2971800" y="381000"/>
                  <a:chExt cx="1574210" cy="1061287"/>
                </a:xfrm>
              </xdr:grpSpPr>
              <xdr:cxnSp macro="">
                <xdr:nvCxnSpPr>
                  <xdr:cNvPr id="673" name="직선 연결선 3">
                    <a:extLst>
                      <a:ext uri="{FF2B5EF4-FFF2-40B4-BE49-F238E27FC236}">
                        <a16:creationId xmlns:a16="http://schemas.microsoft.com/office/drawing/2014/main" id="{E5093892-EDFC-4D29-A903-2C1C7D43DC3E}"/>
                      </a:ext>
                    </a:extLst>
                  </xdr:cNvPr>
                  <xdr:cNvCxnSpPr/>
                </xdr:nvCxnSpPr>
                <xdr:spPr>
                  <a:xfrm>
                    <a:off x="3207515" y="1442287"/>
                    <a:ext cx="1111112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4" name="직선 연결선 4">
                    <a:extLst>
                      <a:ext uri="{FF2B5EF4-FFF2-40B4-BE49-F238E27FC236}">
                        <a16:creationId xmlns:a16="http://schemas.microsoft.com/office/drawing/2014/main" id="{0E4F91FD-882E-4380-90AE-A55B5196E20D}"/>
                      </a:ext>
                    </a:extLst>
                  </xdr:cNvPr>
                  <xdr:cNvCxnSpPr/>
                </xdr:nvCxnSpPr>
                <xdr:spPr>
                  <a:xfrm flipH="1" flipV="1">
                    <a:off x="3121216" y="388272"/>
                    <a:ext cx="247294" cy="1050604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5" name="직선 연결선 5">
                    <a:extLst>
                      <a:ext uri="{FF2B5EF4-FFF2-40B4-BE49-F238E27FC236}">
                        <a16:creationId xmlns:a16="http://schemas.microsoft.com/office/drawing/2014/main" id="{2CD34F23-DEBC-4EBE-A4F9-061F8AE0FD68}"/>
                      </a:ext>
                    </a:extLst>
                  </xdr:cNvPr>
                  <xdr:cNvCxnSpPr/>
                </xdr:nvCxnSpPr>
                <xdr:spPr>
                  <a:xfrm flipV="1">
                    <a:off x="4166565" y="399805"/>
                    <a:ext cx="227574" cy="1036150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6" name="직선 연결선 6">
                    <a:extLst>
                      <a:ext uri="{FF2B5EF4-FFF2-40B4-BE49-F238E27FC236}">
                        <a16:creationId xmlns:a16="http://schemas.microsoft.com/office/drawing/2014/main" id="{09251B57-DF8D-4B46-BA54-CD882A68B551}"/>
                      </a:ext>
                    </a:extLst>
                  </xdr:cNvPr>
                  <xdr:cNvCxnSpPr/>
                </xdr:nvCxnSpPr>
                <xdr:spPr>
                  <a:xfrm>
                    <a:off x="2971800" y="381000"/>
                    <a:ext cx="1574210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600" name="Group 599">
                <a:extLst>
                  <a:ext uri="{FF2B5EF4-FFF2-40B4-BE49-F238E27FC236}">
                    <a16:creationId xmlns:a16="http://schemas.microsoft.com/office/drawing/2014/main" id="{D8835223-3943-4087-A427-FB16CFD2FD8E}"/>
                  </a:ext>
                </a:extLst>
              </xdr:cNvPr>
              <xdr:cNvGrpSpPr/>
            </xdr:nvGrpSpPr>
            <xdr:grpSpPr>
              <a:xfrm>
                <a:off x="4712494" y="28515469"/>
                <a:ext cx="435295" cy="76514"/>
                <a:chOff x="5476875" y="28651200"/>
                <a:chExt cx="435295" cy="76514"/>
              </a:xfrm>
            </xdr:grpSpPr>
            <xdr:cxnSp macro="">
              <xdr:nvCxnSpPr>
                <xdr:cNvPr id="601" name="직선 연결선 32">
                  <a:extLst>
                    <a:ext uri="{FF2B5EF4-FFF2-40B4-BE49-F238E27FC236}">
                      <a16:creationId xmlns:a16="http://schemas.microsoft.com/office/drawing/2014/main" id="{FFBE48D7-F7E6-48B1-820D-C47EBCE47461}"/>
                    </a:ext>
                  </a:extLst>
                </xdr:cNvPr>
                <xdr:cNvCxnSpPr/>
              </xdr:nvCxnSpPr>
              <xdr:spPr>
                <a:xfrm flipV="1">
                  <a:off x="5476875" y="28651201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2" name="직선 연결선 37">
                  <a:extLst>
                    <a:ext uri="{FF2B5EF4-FFF2-40B4-BE49-F238E27FC236}">
                      <a16:creationId xmlns:a16="http://schemas.microsoft.com/office/drawing/2014/main" id="{010DA0DE-E7FE-4EC5-B961-9190E1FB51CF}"/>
                    </a:ext>
                  </a:extLst>
                </xdr:cNvPr>
                <xdr:cNvCxnSpPr/>
              </xdr:nvCxnSpPr>
              <xdr:spPr>
                <a:xfrm flipV="1">
                  <a:off x="5617368" y="28653325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" name="직선 연결선 38">
                  <a:extLst>
                    <a:ext uri="{FF2B5EF4-FFF2-40B4-BE49-F238E27FC236}">
                      <a16:creationId xmlns:a16="http://schemas.microsoft.com/office/drawing/2014/main" id="{32472513-1D85-4974-9B28-A34E34023E92}"/>
                    </a:ext>
                  </a:extLst>
                </xdr:cNvPr>
                <xdr:cNvCxnSpPr/>
              </xdr:nvCxnSpPr>
              <xdr:spPr>
                <a:xfrm flipV="1">
                  <a:off x="5755557" y="28653326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4" name="직선 연결선 39">
                  <a:extLst>
                    <a:ext uri="{FF2B5EF4-FFF2-40B4-BE49-F238E27FC236}">
                      <a16:creationId xmlns:a16="http://schemas.microsoft.com/office/drawing/2014/main" id="{100C2AAE-1678-4D57-9698-8C509247ACF9}"/>
                    </a:ext>
                  </a:extLst>
                </xdr:cNvPr>
                <xdr:cNvCxnSpPr/>
              </xdr:nvCxnSpPr>
              <xdr:spPr>
                <a:xfrm flipV="1">
                  <a:off x="5912170" y="28651200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595" name="직선 연결선 32">
              <a:extLst>
                <a:ext uri="{FF2B5EF4-FFF2-40B4-BE49-F238E27FC236}">
                  <a16:creationId xmlns:a16="http://schemas.microsoft.com/office/drawing/2014/main" id="{8F00FBD3-85BF-43BD-B1AD-B80D8FD73393}"/>
                </a:ext>
              </a:extLst>
            </xdr:cNvPr>
            <xdr:cNvCxnSpPr/>
          </xdr:nvCxnSpPr>
          <xdr:spPr>
            <a:xfrm flipV="1">
              <a:off x="4605337" y="2762752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6" name="직선 연결선 37">
              <a:extLst>
                <a:ext uri="{FF2B5EF4-FFF2-40B4-BE49-F238E27FC236}">
                  <a16:creationId xmlns:a16="http://schemas.microsoft.com/office/drawing/2014/main" id="{70EC3C22-DDA3-4D5F-BF51-1B8D40B0FE37}"/>
                </a:ext>
              </a:extLst>
            </xdr:cNvPr>
            <xdr:cNvCxnSpPr/>
          </xdr:nvCxnSpPr>
          <xdr:spPr>
            <a:xfrm flipV="1">
              <a:off x="4824409" y="27627263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7" name="직선 연결선 38">
              <a:extLst>
                <a:ext uri="{FF2B5EF4-FFF2-40B4-BE49-F238E27FC236}">
                  <a16:creationId xmlns:a16="http://schemas.microsoft.com/office/drawing/2014/main" id="{CEEFD90A-959B-4B43-AE98-C35E18403615}"/>
                </a:ext>
              </a:extLst>
            </xdr:cNvPr>
            <xdr:cNvCxnSpPr/>
          </xdr:nvCxnSpPr>
          <xdr:spPr>
            <a:xfrm flipV="1">
              <a:off x="5050706" y="2762726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8" name="직선 연결선 39">
              <a:extLst>
                <a:ext uri="{FF2B5EF4-FFF2-40B4-BE49-F238E27FC236}">
                  <a16:creationId xmlns:a16="http://schemas.microsoft.com/office/drawing/2014/main" id="{CEEDD9B1-CAF3-4DCB-8E15-AC97950D871E}"/>
                </a:ext>
              </a:extLst>
            </xdr:cNvPr>
            <xdr:cNvCxnSpPr/>
          </xdr:nvCxnSpPr>
          <xdr:spPr>
            <a:xfrm flipV="1">
              <a:off x="5273994" y="2762751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43" name="Group 942">
            <a:extLst>
              <a:ext uri="{FF2B5EF4-FFF2-40B4-BE49-F238E27FC236}">
                <a16:creationId xmlns:a16="http://schemas.microsoft.com/office/drawing/2014/main" id="{ECA93B90-DB31-4426-89BD-BC100B51B85D}"/>
              </a:ext>
            </a:extLst>
          </xdr:cNvPr>
          <xdr:cNvGrpSpPr/>
        </xdr:nvGrpSpPr>
        <xdr:grpSpPr>
          <a:xfrm>
            <a:off x="3163019" y="19885685"/>
            <a:ext cx="593067" cy="274661"/>
            <a:chOff x="1042358" y="19980036"/>
            <a:chExt cx="593067" cy="269575"/>
          </a:xfrm>
        </xdr:grpSpPr>
        <xdr:sp macro="" textlink="">
          <xdr:nvSpPr>
            <xdr:cNvPr id="944" name="TextBox 943">
              <a:extLst>
                <a:ext uri="{FF2B5EF4-FFF2-40B4-BE49-F238E27FC236}">
                  <a16:creationId xmlns:a16="http://schemas.microsoft.com/office/drawing/2014/main" id="{B910E1B6-79D8-4E9C-8265-539D75E5F889}"/>
                </a:ext>
              </a:extLst>
            </xdr:cNvPr>
            <xdr:cNvSpPr txBox="1"/>
          </xdr:nvSpPr>
          <xdr:spPr>
            <a:xfrm>
              <a:off x="1042358" y="19980036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2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45" name="Rectangle: Rounded Corners 944">
              <a:extLst>
                <a:ext uri="{FF2B5EF4-FFF2-40B4-BE49-F238E27FC236}">
                  <a16:creationId xmlns:a16="http://schemas.microsoft.com/office/drawing/2014/main" id="{3C7BF8B6-C514-4437-8DF0-6D938E7E08CD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</xdr:col>
      <xdr:colOff>396982</xdr:colOff>
      <xdr:row>200</xdr:row>
      <xdr:rowOff>10418</xdr:rowOff>
    </xdr:from>
    <xdr:to>
      <xdr:col>5</xdr:col>
      <xdr:colOff>134608</xdr:colOff>
      <xdr:row>204</xdr:row>
      <xdr:rowOff>169155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D58A6BB-73DF-421B-BB57-9344670F6CE1}"/>
            </a:ext>
          </a:extLst>
        </xdr:cNvPr>
        <xdr:cNvGrpSpPr/>
      </xdr:nvGrpSpPr>
      <xdr:grpSpPr>
        <a:xfrm>
          <a:off x="856223" y="37489592"/>
          <a:ext cx="1659635" cy="907130"/>
          <a:chOff x="4967724" y="19671096"/>
          <a:chExt cx="1753691" cy="911751"/>
        </a:xfrm>
      </xdr:grpSpPr>
      <xdr:grpSp>
        <xdr:nvGrpSpPr>
          <xdr:cNvPr id="677" name="Group 676">
            <a:extLst>
              <a:ext uri="{FF2B5EF4-FFF2-40B4-BE49-F238E27FC236}">
                <a16:creationId xmlns:a16="http://schemas.microsoft.com/office/drawing/2014/main" id="{166AB7F6-89DC-4EFD-92D1-21759A2C7354}"/>
              </a:ext>
            </a:extLst>
          </xdr:cNvPr>
          <xdr:cNvGrpSpPr/>
        </xdr:nvGrpSpPr>
        <xdr:grpSpPr>
          <a:xfrm>
            <a:off x="4967724" y="19671096"/>
            <a:ext cx="1753691" cy="911751"/>
            <a:chOff x="3727238" y="34160311"/>
            <a:chExt cx="2237153" cy="1240551"/>
          </a:xfrm>
        </xdr:grpSpPr>
        <xdr:grpSp>
          <xdr:nvGrpSpPr>
            <xdr:cNvPr id="719" name="Group 718">
              <a:extLst>
                <a:ext uri="{FF2B5EF4-FFF2-40B4-BE49-F238E27FC236}">
                  <a16:creationId xmlns:a16="http://schemas.microsoft.com/office/drawing/2014/main" id="{CBF375B2-04FF-4F1F-8A61-6F09FF7D79B1}"/>
                </a:ext>
              </a:extLst>
            </xdr:cNvPr>
            <xdr:cNvGrpSpPr/>
          </xdr:nvGrpSpPr>
          <xdr:grpSpPr>
            <a:xfrm>
              <a:off x="3727238" y="34160311"/>
              <a:ext cx="2237153" cy="1240551"/>
              <a:chOff x="3810000" y="34053491"/>
              <a:chExt cx="2240756" cy="1242242"/>
            </a:xfrm>
          </xdr:grpSpPr>
          <xdr:sp macro="" textlink="">
            <xdr:nvSpPr>
              <xdr:cNvPr id="724" name="Freeform 377">
                <a:extLst>
                  <a:ext uri="{FF2B5EF4-FFF2-40B4-BE49-F238E27FC236}">
                    <a16:creationId xmlns:a16="http://schemas.microsoft.com/office/drawing/2014/main" id="{FEC028D8-6747-4B35-9E45-3D5FA98E586A}"/>
                  </a:ext>
                </a:extLst>
              </xdr:cNvPr>
              <xdr:cNvSpPr/>
            </xdr:nvSpPr>
            <xdr:spPr>
              <a:xfrm>
                <a:off x="3810000" y="34053491"/>
                <a:ext cx="2240756" cy="235744"/>
              </a:xfrm>
              <a:custGeom>
                <a:avLst/>
                <a:gdLst>
                  <a:gd name="connsiteX0" fmla="*/ 0 w 2240756"/>
                  <a:gd name="connsiteY0" fmla="*/ 0 h 235744"/>
                  <a:gd name="connsiteX1" fmla="*/ 2240756 w 2240756"/>
                  <a:gd name="connsiteY1" fmla="*/ 0 h 235744"/>
                  <a:gd name="connsiteX2" fmla="*/ 2240756 w 2240756"/>
                  <a:gd name="connsiteY2" fmla="*/ 119063 h 235744"/>
                  <a:gd name="connsiteX3" fmla="*/ 1969294 w 2240756"/>
                  <a:gd name="connsiteY3" fmla="*/ 119063 h 235744"/>
                  <a:gd name="connsiteX4" fmla="*/ 1854994 w 2240756"/>
                  <a:gd name="connsiteY4" fmla="*/ 233363 h 235744"/>
                  <a:gd name="connsiteX5" fmla="*/ 1521619 w 2240756"/>
                  <a:gd name="connsiteY5" fmla="*/ 233363 h 235744"/>
                  <a:gd name="connsiteX6" fmla="*/ 1409700 w 2240756"/>
                  <a:gd name="connsiteY6" fmla="*/ 121444 h 235744"/>
                  <a:gd name="connsiteX7" fmla="*/ 842963 w 2240756"/>
                  <a:gd name="connsiteY7" fmla="*/ 121444 h 235744"/>
                  <a:gd name="connsiteX8" fmla="*/ 728663 w 2240756"/>
                  <a:gd name="connsiteY8" fmla="*/ 235744 h 235744"/>
                  <a:gd name="connsiteX9" fmla="*/ 385763 w 2240756"/>
                  <a:gd name="connsiteY9" fmla="*/ 235744 h 235744"/>
                  <a:gd name="connsiteX10" fmla="*/ 266700 w 2240756"/>
                  <a:gd name="connsiteY10" fmla="*/ 116681 h 235744"/>
                  <a:gd name="connsiteX11" fmla="*/ 2381 w 2240756"/>
                  <a:gd name="connsiteY11" fmla="*/ 116681 h 235744"/>
                  <a:gd name="connsiteX12" fmla="*/ 0 w 2240756"/>
                  <a:gd name="connsiteY12" fmla="*/ 0 h 23574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</a:cxnLst>
                <a:rect l="l" t="t" r="r" b="b"/>
                <a:pathLst>
                  <a:path w="2240756" h="235744">
                    <a:moveTo>
                      <a:pt x="0" y="0"/>
                    </a:moveTo>
                    <a:lnTo>
                      <a:pt x="2240756" y="0"/>
                    </a:lnTo>
                    <a:lnTo>
                      <a:pt x="2240756" y="119063"/>
                    </a:lnTo>
                    <a:lnTo>
                      <a:pt x="1969294" y="119063"/>
                    </a:lnTo>
                    <a:lnTo>
                      <a:pt x="1854994" y="233363"/>
                    </a:lnTo>
                    <a:lnTo>
                      <a:pt x="1521619" y="233363"/>
                    </a:lnTo>
                    <a:lnTo>
                      <a:pt x="1409700" y="121444"/>
                    </a:lnTo>
                    <a:lnTo>
                      <a:pt x="842963" y="121444"/>
                    </a:lnTo>
                    <a:lnTo>
                      <a:pt x="728663" y="235744"/>
                    </a:lnTo>
                    <a:lnTo>
                      <a:pt x="385763" y="235744"/>
                    </a:lnTo>
                    <a:lnTo>
                      <a:pt x="266700" y="116681"/>
                    </a:lnTo>
                    <a:lnTo>
                      <a:pt x="2381" y="116681"/>
                    </a:lnTo>
                    <a:cubicBezTo>
                      <a:pt x="1587" y="77787"/>
                      <a:pt x="794" y="38894"/>
                      <a:pt x="0" y="0"/>
                    </a:cubicBezTo>
                    <a:close/>
                  </a:path>
                </a:pathLst>
              </a:custGeom>
              <a:pattFill prst="pct20">
                <a:fgClr>
                  <a:schemeClr val="accent1"/>
                </a:fgClr>
                <a:bgClr>
                  <a:schemeClr val="bg1"/>
                </a:bgClr>
              </a:pattFill>
              <a:ln w="190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grpSp>
            <xdr:nvGrpSpPr>
              <xdr:cNvPr id="740" name="그룹 30">
                <a:extLst>
                  <a:ext uri="{FF2B5EF4-FFF2-40B4-BE49-F238E27FC236}">
                    <a16:creationId xmlns:a16="http://schemas.microsoft.com/office/drawing/2014/main" id="{31056EC3-316C-40BF-AA07-FFEE3251718A}"/>
                  </a:ext>
                </a:extLst>
              </xdr:cNvPr>
              <xdr:cNvGrpSpPr/>
            </xdr:nvGrpSpPr>
            <xdr:grpSpPr>
              <a:xfrm>
                <a:off x="4193121" y="34259306"/>
                <a:ext cx="1476399" cy="1036427"/>
                <a:chOff x="4444381" y="313952"/>
                <a:chExt cx="1570114" cy="1069110"/>
              </a:xfrm>
            </xdr:grpSpPr>
            <xdr:grpSp>
              <xdr:nvGrpSpPr>
                <xdr:cNvPr id="749" name="그룹 7">
                  <a:extLst>
                    <a:ext uri="{FF2B5EF4-FFF2-40B4-BE49-F238E27FC236}">
                      <a16:creationId xmlns:a16="http://schemas.microsoft.com/office/drawing/2014/main" id="{B4649F13-EFFA-4DEA-B01F-995296CE1683}"/>
                    </a:ext>
                  </a:extLst>
                </xdr:cNvPr>
                <xdr:cNvGrpSpPr/>
              </xdr:nvGrpSpPr>
              <xdr:grpSpPr>
                <a:xfrm>
                  <a:off x="4444381" y="315446"/>
                  <a:ext cx="1421154" cy="1067616"/>
                  <a:chOff x="2971800" y="381000"/>
                  <a:chExt cx="1422339" cy="1061287"/>
                </a:xfrm>
              </xdr:grpSpPr>
              <xdr:cxnSp macro="">
                <xdr:nvCxnSpPr>
                  <xdr:cNvPr id="751" name="직선 연결선 3">
                    <a:extLst>
                      <a:ext uri="{FF2B5EF4-FFF2-40B4-BE49-F238E27FC236}">
                        <a16:creationId xmlns:a16="http://schemas.microsoft.com/office/drawing/2014/main" id="{5027575A-B664-486D-970B-0C2003E44D9B}"/>
                      </a:ext>
                    </a:extLst>
                  </xdr:cNvPr>
                  <xdr:cNvCxnSpPr/>
                </xdr:nvCxnSpPr>
                <xdr:spPr>
                  <a:xfrm>
                    <a:off x="3207515" y="1442287"/>
                    <a:ext cx="1111112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52" name="직선 연결선 4">
                    <a:extLst>
                      <a:ext uri="{FF2B5EF4-FFF2-40B4-BE49-F238E27FC236}">
                        <a16:creationId xmlns:a16="http://schemas.microsoft.com/office/drawing/2014/main" id="{F443FECA-9B57-43C2-AEC6-CD287A6488A0}"/>
                      </a:ext>
                    </a:extLst>
                  </xdr:cNvPr>
                  <xdr:cNvCxnSpPr/>
                </xdr:nvCxnSpPr>
                <xdr:spPr>
                  <a:xfrm flipH="1" flipV="1">
                    <a:off x="3121216" y="388272"/>
                    <a:ext cx="247294" cy="1050604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53" name="직선 연결선 5">
                    <a:extLst>
                      <a:ext uri="{FF2B5EF4-FFF2-40B4-BE49-F238E27FC236}">
                        <a16:creationId xmlns:a16="http://schemas.microsoft.com/office/drawing/2014/main" id="{6C9DB244-6F2A-4A7C-98BD-DCD41C4C3F33}"/>
                      </a:ext>
                    </a:extLst>
                  </xdr:cNvPr>
                  <xdr:cNvCxnSpPr/>
                </xdr:nvCxnSpPr>
                <xdr:spPr>
                  <a:xfrm flipV="1">
                    <a:off x="4166565" y="399805"/>
                    <a:ext cx="227574" cy="1036150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54" name="직선 연결선 6">
                    <a:extLst>
                      <a:ext uri="{FF2B5EF4-FFF2-40B4-BE49-F238E27FC236}">
                        <a16:creationId xmlns:a16="http://schemas.microsoft.com/office/drawing/2014/main" id="{1D3D3214-C2BC-4EAA-8623-E6B3F8731563}"/>
                      </a:ext>
                    </a:extLst>
                  </xdr:cNvPr>
                  <xdr:cNvCxnSpPr/>
                </xdr:nvCxnSpPr>
                <xdr:spPr>
                  <a:xfrm>
                    <a:off x="2971800" y="381000"/>
                    <a:ext cx="363653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750" name="직선 연결선 29">
                  <a:extLst>
                    <a:ext uri="{FF2B5EF4-FFF2-40B4-BE49-F238E27FC236}">
                      <a16:creationId xmlns:a16="http://schemas.microsoft.com/office/drawing/2014/main" id="{D661B42D-353F-4155-9F30-034E9F86507A}"/>
                    </a:ext>
                  </a:extLst>
                </xdr:cNvPr>
                <xdr:cNvCxnSpPr/>
              </xdr:nvCxnSpPr>
              <xdr:spPr>
                <a:xfrm>
                  <a:off x="5651145" y="313952"/>
                  <a:ext cx="363350" cy="0"/>
                </a:xfrm>
                <a:prstGeom prst="line">
                  <a:avLst/>
                </a:prstGeom>
                <a:ln w="7620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679" name="직선 연결선 32">
              <a:extLst>
                <a:ext uri="{FF2B5EF4-FFF2-40B4-BE49-F238E27FC236}">
                  <a16:creationId xmlns:a16="http://schemas.microsoft.com/office/drawing/2014/main" id="{5708944F-61E2-4E78-932F-4DDE7A8C5866}"/>
                </a:ext>
              </a:extLst>
            </xdr:cNvPr>
            <xdr:cNvCxnSpPr/>
          </xdr:nvCxnSpPr>
          <xdr:spPr>
            <a:xfrm flipV="1">
              <a:off x="4619623" y="3529727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0" name="직선 연결선 37">
              <a:extLst>
                <a:ext uri="{FF2B5EF4-FFF2-40B4-BE49-F238E27FC236}">
                  <a16:creationId xmlns:a16="http://schemas.microsoft.com/office/drawing/2014/main" id="{1BE6867A-4CB6-4419-9FFC-88A8C1BE45E6}"/>
                </a:ext>
              </a:extLst>
            </xdr:cNvPr>
            <xdr:cNvCxnSpPr/>
          </xdr:nvCxnSpPr>
          <xdr:spPr>
            <a:xfrm flipV="1">
              <a:off x="4760116" y="3529939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1" name="직선 연결선 38">
              <a:extLst>
                <a:ext uri="{FF2B5EF4-FFF2-40B4-BE49-F238E27FC236}">
                  <a16:creationId xmlns:a16="http://schemas.microsoft.com/office/drawing/2014/main" id="{E99104EC-905A-46C3-87D3-58F523AB985A}"/>
                </a:ext>
              </a:extLst>
            </xdr:cNvPr>
            <xdr:cNvCxnSpPr/>
          </xdr:nvCxnSpPr>
          <xdr:spPr>
            <a:xfrm flipV="1">
              <a:off x="4898305" y="35299395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2" name="직선 연결선 39">
              <a:extLst>
                <a:ext uri="{FF2B5EF4-FFF2-40B4-BE49-F238E27FC236}">
                  <a16:creationId xmlns:a16="http://schemas.microsoft.com/office/drawing/2014/main" id="{303BF4C5-28CD-4978-8FCA-5B0D8972917D}"/>
                </a:ext>
              </a:extLst>
            </xdr:cNvPr>
            <xdr:cNvCxnSpPr/>
          </xdr:nvCxnSpPr>
          <xdr:spPr>
            <a:xfrm flipV="1">
              <a:off x="5054918" y="3529726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46" name="Group 945">
            <a:extLst>
              <a:ext uri="{FF2B5EF4-FFF2-40B4-BE49-F238E27FC236}">
                <a16:creationId xmlns:a16="http://schemas.microsoft.com/office/drawing/2014/main" id="{8F9FFC4C-C504-449D-BD73-D51CF77022E9}"/>
              </a:ext>
            </a:extLst>
          </xdr:cNvPr>
          <xdr:cNvGrpSpPr/>
        </xdr:nvGrpSpPr>
        <xdr:grpSpPr>
          <a:xfrm>
            <a:off x="5597824" y="19966198"/>
            <a:ext cx="593067" cy="274661"/>
            <a:chOff x="1042358" y="19980036"/>
            <a:chExt cx="593067" cy="269575"/>
          </a:xfrm>
        </xdr:grpSpPr>
        <xdr:sp macro="" textlink="">
          <xdr:nvSpPr>
            <xdr:cNvPr id="947" name="TextBox 946">
              <a:extLst>
                <a:ext uri="{FF2B5EF4-FFF2-40B4-BE49-F238E27FC236}">
                  <a16:creationId xmlns:a16="http://schemas.microsoft.com/office/drawing/2014/main" id="{7A7AB413-FB1A-4852-8D2C-EB1C34C88F10}"/>
                </a:ext>
              </a:extLst>
            </xdr:cNvPr>
            <xdr:cNvSpPr txBox="1"/>
          </xdr:nvSpPr>
          <xdr:spPr>
            <a:xfrm>
              <a:off x="1042358" y="19980036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3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48" name="Rectangle: Rounded Corners 947">
              <a:extLst>
                <a:ext uri="{FF2B5EF4-FFF2-40B4-BE49-F238E27FC236}">
                  <a16:creationId xmlns:a16="http://schemas.microsoft.com/office/drawing/2014/main" id="{B751013E-5389-4FBA-981B-7F4E2A72333A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7</xdr:col>
      <xdr:colOff>74688</xdr:colOff>
      <xdr:row>200</xdr:row>
      <xdr:rowOff>32021</xdr:rowOff>
    </xdr:from>
    <xdr:to>
      <xdr:col>10</xdr:col>
      <xdr:colOff>429346</xdr:colOff>
      <xdr:row>205</xdr:row>
      <xdr:rowOff>54992</xdr:rowOff>
    </xdr:to>
    <xdr:grpSp>
      <xdr:nvGrpSpPr>
        <xdr:cNvPr id="955" name="Group 954">
          <a:extLst>
            <a:ext uri="{FF2B5EF4-FFF2-40B4-BE49-F238E27FC236}">
              <a16:creationId xmlns:a16="http://schemas.microsoft.com/office/drawing/2014/main" id="{2C5B5285-F2C1-4390-BD24-A13D32736BCA}"/>
            </a:ext>
          </a:extLst>
        </xdr:cNvPr>
        <xdr:cNvGrpSpPr/>
      </xdr:nvGrpSpPr>
      <xdr:grpSpPr>
        <a:xfrm>
          <a:off x="3374420" y="37511195"/>
          <a:ext cx="1800417" cy="958462"/>
          <a:chOff x="940385" y="21219575"/>
          <a:chExt cx="1855294" cy="966485"/>
        </a:xfrm>
      </xdr:grpSpPr>
      <xdr:grpSp>
        <xdr:nvGrpSpPr>
          <xdr:cNvPr id="755" name="Group 754">
            <a:extLst>
              <a:ext uri="{FF2B5EF4-FFF2-40B4-BE49-F238E27FC236}">
                <a16:creationId xmlns:a16="http://schemas.microsoft.com/office/drawing/2014/main" id="{097BC49F-19A3-4A78-AD8A-DD62A042494A}"/>
              </a:ext>
            </a:extLst>
          </xdr:cNvPr>
          <xdr:cNvGrpSpPr/>
        </xdr:nvGrpSpPr>
        <xdr:grpSpPr>
          <a:xfrm>
            <a:off x="940385" y="21219575"/>
            <a:ext cx="1855294" cy="966485"/>
            <a:chOff x="3656375" y="42110824"/>
            <a:chExt cx="2236198" cy="1238932"/>
          </a:xfrm>
        </xdr:grpSpPr>
        <xdr:grpSp>
          <xdr:nvGrpSpPr>
            <xdr:cNvPr id="756" name="Group 755">
              <a:extLst>
                <a:ext uri="{FF2B5EF4-FFF2-40B4-BE49-F238E27FC236}">
                  <a16:creationId xmlns:a16="http://schemas.microsoft.com/office/drawing/2014/main" id="{44395CAE-3572-4BBD-BDC2-65B13D753B98}"/>
                </a:ext>
              </a:extLst>
            </xdr:cNvPr>
            <xdr:cNvGrpSpPr/>
          </xdr:nvGrpSpPr>
          <xdr:grpSpPr>
            <a:xfrm>
              <a:off x="3656375" y="42110824"/>
              <a:ext cx="2236198" cy="1238932"/>
              <a:chOff x="3656375" y="42110824"/>
              <a:chExt cx="2236198" cy="1238932"/>
            </a:xfrm>
          </xdr:grpSpPr>
          <xdr:grpSp>
            <xdr:nvGrpSpPr>
              <xdr:cNvPr id="761" name="Group 760">
                <a:extLst>
                  <a:ext uri="{FF2B5EF4-FFF2-40B4-BE49-F238E27FC236}">
                    <a16:creationId xmlns:a16="http://schemas.microsoft.com/office/drawing/2014/main" id="{E240BEAA-CDAF-48FC-A0B8-5406FBF909DF}"/>
                  </a:ext>
                </a:extLst>
              </xdr:cNvPr>
              <xdr:cNvGrpSpPr/>
            </xdr:nvGrpSpPr>
            <xdr:grpSpPr>
              <a:xfrm>
                <a:off x="3656375" y="42110824"/>
                <a:ext cx="2236198" cy="1238932"/>
                <a:chOff x="3727239" y="42138625"/>
                <a:chExt cx="2237153" cy="1238205"/>
              </a:xfrm>
            </xdr:grpSpPr>
            <xdr:grpSp>
              <xdr:nvGrpSpPr>
                <xdr:cNvPr id="767" name="Group 766">
                  <a:extLst>
                    <a:ext uri="{FF2B5EF4-FFF2-40B4-BE49-F238E27FC236}">
                      <a16:creationId xmlns:a16="http://schemas.microsoft.com/office/drawing/2014/main" id="{E347E7EE-158C-4FDE-8844-163DAC9340C8}"/>
                    </a:ext>
                  </a:extLst>
                </xdr:cNvPr>
                <xdr:cNvGrpSpPr/>
              </xdr:nvGrpSpPr>
              <xdr:grpSpPr>
                <a:xfrm>
                  <a:off x="3727239" y="42138625"/>
                  <a:ext cx="2237153" cy="1238205"/>
                  <a:chOff x="3810000" y="34056257"/>
                  <a:chExt cx="2240756" cy="1239440"/>
                </a:xfrm>
              </xdr:grpSpPr>
              <xdr:sp macro="" textlink="">
                <xdr:nvSpPr>
                  <xdr:cNvPr id="807" name="Freeform 430">
                    <a:extLst>
                      <a:ext uri="{FF2B5EF4-FFF2-40B4-BE49-F238E27FC236}">
                        <a16:creationId xmlns:a16="http://schemas.microsoft.com/office/drawing/2014/main" id="{EB9FE9AF-367E-4B0B-82C9-3AA8B8A85A09}"/>
                      </a:ext>
                    </a:extLst>
                  </xdr:cNvPr>
                  <xdr:cNvSpPr/>
                </xdr:nvSpPr>
                <xdr:spPr>
                  <a:xfrm>
                    <a:off x="3810000" y="34056257"/>
                    <a:ext cx="2240756" cy="235744"/>
                  </a:xfrm>
                  <a:custGeom>
                    <a:avLst/>
                    <a:gdLst>
                      <a:gd name="connsiteX0" fmla="*/ 0 w 2240756"/>
                      <a:gd name="connsiteY0" fmla="*/ 0 h 235744"/>
                      <a:gd name="connsiteX1" fmla="*/ 2240756 w 2240756"/>
                      <a:gd name="connsiteY1" fmla="*/ 0 h 235744"/>
                      <a:gd name="connsiteX2" fmla="*/ 2240756 w 2240756"/>
                      <a:gd name="connsiteY2" fmla="*/ 119063 h 235744"/>
                      <a:gd name="connsiteX3" fmla="*/ 1969294 w 2240756"/>
                      <a:gd name="connsiteY3" fmla="*/ 119063 h 235744"/>
                      <a:gd name="connsiteX4" fmla="*/ 1854994 w 2240756"/>
                      <a:gd name="connsiteY4" fmla="*/ 233363 h 235744"/>
                      <a:gd name="connsiteX5" fmla="*/ 1521619 w 2240756"/>
                      <a:gd name="connsiteY5" fmla="*/ 233363 h 235744"/>
                      <a:gd name="connsiteX6" fmla="*/ 1409700 w 2240756"/>
                      <a:gd name="connsiteY6" fmla="*/ 121444 h 235744"/>
                      <a:gd name="connsiteX7" fmla="*/ 842963 w 2240756"/>
                      <a:gd name="connsiteY7" fmla="*/ 121444 h 235744"/>
                      <a:gd name="connsiteX8" fmla="*/ 728663 w 2240756"/>
                      <a:gd name="connsiteY8" fmla="*/ 235744 h 235744"/>
                      <a:gd name="connsiteX9" fmla="*/ 385763 w 2240756"/>
                      <a:gd name="connsiteY9" fmla="*/ 235744 h 235744"/>
                      <a:gd name="connsiteX10" fmla="*/ 266700 w 2240756"/>
                      <a:gd name="connsiteY10" fmla="*/ 116681 h 235744"/>
                      <a:gd name="connsiteX11" fmla="*/ 2381 w 2240756"/>
                      <a:gd name="connsiteY11" fmla="*/ 116681 h 235744"/>
                      <a:gd name="connsiteX12" fmla="*/ 0 w 2240756"/>
                      <a:gd name="connsiteY12" fmla="*/ 0 h 235744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2240756" h="235744">
                        <a:moveTo>
                          <a:pt x="0" y="0"/>
                        </a:moveTo>
                        <a:lnTo>
                          <a:pt x="2240756" y="0"/>
                        </a:lnTo>
                        <a:lnTo>
                          <a:pt x="2240756" y="119063"/>
                        </a:lnTo>
                        <a:lnTo>
                          <a:pt x="1969294" y="119063"/>
                        </a:lnTo>
                        <a:lnTo>
                          <a:pt x="1854994" y="233363"/>
                        </a:lnTo>
                        <a:lnTo>
                          <a:pt x="1521619" y="233363"/>
                        </a:lnTo>
                        <a:lnTo>
                          <a:pt x="1409700" y="121444"/>
                        </a:lnTo>
                        <a:lnTo>
                          <a:pt x="842963" y="121444"/>
                        </a:lnTo>
                        <a:lnTo>
                          <a:pt x="728663" y="235744"/>
                        </a:lnTo>
                        <a:lnTo>
                          <a:pt x="385763" y="235744"/>
                        </a:lnTo>
                        <a:lnTo>
                          <a:pt x="266700" y="116681"/>
                        </a:lnTo>
                        <a:lnTo>
                          <a:pt x="2381" y="116681"/>
                        </a:lnTo>
                        <a:cubicBezTo>
                          <a:pt x="1587" y="77787"/>
                          <a:pt x="794" y="38894"/>
                          <a:pt x="0" y="0"/>
                        </a:cubicBezTo>
                        <a:close/>
                      </a:path>
                    </a:pathLst>
                  </a:custGeom>
                  <a:noFill/>
                  <a:ln w="9525">
                    <a:prstDash val="sysDot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808" name="Group 807">
                    <a:extLst>
                      <a:ext uri="{FF2B5EF4-FFF2-40B4-BE49-F238E27FC236}">
                        <a16:creationId xmlns:a16="http://schemas.microsoft.com/office/drawing/2014/main" id="{8D43C405-541F-4AEF-A719-F0F438620E6B}"/>
                      </a:ext>
                    </a:extLst>
                  </xdr:cNvPr>
                  <xdr:cNvGrpSpPr/>
                </xdr:nvGrpSpPr>
                <xdr:grpSpPr>
                  <a:xfrm>
                    <a:off x="4193121" y="34260720"/>
                    <a:ext cx="1472106" cy="1034977"/>
                    <a:chOff x="4236202" y="25830931"/>
                    <a:chExt cx="1472106" cy="925812"/>
                  </a:xfrm>
                </xdr:grpSpPr>
                <xdr:sp macro="" textlink="">
                  <xdr:nvSpPr>
                    <xdr:cNvPr id="809" name="Freeform 432">
                      <a:extLst>
                        <a:ext uri="{FF2B5EF4-FFF2-40B4-BE49-F238E27FC236}">
                          <a16:creationId xmlns:a16="http://schemas.microsoft.com/office/drawing/2014/main" id="{3BE08104-8E7F-41CA-B5FC-B38BAD0EF45E}"/>
                        </a:ext>
                      </a:extLst>
                    </xdr:cNvPr>
                    <xdr:cNvSpPr/>
                  </xdr:nvSpPr>
                  <xdr:spPr>
                    <a:xfrm>
                      <a:off x="4536281" y="26431875"/>
                      <a:ext cx="895350" cy="309563"/>
                    </a:xfrm>
                    <a:custGeom>
                      <a:avLst/>
                      <a:gdLst>
                        <a:gd name="connsiteX0" fmla="*/ 0 w 895350"/>
                        <a:gd name="connsiteY0" fmla="*/ 0 h 309563"/>
                        <a:gd name="connsiteX1" fmla="*/ 895350 w 895350"/>
                        <a:gd name="connsiteY1" fmla="*/ 0 h 309563"/>
                        <a:gd name="connsiteX2" fmla="*/ 809625 w 895350"/>
                        <a:gd name="connsiteY2" fmla="*/ 309563 h 309563"/>
                        <a:gd name="connsiteX3" fmla="*/ 73819 w 895350"/>
                        <a:gd name="connsiteY3" fmla="*/ 304800 h 309563"/>
                        <a:gd name="connsiteX4" fmla="*/ 0 w 895350"/>
                        <a:gd name="connsiteY4" fmla="*/ 0 h 309563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895350" h="309563">
                          <a:moveTo>
                            <a:pt x="0" y="0"/>
                          </a:moveTo>
                          <a:lnTo>
                            <a:pt x="895350" y="0"/>
                          </a:lnTo>
                          <a:lnTo>
                            <a:pt x="809625" y="309563"/>
                          </a:lnTo>
                          <a:lnTo>
                            <a:pt x="73819" y="304800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pattFill prst="pct10">
                      <a:fgClr>
                        <a:schemeClr val="accent1">
                          <a:lumMod val="75000"/>
                        </a:schemeClr>
                      </a:fgClr>
                      <a:bgClr>
                        <a:schemeClr val="bg1"/>
                      </a:bgClr>
                    </a:pattFill>
                    <a:ln w="15875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grpSp>
                  <xdr:nvGrpSpPr>
                    <xdr:cNvPr id="835" name="그룹 7">
                      <a:extLst>
                        <a:ext uri="{FF2B5EF4-FFF2-40B4-BE49-F238E27FC236}">
                          <a16:creationId xmlns:a16="http://schemas.microsoft.com/office/drawing/2014/main" id="{FC07ACB4-7F75-444A-B4FB-7B8A96D0FB6A}"/>
                        </a:ext>
                      </a:extLst>
                    </xdr:cNvPr>
                    <xdr:cNvGrpSpPr/>
                  </xdr:nvGrpSpPr>
                  <xdr:grpSpPr>
                    <a:xfrm>
                      <a:off x="4236202" y="25830931"/>
                      <a:ext cx="1472106" cy="925812"/>
                      <a:chOff x="2971800" y="381000"/>
                      <a:chExt cx="1566854" cy="1061287"/>
                    </a:xfrm>
                  </xdr:grpSpPr>
                  <xdr:cxnSp macro="">
                    <xdr:nvCxnSpPr>
                      <xdr:cNvPr id="844" name="직선 연결선 3">
                        <a:extLst>
                          <a:ext uri="{FF2B5EF4-FFF2-40B4-BE49-F238E27FC236}">
                            <a16:creationId xmlns:a16="http://schemas.microsoft.com/office/drawing/2014/main" id="{39421EA7-0DC6-4F8A-B83F-4CBD77ECDFD9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3207515" y="1442287"/>
                        <a:ext cx="1111112" cy="0"/>
                      </a:xfrm>
                      <a:prstGeom prst="line">
                        <a:avLst/>
                      </a:prstGeom>
                      <a:ln w="762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45" name="직선 연결선 4">
                        <a:extLst>
                          <a:ext uri="{FF2B5EF4-FFF2-40B4-BE49-F238E27FC236}">
                            <a16:creationId xmlns:a16="http://schemas.microsoft.com/office/drawing/2014/main" id="{D62F8F4D-DC2C-4BEB-91CB-7776321A0F82}"/>
                          </a:ext>
                        </a:extLst>
                      </xdr:cNvPr>
                      <xdr:cNvCxnSpPr/>
                    </xdr:nvCxnSpPr>
                    <xdr:spPr>
                      <a:xfrm flipH="1" flipV="1">
                        <a:off x="3121216" y="388272"/>
                        <a:ext cx="247294" cy="1050604"/>
                      </a:xfrm>
                      <a:prstGeom prst="line">
                        <a:avLst/>
                      </a:prstGeom>
                      <a:ln w="5715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46" name="직선 연결선 5">
                        <a:extLst>
                          <a:ext uri="{FF2B5EF4-FFF2-40B4-BE49-F238E27FC236}">
                            <a16:creationId xmlns:a16="http://schemas.microsoft.com/office/drawing/2014/main" id="{A41464DD-6A99-4E95-AF1C-ECCAACF0C6B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166565" y="399805"/>
                        <a:ext cx="227574" cy="1036150"/>
                      </a:xfrm>
                      <a:prstGeom prst="line">
                        <a:avLst/>
                      </a:prstGeom>
                      <a:ln w="5715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47" name="직선 연결선 6">
                        <a:extLst>
                          <a:ext uri="{FF2B5EF4-FFF2-40B4-BE49-F238E27FC236}">
                            <a16:creationId xmlns:a16="http://schemas.microsoft.com/office/drawing/2014/main" id="{162FF70F-158F-45D4-9472-9DF423968427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971800" y="381000"/>
                        <a:ext cx="1566854" cy="0"/>
                      </a:xfrm>
                      <a:prstGeom prst="line">
                        <a:avLst/>
                      </a:prstGeom>
                      <a:ln w="762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768" name="Group 767">
                  <a:extLst>
                    <a:ext uri="{FF2B5EF4-FFF2-40B4-BE49-F238E27FC236}">
                      <a16:creationId xmlns:a16="http://schemas.microsoft.com/office/drawing/2014/main" id="{AA6E5D9C-1B6A-40A1-BFD7-7F266A090FF1}"/>
                    </a:ext>
                  </a:extLst>
                </xdr:cNvPr>
                <xdr:cNvGrpSpPr/>
              </xdr:nvGrpSpPr>
              <xdr:grpSpPr>
                <a:xfrm>
                  <a:off x="3771902" y="42148125"/>
                  <a:ext cx="626740" cy="100489"/>
                  <a:chOff x="3786188" y="42148125"/>
                  <a:chExt cx="626740" cy="100489"/>
                </a:xfrm>
              </xdr:grpSpPr>
              <xdr:grpSp>
                <xdr:nvGrpSpPr>
                  <xdr:cNvPr id="795" name="Group 794">
                    <a:extLst>
                      <a:ext uri="{FF2B5EF4-FFF2-40B4-BE49-F238E27FC236}">
                        <a16:creationId xmlns:a16="http://schemas.microsoft.com/office/drawing/2014/main" id="{CC67188F-7750-47E1-99B5-C0872EBE7929}"/>
                      </a:ext>
                    </a:extLst>
                  </xdr:cNvPr>
                  <xdr:cNvGrpSpPr/>
                </xdr:nvGrpSpPr>
                <xdr:grpSpPr>
                  <a:xfrm>
                    <a:off x="3786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805" name="Oval 804">
                      <a:extLst>
                        <a:ext uri="{FF2B5EF4-FFF2-40B4-BE49-F238E27FC236}">
                          <a16:creationId xmlns:a16="http://schemas.microsoft.com/office/drawing/2014/main" id="{23DDC35B-EAA0-4DD2-B6CA-9C3D0188537B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6" name="Oval 805">
                      <a:extLst>
                        <a:ext uri="{FF2B5EF4-FFF2-40B4-BE49-F238E27FC236}">
                          <a16:creationId xmlns:a16="http://schemas.microsoft.com/office/drawing/2014/main" id="{DEF17584-144D-4F5D-9728-4E18258728BF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96" name="Group 795">
                    <a:extLst>
                      <a:ext uri="{FF2B5EF4-FFF2-40B4-BE49-F238E27FC236}">
                        <a16:creationId xmlns:a16="http://schemas.microsoft.com/office/drawing/2014/main" id="{E45E6EF8-2EDC-4EFE-9E85-0B925969C1AC}"/>
                      </a:ext>
                    </a:extLst>
                  </xdr:cNvPr>
                  <xdr:cNvGrpSpPr/>
                </xdr:nvGrpSpPr>
                <xdr:grpSpPr>
                  <a:xfrm>
                    <a:off x="397668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803" name="Oval 802">
                      <a:extLst>
                        <a:ext uri="{FF2B5EF4-FFF2-40B4-BE49-F238E27FC236}">
                          <a16:creationId xmlns:a16="http://schemas.microsoft.com/office/drawing/2014/main" id="{ABCD64CB-90D7-42AC-89CF-025CBA23F3D3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4" name="Oval 803">
                      <a:extLst>
                        <a:ext uri="{FF2B5EF4-FFF2-40B4-BE49-F238E27FC236}">
                          <a16:creationId xmlns:a16="http://schemas.microsoft.com/office/drawing/2014/main" id="{5E2051ED-184B-4881-AD00-E7268036D9ED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97" name="Group 796">
                    <a:extLst>
                      <a:ext uri="{FF2B5EF4-FFF2-40B4-BE49-F238E27FC236}">
                        <a16:creationId xmlns:a16="http://schemas.microsoft.com/office/drawing/2014/main" id="{BAA3B853-5395-41A9-A94E-AB0BB53FED0C}"/>
                      </a:ext>
                    </a:extLst>
                  </xdr:cNvPr>
                  <xdr:cNvGrpSpPr/>
                </xdr:nvGrpSpPr>
                <xdr:grpSpPr>
                  <a:xfrm>
                    <a:off x="4167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801" name="Oval 800">
                      <a:extLst>
                        <a:ext uri="{FF2B5EF4-FFF2-40B4-BE49-F238E27FC236}">
                          <a16:creationId xmlns:a16="http://schemas.microsoft.com/office/drawing/2014/main" id="{66A76291-D187-4DB5-8A56-A21FE6F09E07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2" name="Oval 801">
                      <a:extLst>
                        <a:ext uri="{FF2B5EF4-FFF2-40B4-BE49-F238E27FC236}">
                          <a16:creationId xmlns:a16="http://schemas.microsoft.com/office/drawing/2014/main" id="{3A170162-1838-4D27-84B7-96381D5197B9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98" name="Group 797">
                    <a:extLst>
                      <a:ext uri="{FF2B5EF4-FFF2-40B4-BE49-F238E27FC236}">
                        <a16:creationId xmlns:a16="http://schemas.microsoft.com/office/drawing/2014/main" id="{7F4FE09F-1D6E-453E-98B2-ACADF6615797}"/>
                      </a:ext>
                    </a:extLst>
                  </xdr:cNvPr>
                  <xdr:cNvGrpSpPr/>
                </xdr:nvGrpSpPr>
                <xdr:grpSpPr>
                  <a:xfrm>
                    <a:off x="436720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99" name="Oval 798">
                      <a:extLst>
                        <a:ext uri="{FF2B5EF4-FFF2-40B4-BE49-F238E27FC236}">
                          <a16:creationId xmlns:a16="http://schemas.microsoft.com/office/drawing/2014/main" id="{AD02E1FD-2B2A-478E-9346-BDB11D7254D9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0" name="Oval 799">
                      <a:extLst>
                        <a:ext uri="{FF2B5EF4-FFF2-40B4-BE49-F238E27FC236}">
                          <a16:creationId xmlns:a16="http://schemas.microsoft.com/office/drawing/2014/main" id="{4585C302-58F1-4044-806F-3DA228B4740C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</xdr:grpSp>
            <xdr:grpSp>
              <xdr:nvGrpSpPr>
                <xdr:cNvPr id="769" name="Group 768">
                  <a:extLst>
                    <a:ext uri="{FF2B5EF4-FFF2-40B4-BE49-F238E27FC236}">
                      <a16:creationId xmlns:a16="http://schemas.microsoft.com/office/drawing/2014/main" id="{AF032662-9C3C-4925-96C5-8B01414FAF17}"/>
                    </a:ext>
                  </a:extLst>
                </xdr:cNvPr>
                <xdr:cNvGrpSpPr/>
              </xdr:nvGrpSpPr>
              <xdr:grpSpPr>
                <a:xfrm>
                  <a:off x="4550569" y="42148125"/>
                  <a:ext cx="626740" cy="100489"/>
                  <a:chOff x="3786188" y="42148125"/>
                  <a:chExt cx="626740" cy="100489"/>
                </a:xfrm>
              </xdr:grpSpPr>
              <xdr:grpSp>
                <xdr:nvGrpSpPr>
                  <xdr:cNvPr id="783" name="Group 782">
                    <a:extLst>
                      <a:ext uri="{FF2B5EF4-FFF2-40B4-BE49-F238E27FC236}">
                        <a16:creationId xmlns:a16="http://schemas.microsoft.com/office/drawing/2014/main" id="{2639B8D0-0C75-4D81-AEC7-9D8CE33A9B8F}"/>
                      </a:ext>
                    </a:extLst>
                  </xdr:cNvPr>
                  <xdr:cNvGrpSpPr/>
                </xdr:nvGrpSpPr>
                <xdr:grpSpPr>
                  <a:xfrm>
                    <a:off x="3786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93" name="Oval 792">
                      <a:extLst>
                        <a:ext uri="{FF2B5EF4-FFF2-40B4-BE49-F238E27FC236}">
                          <a16:creationId xmlns:a16="http://schemas.microsoft.com/office/drawing/2014/main" id="{1D1EA3DE-5AEF-4802-AE3F-02BF4FDBAF90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94" name="Oval 793">
                      <a:extLst>
                        <a:ext uri="{FF2B5EF4-FFF2-40B4-BE49-F238E27FC236}">
                          <a16:creationId xmlns:a16="http://schemas.microsoft.com/office/drawing/2014/main" id="{59484B0A-DF9A-409F-BCE4-8722BC762D3D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84" name="Group 783">
                    <a:extLst>
                      <a:ext uri="{FF2B5EF4-FFF2-40B4-BE49-F238E27FC236}">
                        <a16:creationId xmlns:a16="http://schemas.microsoft.com/office/drawing/2014/main" id="{4E303265-99E1-47BF-B60A-E144EACC7DDB}"/>
                      </a:ext>
                    </a:extLst>
                  </xdr:cNvPr>
                  <xdr:cNvGrpSpPr/>
                </xdr:nvGrpSpPr>
                <xdr:grpSpPr>
                  <a:xfrm>
                    <a:off x="397668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91" name="Oval 790">
                      <a:extLst>
                        <a:ext uri="{FF2B5EF4-FFF2-40B4-BE49-F238E27FC236}">
                          <a16:creationId xmlns:a16="http://schemas.microsoft.com/office/drawing/2014/main" id="{51172F9E-F365-4E63-87E9-916DDC1A1E46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92" name="Oval 791">
                      <a:extLst>
                        <a:ext uri="{FF2B5EF4-FFF2-40B4-BE49-F238E27FC236}">
                          <a16:creationId xmlns:a16="http://schemas.microsoft.com/office/drawing/2014/main" id="{FD75C50D-4053-456A-B3E1-83F1942F4E72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85" name="Group 784">
                    <a:extLst>
                      <a:ext uri="{FF2B5EF4-FFF2-40B4-BE49-F238E27FC236}">
                        <a16:creationId xmlns:a16="http://schemas.microsoft.com/office/drawing/2014/main" id="{37E7206C-A9EE-429A-A6C9-8D0D09C33160}"/>
                      </a:ext>
                    </a:extLst>
                  </xdr:cNvPr>
                  <xdr:cNvGrpSpPr/>
                </xdr:nvGrpSpPr>
                <xdr:grpSpPr>
                  <a:xfrm>
                    <a:off x="4167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89" name="Oval 788">
                      <a:extLst>
                        <a:ext uri="{FF2B5EF4-FFF2-40B4-BE49-F238E27FC236}">
                          <a16:creationId xmlns:a16="http://schemas.microsoft.com/office/drawing/2014/main" id="{48DB51D2-238E-4FA3-B552-5A947A5DAAEB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90" name="Oval 789">
                      <a:extLst>
                        <a:ext uri="{FF2B5EF4-FFF2-40B4-BE49-F238E27FC236}">
                          <a16:creationId xmlns:a16="http://schemas.microsoft.com/office/drawing/2014/main" id="{6E13F0F6-083E-4B0F-9E14-E0F92CC8158E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86" name="Group 785">
                    <a:extLst>
                      <a:ext uri="{FF2B5EF4-FFF2-40B4-BE49-F238E27FC236}">
                        <a16:creationId xmlns:a16="http://schemas.microsoft.com/office/drawing/2014/main" id="{4157F186-76FA-4168-8487-CE4A1AC58B6D}"/>
                      </a:ext>
                    </a:extLst>
                  </xdr:cNvPr>
                  <xdr:cNvGrpSpPr/>
                </xdr:nvGrpSpPr>
                <xdr:grpSpPr>
                  <a:xfrm>
                    <a:off x="436720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87" name="Oval 786">
                      <a:extLst>
                        <a:ext uri="{FF2B5EF4-FFF2-40B4-BE49-F238E27FC236}">
                          <a16:creationId xmlns:a16="http://schemas.microsoft.com/office/drawing/2014/main" id="{83C9C9B3-765C-4FE2-917C-9A4545336ED2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88" name="Oval 787">
                      <a:extLst>
                        <a:ext uri="{FF2B5EF4-FFF2-40B4-BE49-F238E27FC236}">
                          <a16:creationId xmlns:a16="http://schemas.microsoft.com/office/drawing/2014/main" id="{62CBC257-3519-441F-A4E1-C3CDF326248D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</xdr:grpSp>
            <xdr:grpSp>
              <xdr:nvGrpSpPr>
                <xdr:cNvPr id="770" name="Group 769">
                  <a:extLst>
                    <a:ext uri="{FF2B5EF4-FFF2-40B4-BE49-F238E27FC236}">
                      <a16:creationId xmlns:a16="http://schemas.microsoft.com/office/drawing/2014/main" id="{5CFA1F84-173E-48E9-8FB5-C7B08838A8DE}"/>
                    </a:ext>
                  </a:extLst>
                </xdr:cNvPr>
                <xdr:cNvGrpSpPr/>
              </xdr:nvGrpSpPr>
              <xdr:grpSpPr>
                <a:xfrm>
                  <a:off x="5288756" y="42148126"/>
                  <a:ext cx="626740" cy="100489"/>
                  <a:chOff x="3786188" y="42148125"/>
                  <a:chExt cx="626740" cy="100489"/>
                </a:xfrm>
              </xdr:grpSpPr>
              <xdr:grpSp>
                <xdr:nvGrpSpPr>
                  <xdr:cNvPr id="771" name="Group 770">
                    <a:extLst>
                      <a:ext uri="{FF2B5EF4-FFF2-40B4-BE49-F238E27FC236}">
                        <a16:creationId xmlns:a16="http://schemas.microsoft.com/office/drawing/2014/main" id="{F7AEBB03-E70C-4F29-B5B4-976891FE3C87}"/>
                      </a:ext>
                    </a:extLst>
                  </xdr:cNvPr>
                  <xdr:cNvGrpSpPr/>
                </xdr:nvGrpSpPr>
                <xdr:grpSpPr>
                  <a:xfrm>
                    <a:off x="3786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81" name="Oval 780">
                      <a:extLst>
                        <a:ext uri="{FF2B5EF4-FFF2-40B4-BE49-F238E27FC236}">
                          <a16:creationId xmlns:a16="http://schemas.microsoft.com/office/drawing/2014/main" id="{48501277-FF95-4E5B-8E6C-2426D8C586CC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82" name="Oval 781">
                      <a:extLst>
                        <a:ext uri="{FF2B5EF4-FFF2-40B4-BE49-F238E27FC236}">
                          <a16:creationId xmlns:a16="http://schemas.microsoft.com/office/drawing/2014/main" id="{C0266534-CC3C-4F37-AA62-BEB7E2897876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72" name="Group 771">
                    <a:extLst>
                      <a:ext uri="{FF2B5EF4-FFF2-40B4-BE49-F238E27FC236}">
                        <a16:creationId xmlns:a16="http://schemas.microsoft.com/office/drawing/2014/main" id="{3120A02F-567C-45E3-BA82-0EA182412B2B}"/>
                      </a:ext>
                    </a:extLst>
                  </xdr:cNvPr>
                  <xdr:cNvGrpSpPr/>
                </xdr:nvGrpSpPr>
                <xdr:grpSpPr>
                  <a:xfrm>
                    <a:off x="397668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79" name="Oval 778">
                      <a:extLst>
                        <a:ext uri="{FF2B5EF4-FFF2-40B4-BE49-F238E27FC236}">
                          <a16:creationId xmlns:a16="http://schemas.microsoft.com/office/drawing/2014/main" id="{94A8259D-A10C-4EDB-8297-3D9210C9E4D9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80" name="Oval 779">
                      <a:extLst>
                        <a:ext uri="{FF2B5EF4-FFF2-40B4-BE49-F238E27FC236}">
                          <a16:creationId xmlns:a16="http://schemas.microsoft.com/office/drawing/2014/main" id="{85E4CE70-FCB2-416A-8E3A-3B48AA3724EB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73" name="Group 772">
                    <a:extLst>
                      <a:ext uri="{FF2B5EF4-FFF2-40B4-BE49-F238E27FC236}">
                        <a16:creationId xmlns:a16="http://schemas.microsoft.com/office/drawing/2014/main" id="{24A2CCA6-961B-4E3F-9CD1-A3F4C3A58EE2}"/>
                      </a:ext>
                    </a:extLst>
                  </xdr:cNvPr>
                  <xdr:cNvGrpSpPr/>
                </xdr:nvGrpSpPr>
                <xdr:grpSpPr>
                  <a:xfrm>
                    <a:off x="4167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77" name="Oval 776">
                      <a:extLst>
                        <a:ext uri="{FF2B5EF4-FFF2-40B4-BE49-F238E27FC236}">
                          <a16:creationId xmlns:a16="http://schemas.microsoft.com/office/drawing/2014/main" id="{7EA4410D-74B6-48CB-BA99-FE515BACC88F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8" name="Oval 777">
                      <a:extLst>
                        <a:ext uri="{FF2B5EF4-FFF2-40B4-BE49-F238E27FC236}">
                          <a16:creationId xmlns:a16="http://schemas.microsoft.com/office/drawing/2014/main" id="{B5021B89-D748-4C2B-A0D1-13B56AF088E5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74" name="Group 773">
                    <a:extLst>
                      <a:ext uri="{FF2B5EF4-FFF2-40B4-BE49-F238E27FC236}">
                        <a16:creationId xmlns:a16="http://schemas.microsoft.com/office/drawing/2014/main" id="{5ACB8383-5837-4B71-BE11-D9CF1FCAE95B}"/>
                      </a:ext>
                    </a:extLst>
                  </xdr:cNvPr>
                  <xdr:cNvGrpSpPr/>
                </xdr:nvGrpSpPr>
                <xdr:grpSpPr>
                  <a:xfrm>
                    <a:off x="436720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75" name="Oval 774">
                      <a:extLst>
                        <a:ext uri="{FF2B5EF4-FFF2-40B4-BE49-F238E27FC236}">
                          <a16:creationId xmlns:a16="http://schemas.microsoft.com/office/drawing/2014/main" id="{BC96F779-3FE4-464B-A9D9-ED431732675A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6" name="Oval 775">
                      <a:extLst>
                        <a:ext uri="{FF2B5EF4-FFF2-40B4-BE49-F238E27FC236}">
                          <a16:creationId xmlns:a16="http://schemas.microsoft.com/office/drawing/2014/main" id="{1F2E06A8-162B-4CC8-BD63-6CF4B9F45981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</xdr:grpSp>
          </xdr:grpSp>
          <xdr:grpSp>
            <xdr:nvGrpSpPr>
              <xdr:cNvPr id="762" name="Group 761">
                <a:extLst>
                  <a:ext uri="{FF2B5EF4-FFF2-40B4-BE49-F238E27FC236}">
                    <a16:creationId xmlns:a16="http://schemas.microsoft.com/office/drawing/2014/main" id="{F84DAE88-541F-451E-A876-B4BB866AB905}"/>
                  </a:ext>
                </a:extLst>
              </xdr:cNvPr>
              <xdr:cNvGrpSpPr/>
            </xdr:nvGrpSpPr>
            <xdr:grpSpPr>
              <a:xfrm>
                <a:off x="4548185" y="43243498"/>
                <a:ext cx="435295" cy="76514"/>
                <a:chOff x="5238750" y="43129200"/>
                <a:chExt cx="435295" cy="76514"/>
              </a:xfrm>
            </xdr:grpSpPr>
            <xdr:cxnSp macro="">
              <xdr:nvCxnSpPr>
                <xdr:cNvPr id="763" name="직선 연결선 32">
                  <a:extLst>
                    <a:ext uri="{FF2B5EF4-FFF2-40B4-BE49-F238E27FC236}">
                      <a16:creationId xmlns:a16="http://schemas.microsoft.com/office/drawing/2014/main" id="{0477BBC5-7CCB-4F5F-9A76-6065828AA98E}"/>
                    </a:ext>
                  </a:extLst>
                </xdr:cNvPr>
                <xdr:cNvCxnSpPr/>
              </xdr:nvCxnSpPr>
              <xdr:spPr>
                <a:xfrm flipV="1">
                  <a:off x="5238750" y="43129201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4" name="직선 연결선 37">
                  <a:extLst>
                    <a:ext uri="{FF2B5EF4-FFF2-40B4-BE49-F238E27FC236}">
                      <a16:creationId xmlns:a16="http://schemas.microsoft.com/office/drawing/2014/main" id="{2B538C32-22D9-45BC-B856-5AA8C8C447D1}"/>
                    </a:ext>
                  </a:extLst>
                </xdr:cNvPr>
                <xdr:cNvCxnSpPr/>
              </xdr:nvCxnSpPr>
              <xdr:spPr>
                <a:xfrm flipV="1">
                  <a:off x="5379243" y="43131325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5" name="직선 연결선 38">
                  <a:extLst>
                    <a:ext uri="{FF2B5EF4-FFF2-40B4-BE49-F238E27FC236}">
                      <a16:creationId xmlns:a16="http://schemas.microsoft.com/office/drawing/2014/main" id="{BE9FD0E9-CA19-4384-A887-FB40EA6B5962}"/>
                    </a:ext>
                  </a:extLst>
                </xdr:cNvPr>
                <xdr:cNvCxnSpPr/>
              </xdr:nvCxnSpPr>
              <xdr:spPr>
                <a:xfrm flipV="1">
                  <a:off x="5517432" y="43131326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6" name="직선 연결선 39">
                  <a:extLst>
                    <a:ext uri="{FF2B5EF4-FFF2-40B4-BE49-F238E27FC236}">
                      <a16:creationId xmlns:a16="http://schemas.microsoft.com/office/drawing/2014/main" id="{FE2A7A9B-1F54-4442-8618-DC3C2846BE93}"/>
                    </a:ext>
                  </a:extLst>
                </xdr:cNvPr>
                <xdr:cNvCxnSpPr/>
              </xdr:nvCxnSpPr>
              <xdr:spPr>
                <a:xfrm flipV="1">
                  <a:off x="5674045" y="43129200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757" name="직선 연결선 32">
              <a:extLst>
                <a:ext uri="{FF2B5EF4-FFF2-40B4-BE49-F238E27FC236}">
                  <a16:creationId xmlns:a16="http://schemas.microsoft.com/office/drawing/2014/main" id="{87443455-2B75-4D35-AF3A-268B8BD8103F}"/>
                </a:ext>
              </a:extLst>
            </xdr:cNvPr>
            <xdr:cNvCxnSpPr/>
          </xdr:nvCxnSpPr>
          <xdr:spPr>
            <a:xfrm flipV="1">
              <a:off x="4438652" y="4234577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8" name="직선 연결선 37">
              <a:extLst>
                <a:ext uri="{FF2B5EF4-FFF2-40B4-BE49-F238E27FC236}">
                  <a16:creationId xmlns:a16="http://schemas.microsoft.com/office/drawing/2014/main" id="{AA0944E0-74E7-46C8-83A8-6F447C9EEBF1}"/>
                </a:ext>
              </a:extLst>
            </xdr:cNvPr>
            <xdr:cNvCxnSpPr/>
          </xdr:nvCxnSpPr>
          <xdr:spPr>
            <a:xfrm flipV="1">
              <a:off x="4657724" y="42345513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9" name="직선 연결선 38">
              <a:extLst>
                <a:ext uri="{FF2B5EF4-FFF2-40B4-BE49-F238E27FC236}">
                  <a16:creationId xmlns:a16="http://schemas.microsoft.com/office/drawing/2014/main" id="{8E50A5DC-7AD1-4A0A-8D64-920F50FFD16D}"/>
                </a:ext>
              </a:extLst>
            </xdr:cNvPr>
            <xdr:cNvCxnSpPr/>
          </xdr:nvCxnSpPr>
          <xdr:spPr>
            <a:xfrm flipV="1">
              <a:off x="4884021" y="4234551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0" name="직선 연결선 39">
              <a:extLst>
                <a:ext uri="{FF2B5EF4-FFF2-40B4-BE49-F238E27FC236}">
                  <a16:creationId xmlns:a16="http://schemas.microsoft.com/office/drawing/2014/main" id="{8648C124-57C2-437B-87F0-B19EA0E1DCD5}"/>
                </a:ext>
              </a:extLst>
            </xdr:cNvPr>
            <xdr:cNvCxnSpPr/>
          </xdr:nvCxnSpPr>
          <xdr:spPr>
            <a:xfrm flipV="1">
              <a:off x="5107309" y="4234576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49" name="Group 948">
            <a:extLst>
              <a:ext uri="{FF2B5EF4-FFF2-40B4-BE49-F238E27FC236}">
                <a16:creationId xmlns:a16="http://schemas.microsoft.com/office/drawing/2014/main" id="{79F48293-47F2-45D9-9973-04F9CDFF0605}"/>
              </a:ext>
            </a:extLst>
          </xdr:cNvPr>
          <xdr:cNvGrpSpPr/>
        </xdr:nvGrpSpPr>
        <xdr:grpSpPr>
          <a:xfrm>
            <a:off x="1625719" y="21538363"/>
            <a:ext cx="593067" cy="274661"/>
            <a:chOff x="1042358" y="19980036"/>
            <a:chExt cx="593067" cy="269575"/>
          </a:xfrm>
        </xdr:grpSpPr>
        <xdr:sp macro="" textlink="">
          <xdr:nvSpPr>
            <xdr:cNvPr id="950" name="TextBox 949">
              <a:extLst>
                <a:ext uri="{FF2B5EF4-FFF2-40B4-BE49-F238E27FC236}">
                  <a16:creationId xmlns:a16="http://schemas.microsoft.com/office/drawing/2014/main" id="{8E41AAAE-DC7A-4C49-92E8-3467679DF861}"/>
                </a:ext>
              </a:extLst>
            </xdr:cNvPr>
            <xdr:cNvSpPr txBox="1"/>
          </xdr:nvSpPr>
          <xdr:spPr>
            <a:xfrm>
              <a:off x="1042358" y="19980036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4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51" name="Rectangle: Rounded Corners 950">
              <a:extLst>
                <a:ext uri="{FF2B5EF4-FFF2-40B4-BE49-F238E27FC236}">
                  <a16:creationId xmlns:a16="http://schemas.microsoft.com/office/drawing/2014/main" id="{E562DF98-EFF8-4AC0-AA0B-FFD19B6DCC6A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2</xdr:col>
      <xdr:colOff>162864</xdr:colOff>
      <xdr:row>20</xdr:row>
      <xdr:rowOff>143444</xdr:rowOff>
    </xdr:from>
    <xdr:to>
      <xdr:col>10</xdr:col>
      <xdr:colOff>221903</xdr:colOff>
      <xdr:row>29</xdr:row>
      <xdr:rowOff>79585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FF92D2E6-10DB-487E-80A8-86E16E553E2F}"/>
            </a:ext>
          </a:extLst>
        </xdr:cNvPr>
        <xdr:cNvGrpSpPr/>
      </xdr:nvGrpSpPr>
      <xdr:grpSpPr>
        <a:xfrm>
          <a:off x="1081346" y="3944940"/>
          <a:ext cx="3886048" cy="1620024"/>
          <a:chOff x="913564" y="4405478"/>
          <a:chExt cx="3901531" cy="1679700"/>
        </a:xfrm>
      </xdr:grpSpPr>
      <xdr:grpSp>
        <xdr:nvGrpSpPr>
          <xdr:cNvPr id="957" name="Group 956">
            <a:extLst>
              <a:ext uri="{FF2B5EF4-FFF2-40B4-BE49-F238E27FC236}">
                <a16:creationId xmlns:a16="http://schemas.microsoft.com/office/drawing/2014/main" id="{EEE1405C-21A8-4EB7-8CDD-30A2733501AB}"/>
              </a:ext>
            </a:extLst>
          </xdr:cNvPr>
          <xdr:cNvGrpSpPr/>
        </xdr:nvGrpSpPr>
        <xdr:grpSpPr>
          <a:xfrm>
            <a:off x="913564" y="4405478"/>
            <a:ext cx="3901531" cy="1679700"/>
            <a:chOff x="742610" y="3829461"/>
            <a:chExt cx="3885171" cy="1619469"/>
          </a:xfrm>
        </xdr:grpSpPr>
        <xdr:grpSp>
          <xdr:nvGrpSpPr>
            <xdr:cNvPr id="940" name="Group 939">
              <a:extLst>
                <a:ext uri="{FF2B5EF4-FFF2-40B4-BE49-F238E27FC236}">
                  <a16:creationId xmlns:a16="http://schemas.microsoft.com/office/drawing/2014/main" id="{4B0DAF26-7AD7-44F2-AF61-F91648FBB826}"/>
                </a:ext>
              </a:extLst>
            </xdr:cNvPr>
            <xdr:cNvGrpSpPr/>
          </xdr:nvGrpSpPr>
          <xdr:grpSpPr>
            <a:xfrm>
              <a:off x="742610" y="4204868"/>
              <a:ext cx="3807816" cy="1244062"/>
              <a:chOff x="740569" y="4029075"/>
              <a:chExt cx="3809857" cy="1266270"/>
            </a:xfrm>
          </xdr:grpSpPr>
          <xdr:grpSp>
            <xdr:nvGrpSpPr>
              <xdr:cNvPr id="930" name="Group 929">
                <a:extLst>
                  <a:ext uri="{FF2B5EF4-FFF2-40B4-BE49-F238E27FC236}">
                    <a16:creationId xmlns:a16="http://schemas.microsoft.com/office/drawing/2014/main" id="{589856EE-B151-435A-B2DD-DF710D5AFDDC}"/>
                  </a:ext>
                </a:extLst>
              </xdr:cNvPr>
              <xdr:cNvGrpSpPr/>
            </xdr:nvGrpSpPr>
            <xdr:grpSpPr>
              <a:xfrm>
                <a:off x="1200036" y="4089635"/>
                <a:ext cx="3350390" cy="1205710"/>
                <a:chOff x="1197481" y="4113678"/>
                <a:chExt cx="3350040" cy="1212706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054C7896-1916-403F-80C3-0C918D4D68BD}"/>
                    </a:ext>
                  </a:extLst>
                </xdr:cNvPr>
                <xdr:cNvGrpSpPr/>
              </xdr:nvGrpSpPr>
              <xdr:grpSpPr>
                <a:xfrm>
                  <a:off x="1224423" y="4113678"/>
                  <a:ext cx="3323098" cy="924120"/>
                  <a:chOff x="1228726" y="4136238"/>
                  <a:chExt cx="3324225" cy="918313"/>
                </a:xfrm>
              </xdr:grpSpPr>
              <xdr:sp macro="" textlink="">
                <xdr:nvSpPr>
                  <xdr:cNvPr id="12" name="Freeform: Shape 11">
                    <a:extLst>
                      <a:ext uri="{FF2B5EF4-FFF2-40B4-BE49-F238E27FC236}">
                        <a16:creationId xmlns:a16="http://schemas.microsoft.com/office/drawing/2014/main" id="{93E7AC8C-2B47-4193-BAB1-4DCEE071B44D}"/>
                      </a:ext>
                    </a:extLst>
                  </xdr:cNvPr>
                  <xdr:cNvSpPr/>
                </xdr:nvSpPr>
                <xdr:spPr>
                  <a:xfrm>
                    <a:off x="1228726" y="4136238"/>
                    <a:ext cx="3324225" cy="178594"/>
                  </a:xfrm>
                  <a:custGeom>
                    <a:avLst/>
                    <a:gdLst>
                      <a:gd name="connsiteX0" fmla="*/ 2381 w 3324225"/>
                      <a:gd name="connsiteY0" fmla="*/ 114300 h 178594"/>
                      <a:gd name="connsiteX1" fmla="*/ 240506 w 3324225"/>
                      <a:gd name="connsiteY1" fmla="*/ 114300 h 178594"/>
                      <a:gd name="connsiteX2" fmla="*/ 295275 w 3324225"/>
                      <a:gd name="connsiteY2" fmla="*/ 169069 h 178594"/>
                      <a:gd name="connsiteX3" fmla="*/ 531018 w 3324225"/>
                      <a:gd name="connsiteY3" fmla="*/ 169069 h 178594"/>
                      <a:gd name="connsiteX4" fmla="*/ 585787 w 3324225"/>
                      <a:gd name="connsiteY4" fmla="*/ 114300 h 178594"/>
                      <a:gd name="connsiteX5" fmla="*/ 1076325 w 3324225"/>
                      <a:gd name="connsiteY5" fmla="*/ 114300 h 178594"/>
                      <a:gd name="connsiteX6" fmla="*/ 1140619 w 3324225"/>
                      <a:gd name="connsiteY6" fmla="*/ 178594 h 178594"/>
                      <a:gd name="connsiteX7" fmla="*/ 1376362 w 3324225"/>
                      <a:gd name="connsiteY7" fmla="*/ 178594 h 178594"/>
                      <a:gd name="connsiteX8" fmla="*/ 1445418 w 3324225"/>
                      <a:gd name="connsiteY8" fmla="*/ 109538 h 178594"/>
                      <a:gd name="connsiteX9" fmla="*/ 1862137 w 3324225"/>
                      <a:gd name="connsiteY9" fmla="*/ 109538 h 178594"/>
                      <a:gd name="connsiteX10" fmla="*/ 1924049 w 3324225"/>
                      <a:gd name="connsiteY10" fmla="*/ 171450 h 178594"/>
                      <a:gd name="connsiteX11" fmla="*/ 2197893 w 3324225"/>
                      <a:gd name="connsiteY11" fmla="*/ 171450 h 178594"/>
                      <a:gd name="connsiteX12" fmla="*/ 2252661 w 3324225"/>
                      <a:gd name="connsiteY12" fmla="*/ 116682 h 178594"/>
                      <a:gd name="connsiteX13" fmla="*/ 2714625 w 3324225"/>
                      <a:gd name="connsiteY13" fmla="*/ 116682 h 178594"/>
                      <a:gd name="connsiteX14" fmla="*/ 2774156 w 3324225"/>
                      <a:gd name="connsiteY14" fmla="*/ 176213 h 178594"/>
                      <a:gd name="connsiteX15" fmla="*/ 3038475 w 3324225"/>
                      <a:gd name="connsiteY15" fmla="*/ 176213 h 178594"/>
                      <a:gd name="connsiteX16" fmla="*/ 3100387 w 3324225"/>
                      <a:gd name="connsiteY16" fmla="*/ 114301 h 178594"/>
                      <a:gd name="connsiteX17" fmla="*/ 3324225 w 3324225"/>
                      <a:gd name="connsiteY17" fmla="*/ 114301 h 178594"/>
                      <a:gd name="connsiteX18" fmla="*/ 3324225 w 3324225"/>
                      <a:gd name="connsiteY18" fmla="*/ 0 h 178594"/>
                      <a:gd name="connsiteX19" fmla="*/ 0 w 3324225"/>
                      <a:gd name="connsiteY19" fmla="*/ 0 h 178594"/>
                      <a:gd name="connsiteX20" fmla="*/ 2381 w 3324225"/>
                      <a:gd name="connsiteY20" fmla="*/ 114300 h 178594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</a:cxnLst>
                    <a:rect l="l" t="t" r="r" b="b"/>
                    <a:pathLst>
                      <a:path w="3324225" h="178594">
                        <a:moveTo>
                          <a:pt x="2381" y="114300"/>
                        </a:moveTo>
                        <a:lnTo>
                          <a:pt x="240506" y="114300"/>
                        </a:lnTo>
                        <a:lnTo>
                          <a:pt x="295275" y="169069"/>
                        </a:lnTo>
                        <a:lnTo>
                          <a:pt x="531018" y="169069"/>
                        </a:lnTo>
                        <a:lnTo>
                          <a:pt x="585787" y="114300"/>
                        </a:lnTo>
                        <a:lnTo>
                          <a:pt x="1076325" y="114300"/>
                        </a:lnTo>
                        <a:lnTo>
                          <a:pt x="1140619" y="178594"/>
                        </a:lnTo>
                        <a:lnTo>
                          <a:pt x="1376362" y="178594"/>
                        </a:lnTo>
                        <a:lnTo>
                          <a:pt x="1445418" y="109538"/>
                        </a:lnTo>
                        <a:lnTo>
                          <a:pt x="1862137" y="109538"/>
                        </a:lnTo>
                        <a:lnTo>
                          <a:pt x="1924049" y="171450"/>
                        </a:lnTo>
                        <a:lnTo>
                          <a:pt x="2197893" y="171450"/>
                        </a:lnTo>
                        <a:lnTo>
                          <a:pt x="2252661" y="116682"/>
                        </a:lnTo>
                        <a:lnTo>
                          <a:pt x="2714625" y="116682"/>
                        </a:lnTo>
                        <a:lnTo>
                          <a:pt x="2774156" y="176213"/>
                        </a:lnTo>
                        <a:lnTo>
                          <a:pt x="3038475" y="176213"/>
                        </a:lnTo>
                        <a:lnTo>
                          <a:pt x="3100387" y="114301"/>
                        </a:lnTo>
                        <a:lnTo>
                          <a:pt x="3324225" y="114301"/>
                        </a:lnTo>
                        <a:lnTo>
                          <a:pt x="3324225" y="0"/>
                        </a:lnTo>
                        <a:lnTo>
                          <a:pt x="0" y="0"/>
                        </a:lnTo>
                        <a:cubicBezTo>
                          <a:pt x="794" y="38100"/>
                          <a:pt x="1587" y="76200"/>
                          <a:pt x="2381" y="114300"/>
                        </a:cubicBezTo>
                        <a:close/>
                      </a:path>
                    </a:pathLst>
                  </a:custGeom>
                  <a:pattFill prst="pct20">
                    <a:fgClr>
                      <a:schemeClr val="accent1"/>
                    </a:fgClr>
                    <a:bgClr>
                      <a:schemeClr val="bg1"/>
                    </a:bgClr>
                  </a:pattFill>
                  <a:ln w="19050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3" name="Group 2">
                    <a:extLst>
                      <a:ext uri="{FF2B5EF4-FFF2-40B4-BE49-F238E27FC236}">
                        <a16:creationId xmlns:a16="http://schemas.microsoft.com/office/drawing/2014/main" id="{25A8BD29-61AB-411D-B61F-C15D0F65252B}"/>
                      </a:ext>
                    </a:extLst>
                  </xdr:cNvPr>
                  <xdr:cNvGrpSpPr/>
                </xdr:nvGrpSpPr>
                <xdr:grpSpPr>
                  <a:xfrm>
                    <a:off x="1522360" y="4286362"/>
                    <a:ext cx="2747439" cy="768189"/>
                    <a:chOff x="1522360" y="4286362"/>
                    <a:chExt cx="2747439" cy="768189"/>
                  </a:xfrm>
                </xdr:grpSpPr>
                <xdr:grpSp>
                  <xdr:nvGrpSpPr>
                    <xdr:cNvPr id="481" name="Group 480">
                      <a:extLst>
                        <a:ext uri="{FF2B5EF4-FFF2-40B4-BE49-F238E27FC236}">
                          <a16:creationId xmlns:a16="http://schemas.microsoft.com/office/drawing/2014/main" id="{6F6898E3-34E0-467A-8B62-CF10B0B40C35}"/>
                        </a:ext>
                      </a:extLst>
                    </xdr:cNvPr>
                    <xdr:cNvGrpSpPr/>
                  </xdr:nvGrpSpPr>
                  <xdr:grpSpPr>
                    <a:xfrm>
                      <a:off x="1522360" y="4286363"/>
                      <a:ext cx="1094852" cy="768188"/>
                      <a:chOff x="4109743" y="34365807"/>
                      <a:chExt cx="1474025" cy="1035015"/>
                    </a:xfrm>
                  </xdr:grpSpPr>
                  <xdr:grpSp>
                    <xdr:nvGrpSpPr>
                      <xdr:cNvPr id="527" name="그룹 30">
                        <a:extLst>
                          <a:ext uri="{FF2B5EF4-FFF2-40B4-BE49-F238E27FC236}">
                            <a16:creationId xmlns:a16="http://schemas.microsoft.com/office/drawing/2014/main" id="{B079A9B2-583E-458B-AB1C-29F8FA81CB9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109743" y="34365807"/>
                        <a:ext cx="1474025" cy="1035015"/>
                        <a:chOff x="4444381" y="313952"/>
                        <a:chExt cx="1570114" cy="1069110"/>
                      </a:xfrm>
                    </xdr:grpSpPr>
                    <xdr:grpSp>
                      <xdr:nvGrpSpPr>
                        <xdr:cNvPr id="528" name="그룹 7">
                          <a:extLst>
                            <a:ext uri="{FF2B5EF4-FFF2-40B4-BE49-F238E27FC236}">
                              <a16:creationId xmlns:a16="http://schemas.microsoft.com/office/drawing/2014/main" id="{0BABAE18-E675-4B7E-AEFB-2EA68644F93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44381" y="315446"/>
                          <a:ext cx="1421154" cy="1067616"/>
                          <a:chOff x="2971800" y="381000"/>
                          <a:chExt cx="1422339" cy="1061287"/>
                        </a:xfrm>
                      </xdr:grpSpPr>
                      <xdr:cxnSp macro="">
                        <xdr:nvCxnSpPr>
                          <xdr:cNvPr id="530" name="직선 연결선 3">
                            <a:extLst>
                              <a:ext uri="{FF2B5EF4-FFF2-40B4-BE49-F238E27FC236}">
                                <a16:creationId xmlns:a16="http://schemas.microsoft.com/office/drawing/2014/main" id="{56CBB737-9AE5-41A5-B3AB-E67D452F032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762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1" name="직선 연결선 4">
                            <a:extLst>
                              <a:ext uri="{FF2B5EF4-FFF2-40B4-BE49-F238E27FC236}">
                                <a16:creationId xmlns:a16="http://schemas.microsoft.com/office/drawing/2014/main" id="{EAC9EB26-AAA8-409A-8E4C-983859AE6806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2" name="직선 연결선 5">
                            <a:extLst>
                              <a:ext uri="{FF2B5EF4-FFF2-40B4-BE49-F238E27FC236}">
                                <a16:creationId xmlns:a16="http://schemas.microsoft.com/office/drawing/2014/main" id="{5EBD741A-0D01-4DBB-ABDF-1814C7B554B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3" name="직선 연결선 6">
                            <a:extLst>
                              <a:ext uri="{FF2B5EF4-FFF2-40B4-BE49-F238E27FC236}">
                                <a16:creationId xmlns:a16="http://schemas.microsoft.com/office/drawing/2014/main" id="{FE4DB76C-A6A4-4ABB-80BD-B8BEE7A3EFF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971800" y="381000"/>
                            <a:ext cx="363653" cy="0"/>
                          </a:xfrm>
                          <a:prstGeom prst="line">
                            <a:avLst/>
                          </a:prstGeom>
                          <a:ln w="635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29" name="직선 연결선 29">
                          <a:extLst>
                            <a:ext uri="{FF2B5EF4-FFF2-40B4-BE49-F238E27FC236}">
                              <a16:creationId xmlns:a16="http://schemas.microsoft.com/office/drawing/2014/main" id="{35B80AA7-34D4-4862-B87D-7D39E97B789C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51145" y="313952"/>
                          <a:ext cx="363350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520" name="직선 연결선 32">
                        <a:extLst>
                          <a:ext uri="{FF2B5EF4-FFF2-40B4-BE49-F238E27FC236}">
                            <a16:creationId xmlns:a16="http://schemas.microsoft.com/office/drawing/2014/main" id="{01240851-EC73-4865-8AC8-89FF7422280E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23" name="직선 연결선 37">
                        <a:extLst>
                          <a:ext uri="{FF2B5EF4-FFF2-40B4-BE49-F238E27FC236}">
                            <a16:creationId xmlns:a16="http://schemas.microsoft.com/office/drawing/2014/main" id="{E2533533-9BC6-4A05-AE84-867E37383A19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24" name="직선 연결선 38">
                        <a:extLst>
                          <a:ext uri="{FF2B5EF4-FFF2-40B4-BE49-F238E27FC236}">
                            <a16:creationId xmlns:a16="http://schemas.microsoft.com/office/drawing/2014/main" id="{3498160A-877E-464A-94E9-ACBCBAC6888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25" name="직선 연결선 39">
                        <a:extLst>
                          <a:ext uri="{FF2B5EF4-FFF2-40B4-BE49-F238E27FC236}">
                            <a16:creationId xmlns:a16="http://schemas.microsoft.com/office/drawing/2014/main" id="{4267B416-7EF0-4EE5-874F-AB2EDAF41E0F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534" name="Group 533">
                      <a:extLst>
                        <a:ext uri="{FF2B5EF4-FFF2-40B4-BE49-F238E27FC236}">
                          <a16:creationId xmlns:a16="http://schemas.microsoft.com/office/drawing/2014/main" id="{929DE10F-A6E8-4897-862C-ECCE3B4A06BB}"/>
                        </a:ext>
                      </a:extLst>
                    </xdr:cNvPr>
                    <xdr:cNvGrpSpPr/>
                  </xdr:nvGrpSpPr>
                  <xdr:grpSpPr>
                    <a:xfrm>
                      <a:off x="3174947" y="4286362"/>
                      <a:ext cx="1094852" cy="768188"/>
                      <a:chOff x="4109743" y="34365806"/>
                      <a:chExt cx="1474025" cy="1035015"/>
                    </a:xfrm>
                  </xdr:grpSpPr>
                  <xdr:grpSp>
                    <xdr:nvGrpSpPr>
                      <xdr:cNvPr id="541" name="그룹 30">
                        <a:extLst>
                          <a:ext uri="{FF2B5EF4-FFF2-40B4-BE49-F238E27FC236}">
                            <a16:creationId xmlns:a16="http://schemas.microsoft.com/office/drawing/2014/main" id="{99F1D052-A509-4AB3-98F1-9AF42B85D20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109743" y="34365806"/>
                        <a:ext cx="1474025" cy="1035015"/>
                        <a:chOff x="4444381" y="313952"/>
                        <a:chExt cx="1570114" cy="1069110"/>
                      </a:xfrm>
                    </xdr:grpSpPr>
                    <xdr:grpSp>
                      <xdr:nvGrpSpPr>
                        <xdr:cNvPr id="542" name="그룹 7">
                          <a:extLst>
                            <a:ext uri="{FF2B5EF4-FFF2-40B4-BE49-F238E27FC236}">
                              <a16:creationId xmlns:a16="http://schemas.microsoft.com/office/drawing/2014/main" id="{5D97993F-1E90-4844-B5FD-E14F60E8C922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44381" y="315446"/>
                          <a:ext cx="1421154" cy="1067616"/>
                          <a:chOff x="2971800" y="381000"/>
                          <a:chExt cx="1422339" cy="1061287"/>
                        </a:xfrm>
                      </xdr:grpSpPr>
                      <xdr:cxnSp macro="">
                        <xdr:nvCxnSpPr>
                          <xdr:cNvPr id="544" name="직선 연결선 3">
                            <a:extLst>
                              <a:ext uri="{FF2B5EF4-FFF2-40B4-BE49-F238E27FC236}">
                                <a16:creationId xmlns:a16="http://schemas.microsoft.com/office/drawing/2014/main" id="{1CEB4181-B3C3-4D99-A38E-08947EDFBAD9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762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5" name="직선 연결선 4">
                            <a:extLst>
                              <a:ext uri="{FF2B5EF4-FFF2-40B4-BE49-F238E27FC236}">
                                <a16:creationId xmlns:a16="http://schemas.microsoft.com/office/drawing/2014/main" id="{5F206D02-2943-409F-9180-48B951292F3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6" name="직선 연결선 5">
                            <a:extLst>
                              <a:ext uri="{FF2B5EF4-FFF2-40B4-BE49-F238E27FC236}">
                                <a16:creationId xmlns:a16="http://schemas.microsoft.com/office/drawing/2014/main" id="{AA795EC8-7A42-483B-8F95-074B37F1FDA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7" name="직선 연결선 6">
                            <a:extLst>
                              <a:ext uri="{FF2B5EF4-FFF2-40B4-BE49-F238E27FC236}">
                                <a16:creationId xmlns:a16="http://schemas.microsoft.com/office/drawing/2014/main" id="{F22B5567-32AA-4ED5-97F8-9BE641AE424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971800" y="381000"/>
                            <a:ext cx="363653" cy="0"/>
                          </a:xfrm>
                          <a:prstGeom prst="line">
                            <a:avLst/>
                          </a:prstGeom>
                          <a:ln w="635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3" name="직선 연결선 29">
                          <a:extLst>
                            <a:ext uri="{FF2B5EF4-FFF2-40B4-BE49-F238E27FC236}">
                              <a16:creationId xmlns:a16="http://schemas.microsoft.com/office/drawing/2014/main" id="{74DE12CC-03A5-4571-93B1-338742586CFE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51145" y="313952"/>
                          <a:ext cx="363350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536" name="직선 연결선 32">
                        <a:extLst>
                          <a:ext uri="{FF2B5EF4-FFF2-40B4-BE49-F238E27FC236}">
                            <a16:creationId xmlns:a16="http://schemas.microsoft.com/office/drawing/2014/main" id="{EBE6A4EA-E9DB-4041-8E3A-B11D06EE49F2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37" name="직선 연결선 37">
                        <a:extLst>
                          <a:ext uri="{FF2B5EF4-FFF2-40B4-BE49-F238E27FC236}">
                            <a16:creationId xmlns:a16="http://schemas.microsoft.com/office/drawing/2014/main" id="{1B34C1CF-160F-44C3-9CA4-5E70C23A027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38" name="직선 연결선 38">
                        <a:extLst>
                          <a:ext uri="{FF2B5EF4-FFF2-40B4-BE49-F238E27FC236}">
                            <a16:creationId xmlns:a16="http://schemas.microsoft.com/office/drawing/2014/main" id="{46C1D7A5-4065-4E06-B3D9-3E067544DE8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39" name="직선 연결선 39">
                        <a:extLst>
                          <a:ext uri="{FF2B5EF4-FFF2-40B4-BE49-F238E27FC236}">
                            <a16:creationId xmlns:a16="http://schemas.microsoft.com/office/drawing/2014/main" id="{75E08BDC-B158-4100-A1C1-F295139DAC7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929" name="Group 928">
                  <a:extLst>
                    <a:ext uri="{FF2B5EF4-FFF2-40B4-BE49-F238E27FC236}">
                      <a16:creationId xmlns:a16="http://schemas.microsoft.com/office/drawing/2014/main" id="{F363B245-BCCC-4794-97BE-C4246D04B0AD}"/>
                    </a:ext>
                  </a:extLst>
                </xdr:cNvPr>
                <xdr:cNvGrpSpPr/>
              </xdr:nvGrpSpPr>
              <xdr:grpSpPr>
                <a:xfrm>
                  <a:off x="1197481" y="4393696"/>
                  <a:ext cx="2183779" cy="932688"/>
                  <a:chOff x="1197481" y="4393696"/>
                  <a:chExt cx="2183779" cy="932688"/>
                </a:xfrm>
              </xdr:grpSpPr>
              <xdr:cxnSp macro="">
                <xdr:nvCxnSpPr>
                  <xdr:cNvPr id="15" name="Straight Connector 14">
                    <a:extLst>
                      <a:ext uri="{FF2B5EF4-FFF2-40B4-BE49-F238E27FC236}">
                        <a16:creationId xmlns:a16="http://schemas.microsoft.com/office/drawing/2014/main" id="{F89036E1-C01F-4D80-8934-BA8E896EB8C9}"/>
                      </a:ext>
                    </a:extLst>
                  </xdr:cNvPr>
                  <xdr:cNvCxnSpPr/>
                </xdr:nvCxnSpPr>
                <xdr:spPr>
                  <a:xfrm>
                    <a:off x="1225473" y="4498240"/>
                    <a:ext cx="0" cy="778262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" name="Straight Connector 29">
                    <a:extLst>
                      <a:ext uri="{FF2B5EF4-FFF2-40B4-BE49-F238E27FC236}">
                        <a16:creationId xmlns:a16="http://schemas.microsoft.com/office/drawing/2014/main" id="{35CD4981-7F10-4B96-B01E-526B20688CAF}"/>
                      </a:ext>
                    </a:extLst>
                  </xdr:cNvPr>
                  <xdr:cNvCxnSpPr/>
                </xdr:nvCxnSpPr>
                <xdr:spPr>
                  <a:xfrm>
                    <a:off x="1225473" y="5279406"/>
                    <a:ext cx="2041486" cy="0"/>
                  </a:xfrm>
                  <a:prstGeom prst="line">
                    <a:avLst/>
                  </a:prstGeom>
                  <a:ln w="3175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49" name="Straight Connector 548">
                    <a:extLst>
                      <a:ext uri="{FF2B5EF4-FFF2-40B4-BE49-F238E27FC236}">
                        <a16:creationId xmlns:a16="http://schemas.microsoft.com/office/drawing/2014/main" id="{C6580424-3807-44CD-BFE6-87FD76501D4B}"/>
                      </a:ext>
                    </a:extLst>
                  </xdr:cNvPr>
                  <xdr:cNvCxnSpPr/>
                </xdr:nvCxnSpPr>
                <xdr:spPr>
                  <a:xfrm>
                    <a:off x="1600085" y="4504047"/>
                    <a:ext cx="0" cy="778262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50" name="Straight Connector 549">
                    <a:extLst>
                      <a:ext uri="{FF2B5EF4-FFF2-40B4-BE49-F238E27FC236}">
                        <a16:creationId xmlns:a16="http://schemas.microsoft.com/office/drawing/2014/main" id="{F64B2585-3DC1-4010-837A-8708F2077B73}"/>
                      </a:ext>
                    </a:extLst>
                  </xdr:cNvPr>
                  <xdr:cNvCxnSpPr/>
                </xdr:nvCxnSpPr>
                <xdr:spPr>
                  <a:xfrm>
                    <a:off x="2532256" y="4393696"/>
                    <a:ext cx="0" cy="885709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51" name="Straight Connector 550">
                    <a:extLst>
                      <a:ext uri="{FF2B5EF4-FFF2-40B4-BE49-F238E27FC236}">
                        <a16:creationId xmlns:a16="http://schemas.microsoft.com/office/drawing/2014/main" id="{69713512-462E-46D3-AC2B-170AAAA652FA}"/>
                      </a:ext>
                    </a:extLst>
                  </xdr:cNvPr>
                  <xdr:cNvCxnSpPr/>
                </xdr:nvCxnSpPr>
                <xdr:spPr>
                  <a:xfrm>
                    <a:off x="3246631" y="4393697"/>
                    <a:ext cx="0" cy="885709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52" name="TextBox 551">
                    <a:extLst>
                      <a:ext uri="{FF2B5EF4-FFF2-40B4-BE49-F238E27FC236}">
                        <a16:creationId xmlns:a16="http://schemas.microsoft.com/office/drawing/2014/main" id="{E979B465-212D-4510-B3DA-806DFF79A6EE}"/>
                      </a:ext>
                    </a:extLst>
                  </xdr:cNvPr>
                  <xdr:cNvSpPr txBox="1"/>
                </xdr:nvSpPr>
                <xdr:spPr>
                  <a:xfrm>
                    <a:off x="1197481" y="5107053"/>
                    <a:ext cx="2183779" cy="21933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    b                      w                             a</a:t>
                    </a:r>
                  </a:p>
                </xdr:txBody>
              </xdr:sp>
            </xdr:grpSp>
          </xdr:grpSp>
          <xdr:grpSp>
            <xdr:nvGrpSpPr>
              <xdr:cNvPr id="939" name="Group 938">
                <a:extLst>
                  <a:ext uri="{FF2B5EF4-FFF2-40B4-BE49-F238E27FC236}">
                    <a16:creationId xmlns:a16="http://schemas.microsoft.com/office/drawing/2014/main" id="{319F05BE-F343-42B6-AD0A-7251C107F252}"/>
                  </a:ext>
                </a:extLst>
              </xdr:cNvPr>
              <xdr:cNvGrpSpPr/>
            </xdr:nvGrpSpPr>
            <xdr:grpSpPr>
              <a:xfrm>
                <a:off x="740569" y="4029075"/>
                <a:ext cx="447675" cy="218066"/>
                <a:chOff x="740569" y="4029075"/>
                <a:chExt cx="447675" cy="218066"/>
              </a:xfrm>
            </xdr:grpSpPr>
            <xdr:cxnSp macro="">
              <xdr:nvCxnSpPr>
                <xdr:cNvPr id="936" name="Straight Connector 935">
                  <a:extLst>
                    <a:ext uri="{FF2B5EF4-FFF2-40B4-BE49-F238E27FC236}">
                      <a16:creationId xmlns:a16="http://schemas.microsoft.com/office/drawing/2014/main" id="{2B6C7C9D-7305-45E5-AF10-31D39DA38D6B}"/>
                    </a:ext>
                  </a:extLst>
                </xdr:cNvPr>
                <xdr:cNvCxnSpPr/>
              </xdr:nvCxnSpPr>
              <xdr:spPr>
                <a:xfrm flipH="1">
                  <a:off x="959644" y="4088606"/>
                  <a:ext cx="228600" cy="0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54" name="Straight Connector 553">
                  <a:extLst>
                    <a:ext uri="{FF2B5EF4-FFF2-40B4-BE49-F238E27FC236}">
                      <a16:creationId xmlns:a16="http://schemas.microsoft.com/office/drawing/2014/main" id="{614206DF-3A74-4A78-AE07-23C24636D8A0}"/>
                    </a:ext>
                  </a:extLst>
                </xdr:cNvPr>
                <xdr:cNvCxnSpPr/>
              </xdr:nvCxnSpPr>
              <xdr:spPr>
                <a:xfrm flipH="1">
                  <a:off x="959644" y="4200525"/>
                  <a:ext cx="228600" cy="0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38" name="Straight Connector 937">
                  <a:extLst>
                    <a:ext uri="{FF2B5EF4-FFF2-40B4-BE49-F238E27FC236}">
                      <a16:creationId xmlns:a16="http://schemas.microsoft.com/office/drawing/2014/main" id="{2B0527EA-D124-4BA7-8BC0-30B69F216CFC}"/>
                    </a:ext>
                  </a:extLst>
                </xdr:cNvPr>
                <xdr:cNvCxnSpPr/>
              </xdr:nvCxnSpPr>
              <xdr:spPr>
                <a:xfrm>
                  <a:off x="959644" y="4095750"/>
                  <a:ext cx="0" cy="11430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55" name="TextBox 554">
                  <a:extLst>
                    <a:ext uri="{FF2B5EF4-FFF2-40B4-BE49-F238E27FC236}">
                      <a16:creationId xmlns:a16="http://schemas.microsoft.com/office/drawing/2014/main" id="{51A01B36-A714-4F51-8659-C38D948ABEE6}"/>
                    </a:ext>
                  </a:extLst>
                </xdr:cNvPr>
                <xdr:cNvSpPr txBox="1"/>
              </xdr:nvSpPr>
              <xdr:spPr>
                <a:xfrm>
                  <a:off x="740569" y="4029075"/>
                  <a:ext cx="292893" cy="21806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ts</a:t>
                  </a:r>
                </a:p>
              </xdr:txBody>
            </xdr:sp>
          </xdr:grpSp>
        </xdr:grpSp>
        <xdr:grpSp>
          <xdr:nvGrpSpPr>
            <xdr:cNvPr id="956" name="Group 955">
              <a:extLst>
                <a:ext uri="{FF2B5EF4-FFF2-40B4-BE49-F238E27FC236}">
                  <a16:creationId xmlns:a16="http://schemas.microsoft.com/office/drawing/2014/main" id="{B81FA838-BA15-4791-9E7D-5376B56157C7}"/>
                </a:ext>
              </a:extLst>
            </xdr:cNvPr>
            <xdr:cNvGrpSpPr/>
          </xdr:nvGrpSpPr>
          <xdr:grpSpPr>
            <a:xfrm>
              <a:off x="1299428" y="3829461"/>
              <a:ext cx="850145" cy="542817"/>
              <a:chOff x="1295400" y="3648161"/>
              <a:chExt cx="851178" cy="551723"/>
            </a:xfrm>
          </xdr:grpSpPr>
          <xdr:cxnSp macro="">
            <xdr:nvCxnSpPr>
              <xdr:cNvPr id="556" name="Straight Connector 555">
                <a:extLst>
                  <a:ext uri="{FF2B5EF4-FFF2-40B4-BE49-F238E27FC236}">
                    <a16:creationId xmlns:a16="http://schemas.microsoft.com/office/drawing/2014/main" id="{880AE55B-23D9-4F13-8958-CE1E7899796A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8" name="Straight Connector 557">
                <a:extLst>
                  <a:ext uri="{FF2B5EF4-FFF2-40B4-BE49-F238E27FC236}">
                    <a16:creationId xmlns:a16="http://schemas.microsoft.com/office/drawing/2014/main" id="{31502A5D-8EE7-44FD-9CED-9785B41C1404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9" name="Straight Connector 558">
                <a:extLst>
                  <a:ext uri="{FF2B5EF4-FFF2-40B4-BE49-F238E27FC236}">
                    <a16:creationId xmlns:a16="http://schemas.microsoft.com/office/drawing/2014/main" id="{B412C712-F9E7-4C86-BA95-D94171DCCC88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0" name="TextBox 559">
                <a:extLst>
                  <a:ext uri="{FF2B5EF4-FFF2-40B4-BE49-F238E27FC236}">
                    <a16:creationId xmlns:a16="http://schemas.microsoft.com/office/drawing/2014/main" id="{4F4410F1-C861-40CB-B037-37EB6FDFA0BA}"/>
                  </a:ext>
                </a:extLst>
              </xdr:cNvPr>
              <xdr:cNvSpPr txBox="1"/>
            </xdr:nvSpPr>
            <xdr:spPr>
              <a:xfrm>
                <a:off x="1305997" y="3648161"/>
                <a:ext cx="840581" cy="21806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외측</a:t>
                </a:r>
                <a:r>
                  <a:rPr lang="en-US" sz="900"/>
                  <a:t>)</a:t>
                </a:r>
              </a:p>
            </xdr:txBody>
          </xdr:sp>
        </xdr:grpSp>
        <xdr:grpSp>
          <xdr:nvGrpSpPr>
            <xdr:cNvPr id="561" name="Group 560">
              <a:extLst>
                <a:ext uri="{FF2B5EF4-FFF2-40B4-BE49-F238E27FC236}">
                  <a16:creationId xmlns:a16="http://schemas.microsoft.com/office/drawing/2014/main" id="{24BA4220-A148-48F5-AE63-EFB9E154A8EF}"/>
                </a:ext>
              </a:extLst>
            </xdr:cNvPr>
            <xdr:cNvGrpSpPr/>
          </xdr:nvGrpSpPr>
          <xdr:grpSpPr>
            <a:xfrm>
              <a:off x="2142095" y="3862213"/>
              <a:ext cx="839560" cy="512445"/>
              <a:chOff x="1284204" y="3679031"/>
              <a:chExt cx="840581" cy="520853"/>
            </a:xfrm>
          </xdr:grpSpPr>
          <xdr:cxnSp macro="">
            <xdr:nvCxnSpPr>
              <xdr:cNvPr id="562" name="Straight Connector 561">
                <a:extLst>
                  <a:ext uri="{FF2B5EF4-FFF2-40B4-BE49-F238E27FC236}">
                    <a16:creationId xmlns:a16="http://schemas.microsoft.com/office/drawing/2014/main" id="{EA38FD3B-20C6-44E8-8BB5-7AC2216FE5BE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63" name="Straight Connector 562">
                <a:extLst>
                  <a:ext uri="{FF2B5EF4-FFF2-40B4-BE49-F238E27FC236}">
                    <a16:creationId xmlns:a16="http://schemas.microsoft.com/office/drawing/2014/main" id="{6C99D442-C267-4206-ABCB-CD40E132D297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64" name="Straight Connector 563">
                <a:extLst>
                  <a:ext uri="{FF2B5EF4-FFF2-40B4-BE49-F238E27FC236}">
                    <a16:creationId xmlns:a16="http://schemas.microsoft.com/office/drawing/2014/main" id="{C7E84054-E6F8-46C8-9F05-FA428950F685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5" name="TextBox 564">
                <a:extLst>
                  <a:ext uri="{FF2B5EF4-FFF2-40B4-BE49-F238E27FC236}">
                    <a16:creationId xmlns:a16="http://schemas.microsoft.com/office/drawing/2014/main" id="{E5A80179-EA17-44BC-8C21-E3CDE085FB8D}"/>
                  </a:ext>
                </a:extLst>
              </xdr:cNvPr>
              <xdr:cNvSpPr txBox="1"/>
            </xdr:nvSpPr>
            <xdr:spPr>
              <a:xfrm>
                <a:off x="1284204" y="3679031"/>
                <a:ext cx="840581" cy="21806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내측</a:t>
                </a:r>
                <a:r>
                  <a:rPr lang="en-US" sz="900"/>
                  <a:t>)</a:t>
                </a:r>
              </a:p>
            </xdr:txBody>
          </xdr:sp>
        </xdr:grpSp>
        <xdr:grpSp>
          <xdr:nvGrpSpPr>
            <xdr:cNvPr id="570" name="Group 569">
              <a:extLst>
                <a:ext uri="{FF2B5EF4-FFF2-40B4-BE49-F238E27FC236}">
                  <a16:creationId xmlns:a16="http://schemas.microsoft.com/office/drawing/2014/main" id="{6F3C31B0-876A-4045-9B19-9092AA82CABB}"/>
                </a:ext>
              </a:extLst>
            </xdr:cNvPr>
            <xdr:cNvGrpSpPr/>
          </xdr:nvGrpSpPr>
          <xdr:grpSpPr>
            <a:xfrm>
              <a:off x="2934030" y="3860687"/>
              <a:ext cx="842622" cy="512445"/>
              <a:chOff x="1284080" y="3679031"/>
              <a:chExt cx="840581" cy="520853"/>
            </a:xfrm>
          </xdr:grpSpPr>
          <xdr:cxnSp macro="">
            <xdr:nvCxnSpPr>
              <xdr:cNvPr id="571" name="Straight Connector 570">
                <a:extLst>
                  <a:ext uri="{FF2B5EF4-FFF2-40B4-BE49-F238E27FC236}">
                    <a16:creationId xmlns:a16="http://schemas.microsoft.com/office/drawing/2014/main" id="{8174FD2F-3710-436D-8522-8C35E398F67F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2" name="Straight Connector 571">
                <a:extLst>
                  <a:ext uri="{FF2B5EF4-FFF2-40B4-BE49-F238E27FC236}">
                    <a16:creationId xmlns:a16="http://schemas.microsoft.com/office/drawing/2014/main" id="{51B8F208-F48A-4D25-A183-4E7D8F1B26A8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3" name="Straight Connector 572">
                <a:extLst>
                  <a:ext uri="{FF2B5EF4-FFF2-40B4-BE49-F238E27FC236}">
                    <a16:creationId xmlns:a16="http://schemas.microsoft.com/office/drawing/2014/main" id="{1FE966D2-727A-45ED-B716-3EC58E122B63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4" name="TextBox 573">
                <a:extLst>
                  <a:ext uri="{FF2B5EF4-FFF2-40B4-BE49-F238E27FC236}">
                    <a16:creationId xmlns:a16="http://schemas.microsoft.com/office/drawing/2014/main" id="{853FCB72-3562-40B5-9ECD-989AC71AAF11}"/>
                  </a:ext>
                </a:extLst>
              </xdr:cNvPr>
              <xdr:cNvSpPr txBox="1"/>
            </xdr:nvSpPr>
            <xdr:spPr>
              <a:xfrm>
                <a:off x="1284080" y="3679031"/>
                <a:ext cx="840581" cy="21806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내측</a:t>
                </a:r>
                <a:r>
                  <a:rPr lang="en-US" sz="900"/>
                  <a:t>)</a:t>
                </a:r>
              </a:p>
            </xdr:txBody>
          </xdr:sp>
        </xdr:grpSp>
        <xdr:grpSp>
          <xdr:nvGrpSpPr>
            <xdr:cNvPr id="575" name="Group 574">
              <a:extLst>
                <a:ext uri="{FF2B5EF4-FFF2-40B4-BE49-F238E27FC236}">
                  <a16:creationId xmlns:a16="http://schemas.microsoft.com/office/drawing/2014/main" id="{5CEA3C1F-AD8A-4A28-B9CD-64E29B615FFD}"/>
                </a:ext>
              </a:extLst>
            </xdr:cNvPr>
            <xdr:cNvGrpSpPr/>
          </xdr:nvGrpSpPr>
          <xdr:grpSpPr>
            <a:xfrm>
              <a:off x="3785291" y="3858305"/>
              <a:ext cx="842490" cy="512445"/>
              <a:chOff x="1295400" y="3679031"/>
              <a:chExt cx="846601" cy="520853"/>
            </a:xfrm>
          </xdr:grpSpPr>
          <xdr:cxnSp macro="">
            <xdr:nvCxnSpPr>
              <xdr:cNvPr id="576" name="Straight Connector 575">
                <a:extLst>
                  <a:ext uri="{FF2B5EF4-FFF2-40B4-BE49-F238E27FC236}">
                    <a16:creationId xmlns:a16="http://schemas.microsoft.com/office/drawing/2014/main" id="{C483868B-3224-44F3-8182-DE1E3101D610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7" name="Straight Connector 576">
                <a:extLst>
                  <a:ext uri="{FF2B5EF4-FFF2-40B4-BE49-F238E27FC236}">
                    <a16:creationId xmlns:a16="http://schemas.microsoft.com/office/drawing/2014/main" id="{3CE74297-B53D-4900-8CF8-04EF90314384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8" name="Straight Connector 577">
                <a:extLst>
                  <a:ext uri="{FF2B5EF4-FFF2-40B4-BE49-F238E27FC236}">
                    <a16:creationId xmlns:a16="http://schemas.microsoft.com/office/drawing/2014/main" id="{987D29CE-3962-4392-B7A9-6DF98B170B94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9" name="TextBox 578">
                <a:extLst>
                  <a:ext uri="{FF2B5EF4-FFF2-40B4-BE49-F238E27FC236}">
                    <a16:creationId xmlns:a16="http://schemas.microsoft.com/office/drawing/2014/main" id="{0C5BEB01-3628-4846-8BFC-D3CCA5D7C262}"/>
                  </a:ext>
                </a:extLst>
              </xdr:cNvPr>
              <xdr:cNvSpPr txBox="1"/>
            </xdr:nvSpPr>
            <xdr:spPr>
              <a:xfrm>
                <a:off x="1301420" y="3679031"/>
                <a:ext cx="840581" cy="21806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외측</a:t>
                </a:r>
                <a:r>
                  <a:rPr lang="en-US" sz="900"/>
                  <a:t>)</a:t>
                </a:r>
              </a:p>
            </xdr:txBody>
          </xdr:sp>
        </xdr:grpSp>
      </xdr:grp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1EDBDBB2-86E9-47D5-8AE2-434CF958BEC3}"/>
              </a:ext>
            </a:extLst>
          </xdr:cNvPr>
          <xdr:cNvGrpSpPr/>
        </xdr:nvGrpSpPr>
        <xdr:grpSpPr>
          <a:xfrm>
            <a:off x="1697829" y="5051740"/>
            <a:ext cx="621876" cy="224359"/>
            <a:chOff x="1688304" y="5162165"/>
            <a:chExt cx="618970" cy="221131"/>
          </a:xfrm>
        </xdr:grpSpPr>
        <xdr:cxnSp macro="">
          <xdr:nvCxnSpPr>
            <xdr:cNvPr id="662" name="Straight Connector 661">
              <a:extLst>
                <a:ext uri="{FF2B5EF4-FFF2-40B4-BE49-F238E27FC236}">
                  <a16:creationId xmlns:a16="http://schemas.microsoft.com/office/drawing/2014/main" id="{DEBD93C0-DEAE-42E7-AEA0-BF8A199DB89F}"/>
                </a:ext>
              </a:extLst>
            </xdr:cNvPr>
            <xdr:cNvCxnSpPr/>
          </xdr:nvCxnSpPr>
          <xdr:spPr>
            <a:xfrm>
              <a:off x="1690687" y="5162165"/>
              <a:ext cx="0" cy="174216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3" name="Straight Connector 662">
              <a:extLst>
                <a:ext uri="{FF2B5EF4-FFF2-40B4-BE49-F238E27FC236}">
                  <a16:creationId xmlns:a16="http://schemas.microsoft.com/office/drawing/2014/main" id="{3B55326F-C7C5-402A-8CFC-5AFAF148E7F1}"/>
                </a:ext>
              </a:extLst>
            </xdr:cNvPr>
            <xdr:cNvCxnSpPr/>
          </xdr:nvCxnSpPr>
          <xdr:spPr>
            <a:xfrm>
              <a:off x="1938337" y="5162550"/>
              <a:ext cx="0" cy="174216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5" name="Straight Connector 664">
              <a:extLst>
                <a:ext uri="{FF2B5EF4-FFF2-40B4-BE49-F238E27FC236}">
                  <a16:creationId xmlns:a16="http://schemas.microsoft.com/office/drawing/2014/main" id="{F1408269-DAFB-4966-BA4D-5F7B9DEF0F19}"/>
                </a:ext>
              </a:extLst>
            </xdr:cNvPr>
            <xdr:cNvCxnSpPr/>
          </xdr:nvCxnSpPr>
          <xdr:spPr>
            <a:xfrm>
              <a:off x="1688304" y="5336381"/>
              <a:ext cx="57150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66" name="TextBox 665">
              <a:extLst>
                <a:ext uri="{FF2B5EF4-FFF2-40B4-BE49-F238E27FC236}">
                  <a16:creationId xmlns:a16="http://schemas.microsoft.com/office/drawing/2014/main" id="{10576542-A911-4BD0-A280-E67BB00078A7}"/>
                </a:ext>
              </a:extLst>
            </xdr:cNvPr>
            <xdr:cNvSpPr txBox="1"/>
          </xdr:nvSpPr>
          <xdr:spPr>
            <a:xfrm>
              <a:off x="2014538" y="5164931"/>
              <a:ext cx="292736" cy="2183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bf</a:t>
              </a:r>
            </a:p>
          </xdr:txBody>
        </xdr:sp>
      </xdr:grpSp>
    </xdr:grpSp>
    <xdr:clientData/>
  </xdr:twoCellAnchor>
  <xdr:twoCellAnchor>
    <xdr:from>
      <xdr:col>2</xdr:col>
      <xdr:colOff>68612</xdr:colOff>
      <xdr:row>31</xdr:row>
      <xdr:rowOff>177282</xdr:rowOff>
    </xdr:from>
    <xdr:to>
      <xdr:col>13</xdr:col>
      <xdr:colOff>324688</xdr:colOff>
      <xdr:row>40</xdr:row>
      <xdr:rowOff>7606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4B3D1AC7-55E6-40B8-9113-F96FCFDCF9D3}"/>
            </a:ext>
          </a:extLst>
        </xdr:cNvPr>
        <xdr:cNvGrpSpPr/>
      </xdr:nvGrpSpPr>
      <xdr:grpSpPr>
        <a:xfrm>
          <a:off x="987094" y="6036858"/>
          <a:ext cx="5477817" cy="1514208"/>
          <a:chOff x="985615" y="6105263"/>
          <a:chExt cx="5482994" cy="1534175"/>
        </a:xfrm>
      </xdr:grpSpPr>
      <xdr:grpSp>
        <xdr:nvGrpSpPr>
          <xdr:cNvPr id="91" name="Group 90">
            <a:extLst>
              <a:ext uri="{FF2B5EF4-FFF2-40B4-BE49-F238E27FC236}">
                <a16:creationId xmlns:a16="http://schemas.microsoft.com/office/drawing/2014/main" id="{4AC6E62F-9C2C-4F91-B757-B683CB07EC3D}"/>
              </a:ext>
            </a:extLst>
          </xdr:cNvPr>
          <xdr:cNvGrpSpPr/>
        </xdr:nvGrpSpPr>
        <xdr:grpSpPr>
          <a:xfrm>
            <a:off x="985615" y="6105263"/>
            <a:ext cx="5482994" cy="1534175"/>
            <a:chOff x="696516" y="6670477"/>
            <a:chExt cx="5481204" cy="1548001"/>
          </a:xfrm>
        </xdr:grpSpPr>
        <xdr:sp macro="" textlink="">
          <xdr:nvSpPr>
            <xdr:cNvPr id="880" name="Freeform: Shape 879">
              <a:extLst>
                <a:ext uri="{FF2B5EF4-FFF2-40B4-BE49-F238E27FC236}">
                  <a16:creationId xmlns:a16="http://schemas.microsoft.com/office/drawing/2014/main" id="{FCEE7567-8FA9-4F98-917C-36D614094CEE}"/>
                </a:ext>
              </a:extLst>
            </xdr:cNvPr>
            <xdr:cNvSpPr/>
          </xdr:nvSpPr>
          <xdr:spPr>
            <a:xfrm>
              <a:off x="1178538" y="7018553"/>
              <a:ext cx="4999182" cy="164522"/>
            </a:xfrm>
            <a:custGeom>
              <a:avLst/>
              <a:gdLst>
                <a:gd name="connsiteX0" fmla="*/ 5773 w 4999182"/>
                <a:gd name="connsiteY0" fmla="*/ 103909 h 164522"/>
                <a:gd name="connsiteX1" fmla="*/ 239568 w 4999182"/>
                <a:gd name="connsiteY1" fmla="*/ 103909 h 164522"/>
                <a:gd name="connsiteX2" fmla="*/ 300181 w 4999182"/>
                <a:gd name="connsiteY2" fmla="*/ 164522 h 164522"/>
                <a:gd name="connsiteX3" fmla="*/ 1376796 w 4999182"/>
                <a:gd name="connsiteY3" fmla="*/ 164522 h 164522"/>
                <a:gd name="connsiteX4" fmla="*/ 1440296 w 4999182"/>
                <a:gd name="connsiteY4" fmla="*/ 101022 h 164522"/>
                <a:gd name="connsiteX5" fmla="*/ 1858818 w 4999182"/>
                <a:gd name="connsiteY5" fmla="*/ 101022 h 164522"/>
                <a:gd name="connsiteX6" fmla="*/ 1919432 w 4999182"/>
                <a:gd name="connsiteY6" fmla="*/ 161636 h 164522"/>
                <a:gd name="connsiteX7" fmla="*/ 3033568 w 4999182"/>
                <a:gd name="connsiteY7" fmla="*/ 161636 h 164522"/>
                <a:gd name="connsiteX8" fmla="*/ 3088409 w 4999182"/>
                <a:gd name="connsiteY8" fmla="*/ 106795 h 164522"/>
                <a:gd name="connsiteX9" fmla="*/ 3518478 w 4999182"/>
                <a:gd name="connsiteY9" fmla="*/ 106795 h 164522"/>
                <a:gd name="connsiteX10" fmla="*/ 3576205 w 4999182"/>
                <a:gd name="connsiteY10" fmla="*/ 164522 h 164522"/>
                <a:gd name="connsiteX11" fmla="*/ 4693228 w 4999182"/>
                <a:gd name="connsiteY11" fmla="*/ 164522 h 164522"/>
                <a:gd name="connsiteX12" fmla="*/ 4753841 w 4999182"/>
                <a:gd name="connsiteY12" fmla="*/ 103909 h 164522"/>
                <a:gd name="connsiteX13" fmla="*/ 4999182 w 4999182"/>
                <a:gd name="connsiteY13" fmla="*/ 103909 h 164522"/>
                <a:gd name="connsiteX14" fmla="*/ 4999182 w 4999182"/>
                <a:gd name="connsiteY14" fmla="*/ 0 h 164522"/>
                <a:gd name="connsiteX15" fmla="*/ 0 w 4999182"/>
                <a:gd name="connsiteY15" fmla="*/ 0 h 164522"/>
                <a:gd name="connsiteX16" fmla="*/ 5773 w 4999182"/>
                <a:gd name="connsiteY16" fmla="*/ 103909 h 1645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</a:cxnLst>
              <a:rect l="l" t="t" r="r" b="b"/>
              <a:pathLst>
                <a:path w="4999182" h="164522">
                  <a:moveTo>
                    <a:pt x="5773" y="103909"/>
                  </a:moveTo>
                  <a:lnTo>
                    <a:pt x="239568" y="103909"/>
                  </a:lnTo>
                  <a:lnTo>
                    <a:pt x="300181" y="164522"/>
                  </a:lnTo>
                  <a:lnTo>
                    <a:pt x="1376796" y="164522"/>
                  </a:lnTo>
                  <a:lnTo>
                    <a:pt x="1440296" y="101022"/>
                  </a:lnTo>
                  <a:lnTo>
                    <a:pt x="1858818" y="101022"/>
                  </a:lnTo>
                  <a:lnTo>
                    <a:pt x="1919432" y="161636"/>
                  </a:lnTo>
                  <a:lnTo>
                    <a:pt x="3033568" y="161636"/>
                  </a:lnTo>
                  <a:lnTo>
                    <a:pt x="3088409" y="106795"/>
                  </a:lnTo>
                  <a:lnTo>
                    <a:pt x="3518478" y="106795"/>
                  </a:lnTo>
                  <a:lnTo>
                    <a:pt x="3576205" y="164522"/>
                  </a:lnTo>
                  <a:lnTo>
                    <a:pt x="4693228" y="164522"/>
                  </a:lnTo>
                  <a:lnTo>
                    <a:pt x="4753841" y="103909"/>
                  </a:lnTo>
                  <a:lnTo>
                    <a:pt x="4999182" y="103909"/>
                  </a:lnTo>
                  <a:lnTo>
                    <a:pt x="4999182" y="0"/>
                  </a:lnTo>
                  <a:lnTo>
                    <a:pt x="0" y="0"/>
                  </a:lnTo>
                  <a:lnTo>
                    <a:pt x="5773" y="103909"/>
                  </a:lnTo>
                  <a:close/>
                </a:path>
              </a:pathLst>
            </a:custGeom>
            <a:pattFill prst="pct20">
              <a:fgClr>
                <a:schemeClr val="accent1"/>
              </a:fgClr>
              <a:bgClr>
                <a:schemeClr val="bg1"/>
              </a:bgClr>
            </a:pattFill>
            <a:ln w="222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824" name="Group 823">
              <a:extLst>
                <a:ext uri="{FF2B5EF4-FFF2-40B4-BE49-F238E27FC236}">
                  <a16:creationId xmlns:a16="http://schemas.microsoft.com/office/drawing/2014/main" id="{4D84475D-30CE-4325-B04F-BC8303C2F692}"/>
                </a:ext>
              </a:extLst>
            </xdr:cNvPr>
            <xdr:cNvGrpSpPr/>
          </xdr:nvGrpSpPr>
          <xdr:grpSpPr>
            <a:xfrm>
              <a:off x="696516" y="6670477"/>
              <a:ext cx="4231046" cy="1548001"/>
              <a:chOff x="742610" y="3932256"/>
              <a:chExt cx="4241811" cy="1510869"/>
            </a:xfrm>
          </xdr:grpSpPr>
          <xdr:grpSp>
            <xdr:nvGrpSpPr>
              <xdr:cNvPr id="825" name="Group 824">
                <a:extLst>
                  <a:ext uri="{FF2B5EF4-FFF2-40B4-BE49-F238E27FC236}">
                    <a16:creationId xmlns:a16="http://schemas.microsoft.com/office/drawing/2014/main" id="{E0E83F02-9E28-4920-842C-D47A31139F57}"/>
                  </a:ext>
                </a:extLst>
              </xdr:cNvPr>
              <xdr:cNvGrpSpPr/>
            </xdr:nvGrpSpPr>
            <xdr:grpSpPr>
              <a:xfrm>
                <a:off x="742610" y="4204872"/>
                <a:ext cx="4241811" cy="1238253"/>
                <a:chOff x="740569" y="4029075"/>
                <a:chExt cx="4244085" cy="1260355"/>
              </a:xfrm>
            </xdr:grpSpPr>
            <xdr:grpSp>
              <xdr:nvGrpSpPr>
                <xdr:cNvPr id="831" name="Group 830">
                  <a:extLst>
                    <a:ext uri="{FF2B5EF4-FFF2-40B4-BE49-F238E27FC236}">
                      <a16:creationId xmlns:a16="http://schemas.microsoft.com/office/drawing/2014/main" id="{435EB877-CD2C-4DB3-BD37-881951885275}"/>
                    </a:ext>
                  </a:extLst>
                </xdr:cNvPr>
                <xdr:cNvGrpSpPr/>
              </xdr:nvGrpSpPr>
              <xdr:grpSpPr>
                <a:xfrm>
                  <a:off x="1200035" y="4239838"/>
                  <a:ext cx="3784619" cy="1049592"/>
                  <a:chOff x="1197480" y="4264740"/>
                  <a:chExt cx="3784223" cy="1055680"/>
                </a:xfrm>
              </xdr:grpSpPr>
              <xdr:grpSp>
                <xdr:nvGrpSpPr>
                  <xdr:cNvPr id="838" name="Group 837">
                    <a:extLst>
                      <a:ext uri="{FF2B5EF4-FFF2-40B4-BE49-F238E27FC236}">
                        <a16:creationId xmlns:a16="http://schemas.microsoft.com/office/drawing/2014/main" id="{14A1CE73-7DE4-4535-A4C2-B1572D4D80FE}"/>
                      </a:ext>
                    </a:extLst>
                  </xdr:cNvPr>
                  <xdr:cNvGrpSpPr/>
                </xdr:nvGrpSpPr>
                <xdr:grpSpPr>
                  <a:xfrm>
                    <a:off x="1520413" y="4264740"/>
                    <a:ext cx="2754408" cy="773055"/>
                    <a:chOff x="1524816" y="4286371"/>
                    <a:chExt cx="2755342" cy="768201"/>
                  </a:xfrm>
                </xdr:grpSpPr>
                <xdr:grpSp>
                  <xdr:nvGrpSpPr>
                    <xdr:cNvPr id="850" name="Group 849">
                      <a:extLst>
                        <a:ext uri="{FF2B5EF4-FFF2-40B4-BE49-F238E27FC236}">
                          <a16:creationId xmlns:a16="http://schemas.microsoft.com/office/drawing/2014/main" id="{CA41B8F5-3399-4AF1-96FA-D405EC3FC677}"/>
                        </a:ext>
                      </a:extLst>
                    </xdr:cNvPr>
                    <xdr:cNvGrpSpPr/>
                  </xdr:nvGrpSpPr>
                  <xdr:grpSpPr>
                    <a:xfrm>
                      <a:off x="1524816" y="4289894"/>
                      <a:ext cx="1089229" cy="764678"/>
                      <a:chOff x="4113048" y="34370537"/>
                      <a:chExt cx="1466454" cy="1030285"/>
                    </a:xfrm>
                  </xdr:grpSpPr>
                  <xdr:grpSp>
                    <xdr:nvGrpSpPr>
                      <xdr:cNvPr id="862" name="그룹 7">
                        <a:extLst>
                          <a:ext uri="{FF2B5EF4-FFF2-40B4-BE49-F238E27FC236}">
                            <a16:creationId xmlns:a16="http://schemas.microsoft.com/office/drawing/2014/main" id="{17CF1AF0-A279-4BDE-A22D-457F7D8D6AD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113048" y="34370537"/>
                        <a:ext cx="1466454" cy="1030285"/>
                        <a:chOff x="2975324" y="384372"/>
                        <a:chExt cx="1563352" cy="1057915"/>
                      </a:xfrm>
                    </xdr:grpSpPr>
                    <xdr:cxnSp macro="">
                      <xdr:nvCxnSpPr>
                        <xdr:cNvPr id="867" name="직선 연결선 3">
                          <a:extLst>
                            <a:ext uri="{FF2B5EF4-FFF2-40B4-BE49-F238E27FC236}">
                              <a16:creationId xmlns:a16="http://schemas.microsoft.com/office/drawing/2014/main" id="{13CC7E6A-CE44-408B-922D-98C6EB2F996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207515" y="1442287"/>
                          <a:ext cx="1111112" cy="0"/>
                        </a:xfrm>
                        <a:prstGeom prst="line">
                          <a:avLst/>
                        </a:prstGeom>
                        <a:ln w="762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68" name="직선 연결선 4">
                          <a:extLst>
                            <a:ext uri="{FF2B5EF4-FFF2-40B4-BE49-F238E27FC236}">
                              <a16:creationId xmlns:a16="http://schemas.microsoft.com/office/drawing/2014/main" id="{497F18DD-E7A6-4370-851D-4FBBF295925B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3121216" y="388272"/>
                          <a:ext cx="247294" cy="1050604"/>
                        </a:xfrm>
                        <a:prstGeom prst="line">
                          <a:avLst/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69" name="직선 연결선 5">
                          <a:extLst>
                            <a:ext uri="{FF2B5EF4-FFF2-40B4-BE49-F238E27FC236}">
                              <a16:creationId xmlns:a16="http://schemas.microsoft.com/office/drawing/2014/main" id="{62FE21A2-0690-45FF-A38B-7AC064A6C43F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166565" y="399805"/>
                          <a:ext cx="227574" cy="1036150"/>
                        </a:xfrm>
                        <a:prstGeom prst="line">
                          <a:avLst/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70" name="직선 연결선 6">
                          <a:extLst>
                            <a:ext uri="{FF2B5EF4-FFF2-40B4-BE49-F238E27FC236}">
                              <a16:creationId xmlns:a16="http://schemas.microsoft.com/office/drawing/2014/main" id="{A8B31E7A-0719-40CD-A140-9A9A2B1D802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975324" y="384372"/>
                          <a:ext cx="1563352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863" name="직선 연결선 32">
                        <a:extLst>
                          <a:ext uri="{FF2B5EF4-FFF2-40B4-BE49-F238E27FC236}">
                            <a16:creationId xmlns:a16="http://schemas.microsoft.com/office/drawing/2014/main" id="{4C112CD0-EF71-40D7-B6C0-E71D2CDD3DD3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64" name="직선 연결선 37">
                        <a:extLst>
                          <a:ext uri="{FF2B5EF4-FFF2-40B4-BE49-F238E27FC236}">
                            <a16:creationId xmlns:a16="http://schemas.microsoft.com/office/drawing/2014/main" id="{5D2D58DA-4B43-4DAF-BD37-81DDB8C3203B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65" name="직선 연결선 38">
                        <a:extLst>
                          <a:ext uri="{FF2B5EF4-FFF2-40B4-BE49-F238E27FC236}">
                            <a16:creationId xmlns:a16="http://schemas.microsoft.com/office/drawing/2014/main" id="{F8B8C19E-39FD-4ED9-9011-C6CD6AEE5E7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66" name="직선 연결선 39">
                        <a:extLst>
                          <a:ext uri="{FF2B5EF4-FFF2-40B4-BE49-F238E27FC236}">
                            <a16:creationId xmlns:a16="http://schemas.microsoft.com/office/drawing/2014/main" id="{BD4F1CAB-948B-46F2-B267-83E76A0BF6C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851" name="Group 850">
                      <a:extLst>
                        <a:ext uri="{FF2B5EF4-FFF2-40B4-BE49-F238E27FC236}">
                          <a16:creationId xmlns:a16="http://schemas.microsoft.com/office/drawing/2014/main" id="{794A8373-B8FF-483B-8F8B-27B5720FB718}"/>
                        </a:ext>
                      </a:extLst>
                    </xdr:cNvPr>
                    <xdr:cNvGrpSpPr/>
                  </xdr:nvGrpSpPr>
                  <xdr:grpSpPr>
                    <a:xfrm>
                      <a:off x="3149258" y="4286371"/>
                      <a:ext cx="1130900" cy="768189"/>
                      <a:chOff x="4075158" y="34365806"/>
                      <a:chExt cx="1522558" cy="1035016"/>
                    </a:xfrm>
                  </xdr:grpSpPr>
                  <xdr:grpSp>
                    <xdr:nvGrpSpPr>
                      <xdr:cNvPr id="852" name="그룹 30">
                        <a:extLst>
                          <a:ext uri="{FF2B5EF4-FFF2-40B4-BE49-F238E27FC236}">
                            <a16:creationId xmlns:a16="http://schemas.microsoft.com/office/drawing/2014/main" id="{1107AB9E-E8CF-48F5-BE1F-8EF840C2B1A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075158" y="34365806"/>
                        <a:ext cx="1522558" cy="1035016"/>
                        <a:chOff x="4407549" y="313952"/>
                        <a:chExt cx="1621813" cy="1069111"/>
                      </a:xfrm>
                    </xdr:grpSpPr>
                    <xdr:grpSp>
                      <xdr:nvGrpSpPr>
                        <xdr:cNvPr id="857" name="그룹 7">
                          <a:extLst>
                            <a:ext uri="{FF2B5EF4-FFF2-40B4-BE49-F238E27FC236}">
                              <a16:creationId xmlns:a16="http://schemas.microsoft.com/office/drawing/2014/main" id="{BFE24EB7-5245-4C87-A584-0C51349C153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593671" y="322762"/>
                          <a:ext cx="1271862" cy="1060301"/>
                          <a:chOff x="3121216" y="388272"/>
                          <a:chExt cx="1272923" cy="1054015"/>
                        </a:xfrm>
                      </xdr:grpSpPr>
                      <xdr:cxnSp macro="">
                        <xdr:nvCxnSpPr>
                          <xdr:cNvPr id="859" name="직선 연결선 3">
                            <a:extLst>
                              <a:ext uri="{FF2B5EF4-FFF2-40B4-BE49-F238E27FC236}">
                                <a16:creationId xmlns:a16="http://schemas.microsoft.com/office/drawing/2014/main" id="{503FF978-8865-44BB-B3EF-A3117351C5C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762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860" name="직선 연결선 4">
                            <a:extLst>
                              <a:ext uri="{FF2B5EF4-FFF2-40B4-BE49-F238E27FC236}">
                                <a16:creationId xmlns:a16="http://schemas.microsoft.com/office/drawing/2014/main" id="{256C4450-4E7B-45CF-A27C-4F8F1CD17EF6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861" name="직선 연결선 5">
                            <a:extLst>
                              <a:ext uri="{FF2B5EF4-FFF2-40B4-BE49-F238E27FC236}">
                                <a16:creationId xmlns:a16="http://schemas.microsoft.com/office/drawing/2014/main" id="{F4E2F9E2-1811-4A8B-AE2E-105149E8C0D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858" name="직선 연결선 29">
                          <a:extLst>
                            <a:ext uri="{FF2B5EF4-FFF2-40B4-BE49-F238E27FC236}">
                              <a16:creationId xmlns:a16="http://schemas.microsoft.com/office/drawing/2014/main" id="{5DC0C6C4-F5E5-4114-9CDB-F06E775AC141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407549" y="313952"/>
                          <a:ext cx="1621813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853" name="직선 연결선 32">
                        <a:extLst>
                          <a:ext uri="{FF2B5EF4-FFF2-40B4-BE49-F238E27FC236}">
                            <a16:creationId xmlns:a16="http://schemas.microsoft.com/office/drawing/2014/main" id="{341A32E2-D238-4F1B-99C0-ED46BEB52B6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54" name="직선 연결선 37">
                        <a:extLst>
                          <a:ext uri="{FF2B5EF4-FFF2-40B4-BE49-F238E27FC236}">
                            <a16:creationId xmlns:a16="http://schemas.microsoft.com/office/drawing/2014/main" id="{A5E7B190-8981-47CD-A84B-4199391C740F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55" name="직선 연결선 38">
                        <a:extLst>
                          <a:ext uri="{FF2B5EF4-FFF2-40B4-BE49-F238E27FC236}">
                            <a16:creationId xmlns:a16="http://schemas.microsoft.com/office/drawing/2014/main" id="{B7A60FAE-31E6-4D31-B3F2-C12287764015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56" name="직선 연결선 39">
                        <a:extLst>
                          <a:ext uri="{FF2B5EF4-FFF2-40B4-BE49-F238E27FC236}">
                            <a16:creationId xmlns:a16="http://schemas.microsoft.com/office/drawing/2014/main" id="{60A55B06-0D08-4288-BBC0-A91F58A6B0EB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grpSp>
                <xdr:nvGrpSpPr>
                  <xdr:cNvPr id="839" name="Group 838">
                    <a:extLst>
                      <a:ext uri="{FF2B5EF4-FFF2-40B4-BE49-F238E27FC236}">
                        <a16:creationId xmlns:a16="http://schemas.microsoft.com/office/drawing/2014/main" id="{ED34B275-5152-4B2D-9E59-2DFAB1F53BB6}"/>
                      </a:ext>
                    </a:extLst>
                  </xdr:cNvPr>
                  <xdr:cNvGrpSpPr/>
                </xdr:nvGrpSpPr>
                <xdr:grpSpPr>
                  <a:xfrm>
                    <a:off x="1197480" y="4393696"/>
                    <a:ext cx="3784223" cy="926724"/>
                    <a:chOff x="1197480" y="4393696"/>
                    <a:chExt cx="3784223" cy="926724"/>
                  </a:xfrm>
                </xdr:grpSpPr>
                <xdr:cxnSp macro="">
                  <xdr:nvCxnSpPr>
                    <xdr:cNvPr id="840" name="Straight Connector 839">
                      <a:extLst>
                        <a:ext uri="{FF2B5EF4-FFF2-40B4-BE49-F238E27FC236}">
                          <a16:creationId xmlns:a16="http://schemas.microsoft.com/office/drawing/2014/main" id="{50A1B2D9-CF18-413E-88EB-3274040B5165}"/>
                        </a:ext>
                      </a:extLst>
                    </xdr:cNvPr>
                    <xdr:cNvCxnSpPr/>
                  </xdr:nvCxnSpPr>
                  <xdr:spPr>
                    <a:xfrm>
                      <a:off x="1225473" y="4498240"/>
                      <a:ext cx="0" cy="778262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1" name="Straight Connector 840">
                      <a:extLst>
                        <a:ext uri="{FF2B5EF4-FFF2-40B4-BE49-F238E27FC236}">
                          <a16:creationId xmlns:a16="http://schemas.microsoft.com/office/drawing/2014/main" id="{C7D01E1F-AC5F-4C6D-9525-82ABE799A08F}"/>
                        </a:ext>
                      </a:extLst>
                    </xdr:cNvPr>
                    <xdr:cNvCxnSpPr/>
                  </xdr:nvCxnSpPr>
                  <xdr:spPr>
                    <a:xfrm>
                      <a:off x="1225473" y="5279406"/>
                      <a:ext cx="3699879" cy="0"/>
                    </a:xfrm>
                    <a:prstGeom prst="line">
                      <a:avLst/>
                    </a:prstGeom>
                    <a:ln w="31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2" name="Straight Connector 841">
                      <a:extLst>
                        <a:ext uri="{FF2B5EF4-FFF2-40B4-BE49-F238E27FC236}">
                          <a16:creationId xmlns:a16="http://schemas.microsoft.com/office/drawing/2014/main" id="{CA7D6865-55DD-40F8-B10F-178159E4270A}"/>
                        </a:ext>
                      </a:extLst>
                    </xdr:cNvPr>
                    <xdr:cNvCxnSpPr/>
                  </xdr:nvCxnSpPr>
                  <xdr:spPr>
                    <a:xfrm>
                      <a:off x="1600085" y="4504047"/>
                      <a:ext cx="0" cy="778262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3" name="Straight Connector 842">
                      <a:extLst>
                        <a:ext uri="{FF2B5EF4-FFF2-40B4-BE49-F238E27FC236}">
                          <a16:creationId xmlns:a16="http://schemas.microsoft.com/office/drawing/2014/main" id="{54B41F5C-DF20-49E7-9E0C-6AE39DA1532A}"/>
                        </a:ext>
                      </a:extLst>
                    </xdr:cNvPr>
                    <xdr:cNvCxnSpPr/>
                  </xdr:nvCxnSpPr>
                  <xdr:spPr>
                    <a:xfrm>
                      <a:off x="2532256" y="4393696"/>
                      <a:ext cx="0" cy="885709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8" name="Straight Connector 847">
                      <a:extLst>
                        <a:ext uri="{FF2B5EF4-FFF2-40B4-BE49-F238E27FC236}">
                          <a16:creationId xmlns:a16="http://schemas.microsoft.com/office/drawing/2014/main" id="{7B6CC311-E3D4-4F5D-82F9-D07534F6B5E6}"/>
                        </a:ext>
                      </a:extLst>
                    </xdr:cNvPr>
                    <xdr:cNvCxnSpPr/>
                  </xdr:nvCxnSpPr>
                  <xdr:spPr>
                    <a:xfrm>
                      <a:off x="3246631" y="4393697"/>
                      <a:ext cx="0" cy="885709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849" name="TextBox 848">
                      <a:extLst>
                        <a:ext uri="{FF2B5EF4-FFF2-40B4-BE49-F238E27FC236}">
                          <a16:creationId xmlns:a16="http://schemas.microsoft.com/office/drawing/2014/main" id="{B71A74A2-A0E8-40F4-8D20-A129012A8DF8}"/>
                        </a:ext>
                      </a:extLst>
                    </xdr:cNvPr>
                    <xdr:cNvSpPr txBox="1"/>
                  </xdr:nvSpPr>
                  <xdr:spPr>
                    <a:xfrm>
                      <a:off x="1197480" y="5101089"/>
                      <a:ext cx="3784223" cy="2193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    b                      w                             a1                           </a:t>
                      </a:r>
                      <a:r>
                        <a:rPr lang="en-US" altLang="ko-KR" sz="900"/>
                        <a:t>w                              a2</a:t>
                      </a:r>
                      <a:endParaRPr lang="en-US" sz="900"/>
                    </a:p>
                  </xdr:txBody>
                </xdr:sp>
              </xdr:grpSp>
            </xdr:grpSp>
            <xdr:grpSp>
              <xdr:nvGrpSpPr>
                <xdr:cNvPr id="832" name="Group 831">
                  <a:extLst>
                    <a:ext uri="{FF2B5EF4-FFF2-40B4-BE49-F238E27FC236}">
                      <a16:creationId xmlns:a16="http://schemas.microsoft.com/office/drawing/2014/main" id="{B06C4185-5394-49AE-B329-57056B464266}"/>
                    </a:ext>
                  </a:extLst>
                </xdr:cNvPr>
                <xdr:cNvGrpSpPr/>
              </xdr:nvGrpSpPr>
              <xdr:grpSpPr>
                <a:xfrm>
                  <a:off x="740569" y="4029075"/>
                  <a:ext cx="447675" cy="218066"/>
                  <a:chOff x="740569" y="4029075"/>
                  <a:chExt cx="447675" cy="218066"/>
                </a:xfrm>
              </xdr:grpSpPr>
              <xdr:cxnSp macro="">
                <xdr:nvCxnSpPr>
                  <xdr:cNvPr id="833" name="Straight Connector 832">
                    <a:extLst>
                      <a:ext uri="{FF2B5EF4-FFF2-40B4-BE49-F238E27FC236}">
                        <a16:creationId xmlns:a16="http://schemas.microsoft.com/office/drawing/2014/main" id="{34E83BD1-40E6-44F6-B955-26179B96C378}"/>
                      </a:ext>
                    </a:extLst>
                  </xdr:cNvPr>
                  <xdr:cNvCxnSpPr/>
                </xdr:nvCxnSpPr>
                <xdr:spPr>
                  <a:xfrm flipH="1">
                    <a:off x="959644" y="4088606"/>
                    <a:ext cx="228600" cy="0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834" name="Straight Connector 833">
                    <a:extLst>
                      <a:ext uri="{FF2B5EF4-FFF2-40B4-BE49-F238E27FC236}">
                        <a16:creationId xmlns:a16="http://schemas.microsoft.com/office/drawing/2014/main" id="{B532354A-A0AD-4323-B06B-F9EB6F2B5716}"/>
                      </a:ext>
                    </a:extLst>
                  </xdr:cNvPr>
                  <xdr:cNvCxnSpPr/>
                </xdr:nvCxnSpPr>
                <xdr:spPr>
                  <a:xfrm flipH="1">
                    <a:off x="959644" y="4200525"/>
                    <a:ext cx="228600" cy="0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836" name="Straight Connector 835">
                    <a:extLst>
                      <a:ext uri="{FF2B5EF4-FFF2-40B4-BE49-F238E27FC236}">
                        <a16:creationId xmlns:a16="http://schemas.microsoft.com/office/drawing/2014/main" id="{BE2A0225-412A-4B15-9B9D-B5FF135074BF}"/>
                      </a:ext>
                    </a:extLst>
                  </xdr:cNvPr>
                  <xdr:cNvCxnSpPr/>
                </xdr:nvCxnSpPr>
                <xdr:spPr>
                  <a:xfrm>
                    <a:off x="959644" y="4095750"/>
                    <a:ext cx="0" cy="114300"/>
                  </a:xfrm>
                  <a:prstGeom prst="line">
                    <a:avLst/>
                  </a:prstGeom>
                  <a:ln w="3175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37" name="TextBox 836">
                    <a:extLst>
                      <a:ext uri="{FF2B5EF4-FFF2-40B4-BE49-F238E27FC236}">
                        <a16:creationId xmlns:a16="http://schemas.microsoft.com/office/drawing/2014/main" id="{B05E0E2B-19E8-4593-A631-440AC6D56233}"/>
                      </a:ext>
                    </a:extLst>
                  </xdr:cNvPr>
                  <xdr:cNvSpPr txBox="1"/>
                </xdr:nvSpPr>
                <xdr:spPr>
                  <a:xfrm>
                    <a:off x="740569" y="4029075"/>
                    <a:ext cx="292893" cy="21806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ts</a:t>
                    </a:r>
                  </a:p>
                </xdr:txBody>
              </xdr:sp>
            </xdr:grpSp>
          </xdr:grpSp>
          <xdr:grpSp>
            <xdr:nvGrpSpPr>
              <xdr:cNvPr id="826" name="Group 825">
                <a:extLst>
                  <a:ext uri="{FF2B5EF4-FFF2-40B4-BE49-F238E27FC236}">
                    <a16:creationId xmlns:a16="http://schemas.microsoft.com/office/drawing/2014/main" id="{ABBC3A8F-5A8D-4E9C-AD62-2B2375BFB68C}"/>
                  </a:ext>
                </a:extLst>
              </xdr:cNvPr>
              <xdr:cNvGrpSpPr/>
            </xdr:nvGrpSpPr>
            <xdr:grpSpPr>
              <a:xfrm>
                <a:off x="1525529" y="3932256"/>
                <a:ext cx="1080947" cy="421332"/>
                <a:chOff x="1521774" y="3752644"/>
                <a:chExt cx="1082259" cy="428245"/>
              </a:xfrm>
            </xdr:grpSpPr>
            <xdr:cxnSp macro="">
              <xdr:nvCxnSpPr>
                <xdr:cNvPr id="827" name="Straight Connector 826">
                  <a:extLst>
                    <a:ext uri="{FF2B5EF4-FFF2-40B4-BE49-F238E27FC236}">
                      <a16:creationId xmlns:a16="http://schemas.microsoft.com/office/drawing/2014/main" id="{DB8DA1ED-6C7B-4B39-BAEB-44E0558181E5}"/>
                    </a:ext>
                  </a:extLst>
                </xdr:cNvPr>
                <xdr:cNvCxnSpPr/>
              </xdr:nvCxnSpPr>
              <xdr:spPr>
                <a:xfrm flipV="1">
                  <a:off x="1524154" y="3937405"/>
                  <a:ext cx="0" cy="243481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28" name="Straight Connector 827">
                  <a:extLst>
                    <a:ext uri="{FF2B5EF4-FFF2-40B4-BE49-F238E27FC236}">
                      <a16:creationId xmlns:a16="http://schemas.microsoft.com/office/drawing/2014/main" id="{7B7D877B-0184-4C07-BB51-015939494CAF}"/>
                    </a:ext>
                  </a:extLst>
                </xdr:cNvPr>
                <xdr:cNvCxnSpPr/>
              </xdr:nvCxnSpPr>
              <xdr:spPr>
                <a:xfrm>
                  <a:off x="1521774" y="3938429"/>
                  <a:ext cx="1082259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29" name="Straight Connector 828">
                  <a:extLst>
                    <a:ext uri="{FF2B5EF4-FFF2-40B4-BE49-F238E27FC236}">
                      <a16:creationId xmlns:a16="http://schemas.microsoft.com/office/drawing/2014/main" id="{3CF117A3-7762-44FA-98F5-D1C890AFF503}"/>
                    </a:ext>
                  </a:extLst>
                </xdr:cNvPr>
                <xdr:cNvCxnSpPr/>
              </xdr:nvCxnSpPr>
              <xdr:spPr>
                <a:xfrm flipV="1">
                  <a:off x="2603143" y="3935030"/>
                  <a:ext cx="0" cy="245859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30" name="TextBox 829">
                  <a:extLst>
                    <a:ext uri="{FF2B5EF4-FFF2-40B4-BE49-F238E27FC236}">
                      <a16:creationId xmlns:a16="http://schemas.microsoft.com/office/drawing/2014/main" id="{CC4B4D15-090C-4E81-ADBD-82E1777EBA95}"/>
                    </a:ext>
                  </a:extLst>
                </xdr:cNvPr>
                <xdr:cNvSpPr txBox="1"/>
              </xdr:nvSpPr>
              <xdr:spPr>
                <a:xfrm>
                  <a:off x="1907831" y="3752644"/>
                  <a:ext cx="322092" cy="21806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bf</a:t>
                  </a:r>
                </a:p>
              </xdr:txBody>
            </xdr:sp>
          </xdr:grpSp>
        </xdr:grpSp>
        <xdr:grpSp>
          <xdr:nvGrpSpPr>
            <xdr:cNvPr id="871" name="Group 870">
              <a:extLst>
                <a:ext uri="{FF2B5EF4-FFF2-40B4-BE49-F238E27FC236}">
                  <a16:creationId xmlns:a16="http://schemas.microsoft.com/office/drawing/2014/main" id="{979B1B48-01CC-4EE3-87C2-D1F5DC4316E9}"/>
                </a:ext>
              </a:extLst>
            </xdr:cNvPr>
            <xdr:cNvGrpSpPr/>
          </xdr:nvGrpSpPr>
          <xdr:grpSpPr>
            <a:xfrm>
              <a:off x="4757938" y="7161167"/>
              <a:ext cx="1127817" cy="774259"/>
              <a:chOff x="4743450" y="7486650"/>
              <a:chExt cx="1130631" cy="769642"/>
            </a:xfrm>
          </xdr:grpSpPr>
          <xdr:cxnSp macro="">
            <xdr:nvCxnSpPr>
              <xdr:cNvPr id="872" name="직선 연결선 3">
                <a:extLst>
                  <a:ext uri="{FF2B5EF4-FFF2-40B4-BE49-F238E27FC236}">
                    <a16:creationId xmlns:a16="http://schemas.microsoft.com/office/drawing/2014/main" id="{BD010686-8984-429E-BDBC-D653F4D66D2A}"/>
                  </a:ext>
                </a:extLst>
              </xdr:cNvPr>
              <xdr:cNvCxnSpPr/>
            </xdr:nvCxnSpPr>
            <xdr:spPr>
              <a:xfrm>
                <a:off x="4933315" y="8256292"/>
                <a:ext cx="773955" cy="0"/>
              </a:xfrm>
              <a:prstGeom prst="line">
                <a:avLst/>
              </a:prstGeom>
              <a:ln w="762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3" name="직선 연결선 4">
                <a:extLst>
                  <a:ext uri="{FF2B5EF4-FFF2-40B4-BE49-F238E27FC236}">
                    <a16:creationId xmlns:a16="http://schemas.microsoft.com/office/drawing/2014/main" id="{21AE6AE0-7D2C-44EA-97E1-A25AB1EF5378}"/>
                  </a:ext>
                </a:extLst>
              </xdr:cNvPr>
              <xdr:cNvCxnSpPr/>
            </xdr:nvCxnSpPr>
            <xdr:spPr>
              <a:xfrm flipH="1" flipV="1">
                <a:off x="4873203" y="7492992"/>
                <a:ext cx="172255" cy="760830"/>
              </a:xfrm>
              <a:prstGeom prst="line">
                <a:avLst/>
              </a:prstGeom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4" name="직선 연결선 5">
                <a:extLst>
                  <a:ext uri="{FF2B5EF4-FFF2-40B4-BE49-F238E27FC236}">
                    <a16:creationId xmlns:a16="http://schemas.microsoft.com/office/drawing/2014/main" id="{856E0557-B5DB-40C7-9A55-6987CF066739}"/>
                  </a:ext>
                </a:extLst>
              </xdr:cNvPr>
              <xdr:cNvCxnSpPr/>
            </xdr:nvCxnSpPr>
            <xdr:spPr>
              <a:xfrm flipV="1">
                <a:off x="5601350" y="7501344"/>
                <a:ext cx="158519" cy="750362"/>
              </a:xfrm>
              <a:prstGeom prst="line">
                <a:avLst/>
              </a:prstGeom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5" name="직선 연결선 29">
                <a:extLst>
                  <a:ext uri="{FF2B5EF4-FFF2-40B4-BE49-F238E27FC236}">
                    <a16:creationId xmlns:a16="http://schemas.microsoft.com/office/drawing/2014/main" id="{96DD7E15-D01B-4E87-8990-816B9F7888F4}"/>
                  </a:ext>
                </a:extLst>
              </xdr:cNvPr>
              <xdr:cNvCxnSpPr/>
            </xdr:nvCxnSpPr>
            <xdr:spPr>
              <a:xfrm>
                <a:off x="4743450" y="7486650"/>
                <a:ext cx="1130631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6" name="직선 연결선 32">
                <a:extLst>
                  <a:ext uri="{FF2B5EF4-FFF2-40B4-BE49-F238E27FC236}">
                    <a16:creationId xmlns:a16="http://schemas.microsoft.com/office/drawing/2014/main" id="{30141A4B-234D-44EB-9208-5779A2BF441F}"/>
                  </a:ext>
                </a:extLst>
              </xdr:cNvPr>
              <xdr:cNvCxnSpPr/>
            </xdr:nvCxnSpPr>
            <xdr:spPr>
              <a:xfrm flipV="1">
                <a:off x="5147762" y="817929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7" name="직선 연결선 37">
                <a:extLst>
                  <a:ext uri="{FF2B5EF4-FFF2-40B4-BE49-F238E27FC236}">
                    <a16:creationId xmlns:a16="http://schemas.microsoft.com/office/drawing/2014/main" id="{4669A265-5CFF-4B48-A541-11BB24E43A5B}"/>
                  </a:ext>
                </a:extLst>
              </xdr:cNvPr>
              <xdr:cNvCxnSpPr/>
            </xdr:nvCxnSpPr>
            <xdr:spPr>
              <a:xfrm flipV="1">
                <a:off x="5252091" y="818087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8" name="직선 연결선 38">
                <a:extLst>
                  <a:ext uri="{FF2B5EF4-FFF2-40B4-BE49-F238E27FC236}">
                    <a16:creationId xmlns:a16="http://schemas.microsoft.com/office/drawing/2014/main" id="{4B8AF04B-692C-4876-8549-3180A75B3E5B}"/>
                  </a:ext>
                </a:extLst>
              </xdr:cNvPr>
              <xdr:cNvCxnSpPr/>
            </xdr:nvCxnSpPr>
            <xdr:spPr>
              <a:xfrm flipV="1">
                <a:off x="5354708" y="818087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9" name="직선 연결선 39">
                <a:extLst>
                  <a:ext uri="{FF2B5EF4-FFF2-40B4-BE49-F238E27FC236}">
                    <a16:creationId xmlns:a16="http://schemas.microsoft.com/office/drawing/2014/main" id="{93FE273C-D842-43B1-A674-5F9139A4DCE2}"/>
                  </a:ext>
                </a:extLst>
              </xdr:cNvPr>
              <xdr:cNvCxnSpPr/>
            </xdr:nvCxnSpPr>
            <xdr:spPr>
              <a:xfrm flipV="1">
                <a:off x="5471007" y="817929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E941C4D6-6BBE-4AC9-ACB4-777E66906232}"/>
              </a:ext>
            </a:extLst>
          </xdr:cNvPr>
          <xdr:cNvCxnSpPr/>
        </xdr:nvCxnSpPr>
        <xdr:spPr>
          <a:xfrm>
            <a:off x="4434154" y="6717788"/>
            <a:ext cx="0" cy="878505"/>
          </a:xfrm>
          <a:prstGeom prst="line">
            <a:avLst/>
          </a:prstGeom>
          <a:ln w="3175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2" name="Straight Connector 881">
            <a:extLst>
              <a:ext uri="{FF2B5EF4-FFF2-40B4-BE49-F238E27FC236}">
                <a16:creationId xmlns:a16="http://schemas.microsoft.com/office/drawing/2014/main" id="{4C6994B0-EFF9-404B-A1B4-6A2BC1A779EB}"/>
              </a:ext>
            </a:extLst>
          </xdr:cNvPr>
          <xdr:cNvCxnSpPr/>
        </xdr:nvCxnSpPr>
        <xdr:spPr>
          <a:xfrm>
            <a:off x="5154504" y="6719325"/>
            <a:ext cx="0" cy="878505"/>
          </a:xfrm>
          <a:prstGeom prst="line">
            <a:avLst/>
          </a:prstGeom>
          <a:ln w="3175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476250</xdr:colOff>
      <xdr:row>53</xdr:row>
      <xdr:rowOff>128246</xdr:rowOff>
    </xdr:from>
    <xdr:to>
      <xdr:col>4</xdr:col>
      <xdr:colOff>94987</xdr:colOff>
      <xdr:row>55</xdr:row>
      <xdr:rowOff>25501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id="{95754868-11B9-47FA-ACC5-5C01D40F2AB7}"/>
            </a:ext>
          </a:extLst>
        </xdr:cNvPr>
        <xdr:cNvGrpSpPr/>
      </xdr:nvGrpSpPr>
      <xdr:grpSpPr>
        <a:xfrm>
          <a:off x="1394732" y="10103983"/>
          <a:ext cx="579742" cy="271451"/>
          <a:chOff x="1390650" y="10270466"/>
          <a:chExt cx="582667" cy="278255"/>
        </a:xfrm>
      </xdr:grpSpPr>
      <xdr:sp macro="" textlink="">
        <xdr:nvSpPr>
          <xdr:cNvPr id="1004" name="TextBox 1003">
            <a:extLst>
              <a:ext uri="{FF2B5EF4-FFF2-40B4-BE49-F238E27FC236}">
                <a16:creationId xmlns:a16="http://schemas.microsoft.com/office/drawing/2014/main" id="{0DF8C02E-86EF-4190-A75B-F3359A58CA5E}"/>
              </a:ext>
            </a:extLst>
          </xdr:cNvPr>
          <xdr:cNvSpPr txBox="1"/>
        </xdr:nvSpPr>
        <xdr:spPr>
          <a:xfrm>
            <a:off x="1390650" y="10270466"/>
            <a:ext cx="582667" cy="2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>
                <a:solidFill>
                  <a:srgbClr val="FF0000"/>
                </a:solidFill>
              </a:rPr>
              <a:t>Girder 1</a:t>
            </a:r>
            <a:endParaRPr lang="en-US" sz="900" b="1">
              <a:solidFill>
                <a:srgbClr val="FF0000"/>
              </a:solidFill>
            </a:endParaRPr>
          </a:p>
        </xdr:txBody>
      </xdr:sp>
      <xdr:sp macro="" textlink="">
        <xdr:nvSpPr>
          <xdr:cNvPr id="1005" name="Rectangle: Rounded Corners 1004">
            <a:extLst>
              <a:ext uri="{FF2B5EF4-FFF2-40B4-BE49-F238E27FC236}">
                <a16:creationId xmlns:a16="http://schemas.microsoft.com/office/drawing/2014/main" id="{C6B8AAC1-BC1C-415B-BCC0-CFD45705780F}"/>
              </a:ext>
            </a:extLst>
          </xdr:cNvPr>
          <xdr:cNvSpPr/>
        </xdr:nvSpPr>
        <xdr:spPr>
          <a:xfrm>
            <a:off x="1448089" y="10300731"/>
            <a:ext cx="464857" cy="230681"/>
          </a:xfrm>
          <a:prstGeom prst="roundRect">
            <a:avLst/>
          </a:prstGeom>
          <a:noFill/>
          <a:ln w="12700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220980</xdr:colOff>
      <xdr:row>53</xdr:row>
      <xdr:rowOff>144780</xdr:rowOff>
    </xdr:from>
    <xdr:to>
      <xdr:col>7</xdr:col>
      <xdr:colOff>346447</xdr:colOff>
      <xdr:row>55</xdr:row>
      <xdr:rowOff>42035</xdr:rowOff>
    </xdr:to>
    <xdr:grpSp>
      <xdr:nvGrpSpPr>
        <xdr:cNvPr id="1006" name="Group 1005">
          <a:extLst>
            <a:ext uri="{FF2B5EF4-FFF2-40B4-BE49-F238E27FC236}">
              <a16:creationId xmlns:a16="http://schemas.microsoft.com/office/drawing/2014/main" id="{D481C084-3773-471A-96E8-BEAD3364C32F}"/>
            </a:ext>
          </a:extLst>
        </xdr:cNvPr>
        <xdr:cNvGrpSpPr/>
      </xdr:nvGrpSpPr>
      <xdr:grpSpPr>
        <a:xfrm>
          <a:off x="3061471" y="10120517"/>
          <a:ext cx="584708" cy="271451"/>
          <a:chOff x="1390650" y="10270466"/>
          <a:chExt cx="582667" cy="278255"/>
        </a:xfrm>
      </xdr:grpSpPr>
      <xdr:sp macro="" textlink="">
        <xdr:nvSpPr>
          <xdr:cNvPr id="1007" name="TextBox 1006">
            <a:extLst>
              <a:ext uri="{FF2B5EF4-FFF2-40B4-BE49-F238E27FC236}">
                <a16:creationId xmlns:a16="http://schemas.microsoft.com/office/drawing/2014/main" id="{7991CE9F-4115-4E61-B1D1-BE27BF8A7013}"/>
              </a:ext>
            </a:extLst>
          </xdr:cNvPr>
          <xdr:cNvSpPr txBox="1"/>
        </xdr:nvSpPr>
        <xdr:spPr>
          <a:xfrm>
            <a:off x="1390650" y="10270466"/>
            <a:ext cx="582667" cy="2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>
                <a:solidFill>
                  <a:srgbClr val="FF0000"/>
                </a:solidFill>
              </a:rPr>
              <a:t>Girder 2</a:t>
            </a:r>
            <a:endParaRPr lang="en-US" sz="900" b="1">
              <a:solidFill>
                <a:srgbClr val="FF0000"/>
              </a:solidFill>
            </a:endParaRPr>
          </a:p>
        </xdr:txBody>
      </xdr:sp>
      <xdr:sp macro="" textlink="">
        <xdr:nvSpPr>
          <xdr:cNvPr id="1008" name="Rectangle: Rounded Corners 1007">
            <a:extLst>
              <a:ext uri="{FF2B5EF4-FFF2-40B4-BE49-F238E27FC236}">
                <a16:creationId xmlns:a16="http://schemas.microsoft.com/office/drawing/2014/main" id="{7CFBA0A1-5A8B-4735-9ACC-D18257E2FC5A}"/>
              </a:ext>
            </a:extLst>
          </xdr:cNvPr>
          <xdr:cNvSpPr/>
        </xdr:nvSpPr>
        <xdr:spPr>
          <a:xfrm>
            <a:off x="1448089" y="10300731"/>
            <a:ext cx="464857" cy="230681"/>
          </a:xfrm>
          <a:prstGeom prst="roundRect">
            <a:avLst/>
          </a:prstGeom>
          <a:noFill/>
          <a:ln w="12700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9</xdr:col>
      <xdr:colOff>426720</xdr:colOff>
      <xdr:row>53</xdr:row>
      <xdr:rowOff>152400</xdr:rowOff>
    </xdr:from>
    <xdr:to>
      <xdr:col>11</xdr:col>
      <xdr:colOff>94987</xdr:colOff>
      <xdr:row>55</xdr:row>
      <xdr:rowOff>49655</xdr:rowOff>
    </xdr:to>
    <xdr:grpSp>
      <xdr:nvGrpSpPr>
        <xdr:cNvPr id="1009" name="Group 1008">
          <a:extLst>
            <a:ext uri="{FF2B5EF4-FFF2-40B4-BE49-F238E27FC236}">
              <a16:creationId xmlns:a16="http://schemas.microsoft.com/office/drawing/2014/main" id="{33FA74C7-28FD-4A69-89F5-51BE8000D9A7}"/>
            </a:ext>
          </a:extLst>
        </xdr:cNvPr>
        <xdr:cNvGrpSpPr/>
      </xdr:nvGrpSpPr>
      <xdr:grpSpPr>
        <a:xfrm>
          <a:off x="4712970" y="10128137"/>
          <a:ext cx="586749" cy="271451"/>
          <a:chOff x="1390650" y="10270466"/>
          <a:chExt cx="582667" cy="278255"/>
        </a:xfrm>
      </xdr:grpSpPr>
      <xdr:sp macro="" textlink="">
        <xdr:nvSpPr>
          <xdr:cNvPr id="1010" name="TextBox 1009">
            <a:extLst>
              <a:ext uri="{FF2B5EF4-FFF2-40B4-BE49-F238E27FC236}">
                <a16:creationId xmlns:a16="http://schemas.microsoft.com/office/drawing/2014/main" id="{4DD4D11F-84A5-4E28-A002-CD96086EFD4A}"/>
              </a:ext>
            </a:extLst>
          </xdr:cNvPr>
          <xdr:cNvSpPr txBox="1"/>
        </xdr:nvSpPr>
        <xdr:spPr>
          <a:xfrm>
            <a:off x="1390650" y="10270466"/>
            <a:ext cx="582667" cy="2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>
                <a:solidFill>
                  <a:srgbClr val="FF0000"/>
                </a:solidFill>
              </a:rPr>
              <a:t>Girder 3</a:t>
            </a:r>
            <a:endParaRPr lang="en-US" sz="900" b="1">
              <a:solidFill>
                <a:srgbClr val="FF0000"/>
              </a:solidFill>
            </a:endParaRPr>
          </a:p>
        </xdr:txBody>
      </xdr:sp>
      <xdr:sp macro="" textlink="">
        <xdr:nvSpPr>
          <xdr:cNvPr id="1011" name="Rectangle: Rounded Corners 1010">
            <a:extLst>
              <a:ext uri="{FF2B5EF4-FFF2-40B4-BE49-F238E27FC236}">
                <a16:creationId xmlns:a16="http://schemas.microsoft.com/office/drawing/2014/main" id="{5CFB4D35-400D-43C5-A750-B3D391DB5F94}"/>
              </a:ext>
            </a:extLst>
          </xdr:cNvPr>
          <xdr:cNvSpPr/>
        </xdr:nvSpPr>
        <xdr:spPr>
          <a:xfrm>
            <a:off x="1448089" y="10300731"/>
            <a:ext cx="464857" cy="230681"/>
          </a:xfrm>
          <a:prstGeom prst="roundRect">
            <a:avLst/>
          </a:prstGeom>
          <a:noFill/>
          <a:ln w="12700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356225</xdr:colOff>
      <xdr:row>49</xdr:row>
      <xdr:rowOff>168122</xdr:rowOff>
    </xdr:from>
    <xdr:to>
      <xdr:col>12</xdr:col>
      <xdr:colOff>316422</xdr:colOff>
      <xdr:row>58</xdr:row>
      <xdr:rowOff>49054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04544BDB-218E-4C14-9118-C1294FF39695}"/>
            </a:ext>
          </a:extLst>
        </xdr:cNvPr>
        <xdr:cNvGrpSpPr/>
      </xdr:nvGrpSpPr>
      <xdr:grpSpPr>
        <a:xfrm>
          <a:off x="356225" y="9395466"/>
          <a:ext cx="5624170" cy="1564816"/>
          <a:chOff x="356225" y="9559772"/>
          <a:chExt cx="5618047" cy="1595432"/>
        </a:xfrm>
      </xdr:grpSpPr>
      <xdr:grpSp>
        <xdr:nvGrpSpPr>
          <xdr:cNvPr id="110" name="Group 109">
            <a:extLst>
              <a:ext uri="{FF2B5EF4-FFF2-40B4-BE49-F238E27FC236}">
                <a16:creationId xmlns:a16="http://schemas.microsoft.com/office/drawing/2014/main" id="{15D866C5-35C6-4D43-99AB-8BAF96EB2307}"/>
              </a:ext>
            </a:extLst>
          </xdr:cNvPr>
          <xdr:cNvGrpSpPr/>
        </xdr:nvGrpSpPr>
        <xdr:grpSpPr>
          <a:xfrm>
            <a:off x="356225" y="9559772"/>
            <a:ext cx="5618047" cy="1595432"/>
            <a:chOff x="374197" y="9408242"/>
            <a:chExt cx="5619891" cy="1593635"/>
          </a:xfrm>
        </xdr:grpSpPr>
        <xdr:grpSp>
          <xdr:nvGrpSpPr>
            <xdr:cNvPr id="103" name="Group 102">
              <a:extLst>
                <a:ext uri="{FF2B5EF4-FFF2-40B4-BE49-F238E27FC236}">
                  <a16:creationId xmlns:a16="http://schemas.microsoft.com/office/drawing/2014/main" id="{E2CC6167-3D53-4097-8F20-10CF30450AEB}"/>
                </a:ext>
              </a:extLst>
            </xdr:cNvPr>
            <xdr:cNvGrpSpPr/>
          </xdr:nvGrpSpPr>
          <xdr:grpSpPr>
            <a:xfrm>
              <a:off x="374197" y="9773137"/>
              <a:ext cx="5619891" cy="1228740"/>
              <a:chOff x="374197" y="9602491"/>
              <a:chExt cx="5624170" cy="1206637"/>
            </a:xfrm>
          </xdr:grpSpPr>
          <xdr:grpSp>
            <xdr:nvGrpSpPr>
              <xdr:cNvPr id="883" name="Group 882">
                <a:extLst>
                  <a:ext uri="{FF2B5EF4-FFF2-40B4-BE49-F238E27FC236}">
                    <a16:creationId xmlns:a16="http://schemas.microsoft.com/office/drawing/2014/main" id="{30C44C36-18E8-4389-B54B-02D21B039B11}"/>
                  </a:ext>
                </a:extLst>
              </xdr:cNvPr>
              <xdr:cNvGrpSpPr/>
            </xdr:nvGrpSpPr>
            <xdr:grpSpPr>
              <a:xfrm>
                <a:off x="374197" y="9602491"/>
                <a:ext cx="5624170" cy="1206637"/>
                <a:chOff x="985615" y="6382080"/>
                <a:chExt cx="5629659" cy="1223103"/>
              </a:xfrm>
            </xdr:grpSpPr>
            <xdr:grpSp>
              <xdr:nvGrpSpPr>
                <xdr:cNvPr id="884" name="Group 883">
                  <a:extLst>
                    <a:ext uri="{FF2B5EF4-FFF2-40B4-BE49-F238E27FC236}">
                      <a16:creationId xmlns:a16="http://schemas.microsoft.com/office/drawing/2014/main" id="{71B07FEE-63AC-4882-95AC-F008E96F45B2}"/>
                    </a:ext>
                  </a:extLst>
                </xdr:cNvPr>
                <xdr:cNvGrpSpPr/>
              </xdr:nvGrpSpPr>
              <xdr:grpSpPr>
                <a:xfrm>
                  <a:off x="985615" y="6382080"/>
                  <a:ext cx="5629659" cy="1223103"/>
                  <a:chOff x="696516" y="6949796"/>
                  <a:chExt cx="5627822" cy="1234127"/>
                </a:xfrm>
              </xdr:grpSpPr>
              <xdr:sp macro="" textlink="">
                <xdr:nvSpPr>
                  <xdr:cNvPr id="887" name="Freeform: Shape 886">
                    <a:extLst>
                      <a:ext uri="{FF2B5EF4-FFF2-40B4-BE49-F238E27FC236}">
                        <a16:creationId xmlns:a16="http://schemas.microsoft.com/office/drawing/2014/main" id="{310D0A31-0066-47CB-863B-6257AE801E15}"/>
                      </a:ext>
                    </a:extLst>
                  </xdr:cNvPr>
                  <xdr:cNvSpPr/>
                </xdr:nvSpPr>
                <xdr:spPr>
                  <a:xfrm>
                    <a:off x="1178538" y="7018553"/>
                    <a:ext cx="4999182" cy="164522"/>
                  </a:xfrm>
                  <a:custGeom>
                    <a:avLst/>
                    <a:gdLst>
                      <a:gd name="connsiteX0" fmla="*/ 5773 w 4999182"/>
                      <a:gd name="connsiteY0" fmla="*/ 103909 h 164522"/>
                      <a:gd name="connsiteX1" fmla="*/ 239568 w 4999182"/>
                      <a:gd name="connsiteY1" fmla="*/ 103909 h 164522"/>
                      <a:gd name="connsiteX2" fmla="*/ 300181 w 4999182"/>
                      <a:gd name="connsiteY2" fmla="*/ 164522 h 164522"/>
                      <a:gd name="connsiteX3" fmla="*/ 1376796 w 4999182"/>
                      <a:gd name="connsiteY3" fmla="*/ 164522 h 164522"/>
                      <a:gd name="connsiteX4" fmla="*/ 1440296 w 4999182"/>
                      <a:gd name="connsiteY4" fmla="*/ 101022 h 164522"/>
                      <a:gd name="connsiteX5" fmla="*/ 1858818 w 4999182"/>
                      <a:gd name="connsiteY5" fmla="*/ 101022 h 164522"/>
                      <a:gd name="connsiteX6" fmla="*/ 1919432 w 4999182"/>
                      <a:gd name="connsiteY6" fmla="*/ 161636 h 164522"/>
                      <a:gd name="connsiteX7" fmla="*/ 3033568 w 4999182"/>
                      <a:gd name="connsiteY7" fmla="*/ 161636 h 164522"/>
                      <a:gd name="connsiteX8" fmla="*/ 3088409 w 4999182"/>
                      <a:gd name="connsiteY8" fmla="*/ 106795 h 164522"/>
                      <a:gd name="connsiteX9" fmla="*/ 3518478 w 4999182"/>
                      <a:gd name="connsiteY9" fmla="*/ 106795 h 164522"/>
                      <a:gd name="connsiteX10" fmla="*/ 3576205 w 4999182"/>
                      <a:gd name="connsiteY10" fmla="*/ 164522 h 164522"/>
                      <a:gd name="connsiteX11" fmla="*/ 4693228 w 4999182"/>
                      <a:gd name="connsiteY11" fmla="*/ 164522 h 164522"/>
                      <a:gd name="connsiteX12" fmla="*/ 4753841 w 4999182"/>
                      <a:gd name="connsiteY12" fmla="*/ 103909 h 164522"/>
                      <a:gd name="connsiteX13" fmla="*/ 4999182 w 4999182"/>
                      <a:gd name="connsiteY13" fmla="*/ 103909 h 164522"/>
                      <a:gd name="connsiteX14" fmla="*/ 4999182 w 4999182"/>
                      <a:gd name="connsiteY14" fmla="*/ 0 h 164522"/>
                      <a:gd name="connsiteX15" fmla="*/ 0 w 4999182"/>
                      <a:gd name="connsiteY15" fmla="*/ 0 h 164522"/>
                      <a:gd name="connsiteX16" fmla="*/ 5773 w 4999182"/>
                      <a:gd name="connsiteY16" fmla="*/ 103909 h 164522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</a:cxnLst>
                    <a:rect l="l" t="t" r="r" b="b"/>
                    <a:pathLst>
                      <a:path w="4999182" h="164522">
                        <a:moveTo>
                          <a:pt x="5773" y="103909"/>
                        </a:moveTo>
                        <a:lnTo>
                          <a:pt x="239568" y="103909"/>
                        </a:lnTo>
                        <a:lnTo>
                          <a:pt x="300181" y="164522"/>
                        </a:lnTo>
                        <a:lnTo>
                          <a:pt x="1376796" y="164522"/>
                        </a:lnTo>
                        <a:lnTo>
                          <a:pt x="1440296" y="101022"/>
                        </a:lnTo>
                        <a:lnTo>
                          <a:pt x="1858818" y="101022"/>
                        </a:lnTo>
                        <a:lnTo>
                          <a:pt x="1919432" y="161636"/>
                        </a:lnTo>
                        <a:lnTo>
                          <a:pt x="3033568" y="161636"/>
                        </a:lnTo>
                        <a:lnTo>
                          <a:pt x="3088409" y="106795"/>
                        </a:lnTo>
                        <a:lnTo>
                          <a:pt x="3518478" y="106795"/>
                        </a:lnTo>
                        <a:lnTo>
                          <a:pt x="3576205" y="164522"/>
                        </a:lnTo>
                        <a:lnTo>
                          <a:pt x="4693228" y="164522"/>
                        </a:lnTo>
                        <a:lnTo>
                          <a:pt x="4753841" y="103909"/>
                        </a:lnTo>
                        <a:lnTo>
                          <a:pt x="4999182" y="103909"/>
                        </a:lnTo>
                        <a:lnTo>
                          <a:pt x="4999182" y="0"/>
                        </a:lnTo>
                        <a:lnTo>
                          <a:pt x="0" y="0"/>
                        </a:lnTo>
                        <a:lnTo>
                          <a:pt x="5773" y="103909"/>
                        </a:lnTo>
                        <a:close/>
                      </a:path>
                    </a:pathLst>
                  </a:custGeom>
                  <a:pattFill prst="pct20">
                    <a:fgClr>
                      <a:schemeClr val="accent1"/>
                    </a:fgClr>
                    <a:bgClr>
                      <a:schemeClr val="bg1"/>
                    </a:bgClr>
                  </a:pattFill>
                  <a:ln w="1587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898" name="Group 897">
                    <a:extLst>
                      <a:ext uri="{FF2B5EF4-FFF2-40B4-BE49-F238E27FC236}">
                        <a16:creationId xmlns:a16="http://schemas.microsoft.com/office/drawing/2014/main" id="{B0F82309-F5D5-42EA-8282-24510BF17F53}"/>
                      </a:ext>
                    </a:extLst>
                  </xdr:cNvPr>
                  <xdr:cNvGrpSpPr/>
                </xdr:nvGrpSpPr>
                <xdr:grpSpPr>
                  <a:xfrm>
                    <a:off x="696516" y="6949796"/>
                    <a:ext cx="5627822" cy="1234127"/>
                    <a:chOff x="740569" y="4029075"/>
                    <a:chExt cx="5645166" cy="1226023"/>
                  </a:xfrm>
                </xdr:grpSpPr>
                <xdr:grpSp>
                  <xdr:nvGrpSpPr>
                    <xdr:cNvPr id="904" name="Group 903">
                      <a:extLst>
                        <a:ext uri="{FF2B5EF4-FFF2-40B4-BE49-F238E27FC236}">
                          <a16:creationId xmlns:a16="http://schemas.microsoft.com/office/drawing/2014/main" id="{56E13E16-A279-488D-A49F-4153A7B9EC35}"/>
                        </a:ext>
                      </a:extLst>
                    </xdr:cNvPr>
                    <xdr:cNvGrpSpPr/>
                  </xdr:nvGrpSpPr>
                  <xdr:grpSpPr>
                    <a:xfrm>
                      <a:off x="1153216" y="4239838"/>
                      <a:ext cx="5232519" cy="1015260"/>
                      <a:chOff x="1150666" y="4264740"/>
                      <a:chExt cx="5231972" cy="1021149"/>
                    </a:xfrm>
                  </xdr:grpSpPr>
                  <xdr:grpSp>
                    <xdr:nvGrpSpPr>
                      <xdr:cNvPr id="910" name="Group 909">
                        <a:extLst>
                          <a:ext uri="{FF2B5EF4-FFF2-40B4-BE49-F238E27FC236}">
                            <a16:creationId xmlns:a16="http://schemas.microsoft.com/office/drawing/2014/main" id="{2E0A432B-0383-4267-9A53-ABE2BFCDABC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20415" y="4264740"/>
                        <a:ext cx="2640206" cy="773055"/>
                        <a:chOff x="1524818" y="4286371"/>
                        <a:chExt cx="2641101" cy="768201"/>
                      </a:xfrm>
                    </xdr:grpSpPr>
                    <xdr:grpSp>
                      <xdr:nvGrpSpPr>
                        <xdr:cNvPr id="918" name="Group 917">
                          <a:extLst>
                            <a:ext uri="{FF2B5EF4-FFF2-40B4-BE49-F238E27FC236}">
                              <a16:creationId xmlns:a16="http://schemas.microsoft.com/office/drawing/2014/main" id="{B573CC4E-735D-4A40-8AB3-912EF4C95874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524818" y="4289894"/>
                          <a:ext cx="988527" cy="764678"/>
                          <a:chOff x="4113049" y="34370537"/>
                          <a:chExt cx="1330876" cy="1030285"/>
                        </a:xfrm>
                      </xdr:grpSpPr>
                      <xdr:grpSp>
                        <xdr:nvGrpSpPr>
                          <xdr:cNvPr id="962" name="그룹 7">
                            <a:extLst>
                              <a:ext uri="{FF2B5EF4-FFF2-40B4-BE49-F238E27FC236}">
                                <a16:creationId xmlns:a16="http://schemas.microsoft.com/office/drawing/2014/main" id="{065F64D3-8596-4466-ABDA-C5C050208923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113049" y="34370537"/>
                            <a:ext cx="1330876" cy="1030285"/>
                            <a:chOff x="2975324" y="384372"/>
                            <a:chExt cx="1418815" cy="1057915"/>
                          </a:xfrm>
                        </xdr:grpSpPr>
                        <xdr:cxnSp macro="">
                          <xdr:nvCxnSpPr>
                            <xdr:cNvPr id="967" name="직선 연결선 3">
                              <a:extLst>
                                <a:ext uri="{FF2B5EF4-FFF2-40B4-BE49-F238E27FC236}">
                                  <a16:creationId xmlns:a16="http://schemas.microsoft.com/office/drawing/2014/main" id="{498146C3-6106-404D-BD58-390A76D9D496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207515" y="1442287"/>
                              <a:ext cx="1111112" cy="0"/>
                            </a:xfrm>
                            <a:prstGeom prst="line">
                              <a:avLst/>
                            </a:prstGeom>
                            <a:ln w="762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968" name="직선 연결선 4">
                              <a:extLst>
                                <a:ext uri="{FF2B5EF4-FFF2-40B4-BE49-F238E27FC236}">
                                  <a16:creationId xmlns:a16="http://schemas.microsoft.com/office/drawing/2014/main" id="{95389315-D18F-4E7A-8E33-1C8A86DE02AE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 flipV="1">
                              <a:off x="3121216" y="388272"/>
                              <a:ext cx="247294" cy="1050604"/>
                            </a:xfrm>
                            <a:prstGeom prst="line">
                              <a:avLst/>
                            </a:prstGeom>
                            <a:ln w="5715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969" name="직선 연결선 5">
                              <a:extLst>
                                <a:ext uri="{FF2B5EF4-FFF2-40B4-BE49-F238E27FC236}">
                                  <a16:creationId xmlns:a16="http://schemas.microsoft.com/office/drawing/2014/main" id="{D13DB7F5-FD29-4670-8BA0-A7DD0B3234FC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970" name="직선 연결선 6">
                              <a:extLst>
                                <a:ext uri="{FF2B5EF4-FFF2-40B4-BE49-F238E27FC236}">
                                  <a16:creationId xmlns:a16="http://schemas.microsoft.com/office/drawing/2014/main" id="{168F0F34-D01D-40EB-91A5-78E5155B5157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2975324" y="384372"/>
                              <a:ext cx="341450" cy="0"/>
                            </a:xfrm>
                            <a:prstGeom prst="line">
                              <a:avLst/>
                            </a:prstGeom>
                            <a:ln w="635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963" name="직선 연결선 32">
                            <a:extLst>
                              <a:ext uri="{FF2B5EF4-FFF2-40B4-BE49-F238E27FC236}">
                                <a16:creationId xmlns:a16="http://schemas.microsoft.com/office/drawing/2014/main" id="{47890802-B83E-45BE-90EA-D611F771331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619623" y="35297270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64" name="직선 연결선 37">
                            <a:extLst>
                              <a:ext uri="{FF2B5EF4-FFF2-40B4-BE49-F238E27FC236}">
                                <a16:creationId xmlns:a16="http://schemas.microsoft.com/office/drawing/2014/main" id="{DC9AFF02-12AC-44B4-9377-0F60E47CBCFE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760116" y="35299394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65" name="직선 연결선 38">
                            <a:extLst>
                              <a:ext uri="{FF2B5EF4-FFF2-40B4-BE49-F238E27FC236}">
                                <a16:creationId xmlns:a16="http://schemas.microsoft.com/office/drawing/2014/main" id="{281FEC9D-258F-4331-8BBA-F917E45A2ADB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898305" y="35299395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66" name="직선 연결선 39">
                            <a:extLst>
                              <a:ext uri="{FF2B5EF4-FFF2-40B4-BE49-F238E27FC236}">
                                <a16:creationId xmlns:a16="http://schemas.microsoft.com/office/drawing/2014/main" id="{8CC9D2C2-0333-4314-BD6B-55B10667316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054918" y="35297269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grpSp>
                      <xdr:nvGrpSpPr>
                        <xdr:cNvPr id="919" name="Group 918">
                          <a:extLst>
                            <a:ext uri="{FF2B5EF4-FFF2-40B4-BE49-F238E27FC236}">
                              <a16:creationId xmlns:a16="http://schemas.microsoft.com/office/drawing/2014/main" id="{9483ACF8-4637-4E45-8415-37261EABAE1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149258" y="4286371"/>
                          <a:ext cx="1016661" cy="768189"/>
                          <a:chOff x="4075157" y="34365806"/>
                          <a:chExt cx="1368755" cy="1035016"/>
                        </a:xfrm>
                      </xdr:grpSpPr>
                      <xdr:grpSp>
                        <xdr:nvGrpSpPr>
                          <xdr:cNvPr id="920" name="그룹 30">
                            <a:extLst>
                              <a:ext uri="{FF2B5EF4-FFF2-40B4-BE49-F238E27FC236}">
                                <a16:creationId xmlns:a16="http://schemas.microsoft.com/office/drawing/2014/main" id="{E376053A-02B3-4804-9DFC-DCC78D9E6BB7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075157" y="34365806"/>
                            <a:ext cx="1368755" cy="1035016"/>
                            <a:chOff x="4407549" y="313952"/>
                            <a:chExt cx="1457984" cy="1069111"/>
                          </a:xfrm>
                        </xdr:grpSpPr>
                        <xdr:grpSp>
                          <xdr:nvGrpSpPr>
                            <xdr:cNvPr id="925" name="그룹 7">
                              <a:extLst>
                                <a:ext uri="{FF2B5EF4-FFF2-40B4-BE49-F238E27FC236}">
                                  <a16:creationId xmlns:a16="http://schemas.microsoft.com/office/drawing/2014/main" id="{B8546CF5-B5CF-43E0-BFE4-7365BF8E71C9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593671" y="322762"/>
                              <a:ext cx="1271862" cy="1060301"/>
                              <a:chOff x="3121216" y="388272"/>
                              <a:chExt cx="1272923" cy="1054015"/>
                            </a:xfrm>
                          </xdr:grpSpPr>
                          <xdr:cxnSp macro="">
                            <xdr:nvCxnSpPr>
                              <xdr:cNvPr id="927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C9142A4F-8AEC-46BE-BEB7-0689A7949D09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1111112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960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3ED746FE-AE22-4280-9B5B-00F7D43BE6AA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961" name="직선 연결선 5">
                                <a:extLst>
                                  <a:ext uri="{FF2B5EF4-FFF2-40B4-BE49-F238E27FC236}">
                                    <a16:creationId xmlns:a16="http://schemas.microsoft.com/office/drawing/2014/main" id="{D7334EF4-F030-422B-A690-CA21760DAF4F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4166565" y="399805"/>
                                <a:ext cx="227574" cy="1036150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926" name="직선 연결선 29">
                              <a:extLst>
                                <a:ext uri="{FF2B5EF4-FFF2-40B4-BE49-F238E27FC236}">
                                  <a16:creationId xmlns:a16="http://schemas.microsoft.com/office/drawing/2014/main" id="{86B8BE5A-BAE1-42DB-9D9B-664ED6FECFDF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407549" y="313952"/>
                              <a:ext cx="393532" cy="0"/>
                            </a:xfrm>
                            <a:prstGeom prst="line">
                              <a:avLst/>
                            </a:prstGeom>
                            <a:ln w="635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921" name="직선 연결선 32">
                            <a:extLst>
                              <a:ext uri="{FF2B5EF4-FFF2-40B4-BE49-F238E27FC236}">
                                <a16:creationId xmlns:a16="http://schemas.microsoft.com/office/drawing/2014/main" id="{9F398850-D76C-4009-B4E3-EDC066507C4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619623" y="35297270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22" name="직선 연결선 37">
                            <a:extLst>
                              <a:ext uri="{FF2B5EF4-FFF2-40B4-BE49-F238E27FC236}">
                                <a16:creationId xmlns:a16="http://schemas.microsoft.com/office/drawing/2014/main" id="{A2A6805B-F23F-4E35-B6FF-F98B367A311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760116" y="35299394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23" name="직선 연결선 38">
                            <a:extLst>
                              <a:ext uri="{FF2B5EF4-FFF2-40B4-BE49-F238E27FC236}">
                                <a16:creationId xmlns:a16="http://schemas.microsoft.com/office/drawing/2014/main" id="{F8B6C018-AA47-4B76-9C40-A8D2309C847C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898305" y="35299395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24" name="직선 연결선 39">
                            <a:extLst>
                              <a:ext uri="{FF2B5EF4-FFF2-40B4-BE49-F238E27FC236}">
                                <a16:creationId xmlns:a16="http://schemas.microsoft.com/office/drawing/2014/main" id="{430C5BD8-1ECF-4436-9AED-42A9C73302C8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054918" y="35297269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</xdr:grpSp>
                  <xdr:grpSp>
                    <xdr:nvGrpSpPr>
                      <xdr:cNvPr id="911" name="Group 910">
                        <a:extLst>
                          <a:ext uri="{FF2B5EF4-FFF2-40B4-BE49-F238E27FC236}">
                            <a16:creationId xmlns:a16="http://schemas.microsoft.com/office/drawing/2014/main" id="{5E4EBC97-C0F9-47A2-9B3D-3D79F370623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150666" y="4393696"/>
                        <a:ext cx="5231972" cy="892193"/>
                        <a:chOff x="1150666" y="4393696"/>
                        <a:chExt cx="5231972" cy="892193"/>
                      </a:xfrm>
                    </xdr:grpSpPr>
                    <xdr:cxnSp macro="">
                      <xdr:nvCxnSpPr>
                        <xdr:cNvPr id="912" name="Straight Connector 911">
                          <a:extLst>
                            <a:ext uri="{FF2B5EF4-FFF2-40B4-BE49-F238E27FC236}">
                              <a16:creationId xmlns:a16="http://schemas.microsoft.com/office/drawing/2014/main" id="{927FB549-C27C-4F0D-91D4-1EE22E6420D6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25473" y="4498240"/>
                          <a:ext cx="0" cy="778262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3" name="Straight Connector 912">
                          <a:extLst>
                            <a:ext uri="{FF2B5EF4-FFF2-40B4-BE49-F238E27FC236}">
                              <a16:creationId xmlns:a16="http://schemas.microsoft.com/office/drawing/2014/main" id="{75BE4C83-5039-45E4-BDA6-A5E1B1C9FFB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25473" y="5279406"/>
                          <a:ext cx="5017368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4" name="Straight Connector 913">
                          <a:extLst>
                            <a:ext uri="{FF2B5EF4-FFF2-40B4-BE49-F238E27FC236}">
                              <a16:creationId xmlns:a16="http://schemas.microsoft.com/office/drawing/2014/main" id="{32F9760F-F759-4FEB-80F6-C722266B535E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600085" y="4504047"/>
                          <a:ext cx="0" cy="778262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5" name="Straight Connector 914">
                          <a:extLst>
                            <a:ext uri="{FF2B5EF4-FFF2-40B4-BE49-F238E27FC236}">
                              <a16:creationId xmlns:a16="http://schemas.microsoft.com/office/drawing/2014/main" id="{1F3B29C2-1071-4526-B9D7-57ED096245E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532256" y="4393696"/>
                          <a:ext cx="0" cy="885709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6" name="Straight Connector 915">
                          <a:extLst>
                            <a:ext uri="{FF2B5EF4-FFF2-40B4-BE49-F238E27FC236}">
                              <a16:creationId xmlns:a16="http://schemas.microsoft.com/office/drawing/2014/main" id="{EF20BE5B-D75B-481E-B56B-DE5DC6778DBA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246631" y="4393697"/>
                          <a:ext cx="0" cy="885709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917" name="TextBox 916">
                          <a:extLst>
                            <a:ext uri="{FF2B5EF4-FFF2-40B4-BE49-F238E27FC236}">
                              <a16:creationId xmlns:a16="http://schemas.microsoft.com/office/drawing/2014/main" id="{71E4CCF3-23A7-4230-8228-B89539BF0A61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50666" y="5066558"/>
                          <a:ext cx="5231972" cy="21933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sz="900"/>
                            <a:t>    aL                      w                   </a:t>
                          </a:r>
                          <a:r>
                            <a:rPr lang="en-US" sz="900" baseline="0"/>
                            <a:t> </a:t>
                          </a:r>
                          <a:r>
                            <a:rPr lang="en-US" sz="900"/>
                            <a:t> aR          aL</a:t>
                          </a:r>
                          <a:r>
                            <a:rPr lang="en-US" altLang="ko-KR" sz="900"/>
                            <a:t>                     w                     aR          aL                     w                       aR    </a:t>
                          </a:r>
                          <a:endParaRPr lang="en-US" sz="900"/>
                        </a:p>
                      </xdr:txBody>
                    </xdr:sp>
                  </xdr:grpSp>
                </xdr:grpSp>
                <xdr:grpSp>
                  <xdr:nvGrpSpPr>
                    <xdr:cNvPr id="905" name="Group 904">
                      <a:extLst>
                        <a:ext uri="{FF2B5EF4-FFF2-40B4-BE49-F238E27FC236}">
                          <a16:creationId xmlns:a16="http://schemas.microsoft.com/office/drawing/2014/main" id="{0B3A4040-9206-4273-80AF-882483A57347}"/>
                        </a:ext>
                      </a:extLst>
                    </xdr:cNvPr>
                    <xdr:cNvGrpSpPr/>
                  </xdr:nvGrpSpPr>
                  <xdr:grpSpPr>
                    <a:xfrm>
                      <a:off x="740569" y="4029075"/>
                      <a:ext cx="447675" cy="218066"/>
                      <a:chOff x="740569" y="4029075"/>
                      <a:chExt cx="447675" cy="218066"/>
                    </a:xfrm>
                  </xdr:grpSpPr>
                  <xdr:cxnSp macro="">
                    <xdr:nvCxnSpPr>
                      <xdr:cNvPr id="906" name="Straight Connector 905">
                        <a:extLst>
                          <a:ext uri="{FF2B5EF4-FFF2-40B4-BE49-F238E27FC236}">
                            <a16:creationId xmlns:a16="http://schemas.microsoft.com/office/drawing/2014/main" id="{78594841-4381-426E-95BD-6E0C00BF73C8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959644" y="4088606"/>
                        <a:ext cx="228600" cy="0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907" name="Straight Connector 906">
                        <a:extLst>
                          <a:ext uri="{FF2B5EF4-FFF2-40B4-BE49-F238E27FC236}">
                            <a16:creationId xmlns:a16="http://schemas.microsoft.com/office/drawing/2014/main" id="{EFDAD74A-7DB6-4076-9E53-4B671365E2D2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959644" y="4200525"/>
                        <a:ext cx="228600" cy="0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908" name="Straight Connector 907">
                        <a:extLst>
                          <a:ext uri="{FF2B5EF4-FFF2-40B4-BE49-F238E27FC236}">
                            <a16:creationId xmlns:a16="http://schemas.microsoft.com/office/drawing/2014/main" id="{5D8938F6-9F06-45DD-8E6B-C7574D5729A3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959644" y="4095750"/>
                        <a:ext cx="0" cy="11430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909" name="TextBox 908">
                        <a:extLst>
                          <a:ext uri="{FF2B5EF4-FFF2-40B4-BE49-F238E27FC236}">
                            <a16:creationId xmlns:a16="http://schemas.microsoft.com/office/drawing/2014/main" id="{8FB92C37-4D11-415B-BDDB-F03E98DF303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40569" y="4029075"/>
                        <a:ext cx="292893" cy="21806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ts</a:t>
                        </a:r>
                      </a:p>
                    </xdr:txBody>
                  </xdr:sp>
                </xdr:grpSp>
              </xdr:grpSp>
              <xdr:grpSp>
                <xdr:nvGrpSpPr>
                  <xdr:cNvPr id="889" name="Group 888">
                    <a:extLst>
                      <a:ext uri="{FF2B5EF4-FFF2-40B4-BE49-F238E27FC236}">
                        <a16:creationId xmlns:a16="http://schemas.microsoft.com/office/drawing/2014/main" id="{08F14FFD-C22D-4536-89EB-348E084DE4A0}"/>
                      </a:ext>
                    </a:extLst>
                  </xdr:cNvPr>
                  <xdr:cNvGrpSpPr/>
                </xdr:nvGrpSpPr>
                <xdr:grpSpPr>
                  <a:xfrm>
                    <a:off x="4757937" y="7161167"/>
                    <a:ext cx="1013889" cy="774259"/>
                    <a:chOff x="4743450" y="7486650"/>
                    <a:chExt cx="1016419" cy="769642"/>
                  </a:xfrm>
                </xdr:grpSpPr>
                <xdr:cxnSp macro="">
                  <xdr:nvCxnSpPr>
                    <xdr:cNvPr id="890" name="직선 연결선 3">
                      <a:extLst>
                        <a:ext uri="{FF2B5EF4-FFF2-40B4-BE49-F238E27FC236}">
                          <a16:creationId xmlns:a16="http://schemas.microsoft.com/office/drawing/2014/main" id="{4C6B0CCA-B418-4FDF-821E-55B0F37A9EFC}"/>
                        </a:ext>
                      </a:extLst>
                    </xdr:cNvPr>
                    <xdr:cNvCxnSpPr/>
                  </xdr:nvCxnSpPr>
                  <xdr:spPr>
                    <a:xfrm>
                      <a:off x="4933315" y="8256292"/>
                      <a:ext cx="773955" cy="0"/>
                    </a:xfrm>
                    <a:prstGeom prst="line">
                      <a:avLst/>
                    </a:prstGeom>
                    <a:ln w="762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1" name="직선 연결선 4">
                      <a:extLst>
                        <a:ext uri="{FF2B5EF4-FFF2-40B4-BE49-F238E27FC236}">
                          <a16:creationId xmlns:a16="http://schemas.microsoft.com/office/drawing/2014/main" id="{B6BCE99F-BE5A-4633-A485-BF42D03EAF1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4873203" y="7492992"/>
                      <a:ext cx="172255" cy="760830"/>
                    </a:xfrm>
                    <a:prstGeom prst="line">
                      <a:avLst/>
                    </a:prstGeom>
                    <a:ln w="5715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2" name="직선 연결선 5">
                      <a:extLst>
                        <a:ext uri="{FF2B5EF4-FFF2-40B4-BE49-F238E27FC236}">
                          <a16:creationId xmlns:a16="http://schemas.microsoft.com/office/drawing/2014/main" id="{5DC8B6CD-D974-4855-96C6-00031728E36C}"/>
                        </a:ext>
                      </a:extLst>
                    </xdr:cNvPr>
                    <xdr:cNvCxnSpPr/>
                  </xdr:nvCxnSpPr>
                  <xdr:spPr>
                    <a:xfrm flipV="1">
                      <a:off x="5601350" y="7501344"/>
                      <a:ext cx="158519" cy="750362"/>
                    </a:xfrm>
                    <a:prstGeom prst="line">
                      <a:avLst/>
                    </a:prstGeom>
                    <a:ln w="5715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3" name="직선 연결선 29">
                      <a:extLst>
                        <a:ext uri="{FF2B5EF4-FFF2-40B4-BE49-F238E27FC236}">
                          <a16:creationId xmlns:a16="http://schemas.microsoft.com/office/drawing/2014/main" id="{97DA72E9-4EC8-4403-B9B7-34778FF71E45}"/>
                        </a:ext>
                      </a:extLst>
                    </xdr:cNvPr>
                    <xdr:cNvCxnSpPr/>
                  </xdr:nvCxnSpPr>
                  <xdr:spPr>
                    <a:xfrm>
                      <a:off x="4743450" y="7486650"/>
                      <a:ext cx="281659" cy="0"/>
                    </a:xfrm>
                    <a:prstGeom prst="line">
                      <a:avLst/>
                    </a:prstGeom>
                    <a:ln w="635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4" name="직선 연결선 32">
                      <a:extLst>
                        <a:ext uri="{FF2B5EF4-FFF2-40B4-BE49-F238E27FC236}">
                          <a16:creationId xmlns:a16="http://schemas.microsoft.com/office/drawing/2014/main" id="{294CFD81-C01D-4C4D-ADDC-D7A9F66CC9EC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47762" y="817929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5" name="직선 연결선 37">
                      <a:extLst>
                        <a:ext uri="{FF2B5EF4-FFF2-40B4-BE49-F238E27FC236}">
                          <a16:creationId xmlns:a16="http://schemas.microsoft.com/office/drawing/2014/main" id="{A090EC40-A74C-40D3-BD2C-D438048AEF76}"/>
                        </a:ext>
                      </a:extLst>
                    </xdr:cNvPr>
                    <xdr:cNvCxnSpPr/>
                  </xdr:nvCxnSpPr>
                  <xdr:spPr>
                    <a:xfrm flipV="1">
                      <a:off x="5252091" y="818087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6" name="직선 연결선 38">
                      <a:extLst>
                        <a:ext uri="{FF2B5EF4-FFF2-40B4-BE49-F238E27FC236}">
                          <a16:creationId xmlns:a16="http://schemas.microsoft.com/office/drawing/2014/main" id="{B5F58103-BD05-418D-892A-D21B9DAA7CF7}"/>
                        </a:ext>
                      </a:extLst>
                    </xdr:cNvPr>
                    <xdr:cNvCxnSpPr/>
                  </xdr:nvCxnSpPr>
                  <xdr:spPr>
                    <a:xfrm flipV="1">
                      <a:off x="5354708" y="818087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7" name="직선 연결선 39">
                      <a:extLst>
                        <a:ext uri="{FF2B5EF4-FFF2-40B4-BE49-F238E27FC236}">
                          <a16:creationId xmlns:a16="http://schemas.microsoft.com/office/drawing/2014/main" id="{EF920E1E-2564-406C-9D73-5E3E504F0693}"/>
                        </a:ext>
                      </a:extLst>
                    </xdr:cNvPr>
                    <xdr:cNvCxnSpPr/>
                  </xdr:nvCxnSpPr>
                  <xdr:spPr>
                    <a:xfrm flipV="1">
                      <a:off x="5471007" y="817929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cxnSp macro="">
              <xdr:nvCxnSpPr>
                <xdr:cNvPr id="885" name="Straight Connector 884">
                  <a:extLst>
                    <a:ext uri="{FF2B5EF4-FFF2-40B4-BE49-F238E27FC236}">
                      <a16:creationId xmlns:a16="http://schemas.microsoft.com/office/drawing/2014/main" id="{D98D2832-3411-4930-A199-4363D1DC99F6}"/>
                    </a:ext>
                  </a:extLst>
                </xdr:cNvPr>
                <xdr:cNvCxnSpPr/>
              </xdr:nvCxnSpPr>
              <xdr:spPr>
                <a:xfrm>
                  <a:off x="4434154" y="6717788"/>
                  <a:ext cx="0" cy="87850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86" name="Straight Connector 885">
                  <a:extLst>
                    <a:ext uri="{FF2B5EF4-FFF2-40B4-BE49-F238E27FC236}">
                      <a16:creationId xmlns:a16="http://schemas.microsoft.com/office/drawing/2014/main" id="{46DC7298-BFC2-4F38-8287-A59600925794}"/>
                    </a:ext>
                  </a:extLst>
                </xdr:cNvPr>
                <xdr:cNvCxnSpPr/>
              </xdr:nvCxnSpPr>
              <xdr:spPr>
                <a:xfrm>
                  <a:off x="5154504" y="6719325"/>
                  <a:ext cx="0" cy="87850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971" name="Straight Connector 970">
                <a:extLst>
                  <a:ext uri="{FF2B5EF4-FFF2-40B4-BE49-F238E27FC236}">
                    <a16:creationId xmlns:a16="http://schemas.microsoft.com/office/drawing/2014/main" id="{DF68C524-DF88-4539-8E2F-D67B3604900E}"/>
                  </a:ext>
                </a:extLst>
              </xdr:cNvPr>
              <xdr:cNvCxnSpPr/>
            </xdr:nvCxnSpPr>
            <xdr:spPr>
              <a:xfrm>
                <a:off x="2519361" y="9780135"/>
                <a:ext cx="0" cy="1024957"/>
              </a:xfrm>
              <a:prstGeom prst="line">
                <a:avLst/>
              </a:prstGeom>
              <a:ln w="3175">
                <a:solidFill>
                  <a:srgbClr val="FF0000"/>
                </a:solidFill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2" name="Straight Connector 971">
                <a:extLst>
                  <a:ext uri="{FF2B5EF4-FFF2-40B4-BE49-F238E27FC236}">
                    <a16:creationId xmlns:a16="http://schemas.microsoft.com/office/drawing/2014/main" id="{CFBED6ED-6F5D-44DD-B741-5C391B92952A}"/>
                  </a:ext>
                </a:extLst>
              </xdr:cNvPr>
              <xdr:cNvCxnSpPr/>
            </xdr:nvCxnSpPr>
            <xdr:spPr>
              <a:xfrm>
                <a:off x="4164466" y="9777752"/>
                <a:ext cx="0" cy="1024957"/>
              </a:xfrm>
              <a:prstGeom prst="line">
                <a:avLst/>
              </a:prstGeom>
              <a:ln w="3175">
                <a:solidFill>
                  <a:srgbClr val="FF0000"/>
                </a:solidFill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3" name="Straight Connector 972">
                <a:extLst>
                  <a:ext uri="{FF2B5EF4-FFF2-40B4-BE49-F238E27FC236}">
                    <a16:creationId xmlns:a16="http://schemas.microsoft.com/office/drawing/2014/main" id="{A6CEEE93-61D0-4003-99C7-1BF58B70D86F}"/>
                  </a:ext>
                </a:extLst>
              </xdr:cNvPr>
              <xdr:cNvCxnSpPr/>
            </xdr:nvCxnSpPr>
            <xdr:spPr>
              <a:xfrm>
                <a:off x="5471432" y="9933890"/>
                <a:ext cx="0" cy="865646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4" name="Straight Connector 973">
                <a:extLst>
                  <a:ext uri="{FF2B5EF4-FFF2-40B4-BE49-F238E27FC236}">
                    <a16:creationId xmlns:a16="http://schemas.microsoft.com/office/drawing/2014/main" id="{F0AC3AAA-628E-4340-BDE0-8B6212CF206C}"/>
                  </a:ext>
                </a:extLst>
              </xdr:cNvPr>
              <xdr:cNvCxnSpPr/>
            </xdr:nvCxnSpPr>
            <xdr:spPr>
              <a:xfrm>
                <a:off x="5856854" y="9933892"/>
                <a:ext cx="0" cy="865646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8" name="Group 107">
              <a:extLst>
                <a:ext uri="{FF2B5EF4-FFF2-40B4-BE49-F238E27FC236}">
                  <a16:creationId xmlns:a16="http://schemas.microsoft.com/office/drawing/2014/main" id="{8196AD62-90B2-4EF9-A3D1-4E3B25E89D52}"/>
                </a:ext>
              </a:extLst>
            </xdr:cNvPr>
            <xdr:cNvGrpSpPr/>
          </xdr:nvGrpSpPr>
          <xdr:grpSpPr>
            <a:xfrm>
              <a:off x="903339" y="9408242"/>
              <a:ext cx="1704733" cy="521892"/>
              <a:chOff x="903339" y="9408242"/>
              <a:chExt cx="1704733" cy="521892"/>
            </a:xfrm>
          </xdr:grpSpPr>
          <xdr:grpSp>
            <xdr:nvGrpSpPr>
              <xdr:cNvPr id="105" name="Group 104">
                <a:extLst>
                  <a:ext uri="{FF2B5EF4-FFF2-40B4-BE49-F238E27FC236}">
                    <a16:creationId xmlns:a16="http://schemas.microsoft.com/office/drawing/2014/main" id="{ADF9D1E2-3DCD-465E-BD2D-3AF5D68DD9F7}"/>
                  </a:ext>
                </a:extLst>
              </xdr:cNvPr>
              <xdr:cNvGrpSpPr/>
            </xdr:nvGrpSpPr>
            <xdr:grpSpPr>
              <a:xfrm>
                <a:off x="903339" y="9408242"/>
                <a:ext cx="1704733" cy="521892"/>
                <a:chOff x="915629" y="9282266"/>
                <a:chExt cx="1704733" cy="521892"/>
              </a:xfrm>
            </xdr:grpSpPr>
            <xdr:cxnSp macro="">
              <xdr:nvCxnSpPr>
                <xdr:cNvPr id="975" name="Straight Connector 974">
                  <a:extLst>
                    <a:ext uri="{FF2B5EF4-FFF2-40B4-BE49-F238E27FC236}">
                      <a16:creationId xmlns:a16="http://schemas.microsoft.com/office/drawing/2014/main" id="{C9EBE136-D056-4BEB-962C-FEE8150035E0}"/>
                    </a:ext>
                  </a:extLst>
                </xdr:cNvPr>
                <xdr:cNvCxnSpPr/>
              </xdr:nvCxnSpPr>
              <xdr:spPr>
                <a:xfrm flipV="1">
                  <a:off x="918009" y="9480646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76" name="Straight Connector 975">
                  <a:extLst>
                    <a:ext uri="{FF2B5EF4-FFF2-40B4-BE49-F238E27FC236}">
                      <a16:creationId xmlns:a16="http://schemas.microsoft.com/office/drawing/2014/main" id="{74E1BEB1-F928-4228-A76D-7F02130EE5FE}"/>
                    </a:ext>
                  </a:extLst>
                </xdr:cNvPr>
                <xdr:cNvCxnSpPr/>
              </xdr:nvCxnSpPr>
              <xdr:spPr>
                <a:xfrm>
                  <a:off x="915629" y="9482396"/>
                  <a:ext cx="673475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77" name="Straight Connector 976">
                  <a:extLst>
                    <a:ext uri="{FF2B5EF4-FFF2-40B4-BE49-F238E27FC236}">
                      <a16:creationId xmlns:a16="http://schemas.microsoft.com/office/drawing/2014/main" id="{2AD3AC1F-B984-4C43-89DF-1BA8ACCFFDE1}"/>
                    </a:ext>
                  </a:extLst>
                </xdr:cNvPr>
                <xdr:cNvCxnSpPr/>
              </xdr:nvCxnSpPr>
              <xdr:spPr>
                <a:xfrm flipV="1">
                  <a:off x="1581965" y="9480649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78" name="TextBox 977">
                  <a:extLst>
                    <a:ext uri="{FF2B5EF4-FFF2-40B4-BE49-F238E27FC236}">
                      <a16:creationId xmlns:a16="http://schemas.microsoft.com/office/drawing/2014/main" id="{8928EF6A-9263-4C18-8C4F-48816B472E9A}"/>
                    </a:ext>
                  </a:extLst>
                </xdr:cNvPr>
                <xdr:cNvSpPr txBox="1"/>
              </xdr:nvSpPr>
              <xdr:spPr>
                <a:xfrm>
                  <a:off x="947727" y="9282266"/>
                  <a:ext cx="840059" cy="21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left</a:t>
                  </a:r>
                  <a:r>
                    <a:rPr lang="en-US" sz="900"/>
                    <a:t>)</a:t>
                  </a:r>
                </a:p>
              </xdr:txBody>
            </xdr:sp>
            <xdr:cxnSp macro="">
              <xdr:nvCxnSpPr>
                <xdr:cNvPr id="979" name="Straight Connector 978">
                  <a:extLst>
                    <a:ext uri="{FF2B5EF4-FFF2-40B4-BE49-F238E27FC236}">
                      <a16:creationId xmlns:a16="http://schemas.microsoft.com/office/drawing/2014/main" id="{05F336BF-C039-45D7-9E43-17DB27F16137}"/>
                    </a:ext>
                  </a:extLst>
                </xdr:cNvPr>
                <xdr:cNvCxnSpPr/>
              </xdr:nvCxnSpPr>
              <xdr:spPr>
                <a:xfrm flipV="1">
                  <a:off x="1772365" y="9483072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80" name="Straight Connector 979">
                  <a:extLst>
                    <a:ext uri="{FF2B5EF4-FFF2-40B4-BE49-F238E27FC236}">
                      <a16:creationId xmlns:a16="http://schemas.microsoft.com/office/drawing/2014/main" id="{1751BEE4-8FF6-4A7B-855B-FD8CD63C26B1}"/>
                    </a:ext>
                  </a:extLst>
                </xdr:cNvPr>
                <xdr:cNvCxnSpPr/>
              </xdr:nvCxnSpPr>
              <xdr:spPr>
                <a:xfrm flipV="1">
                  <a:off x="2436320" y="9483075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81" name="TextBox 980">
                  <a:extLst>
                    <a:ext uri="{FF2B5EF4-FFF2-40B4-BE49-F238E27FC236}">
                      <a16:creationId xmlns:a16="http://schemas.microsoft.com/office/drawing/2014/main" id="{F03D0015-AA6B-4919-82C0-131DCF2AD93F}"/>
                    </a:ext>
                  </a:extLst>
                </xdr:cNvPr>
                <xdr:cNvSpPr txBox="1"/>
              </xdr:nvSpPr>
              <xdr:spPr>
                <a:xfrm>
                  <a:off x="1780304" y="9284922"/>
                  <a:ext cx="840058" cy="21867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right</a:t>
                  </a:r>
                  <a:r>
                    <a:rPr lang="en-US" sz="900"/>
                    <a:t>)</a:t>
                  </a:r>
                </a:p>
              </xdr:txBody>
            </xdr:sp>
          </xdr:grpSp>
          <xdr:cxnSp macro="">
            <xdr:nvCxnSpPr>
              <xdr:cNvPr id="982" name="Straight Connector 981">
                <a:extLst>
                  <a:ext uri="{FF2B5EF4-FFF2-40B4-BE49-F238E27FC236}">
                    <a16:creationId xmlns:a16="http://schemas.microsoft.com/office/drawing/2014/main" id="{DE46127A-1660-4078-80A5-D9001E63462A}"/>
                  </a:ext>
                </a:extLst>
              </xdr:cNvPr>
              <xdr:cNvCxnSpPr/>
            </xdr:nvCxnSpPr>
            <xdr:spPr>
              <a:xfrm>
                <a:off x="1757518" y="9607960"/>
                <a:ext cx="6734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83" name="Group 982">
              <a:extLst>
                <a:ext uri="{FF2B5EF4-FFF2-40B4-BE49-F238E27FC236}">
                  <a16:creationId xmlns:a16="http://schemas.microsoft.com/office/drawing/2014/main" id="{992E43F0-C3F6-4B90-8ECB-4B248BF84585}"/>
                </a:ext>
              </a:extLst>
            </xdr:cNvPr>
            <xdr:cNvGrpSpPr/>
          </xdr:nvGrpSpPr>
          <xdr:grpSpPr>
            <a:xfrm>
              <a:off x="2571750" y="9411315"/>
              <a:ext cx="1704733" cy="521892"/>
              <a:chOff x="903339" y="9408242"/>
              <a:chExt cx="1704733" cy="521892"/>
            </a:xfrm>
          </xdr:grpSpPr>
          <xdr:grpSp>
            <xdr:nvGrpSpPr>
              <xdr:cNvPr id="984" name="Group 983">
                <a:extLst>
                  <a:ext uri="{FF2B5EF4-FFF2-40B4-BE49-F238E27FC236}">
                    <a16:creationId xmlns:a16="http://schemas.microsoft.com/office/drawing/2014/main" id="{9E8B3347-FA7A-4BA6-B409-80232E0BD23B}"/>
                  </a:ext>
                </a:extLst>
              </xdr:cNvPr>
              <xdr:cNvGrpSpPr/>
            </xdr:nvGrpSpPr>
            <xdr:grpSpPr>
              <a:xfrm>
                <a:off x="903339" y="9408242"/>
                <a:ext cx="1704733" cy="521892"/>
                <a:chOff x="915629" y="9282266"/>
                <a:chExt cx="1704733" cy="521892"/>
              </a:xfrm>
            </xdr:grpSpPr>
            <xdr:cxnSp macro="">
              <xdr:nvCxnSpPr>
                <xdr:cNvPr id="986" name="Straight Connector 985">
                  <a:extLst>
                    <a:ext uri="{FF2B5EF4-FFF2-40B4-BE49-F238E27FC236}">
                      <a16:creationId xmlns:a16="http://schemas.microsoft.com/office/drawing/2014/main" id="{43E03D8F-26C4-4DFB-96DE-22C1620E9A33}"/>
                    </a:ext>
                  </a:extLst>
                </xdr:cNvPr>
                <xdr:cNvCxnSpPr/>
              </xdr:nvCxnSpPr>
              <xdr:spPr>
                <a:xfrm flipV="1">
                  <a:off x="918009" y="9480646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87" name="Straight Connector 986">
                  <a:extLst>
                    <a:ext uri="{FF2B5EF4-FFF2-40B4-BE49-F238E27FC236}">
                      <a16:creationId xmlns:a16="http://schemas.microsoft.com/office/drawing/2014/main" id="{84F8C6E7-2492-44DF-A2AC-B478F75035A4}"/>
                    </a:ext>
                  </a:extLst>
                </xdr:cNvPr>
                <xdr:cNvCxnSpPr/>
              </xdr:nvCxnSpPr>
              <xdr:spPr>
                <a:xfrm>
                  <a:off x="915629" y="9482396"/>
                  <a:ext cx="673475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88" name="Straight Connector 987">
                  <a:extLst>
                    <a:ext uri="{FF2B5EF4-FFF2-40B4-BE49-F238E27FC236}">
                      <a16:creationId xmlns:a16="http://schemas.microsoft.com/office/drawing/2014/main" id="{C9898832-2559-4BC8-B052-22BB97199333}"/>
                    </a:ext>
                  </a:extLst>
                </xdr:cNvPr>
                <xdr:cNvCxnSpPr/>
              </xdr:nvCxnSpPr>
              <xdr:spPr>
                <a:xfrm flipV="1">
                  <a:off x="1581965" y="9480649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89" name="TextBox 988">
                  <a:extLst>
                    <a:ext uri="{FF2B5EF4-FFF2-40B4-BE49-F238E27FC236}">
                      <a16:creationId xmlns:a16="http://schemas.microsoft.com/office/drawing/2014/main" id="{39DB2436-EAC0-4625-B988-912FEB7C5D8F}"/>
                    </a:ext>
                  </a:extLst>
                </xdr:cNvPr>
                <xdr:cNvSpPr txBox="1"/>
              </xdr:nvSpPr>
              <xdr:spPr>
                <a:xfrm>
                  <a:off x="947727" y="9282266"/>
                  <a:ext cx="840059" cy="21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left</a:t>
                  </a:r>
                  <a:r>
                    <a:rPr lang="en-US" sz="900"/>
                    <a:t>)</a:t>
                  </a:r>
                </a:p>
              </xdr:txBody>
            </xdr:sp>
            <xdr:cxnSp macro="">
              <xdr:nvCxnSpPr>
                <xdr:cNvPr id="990" name="Straight Connector 989">
                  <a:extLst>
                    <a:ext uri="{FF2B5EF4-FFF2-40B4-BE49-F238E27FC236}">
                      <a16:creationId xmlns:a16="http://schemas.microsoft.com/office/drawing/2014/main" id="{88433BD5-6D9D-4DE8-A577-D88FB310B349}"/>
                    </a:ext>
                  </a:extLst>
                </xdr:cNvPr>
                <xdr:cNvCxnSpPr/>
              </xdr:nvCxnSpPr>
              <xdr:spPr>
                <a:xfrm flipV="1">
                  <a:off x="1772365" y="9483072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91" name="Straight Connector 990">
                  <a:extLst>
                    <a:ext uri="{FF2B5EF4-FFF2-40B4-BE49-F238E27FC236}">
                      <a16:creationId xmlns:a16="http://schemas.microsoft.com/office/drawing/2014/main" id="{0CEB3E98-67BE-4F02-8550-D02F9A411CB4}"/>
                    </a:ext>
                  </a:extLst>
                </xdr:cNvPr>
                <xdr:cNvCxnSpPr/>
              </xdr:nvCxnSpPr>
              <xdr:spPr>
                <a:xfrm flipV="1">
                  <a:off x="2436320" y="9483075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92" name="TextBox 991">
                  <a:extLst>
                    <a:ext uri="{FF2B5EF4-FFF2-40B4-BE49-F238E27FC236}">
                      <a16:creationId xmlns:a16="http://schemas.microsoft.com/office/drawing/2014/main" id="{AB1A8B6E-3C3A-4EB8-98B5-586D282EF84C}"/>
                    </a:ext>
                  </a:extLst>
                </xdr:cNvPr>
                <xdr:cNvSpPr txBox="1"/>
              </xdr:nvSpPr>
              <xdr:spPr>
                <a:xfrm>
                  <a:off x="1780304" y="9284922"/>
                  <a:ext cx="840058" cy="21867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right</a:t>
                  </a:r>
                  <a:r>
                    <a:rPr lang="en-US" sz="900"/>
                    <a:t>)</a:t>
                  </a:r>
                </a:p>
              </xdr:txBody>
            </xdr:sp>
          </xdr:grpSp>
          <xdr:cxnSp macro="">
            <xdr:nvCxnSpPr>
              <xdr:cNvPr id="985" name="Straight Connector 984">
                <a:extLst>
                  <a:ext uri="{FF2B5EF4-FFF2-40B4-BE49-F238E27FC236}">
                    <a16:creationId xmlns:a16="http://schemas.microsoft.com/office/drawing/2014/main" id="{21948526-4449-42B8-BDE4-0F6E5650F830}"/>
                  </a:ext>
                </a:extLst>
              </xdr:cNvPr>
              <xdr:cNvCxnSpPr/>
            </xdr:nvCxnSpPr>
            <xdr:spPr>
              <a:xfrm>
                <a:off x="1757518" y="9607960"/>
                <a:ext cx="6734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93" name="Group 992">
              <a:extLst>
                <a:ext uri="{FF2B5EF4-FFF2-40B4-BE49-F238E27FC236}">
                  <a16:creationId xmlns:a16="http://schemas.microsoft.com/office/drawing/2014/main" id="{E0AA4412-E632-4E6E-9FC9-682682233C4A}"/>
                </a:ext>
              </a:extLst>
            </xdr:cNvPr>
            <xdr:cNvGrpSpPr/>
          </xdr:nvGrpSpPr>
          <xdr:grpSpPr>
            <a:xfrm>
              <a:off x="4203290" y="9414387"/>
              <a:ext cx="1704733" cy="521892"/>
              <a:chOff x="903339" y="9408242"/>
              <a:chExt cx="1704733" cy="521892"/>
            </a:xfrm>
          </xdr:grpSpPr>
          <xdr:grpSp>
            <xdr:nvGrpSpPr>
              <xdr:cNvPr id="994" name="Group 993">
                <a:extLst>
                  <a:ext uri="{FF2B5EF4-FFF2-40B4-BE49-F238E27FC236}">
                    <a16:creationId xmlns:a16="http://schemas.microsoft.com/office/drawing/2014/main" id="{46762568-2831-43E7-8EBC-265AF6DCFFFF}"/>
                  </a:ext>
                </a:extLst>
              </xdr:cNvPr>
              <xdr:cNvGrpSpPr/>
            </xdr:nvGrpSpPr>
            <xdr:grpSpPr>
              <a:xfrm>
                <a:off x="903339" y="9408242"/>
                <a:ext cx="1704733" cy="521892"/>
                <a:chOff x="915629" y="9282266"/>
                <a:chExt cx="1704733" cy="521892"/>
              </a:xfrm>
            </xdr:grpSpPr>
            <xdr:cxnSp macro="">
              <xdr:nvCxnSpPr>
                <xdr:cNvPr id="996" name="Straight Connector 995">
                  <a:extLst>
                    <a:ext uri="{FF2B5EF4-FFF2-40B4-BE49-F238E27FC236}">
                      <a16:creationId xmlns:a16="http://schemas.microsoft.com/office/drawing/2014/main" id="{23C89221-3E05-4A26-BD3C-23635D8ADC18}"/>
                    </a:ext>
                  </a:extLst>
                </xdr:cNvPr>
                <xdr:cNvCxnSpPr/>
              </xdr:nvCxnSpPr>
              <xdr:spPr>
                <a:xfrm flipV="1">
                  <a:off x="918009" y="9480646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97" name="Straight Connector 996">
                  <a:extLst>
                    <a:ext uri="{FF2B5EF4-FFF2-40B4-BE49-F238E27FC236}">
                      <a16:creationId xmlns:a16="http://schemas.microsoft.com/office/drawing/2014/main" id="{C94149A9-1D97-40F7-8C18-4BF64B3AE20D}"/>
                    </a:ext>
                  </a:extLst>
                </xdr:cNvPr>
                <xdr:cNvCxnSpPr/>
              </xdr:nvCxnSpPr>
              <xdr:spPr>
                <a:xfrm>
                  <a:off x="915629" y="9482396"/>
                  <a:ext cx="673475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98" name="Straight Connector 997">
                  <a:extLst>
                    <a:ext uri="{FF2B5EF4-FFF2-40B4-BE49-F238E27FC236}">
                      <a16:creationId xmlns:a16="http://schemas.microsoft.com/office/drawing/2014/main" id="{2EA58791-3B1C-40E4-88AA-D958FD2F4A4A}"/>
                    </a:ext>
                  </a:extLst>
                </xdr:cNvPr>
                <xdr:cNvCxnSpPr/>
              </xdr:nvCxnSpPr>
              <xdr:spPr>
                <a:xfrm flipV="1">
                  <a:off x="1581965" y="9480649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99" name="TextBox 998">
                  <a:extLst>
                    <a:ext uri="{FF2B5EF4-FFF2-40B4-BE49-F238E27FC236}">
                      <a16:creationId xmlns:a16="http://schemas.microsoft.com/office/drawing/2014/main" id="{B3199591-9C0B-42DA-A44B-4290C2F30A12}"/>
                    </a:ext>
                  </a:extLst>
                </xdr:cNvPr>
                <xdr:cNvSpPr txBox="1"/>
              </xdr:nvSpPr>
              <xdr:spPr>
                <a:xfrm>
                  <a:off x="947727" y="9282266"/>
                  <a:ext cx="840059" cy="21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left</a:t>
                  </a:r>
                  <a:r>
                    <a:rPr lang="en-US" sz="900"/>
                    <a:t>)</a:t>
                  </a:r>
                </a:p>
              </xdr:txBody>
            </xdr:sp>
            <xdr:cxnSp macro="">
              <xdr:nvCxnSpPr>
                <xdr:cNvPr id="1000" name="Straight Connector 999">
                  <a:extLst>
                    <a:ext uri="{FF2B5EF4-FFF2-40B4-BE49-F238E27FC236}">
                      <a16:creationId xmlns:a16="http://schemas.microsoft.com/office/drawing/2014/main" id="{04CC2833-F2F7-49A2-B8C5-E9DC201E79C2}"/>
                    </a:ext>
                  </a:extLst>
                </xdr:cNvPr>
                <xdr:cNvCxnSpPr/>
              </xdr:nvCxnSpPr>
              <xdr:spPr>
                <a:xfrm flipV="1">
                  <a:off x="1772365" y="9483072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001" name="Straight Connector 1000">
                  <a:extLst>
                    <a:ext uri="{FF2B5EF4-FFF2-40B4-BE49-F238E27FC236}">
                      <a16:creationId xmlns:a16="http://schemas.microsoft.com/office/drawing/2014/main" id="{8F26BE48-8773-47B2-833C-A667AE43E499}"/>
                    </a:ext>
                  </a:extLst>
                </xdr:cNvPr>
                <xdr:cNvCxnSpPr/>
              </xdr:nvCxnSpPr>
              <xdr:spPr>
                <a:xfrm flipV="1">
                  <a:off x="2436320" y="9483075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02" name="TextBox 1001">
                  <a:extLst>
                    <a:ext uri="{FF2B5EF4-FFF2-40B4-BE49-F238E27FC236}">
                      <a16:creationId xmlns:a16="http://schemas.microsoft.com/office/drawing/2014/main" id="{A2ED516F-045A-49EA-8119-076FA0FFC2FE}"/>
                    </a:ext>
                  </a:extLst>
                </xdr:cNvPr>
                <xdr:cNvSpPr txBox="1"/>
              </xdr:nvSpPr>
              <xdr:spPr>
                <a:xfrm>
                  <a:off x="1780304" y="9284922"/>
                  <a:ext cx="840058" cy="21867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right</a:t>
                  </a:r>
                  <a:r>
                    <a:rPr lang="en-US" sz="900"/>
                    <a:t>)</a:t>
                  </a:r>
                </a:p>
              </xdr:txBody>
            </xdr:sp>
          </xdr:grpSp>
          <xdr:cxnSp macro="">
            <xdr:nvCxnSpPr>
              <xdr:cNvPr id="995" name="Straight Connector 994">
                <a:extLst>
                  <a:ext uri="{FF2B5EF4-FFF2-40B4-BE49-F238E27FC236}">
                    <a16:creationId xmlns:a16="http://schemas.microsoft.com/office/drawing/2014/main" id="{04EDBD3F-1644-49B9-AC83-FE541C9DBDE2}"/>
                  </a:ext>
                </a:extLst>
              </xdr:cNvPr>
              <xdr:cNvCxnSpPr/>
            </xdr:nvCxnSpPr>
            <xdr:spPr>
              <a:xfrm>
                <a:off x="1757518" y="9607960"/>
                <a:ext cx="6734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12" name="직선 연결선 6">
            <a:extLst>
              <a:ext uri="{FF2B5EF4-FFF2-40B4-BE49-F238E27FC236}">
                <a16:creationId xmlns:a16="http://schemas.microsoft.com/office/drawing/2014/main" id="{12ABD1E6-A031-4C25-AF16-748A90C72E3E}"/>
              </a:ext>
            </a:extLst>
          </xdr:cNvPr>
          <xdr:cNvCxnSpPr/>
        </xdr:nvCxnSpPr>
        <xdr:spPr>
          <a:xfrm>
            <a:off x="1988344" y="10136981"/>
            <a:ext cx="236699" cy="0"/>
          </a:xfrm>
          <a:prstGeom prst="line">
            <a:avLst/>
          </a:prstGeom>
          <a:ln w="635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3" name="직선 연결선 29">
            <a:extLst>
              <a:ext uri="{FF2B5EF4-FFF2-40B4-BE49-F238E27FC236}">
                <a16:creationId xmlns:a16="http://schemas.microsoft.com/office/drawing/2014/main" id="{95E6769A-638D-4156-A35C-ED5953E9B645}"/>
              </a:ext>
            </a:extLst>
          </xdr:cNvPr>
          <xdr:cNvCxnSpPr/>
        </xdr:nvCxnSpPr>
        <xdr:spPr>
          <a:xfrm>
            <a:off x="3607594" y="10134600"/>
            <a:ext cx="273030" cy="0"/>
          </a:xfrm>
          <a:prstGeom prst="line">
            <a:avLst/>
          </a:prstGeom>
          <a:ln w="635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4" name="직선 연결선 29">
            <a:extLst>
              <a:ext uri="{FF2B5EF4-FFF2-40B4-BE49-F238E27FC236}">
                <a16:creationId xmlns:a16="http://schemas.microsoft.com/office/drawing/2014/main" id="{218AF3E2-4FAE-449E-9EA9-531CCA7A90CC}"/>
              </a:ext>
            </a:extLst>
          </xdr:cNvPr>
          <xdr:cNvCxnSpPr/>
        </xdr:nvCxnSpPr>
        <xdr:spPr>
          <a:xfrm>
            <a:off x="5264943" y="10139362"/>
            <a:ext cx="280470" cy="0"/>
          </a:xfrm>
          <a:prstGeom prst="line">
            <a:avLst/>
          </a:prstGeom>
          <a:ln w="635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374197</xdr:colOff>
      <xdr:row>3</xdr:row>
      <xdr:rowOff>2334</xdr:rowOff>
    </xdr:from>
    <xdr:to>
      <xdr:col>11</xdr:col>
      <xdr:colOff>307134</xdr:colOff>
      <xdr:row>15</xdr:row>
      <xdr:rowOff>128184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602922" y="802434"/>
          <a:ext cx="3912054" cy="24118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</xdr:colOff>
      <xdr:row>31</xdr:row>
      <xdr:rowOff>87427</xdr:rowOff>
    </xdr:from>
    <xdr:to>
      <xdr:col>6</xdr:col>
      <xdr:colOff>54432</xdr:colOff>
      <xdr:row>33</xdr:row>
      <xdr:rowOff>110002</xdr:rowOff>
    </xdr:to>
    <xdr:pic>
      <xdr:nvPicPr>
        <xdr:cNvPr id="110" name="그림 142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77" t="5852" r="8815" b="45036"/>
        <a:stretch/>
      </xdr:blipFill>
      <xdr:spPr bwMode="auto">
        <a:xfrm>
          <a:off x="1836966" y="5964012"/>
          <a:ext cx="1006930" cy="396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341539</xdr:colOff>
      <xdr:row>252</xdr:row>
      <xdr:rowOff>65655</xdr:rowOff>
    </xdr:from>
    <xdr:to>
      <xdr:col>9</xdr:col>
      <xdr:colOff>280307</xdr:colOff>
      <xdr:row>254</xdr:row>
      <xdr:rowOff>179956</xdr:rowOff>
    </xdr:to>
    <xdr:pic>
      <xdr:nvPicPr>
        <xdr:cNvPr id="111" name="그림 143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47852240"/>
          <a:ext cx="1367518" cy="488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10546</xdr:colOff>
      <xdr:row>259</xdr:row>
      <xdr:rowOff>39120</xdr:rowOff>
    </xdr:from>
    <xdr:to>
      <xdr:col>11</xdr:col>
      <xdr:colOff>90829</xdr:colOff>
      <xdr:row>261</xdr:row>
      <xdr:rowOff>1020</xdr:rowOff>
    </xdr:to>
    <xdr:pic>
      <xdr:nvPicPr>
        <xdr:cNvPr id="112" name="그림 144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21" t="-1" r="29393" b="25000"/>
        <a:stretch/>
      </xdr:blipFill>
      <xdr:spPr bwMode="auto">
        <a:xfrm>
          <a:off x="2868046" y="49135392"/>
          <a:ext cx="1985283" cy="336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118723</xdr:colOff>
      <xdr:row>270</xdr:row>
      <xdr:rowOff>39121</xdr:rowOff>
    </xdr:from>
    <xdr:to>
      <xdr:col>10</xdr:col>
      <xdr:colOff>301058</xdr:colOff>
      <xdr:row>271</xdr:row>
      <xdr:rowOff>162946</xdr:rowOff>
    </xdr:to>
    <xdr:pic>
      <xdr:nvPicPr>
        <xdr:cNvPr id="113" name="그림 145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88" t="1" r="24281" b="31250"/>
        <a:stretch/>
      </xdr:blipFill>
      <xdr:spPr bwMode="auto">
        <a:xfrm>
          <a:off x="2159794" y="51193474"/>
          <a:ext cx="2563585" cy="310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386788</xdr:colOff>
      <xdr:row>273</xdr:row>
      <xdr:rowOff>66638</xdr:rowOff>
    </xdr:from>
    <xdr:to>
      <xdr:col>8</xdr:col>
      <xdr:colOff>191475</xdr:colOff>
      <xdr:row>275</xdr:row>
      <xdr:rowOff>149308</xdr:rowOff>
    </xdr:to>
    <xdr:pic>
      <xdr:nvPicPr>
        <xdr:cNvPr id="115" name="그림 160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7218" b="20387"/>
        <a:stretch/>
      </xdr:blipFill>
      <xdr:spPr bwMode="auto">
        <a:xfrm>
          <a:off x="2836074" y="51782285"/>
          <a:ext cx="757187" cy="456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279626</xdr:colOff>
      <xdr:row>280</xdr:row>
      <xdr:rowOff>22113</xdr:rowOff>
    </xdr:from>
    <xdr:to>
      <xdr:col>9</xdr:col>
      <xdr:colOff>349023</xdr:colOff>
      <xdr:row>281</xdr:row>
      <xdr:rowOff>171111</xdr:rowOff>
    </xdr:to>
    <xdr:pic>
      <xdr:nvPicPr>
        <xdr:cNvPr id="116" name="그림 163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3" r="30990" b="24999"/>
        <a:stretch/>
      </xdr:blipFill>
      <xdr:spPr bwMode="auto">
        <a:xfrm>
          <a:off x="2320697" y="53047448"/>
          <a:ext cx="1974397" cy="336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344013</xdr:colOff>
      <xdr:row>284</xdr:row>
      <xdr:rowOff>73928</xdr:rowOff>
    </xdr:from>
    <xdr:to>
      <xdr:col>8</xdr:col>
      <xdr:colOff>149430</xdr:colOff>
      <xdr:row>286</xdr:row>
      <xdr:rowOff>112478</xdr:rowOff>
    </xdr:to>
    <xdr:pic>
      <xdr:nvPicPr>
        <xdr:cNvPr id="117" name="그림 164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08" r="40538"/>
        <a:stretch/>
      </xdr:blipFill>
      <xdr:spPr bwMode="auto">
        <a:xfrm>
          <a:off x="2385084" y="53847656"/>
          <a:ext cx="1234167" cy="412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165573</xdr:colOff>
      <xdr:row>284</xdr:row>
      <xdr:rowOff>64183</xdr:rowOff>
    </xdr:from>
    <xdr:to>
      <xdr:col>11</xdr:col>
      <xdr:colOff>77289</xdr:colOff>
      <xdr:row>286</xdr:row>
      <xdr:rowOff>122999</xdr:rowOff>
    </xdr:to>
    <xdr:pic>
      <xdr:nvPicPr>
        <xdr:cNvPr id="118" name="그림 169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24" r="42708" b="20063"/>
        <a:stretch/>
      </xdr:blipFill>
      <xdr:spPr bwMode="auto">
        <a:xfrm>
          <a:off x="3839502" y="53837911"/>
          <a:ext cx="864216" cy="433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228386</xdr:colOff>
      <xdr:row>284</xdr:row>
      <xdr:rowOff>9842</xdr:rowOff>
    </xdr:from>
    <xdr:to>
      <xdr:col>4</xdr:col>
      <xdr:colOff>132519</xdr:colOff>
      <xdr:row>287</xdr:row>
      <xdr:rowOff>57468</xdr:rowOff>
    </xdr:to>
    <xdr:pic>
      <xdr:nvPicPr>
        <xdr:cNvPr id="119" name="그림 170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84" r="39091"/>
        <a:stretch/>
      </xdr:blipFill>
      <xdr:spPr bwMode="auto">
        <a:xfrm>
          <a:off x="471004" y="52972436"/>
          <a:ext cx="1363922" cy="613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48882</xdr:colOff>
      <xdr:row>288</xdr:row>
      <xdr:rowOff>15173</xdr:rowOff>
    </xdr:from>
    <xdr:to>
      <xdr:col>3</xdr:col>
      <xdr:colOff>417798</xdr:colOff>
      <xdr:row>290</xdr:row>
      <xdr:rowOff>43748</xdr:rowOff>
    </xdr:to>
    <xdr:pic>
      <xdr:nvPicPr>
        <xdr:cNvPr id="120" name="그림 171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90" r="43432"/>
        <a:stretch/>
      </xdr:blipFill>
      <xdr:spPr bwMode="auto">
        <a:xfrm>
          <a:off x="534118" y="55242201"/>
          <a:ext cx="861367" cy="40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56944</xdr:colOff>
      <xdr:row>288</xdr:row>
      <xdr:rowOff>33937</xdr:rowOff>
    </xdr:from>
    <xdr:to>
      <xdr:col>7</xdr:col>
      <xdr:colOff>174376</xdr:colOff>
      <xdr:row>289</xdr:row>
      <xdr:rowOff>155964</xdr:rowOff>
    </xdr:to>
    <xdr:pic>
      <xdr:nvPicPr>
        <xdr:cNvPr id="121" name="그림 172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48" r="45048" b="29787"/>
        <a:stretch/>
      </xdr:blipFill>
      <xdr:spPr bwMode="auto">
        <a:xfrm>
          <a:off x="2506230" y="54556058"/>
          <a:ext cx="593682" cy="30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220843</xdr:colOff>
      <xdr:row>53</xdr:row>
      <xdr:rowOff>34970</xdr:rowOff>
    </xdr:from>
    <xdr:to>
      <xdr:col>12</xdr:col>
      <xdr:colOff>414243</xdr:colOff>
      <xdr:row>62</xdr:row>
      <xdr:rowOff>129281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pSpPr/>
      </xdr:nvGrpSpPr>
      <xdr:grpSpPr>
        <a:xfrm>
          <a:off x="4354334" y="10117093"/>
          <a:ext cx="1622150" cy="1792636"/>
          <a:chOff x="5402908" y="11004247"/>
          <a:chExt cx="1904257" cy="1789137"/>
        </a:xfrm>
      </xdr:grpSpPr>
      <xdr:sp macro="" textlink="">
        <xdr:nvSpPr>
          <xdr:cNvPr id="7" name="Freeform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/>
        </xdr:nvSpPr>
        <xdr:spPr>
          <a:xfrm>
            <a:off x="5402908" y="11204134"/>
            <a:ext cx="155122" cy="1589250"/>
          </a:xfrm>
          <a:custGeom>
            <a:avLst/>
            <a:gdLst>
              <a:gd name="connsiteX0" fmla="*/ 73478 w 155121"/>
              <a:gd name="connsiteY0" fmla="*/ 0 h 1687286"/>
              <a:gd name="connsiteX1" fmla="*/ 73478 w 155121"/>
              <a:gd name="connsiteY1" fmla="*/ 767443 h 1687286"/>
              <a:gd name="connsiteX2" fmla="*/ 155121 w 155121"/>
              <a:gd name="connsiteY2" fmla="*/ 767443 h 1687286"/>
              <a:gd name="connsiteX3" fmla="*/ 0 w 155121"/>
              <a:gd name="connsiteY3" fmla="*/ 808265 h 1687286"/>
              <a:gd name="connsiteX4" fmla="*/ 78921 w 155121"/>
              <a:gd name="connsiteY4" fmla="*/ 808265 h 1687286"/>
              <a:gd name="connsiteX5" fmla="*/ 78921 w 155121"/>
              <a:gd name="connsiteY5" fmla="*/ 1687286 h 16872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55121" h="1687286">
                <a:moveTo>
                  <a:pt x="73478" y="0"/>
                </a:moveTo>
                <a:lnTo>
                  <a:pt x="73478" y="767443"/>
                </a:lnTo>
                <a:lnTo>
                  <a:pt x="155121" y="767443"/>
                </a:lnTo>
                <a:lnTo>
                  <a:pt x="0" y="808265"/>
                </a:lnTo>
                <a:lnTo>
                  <a:pt x="78921" y="808265"/>
                </a:lnTo>
                <a:lnTo>
                  <a:pt x="78921" y="1687286"/>
                </a:lnTo>
              </a:path>
            </a:pathLst>
          </a:custGeom>
          <a:noFill/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GrpSpPr/>
        </xdr:nvGrpSpPr>
        <xdr:grpSpPr>
          <a:xfrm>
            <a:off x="5472286" y="11004247"/>
            <a:ext cx="1834879" cy="1651015"/>
            <a:chOff x="5403378" y="11106286"/>
            <a:chExt cx="1818139" cy="1667007"/>
          </a:xfrm>
        </xdr:grpSpPr>
        <xdr:sp macro="" textlink="">
          <xdr:nvSpPr>
            <xdr:cNvPr id="9" name="Freeform 8">
              <a:extLst>
                <a:ext uri="{FF2B5EF4-FFF2-40B4-BE49-F238E27FC236}">
                  <a16:creationId xmlns:a16="http://schemas.microsoft.com/office/drawing/2014/main" id="{00000000-0008-0000-0600-000009000000}"/>
                </a:ext>
              </a:extLst>
            </xdr:cNvPr>
            <xdr:cNvSpPr/>
          </xdr:nvSpPr>
          <xdr:spPr>
            <a:xfrm>
              <a:off x="5412921" y="11397343"/>
              <a:ext cx="1240971" cy="293915"/>
            </a:xfrm>
            <a:custGeom>
              <a:avLst/>
              <a:gdLst>
                <a:gd name="connsiteX0" fmla="*/ 933450 w 1240971"/>
                <a:gd name="connsiteY0" fmla="*/ 206829 h 293915"/>
                <a:gd name="connsiteX1" fmla="*/ 1240971 w 1240971"/>
                <a:gd name="connsiteY1" fmla="*/ 206829 h 293915"/>
                <a:gd name="connsiteX2" fmla="*/ 1240971 w 1240971"/>
                <a:gd name="connsiteY2" fmla="*/ 0 h 293915"/>
                <a:gd name="connsiteX3" fmla="*/ 0 w 1240971"/>
                <a:gd name="connsiteY3" fmla="*/ 0 h 293915"/>
                <a:gd name="connsiteX4" fmla="*/ 0 w 1240971"/>
                <a:gd name="connsiteY4" fmla="*/ 293915 h 293915"/>
                <a:gd name="connsiteX5" fmla="*/ 859971 w 1240971"/>
                <a:gd name="connsiteY5" fmla="*/ 293915 h 293915"/>
                <a:gd name="connsiteX6" fmla="*/ 933450 w 1240971"/>
                <a:gd name="connsiteY6" fmla="*/ 206829 h 29391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1240971" h="293915">
                  <a:moveTo>
                    <a:pt x="933450" y="206829"/>
                  </a:moveTo>
                  <a:lnTo>
                    <a:pt x="1240971" y="206829"/>
                  </a:lnTo>
                  <a:lnTo>
                    <a:pt x="1240971" y="0"/>
                  </a:lnTo>
                  <a:lnTo>
                    <a:pt x="0" y="0"/>
                  </a:lnTo>
                  <a:lnTo>
                    <a:pt x="0" y="293915"/>
                  </a:lnTo>
                  <a:lnTo>
                    <a:pt x="859971" y="293915"/>
                  </a:lnTo>
                  <a:lnTo>
                    <a:pt x="933450" y="206829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GrpSpPr/>
          </xdr:nvGrpSpPr>
          <xdr:grpSpPr>
            <a:xfrm>
              <a:off x="5403378" y="11106286"/>
              <a:ext cx="1818139" cy="1667007"/>
              <a:chOff x="2824053" y="12555715"/>
              <a:chExt cx="1811426" cy="1636735"/>
            </a:xfrm>
          </xdr:grpSpPr>
          <xdr:sp macro="" textlink="">
            <xdr:nvSpPr>
              <xdr:cNvPr id="240" name="TextBox 239">
                <a:extLst>
                  <a:ext uri="{FF2B5EF4-FFF2-40B4-BE49-F238E27FC236}">
                    <a16:creationId xmlns:a16="http://schemas.microsoft.com/office/drawing/2014/main" id="{00000000-0008-0000-0600-0000F0000000}"/>
                  </a:ext>
                </a:extLst>
              </xdr:cNvPr>
              <xdr:cNvSpPr txBox="1"/>
            </xdr:nvSpPr>
            <xdr:spPr>
              <a:xfrm>
                <a:off x="4048125" y="12767922"/>
                <a:ext cx="587354" cy="23582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F</a:t>
                </a:r>
                <a:r>
                  <a:rPr lang="en-US" altLang="ko-KR" sz="900" baseline="-25000"/>
                  <a:t>forms</a:t>
                </a:r>
                <a:endParaRPr lang="en-US" sz="900" baseline="-25000"/>
              </a:p>
            </xdr:txBody>
          </xdr:sp>
          <xdr:grpSp>
            <xdr:nvGrpSpPr>
              <xdr:cNvPr id="4" name="Group 3">
                <a:extLst>
                  <a:ext uri="{FF2B5EF4-FFF2-40B4-BE49-F238E27FC236}">
                    <a16:creationId xmlns:a16="http://schemas.microsoft.com/office/drawing/2014/main" id="{00000000-0008-0000-0600-000004000000}"/>
                  </a:ext>
                </a:extLst>
              </xdr:cNvPr>
              <xdr:cNvGrpSpPr/>
            </xdr:nvGrpSpPr>
            <xdr:grpSpPr>
              <a:xfrm>
                <a:off x="2824053" y="12555715"/>
                <a:ext cx="1459379" cy="1636735"/>
                <a:chOff x="2824053" y="12840754"/>
                <a:chExt cx="1459379" cy="1675746"/>
              </a:xfrm>
            </xdr:grpSpPr>
            <xdr:grpSp>
              <xdr:nvGrpSpPr>
                <xdr:cNvPr id="199" name="그룹 168">
                  <a:extLst>
                    <a:ext uri="{FF2B5EF4-FFF2-40B4-BE49-F238E27FC236}">
                      <a16:creationId xmlns:a16="http://schemas.microsoft.com/office/drawing/2014/main" id="{00000000-0008-0000-0600-0000C7000000}"/>
                    </a:ext>
                  </a:extLst>
                </xdr:cNvPr>
                <xdr:cNvGrpSpPr/>
              </xdr:nvGrpSpPr>
              <xdr:grpSpPr>
                <a:xfrm>
                  <a:off x="2824053" y="12840754"/>
                  <a:ext cx="1459379" cy="1675746"/>
                  <a:chOff x="4829506" y="6053432"/>
                  <a:chExt cx="1459379" cy="1598219"/>
                </a:xfrm>
              </xdr:grpSpPr>
              <xdr:grpSp>
                <xdr:nvGrpSpPr>
                  <xdr:cNvPr id="200" name="그룹 75">
                    <a:extLst>
                      <a:ext uri="{FF2B5EF4-FFF2-40B4-BE49-F238E27FC236}">
                        <a16:creationId xmlns:a16="http://schemas.microsoft.com/office/drawing/2014/main" id="{00000000-0008-0000-0600-0000C8000000}"/>
                      </a:ext>
                    </a:extLst>
                  </xdr:cNvPr>
                  <xdr:cNvGrpSpPr/>
                </xdr:nvGrpSpPr>
                <xdr:grpSpPr>
                  <a:xfrm>
                    <a:off x="4839016" y="6053432"/>
                    <a:ext cx="1260487" cy="1598219"/>
                    <a:chOff x="5030532" y="1143545"/>
                    <a:chExt cx="1263341" cy="1582315"/>
                  </a:xfrm>
                </xdr:grpSpPr>
                <xdr:sp macro="" textlink="">
                  <xdr:nvSpPr>
                    <xdr:cNvPr id="219" name="TextBox 218">
                      <a:extLst>
                        <a:ext uri="{FF2B5EF4-FFF2-40B4-BE49-F238E27FC236}">
                          <a16:creationId xmlns:a16="http://schemas.microsoft.com/office/drawing/2014/main" id="{00000000-0008-0000-0600-0000DB000000}"/>
                        </a:ext>
                      </a:extLst>
                    </xdr:cNvPr>
                    <xdr:cNvSpPr txBox="1"/>
                  </xdr:nvSpPr>
                  <xdr:spPr>
                    <a:xfrm>
                      <a:off x="5553876" y="2502935"/>
                      <a:ext cx="739997" cy="2229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Bracket</a:t>
                      </a:r>
                      <a:endParaRPr lang="en-US" sz="900"/>
                    </a:p>
                  </xdr:txBody>
                </xdr:sp>
                <xdr:grpSp>
                  <xdr:nvGrpSpPr>
                    <xdr:cNvPr id="220" name="그룹 77">
                      <a:extLst>
                        <a:ext uri="{FF2B5EF4-FFF2-40B4-BE49-F238E27FC236}">
                          <a16:creationId xmlns:a16="http://schemas.microsoft.com/office/drawing/2014/main" id="{00000000-0008-0000-0600-0000DC000000}"/>
                        </a:ext>
                      </a:extLst>
                    </xdr:cNvPr>
                    <xdr:cNvGrpSpPr/>
                  </xdr:nvGrpSpPr>
                  <xdr:grpSpPr>
                    <a:xfrm>
                      <a:off x="5030532" y="1143545"/>
                      <a:ext cx="1236467" cy="1578507"/>
                      <a:chOff x="5019107" y="1152841"/>
                      <a:chExt cx="1233246" cy="1594372"/>
                    </a:xfrm>
                  </xdr:grpSpPr>
                  <xdr:grpSp>
                    <xdr:nvGrpSpPr>
                      <xdr:cNvPr id="221" name="그룹 78">
                        <a:extLst>
                          <a:ext uri="{FF2B5EF4-FFF2-40B4-BE49-F238E27FC236}">
                            <a16:creationId xmlns:a16="http://schemas.microsoft.com/office/drawing/2014/main" id="{00000000-0008-0000-0600-0000DD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19107" y="1152841"/>
                        <a:ext cx="1104144" cy="1594372"/>
                        <a:chOff x="5014983" y="1172949"/>
                        <a:chExt cx="1103104" cy="1628692"/>
                      </a:xfrm>
                    </xdr:grpSpPr>
                    <xdr:grpSp>
                      <xdr:nvGrpSpPr>
                        <xdr:cNvPr id="233" name="그룹 117">
                          <a:extLst>
                            <a:ext uri="{FF2B5EF4-FFF2-40B4-BE49-F238E27FC236}">
                              <a16:creationId xmlns:a16="http://schemas.microsoft.com/office/drawing/2014/main" id="{00000000-0008-0000-0600-0000E9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014983" y="1716932"/>
                          <a:ext cx="857016" cy="1084709"/>
                          <a:chOff x="5268953" y="313952"/>
                          <a:chExt cx="745542" cy="1069110"/>
                        </a:xfrm>
                      </xdr:grpSpPr>
                      <xdr:grpSp>
                        <xdr:nvGrpSpPr>
                          <xdr:cNvPr id="234" name="그룹 124">
                            <a:extLst>
                              <a:ext uri="{FF2B5EF4-FFF2-40B4-BE49-F238E27FC236}">
                                <a16:creationId xmlns:a16="http://schemas.microsoft.com/office/drawing/2014/main" id="{00000000-0008-0000-0600-0000EA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5268953" y="334363"/>
                            <a:ext cx="596578" cy="1048699"/>
                            <a:chOff x="3797063" y="399805"/>
                            <a:chExt cx="597076" cy="1042482"/>
                          </a:xfrm>
                        </xdr:grpSpPr>
                        <xdr:cxnSp macro="">
                          <xdr:nvCxnSpPr>
                            <xdr:cNvPr id="236" name="직선 연결선 137">
                              <a:extLst>
                                <a:ext uri="{FF2B5EF4-FFF2-40B4-BE49-F238E27FC236}">
                                  <a16:creationId xmlns:a16="http://schemas.microsoft.com/office/drawing/2014/main" id="{00000000-0008-0000-0600-0000EC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797063" y="1442287"/>
                              <a:ext cx="521564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38" name="직선 연결선 139">
                              <a:extLst>
                                <a:ext uri="{FF2B5EF4-FFF2-40B4-BE49-F238E27FC236}">
                                  <a16:creationId xmlns:a16="http://schemas.microsoft.com/office/drawing/2014/main" id="{00000000-0008-0000-0600-0000EE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235" name="직선 연결선 123">
                            <a:extLst>
                              <a:ext uri="{FF2B5EF4-FFF2-40B4-BE49-F238E27FC236}">
                                <a16:creationId xmlns:a16="http://schemas.microsoft.com/office/drawing/2014/main" id="{00000000-0008-0000-0600-0000EB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651145" y="313952"/>
                            <a:ext cx="363350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30" name="직선 화살표 연결선 107">
                          <a:extLst>
                            <a:ext uri="{FF2B5EF4-FFF2-40B4-BE49-F238E27FC236}">
                              <a16:creationId xmlns:a16="http://schemas.microsoft.com/office/drawing/2014/main" id="{00000000-0008-0000-0600-0000E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6018" y="1239453"/>
                          <a:ext cx="0" cy="364057"/>
                        </a:xfrm>
                        <a:prstGeom prst="straightConnector1">
                          <a:avLst/>
                        </a:prstGeom>
                        <a:ln w="28575">
                          <a:solidFill>
                            <a:srgbClr val="FF0000"/>
                          </a:solidFill>
                          <a:tailEnd type="arrow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31" name="TextBox 230">
                          <a:extLst>
                            <a:ext uri="{FF2B5EF4-FFF2-40B4-BE49-F238E27FC236}">
                              <a16:creationId xmlns:a16="http://schemas.microsoft.com/office/drawing/2014/main" id="{00000000-0008-0000-0600-0000E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470545" y="1172949"/>
                          <a:ext cx="647542" cy="234294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F</a:t>
                          </a:r>
                          <a:r>
                            <a:rPr lang="en-US" altLang="ko-KR" sz="900" baseline="-25000"/>
                            <a:t>wet con'c</a:t>
                          </a:r>
                          <a:endParaRPr lang="en-US" sz="900" baseline="-25000"/>
                        </a:p>
                      </xdr:txBody>
                    </xdr:sp>
                  </xdr:grpSp>
                  <xdr:grpSp>
                    <xdr:nvGrpSpPr>
                      <xdr:cNvPr id="222" name="그룹 79">
                        <a:extLst>
                          <a:ext uri="{FF2B5EF4-FFF2-40B4-BE49-F238E27FC236}">
                            <a16:creationId xmlns:a16="http://schemas.microsoft.com/office/drawing/2014/main" id="{00000000-0008-0000-0600-0000DE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481638" y="1588294"/>
                        <a:ext cx="770715" cy="1126331"/>
                        <a:chOff x="5481638" y="1588294"/>
                        <a:chExt cx="770715" cy="1126331"/>
                      </a:xfrm>
                    </xdr:grpSpPr>
                    <xdr:grpSp>
                      <xdr:nvGrpSpPr>
                        <xdr:cNvPr id="223" name="그룹 94">
                          <a:extLst>
                            <a:ext uri="{FF2B5EF4-FFF2-40B4-BE49-F238E27FC236}">
                              <a16:creationId xmlns:a16="http://schemas.microsoft.com/office/drawing/2014/main" id="{00000000-0008-0000-0600-0000D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481638" y="1628569"/>
                          <a:ext cx="770715" cy="1086056"/>
                          <a:chOff x="5481638" y="1628569"/>
                          <a:chExt cx="770715" cy="1086056"/>
                        </a:xfrm>
                      </xdr:grpSpPr>
                      <xdr:cxnSp macro="">
                        <xdr:nvCxnSpPr>
                          <xdr:cNvPr id="226" name="직선 연결선 103">
                            <a:extLst>
                              <a:ext uri="{FF2B5EF4-FFF2-40B4-BE49-F238E27FC236}">
                                <a16:creationId xmlns:a16="http://schemas.microsoft.com/office/drawing/2014/main" id="{00000000-0008-0000-0600-0000E2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33315" y="1726834"/>
                            <a:ext cx="514350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27" name="직선 연결선 104">
                            <a:extLst>
                              <a:ext uri="{FF2B5EF4-FFF2-40B4-BE49-F238E27FC236}">
                                <a16:creationId xmlns:a16="http://schemas.microsoft.com/office/drawing/2014/main" id="{00000000-0008-0000-0600-0000E3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481638" y="1716280"/>
                            <a:ext cx="770715" cy="998345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228" name="자유형 105">
                            <a:extLst>
                              <a:ext uri="{FF2B5EF4-FFF2-40B4-BE49-F238E27FC236}">
                                <a16:creationId xmlns:a16="http://schemas.microsoft.com/office/drawing/2014/main" id="{00000000-0008-0000-0600-0000E4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869782" y="1628569"/>
                            <a:ext cx="381000" cy="82531"/>
                          </a:xfrm>
                          <a:custGeom>
                            <a:avLst/>
                            <a:gdLst>
                              <a:gd name="connsiteX0" fmla="*/ 78581 w 381000"/>
                              <a:gd name="connsiteY0" fmla="*/ 0 h 88107"/>
                              <a:gd name="connsiteX1" fmla="*/ 381000 w 381000"/>
                              <a:gd name="connsiteY1" fmla="*/ 0 h 88107"/>
                              <a:gd name="connsiteX2" fmla="*/ 381000 w 381000"/>
                              <a:gd name="connsiteY2" fmla="*/ 88107 h 88107"/>
                              <a:gd name="connsiteX3" fmla="*/ 0 w 381000"/>
                              <a:gd name="connsiteY3" fmla="*/ 88107 h 88107"/>
                              <a:gd name="connsiteX4" fmla="*/ 78581 w 381000"/>
                              <a:gd name="connsiteY4" fmla="*/ 0 h 88107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</a:cxnLst>
                            <a:rect l="l" t="t" r="r" b="b"/>
                            <a:pathLst>
                              <a:path w="381000" h="88107">
                                <a:moveTo>
                                  <a:pt x="78581" y="0"/>
                                </a:moveTo>
                                <a:lnTo>
                                  <a:pt x="381000" y="0"/>
                                </a:lnTo>
                                <a:lnTo>
                                  <a:pt x="381000" y="88107"/>
                                </a:lnTo>
                                <a:lnTo>
                                  <a:pt x="0" y="88107"/>
                                </a:lnTo>
                                <a:lnTo>
                                  <a:pt x="78581" y="0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n w="31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n-US" sz="1100"/>
                          </a:p>
                        </xdr:txBody>
                      </xdr:sp>
                    </xdr:grpSp>
                    <xdr:sp macro="" textlink="">
                      <xdr:nvSpPr>
                        <xdr:cNvPr id="224" name="원호 95">
                          <a:extLst>
                            <a:ext uri="{FF2B5EF4-FFF2-40B4-BE49-F238E27FC236}">
                              <a16:creationId xmlns:a16="http://schemas.microsoft.com/office/drawing/2014/main" id="{00000000-0008-0000-0600-0000E0000000}"/>
                            </a:ext>
                          </a:extLst>
                        </xdr:cNvPr>
                        <xdr:cNvSpPr/>
                      </xdr:nvSpPr>
                      <xdr:spPr>
                        <a:xfrm rot="11444375">
                          <a:off x="5995988" y="1588294"/>
                          <a:ext cx="250031" cy="326232"/>
                        </a:xfrm>
                        <a:prstGeom prst="arc">
                          <a:avLst/>
                        </a:prstGeom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n-US" sz="1100"/>
                        </a:p>
                      </xdr:txBody>
                    </xdr:sp>
                    <xdr:sp macro="" textlink="">
                      <xdr:nvSpPr>
                        <xdr:cNvPr id="225" name="TextBox 224">
                          <a:extLst>
                            <a:ext uri="{FF2B5EF4-FFF2-40B4-BE49-F238E27FC236}">
                              <a16:creationId xmlns:a16="http://schemas.microsoft.com/office/drawing/2014/main" id="{00000000-0008-0000-0600-0000E1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80117" y="1763467"/>
                          <a:ext cx="240508" cy="20032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>
                              <a:sym typeface="Symbol"/>
                            </a:rPr>
                            <a:t></a:t>
                          </a:r>
                          <a:endParaRPr lang="en-US" sz="900"/>
                        </a:p>
                      </xdr:txBody>
                    </xdr:sp>
                  </xdr:grpSp>
                </xdr:grpSp>
              </xdr:grpSp>
              <xdr:cxnSp macro="">
                <xdr:nvCxnSpPr>
                  <xdr:cNvPr id="201" name="직선 화살표 연결선 150">
                    <a:extLst>
                      <a:ext uri="{FF2B5EF4-FFF2-40B4-BE49-F238E27FC236}">
                        <a16:creationId xmlns:a16="http://schemas.microsoft.com/office/drawing/2014/main" id="{00000000-0008-0000-0600-0000C9000000}"/>
                      </a:ext>
                    </a:extLst>
                  </xdr:cNvPr>
                  <xdr:cNvCxnSpPr/>
                </xdr:nvCxnSpPr>
                <xdr:spPr>
                  <a:xfrm>
                    <a:off x="6072615" y="6131881"/>
                    <a:ext cx="0" cy="405884"/>
                  </a:xfrm>
                  <a:prstGeom prst="straightConnector1">
                    <a:avLst/>
                  </a:prstGeom>
                  <a:ln w="28575">
                    <a:solidFill>
                      <a:srgbClr val="FF0000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202" name="그룹 167">
                    <a:extLst>
                      <a:ext uri="{FF2B5EF4-FFF2-40B4-BE49-F238E27FC236}">
                        <a16:creationId xmlns:a16="http://schemas.microsoft.com/office/drawing/2014/main" id="{00000000-0008-0000-0600-0000CA000000}"/>
                      </a:ext>
                    </a:extLst>
                  </xdr:cNvPr>
                  <xdr:cNvGrpSpPr/>
                </xdr:nvGrpSpPr>
                <xdr:grpSpPr>
                  <a:xfrm>
                    <a:off x="4829506" y="6603321"/>
                    <a:ext cx="1459379" cy="812501"/>
                    <a:chOff x="4829506" y="6603321"/>
                    <a:chExt cx="1459379" cy="812501"/>
                  </a:xfrm>
                </xdr:grpSpPr>
                <xdr:sp macro="" textlink="">
                  <xdr:nvSpPr>
                    <xdr:cNvPr id="203" name="TextBox 202">
                      <a:extLst>
                        <a:ext uri="{FF2B5EF4-FFF2-40B4-BE49-F238E27FC236}">
                          <a16:creationId xmlns:a16="http://schemas.microsoft.com/office/drawing/2014/main" id="{00000000-0008-0000-0600-0000CB000000}"/>
                        </a:ext>
                      </a:extLst>
                    </xdr:cNvPr>
                    <xdr:cNvSpPr txBox="1"/>
                  </xdr:nvSpPr>
                  <xdr:spPr>
                    <a:xfrm>
                      <a:off x="5017707" y="6603321"/>
                      <a:ext cx="359139" cy="22516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V</a:t>
                      </a:r>
                      <a:endParaRPr lang="en-US" sz="900"/>
                    </a:p>
                  </xdr:txBody>
                </xdr:sp>
                <xdr:grpSp>
                  <xdr:nvGrpSpPr>
                    <xdr:cNvPr id="204" name="그룹 166">
                      <a:extLst>
                        <a:ext uri="{FF2B5EF4-FFF2-40B4-BE49-F238E27FC236}">
                          <a16:creationId xmlns:a16="http://schemas.microsoft.com/office/drawing/2014/main" id="{00000000-0008-0000-0600-0000CC000000}"/>
                        </a:ext>
                      </a:extLst>
                    </xdr:cNvPr>
                    <xdr:cNvGrpSpPr/>
                  </xdr:nvGrpSpPr>
                  <xdr:grpSpPr>
                    <a:xfrm>
                      <a:off x="4829506" y="6708622"/>
                      <a:ext cx="1459379" cy="707200"/>
                      <a:chOff x="4829506" y="6708622"/>
                      <a:chExt cx="1459379" cy="707200"/>
                    </a:xfrm>
                  </xdr:grpSpPr>
                  <xdr:grpSp>
                    <xdr:nvGrpSpPr>
                      <xdr:cNvPr id="205" name="그룹 63">
                        <a:extLst>
                          <a:ext uri="{FF2B5EF4-FFF2-40B4-BE49-F238E27FC236}">
                            <a16:creationId xmlns:a16="http://schemas.microsoft.com/office/drawing/2014/main" id="{00000000-0008-0000-0600-0000CD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79204" y="6708622"/>
                        <a:ext cx="255599" cy="413813"/>
                        <a:chOff x="4867273" y="6713385"/>
                        <a:chExt cx="255599" cy="413813"/>
                      </a:xfrm>
                    </xdr:grpSpPr>
                    <xdr:cxnSp macro="">
                      <xdr:nvCxnSpPr>
                        <xdr:cNvPr id="214" name="직선 화살표 연결선 147">
                          <a:extLst>
                            <a:ext uri="{FF2B5EF4-FFF2-40B4-BE49-F238E27FC236}">
                              <a16:creationId xmlns:a16="http://schemas.microsoft.com/office/drawing/2014/main" id="{00000000-0008-0000-0600-0000D6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10955" y="6724766"/>
                          <a:ext cx="111917" cy="402432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headEnd w="sm" len="sm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5" name="직선 화살표 연결선 33">
                          <a:extLst>
                            <a:ext uri="{FF2B5EF4-FFF2-40B4-BE49-F238E27FC236}">
                              <a16:creationId xmlns:a16="http://schemas.microsoft.com/office/drawing/2014/main" id="{00000000-0008-0000-0600-0000D7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867273" y="7120574"/>
                          <a:ext cx="145257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6" name="직선 연결선 55">
                          <a:extLst>
                            <a:ext uri="{FF2B5EF4-FFF2-40B4-BE49-F238E27FC236}">
                              <a16:creationId xmlns:a16="http://schemas.microsoft.com/office/drawing/2014/main" id="{00000000-0008-0000-0600-0000D8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7848" y="6718147"/>
                          <a:ext cx="112712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7" name="직선 연결선 58">
                          <a:extLst>
                            <a:ext uri="{FF2B5EF4-FFF2-40B4-BE49-F238E27FC236}">
                              <a16:creationId xmlns:a16="http://schemas.microsoft.com/office/drawing/2014/main" id="{00000000-0008-0000-0600-0000D9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5862" y="6713385"/>
                          <a:ext cx="0" cy="402431"/>
                        </a:xfrm>
                        <a:prstGeom prst="line">
                          <a:avLst/>
                        </a:prstGeom>
                        <a:ln>
                          <a:prstDash val="sysDot"/>
                          <a:tailEnd type="non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8" name="직선 연결선 60">
                          <a:extLst>
                            <a:ext uri="{FF2B5EF4-FFF2-40B4-BE49-F238E27FC236}">
                              <a16:creationId xmlns:a16="http://schemas.microsoft.com/office/drawing/2014/main" id="{00000000-0008-0000-0600-0000DA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876811" y="6725292"/>
                          <a:ext cx="116670" cy="388145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06" name="TextBox 205">
                        <a:extLst>
                          <a:ext uri="{FF2B5EF4-FFF2-40B4-BE49-F238E27FC236}">
                            <a16:creationId xmlns:a16="http://schemas.microsoft.com/office/drawing/2014/main" id="{00000000-0008-0000-0600-0000CE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829506" y="6988495"/>
                        <a:ext cx="359139" cy="22516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V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  <xdr:grpSp>
                    <xdr:nvGrpSpPr>
                      <xdr:cNvPr id="207" name="그룹 162">
                        <a:extLst>
                          <a:ext uri="{FF2B5EF4-FFF2-40B4-BE49-F238E27FC236}">
                            <a16:creationId xmlns:a16="http://schemas.microsoft.com/office/drawing/2014/main" id="{00000000-0008-0000-0600-0000CF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672138" y="6838956"/>
                        <a:ext cx="616747" cy="414338"/>
                        <a:chOff x="5710234" y="6898481"/>
                        <a:chExt cx="616747" cy="414338"/>
                      </a:xfrm>
                    </xdr:grpSpPr>
                    <xdr:cxnSp macro="">
                      <xdr:nvCxnSpPr>
                        <xdr:cNvPr id="209" name="직선 화살표 연결선 68">
                          <a:extLst>
                            <a:ext uri="{FF2B5EF4-FFF2-40B4-BE49-F238E27FC236}">
                              <a16:creationId xmlns:a16="http://schemas.microsoft.com/office/drawing/2014/main" id="{00000000-0008-0000-0600-0000D1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710234" y="7310437"/>
                          <a:ext cx="319090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0" name="직선 연결선 71">
                          <a:extLst>
                            <a:ext uri="{FF2B5EF4-FFF2-40B4-BE49-F238E27FC236}">
                              <a16:creationId xmlns:a16="http://schemas.microsoft.com/office/drawing/2014/main" id="{00000000-0008-0000-0600-0000D2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710234" y="6900863"/>
                          <a:ext cx="309566" cy="40718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1" name="직선 화살표 연결선 156">
                          <a:extLst>
                            <a:ext uri="{FF2B5EF4-FFF2-40B4-BE49-F238E27FC236}">
                              <a16:creationId xmlns:a16="http://schemas.microsoft.com/office/drawing/2014/main" id="{00000000-0008-0000-0600-0000D3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6022181" y="6898481"/>
                          <a:ext cx="298915" cy="414338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2" name="직선 연결선 158">
                          <a:extLst>
                            <a:ext uri="{FF2B5EF4-FFF2-40B4-BE49-F238E27FC236}">
                              <a16:creationId xmlns:a16="http://schemas.microsoft.com/office/drawing/2014/main" id="{00000000-0008-0000-0600-0000D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9325" y="6900863"/>
                          <a:ext cx="297656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3" name="직선 연결선 161">
                          <a:extLst>
                            <a:ext uri="{FF2B5EF4-FFF2-40B4-BE49-F238E27FC236}">
                              <a16:creationId xmlns:a16="http://schemas.microsoft.com/office/drawing/2014/main" id="{00000000-0008-0000-0600-0000D5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4563" y="6898481"/>
                          <a:ext cx="0" cy="41195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08" name="TextBox 207">
                        <a:extLst>
                          <a:ext uri="{FF2B5EF4-FFF2-40B4-BE49-F238E27FC236}">
                            <a16:creationId xmlns:a16="http://schemas.microsoft.com/office/drawing/2014/main" id="{00000000-0008-0000-0600-0000D0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632280" y="7259033"/>
                        <a:ext cx="437192" cy="156789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F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</xdr:grpSp>
              </xdr:grpSp>
            </xdr:grpSp>
            <xdr:cxnSp macro="">
              <xdr:nvCxnSpPr>
                <xdr:cNvPr id="241" name="직선 연결선 58">
                  <a:extLst>
                    <a:ext uri="{FF2B5EF4-FFF2-40B4-BE49-F238E27FC236}">
                      <a16:creationId xmlns:a16="http://schemas.microsoft.com/office/drawing/2014/main" id="{00000000-0008-0000-0600-0000F1000000}"/>
                    </a:ext>
                  </a:extLst>
                </xdr:cNvPr>
                <xdr:cNvCxnSpPr/>
              </xdr:nvCxnSpPr>
              <xdr:spPr>
                <a:xfrm>
                  <a:off x="3233790" y="14073864"/>
                  <a:ext cx="0" cy="421952"/>
                </a:xfrm>
                <a:prstGeom prst="line">
                  <a:avLst/>
                </a:prstGeom>
                <a:ln>
                  <a:prstDash val="sysDot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42" name="원호 95">
                  <a:extLst>
                    <a:ext uri="{FF2B5EF4-FFF2-40B4-BE49-F238E27FC236}">
                      <a16:creationId xmlns:a16="http://schemas.microsoft.com/office/drawing/2014/main" id="{00000000-0008-0000-0600-0000F2000000}"/>
                    </a:ext>
                  </a:extLst>
                </xdr:cNvPr>
                <xdr:cNvSpPr/>
              </xdr:nvSpPr>
              <xdr:spPr>
                <a:xfrm rot="20183720">
                  <a:off x="3176790" y="14180035"/>
                  <a:ext cx="250118" cy="325667"/>
                </a:xfrm>
                <a:prstGeom prst="arc">
                  <a:avLst>
                    <a:gd name="adj1" fmla="val 16200000"/>
                    <a:gd name="adj2" fmla="val 18250166"/>
                  </a:avLst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243" name="TextBox 242">
                  <a:extLst>
                    <a:ext uri="{FF2B5EF4-FFF2-40B4-BE49-F238E27FC236}">
                      <a16:creationId xmlns:a16="http://schemas.microsoft.com/office/drawing/2014/main" id="{00000000-0008-0000-0600-0000F3000000}"/>
                    </a:ext>
                  </a:extLst>
                </xdr:cNvPr>
                <xdr:cNvSpPr txBox="1"/>
              </xdr:nvSpPr>
              <xdr:spPr>
                <a:xfrm>
                  <a:off x="3139424" y="13978180"/>
                  <a:ext cx="359139" cy="2360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l-GR" altLang="ko-KR" sz="900">
                      <a:ea typeface="맑은 고딕" panose="020B0503020000020004" pitchFamily="50" charset="-127"/>
                    </a:rPr>
                    <a:t>θ</a:t>
                  </a:r>
                  <a:endParaRPr lang="en-US" sz="900"/>
                </a:p>
              </xdr:txBody>
            </xdr:sp>
          </xdr:grpSp>
        </xdr:grpSp>
      </xdr:grpSp>
    </xdr:grpSp>
    <xdr:clientData/>
  </xdr:twoCellAnchor>
  <xdr:twoCellAnchor>
    <xdr:from>
      <xdr:col>10</xdr:col>
      <xdr:colOff>36901</xdr:colOff>
      <xdr:row>287</xdr:row>
      <xdr:rowOff>40092</xdr:rowOff>
    </xdr:from>
    <xdr:to>
      <xdr:col>14</xdr:col>
      <xdr:colOff>272143</xdr:colOff>
      <xdr:row>293</xdr:row>
      <xdr:rowOff>2889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4646642" y="54278677"/>
          <a:ext cx="2140242" cy="1095014"/>
          <a:chOff x="3557639" y="66179700"/>
          <a:chExt cx="2552714" cy="1316800"/>
        </a:xfrm>
      </xdr:grpSpPr>
      <xdr:grpSp>
        <xdr:nvGrpSpPr>
          <xdr:cNvPr id="229" name="그룹 1">
            <a:extLst>
              <a:ext uri="{FF2B5EF4-FFF2-40B4-BE49-F238E27FC236}">
                <a16:creationId xmlns:a16="http://schemas.microsoft.com/office/drawing/2014/main" id="{00000000-0008-0000-0600-0000E5000000}"/>
              </a:ext>
            </a:extLst>
          </xdr:cNvPr>
          <xdr:cNvGrpSpPr/>
        </xdr:nvGrpSpPr>
        <xdr:grpSpPr>
          <a:xfrm>
            <a:off x="3557639" y="66179700"/>
            <a:ext cx="2552714" cy="1316800"/>
            <a:chOff x="7186610" y="1304919"/>
            <a:chExt cx="2551899" cy="1318468"/>
          </a:xfrm>
        </xdr:grpSpPr>
        <xdr:sp macro="" textlink="">
          <xdr:nvSpPr>
            <xdr:cNvPr id="232" name="자유형 57">
              <a:extLst>
                <a:ext uri="{FF2B5EF4-FFF2-40B4-BE49-F238E27FC236}">
                  <a16:creationId xmlns:a16="http://schemas.microsoft.com/office/drawing/2014/main" id="{00000000-0008-0000-0600-0000E8000000}"/>
                </a:ext>
              </a:extLst>
            </xdr:cNvPr>
            <xdr:cNvSpPr/>
          </xdr:nvSpPr>
          <xdr:spPr>
            <a:xfrm>
              <a:off x="7186610" y="1304919"/>
              <a:ext cx="2551899" cy="281934"/>
            </a:xfrm>
            <a:custGeom>
              <a:avLst/>
              <a:gdLst>
                <a:gd name="connsiteX0" fmla="*/ 270761 w 2267627"/>
                <a:gd name="connsiteY0" fmla="*/ 169226 h 234499"/>
                <a:gd name="connsiteX1" fmla="*/ 0 w 2267627"/>
                <a:gd name="connsiteY1" fmla="*/ 169226 h 234499"/>
                <a:gd name="connsiteX2" fmla="*/ 0 w 2267627"/>
                <a:gd name="connsiteY2" fmla="*/ 0 h 234499"/>
                <a:gd name="connsiteX3" fmla="*/ 2267627 w 2267627"/>
                <a:gd name="connsiteY3" fmla="*/ 0 h 234499"/>
                <a:gd name="connsiteX4" fmla="*/ 2267627 w 2267627"/>
                <a:gd name="connsiteY4" fmla="*/ 164391 h 234499"/>
                <a:gd name="connsiteX5" fmla="*/ 1996865 w 2267627"/>
                <a:gd name="connsiteY5" fmla="*/ 164391 h 234499"/>
                <a:gd name="connsiteX6" fmla="*/ 1926757 w 2267627"/>
                <a:gd name="connsiteY6" fmla="*/ 234499 h 234499"/>
                <a:gd name="connsiteX7" fmla="*/ 336034 w 2267627"/>
                <a:gd name="connsiteY7" fmla="*/ 234499 h 234499"/>
                <a:gd name="connsiteX8" fmla="*/ 270761 w 2267627"/>
                <a:gd name="connsiteY8" fmla="*/ 169226 h 23449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2267627" h="234499">
                  <a:moveTo>
                    <a:pt x="270761" y="169226"/>
                  </a:moveTo>
                  <a:lnTo>
                    <a:pt x="0" y="169226"/>
                  </a:lnTo>
                  <a:lnTo>
                    <a:pt x="0" y="0"/>
                  </a:lnTo>
                  <a:lnTo>
                    <a:pt x="2267627" y="0"/>
                  </a:lnTo>
                  <a:lnTo>
                    <a:pt x="2267627" y="164391"/>
                  </a:lnTo>
                  <a:lnTo>
                    <a:pt x="1996865" y="164391"/>
                  </a:lnTo>
                  <a:lnTo>
                    <a:pt x="1926757" y="234499"/>
                  </a:lnTo>
                  <a:lnTo>
                    <a:pt x="336034" y="234499"/>
                  </a:lnTo>
                  <a:lnTo>
                    <a:pt x="270761" y="169226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237" name="그룹 53">
              <a:extLst>
                <a:ext uri="{FF2B5EF4-FFF2-40B4-BE49-F238E27FC236}">
                  <a16:creationId xmlns:a16="http://schemas.microsoft.com/office/drawing/2014/main" id="{00000000-0008-0000-0600-0000ED000000}"/>
                </a:ext>
              </a:extLst>
            </xdr:cNvPr>
            <xdr:cNvGrpSpPr/>
          </xdr:nvGrpSpPr>
          <xdr:grpSpPr>
            <a:xfrm>
              <a:off x="7556448" y="1560615"/>
              <a:ext cx="1806429" cy="1062772"/>
              <a:chOff x="4943474" y="312840"/>
              <a:chExt cx="1571426" cy="1062772"/>
            </a:xfrm>
          </xdr:grpSpPr>
          <xdr:grpSp>
            <xdr:nvGrpSpPr>
              <xdr:cNvPr id="239" name="그룹 47">
                <a:extLst>
                  <a:ext uri="{FF2B5EF4-FFF2-40B4-BE49-F238E27FC236}">
                    <a16:creationId xmlns:a16="http://schemas.microsoft.com/office/drawing/2014/main" id="{00000000-0008-0000-0600-0000EF000000}"/>
                  </a:ext>
                </a:extLst>
              </xdr:cNvPr>
              <xdr:cNvGrpSpPr/>
            </xdr:nvGrpSpPr>
            <xdr:grpSpPr>
              <a:xfrm>
                <a:off x="5342411" y="1109438"/>
                <a:ext cx="300202" cy="131762"/>
                <a:chOff x="5348892" y="1114523"/>
                <a:chExt cx="300202" cy="132565"/>
              </a:xfrm>
            </xdr:grpSpPr>
            <xdr:cxnSp macro="">
              <xdr:nvCxnSpPr>
                <xdr:cNvPr id="273" name="직선 연결선 41">
                  <a:extLst>
                    <a:ext uri="{FF2B5EF4-FFF2-40B4-BE49-F238E27FC236}">
                      <a16:creationId xmlns:a16="http://schemas.microsoft.com/office/drawing/2014/main" id="{00000000-0008-0000-0600-000011010000}"/>
                    </a:ext>
                  </a:extLst>
                </xdr:cNvPr>
                <xdr:cNvCxnSpPr/>
              </xdr:nvCxnSpPr>
              <xdr:spPr>
                <a:xfrm flipV="1">
                  <a:off x="5351347" y="1114523"/>
                  <a:ext cx="0" cy="13256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4" name="직선 연결선 42">
                  <a:extLst>
                    <a:ext uri="{FF2B5EF4-FFF2-40B4-BE49-F238E27FC236}">
                      <a16:creationId xmlns:a16="http://schemas.microsoft.com/office/drawing/2014/main" id="{00000000-0008-0000-0600-000012010000}"/>
                    </a:ext>
                  </a:extLst>
                </xdr:cNvPr>
                <xdr:cNvCxnSpPr/>
              </xdr:nvCxnSpPr>
              <xdr:spPr>
                <a:xfrm flipV="1">
                  <a:off x="5498641" y="1114523"/>
                  <a:ext cx="0" cy="13256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5" name="직선 연결선 44">
                  <a:extLst>
                    <a:ext uri="{FF2B5EF4-FFF2-40B4-BE49-F238E27FC236}">
                      <a16:creationId xmlns:a16="http://schemas.microsoft.com/office/drawing/2014/main" id="{00000000-0008-0000-0600-000013010000}"/>
                    </a:ext>
                  </a:extLst>
                </xdr:cNvPr>
                <xdr:cNvCxnSpPr/>
              </xdr:nvCxnSpPr>
              <xdr:spPr>
                <a:xfrm>
                  <a:off x="5348892" y="1114523"/>
                  <a:ext cx="300202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244" name="그룹 52">
                <a:extLst>
                  <a:ext uri="{FF2B5EF4-FFF2-40B4-BE49-F238E27FC236}">
                    <a16:creationId xmlns:a16="http://schemas.microsoft.com/office/drawing/2014/main" id="{00000000-0008-0000-0600-0000F4000000}"/>
                  </a:ext>
                </a:extLst>
              </xdr:cNvPr>
              <xdr:cNvGrpSpPr/>
            </xdr:nvGrpSpPr>
            <xdr:grpSpPr>
              <a:xfrm>
                <a:off x="4943474" y="312840"/>
                <a:ext cx="1571426" cy="1062772"/>
                <a:chOff x="4943474" y="312840"/>
                <a:chExt cx="1571426" cy="1062772"/>
              </a:xfrm>
            </xdr:grpSpPr>
            <xdr:grpSp>
              <xdr:nvGrpSpPr>
                <xdr:cNvPr id="245" name="그룹 50">
                  <a:extLst>
                    <a:ext uri="{FF2B5EF4-FFF2-40B4-BE49-F238E27FC236}">
                      <a16:creationId xmlns:a16="http://schemas.microsoft.com/office/drawing/2014/main" id="{00000000-0008-0000-0600-0000F5000000}"/>
                    </a:ext>
                  </a:extLst>
                </xdr:cNvPr>
                <xdr:cNvGrpSpPr/>
              </xdr:nvGrpSpPr>
              <xdr:grpSpPr>
                <a:xfrm>
                  <a:off x="4943474" y="312840"/>
                  <a:ext cx="1571426" cy="1062772"/>
                  <a:chOff x="4949316" y="313866"/>
                  <a:chExt cx="1573242" cy="1068620"/>
                </a:xfrm>
              </xdr:grpSpPr>
              <xdr:grpSp>
                <xdr:nvGrpSpPr>
                  <xdr:cNvPr id="247" name="그룹 48">
                    <a:extLst>
                      <a:ext uri="{FF2B5EF4-FFF2-40B4-BE49-F238E27FC236}">
                        <a16:creationId xmlns:a16="http://schemas.microsoft.com/office/drawing/2014/main" id="{00000000-0008-0000-0600-0000F7000000}"/>
                      </a:ext>
                    </a:extLst>
                  </xdr:cNvPr>
                  <xdr:cNvGrpSpPr/>
                </xdr:nvGrpSpPr>
                <xdr:grpSpPr>
                  <a:xfrm>
                    <a:off x="4949316" y="313866"/>
                    <a:ext cx="1573242" cy="1068620"/>
                    <a:chOff x="4949316" y="313866"/>
                    <a:chExt cx="1573242" cy="1068620"/>
                  </a:xfrm>
                </xdr:grpSpPr>
                <xdr:grpSp>
                  <xdr:nvGrpSpPr>
                    <xdr:cNvPr id="249" name="그룹 30">
                      <a:extLst>
                        <a:ext uri="{FF2B5EF4-FFF2-40B4-BE49-F238E27FC236}">
                          <a16:creationId xmlns:a16="http://schemas.microsoft.com/office/drawing/2014/main" id="{00000000-0008-0000-0600-0000F9000000}"/>
                        </a:ext>
                      </a:extLst>
                    </xdr:cNvPr>
                    <xdr:cNvGrpSpPr/>
                  </xdr:nvGrpSpPr>
                  <xdr:grpSpPr>
                    <a:xfrm>
                      <a:off x="4949316" y="313866"/>
                      <a:ext cx="1573242" cy="1068620"/>
                      <a:chOff x="4444381" y="313952"/>
                      <a:chExt cx="1570114" cy="1069110"/>
                    </a:xfrm>
                  </xdr:grpSpPr>
                  <xdr:grpSp>
                    <xdr:nvGrpSpPr>
                      <xdr:cNvPr id="254" name="그룹 26">
                        <a:extLst>
                          <a:ext uri="{FF2B5EF4-FFF2-40B4-BE49-F238E27FC236}">
                            <a16:creationId xmlns:a16="http://schemas.microsoft.com/office/drawing/2014/main" id="{00000000-0008-0000-0600-0000FE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444381" y="315446"/>
                        <a:ext cx="1421154" cy="1067616"/>
                        <a:chOff x="2971800" y="381000"/>
                        <a:chExt cx="1422339" cy="1061287"/>
                      </a:xfrm>
                    </xdr:grpSpPr>
                    <xdr:grpSp>
                      <xdr:nvGrpSpPr>
                        <xdr:cNvPr id="256" name="그룹 7">
                          <a:extLst>
                            <a:ext uri="{FF2B5EF4-FFF2-40B4-BE49-F238E27FC236}">
                              <a16:creationId xmlns:a16="http://schemas.microsoft.com/office/drawing/2014/main" id="{00000000-0008-0000-0600-000000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971800" y="381000"/>
                          <a:ext cx="1422339" cy="1061287"/>
                          <a:chOff x="2971800" y="381000"/>
                          <a:chExt cx="1422339" cy="1061287"/>
                        </a:xfrm>
                      </xdr:grpSpPr>
                      <xdr:cxnSp macro="">
                        <xdr:nvCxnSpPr>
                          <xdr:cNvPr id="269" name="직선 연결선 3">
                            <a:extLst>
                              <a:ext uri="{FF2B5EF4-FFF2-40B4-BE49-F238E27FC236}">
                                <a16:creationId xmlns:a16="http://schemas.microsoft.com/office/drawing/2014/main" id="{00000000-0008-0000-0600-00000D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0" name="직선 연결선 4">
                            <a:extLst>
                              <a:ext uri="{FF2B5EF4-FFF2-40B4-BE49-F238E27FC236}">
                                <a16:creationId xmlns:a16="http://schemas.microsoft.com/office/drawing/2014/main" id="{00000000-0008-0000-0600-00000E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1" name="직선 연결선 5">
                            <a:extLst>
                              <a:ext uri="{FF2B5EF4-FFF2-40B4-BE49-F238E27FC236}">
                                <a16:creationId xmlns:a16="http://schemas.microsoft.com/office/drawing/2014/main" id="{00000000-0008-0000-0600-00000F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2" name="직선 연결선 6">
                            <a:extLst>
                              <a:ext uri="{FF2B5EF4-FFF2-40B4-BE49-F238E27FC236}">
                                <a16:creationId xmlns:a16="http://schemas.microsoft.com/office/drawing/2014/main" id="{00000000-0008-0000-0600-000010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971800" y="381000"/>
                            <a:ext cx="363653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57" name="직선 연결선 9">
                          <a:extLst>
                            <a:ext uri="{FF2B5EF4-FFF2-40B4-BE49-F238E27FC236}">
                              <a16:creationId xmlns:a16="http://schemas.microsoft.com/office/drawing/2014/main" id="{00000000-0008-0000-0600-00000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186114" y="569119"/>
                          <a:ext cx="72975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58" name="직선 연결선 10">
                          <a:extLst>
                            <a:ext uri="{FF2B5EF4-FFF2-40B4-BE49-F238E27FC236}">
                              <a16:creationId xmlns:a16="http://schemas.microsoft.com/office/drawing/2014/main" id="{00000000-0008-0000-0600-000002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221831" y="735807"/>
                          <a:ext cx="70401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59" name="직선 연결선 11">
                          <a:extLst>
                            <a:ext uri="{FF2B5EF4-FFF2-40B4-BE49-F238E27FC236}">
                              <a16:creationId xmlns:a16="http://schemas.microsoft.com/office/drawing/2014/main" id="{00000000-0008-0000-0600-000003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59606" y="569119"/>
                          <a:ext cx="76651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0" name="직선 연결선 12">
                          <a:extLst>
                            <a:ext uri="{FF2B5EF4-FFF2-40B4-BE49-F238E27FC236}">
                              <a16:creationId xmlns:a16="http://schemas.microsoft.com/office/drawing/2014/main" id="{00000000-0008-0000-0600-000004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22319" y="735807"/>
                          <a:ext cx="78219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62" name="TextBox 261">
                          <a:extLst>
                            <a:ext uri="{FF2B5EF4-FFF2-40B4-BE49-F238E27FC236}">
                              <a16:creationId xmlns:a16="http://schemas.microsoft.com/office/drawing/2014/main" id="{00000000-0008-0000-0600-00000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290652" y="537715"/>
                          <a:ext cx="819150" cy="225393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ko-KR" altLang="en-US" sz="900"/>
                            <a:t>수평보강재</a:t>
                          </a:r>
                          <a:endParaRPr lang="en-US" sz="900"/>
                        </a:p>
                      </xdr:txBody>
                    </xdr:sp>
                  </xdr:grpSp>
                  <xdr:cxnSp macro="">
                    <xdr:nvCxnSpPr>
                      <xdr:cNvPr id="255" name="직선 연결선 29">
                        <a:extLst>
                          <a:ext uri="{FF2B5EF4-FFF2-40B4-BE49-F238E27FC236}">
                            <a16:creationId xmlns:a16="http://schemas.microsoft.com/office/drawing/2014/main" id="{00000000-0008-0000-0600-0000FF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651145" y="313952"/>
                        <a:ext cx="363350" cy="0"/>
                      </a:xfrm>
                      <a:prstGeom prst="line">
                        <a:avLst/>
                      </a:prstGeom>
                      <a:ln w="571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250" name="직선 연결선 32">
                      <a:extLst>
                        <a:ext uri="{FF2B5EF4-FFF2-40B4-BE49-F238E27FC236}">
                          <a16:creationId xmlns:a16="http://schemas.microsoft.com/office/drawing/2014/main" id="{00000000-0008-0000-0600-0000FA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496514" y="1271637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51" name="직선 연결선 37">
                      <a:extLst>
                        <a:ext uri="{FF2B5EF4-FFF2-40B4-BE49-F238E27FC236}">
                          <a16:creationId xmlns:a16="http://schemas.microsoft.com/office/drawing/2014/main" id="{00000000-0008-0000-0600-0000FB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646263" y="1274091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52" name="직선 연결선 38">
                      <a:extLst>
                        <a:ext uri="{FF2B5EF4-FFF2-40B4-BE49-F238E27FC236}">
                          <a16:creationId xmlns:a16="http://schemas.microsoft.com/office/drawing/2014/main" id="{00000000-0008-0000-0600-0000FC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793557" y="1274092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53" name="직선 연결선 39">
                      <a:extLst>
                        <a:ext uri="{FF2B5EF4-FFF2-40B4-BE49-F238E27FC236}">
                          <a16:creationId xmlns:a16="http://schemas.microsoft.com/office/drawing/2014/main" id="{00000000-0008-0000-0600-0000FD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960489" y="1271636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48" name="TextBox 247">
                    <a:extLst>
                      <a:ext uri="{FF2B5EF4-FFF2-40B4-BE49-F238E27FC236}">
                        <a16:creationId xmlns:a16="http://schemas.microsoft.com/office/drawing/2014/main" id="{00000000-0008-0000-0600-0000F8000000}"/>
                      </a:ext>
                    </a:extLst>
                  </xdr:cNvPr>
                  <xdr:cNvSpPr txBox="1"/>
                </xdr:nvSpPr>
                <xdr:spPr>
                  <a:xfrm>
                    <a:off x="5287338" y="925319"/>
                    <a:ext cx="517417" cy="21705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w</a:t>
                    </a:r>
                    <a:r>
                      <a:rPr lang="en-US" sz="500"/>
                      <a:t>1</a:t>
                    </a:r>
                    <a:r>
                      <a:rPr lang="en-US" sz="900"/>
                      <a:t>  w</a:t>
                    </a:r>
                    <a:r>
                      <a:rPr lang="en-US" sz="500"/>
                      <a:t>2</a:t>
                    </a:r>
                    <a:endParaRPr lang="en-US" sz="900"/>
                  </a:p>
                </xdr:txBody>
              </xdr:sp>
            </xdr:grpSp>
            <xdr:sp macro="" textlink="">
              <xdr:nvSpPr>
                <xdr:cNvPr id="246" name="TextBox 245">
                  <a:extLst>
                    <a:ext uri="{FF2B5EF4-FFF2-40B4-BE49-F238E27FC236}">
                      <a16:creationId xmlns:a16="http://schemas.microsoft.com/office/drawing/2014/main" id="{00000000-0008-0000-0600-0000F6000000}"/>
                    </a:ext>
                  </a:extLst>
                </xdr:cNvPr>
                <xdr:cNvSpPr txBox="1"/>
              </xdr:nvSpPr>
              <xdr:spPr>
                <a:xfrm>
                  <a:off x="5664331" y="1053151"/>
                  <a:ext cx="818920" cy="2256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ko-KR" altLang="en-US" sz="900"/>
                    <a:t>종리브</a:t>
                  </a:r>
                  <a:endParaRPr lang="en-US" sz="900"/>
                </a:p>
              </xdr:txBody>
            </xdr:sp>
          </xdr:grpSp>
        </xdr:grpSp>
      </xdr:grpSp>
      <xdr:cxnSp macro="">
        <xdr:nvCxnSpPr>
          <xdr:cNvPr id="278" name="직선 연결선 42">
            <a:extLst>
              <a:ext uri="{FF2B5EF4-FFF2-40B4-BE49-F238E27FC236}">
                <a16:creationId xmlns:a16="http://schemas.microsoft.com/office/drawing/2014/main" id="{00000000-0008-0000-0600-000016010000}"/>
              </a:ext>
            </a:extLst>
          </xdr:cNvPr>
          <xdr:cNvCxnSpPr/>
        </xdr:nvCxnSpPr>
        <xdr:spPr>
          <a:xfrm flipV="1">
            <a:off x="4731544" y="67234594"/>
            <a:ext cx="0" cy="131595"/>
          </a:xfrm>
          <a:prstGeom prst="line">
            <a:avLst/>
          </a:prstGeom>
          <a:ln w="3175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187098</xdr:colOff>
      <xdr:row>970</xdr:row>
      <xdr:rowOff>102053</xdr:rowOff>
    </xdr:from>
    <xdr:to>
      <xdr:col>14</xdr:col>
      <xdr:colOff>272143</xdr:colOff>
      <xdr:row>976</xdr:row>
      <xdr:rowOff>59829</xdr:rowOff>
    </xdr:to>
    <xdr:grpSp>
      <xdr:nvGrpSpPr>
        <xdr:cNvPr id="153" name="그룹 59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pSpPr/>
      </xdr:nvGrpSpPr>
      <xdr:grpSpPr>
        <a:xfrm>
          <a:off x="4320589" y="183224671"/>
          <a:ext cx="2466295" cy="1089993"/>
          <a:chOff x="538689" y="21665334"/>
          <a:chExt cx="2549636" cy="1147041"/>
        </a:xfrm>
      </xdr:grpSpPr>
      <xdr:grpSp>
        <xdr:nvGrpSpPr>
          <xdr:cNvPr id="154" name="그룹 17">
            <a:extLst>
              <a:ext uri="{FF2B5EF4-FFF2-40B4-BE49-F238E27FC236}">
                <a16:creationId xmlns:a16="http://schemas.microsoft.com/office/drawing/2014/main" id="{00000000-0008-0000-0600-00009A000000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56" name="그룹 112">
              <a:extLst>
                <a:ext uri="{FF2B5EF4-FFF2-40B4-BE49-F238E27FC236}">
                  <a16:creationId xmlns:a16="http://schemas.microsoft.com/office/drawing/2014/main" id="{00000000-0008-0000-0600-00009C000000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61" name="그룹 176">
                <a:extLst>
                  <a:ext uri="{FF2B5EF4-FFF2-40B4-BE49-F238E27FC236}">
                    <a16:creationId xmlns:a16="http://schemas.microsoft.com/office/drawing/2014/main" id="{00000000-0008-0000-0600-0000A1000000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70" name="자유형 179">
                  <a:extLst>
                    <a:ext uri="{FF2B5EF4-FFF2-40B4-BE49-F238E27FC236}">
                      <a16:creationId xmlns:a16="http://schemas.microsoft.com/office/drawing/2014/main" id="{00000000-0008-0000-0600-0000AA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71" name="그룹 180">
                  <a:extLst>
                    <a:ext uri="{FF2B5EF4-FFF2-40B4-BE49-F238E27FC236}">
                      <a16:creationId xmlns:a16="http://schemas.microsoft.com/office/drawing/2014/main" id="{00000000-0008-0000-0600-0000AB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72" name="그룹 181">
                    <a:extLst>
                      <a:ext uri="{FF2B5EF4-FFF2-40B4-BE49-F238E27FC236}">
                        <a16:creationId xmlns:a16="http://schemas.microsoft.com/office/drawing/2014/main" id="{00000000-0008-0000-0600-0000AC000000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74" name="직선 연결선 183">
                      <a:extLst>
                        <a:ext uri="{FF2B5EF4-FFF2-40B4-BE49-F238E27FC236}">
                          <a16:creationId xmlns:a16="http://schemas.microsoft.com/office/drawing/2014/main" id="{00000000-0008-0000-0600-0000AE000000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5" name="직선 연결선 184">
                      <a:extLst>
                        <a:ext uri="{FF2B5EF4-FFF2-40B4-BE49-F238E27FC236}">
                          <a16:creationId xmlns:a16="http://schemas.microsoft.com/office/drawing/2014/main" id="{00000000-0008-0000-0600-0000AF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6" name="직선 연결선 185">
                      <a:extLst>
                        <a:ext uri="{FF2B5EF4-FFF2-40B4-BE49-F238E27FC236}">
                          <a16:creationId xmlns:a16="http://schemas.microsoft.com/office/drawing/2014/main" id="{00000000-0008-0000-0600-0000B0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7" name="직선 연결선 186">
                      <a:extLst>
                        <a:ext uri="{FF2B5EF4-FFF2-40B4-BE49-F238E27FC236}">
                          <a16:creationId xmlns:a16="http://schemas.microsoft.com/office/drawing/2014/main" id="{00000000-0008-0000-0600-0000B1000000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73" name="직선 연결선 182">
                    <a:extLst>
                      <a:ext uri="{FF2B5EF4-FFF2-40B4-BE49-F238E27FC236}">
                        <a16:creationId xmlns:a16="http://schemas.microsoft.com/office/drawing/2014/main" id="{00000000-0008-0000-0600-0000AD000000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62" name="그룹 122">
                <a:extLst>
                  <a:ext uri="{FF2B5EF4-FFF2-40B4-BE49-F238E27FC236}">
                    <a16:creationId xmlns:a16="http://schemas.microsoft.com/office/drawing/2014/main" id="{00000000-0008-0000-0600-0000A2000000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63" name="TextBox 162">
                  <a:extLst>
                    <a:ext uri="{FF2B5EF4-FFF2-40B4-BE49-F238E27FC236}">
                      <a16:creationId xmlns:a16="http://schemas.microsoft.com/office/drawing/2014/main" id="{00000000-0008-0000-0600-0000A3000000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64" name="그룹 135">
                  <a:extLst>
                    <a:ext uri="{FF2B5EF4-FFF2-40B4-BE49-F238E27FC236}">
                      <a16:creationId xmlns:a16="http://schemas.microsoft.com/office/drawing/2014/main" id="{00000000-0008-0000-0600-0000A4000000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65" name="직선 화살표 연결선 153">
                    <a:extLst>
                      <a:ext uri="{FF2B5EF4-FFF2-40B4-BE49-F238E27FC236}">
                        <a16:creationId xmlns:a16="http://schemas.microsoft.com/office/drawing/2014/main" id="{00000000-0008-0000-0600-0000A5000000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6" name="직선 화살표 연결선 154">
                    <a:extLst>
                      <a:ext uri="{FF2B5EF4-FFF2-40B4-BE49-F238E27FC236}">
                        <a16:creationId xmlns:a16="http://schemas.microsoft.com/office/drawing/2014/main" id="{00000000-0008-0000-0600-0000A6000000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7" name="직선 연결선 155">
                    <a:extLst>
                      <a:ext uri="{FF2B5EF4-FFF2-40B4-BE49-F238E27FC236}">
                        <a16:creationId xmlns:a16="http://schemas.microsoft.com/office/drawing/2014/main" id="{00000000-0008-0000-0600-0000A7000000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8" name="직선 연결선 157">
                    <a:extLst>
                      <a:ext uri="{FF2B5EF4-FFF2-40B4-BE49-F238E27FC236}">
                        <a16:creationId xmlns:a16="http://schemas.microsoft.com/office/drawing/2014/main" id="{00000000-0008-0000-0600-0000A8000000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9" name="직선 연결선 159">
                    <a:extLst>
                      <a:ext uri="{FF2B5EF4-FFF2-40B4-BE49-F238E27FC236}">
                        <a16:creationId xmlns:a16="http://schemas.microsoft.com/office/drawing/2014/main" id="{00000000-0008-0000-0600-0000A9000000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57" name="그룹 16">
              <a:extLst>
                <a:ext uri="{FF2B5EF4-FFF2-40B4-BE49-F238E27FC236}">
                  <a16:creationId xmlns:a16="http://schemas.microsoft.com/office/drawing/2014/main" id="{00000000-0008-0000-0600-00009D000000}"/>
                </a:ext>
              </a:extLst>
            </xdr:cNvPr>
            <xdr:cNvGrpSpPr/>
          </xdr:nvGrpSpPr>
          <xdr:grpSpPr>
            <a:xfrm>
              <a:off x="8039101" y="21978937"/>
              <a:ext cx="257411" cy="542926"/>
              <a:chOff x="8039101" y="21978937"/>
              <a:chExt cx="257411" cy="542926"/>
            </a:xfrm>
          </xdr:grpSpPr>
          <xdr:cxnSp macro="">
            <xdr:nvCxnSpPr>
              <xdr:cNvPr id="158" name="직선 연결선 8">
                <a:extLst>
                  <a:ext uri="{FF2B5EF4-FFF2-40B4-BE49-F238E27FC236}">
                    <a16:creationId xmlns:a16="http://schemas.microsoft.com/office/drawing/2014/main" id="{00000000-0008-0000-0600-00009E000000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9" name="TextBox 158">
                <a:extLst>
                  <a:ext uri="{FF2B5EF4-FFF2-40B4-BE49-F238E27FC236}">
                    <a16:creationId xmlns:a16="http://schemas.microsoft.com/office/drawing/2014/main" id="{00000000-0008-0000-0600-00009F000000}"/>
                  </a:ext>
                </a:extLst>
              </xdr:cNvPr>
              <xdr:cNvSpPr txBox="1"/>
            </xdr:nvSpPr>
            <xdr:spPr>
              <a:xfrm>
                <a:off x="8039101" y="21978937"/>
                <a:ext cx="214312" cy="1964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>
                    <a:sym typeface="Symbol"/>
                  </a:rPr>
                  <a:t></a:t>
                </a:r>
                <a:endParaRPr lang="en-US" sz="900"/>
              </a:p>
            </xdr:txBody>
          </xdr:sp>
          <xdr:sp macro="" textlink="">
            <xdr:nvSpPr>
              <xdr:cNvPr id="160" name="원호 13">
                <a:extLst>
                  <a:ext uri="{FF2B5EF4-FFF2-40B4-BE49-F238E27FC236}">
                    <a16:creationId xmlns:a16="http://schemas.microsoft.com/office/drawing/2014/main" id="{00000000-0008-0000-0600-0000A000000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55" name="직선 화살표 연결선 56">
            <a:extLst>
              <a:ext uri="{FF2B5EF4-FFF2-40B4-BE49-F238E27FC236}">
                <a16:creationId xmlns:a16="http://schemas.microsoft.com/office/drawing/2014/main" id="{00000000-0008-0000-0600-00009B000000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32208</xdr:colOff>
      <xdr:row>47</xdr:row>
      <xdr:rowOff>99440</xdr:rowOff>
    </xdr:from>
    <xdr:ext cx="2304092" cy="2902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TextBox 92">
              <a:extLst>
                <a:ext uri="{FF2B5EF4-FFF2-40B4-BE49-F238E27FC236}">
                  <a16:creationId xmlns:a16="http://schemas.microsoft.com/office/drawing/2014/main" id="{00000000-0008-0000-0600-00005D000000}"/>
                </a:ext>
              </a:extLst>
            </xdr:cNvPr>
            <xdr:cNvSpPr txBox="1"/>
          </xdr:nvSpPr>
          <xdr:spPr>
            <a:xfrm>
              <a:off x="1665065" y="8697453"/>
              <a:ext cx="2304092" cy="2902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𝑙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𝑙𝑤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𝑙𝑓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𝑙𝑐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93" name="TextBox 92"/>
            <xdr:cNvSpPr txBox="1"/>
          </xdr:nvSpPr>
          <xdr:spPr>
            <a:xfrm>
              <a:off x="1665065" y="8697453"/>
              <a:ext cx="2304092" cy="2902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𝑓_𝑙1=(1.25𝑀_𝑙𝑤+1.25𝑀_𝑙𝑜+1.5〖0𝑀〗_𝑙𝑓+1.50𝑀_𝑙𝑐)/𝑆_𝑙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388995</xdr:colOff>
      <xdr:row>84</xdr:row>
      <xdr:rowOff>2040</xdr:rowOff>
    </xdr:from>
    <xdr:ext cx="1090782" cy="4353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C3C86D1-9E3C-4CC6-958A-D91F7569E064}"/>
                </a:ext>
              </a:extLst>
            </xdr:cNvPr>
            <xdr:cNvSpPr txBox="1"/>
          </xdr:nvSpPr>
          <xdr:spPr>
            <a:xfrm>
              <a:off x="1766718" y="16356125"/>
              <a:ext cx="1090782" cy="4353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en-US" altLang="ko-KR" sz="900" b="0" i="0">
                                <a:latin typeface="Cambria Math" panose="02040503050406030204" pitchFamily="18" charset="0"/>
                              </a:rPr>
                              <m:t>b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en-US" altLang="ko-KR" sz="900" b="0" i="0">
                                <a:latin typeface="Cambria Math" panose="02040503050406030204" pitchFamily="18" charset="0"/>
                              </a:rPr>
                              <m:t>fc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US" altLang="ko-KR" sz="900" b="0" i="0">
                                <a:latin typeface="Cambria Math" panose="02040503050406030204" pitchFamily="18" charset="0"/>
                              </a:rPr>
                              <m:t>12</m:t>
                            </m:r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0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f>
                                  <m:f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D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c</m:t>
                                        </m:r>
                                      </m:sub>
                                    </m:sSub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t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w</m:t>
                                        </m:r>
                                      </m:sub>
                                    </m:sSub>
                                  </m:num>
                                  <m:den>
                                    <m:r>
                                      <a:rPr lang="en-US" altLang="ko-KR" sz="900" b="0" i="0">
                                        <a:latin typeface="Cambria Math" panose="02040503050406030204" pitchFamily="18" charset="0"/>
                                      </a:rPr>
                                      <m:t>3</m:t>
                                    </m:r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b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fc</m:t>
                                        </m:r>
                                      </m:sub>
                                    </m:sSub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t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fc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d>
                          </m:e>
                        </m:rad>
                      </m:den>
                    </m:f>
                  </m:oMath>
                </m:oMathPara>
              </a14:m>
              <a:endParaRPr lang="ko-KR" altLang="en-US" sz="900" i="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C3C86D1-9E3C-4CC6-958A-D91F7569E064}"/>
                </a:ext>
              </a:extLst>
            </xdr:cNvPr>
            <xdr:cNvSpPr txBox="1"/>
          </xdr:nvSpPr>
          <xdr:spPr>
            <a:xfrm>
              <a:off x="1766718" y="16356125"/>
              <a:ext cx="1090782" cy="4353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b_fc/√(12(1+(D_c t_w)/(3b_fc t_fc )) )</a:t>
              </a:r>
              <a:endParaRPr lang="ko-KR" altLang="en-US" sz="900" i="0"/>
            </a:p>
          </xdr:txBody>
        </xdr:sp>
      </mc:Fallback>
    </mc:AlternateContent>
    <xdr:clientData/>
  </xdr:oneCellAnchor>
  <xdr:oneCellAnchor>
    <xdr:from>
      <xdr:col>10</xdr:col>
      <xdr:colOff>8504</xdr:colOff>
      <xdr:row>305</xdr:row>
      <xdr:rowOff>102053</xdr:rowOff>
    </xdr:from>
    <xdr:ext cx="1476751" cy="5141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TextBox 275">
              <a:extLst>
                <a:ext uri="{FF2B5EF4-FFF2-40B4-BE49-F238E27FC236}">
                  <a16:creationId xmlns:a16="http://schemas.microsoft.com/office/drawing/2014/main" id="{DC155D1D-C55F-414F-8538-687FDA30ECED}"/>
                </a:ext>
              </a:extLst>
            </xdr:cNvPr>
            <xdr:cNvSpPr txBox="1"/>
          </xdr:nvSpPr>
          <xdr:spPr>
            <a:xfrm>
              <a:off x="4600915" y="58179040"/>
              <a:ext cx="1476751" cy="514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altLang="ko-KR" sz="9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altLang="ko-KR" sz="9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5.34+2.84</m:t>
                        </m:r>
                        <m:sSup>
                          <m:sSup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I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s</m:t>
                                        </m:r>
                                      </m:sub>
                                    </m:sSub>
                                  </m:num>
                                  <m:den>
                                    <m:r>
                                      <m:rPr>
                                        <m:sty m:val="p"/>
                                      </m:rPr>
                                      <a:rPr lang="en-US" altLang="ko-KR" sz="9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w</m:t>
                                    </m:r>
                                    <m:sSubSup>
                                      <m:sSubSupPr>
                                        <m:ctrlP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Sup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t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fc</m:t>
                                        </m:r>
                                      </m:sub>
                                      <m:sup>
                                        <m: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3</m:t>
                                        </m:r>
                                      </m:sup>
                                    </m:sSubSup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1/3</m:t>
                            </m:r>
                          </m:sup>
                        </m:sSup>
                      </m:num>
                      <m:den>
                        <m:sSup>
                          <m:sSupPr>
                            <m:ctrlPr>
                              <a:rPr lang="en-US" altLang="ko-KR" sz="9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m:rPr>
                                <m:sty m:val="p"/>
                              </m:rP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n</m:t>
                            </m:r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+1)</m:t>
                            </m:r>
                          </m:e>
                          <m:sup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altLang="ko-KR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n-US" altLang="ko-KR" sz="9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5.34</m:t>
                    </m:r>
                  </m:oMath>
                </m:oMathPara>
              </a14:m>
              <a:endParaRPr lang="ko-KR" altLang="en-US" sz="900" i="0"/>
            </a:p>
          </xdr:txBody>
        </xdr:sp>
      </mc:Choice>
      <mc:Fallback xmlns="">
        <xdr:sp macro="" textlink="">
          <xdr:nvSpPr>
            <xdr:cNvPr id="276" name="TextBox 275">
              <a:extLst>
                <a:ext uri="{FF2B5EF4-FFF2-40B4-BE49-F238E27FC236}">
                  <a16:creationId xmlns:a16="http://schemas.microsoft.com/office/drawing/2014/main" id="{DC155D1D-C55F-414F-8538-687FDA30ECED}"/>
                </a:ext>
              </a:extLst>
            </xdr:cNvPr>
            <xdr:cNvSpPr txBox="1"/>
          </xdr:nvSpPr>
          <xdr:spPr>
            <a:xfrm>
              <a:off x="4600915" y="58179040"/>
              <a:ext cx="1476751" cy="514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5.34+2.84(I_s/(wt_fc^3 ))^(1/3))/〖(n+1)〗^2 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5.34</a:t>
              </a:r>
              <a:endParaRPr lang="ko-KR" altLang="en-US" sz="900" i="0"/>
            </a:p>
          </xdr:txBody>
        </xdr:sp>
      </mc:Fallback>
    </mc:AlternateContent>
    <xdr:clientData/>
  </xdr:oneCellAnchor>
  <xdr:twoCellAnchor>
    <xdr:from>
      <xdr:col>2</xdr:col>
      <xdr:colOff>201706</xdr:colOff>
      <xdr:row>53</xdr:row>
      <xdr:rowOff>171638</xdr:rowOff>
    </xdr:from>
    <xdr:to>
      <xdr:col>7</xdr:col>
      <xdr:colOff>373023</xdr:colOff>
      <xdr:row>62</xdr:row>
      <xdr:rowOff>180500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413D8584-AFB9-4BDB-9B59-B942E5F4E9C7}"/>
            </a:ext>
          </a:extLst>
        </xdr:cNvPr>
        <xdr:cNvGrpSpPr/>
      </xdr:nvGrpSpPr>
      <xdr:grpSpPr>
        <a:xfrm>
          <a:off x="1001447" y="10253761"/>
          <a:ext cx="2552567" cy="1707187"/>
          <a:chOff x="970564" y="11686932"/>
          <a:chExt cx="2578985" cy="1723860"/>
        </a:xfrm>
      </xdr:grpSpPr>
      <xdr:grpSp>
        <xdr:nvGrpSpPr>
          <xdr:cNvPr id="92" name="Group 91">
            <a:extLst>
              <a:ext uri="{FF2B5EF4-FFF2-40B4-BE49-F238E27FC236}">
                <a16:creationId xmlns:a16="http://schemas.microsoft.com/office/drawing/2014/main" id="{00000000-0008-0000-0600-00005C000000}"/>
              </a:ext>
            </a:extLst>
          </xdr:cNvPr>
          <xdr:cNvGrpSpPr/>
        </xdr:nvGrpSpPr>
        <xdr:grpSpPr>
          <a:xfrm>
            <a:off x="970564" y="11686932"/>
            <a:ext cx="2578985" cy="1723860"/>
            <a:chOff x="1065826" y="10766266"/>
            <a:chExt cx="2977806" cy="2118679"/>
          </a:xfrm>
        </xdr:grpSpPr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00000000-0008-0000-0600-00001A010000}"/>
                </a:ext>
              </a:extLst>
            </xdr:cNvPr>
            <xdr:cNvCxnSpPr/>
          </xdr:nvCxnSpPr>
          <xdr:spPr>
            <a:xfrm>
              <a:off x="3731281" y="12288354"/>
              <a:ext cx="0" cy="202744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91" name="Group 90">
              <a:extLst>
                <a:ext uri="{FF2B5EF4-FFF2-40B4-BE49-F238E27FC236}">
                  <a16:creationId xmlns:a16="http://schemas.microsoft.com/office/drawing/2014/main" id="{00000000-0008-0000-0600-00005B000000}"/>
                </a:ext>
              </a:extLst>
            </xdr:cNvPr>
            <xdr:cNvGrpSpPr/>
          </xdr:nvGrpSpPr>
          <xdr:grpSpPr>
            <a:xfrm>
              <a:off x="1065826" y="10766266"/>
              <a:ext cx="2977806" cy="2118679"/>
              <a:chOff x="1083798" y="10593550"/>
              <a:chExt cx="3031721" cy="2080779"/>
            </a:xfrm>
          </xdr:grpSpPr>
          <xdr:cxnSp macro="">
            <xdr:nvCxnSpPr>
              <xdr:cNvPr id="280" name="Straight Connector 279">
                <a:extLst>
                  <a:ext uri="{FF2B5EF4-FFF2-40B4-BE49-F238E27FC236}">
                    <a16:creationId xmlns:a16="http://schemas.microsoft.com/office/drawing/2014/main" id="{00000000-0008-0000-0600-000018010000}"/>
                  </a:ext>
                </a:extLst>
              </xdr:cNvPr>
              <xdr:cNvCxnSpPr/>
            </xdr:nvCxnSpPr>
            <xdr:spPr>
              <a:xfrm>
                <a:off x="1628890" y="12075141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1" name="Straight Connector 280">
                <a:extLst>
                  <a:ext uri="{FF2B5EF4-FFF2-40B4-BE49-F238E27FC236}">
                    <a16:creationId xmlns:a16="http://schemas.microsoft.com/office/drawing/2014/main" id="{00000000-0008-0000-0600-000019010000}"/>
                  </a:ext>
                </a:extLst>
              </xdr:cNvPr>
              <xdr:cNvCxnSpPr/>
            </xdr:nvCxnSpPr>
            <xdr:spPr>
              <a:xfrm>
                <a:off x="2712262" y="12083259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90" name="Group 89">
                <a:extLst>
                  <a:ext uri="{FF2B5EF4-FFF2-40B4-BE49-F238E27FC236}">
                    <a16:creationId xmlns:a16="http://schemas.microsoft.com/office/drawing/2014/main" id="{00000000-0008-0000-0600-00005A000000}"/>
                  </a:ext>
                </a:extLst>
              </xdr:cNvPr>
              <xdr:cNvGrpSpPr/>
            </xdr:nvGrpSpPr>
            <xdr:grpSpPr>
              <a:xfrm>
                <a:off x="1083798" y="10593550"/>
                <a:ext cx="3031721" cy="2080779"/>
                <a:chOff x="1083798" y="10593550"/>
                <a:chExt cx="3031721" cy="2080779"/>
              </a:xfrm>
            </xdr:grpSpPr>
            <xdr:grpSp>
              <xdr:nvGrpSpPr>
                <xdr:cNvPr id="79" name="Group 78">
                  <a:extLst>
                    <a:ext uri="{FF2B5EF4-FFF2-40B4-BE49-F238E27FC236}">
                      <a16:creationId xmlns:a16="http://schemas.microsoft.com/office/drawing/2014/main" id="{00000000-0008-0000-0600-00004F000000}"/>
                    </a:ext>
                  </a:extLst>
                </xdr:cNvPr>
                <xdr:cNvGrpSpPr/>
              </xdr:nvGrpSpPr>
              <xdr:grpSpPr>
                <a:xfrm>
                  <a:off x="1133916" y="10593550"/>
                  <a:ext cx="2903515" cy="423185"/>
                  <a:chOff x="1121850" y="10663805"/>
                  <a:chExt cx="2866025" cy="426328"/>
                </a:xfrm>
              </xdr:grpSpPr>
              <xdr:grpSp>
                <xdr:nvGrpSpPr>
                  <xdr:cNvPr id="26" name="Group 25">
                    <a:extLst>
                      <a:ext uri="{FF2B5EF4-FFF2-40B4-BE49-F238E27FC236}">
                        <a16:creationId xmlns:a16="http://schemas.microsoft.com/office/drawing/2014/main" id="{00000000-0008-0000-0600-00001A000000}"/>
                      </a:ext>
                    </a:extLst>
                  </xdr:cNvPr>
                  <xdr:cNvGrpSpPr/>
                </xdr:nvGrpSpPr>
                <xdr:grpSpPr>
                  <a:xfrm>
                    <a:off x="1121850" y="10860368"/>
                    <a:ext cx="2866025" cy="229765"/>
                    <a:chOff x="1084049" y="10957694"/>
                    <a:chExt cx="2849468" cy="229012"/>
                  </a:xfrm>
                </xdr:grpSpPr>
                <xdr:cxnSp macro="">
                  <xdr:nvCxnSpPr>
                    <xdr:cNvPr id="15" name="Straight Connector 14">
                      <a:extLst>
                        <a:ext uri="{FF2B5EF4-FFF2-40B4-BE49-F238E27FC236}">
                          <a16:creationId xmlns:a16="http://schemas.microsoft.com/office/drawing/2014/main" id="{00000000-0008-0000-0600-00000F000000}"/>
                        </a:ext>
                      </a:extLst>
                    </xdr:cNvPr>
                    <xdr:cNvCxnSpPr/>
                  </xdr:nvCxnSpPr>
                  <xdr:spPr>
                    <a:xfrm>
                      <a:off x="1091819" y="11179700"/>
                      <a:ext cx="2841698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" name="Straight Connector 21">
                      <a:extLst>
                        <a:ext uri="{FF2B5EF4-FFF2-40B4-BE49-F238E27FC236}">
                          <a16:creationId xmlns:a16="http://schemas.microsoft.com/office/drawing/2014/main" id="{00000000-0008-0000-0600-000016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095570" y="10957694"/>
                      <a:ext cx="0" cy="223593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1" name="Straight Connector 180">
                      <a:extLst>
                        <a:ext uri="{FF2B5EF4-FFF2-40B4-BE49-F238E27FC236}">
                          <a16:creationId xmlns:a16="http://schemas.microsoft.com/office/drawing/2014/main" id="{00000000-0008-0000-0600-0000B5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378721" y="10967708"/>
                      <a:ext cx="0" cy="21358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2" name="Straight Connector 181">
                      <a:extLst>
                        <a:ext uri="{FF2B5EF4-FFF2-40B4-BE49-F238E27FC236}">
                          <a16:creationId xmlns:a16="http://schemas.microsoft.com/office/drawing/2014/main" id="{00000000-0008-0000-0600-0000B6000000}"/>
                        </a:ext>
                      </a:extLst>
                    </xdr:cNvPr>
                    <xdr:cNvCxnSpPr/>
                  </xdr:nvCxnSpPr>
                  <xdr:spPr>
                    <a:xfrm>
                      <a:off x="1084049" y="10959875"/>
                      <a:ext cx="2841263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3" name="Straight Connector 182">
                      <a:extLst>
                        <a:ext uri="{FF2B5EF4-FFF2-40B4-BE49-F238E27FC236}">
                          <a16:creationId xmlns:a16="http://schemas.microsoft.com/office/drawing/2014/main" id="{00000000-0008-0000-0600-0000B7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662848" y="10967708"/>
                      <a:ext cx="0" cy="21899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4" name="Straight Connector 183">
                      <a:extLst>
                        <a:ext uri="{FF2B5EF4-FFF2-40B4-BE49-F238E27FC236}">
                          <a16:creationId xmlns:a16="http://schemas.microsoft.com/office/drawing/2014/main" id="{00000000-0008-0000-0600-0000B8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945999" y="10961294"/>
                      <a:ext cx="0" cy="2254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8" name="Straight Connector 187">
                      <a:extLst>
                        <a:ext uri="{FF2B5EF4-FFF2-40B4-BE49-F238E27FC236}">
                          <a16:creationId xmlns:a16="http://schemas.microsoft.com/office/drawing/2014/main" id="{00000000-0008-0000-0600-0000BC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2230126" y="10964500"/>
                      <a:ext cx="0" cy="219498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9" name="Straight Connector 188">
                      <a:extLst>
                        <a:ext uri="{FF2B5EF4-FFF2-40B4-BE49-F238E27FC236}">
                          <a16:creationId xmlns:a16="http://schemas.microsoft.com/office/drawing/2014/main" id="{00000000-0008-0000-0600-0000BD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2514254" y="10964500"/>
                      <a:ext cx="0" cy="2222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0" name="Straight Connector 189">
                      <a:extLst>
                        <a:ext uri="{FF2B5EF4-FFF2-40B4-BE49-F238E27FC236}">
                          <a16:creationId xmlns:a16="http://schemas.microsoft.com/office/drawing/2014/main" id="{00000000-0008-0000-0600-0000BE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2797405" y="10964500"/>
                      <a:ext cx="0" cy="222204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2" name="Straight Connector 191">
                      <a:extLst>
                        <a:ext uri="{FF2B5EF4-FFF2-40B4-BE49-F238E27FC236}">
                          <a16:creationId xmlns:a16="http://schemas.microsoft.com/office/drawing/2014/main" id="{00000000-0008-0000-0600-0000C0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079801" y="10958086"/>
                      <a:ext cx="0" cy="22049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3" name="Straight Connector 192">
                      <a:extLst>
                        <a:ext uri="{FF2B5EF4-FFF2-40B4-BE49-F238E27FC236}">
                          <a16:creationId xmlns:a16="http://schemas.microsoft.com/office/drawing/2014/main" id="{00000000-0008-0000-0600-0000C1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363927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4" name="Straight Connector 193">
                      <a:extLst>
                        <a:ext uri="{FF2B5EF4-FFF2-40B4-BE49-F238E27FC236}">
                          <a16:creationId xmlns:a16="http://schemas.microsoft.com/office/drawing/2014/main" id="{00000000-0008-0000-0600-0000C2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647079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5" name="Straight Connector 194">
                      <a:extLst>
                        <a:ext uri="{FF2B5EF4-FFF2-40B4-BE49-F238E27FC236}">
                          <a16:creationId xmlns:a16="http://schemas.microsoft.com/office/drawing/2014/main" id="{00000000-0008-0000-0600-0000C3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931205" y="10958089"/>
                      <a:ext cx="0" cy="223207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4" name="TextBox 293">
                    <a:extLst>
                      <a:ext uri="{FF2B5EF4-FFF2-40B4-BE49-F238E27FC236}">
                        <a16:creationId xmlns:a16="http://schemas.microsoft.com/office/drawing/2014/main" id="{00000000-0008-0000-0600-000026010000}"/>
                      </a:ext>
                    </a:extLst>
                  </xdr:cNvPr>
                  <xdr:cNvSpPr txBox="1"/>
                </xdr:nvSpPr>
                <xdr:spPr>
                  <a:xfrm>
                    <a:off x="1569240" y="10663805"/>
                    <a:ext cx="2171309" cy="2482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Lateral uniformly</a:t>
                    </a:r>
                    <a:r>
                      <a:rPr lang="en-US" sz="900" baseline="0"/>
                      <a:t> distributed load w</a:t>
                    </a:r>
                    <a:endParaRPr lang="en-US" sz="900"/>
                  </a:p>
                </xdr:txBody>
              </xdr:sp>
            </xdr:grpSp>
            <xdr:grpSp>
              <xdr:nvGrpSpPr>
                <xdr:cNvPr id="81" name="Group 80">
                  <a:extLst>
                    <a:ext uri="{FF2B5EF4-FFF2-40B4-BE49-F238E27FC236}">
                      <a16:creationId xmlns:a16="http://schemas.microsoft.com/office/drawing/2014/main" id="{00000000-0008-0000-0600-000051000000}"/>
                    </a:ext>
                  </a:extLst>
                </xdr:cNvPr>
                <xdr:cNvGrpSpPr/>
              </xdr:nvGrpSpPr>
              <xdr:grpSpPr>
                <a:xfrm>
                  <a:off x="1115769" y="11874326"/>
                  <a:ext cx="2992135" cy="800003"/>
                  <a:chOff x="1115769" y="11874326"/>
                  <a:chExt cx="2992135" cy="800003"/>
                </a:xfrm>
              </xdr:grpSpPr>
              <xdr:grpSp>
                <xdr:nvGrpSpPr>
                  <xdr:cNvPr id="80" name="Group 79">
                    <a:extLst>
                      <a:ext uri="{FF2B5EF4-FFF2-40B4-BE49-F238E27FC236}">
                        <a16:creationId xmlns:a16="http://schemas.microsoft.com/office/drawing/2014/main" id="{00000000-0008-0000-0600-000050000000}"/>
                      </a:ext>
                    </a:extLst>
                  </xdr:cNvPr>
                  <xdr:cNvGrpSpPr/>
                </xdr:nvGrpSpPr>
                <xdr:grpSpPr>
                  <a:xfrm>
                    <a:off x="1115769" y="12067645"/>
                    <a:ext cx="2992135" cy="606684"/>
                    <a:chOff x="1103303" y="12150040"/>
                    <a:chExt cx="2954737" cy="611670"/>
                  </a:xfrm>
                </xdr:grpSpPr>
                <xdr:grpSp>
                  <xdr:nvGrpSpPr>
                    <xdr:cNvPr id="70" name="Group 69">
                      <a:extLst>
                        <a:ext uri="{FF2B5EF4-FFF2-40B4-BE49-F238E27FC236}">
                          <a16:creationId xmlns:a16="http://schemas.microsoft.com/office/drawing/2014/main" id="{00000000-0008-0000-06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1124367" y="12150040"/>
                      <a:ext cx="2916423" cy="366862"/>
                      <a:chOff x="1118861" y="12117153"/>
                      <a:chExt cx="2899906" cy="365798"/>
                    </a:xfrm>
                  </xdr:grpSpPr>
                  <xdr:cxnSp macro="">
                    <xdr:nvCxnSpPr>
                      <xdr:cNvPr id="28" name="Straight Connector 27">
                        <a:extLst>
                          <a:ext uri="{FF2B5EF4-FFF2-40B4-BE49-F238E27FC236}">
                            <a16:creationId xmlns:a16="http://schemas.microsoft.com/office/drawing/2014/main" id="{00000000-0008-0000-0600-00001C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36506" y="12318803"/>
                        <a:ext cx="2862912" cy="0"/>
                      </a:xfrm>
                      <a:prstGeom prst="line">
                        <a:avLst/>
                      </a:prstGeom>
                      <a:ln w="19050">
                        <a:solidFill>
                          <a:schemeClr val="tx2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9" name="Isosceles Triangle 28">
                        <a:extLst>
                          <a:ext uri="{FF2B5EF4-FFF2-40B4-BE49-F238E27FC236}">
                            <a16:creationId xmlns:a16="http://schemas.microsoft.com/office/drawing/2014/main" id="{00000000-0008-0000-0600-00001D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36989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64" name="Freeform 63">
                        <a:extLst>
                          <a:ext uri="{FF2B5EF4-FFF2-40B4-BE49-F238E27FC236}">
                            <a16:creationId xmlns:a16="http://schemas.microsoft.com/office/drawing/2014/main" id="{00000000-0008-0000-0600-000040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98373" y="12117153"/>
                        <a:ext cx="1063408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289" name="Freeform 288">
                        <a:extLst>
                          <a:ext uri="{FF2B5EF4-FFF2-40B4-BE49-F238E27FC236}">
                            <a16:creationId xmlns:a16="http://schemas.microsoft.com/office/drawing/2014/main" id="{00000000-0008-0000-0600-000021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58518" y="12126939"/>
                        <a:ext cx="1076455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65" name="Freeform 64">
                        <a:extLst>
                          <a:ext uri="{FF2B5EF4-FFF2-40B4-BE49-F238E27FC236}">
                            <a16:creationId xmlns:a16="http://schemas.microsoft.com/office/drawing/2014/main" id="{00000000-0008-0000-0600-000041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725188" y="12130200"/>
                        <a:ext cx="293579" cy="267928"/>
                      </a:xfrm>
                      <a:custGeom>
                        <a:avLst/>
                        <a:gdLst>
                          <a:gd name="connsiteX0" fmla="*/ 0 w 293579"/>
                          <a:gd name="connsiteY0" fmla="*/ 0 h 267483"/>
                          <a:gd name="connsiteX1" fmla="*/ 172886 w 293579"/>
                          <a:gd name="connsiteY1" fmla="*/ 176147 h 267483"/>
                          <a:gd name="connsiteX2" fmla="*/ 293579 w 293579"/>
                          <a:gd name="connsiteY2" fmla="*/ 267483 h 267483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293579" h="267483">
                            <a:moveTo>
                              <a:pt x="0" y="0"/>
                            </a:moveTo>
                            <a:cubicBezTo>
                              <a:pt x="61978" y="65783"/>
                              <a:pt x="123956" y="131567"/>
                              <a:pt x="172886" y="176147"/>
                            </a:cubicBezTo>
                            <a:cubicBezTo>
                              <a:pt x="221816" y="220728"/>
                              <a:pt x="262047" y="240300"/>
                              <a:pt x="293579" y="267483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66" name="Freeform 65">
                        <a:extLst>
                          <a:ext uri="{FF2B5EF4-FFF2-40B4-BE49-F238E27FC236}">
                            <a16:creationId xmlns:a16="http://schemas.microsoft.com/office/drawing/2014/main" id="{00000000-0008-0000-0600-000042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118861" y="12126939"/>
                        <a:ext cx="486036" cy="336430"/>
                      </a:xfrm>
                      <a:custGeom>
                        <a:avLst/>
                        <a:gdLst>
                          <a:gd name="connsiteX0" fmla="*/ 486036 w 486036"/>
                          <a:gd name="connsiteY0" fmla="*/ 0 h 335985"/>
                          <a:gd name="connsiteX1" fmla="*/ 306627 w 486036"/>
                          <a:gd name="connsiteY1" fmla="*/ 169623 h 335985"/>
                          <a:gd name="connsiteX2" fmla="*/ 166362 w 486036"/>
                          <a:gd name="connsiteY2" fmla="*/ 270745 h 335985"/>
                          <a:gd name="connsiteX3" fmla="*/ 65240 w 486036"/>
                          <a:gd name="connsiteY3" fmla="*/ 316413 h 335985"/>
                          <a:gd name="connsiteX4" fmla="*/ 0 w 486036"/>
                          <a:gd name="connsiteY4" fmla="*/ 335985 h 335985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  <a:cxn ang="0">
                            <a:pos x="connsiteX3" y="connsiteY3"/>
                          </a:cxn>
                          <a:cxn ang="0">
                            <a:pos x="connsiteX4" y="connsiteY4"/>
                          </a:cxn>
                        </a:cxnLst>
                        <a:rect l="l" t="t" r="r" b="b"/>
                        <a:pathLst>
                          <a:path w="486036" h="335985">
                            <a:moveTo>
                              <a:pt x="486036" y="0"/>
                            </a:moveTo>
                            <a:cubicBezTo>
                              <a:pt x="422971" y="62249"/>
                              <a:pt x="359906" y="124499"/>
                              <a:pt x="306627" y="169623"/>
                            </a:cubicBezTo>
                            <a:cubicBezTo>
                              <a:pt x="253348" y="214747"/>
                              <a:pt x="206593" y="246280"/>
                              <a:pt x="166362" y="270745"/>
                            </a:cubicBezTo>
                            <a:cubicBezTo>
                              <a:pt x="126131" y="295210"/>
                              <a:pt x="92967" y="305540"/>
                              <a:pt x="65240" y="316413"/>
                            </a:cubicBezTo>
                            <a:cubicBezTo>
                              <a:pt x="37513" y="327286"/>
                              <a:pt x="5437" y="326199"/>
                              <a:pt x="0" y="335985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292" name="Isosceles Triangle 291">
                        <a:extLst>
                          <a:ext uri="{FF2B5EF4-FFF2-40B4-BE49-F238E27FC236}">
                            <a16:creationId xmlns:a16="http://schemas.microsoft.com/office/drawing/2014/main" id="{00000000-0008-0000-0600-000024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01781" y="123260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293" name="Isosceles Triangle 292">
                        <a:extLst>
                          <a:ext uri="{FF2B5EF4-FFF2-40B4-BE49-F238E27FC236}">
                            <a16:creationId xmlns:a16="http://schemas.microsoft.com/office/drawing/2014/main" id="{00000000-0008-0000-0600-000025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670638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</xdr:grpSp>
                <xdr:grpSp>
                  <xdr:nvGrpSpPr>
                    <xdr:cNvPr id="78" name="Group 77">
                      <a:extLst>
                        <a:ext uri="{FF2B5EF4-FFF2-40B4-BE49-F238E27FC236}">
                          <a16:creationId xmlns:a16="http://schemas.microsoft.com/office/drawing/2014/main" id="{00000000-0008-0000-0600-00004E000000}"/>
                        </a:ext>
                      </a:extLst>
                    </xdr:cNvPr>
                    <xdr:cNvGrpSpPr/>
                  </xdr:nvGrpSpPr>
                  <xdr:grpSpPr>
                    <a:xfrm>
                      <a:off x="1103303" y="12539761"/>
                      <a:ext cx="2954737" cy="153555"/>
                      <a:chOff x="1103303" y="12539761"/>
                      <a:chExt cx="2954737" cy="153555"/>
                    </a:xfrm>
                  </xdr:grpSpPr>
                  <xdr:cxnSp macro="">
                    <xdr:nvCxnSpPr>
                      <xdr:cNvPr id="74" name="Straight Connector 73">
                        <a:extLst>
                          <a:ext uri="{FF2B5EF4-FFF2-40B4-BE49-F238E27FC236}">
                            <a16:creationId xmlns:a16="http://schemas.microsoft.com/office/drawing/2014/main" id="{00000000-0008-0000-0600-00004A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03303" y="12693316"/>
                        <a:ext cx="2954737" cy="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6" name="Straight Connector 75">
                        <a:extLst>
                          <a:ext uri="{FF2B5EF4-FFF2-40B4-BE49-F238E27FC236}">
                            <a16:creationId xmlns:a16="http://schemas.microsoft.com/office/drawing/2014/main" id="{00000000-0008-0000-0600-00004C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601390" y="12541164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96" name="Straight Connector 295">
                        <a:extLst>
                          <a:ext uri="{FF2B5EF4-FFF2-40B4-BE49-F238E27FC236}">
                            <a16:creationId xmlns:a16="http://schemas.microsoft.com/office/drawing/2014/main" id="{00000000-0008-0000-0600-000028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2675809" y="12539762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97" name="Straight Connector 296">
                        <a:extLst>
                          <a:ext uri="{FF2B5EF4-FFF2-40B4-BE49-F238E27FC236}">
                            <a16:creationId xmlns:a16="http://schemas.microsoft.com/office/drawing/2014/main" id="{00000000-0008-0000-0600-000029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3754942" y="12539761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sp macro="" textlink="">
                  <xdr:nvSpPr>
                    <xdr:cNvPr id="300" name="TextBox 299">
                      <a:extLst>
                        <a:ext uri="{FF2B5EF4-FFF2-40B4-BE49-F238E27FC236}">
                          <a16:creationId xmlns:a16="http://schemas.microsoft.com/office/drawing/2014/main" id="{00000000-0008-0000-0600-00002C010000}"/>
                        </a:ext>
                      </a:extLst>
                    </xdr:cNvPr>
                    <xdr:cNvSpPr txBox="1"/>
                  </xdr:nvSpPr>
                  <xdr:spPr>
                    <a:xfrm>
                      <a:off x="1976575" y="12525998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  <xdr:sp macro="" textlink="">
                  <xdr:nvSpPr>
                    <xdr:cNvPr id="301" name="TextBox 300">
                      <a:extLst>
                        <a:ext uri="{FF2B5EF4-FFF2-40B4-BE49-F238E27FC236}">
                          <a16:creationId xmlns:a16="http://schemas.microsoft.com/office/drawing/2014/main" id="{00000000-0008-0000-0600-00002D010000}"/>
                        </a:ext>
                      </a:extLst>
                    </xdr:cNvPr>
                    <xdr:cNvSpPr txBox="1"/>
                  </xdr:nvSpPr>
                  <xdr:spPr>
                    <a:xfrm>
                      <a:off x="3083236" y="12520491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</xdr:grpSp>
              <xdr:sp macro="" textlink="">
                <xdr:nvSpPr>
                  <xdr:cNvPr id="303" name="TextBox 302">
                    <a:extLst>
                      <a:ext uri="{FF2B5EF4-FFF2-40B4-BE49-F238E27FC236}">
                        <a16:creationId xmlns:a16="http://schemas.microsoft.com/office/drawing/2014/main" id="{00000000-0008-0000-0600-00002F010000}"/>
                      </a:ext>
                    </a:extLst>
                  </xdr:cNvPr>
                  <xdr:cNvSpPr txBox="1"/>
                </xdr:nvSpPr>
                <xdr:spPr>
                  <a:xfrm>
                    <a:off x="1374835" y="11874326"/>
                    <a:ext cx="991528" cy="2339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  <xdr:sp macro="" textlink="">
                <xdr:nvSpPr>
                  <xdr:cNvPr id="307" name="TextBox 306">
                    <a:extLst>
                      <a:ext uri="{FF2B5EF4-FFF2-40B4-BE49-F238E27FC236}">
                        <a16:creationId xmlns:a16="http://schemas.microsoft.com/office/drawing/2014/main" id="{00000000-0008-0000-0600-000033010000}"/>
                      </a:ext>
                    </a:extLst>
                  </xdr:cNvPr>
                  <xdr:cNvSpPr txBox="1"/>
                </xdr:nvSpPr>
                <xdr:spPr>
                  <a:xfrm>
                    <a:off x="2408208" y="11874327"/>
                    <a:ext cx="925542" cy="23397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</xdr:grpSp>
            <xdr:grpSp>
              <xdr:nvGrpSpPr>
                <xdr:cNvPr id="89" name="Group 88">
                  <a:extLst>
                    <a:ext uri="{FF2B5EF4-FFF2-40B4-BE49-F238E27FC236}">
                      <a16:creationId xmlns:a16="http://schemas.microsoft.com/office/drawing/2014/main" id="{00000000-0008-0000-0600-000059000000}"/>
                    </a:ext>
                  </a:extLst>
                </xdr:cNvPr>
                <xdr:cNvGrpSpPr/>
              </xdr:nvGrpSpPr>
              <xdr:grpSpPr>
                <a:xfrm>
                  <a:off x="1083798" y="11138253"/>
                  <a:ext cx="3031721" cy="575632"/>
                  <a:chOff x="1083798" y="11138253"/>
                  <a:chExt cx="3031721" cy="575632"/>
                </a:xfrm>
              </xdr:grpSpPr>
              <xdr:cxnSp macro="">
                <xdr:nvCxnSpPr>
                  <xdr:cNvPr id="84" name="Straight Connector 83">
                    <a:extLst>
                      <a:ext uri="{FF2B5EF4-FFF2-40B4-BE49-F238E27FC236}">
                        <a16:creationId xmlns:a16="http://schemas.microsoft.com/office/drawing/2014/main" id="{00000000-0008-0000-0600-000054000000}"/>
                      </a:ext>
                    </a:extLst>
                  </xdr:cNvPr>
                  <xdr:cNvCxnSpPr/>
                </xdr:nvCxnSpPr>
                <xdr:spPr>
                  <a:xfrm>
                    <a:off x="1644410" y="11202059"/>
                    <a:ext cx="1069316" cy="494222"/>
                  </a:xfrm>
                  <a:prstGeom prst="line">
                    <a:avLst/>
                  </a:prstGeom>
                  <a:ln w="66675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8" name="Straight Connector 307">
                    <a:extLst>
                      <a:ext uri="{FF2B5EF4-FFF2-40B4-BE49-F238E27FC236}">
                        <a16:creationId xmlns:a16="http://schemas.microsoft.com/office/drawing/2014/main" id="{00000000-0008-0000-0600-000034010000}"/>
                      </a:ext>
                    </a:extLst>
                  </xdr:cNvPr>
                  <xdr:cNvCxnSpPr/>
                </xdr:nvCxnSpPr>
                <xdr:spPr>
                  <a:xfrm>
                    <a:off x="3836956" y="11202060"/>
                    <a:ext cx="278563" cy="128747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6" name="Straight Connector 315">
                    <a:extLst>
                      <a:ext uri="{FF2B5EF4-FFF2-40B4-BE49-F238E27FC236}">
                        <a16:creationId xmlns:a16="http://schemas.microsoft.com/office/drawing/2014/main" id="{00000000-0008-0000-0600-00003C010000}"/>
                      </a:ext>
                    </a:extLst>
                  </xdr:cNvPr>
                  <xdr:cNvCxnSpPr/>
                </xdr:nvCxnSpPr>
                <xdr:spPr>
                  <a:xfrm flipV="1">
                    <a:off x="2722712" y="11193072"/>
                    <a:ext cx="1096274" cy="503208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8" name="Straight Connector 317">
                    <a:extLst>
                      <a:ext uri="{FF2B5EF4-FFF2-40B4-BE49-F238E27FC236}">
                        <a16:creationId xmlns:a16="http://schemas.microsoft.com/office/drawing/2014/main" id="{00000000-0008-0000-0600-00003E010000}"/>
                      </a:ext>
                    </a:extLst>
                  </xdr:cNvPr>
                  <xdr:cNvCxnSpPr/>
                </xdr:nvCxnSpPr>
                <xdr:spPr>
                  <a:xfrm flipV="1">
                    <a:off x="1087288" y="11193073"/>
                    <a:ext cx="512193" cy="235105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69" name="Group 68">
                    <a:extLst>
                      <a:ext uri="{FF2B5EF4-FFF2-40B4-BE49-F238E27FC236}">
                        <a16:creationId xmlns:a16="http://schemas.microsoft.com/office/drawing/2014/main" id="{00000000-0008-0000-0600-000045000000}"/>
                      </a:ext>
                    </a:extLst>
                  </xdr:cNvPr>
                  <xdr:cNvGrpSpPr/>
                </xdr:nvGrpSpPr>
                <xdr:grpSpPr>
                  <a:xfrm>
                    <a:off x="1083798" y="11138253"/>
                    <a:ext cx="3021635" cy="575632"/>
                    <a:chOff x="1085265" y="11346627"/>
                    <a:chExt cx="3026036" cy="592688"/>
                  </a:xfrm>
                </xdr:grpSpPr>
                <xdr:cxnSp macro="">
                  <xdr:nvCxnSpPr>
                    <xdr:cNvPr id="13" name="Straight Connector 12">
                      <a:extLst>
                        <a:ext uri="{FF2B5EF4-FFF2-40B4-BE49-F238E27FC236}">
                          <a16:creationId xmlns:a16="http://schemas.microsoft.com/office/drawing/2014/main" id="{00000000-0008-0000-0600-00000D000000}"/>
                        </a:ext>
                      </a:extLst>
                    </xdr:cNvPr>
                    <xdr:cNvCxnSpPr/>
                  </xdr:nvCxnSpPr>
                  <xdr:spPr>
                    <a:xfrm>
                      <a:off x="1607976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9" name="Straight Connector 178">
                      <a:extLst>
                        <a:ext uri="{FF2B5EF4-FFF2-40B4-BE49-F238E27FC236}">
                          <a16:creationId xmlns:a16="http://schemas.microsoft.com/office/drawing/2014/main" id="{00000000-0008-0000-0600-0000B3000000}"/>
                        </a:ext>
                      </a:extLst>
                    </xdr:cNvPr>
                    <xdr:cNvCxnSpPr/>
                  </xdr:nvCxnSpPr>
                  <xdr:spPr>
                    <a:xfrm>
                      <a:off x="3807668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8" name="Straight Connector 177">
                      <a:extLst>
                        <a:ext uri="{FF2B5EF4-FFF2-40B4-BE49-F238E27FC236}">
                          <a16:creationId xmlns:a16="http://schemas.microsoft.com/office/drawing/2014/main" id="{00000000-0008-0000-0600-0000B2000000}"/>
                        </a:ext>
                      </a:extLst>
                    </xdr:cNvPr>
                    <xdr:cNvCxnSpPr/>
                  </xdr:nvCxnSpPr>
                  <xdr:spPr>
                    <a:xfrm>
                      <a:off x="2717152" y="11394252"/>
                      <a:ext cx="0" cy="535538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3" name="Straight Connector 2">
                      <a:extLst>
                        <a:ext uri="{FF2B5EF4-FFF2-40B4-BE49-F238E27FC236}">
                          <a16:creationId xmlns:a16="http://schemas.microsoft.com/office/drawing/2014/main" id="{00000000-0008-0000-0600-000003000000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346627"/>
                      <a:ext cx="3016317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1" name="Straight Connector 150">
                      <a:extLst>
                        <a:ext uri="{FF2B5EF4-FFF2-40B4-BE49-F238E27FC236}">
                          <a16:creationId xmlns:a16="http://schemas.microsoft.com/office/drawing/2014/main" id="{00000000-0008-0000-0600-000097000000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939315"/>
                      <a:ext cx="3026036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</xdr:grpSp>
        </xdr:grpSp>
      </xdr:grpSp>
      <xdr:grpSp>
        <xdr:nvGrpSpPr>
          <xdr:cNvPr id="82" name="Group 81">
            <a:extLst>
              <a:ext uri="{FF2B5EF4-FFF2-40B4-BE49-F238E27FC236}">
                <a16:creationId xmlns:a16="http://schemas.microsoft.com/office/drawing/2014/main" id="{707530DC-DF63-40A9-B6F1-D3F3626DCD26}"/>
              </a:ext>
            </a:extLst>
          </xdr:cNvPr>
          <xdr:cNvGrpSpPr/>
        </xdr:nvGrpSpPr>
        <xdr:grpSpPr>
          <a:xfrm>
            <a:off x="1150071" y="11848970"/>
            <a:ext cx="2212498" cy="188595"/>
            <a:chOff x="1753345" y="11568352"/>
            <a:chExt cx="2212498" cy="189659"/>
          </a:xfrm>
        </xdr:grpSpPr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61D8DEFE-ACB2-4634-8EEA-7DD1113B766B}"/>
                </a:ext>
              </a:extLst>
            </xdr:cNvPr>
            <xdr:cNvCxnSpPr/>
          </xdr:nvCxnSpPr>
          <xdr:spPr>
            <a:xfrm flipV="1">
              <a:off x="1753345" y="11576334"/>
              <a:ext cx="0" cy="17718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C9C2256-E3DB-410C-ABE0-F90CD9CE592F}"/>
                </a:ext>
              </a:extLst>
            </xdr:cNvPr>
            <xdr:cNvCxnSpPr/>
          </xdr:nvCxnSpPr>
          <xdr:spPr>
            <a:xfrm flipV="1">
              <a:off x="1999627" y="11576334"/>
              <a:ext cx="0" cy="18167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EF66D855-AAD4-4A74-A82C-685B6C38F973}"/>
                </a:ext>
              </a:extLst>
            </xdr:cNvPr>
            <xdr:cNvCxnSpPr/>
          </xdr:nvCxnSpPr>
          <xdr:spPr>
            <a:xfrm flipV="1">
              <a:off x="2245063" y="11571013"/>
              <a:ext cx="0" cy="186993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Connector 294">
              <a:extLst>
                <a:ext uri="{FF2B5EF4-FFF2-40B4-BE49-F238E27FC236}">
                  <a16:creationId xmlns:a16="http://schemas.microsoft.com/office/drawing/2014/main" id="{BFBADAB9-9158-40C5-89D2-9CA40525DCAD}"/>
                </a:ext>
              </a:extLst>
            </xdr:cNvPr>
            <xdr:cNvCxnSpPr/>
          </xdr:nvCxnSpPr>
          <xdr:spPr>
            <a:xfrm flipV="1">
              <a:off x="2491345" y="11573673"/>
              <a:ext cx="0" cy="182091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228920B0-05F9-4C86-8AB3-0D57649F425A}"/>
                </a:ext>
              </a:extLst>
            </xdr:cNvPr>
            <xdr:cNvCxnSpPr/>
          </xdr:nvCxnSpPr>
          <xdr:spPr>
            <a:xfrm flipV="1">
              <a:off x="2737627" y="11573673"/>
              <a:ext cx="0" cy="18433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329D911D-671D-42C0-B923-61EAB29373CD}"/>
                </a:ext>
              </a:extLst>
            </xdr:cNvPr>
            <xdr:cNvCxnSpPr/>
          </xdr:nvCxnSpPr>
          <xdr:spPr>
            <a:xfrm flipV="1">
              <a:off x="2983063" y="11573673"/>
              <a:ext cx="0" cy="184336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Connector 301">
              <a:extLst>
                <a:ext uri="{FF2B5EF4-FFF2-40B4-BE49-F238E27FC236}">
                  <a16:creationId xmlns:a16="http://schemas.microsoft.com/office/drawing/2014/main" id="{2AE13EAE-E758-4AC7-8F03-9F67F6EA7449}"/>
                </a:ext>
              </a:extLst>
            </xdr:cNvPr>
            <xdr:cNvCxnSpPr/>
          </xdr:nvCxnSpPr>
          <xdr:spPr>
            <a:xfrm flipV="1">
              <a:off x="3227844" y="11568352"/>
              <a:ext cx="0" cy="18292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4" name="Straight Connector 303">
              <a:extLst>
                <a:ext uri="{FF2B5EF4-FFF2-40B4-BE49-F238E27FC236}">
                  <a16:creationId xmlns:a16="http://schemas.microsoft.com/office/drawing/2014/main" id="{E3768D90-D11B-4426-9DB7-441C3B810DDA}"/>
                </a:ext>
              </a:extLst>
            </xdr:cNvPr>
            <xdr:cNvCxnSpPr/>
          </xdr:nvCxnSpPr>
          <xdr:spPr>
            <a:xfrm flipV="1">
              <a:off x="3474125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5" name="Straight Connector 304">
              <a:extLst>
                <a:ext uri="{FF2B5EF4-FFF2-40B4-BE49-F238E27FC236}">
                  <a16:creationId xmlns:a16="http://schemas.microsoft.com/office/drawing/2014/main" id="{2E6FB189-C4FC-416F-8075-D79F482E17C1}"/>
                </a:ext>
              </a:extLst>
            </xdr:cNvPr>
            <xdr:cNvCxnSpPr/>
          </xdr:nvCxnSpPr>
          <xdr:spPr>
            <a:xfrm flipV="1">
              <a:off x="3719562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6" name="Straight Connector 305">
              <a:extLst>
                <a:ext uri="{FF2B5EF4-FFF2-40B4-BE49-F238E27FC236}">
                  <a16:creationId xmlns:a16="http://schemas.microsoft.com/office/drawing/2014/main" id="{B21415EE-8AB3-4A2F-8FE8-BEB368AFA49E}"/>
                </a:ext>
              </a:extLst>
            </xdr:cNvPr>
            <xdr:cNvCxnSpPr/>
          </xdr:nvCxnSpPr>
          <xdr:spPr>
            <a:xfrm flipV="1">
              <a:off x="3965843" y="11568355"/>
              <a:ext cx="0" cy="18516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41737</xdr:colOff>
      <xdr:row>601</xdr:row>
      <xdr:rowOff>176719</xdr:rowOff>
    </xdr:from>
    <xdr:ext cx="841574" cy="411371"/>
    <xdr:pic>
      <xdr:nvPicPr>
        <xdr:cNvPr id="5" name="그림 37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90" r="43432"/>
        <a:stretch/>
      </xdr:blipFill>
      <xdr:spPr bwMode="auto">
        <a:xfrm>
          <a:off x="1695133" y="112832309"/>
          <a:ext cx="841574" cy="411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38833</xdr:colOff>
      <xdr:row>602</xdr:row>
      <xdr:rowOff>48885</xdr:rowOff>
    </xdr:from>
    <xdr:ext cx="594249" cy="312342"/>
    <xdr:pic>
      <xdr:nvPicPr>
        <xdr:cNvPr id="6" name="그림 37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48" r="45048" b="29787"/>
        <a:stretch/>
      </xdr:blipFill>
      <xdr:spPr bwMode="auto">
        <a:xfrm>
          <a:off x="515083" y="60818385"/>
          <a:ext cx="594249" cy="31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371015</xdr:colOff>
      <xdr:row>598</xdr:row>
      <xdr:rowOff>120936</xdr:rowOff>
    </xdr:from>
    <xdr:ext cx="1408906" cy="495300"/>
    <xdr:pic>
      <xdr:nvPicPr>
        <xdr:cNvPr id="7" name="그림 170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4458" y="112210417"/>
          <a:ext cx="1408906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1715</xdr:colOff>
      <xdr:row>624</xdr:row>
      <xdr:rowOff>68515</xdr:rowOff>
    </xdr:from>
    <xdr:ext cx="2101054" cy="316121"/>
    <xdr:pic>
      <xdr:nvPicPr>
        <xdr:cNvPr id="8" name="그림 171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49" r="32748" b="26667"/>
        <a:stretch/>
      </xdr:blipFill>
      <xdr:spPr bwMode="auto">
        <a:xfrm>
          <a:off x="3308507" y="117064270"/>
          <a:ext cx="2101054" cy="316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372375</xdr:colOff>
      <xdr:row>648</xdr:row>
      <xdr:rowOff>65597</xdr:rowOff>
    </xdr:from>
    <xdr:ext cx="1981200" cy="342897"/>
    <xdr:pic>
      <xdr:nvPicPr>
        <xdr:cNvPr id="94" name="그림 16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3" r="30990" b="24999"/>
        <a:stretch/>
      </xdr:blipFill>
      <xdr:spPr bwMode="auto">
        <a:xfrm>
          <a:off x="3265818" y="121401517"/>
          <a:ext cx="1981200" cy="342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285067</xdr:colOff>
      <xdr:row>652</xdr:row>
      <xdr:rowOff>16513</xdr:rowOff>
    </xdr:from>
    <xdr:ext cx="866481" cy="439816"/>
    <xdr:pic>
      <xdr:nvPicPr>
        <xdr:cNvPr id="96" name="그림 169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24" r="42708" b="20063"/>
        <a:stretch/>
      </xdr:blipFill>
      <xdr:spPr bwMode="auto">
        <a:xfrm>
          <a:off x="2765161" y="122107244"/>
          <a:ext cx="866481" cy="439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181628</xdr:colOff>
      <xdr:row>651</xdr:row>
      <xdr:rowOff>102442</xdr:rowOff>
    </xdr:from>
    <xdr:ext cx="1336965" cy="619129"/>
    <xdr:pic>
      <xdr:nvPicPr>
        <xdr:cNvPr id="97" name="그림 170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84" r="39091"/>
        <a:stretch/>
      </xdr:blipFill>
      <xdr:spPr bwMode="auto">
        <a:xfrm>
          <a:off x="665950" y="92898544"/>
          <a:ext cx="1361181" cy="628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14159</xdr:colOff>
      <xdr:row>657</xdr:row>
      <xdr:rowOff>49289</xdr:rowOff>
    </xdr:from>
    <xdr:ext cx="847431" cy="409577"/>
    <xdr:pic>
      <xdr:nvPicPr>
        <xdr:cNvPr id="98" name="그림 17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90" r="43432"/>
        <a:stretch/>
      </xdr:blipFill>
      <xdr:spPr bwMode="auto">
        <a:xfrm>
          <a:off x="740642" y="94007764"/>
          <a:ext cx="859539" cy="416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60271</xdr:colOff>
      <xdr:row>657</xdr:row>
      <xdr:rowOff>88285</xdr:rowOff>
    </xdr:from>
    <xdr:ext cx="594586" cy="314327"/>
    <xdr:pic>
      <xdr:nvPicPr>
        <xdr:cNvPr id="99" name="그림 172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48" r="45048" b="29787"/>
        <a:stretch/>
      </xdr:blipFill>
      <xdr:spPr bwMode="auto">
        <a:xfrm>
          <a:off x="1755398" y="94046760"/>
          <a:ext cx="602658" cy="320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459538</xdr:colOff>
      <xdr:row>1306</xdr:row>
      <xdr:rowOff>5616</xdr:rowOff>
    </xdr:from>
    <xdr:to>
      <xdr:col>12</xdr:col>
      <xdr:colOff>266376</xdr:colOff>
      <xdr:row>1311</xdr:row>
      <xdr:rowOff>152096</xdr:rowOff>
    </xdr:to>
    <xdr:grpSp>
      <xdr:nvGrpSpPr>
        <xdr:cNvPr id="138" name="그룹 59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GrpSpPr/>
      </xdr:nvGrpSpPr>
      <xdr:grpSpPr>
        <a:xfrm>
          <a:off x="3912351" y="244355884"/>
          <a:ext cx="2273132" cy="1081971"/>
          <a:chOff x="538689" y="21665334"/>
          <a:chExt cx="2549636" cy="1147041"/>
        </a:xfrm>
      </xdr:grpSpPr>
      <xdr:grpSp>
        <xdr:nvGrpSpPr>
          <xdr:cNvPr id="139" name="그룹 17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41" name="그룹 112">
              <a:extLst>
                <a:ext uri="{FF2B5EF4-FFF2-40B4-BE49-F238E27FC236}">
                  <a16:creationId xmlns:a16="http://schemas.microsoft.com/office/drawing/2014/main" id="{00000000-0008-0000-0700-00008D000000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46" name="그룹 176">
                <a:extLst>
                  <a:ext uri="{FF2B5EF4-FFF2-40B4-BE49-F238E27FC236}">
                    <a16:creationId xmlns:a16="http://schemas.microsoft.com/office/drawing/2014/main" id="{00000000-0008-0000-0700-000092000000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55" name="자유형 179">
                  <a:extLst>
                    <a:ext uri="{FF2B5EF4-FFF2-40B4-BE49-F238E27FC236}">
                      <a16:creationId xmlns:a16="http://schemas.microsoft.com/office/drawing/2014/main" id="{00000000-0008-0000-0700-00009B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56" name="그룹 180">
                  <a:extLst>
                    <a:ext uri="{FF2B5EF4-FFF2-40B4-BE49-F238E27FC236}">
                      <a16:creationId xmlns:a16="http://schemas.microsoft.com/office/drawing/2014/main" id="{00000000-0008-0000-0700-00009C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57" name="그룹 181">
                    <a:extLst>
                      <a:ext uri="{FF2B5EF4-FFF2-40B4-BE49-F238E27FC236}">
                        <a16:creationId xmlns:a16="http://schemas.microsoft.com/office/drawing/2014/main" id="{00000000-0008-0000-0700-00009D000000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59" name="직선 연결선 183">
                      <a:extLst>
                        <a:ext uri="{FF2B5EF4-FFF2-40B4-BE49-F238E27FC236}">
                          <a16:creationId xmlns:a16="http://schemas.microsoft.com/office/drawing/2014/main" id="{00000000-0008-0000-0700-00009F000000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60" name="직선 연결선 184">
                      <a:extLst>
                        <a:ext uri="{FF2B5EF4-FFF2-40B4-BE49-F238E27FC236}">
                          <a16:creationId xmlns:a16="http://schemas.microsoft.com/office/drawing/2014/main" id="{00000000-0008-0000-0700-0000A0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61" name="직선 연결선 185">
                      <a:extLst>
                        <a:ext uri="{FF2B5EF4-FFF2-40B4-BE49-F238E27FC236}">
                          <a16:creationId xmlns:a16="http://schemas.microsoft.com/office/drawing/2014/main" id="{00000000-0008-0000-0700-0000A1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62" name="직선 연결선 186">
                      <a:extLst>
                        <a:ext uri="{FF2B5EF4-FFF2-40B4-BE49-F238E27FC236}">
                          <a16:creationId xmlns:a16="http://schemas.microsoft.com/office/drawing/2014/main" id="{00000000-0008-0000-0700-0000A2000000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58" name="직선 연결선 182">
                    <a:extLst>
                      <a:ext uri="{FF2B5EF4-FFF2-40B4-BE49-F238E27FC236}">
                        <a16:creationId xmlns:a16="http://schemas.microsoft.com/office/drawing/2014/main" id="{00000000-0008-0000-0700-00009E000000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47" name="그룹 122">
                <a:extLst>
                  <a:ext uri="{FF2B5EF4-FFF2-40B4-BE49-F238E27FC236}">
                    <a16:creationId xmlns:a16="http://schemas.microsoft.com/office/drawing/2014/main" id="{00000000-0008-0000-0700-000093000000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48" name="TextBox 147">
                  <a:extLst>
                    <a:ext uri="{FF2B5EF4-FFF2-40B4-BE49-F238E27FC236}">
                      <a16:creationId xmlns:a16="http://schemas.microsoft.com/office/drawing/2014/main" id="{00000000-0008-0000-0700-000094000000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49" name="그룹 135">
                  <a:extLst>
                    <a:ext uri="{FF2B5EF4-FFF2-40B4-BE49-F238E27FC236}">
                      <a16:creationId xmlns:a16="http://schemas.microsoft.com/office/drawing/2014/main" id="{00000000-0008-0000-0700-000095000000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50" name="직선 화살표 연결선 153">
                    <a:extLst>
                      <a:ext uri="{FF2B5EF4-FFF2-40B4-BE49-F238E27FC236}">
                        <a16:creationId xmlns:a16="http://schemas.microsoft.com/office/drawing/2014/main" id="{00000000-0008-0000-0700-000096000000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1" name="직선 화살표 연결선 154">
                    <a:extLst>
                      <a:ext uri="{FF2B5EF4-FFF2-40B4-BE49-F238E27FC236}">
                        <a16:creationId xmlns:a16="http://schemas.microsoft.com/office/drawing/2014/main" id="{00000000-0008-0000-0700-000097000000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2" name="직선 연결선 155">
                    <a:extLst>
                      <a:ext uri="{FF2B5EF4-FFF2-40B4-BE49-F238E27FC236}">
                        <a16:creationId xmlns:a16="http://schemas.microsoft.com/office/drawing/2014/main" id="{00000000-0008-0000-0700-000098000000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" name="직선 연결선 157">
                    <a:extLst>
                      <a:ext uri="{FF2B5EF4-FFF2-40B4-BE49-F238E27FC236}">
                        <a16:creationId xmlns:a16="http://schemas.microsoft.com/office/drawing/2014/main" id="{00000000-0008-0000-0700-000099000000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" name="직선 연결선 159">
                    <a:extLst>
                      <a:ext uri="{FF2B5EF4-FFF2-40B4-BE49-F238E27FC236}">
                        <a16:creationId xmlns:a16="http://schemas.microsoft.com/office/drawing/2014/main" id="{00000000-0008-0000-0700-00009A000000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42" name="그룹 16">
              <a:extLst>
                <a:ext uri="{FF2B5EF4-FFF2-40B4-BE49-F238E27FC236}">
                  <a16:creationId xmlns:a16="http://schemas.microsoft.com/office/drawing/2014/main" id="{00000000-0008-0000-0700-00008E000000}"/>
                </a:ext>
              </a:extLst>
            </xdr:cNvPr>
            <xdr:cNvGrpSpPr/>
          </xdr:nvGrpSpPr>
          <xdr:grpSpPr>
            <a:xfrm>
              <a:off x="8039101" y="21978937"/>
              <a:ext cx="257411" cy="542926"/>
              <a:chOff x="8039101" y="21978937"/>
              <a:chExt cx="257411" cy="542926"/>
            </a:xfrm>
          </xdr:grpSpPr>
          <xdr:cxnSp macro="">
            <xdr:nvCxnSpPr>
              <xdr:cNvPr id="143" name="직선 연결선 8">
                <a:extLst>
                  <a:ext uri="{FF2B5EF4-FFF2-40B4-BE49-F238E27FC236}">
                    <a16:creationId xmlns:a16="http://schemas.microsoft.com/office/drawing/2014/main" id="{00000000-0008-0000-0700-00008F000000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4" name="TextBox 143">
                <a:extLst>
                  <a:ext uri="{FF2B5EF4-FFF2-40B4-BE49-F238E27FC236}">
                    <a16:creationId xmlns:a16="http://schemas.microsoft.com/office/drawing/2014/main" id="{00000000-0008-0000-0700-000090000000}"/>
                  </a:ext>
                </a:extLst>
              </xdr:cNvPr>
              <xdr:cNvSpPr txBox="1"/>
            </xdr:nvSpPr>
            <xdr:spPr>
              <a:xfrm>
                <a:off x="8039101" y="21978937"/>
                <a:ext cx="214312" cy="1964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  <a:sym typeface="Symbol"/>
                  </a:rPr>
                  <a:t>θ</a:t>
                </a:r>
                <a:endParaRPr lang="en-US" sz="900"/>
              </a:p>
            </xdr:txBody>
          </xdr:sp>
          <xdr:sp macro="" textlink="">
            <xdr:nvSpPr>
              <xdr:cNvPr id="145" name="원호 13">
                <a:extLst>
                  <a:ext uri="{FF2B5EF4-FFF2-40B4-BE49-F238E27FC236}">
                    <a16:creationId xmlns:a16="http://schemas.microsoft.com/office/drawing/2014/main" id="{00000000-0008-0000-0700-00009100000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40" name="직선 화살표 연결선 56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0</xdr:col>
      <xdr:colOff>35943</xdr:colOff>
      <xdr:row>85</xdr:row>
      <xdr:rowOff>16160</xdr:rowOff>
    </xdr:from>
    <xdr:ext cx="2804166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TextBox 228">
              <a:extLst>
                <a:ext uri="{FF2B5EF4-FFF2-40B4-BE49-F238E27FC236}">
                  <a16:creationId xmlns:a16="http://schemas.microsoft.com/office/drawing/2014/main" id="{00000000-0008-0000-0700-0000E5000000}"/>
                </a:ext>
              </a:extLst>
            </xdr:cNvPr>
            <xdr:cNvSpPr txBox="1"/>
          </xdr:nvSpPr>
          <xdr:spPr>
            <a:xfrm>
              <a:off x="35943" y="15678495"/>
              <a:ext cx="2804166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𝑃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</m:sub>
                                </m:sSub>
                              </m:e>
                            </m:nary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29" name="TextBox 228"/>
            <xdr:cNvSpPr txBox="1"/>
          </xdr:nvSpPr>
          <xdr:spPr>
            <a:xfrm>
              <a:off x="35943" y="15678495"/>
              <a:ext cx="2804166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𝑌=𝐷/2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𝑃_𝑡+𝑃_𝑠𝑏+∑▒𝑃_𝑟 −𝑃_𝑠𝑡−𝑃_𝑐−𝑃_𝑠−𝑃_𝑟𝑏−𝑃_𝑟𝑡)/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𝑃_𝑤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44929</xdr:colOff>
      <xdr:row>92</xdr:row>
      <xdr:rowOff>165916</xdr:rowOff>
    </xdr:from>
    <xdr:ext cx="2821350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TextBox 230">
              <a:extLst>
                <a:ext uri="{FF2B5EF4-FFF2-40B4-BE49-F238E27FC236}">
                  <a16:creationId xmlns:a16="http://schemas.microsoft.com/office/drawing/2014/main" id="{00000000-0008-0000-0700-0000E7000000}"/>
                </a:ext>
              </a:extLst>
            </xdr:cNvPr>
            <xdr:cNvSpPr txBox="1"/>
          </xdr:nvSpPr>
          <xdr:spPr>
            <a:xfrm>
              <a:off x="44929" y="17149171"/>
              <a:ext cx="2821350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31" name="TextBox 230"/>
            <xdr:cNvSpPr txBox="1"/>
          </xdr:nvSpPr>
          <xdr:spPr>
            <a:xfrm>
              <a:off x="44929" y="17149171"/>
              <a:ext cx="2821350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𝑌=𝑡_𝑐/2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𝑃_𝑡+𝑃_𝑠𝑏+∑𝑃_𝑟+𝑃_𝑤+𝑃_𝑠𝑡−𝑃_𝑠−𝑃_𝑟𝑏−𝑃_𝑟𝑡)/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𝑃_𝑐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101</xdr:row>
      <xdr:rowOff>60012</xdr:rowOff>
    </xdr:from>
    <xdr:ext cx="261988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3" name="TextBox 382">
              <a:extLst>
                <a:ext uri="{FF2B5EF4-FFF2-40B4-BE49-F238E27FC236}">
                  <a16:creationId xmlns:a16="http://schemas.microsoft.com/office/drawing/2014/main" id="{00000000-0008-0000-0700-00007F010000}"/>
                </a:ext>
              </a:extLst>
            </xdr:cNvPr>
            <xdr:cNvSpPr txBox="1"/>
          </xdr:nvSpPr>
          <xdr:spPr>
            <a:xfrm>
              <a:off x="0" y="18741592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83" name="TextBox 382"/>
            <xdr:cNvSpPr txBox="1"/>
          </xdr:nvSpPr>
          <xdr:spPr>
            <a:xfrm>
              <a:off x="0" y="18741592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𝑌=𝑡_𝑠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𝑃_𝑡+𝑃_𝑠𝑏+∑𝑃_𝑟+𝑃_𝑤+𝑃_𝑠𝑡+𝑃_𝑐−𝑃_𝑟𝑏−𝑃_𝑟𝑡)/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𝑃_𝑠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115</xdr:row>
      <xdr:rowOff>162067</xdr:rowOff>
    </xdr:from>
    <xdr:ext cx="261988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5" name="TextBox 384">
              <a:extLst>
                <a:ext uri="{FF2B5EF4-FFF2-40B4-BE49-F238E27FC236}">
                  <a16:creationId xmlns:a16="http://schemas.microsoft.com/office/drawing/2014/main" id="{00000000-0008-0000-0700-000081010000}"/>
                </a:ext>
              </a:extLst>
            </xdr:cNvPr>
            <xdr:cNvSpPr txBox="1"/>
          </xdr:nvSpPr>
          <xdr:spPr>
            <a:xfrm>
              <a:off x="0" y="21485487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85" name="TextBox 384"/>
            <xdr:cNvSpPr txBox="1"/>
          </xdr:nvSpPr>
          <xdr:spPr>
            <a:xfrm>
              <a:off x="0" y="21485487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𝑌=𝑡_𝑠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𝑃_𝑡+𝑃_𝑠𝑏+∑𝑃_𝑟+𝑃_𝑤+𝑃_𝑠𝑡+𝑃_𝑐+𝑃_𝑟𝑏−𝑃_𝑟𝑡)/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𝑃_𝑠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130</xdr:row>
      <xdr:rowOff>182926</xdr:rowOff>
    </xdr:from>
    <xdr:ext cx="261988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7" name="TextBox 386">
              <a:extLst>
                <a:ext uri="{FF2B5EF4-FFF2-40B4-BE49-F238E27FC236}">
                  <a16:creationId xmlns:a16="http://schemas.microsoft.com/office/drawing/2014/main" id="{00000000-0008-0000-0700-000083010000}"/>
                </a:ext>
              </a:extLst>
            </xdr:cNvPr>
            <xdr:cNvSpPr txBox="1"/>
          </xdr:nvSpPr>
          <xdr:spPr>
            <a:xfrm>
              <a:off x="0" y="24336888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87" name="TextBox 386"/>
            <xdr:cNvSpPr txBox="1"/>
          </xdr:nvSpPr>
          <xdr:spPr>
            <a:xfrm>
              <a:off x="0" y="24336888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𝑌=𝑡_𝑠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𝑃_𝑡+𝑃_𝑠𝑏+∑𝑃_𝑟+𝑃_𝑤+𝑃_𝑠𝑡+𝑃_𝑐+𝑃_𝑟𝑏+𝑃_𝑟𝑡)/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𝑃_𝑠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141</xdr:row>
      <xdr:rowOff>183888</xdr:rowOff>
    </xdr:from>
    <xdr:ext cx="2893997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700-000087010000}"/>
                </a:ext>
              </a:extLst>
            </xdr:cNvPr>
            <xdr:cNvSpPr txBox="1"/>
          </xdr:nvSpPr>
          <xdr:spPr>
            <a:xfrm>
              <a:off x="0" y="26413581"/>
              <a:ext cx="2893997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1" name="TextBox 390"/>
            <xdr:cNvSpPr txBox="1"/>
          </xdr:nvSpPr>
          <xdr:spPr>
            <a:xfrm>
              <a:off x="0" y="26413581"/>
              <a:ext cx="2893997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𝑌=𝐷/2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𝑃_𝑐+𝑃_𝑠𝑏+∑𝑃_𝑟+𝑃_𝑏𝑜𝑡−𝑃_𝑠𝑡−𝑃_𝑡−𝑃_𝑟𝑏−𝑃_𝑟𝑡)/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𝑃_𝑤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149</xdr:row>
      <xdr:rowOff>155489</xdr:rowOff>
    </xdr:from>
    <xdr:ext cx="2920222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700-000089010000}"/>
                </a:ext>
              </a:extLst>
            </xdr:cNvPr>
            <xdr:cNvSpPr txBox="1"/>
          </xdr:nvSpPr>
          <xdr:spPr>
            <a:xfrm>
              <a:off x="0" y="27894805"/>
              <a:ext cx="2920222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3" name="TextBox 392"/>
            <xdr:cNvSpPr txBox="1"/>
          </xdr:nvSpPr>
          <xdr:spPr>
            <a:xfrm>
              <a:off x="0" y="27894805"/>
              <a:ext cx="2920222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𝑌=𝑡_𝑡/2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𝑃_𝑐+𝑃_𝑠𝑏+∑𝑃_𝑟+𝑃_𝑏𝑜𝑡+𝑃_𝑠𝑡+𝑃_𝑤−𝑃_𝑟𝑏−𝑃_𝑟𝑡)/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𝑃_𝑡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53915</xdr:colOff>
      <xdr:row>87</xdr:row>
      <xdr:rowOff>154526</xdr:rowOff>
    </xdr:from>
    <xdr:ext cx="4651658" cy="2066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4" name="TextBox 393">
              <a:extLst>
                <a:ext uri="{FF2B5EF4-FFF2-40B4-BE49-F238E27FC236}">
                  <a16:creationId xmlns:a16="http://schemas.microsoft.com/office/drawing/2014/main" id="{00000000-0008-0000-0700-00008A010000}"/>
                </a:ext>
              </a:extLst>
            </xdr:cNvPr>
            <xdr:cNvSpPr txBox="1"/>
          </xdr:nvSpPr>
          <xdr:spPr>
            <a:xfrm>
              <a:off x="53915" y="16194267"/>
              <a:ext cx="4651658" cy="2066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algn="l"/>
              <a14:m>
                <m:oMath xmlns:m="http://schemas.openxmlformats.org/officeDocument/2006/math">
                  <m:sSub>
                    <m:sSub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𝑀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𝑝</m:t>
                      </m:r>
                    </m:sub>
                  </m:sSub>
                  <m:r>
                    <a:rPr lang="en-US" altLang="ko-KR" sz="9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n-US" altLang="ko-KR" sz="9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𝑤</m:t>
                          </m:r>
                        </m:sub>
                      </m:sSub>
                    </m:num>
                    <m:den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2</m:t>
                      </m:r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𝐷</m:t>
                      </m:r>
                    </m:den>
                  </m:f>
                  <m:d>
                    <m:dPr>
                      <m:begChr m:val="["/>
                      <m:endChr m:val="]"/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p>
                        <m:sSupPr>
                          <m:ctrlPr>
                            <a:rPr lang="en-US" altLang="ko-KR" sz="9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𝑌</m:t>
                          </m:r>
                        </m:e>
                        <m:sup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+</m:t>
                      </m:r>
                      <m:sSup>
                        <m:sSupPr>
                          <m:ctrlPr>
                            <a:rPr lang="en-US" altLang="ko-KR" sz="9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  <m:t>𝐷</m:t>
                              </m:r>
                              <m: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  <m:t>−</m:t>
                              </m:r>
                              <m: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  <m:t>𝑌</m:t>
                              </m:r>
                            </m:e>
                          </m:d>
                        </m:e>
                        <m:sup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</m:e>
                  </m:d>
                  <m:r>
                    <a:rPr lang="en-US" altLang="ko-KR" sz="9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𝑐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𝑐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𝑠𝑏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𝑠𝑏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𝑠𝑡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𝑠𝑡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𝑟𝑏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𝑟𝑏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𝑟𝑡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𝑟𝑡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</m:oMath>
              </a14:m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∑</a:t>
              </a:r>
              <a14:m>
                <m:oMath xmlns:m="http://schemas.openxmlformats.org/officeDocument/2006/math">
                  <m:sSub>
                    <m:sSubPr>
                      <m:ctrlPr>
                        <a:rPr lang="en-US" altLang="ko-KR" sz="90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𝑟</m:t>
                      </m:r>
                    </m:sub>
                  </m:sSub>
                  <m:sSub>
                    <m:sSubPr>
                      <m:ctrlPr>
                        <a:rPr lang="en-US" altLang="ko-KR" sz="90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𝑟</m:t>
                      </m:r>
                    </m:sub>
                  </m:sSub>
                </m:oMath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4" name="TextBox 393"/>
            <xdr:cNvSpPr txBox="1"/>
          </xdr:nvSpPr>
          <xdr:spPr>
            <a:xfrm>
              <a:off x="53915" y="16194267"/>
              <a:ext cx="4651658" cy="2066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algn="l"/>
              <a:r>
                <a:rPr lang="en-US" altLang="ko-KR" sz="900" b="0" i="0">
                  <a:latin typeface="Cambria Math" panose="02040503050406030204" pitchFamily="18" charset="0"/>
                </a:rPr>
                <a:t>𝑀_𝑝=𝑃_𝑤/2𝐷 [𝑌^2+(𝐷−𝑌)^2 ]+𝑃_𝑐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𝑑_𝑠𝑡+𝑃_𝑡 𝑑_𝑡+𝑃_𝑠 𝑑_𝑠+𝑃_𝑟𝑏 𝑑_𝑟𝑏+𝑃_𝑟𝑡 𝑑_𝑟𝑡+</a:t>
              </a:r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∑</a:t>
              </a:r>
              <a:r>
                <a:rPr lang="en-US" altLang="ko-KR" sz="900" b="0" i="0">
                  <a:latin typeface="Cambria Math" panose="02040503050406030204" pitchFamily="18" charset="0"/>
                  <a:ea typeface="맑은 고딕" panose="020B0503020000020004" pitchFamily="50" charset="-127"/>
                </a:rPr>
                <a:t>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35943</xdr:colOff>
      <xdr:row>95</xdr:row>
      <xdr:rowOff>41079</xdr:rowOff>
    </xdr:from>
    <xdr:ext cx="4675447" cy="4235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6" name="TextBox 395">
              <a:extLst>
                <a:ext uri="{FF2B5EF4-FFF2-40B4-BE49-F238E27FC236}">
                  <a16:creationId xmlns:a16="http://schemas.microsoft.com/office/drawing/2014/main" id="{00000000-0008-0000-0700-00008C010000}"/>
                </a:ext>
              </a:extLst>
            </xdr:cNvPr>
            <xdr:cNvSpPr txBox="1"/>
          </xdr:nvSpPr>
          <xdr:spPr>
            <a:xfrm>
              <a:off x="35943" y="17590442"/>
              <a:ext cx="4675447" cy="4235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m:rPr>
                        <m:nor/>
                      </m:rPr>
                      <a:rPr lang="ko-KR" altLang="en-US" sz="9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∑</m:t>
                    </m:r>
                    <m:sSub>
                      <m:sSubPr>
                        <m:ctrlPr>
                          <a:rPr lang="en-US" altLang="ko-KR" sz="9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ko-KR" sz="900">
                <a:effectLst/>
              </a:endParaRPr>
            </a:p>
            <a:p>
              <a:endParaRPr lang="ko-KR" altLang="en-US" sz="900"/>
            </a:p>
          </xdr:txBody>
        </xdr:sp>
      </mc:Choice>
      <mc:Fallback xmlns="">
        <xdr:sp macro="" textlink="">
          <xdr:nvSpPr>
            <xdr:cNvPr id="396" name="TextBox 395"/>
            <xdr:cNvSpPr txBox="1"/>
          </xdr:nvSpPr>
          <xdr:spPr>
            <a:xfrm>
              <a:off x="35943" y="17590442"/>
              <a:ext cx="4675447" cy="4235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ko-KR" sz="900" b="0" i="0">
                  <a:latin typeface="Cambria Math" panose="02040503050406030204" pitchFamily="18" charset="0"/>
                </a:rPr>
                <a:t>𝑀_𝑝=𝑃_𝑐/(2𝑡_𝑐 ) [𝑌^2+(𝑡_𝑐−𝑌)^2 ]+𝑃_𝑡 𝑑_𝑡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𝑑_𝑤+𝑃_𝑠 𝑑_𝑠+𝑃_𝑟𝑏 𝑑_𝑟𝑏+𝑃_𝑟𝑡 𝑑_𝑟𝑡+</a:t>
              </a:r>
              <a:r>
                <a:rPr lang="ko-KR" alt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ko-KR" altLang="en-US" sz="9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</a:t>
              </a:r>
              <a:r>
                <a:rPr lang="en-US" altLang="ko-KR" sz="9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𝑃_𝑟 𝑑_𝑟</a:t>
              </a:r>
              <a:endParaRPr lang="ko-KR" altLang="ko-KR" sz="900">
                <a:effectLst/>
              </a:endParaRPr>
            </a:p>
            <a:p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103</xdr:row>
      <xdr:rowOff>160782</xdr:rowOff>
    </xdr:from>
    <xdr:ext cx="3994362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7" name="TextBox 396">
              <a:extLst>
                <a:ext uri="{FF2B5EF4-FFF2-40B4-BE49-F238E27FC236}">
                  <a16:creationId xmlns:a16="http://schemas.microsoft.com/office/drawing/2014/main" id="{00000000-0008-0000-0700-00008D010000}"/>
                </a:ext>
              </a:extLst>
            </xdr:cNvPr>
            <xdr:cNvSpPr txBox="1"/>
          </xdr:nvSpPr>
          <xdr:spPr>
            <a:xfrm>
              <a:off x="0" y="19219768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7" name="TextBox 396"/>
            <xdr:cNvSpPr txBox="1"/>
          </xdr:nvSpPr>
          <xdr:spPr>
            <a:xfrm>
              <a:off x="0" y="19219768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110</xdr:row>
      <xdr:rowOff>98680</xdr:rowOff>
    </xdr:from>
    <xdr:ext cx="3482042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8" name="TextBox 397">
              <a:extLst>
                <a:ext uri="{FF2B5EF4-FFF2-40B4-BE49-F238E27FC236}">
                  <a16:creationId xmlns:a16="http://schemas.microsoft.com/office/drawing/2014/main" id="{00000000-0008-0000-0700-00008E010000}"/>
                </a:ext>
              </a:extLst>
            </xdr:cNvPr>
            <xdr:cNvSpPr txBox="1"/>
          </xdr:nvSpPr>
          <xdr:spPr>
            <a:xfrm>
              <a:off x="0" y="20478586"/>
              <a:ext cx="348204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8" name="TextBox 397"/>
            <xdr:cNvSpPr txBox="1"/>
          </xdr:nvSpPr>
          <xdr:spPr>
            <a:xfrm>
              <a:off x="0" y="20478586"/>
              <a:ext cx="348204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118</xdr:row>
      <xdr:rowOff>89698</xdr:rowOff>
    </xdr:from>
    <xdr:ext cx="3994362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9" name="TextBox 398">
              <a:extLst>
                <a:ext uri="{FF2B5EF4-FFF2-40B4-BE49-F238E27FC236}">
                  <a16:creationId xmlns:a16="http://schemas.microsoft.com/office/drawing/2014/main" id="{00000000-0008-0000-0700-00008F010000}"/>
                </a:ext>
              </a:extLst>
            </xdr:cNvPr>
            <xdr:cNvSpPr txBox="1"/>
          </xdr:nvSpPr>
          <xdr:spPr>
            <a:xfrm>
              <a:off x="0" y="21979226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9" name="TextBox 398"/>
            <xdr:cNvSpPr txBox="1"/>
          </xdr:nvSpPr>
          <xdr:spPr>
            <a:xfrm>
              <a:off x="0" y="21979226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125</xdr:row>
      <xdr:rowOff>97465</xdr:rowOff>
    </xdr:from>
    <xdr:ext cx="3555204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0" name="TextBox 399">
              <a:extLst>
                <a:ext uri="{FF2B5EF4-FFF2-40B4-BE49-F238E27FC236}">
                  <a16:creationId xmlns:a16="http://schemas.microsoft.com/office/drawing/2014/main" id="{00000000-0008-0000-0700-000090010000}"/>
                </a:ext>
              </a:extLst>
            </xdr:cNvPr>
            <xdr:cNvSpPr txBox="1"/>
          </xdr:nvSpPr>
          <xdr:spPr>
            <a:xfrm>
              <a:off x="0" y="23307913"/>
              <a:ext cx="3555204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0" name="TextBox 399"/>
            <xdr:cNvSpPr txBox="1"/>
          </xdr:nvSpPr>
          <xdr:spPr>
            <a:xfrm>
              <a:off x="0" y="23307913"/>
              <a:ext cx="3555204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133</xdr:row>
      <xdr:rowOff>78947</xdr:rowOff>
    </xdr:from>
    <xdr:ext cx="3996287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1" name="TextBox 400">
              <a:extLst>
                <a:ext uri="{FF2B5EF4-FFF2-40B4-BE49-F238E27FC236}">
                  <a16:creationId xmlns:a16="http://schemas.microsoft.com/office/drawing/2014/main" id="{00000000-0008-0000-0700-000091010000}"/>
                </a:ext>
              </a:extLst>
            </xdr:cNvPr>
            <xdr:cNvSpPr txBox="1"/>
          </xdr:nvSpPr>
          <xdr:spPr>
            <a:xfrm>
              <a:off x="0" y="24799018"/>
              <a:ext cx="3996287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1" name="TextBox 400"/>
            <xdr:cNvSpPr txBox="1"/>
          </xdr:nvSpPr>
          <xdr:spPr>
            <a:xfrm>
              <a:off x="0" y="24799018"/>
              <a:ext cx="3996287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144</xdr:row>
      <xdr:rowOff>137996</xdr:rowOff>
    </xdr:from>
    <xdr:ext cx="4921091" cy="2584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4" name="TextBox 403">
              <a:extLst>
                <a:ext uri="{FF2B5EF4-FFF2-40B4-BE49-F238E27FC236}">
                  <a16:creationId xmlns:a16="http://schemas.microsoft.com/office/drawing/2014/main" id="{00000000-0008-0000-0700-000094010000}"/>
                </a:ext>
              </a:extLst>
            </xdr:cNvPr>
            <xdr:cNvSpPr txBox="1"/>
          </xdr:nvSpPr>
          <xdr:spPr>
            <a:xfrm>
              <a:off x="0" y="26933798"/>
              <a:ext cx="4921091" cy="258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4" name="TextBox 403"/>
            <xdr:cNvSpPr txBox="1"/>
          </xdr:nvSpPr>
          <xdr:spPr>
            <a:xfrm>
              <a:off x="0" y="26933798"/>
              <a:ext cx="4921091" cy="258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𝑀_𝑝=𝑃_𝑤/2𝐷 [𝑌^2+(𝐷−𝑌)^2 ]+𝑃_𝑏𝑜𝑡 𝑑_𝑏𝑜𝑡+𝑃_𝑐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152</xdr:row>
      <xdr:rowOff>147464</xdr:rowOff>
    </xdr:from>
    <xdr:ext cx="4983737" cy="2826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7" name="TextBox 406">
              <a:extLst>
                <a:ext uri="{FF2B5EF4-FFF2-40B4-BE49-F238E27FC236}">
                  <a16:creationId xmlns:a16="http://schemas.microsoft.com/office/drawing/2014/main" id="{00000000-0008-0000-0700-000097010000}"/>
                </a:ext>
              </a:extLst>
            </xdr:cNvPr>
            <xdr:cNvSpPr txBox="1"/>
          </xdr:nvSpPr>
          <xdr:spPr>
            <a:xfrm>
              <a:off x="0" y="28452889"/>
              <a:ext cx="4983737" cy="2826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7" name="TextBox 406"/>
            <xdr:cNvSpPr txBox="1"/>
          </xdr:nvSpPr>
          <xdr:spPr>
            <a:xfrm>
              <a:off x="0" y="28452889"/>
              <a:ext cx="4983737" cy="2826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𝑀_𝑝=𝑃_𝑡/(2𝑡_𝑡 ) [𝑌^2+(𝑡_𝑡−𝑌)^2 ]+𝑃_𝑐 𝑑_𝑐+𝑃_𝑏𝑜𝑡 𝑑_𝑏𝑜𝑡+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𝑃_𝑠𝑏 𝑑_𝑠𝑏+𝑃_𝑤 𝑑_𝑤+𝑃_𝑠𝑡 𝑑_𝑠𝑡+𝑃_𝑟𝑏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162</xdr:row>
      <xdr:rowOff>112003</xdr:rowOff>
    </xdr:from>
    <xdr:ext cx="2770117" cy="4458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3" name="TextBox 402">
              <a:extLst>
                <a:ext uri="{FF2B5EF4-FFF2-40B4-BE49-F238E27FC236}">
                  <a16:creationId xmlns:a16="http://schemas.microsoft.com/office/drawing/2014/main" id="{00000000-0008-0000-0700-000093010000}"/>
                </a:ext>
              </a:extLst>
            </xdr:cNvPr>
            <xdr:cNvSpPr txBox="1"/>
          </xdr:nvSpPr>
          <xdr:spPr>
            <a:xfrm>
              <a:off x="0" y="30304456"/>
              <a:ext cx="2770117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𝑠𝑡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3" name="TextBox 402"/>
            <xdr:cNvSpPr txBox="1"/>
          </xdr:nvSpPr>
          <xdr:spPr>
            <a:xfrm>
              <a:off x="0" y="30304456"/>
              <a:ext cx="2770117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𝑃_𝑡+𝑃_𝑠𝑏+∑𝑃_𝑟+𝑃_𝑤+𝑃_𝑠𝑡−𝑃_𝑐−𝑃_𝑠−𝑃_𝑟𝑏−𝑃_𝑟𝑡)/(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2/𝐷 𝑃_𝑤+2/𝐻_𝑠𝑡  𝑃_𝑠𝑡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188</xdr:row>
      <xdr:rowOff>163511</xdr:rowOff>
    </xdr:from>
    <xdr:ext cx="2875339" cy="4458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3" name="TextBox 442">
              <a:extLst>
                <a:ext uri="{FF2B5EF4-FFF2-40B4-BE49-F238E27FC236}">
                  <a16:creationId xmlns:a16="http://schemas.microsoft.com/office/drawing/2014/main" id="{00000000-0008-0000-0700-0000BB010000}"/>
                </a:ext>
              </a:extLst>
            </xdr:cNvPr>
            <xdr:cNvSpPr txBox="1"/>
          </xdr:nvSpPr>
          <xdr:spPr>
            <a:xfrm>
              <a:off x="0" y="36771860"/>
              <a:ext cx="2875339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43" name="TextBox 442"/>
            <xdr:cNvSpPr txBox="1"/>
          </xdr:nvSpPr>
          <xdr:spPr>
            <a:xfrm>
              <a:off x="0" y="36771860"/>
              <a:ext cx="2875339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𝑃_𝑐+𝑃_𝑠𝑏+∑𝑃_𝑟+𝑃_𝑏𝑜𝑡+𝑃_𝑠𝑡+𝑃_𝑤−𝑃_𝑡−𝑃_𝑟𝑏−𝑃_𝑟𝑡)/(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2/𝐻_𝑠𝑡  𝑃_𝑠𝑡+2/𝐷 𝑃_𝑤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165</xdr:row>
      <xdr:rowOff>81412</xdr:rowOff>
    </xdr:from>
    <xdr:ext cx="5440977" cy="2827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6" name="TextBox 445">
              <a:extLst>
                <a:ext uri="{FF2B5EF4-FFF2-40B4-BE49-F238E27FC236}">
                  <a16:creationId xmlns:a16="http://schemas.microsoft.com/office/drawing/2014/main" id="{00000000-0008-0000-0700-0000BE010000}"/>
                </a:ext>
              </a:extLst>
            </xdr:cNvPr>
            <xdr:cNvSpPr txBox="1"/>
          </xdr:nvSpPr>
          <xdr:spPr>
            <a:xfrm>
              <a:off x="0" y="30651270"/>
              <a:ext cx="5440977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46" name="TextBox 445">
              <a:extLst>
                <a:ext uri="{FF2B5EF4-FFF2-40B4-BE49-F238E27FC236}">
                  <a16:creationId xmlns:a16="http://schemas.microsoft.com/office/drawing/2014/main" id="{00000000-0008-0000-0700-0000BE010000}"/>
                </a:ext>
              </a:extLst>
            </xdr:cNvPr>
            <xdr:cNvSpPr txBox="1"/>
          </xdr:nvSpPr>
          <xdr:spPr>
            <a:xfrm>
              <a:off x="0" y="30651270"/>
              <a:ext cx="5440977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𝑀_𝑝=𝑃_𝑠𝑡/(2𝐻_𝑠𝑡 ) [𝑌^2+(𝐻_𝑠𝑡−𝑌)^2 ]+𝑃_𝑐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𝑑_𝑠𝑏+𝑃_𝑤/2𝐷 [𝑌^2+(𝐷−𝑌)^2 ]+𝑃_𝑡 𝑑_𝑡+𝑃_𝑠 𝑑_𝑠+𝑃_𝑟𝑏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192</xdr:row>
      <xdr:rowOff>89272</xdr:rowOff>
    </xdr:from>
    <xdr:ext cx="5645072" cy="2827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4" name="TextBox 453">
              <a:extLst>
                <a:ext uri="{FF2B5EF4-FFF2-40B4-BE49-F238E27FC236}">
                  <a16:creationId xmlns:a16="http://schemas.microsoft.com/office/drawing/2014/main" id="{00000000-0008-0000-0700-0000C6010000}"/>
                </a:ext>
              </a:extLst>
            </xdr:cNvPr>
            <xdr:cNvSpPr txBox="1"/>
          </xdr:nvSpPr>
          <xdr:spPr>
            <a:xfrm>
              <a:off x="0" y="37452432"/>
              <a:ext cx="5645072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54" name="TextBox 453"/>
            <xdr:cNvSpPr txBox="1"/>
          </xdr:nvSpPr>
          <xdr:spPr>
            <a:xfrm>
              <a:off x="0" y="37452432"/>
              <a:ext cx="5645072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𝑀_𝑝=𝑃_𝑠𝑡/(2𝐻_𝑠𝑡 ) [𝑌^2+(𝐻_𝑠𝑡−𝑌)^2 ]+𝑃_𝑤/2𝐷 [𝑌^2+(𝐷−𝑌)^2 ]+𝑃_𝑏𝑜𝑡 𝑑_𝑏𝑜𝑡+𝑃_𝑐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172</xdr:row>
      <xdr:rowOff>77983</xdr:rowOff>
    </xdr:from>
    <xdr:ext cx="3179140" cy="51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8" name="TextBox 457">
              <a:extLst>
                <a:ext uri="{FF2B5EF4-FFF2-40B4-BE49-F238E27FC236}">
                  <a16:creationId xmlns:a16="http://schemas.microsoft.com/office/drawing/2014/main" id="{00000000-0008-0000-0700-0000CA010000}"/>
                </a:ext>
              </a:extLst>
            </xdr:cNvPr>
            <xdr:cNvSpPr txBox="1"/>
          </xdr:nvSpPr>
          <xdr:spPr>
            <a:xfrm>
              <a:off x="0" y="31968761"/>
              <a:ext cx="3179140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d>
                              <m:d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𝐷</m:t>
                                    </m:r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𝐻</m:t>
                                        </m:r>
                                      </m:e>
                                      <m:sub>
                                        <m: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𝑠𝑏</m:t>
                                        </m:r>
                                      </m:sub>
                                    </m:sSub>
                                  </m:den>
                                </m:f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e>
                            </m:d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𝑠𝑏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58" name="TextBox 457">
              <a:extLst>
                <a:ext uri="{FF2B5EF4-FFF2-40B4-BE49-F238E27FC236}">
                  <a16:creationId xmlns:a16="http://schemas.microsoft.com/office/drawing/2014/main" id="{00000000-0008-0000-0700-0000CA010000}"/>
                </a:ext>
              </a:extLst>
            </xdr:cNvPr>
            <xdr:cNvSpPr txBox="1"/>
          </xdr:nvSpPr>
          <xdr:spPr>
            <a:xfrm>
              <a:off x="0" y="31968761"/>
              <a:ext cx="3179140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𝑌=((𝑃_𝑐+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𝑃_𝑤+𝐷/𝐻_𝑐  𝑃_𝑏𝑜𝑡+(2𝐷/𝐻_𝑠𝑏 −1) 𝑃_𝑠𝑏−𝑃_𝑡−𝑃_𝑠𝑡−𝑃_𝑟𝑡−𝑃_𝑟𝑏)/(2/𝐻_𝑠𝑏  𝑃_𝑠𝑏+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1/𝐻_𝑐  𝑃_𝑏𝑜𝑡+2/𝐷 𝑃_𝑤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175</xdr:row>
      <xdr:rowOff>165868</xdr:rowOff>
    </xdr:from>
    <xdr:ext cx="6352445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9" name="TextBox 458">
              <a:extLst>
                <a:ext uri="{FF2B5EF4-FFF2-40B4-BE49-F238E27FC236}">
                  <a16:creationId xmlns:a16="http://schemas.microsoft.com/office/drawing/2014/main" id="{00000000-0008-0000-0700-0000CB010000}"/>
                </a:ext>
              </a:extLst>
            </xdr:cNvPr>
            <xdr:cNvSpPr txBox="1"/>
          </xdr:nvSpPr>
          <xdr:spPr>
            <a:xfrm>
              <a:off x="0" y="32811458"/>
              <a:ext cx="6352445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𝑠𝑏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𝑠𝑏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𝑠𝑏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59" name="TextBox 458"/>
            <xdr:cNvSpPr txBox="1"/>
          </xdr:nvSpPr>
          <xdr:spPr>
            <a:xfrm>
              <a:off x="0" y="32811458"/>
              <a:ext cx="6352445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𝑀_𝑝=𝑃_𝑠𝑏/(2𝐻_𝑠𝑏 ) [〖(𝐷−𝑌)〗^2+(𝐻_𝑠𝑏−𝐷+𝑌)^2 ]+𝑃_𝑤/2𝐷 [𝑌^2+(𝐷−𝑌)^2 ]+〖(𝐷−𝑌)〗^2/(2𝐻_𝑐 ) 𝑃_𝑏𝑜𝑡+𝑃_𝑐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+𝑃_𝑠𝑡 𝑑_𝑠𝑡+𝑃_𝑡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180</xdr:row>
      <xdr:rowOff>82637</xdr:rowOff>
    </xdr:from>
    <xdr:ext cx="2668872" cy="51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2" name="TextBox 521">
              <a:extLst>
                <a:ext uri="{FF2B5EF4-FFF2-40B4-BE49-F238E27FC236}">
                  <a16:creationId xmlns:a16="http://schemas.microsoft.com/office/drawing/2014/main" id="{00000000-0008-0000-0700-00000A020000}"/>
                </a:ext>
              </a:extLst>
            </xdr:cNvPr>
            <xdr:cNvSpPr txBox="1"/>
          </xdr:nvSpPr>
          <xdr:spPr>
            <a:xfrm>
              <a:off x="0" y="33483038"/>
              <a:ext cx="2668872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522" name="TextBox 521">
              <a:extLst>
                <a:ext uri="{FF2B5EF4-FFF2-40B4-BE49-F238E27FC236}">
                  <a16:creationId xmlns:a16="http://schemas.microsoft.com/office/drawing/2014/main" id="{00000000-0008-0000-0700-00000A020000}"/>
                </a:ext>
              </a:extLst>
            </xdr:cNvPr>
            <xdr:cNvSpPr txBox="1"/>
          </xdr:nvSpPr>
          <xdr:spPr>
            <a:xfrm>
              <a:off x="0" y="33483038"/>
              <a:ext cx="2668872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𝑌=((𝑃_𝑐+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𝑃_𝑤+𝑃_𝑠𝑏+𝐷/𝐻_𝑐  𝑃_𝑏𝑜𝑡−𝑃_𝑡−𝑃_𝑠𝑡−𝑃_𝑟𝑏−𝑃_𝑟𝑡)/(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1/𝐻_𝑐  𝑃_𝑏𝑜𝑡+2/𝐷 𝑃_𝑤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183</xdr:row>
      <xdr:rowOff>155004</xdr:rowOff>
    </xdr:from>
    <xdr:ext cx="4997971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3" name="TextBox 522">
              <a:extLst>
                <a:ext uri="{FF2B5EF4-FFF2-40B4-BE49-F238E27FC236}">
                  <a16:creationId xmlns:a16="http://schemas.microsoft.com/office/drawing/2014/main" id="{00000000-0008-0000-0700-00000B020000}"/>
                </a:ext>
              </a:extLst>
            </xdr:cNvPr>
            <xdr:cNvSpPr txBox="1"/>
          </xdr:nvSpPr>
          <xdr:spPr>
            <a:xfrm>
              <a:off x="0" y="34310216"/>
              <a:ext cx="4997971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523" name="TextBox 522"/>
            <xdr:cNvSpPr txBox="1"/>
          </xdr:nvSpPr>
          <xdr:spPr>
            <a:xfrm>
              <a:off x="0" y="34310216"/>
              <a:ext cx="4997971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𝑀_𝑝=𝑃_𝑤/2𝐷 [𝑌^2+(𝐷−𝑌)^2 ]+〖(𝐷−𝑌)〗^2/(2𝐻_𝑐 ) 𝑃_𝑏𝑜𝑡+𝑃_𝑐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203168</xdr:colOff>
      <xdr:row>502</xdr:row>
      <xdr:rowOff>170338</xdr:rowOff>
    </xdr:from>
    <xdr:ext cx="2260683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SpPr txBox="1"/>
          </xdr:nvSpPr>
          <xdr:spPr>
            <a:xfrm>
              <a:off x="917543" y="96372838"/>
              <a:ext cx="2260683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altLang="ko-KR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+1.8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917543" y="96372838"/>
              <a:ext cx="2260683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𝑓_𝑏𝑜𝑡</a:t>
              </a:r>
              <a:r>
                <a:rPr lang="en-US" altLang="ko-KR" sz="900" i="0">
                  <a:latin typeface="Cambria Math" panose="02040503050406030204" pitchFamily="18" charset="0"/>
                </a:rPr>
                <a:t>=(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1.25〖𝐷𝐶〗_3)/(𝑆_𝑏𝑜𝑡1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×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𝑛)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+(1.25〖𝐷𝐶〗_4+1.5𝐷𝑊+1.8𝐿𝐿)/(𝑆_𝑏𝑜𝑡2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190500</xdr:colOff>
      <xdr:row>500</xdr:row>
      <xdr:rowOff>85725</xdr:rowOff>
    </xdr:from>
    <xdr:ext cx="1730410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6" name="TextBox 405">
              <a:extLst>
                <a:ext uri="{FF2B5EF4-FFF2-40B4-BE49-F238E27FC236}">
                  <a16:creationId xmlns:a16="http://schemas.microsoft.com/office/drawing/2014/main" id="{00000000-0008-0000-0700-000096010000}"/>
                </a:ext>
              </a:extLst>
            </xdr:cNvPr>
            <xdr:cNvSpPr txBox="1"/>
          </xdr:nvSpPr>
          <xdr:spPr>
            <a:xfrm>
              <a:off x="904875" y="63331725"/>
              <a:ext cx="1730410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𝑑𝑒𝑐𝑘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+1.8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𝑑𝑒𝑐𝑘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6" name="TextBox 405"/>
            <xdr:cNvSpPr txBox="1"/>
          </xdr:nvSpPr>
          <xdr:spPr>
            <a:xfrm>
              <a:off x="904875" y="63331725"/>
              <a:ext cx="1730410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𝑓_𝑑𝑒𝑐𝑘</a:t>
              </a:r>
              <a:r>
                <a:rPr lang="en-US" altLang="ko-KR" sz="900" i="0">
                  <a:latin typeface="Cambria Math" panose="02040503050406030204" pitchFamily="18" charset="0"/>
                </a:rPr>
                <a:t>=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(1.25〖𝐷𝐶〗_4+1.5𝐷𝑊+1.8𝐿𝐿)/(𝑆_𝑑𝑒𝑐𝑘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1</xdr:col>
      <xdr:colOff>213003</xdr:colOff>
      <xdr:row>421</xdr:row>
      <xdr:rowOff>76203</xdr:rowOff>
    </xdr:from>
    <xdr:to>
      <xdr:col>7</xdr:col>
      <xdr:colOff>89859</xdr:colOff>
      <xdr:row>429</xdr:row>
      <xdr:rowOff>386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00000000-0008-0000-0700-0000AC000000}"/>
            </a:ext>
          </a:extLst>
        </xdr:cNvPr>
        <xdr:cNvGrpSpPr/>
      </xdr:nvGrpSpPr>
      <xdr:grpSpPr>
        <a:xfrm>
          <a:off x="706262" y="78844551"/>
          <a:ext cx="2836410" cy="1420969"/>
          <a:chOff x="701974" y="50571300"/>
          <a:chExt cx="2616463" cy="1458213"/>
        </a:xfrm>
      </xdr:grpSpPr>
      <xdr:sp macro="" textlink="">
        <xdr:nvSpPr>
          <xdr:cNvPr id="706" name="TextBox 705">
            <a:extLst>
              <a:ext uri="{FF2B5EF4-FFF2-40B4-BE49-F238E27FC236}">
                <a16:creationId xmlns:a16="http://schemas.microsoft.com/office/drawing/2014/main" id="{00000000-0008-0000-0700-0000C2020000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정모멘트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700-0000AB000000}"/>
              </a:ext>
            </a:extLst>
          </xdr:cNvPr>
          <xdr:cNvGrpSpPr/>
        </xdr:nvGrpSpPr>
        <xdr:grpSpPr>
          <a:xfrm>
            <a:off x="701974" y="50916559"/>
            <a:ext cx="2616463" cy="1112954"/>
            <a:chOff x="701974" y="50916559"/>
            <a:chExt cx="2616463" cy="1112954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700-000003000000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705" name="자유형 240">
                <a:extLst>
                  <a:ext uri="{FF2B5EF4-FFF2-40B4-BE49-F238E27FC236}">
                    <a16:creationId xmlns:a16="http://schemas.microsoft.com/office/drawing/2014/main" id="{00000000-0008-0000-0700-0000C1020000}"/>
                  </a:ext>
                </a:extLst>
              </xdr:cNvPr>
              <xdr:cNvSpPr/>
            </xdr:nvSpPr>
            <xdr:spPr>
              <a:xfrm>
                <a:off x="2124437" y="51659705"/>
                <a:ext cx="744444" cy="256143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00" name="직선 연결선 254">
                <a:extLst>
                  <a:ext uri="{FF2B5EF4-FFF2-40B4-BE49-F238E27FC236}">
                    <a16:creationId xmlns:a16="http://schemas.microsoft.com/office/drawing/2014/main" id="{00000000-0008-0000-0700-0000BC020000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01" name="직선 연결선 255">
                <a:extLst>
                  <a:ext uri="{FF2B5EF4-FFF2-40B4-BE49-F238E27FC236}">
                    <a16:creationId xmlns:a16="http://schemas.microsoft.com/office/drawing/2014/main" id="{00000000-0008-0000-0700-0000BD020000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02" name="직선 연결선 256">
                <a:extLst>
                  <a:ext uri="{FF2B5EF4-FFF2-40B4-BE49-F238E27FC236}">
                    <a16:creationId xmlns:a16="http://schemas.microsoft.com/office/drawing/2014/main" id="{00000000-0008-0000-0700-0000BE020000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03" name="자유형 253">
                <a:extLst>
                  <a:ext uri="{FF2B5EF4-FFF2-40B4-BE49-F238E27FC236}">
                    <a16:creationId xmlns:a16="http://schemas.microsoft.com/office/drawing/2014/main" id="{00000000-0008-0000-0700-0000BF020000}"/>
                  </a:ext>
                </a:extLst>
              </xdr:cNvPr>
              <xdr:cNvSpPr/>
            </xdr:nvSpPr>
            <xdr:spPr>
              <a:xfrm>
                <a:off x="1428750" y="50673000"/>
                <a:ext cx="2112618" cy="276369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04" name="직선 연결선 251">
                <a:extLst>
                  <a:ext uri="{FF2B5EF4-FFF2-40B4-BE49-F238E27FC236}">
                    <a16:creationId xmlns:a16="http://schemas.microsoft.com/office/drawing/2014/main" id="{00000000-0008-0000-0700-0000C0020000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707" name="Straight Connector 706">
              <a:extLst>
                <a:ext uri="{FF2B5EF4-FFF2-40B4-BE49-F238E27FC236}">
                  <a16:creationId xmlns:a16="http://schemas.microsoft.com/office/drawing/2014/main" id="{00000000-0008-0000-0700-0000C3020000}"/>
                </a:ext>
              </a:extLst>
            </xdr:cNvPr>
            <xdr:cNvCxnSpPr/>
          </xdr:nvCxnSpPr>
          <xdr:spPr>
            <a:xfrm>
              <a:off x="789488" y="51248840"/>
              <a:ext cx="2183079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8" name="Straight Connector 707">
              <a:extLst>
                <a:ext uri="{FF2B5EF4-FFF2-40B4-BE49-F238E27FC236}">
                  <a16:creationId xmlns:a16="http://schemas.microsoft.com/office/drawing/2014/main" id="{00000000-0008-0000-0700-0000C4020000}"/>
                </a:ext>
              </a:extLst>
            </xdr:cNvPr>
            <xdr:cNvCxnSpPr/>
          </xdr:nvCxnSpPr>
          <xdr:spPr>
            <a:xfrm flipH="1">
              <a:off x="2699086" y="50921237"/>
              <a:ext cx="378959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9" name="Straight Connector 708">
              <a:extLst>
                <a:ext uri="{FF2B5EF4-FFF2-40B4-BE49-F238E27FC236}">
                  <a16:creationId xmlns:a16="http://schemas.microsoft.com/office/drawing/2014/main" id="{00000000-0008-0000-0700-0000C5020000}"/>
                </a:ext>
              </a:extLst>
            </xdr:cNvPr>
            <xdr:cNvCxnSpPr/>
          </xdr:nvCxnSpPr>
          <xdr:spPr>
            <a:xfrm>
              <a:off x="2853403" y="50923591"/>
              <a:ext cx="0" cy="32705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0" name="TextBox 709">
              <a:extLst>
                <a:ext uri="{FF2B5EF4-FFF2-40B4-BE49-F238E27FC236}">
                  <a16:creationId xmlns:a16="http://schemas.microsoft.com/office/drawing/2014/main" id="{00000000-0008-0000-0700-0000C6020000}"/>
                </a:ext>
              </a:extLst>
            </xdr:cNvPr>
            <xdr:cNvSpPr txBox="1"/>
          </xdr:nvSpPr>
          <xdr:spPr>
            <a:xfrm>
              <a:off x="701974" y="51102392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711" name="TextBox 710">
              <a:extLst>
                <a:ext uri="{FF2B5EF4-FFF2-40B4-BE49-F238E27FC236}">
                  <a16:creationId xmlns:a16="http://schemas.microsoft.com/office/drawing/2014/main" id="{00000000-0008-0000-0700-0000C7020000}"/>
                </a:ext>
              </a:extLst>
            </xdr:cNvPr>
            <xdr:cNvSpPr txBox="1"/>
          </xdr:nvSpPr>
          <xdr:spPr>
            <a:xfrm>
              <a:off x="2783316" y="50966405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712" name="Straight Connector 711">
              <a:extLst>
                <a:ext uri="{FF2B5EF4-FFF2-40B4-BE49-F238E27FC236}">
                  <a16:creationId xmlns:a16="http://schemas.microsoft.com/office/drawing/2014/main" id="{00000000-0008-0000-0700-0000C8020000}"/>
                </a:ext>
              </a:extLst>
            </xdr:cNvPr>
            <xdr:cNvCxnSpPr/>
          </xdr:nvCxnSpPr>
          <xdr:spPr>
            <a:xfrm flipH="1">
              <a:off x="2211847" y="52029513"/>
              <a:ext cx="866198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3" name="Straight Connector 712">
              <a:extLst>
                <a:ext uri="{FF2B5EF4-FFF2-40B4-BE49-F238E27FC236}">
                  <a16:creationId xmlns:a16="http://schemas.microsoft.com/office/drawing/2014/main" id="{00000000-0008-0000-0700-0000C9020000}"/>
                </a:ext>
              </a:extLst>
            </xdr:cNvPr>
            <xdr:cNvCxnSpPr/>
          </xdr:nvCxnSpPr>
          <xdr:spPr>
            <a:xfrm>
              <a:off x="3071653" y="50917198"/>
              <a:ext cx="0" cy="1112315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4" name="TextBox 713">
              <a:extLst>
                <a:ext uri="{FF2B5EF4-FFF2-40B4-BE49-F238E27FC236}">
                  <a16:creationId xmlns:a16="http://schemas.microsoft.com/office/drawing/2014/main" id="{00000000-0008-0000-0700-0000CA020000}"/>
                </a:ext>
              </a:extLst>
            </xdr:cNvPr>
            <xdr:cNvSpPr txBox="1"/>
          </xdr:nvSpPr>
          <xdr:spPr>
            <a:xfrm>
              <a:off x="3007727" y="51374271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twoCellAnchor>
    <xdr:from>
      <xdr:col>8</xdr:col>
      <xdr:colOff>241289</xdr:colOff>
      <xdr:row>421</xdr:row>
      <xdr:rowOff>93097</xdr:rowOff>
    </xdr:from>
    <xdr:to>
      <xdr:col>13</xdr:col>
      <xdr:colOff>251603</xdr:colOff>
      <xdr:row>428</xdr:row>
      <xdr:rowOff>183505</xdr:rowOff>
    </xdr:to>
    <xdr:grpSp>
      <xdr:nvGrpSpPr>
        <xdr:cNvPr id="715" name="Group 714">
          <a:extLst>
            <a:ext uri="{FF2B5EF4-FFF2-40B4-BE49-F238E27FC236}">
              <a16:creationId xmlns:a16="http://schemas.microsoft.com/office/drawing/2014/main" id="{00000000-0008-0000-0700-0000CB020000}"/>
            </a:ext>
          </a:extLst>
        </xdr:cNvPr>
        <xdr:cNvGrpSpPr/>
      </xdr:nvGrpSpPr>
      <xdr:grpSpPr>
        <a:xfrm>
          <a:off x="4187360" y="78861445"/>
          <a:ext cx="2476609" cy="1400096"/>
          <a:chOff x="744784" y="50571300"/>
          <a:chExt cx="2297296" cy="1433777"/>
        </a:xfrm>
      </xdr:grpSpPr>
      <xdr:sp macro="" textlink="">
        <xdr:nvSpPr>
          <xdr:cNvPr id="716" name="TextBox 715">
            <a:extLst>
              <a:ext uri="{FF2B5EF4-FFF2-40B4-BE49-F238E27FC236}">
                <a16:creationId xmlns:a16="http://schemas.microsoft.com/office/drawing/2014/main" id="{00000000-0008-0000-0700-0000CC020000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부모멘트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717" name="Group 716">
            <a:extLst>
              <a:ext uri="{FF2B5EF4-FFF2-40B4-BE49-F238E27FC236}">
                <a16:creationId xmlns:a16="http://schemas.microsoft.com/office/drawing/2014/main" id="{00000000-0008-0000-0700-0000CD020000}"/>
              </a:ext>
            </a:extLst>
          </xdr:cNvPr>
          <xdr:cNvGrpSpPr/>
        </xdr:nvGrpSpPr>
        <xdr:grpSpPr>
          <a:xfrm>
            <a:off x="744784" y="50916559"/>
            <a:ext cx="2297296" cy="1088518"/>
            <a:chOff x="744784" y="50916559"/>
            <a:chExt cx="2297296" cy="1088518"/>
          </a:xfrm>
        </xdr:grpSpPr>
        <xdr:grpSp>
          <xdr:nvGrpSpPr>
            <xdr:cNvPr id="718" name="Group 717">
              <a:extLst>
                <a:ext uri="{FF2B5EF4-FFF2-40B4-BE49-F238E27FC236}">
                  <a16:creationId xmlns:a16="http://schemas.microsoft.com/office/drawing/2014/main" id="{00000000-0008-0000-0700-0000CE020000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732" name="자유형 240">
                <a:extLst>
                  <a:ext uri="{FF2B5EF4-FFF2-40B4-BE49-F238E27FC236}">
                    <a16:creationId xmlns:a16="http://schemas.microsoft.com/office/drawing/2014/main" id="{00000000-0008-0000-0700-0000DC020000}"/>
                  </a:ext>
                </a:extLst>
              </xdr:cNvPr>
              <xdr:cNvSpPr/>
            </xdr:nvSpPr>
            <xdr:spPr>
              <a:xfrm>
                <a:off x="2121713" y="51659705"/>
                <a:ext cx="751128" cy="233047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27" name="직선 연결선 254">
                <a:extLst>
                  <a:ext uri="{FF2B5EF4-FFF2-40B4-BE49-F238E27FC236}">
                    <a16:creationId xmlns:a16="http://schemas.microsoft.com/office/drawing/2014/main" id="{00000000-0008-0000-0700-0000D7020000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8" name="직선 연결선 255">
                <a:extLst>
                  <a:ext uri="{FF2B5EF4-FFF2-40B4-BE49-F238E27FC236}">
                    <a16:creationId xmlns:a16="http://schemas.microsoft.com/office/drawing/2014/main" id="{00000000-0008-0000-0700-0000D8020000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9" name="직선 연결선 256">
                <a:extLst>
                  <a:ext uri="{FF2B5EF4-FFF2-40B4-BE49-F238E27FC236}">
                    <a16:creationId xmlns:a16="http://schemas.microsoft.com/office/drawing/2014/main" id="{00000000-0008-0000-0700-0000D9020000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30" name="자유형 253">
                <a:extLst>
                  <a:ext uri="{FF2B5EF4-FFF2-40B4-BE49-F238E27FC236}">
                    <a16:creationId xmlns:a16="http://schemas.microsoft.com/office/drawing/2014/main" id="{00000000-0008-0000-0700-0000DA020000}"/>
                  </a:ext>
                </a:extLst>
              </xdr:cNvPr>
              <xdr:cNvSpPr/>
            </xdr:nvSpPr>
            <xdr:spPr>
              <a:xfrm>
                <a:off x="1428750" y="50673000"/>
                <a:ext cx="2112618" cy="267284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31" name="직선 연결선 251">
                <a:extLst>
                  <a:ext uri="{FF2B5EF4-FFF2-40B4-BE49-F238E27FC236}">
                    <a16:creationId xmlns:a16="http://schemas.microsoft.com/office/drawing/2014/main" id="{00000000-0008-0000-0700-0000DB020000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719" name="Straight Connector 718">
              <a:extLst>
                <a:ext uri="{FF2B5EF4-FFF2-40B4-BE49-F238E27FC236}">
                  <a16:creationId xmlns:a16="http://schemas.microsoft.com/office/drawing/2014/main" id="{00000000-0008-0000-0700-0000CF020000}"/>
                </a:ext>
              </a:extLst>
            </xdr:cNvPr>
            <xdr:cNvCxnSpPr/>
          </xdr:nvCxnSpPr>
          <xdr:spPr>
            <a:xfrm>
              <a:off x="786937" y="51640586"/>
              <a:ext cx="1880054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0" name="Straight Connector 719">
              <a:extLst>
                <a:ext uri="{FF2B5EF4-FFF2-40B4-BE49-F238E27FC236}">
                  <a16:creationId xmlns:a16="http://schemas.microsoft.com/office/drawing/2014/main" id="{00000000-0008-0000-0700-0000D0020000}"/>
                </a:ext>
              </a:extLst>
            </xdr:cNvPr>
            <xdr:cNvCxnSpPr/>
          </xdr:nvCxnSpPr>
          <xdr:spPr>
            <a:xfrm flipH="1">
              <a:off x="2316529" y="51105345"/>
              <a:ext cx="48818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1" name="Straight Connector 720">
              <a:extLst>
                <a:ext uri="{FF2B5EF4-FFF2-40B4-BE49-F238E27FC236}">
                  <a16:creationId xmlns:a16="http://schemas.microsoft.com/office/drawing/2014/main" id="{00000000-0008-0000-0700-0000D1020000}"/>
                </a:ext>
              </a:extLst>
            </xdr:cNvPr>
            <xdr:cNvCxnSpPr/>
          </xdr:nvCxnSpPr>
          <xdr:spPr>
            <a:xfrm>
              <a:off x="2519304" y="51643992"/>
              <a:ext cx="0" cy="332382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22" name="TextBox 721">
              <a:extLst>
                <a:ext uri="{FF2B5EF4-FFF2-40B4-BE49-F238E27FC236}">
                  <a16:creationId xmlns:a16="http://schemas.microsoft.com/office/drawing/2014/main" id="{00000000-0008-0000-0700-0000D2020000}"/>
                </a:ext>
              </a:extLst>
            </xdr:cNvPr>
            <xdr:cNvSpPr txBox="1"/>
          </xdr:nvSpPr>
          <xdr:spPr>
            <a:xfrm>
              <a:off x="744784" y="51470918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723" name="TextBox 722">
              <a:extLst>
                <a:ext uri="{FF2B5EF4-FFF2-40B4-BE49-F238E27FC236}">
                  <a16:creationId xmlns:a16="http://schemas.microsoft.com/office/drawing/2014/main" id="{00000000-0008-0000-0700-0000D3020000}"/>
                </a:ext>
              </a:extLst>
            </xdr:cNvPr>
            <xdr:cNvSpPr txBox="1"/>
          </xdr:nvSpPr>
          <xdr:spPr>
            <a:xfrm>
              <a:off x="2435442" y="51698302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724" name="Straight Connector 723">
              <a:extLst>
                <a:ext uri="{FF2B5EF4-FFF2-40B4-BE49-F238E27FC236}">
                  <a16:creationId xmlns:a16="http://schemas.microsoft.com/office/drawing/2014/main" id="{00000000-0008-0000-0700-0000D4020000}"/>
                </a:ext>
              </a:extLst>
            </xdr:cNvPr>
            <xdr:cNvCxnSpPr/>
          </xdr:nvCxnSpPr>
          <xdr:spPr>
            <a:xfrm flipH="1">
              <a:off x="2183542" y="51976763"/>
              <a:ext cx="62372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5" name="Straight Connector 724">
              <a:extLst>
                <a:ext uri="{FF2B5EF4-FFF2-40B4-BE49-F238E27FC236}">
                  <a16:creationId xmlns:a16="http://schemas.microsoft.com/office/drawing/2014/main" id="{00000000-0008-0000-0700-0000D5020000}"/>
                </a:ext>
              </a:extLst>
            </xdr:cNvPr>
            <xdr:cNvCxnSpPr/>
          </xdr:nvCxnSpPr>
          <xdr:spPr>
            <a:xfrm>
              <a:off x="2801312" y="51104295"/>
              <a:ext cx="0" cy="87447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26" name="TextBox 725">
              <a:extLst>
                <a:ext uri="{FF2B5EF4-FFF2-40B4-BE49-F238E27FC236}">
                  <a16:creationId xmlns:a16="http://schemas.microsoft.com/office/drawing/2014/main" id="{00000000-0008-0000-0700-0000D6020000}"/>
                </a:ext>
              </a:extLst>
            </xdr:cNvPr>
            <xdr:cNvSpPr txBox="1"/>
          </xdr:nvSpPr>
          <xdr:spPr>
            <a:xfrm>
              <a:off x="2731370" y="51349807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oneCellAnchor>
    <xdr:from>
      <xdr:col>10</xdr:col>
      <xdr:colOff>219936</xdr:colOff>
      <xdr:row>651</xdr:row>
      <xdr:rowOff>152924</xdr:rowOff>
    </xdr:from>
    <xdr:ext cx="741870" cy="4092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TextBox 162">
              <a:extLst>
                <a:ext uri="{FF2B5EF4-FFF2-40B4-BE49-F238E27FC236}">
                  <a16:creationId xmlns:a16="http://schemas.microsoft.com/office/drawing/2014/main" id="{00000000-0008-0000-0700-0000A3000000}"/>
                </a:ext>
              </a:extLst>
            </xdr:cNvPr>
            <xdr:cNvSpPr txBox="1"/>
          </xdr:nvSpPr>
          <xdr:spPr>
            <a:xfrm>
              <a:off x="4353427" y="122054952"/>
              <a:ext cx="741870" cy="4092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l-GR" altLang="ko-KR" sz="900" i="1">
                            <a:latin typeface="Cambria Math" panose="02040503050406030204" pitchFamily="18" charset="0"/>
                          </a:rPr>
                          <m:t>λ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=0.95</m:t>
                    </m:r>
                    <m:rad>
                      <m:radPr>
                        <m:degHide m:val="on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𝐸𝑘</m:t>
                            </m:r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𝐹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𝑦𝑟</m:t>
                                </m:r>
                              </m:sub>
                            </m:sSub>
                          </m:den>
                        </m:f>
                      </m:e>
                    </m:ra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63" name="TextBox 162">
              <a:extLst>
                <a:ext uri="{FF2B5EF4-FFF2-40B4-BE49-F238E27FC236}">
                  <a16:creationId xmlns:a16="http://schemas.microsoft.com/office/drawing/2014/main" id="{00000000-0008-0000-0700-0000A3000000}"/>
                </a:ext>
              </a:extLst>
            </xdr:cNvPr>
            <xdr:cNvSpPr txBox="1"/>
          </xdr:nvSpPr>
          <xdr:spPr>
            <a:xfrm>
              <a:off x="4353427" y="122054952"/>
              <a:ext cx="741870" cy="4092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altLang="ko-KR" sz="900" i="0">
                  <a:latin typeface="Cambria Math" panose="02040503050406030204" pitchFamily="18" charset="0"/>
                </a:rPr>
                <a:t>λ</a:t>
              </a:r>
              <a:r>
                <a:rPr lang="en-US" altLang="ko-KR" sz="900" i="0">
                  <a:latin typeface="Cambria Math" panose="02040503050406030204" pitchFamily="18" charset="0"/>
                </a:rPr>
                <a:t>_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𝑟=0.95√(𝐸𝑘/𝐹_𝑦𝑟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4</xdr:col>
      <xdr:colOff>235157</xdr:colOff>
      <xdr:row>265</xdr:row>
      <xdr:rowOff>146795</xdr:rowOff>
    </xdr:from>
    <xdr:ext cx="2395335" cy="2984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00000000-0008-0000-0700-0000AA000000}"/>
                </a:ext>
              </a:extLst>
            </xdr:cNvPr>
            <xdr:cNvSpPr txBox="1"/>
          </xdr:nvSpPr>
          <xdr:spPr>
            <a:xfrm>
              <a:off x="1205629" y="48643422"/>
              <a:ext cx="2395335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𝑦𝑐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𝑠𝑡𝑒𝑒𝑙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𝑐𝑜𝑛𝑐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𝑙𝑜𝑛𝑔𝑡𝑒𝑟𝑚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𝐴𝐷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𝑠h𝑜𝑟𝑡𝑡𝑒𝑟𝑚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70" name="TextBox 169"/>
            <xdr:cNvSpPr txBox="1"/>
          </xdr:nvSpPr>
          <xdr:spPr>
            <a:xfrm>
              <a:off x="1205629" y="48643422"/>
              <a:ext cx="2395335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𝐹_𝑦𝑐=𝑀_𝐷1/𝑆_𝑠𝑡𝑒𝑒𝑙 +𝑀_𝐷2/𝑆_(𝑏𝑜𝑡_𝑐𝑜𝑛𝑐) +𝑀_𝐷3/𝑆_𝑙𝑜𝑛𝑔𝑡𝑒𝑟𝑚 +𝑀_(𝐴𝐷_𝐶)/𝑆_𝑠ℎ𝑜𝑟𝑡𝑡𝑒𝑟𝑚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4</xdr:col>
      <xdr:colOff>224646</xdr:colOff>
      <xdr:row>267</xdr:row>
      <xdr:rowOff>170732</xdr:rowOff>
    </xdr:from>
    <xdr:ext cx="2424382" cy="2984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1" name="TextBox 560">
              <a:extLst>
                <a:ext uri="{FF2B5EF4-FFF2-40B4-BE49-F238E27FC236}">
                  <a16:creationId xmlns:a16="http://schemas.microsoft.com/office/drawing/2014/main" id="{00000000-0008-0000-0700-000031020000}"/>
                </a:ext>
              </a:extLst>
            </xdr:cNvPr>
            <xdr:cNvSpPr txBox="1"/>
          </xdr:nvSpPr>
          <xdr:spPr>
            <a:xfrm>
              <a:off x="1195118" y="48856062"/>
              <a:ext cx="2424382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𝑦𝑡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𝑠𝑡𝑒𝑒𝑙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𝑐𝑜𝑛𝑐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𝑙𝑜𝑛𝑔𝑡𝑒𝑟𝑚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𝐴𝐷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𝑠h𝑜𝑟𝑡𝑡𝑒𝑟𝑚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561" name="TextBox 560"/>
            <xdr:cNvSpPr txBox="1"/>
          </xdr:nvSpPr>
          <xdr:spPr>
            <a:xfrm>
              <a:off x="1195118" y="48856062"/>
              <a:ext cx="2424382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𝐹_𝑦𝑡=𝑀_𝐷1/𝑆_𝑠𝑡𝑒𝑒𝑙 +𝑀_𝐷2/𝑆_(𝑏𝑜𝑡_𝑐𝑜𝑛𝑐) +𝑀_𝐷3/𝑆_𝑙𝑜𝑛𝑔𝑡𝑒𝑟𝑚 +𝑀_(𝐴𝐷_𝑇)/𝑆_𝑠ℎ𝑜𝑟𝑡𝑡𝑒𝑟𝑚 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3</xdr:col>
      <xdr:colOff>166818</xdr:colOff>
      <xdr:row>747</xdr:row>
      <xdr:rowOff>17009</xdr:rowOff>
    </xdr:from>
    <xdr:to>
      <xdr:col>10</xdr:col>
      <xdr:colOff>44929</xdr:colOff>
      <xdr:row>752</xdr:row>
      <xdr:rowOff>151782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700-0000F3000000}"/>
            </a:ext>
          </a:extLst>
        </xdr:cNvPr>
        <xdr:cNvGrpSpPr/>
      </xdr:nvGrpSpPr>
      <xdr:grpSpPr>
        <a:xfrm>
          <a:off x="1646595" y="139779375"/>
          <a:ext cx="3330923" cy="1070264"/>
          <a:chOff x="855680" y="136658236"/>
          <a:chExt cx="3011058" cy="1070265"/>
        </a:xfrm>
      </xdr:grpSpPr>
      <xdr:grpSp>
        <xdr:nvGrpSpPr>
          <xdr:cNvPr id="208" name="Group 207">
            <a:extLst>
              <a:ext uri="{FF2B5EF4-FFF2-40B4-BE49-F238E27FC236}">
                <a16:creationId xmlns:a16="http://schemas.microsoft.com/office/drawing/2014/main" id="{00000000-0008-0000-0700-0000D0000000}"/>
              </a:ext>
            </a:extLst>
          </xdr:cNvPr>
          <xdr:cNvGrpSpPr/>
        </xdr:nvGrpSpPr>
        <xdr:grpSpPr>
          <a:xfrm>
            <a:off x="870389" y="136979361"/>
            <a:ext cx="2996349" cy="749140"/>
            <a:chOff x="376197" y="140741881"/>
            <a:chExt cx="4238225" cy="1080242"/>
          </a:xfrm>
        </xdr:grpSpPr>
        <xdr:sp macro="" textlink="">
          <xdr:nvSpPr>
            <xdr:cNvPr id="207" name="Freeform 206">
              <a:extLst>
                <a:ext uri="{FF2B5EF4-FFF2-40B4-BE49-F238E27FC236}">
                  <a16:creationId xmlns:a16="http://schemas.microsoft.com/office/drawing/2014/main" id="{00000000-0008-0000-0700-0000CF000000}"/>
                </a:ext>
              </a:extLst>
            </xdr:cNvPr>
            <xdr:cNvSpPr/>
          </xdr:nvSpPr>
          <xdr:spPr>
            <a:xfrm>
              <a:off x="376197" y="140741881"/>
              <a:ext cx="4238225" cy="232121"/>
            </a:xfrm>
            <a:custGeom>
              <a:avLst/>
              <a:gdLst>
                <a:gd name="connsiteX0" fmla="*/ 240127 w 4238225"/>
                <a:gd name="connsiteY0" fmla="*/ 176092 h 232121"/>
                <a:gd name="connsiteX1" fmla="*/ 0 w 4238225"/>
                <a:gd name="connsiteY1" fmla="*/ 176092 h 232121"/>
                <a:gd name="connsiteX2" fmla="*/ 0 w 4238225"/>
                <a:gd name="connsiteY2" fmla="*/ 0 h 232121"/>
                <a:gd name="connsiteX3" fmla="*/ 4238225 w 4238225"/>
                <a:gd name="connsiteY3" fmla="*/ 0 h 232121"/>
                <a:gd name="connsiteX4" fmla="*/ 4238225 w 4238225"/>
                <a:gd name="connsiteY4" fmla="*/ 160084 h 232121"/>
                <a:gd name="connsiteX5" fmla="*/ 3982091 w 4238225"/>
                <a:gd name="connsiteY5" fmla="*/ 160084 h 232121"/>
                <a:gd name="connsiteX6" fmla="*/ 3926061 w 4238225"/>
                <a:gd name="connsiteY6" fmla="*/ 216114 h 232121"/>
                <a:gd name="connsiteX7" fmla="*/ 2433278 w 4238225"/>
                <a:gd name="connsiteY7" fmla="*/ 216114 h 232121"/>
                <a:gd name="connsiteX8" fmla="*/ 2381250 w 4238225"/>
                <a:gd name="connsiteY8" fmla="*/ 164086 h 232121"/>
                <a:gd name="connsiteX9" fmla="*/ 1856975 w 4238225"/>
                <a:gd name="connsiteY9" fmla="*/ 164086 h 232121"/>
                <a:gd name="connsiteX10" fmla="*/ 1788940 w 4238225"/>
                <a:gd name="connsiteY10" fmla="*/ 232121 h 232121"/>
                <a:gd name="connsiteX11" fmla="*/ 308162 w 4238225"/>
                <a:gd name="connsiteY11" fmla="*/ 232121 h 232121"/>
                <a:gd name="connsiteX12" fmla="*/ 240127 w 4238225"/>
                <a:gd name="connsiteY12" fmla="*/ 176092 h 2321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4238225" h="232121">
                  <a:moveTo>
                    <a:pt x="240127" y="176092"/>
                  </a:moveTo>
                  <a:lnTo>
                    <a:pt x="0" y="176092"/>
                  </a:lnTo>
                  <a:lnTo>
                    <a:pt x="0" y="0"/>
                  </a:lnTo>
                  <a:lnTo>
                    <a:pt x="4238225" y="0"/>
                  </a:lnTo>
                  <a:lnTo>
                    <a:pt x="4238225" y="160084"/>
                  </a:lnTo>
                  <a:lnTo>
                    <a:pt x="3982091" y="160084"/>
                  </a:lnTo>
                  <a:lnTo>
                    <a:pt x="3926061" y="216114"/>
                  </a:lnTo>
                  <a:lnTo>
                    <a:pt x="2433278" y="216114"/>
                  </a:lnTo>
                  <a:lnTo>
                    <a:pt x="2381250" y="164086"/>
                  </a:lnTo>
                  <a:lnTo>
                    <a:pt x="1856975" y="164086"/>
                  </a:lnTo>
                  <a:lnTo>
                    <a:pt x="1788940" y="232121"/>
                  </a:lnTo>
                  <a:lnTo>
                    <a:pt x="308162" y="232121"/>
                  </a:lnTo>
                  <a:lnTo>
                    <a:pt x="240127" y="176092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639" name="그룹 30">
              <a:extLst>
                <a:ext uri="{FF2B5EF4-FFF2-40B4-BE49-F238E27FC236}">
                  <a16:creationId xmlns:a16="http://schemas.microsoft.com/office/drawing/2014/main" id="{00000000-0008-0000-0700-00007F020000}"/>
                </a:ext>
              </a:extLst>
            </xdr:cNvPr>
            <xdr:cNvGrpSpPr/>
          </xdr:nvGrpSpPr>
          <xdr:grpSpPr>
            <a:xfrm>
              <a:off x="677934" y="140940085"/>
              <a:ext cx="1497953" cy="882038"/>
              <a:chOff x="4444381" y="313952"/>
              <a:chExt cx="1570114" cy="1069110"/>
            </a:xfrm>
          </xdr:grpSpPr>
          <xdr:grpSp>
            <xdr:nvGrpSpPr>
              <xdr:cNvPr id="646" name="그룹 7">
                <a:extLst>
                  <a:ext uri="{FF2B5EF4-FFF2-40B4-BE49-F238E27FC236}">
                    <a16:creationId xmlns:a16="http://schemas.microsoft.com/office/drawing/2014/main" id="{00000000-0008-0000-0700-000086020000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651" name="직선 연결선 3">
                  <a:extLst>
                    <a:ext uri="{FF2B5EF4-FFF2-40B4-BE49-F238E27FC236}">
                      <a16:creationId xmlns:a16="http://schemas.microsoft.com/office/drawing/2014/main" id="{00000000-0008-0000-0700-00008B020000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2" name="직선 연결선 4">
                  <a:extLst>
                    <a:ext uri="{FF2B5EF4-FFF2-40B4-BE49-F238E27FC236}">
                      <a16:creationId xmlns:a16="http://schemas.microsoft.com/office/drawing/2014/main" id="{00000000-0008-0000-0700-00008C020000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3" name="직선 연결선 5">
                  <a:extLst>
                    <a:ext uri="{FF2B5EF4-FFF2-40B4-BE49-F238E27FC236}">
                      <a16:creationId xmlns:a16="http://schemas.microsoft.com/office/drawing/2014/main" id="{00000000-0008-0000-0700-00008D020000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4" name="직선 연결선 6">
                  <a:extLst>
                    <a:ext uri="{FF2B5EF4-FFF2-40B4-BE49-F238E27FC236}">
                      <a16:creationId xmlns:a16="http://schemas.microsoft.com/office/drawing/2014/main" id="{00000000-0008-0000-0700-00008E020000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45" name="직선 연결선 29">
                <a:extLst>
                  <a:ext uri="{FF2B5EF4-FFF2-40B4-BE49-F238E27FC236}">
                    <a16:creationId xmlns:a16="http://schemas.microsoft.com/office/drawing/2014/main" id="{00000000-0008-0000-0700-000085020000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60" name="그룹 30">
              <a:extLst>
                <a:ext uri="{FF2B5EF4-FFF2-40B4-BE49-F238E27FC236}">
                  <a16:creationId xmlns:a16="http://schemas.microsoft.com/office/drawing/2014/main" id="{00000000-0008-0000-0700-000094020000}"/>
                </a:ext>
              </a:extLst>
            </xdr:cNvPr>
            <xdr:cNvGrpSpPr/>
          </xdr:nvGrpSpPr>
          <xdr:grpSpPr>
            <a:xfrm>
              <a:off x="2803992" y="140934082"/>
              <a:ext cx="1497953" cy="882038"/>
              <a:chOff x="4444381" y="313952"/>
              <a:chExt cx="1570114" cy="1069110"/>
            </a:xfrm>
          </xdr:grpSpPr>
          <xdr:grpSp>
            <xdr:nvGrpSpPr>
              <xdr:cNvPr id="661" name="그룹 7">
                <a:extLst>
                  <a:ext uri="{FF2B5EF4-FFF2-40B4-BE49-F238E27FC236}">
                    <a16:creationId xmlns:a16="http://schemas.microsoft.com/office/drawing/2014/main" id="{00000000-0008-0000-0700-000095020000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663" name="직선 연결선 3">
                  <a:extLst>
                    <a:ext uri="{FF2B5EF4-FFF2-40B4-BE49-F238E27FC236}">
                      <a16:creationId xmlns:a16="http://schemas.microsoft.com/office/drawing/2014/main" id="{00000000-0008-0000-0700-000097020000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64" name="직선 연결선 4">
                  <a:extLst>
                    <a:ext uri="{FF2B5EF4-FFF2-40B4-BE49-F238E27FC236}">
                      <a16:creationId xmlns:a16="http://schemas.microsoft.com/office/drawing/2014/main" id="{00000000-0008-0000-0700-000098020000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65" name="직선 연결선 5">
                  <a:extLst>
                    <a:ext uri="{FF2B5EF4-FFF2-40B4-BE49-F238E27FC236}">
                      <a16:creationId xmlns:a16="http://schemas.microsoft.com/office/drawing/2014/main" id="{00000000-0008-0000-0700-000099020000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66" name="직선 연결선 6">
                  <a:extLst>
                    <a:ext uri="{FF2B5EF4-FFF2-40B4-BE49-F238E27FC236}">
                      <a16:creationId xmlns:a16="http://schemas.microsoft.com/office/drawing/2014/main" id="{00000000-0008-0000-0700-00009A020000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62" name="직선 연결선 29">
                <a:extLst>
                  <a:ext uri="{FF2B5EF4-FFF2-40B4-BE49-F238E27FC236}">
                    <a16:creationId xmlns:a16="http://schemas.microsoft.com/office/drawing/2014/main" id="{00000000-0008-0000-0700-000096020000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00000000-0008-0000-0700-0000D2000000}"/>
              </a:ext>
            </a:extLst>
          </xdr:cNvPr>
          <xdr:cNvCxnSpPr/>
        </xdr:nvCxnSpPr>
        <xdr:spPr>
          <a:xfrm>
            <a:off x="1190626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1" name="Straight Connector 670">
            <a:extLst>
              <a:ext uri="{FF2B5EF4-FFF2-40B4-BE49-F238E27FC236}">
                <a16:creationId xmlns:a16="http://schemas.microsoft.com/office/drawing/2014/main" id="{00000000-0008-0000-0700-00009F020000}"/>
              </a:ext>
            </a:extLst>
          </xdr:cNvPr>
          <xdr:cNvCxnSpPr/>
        </xdr:nvCxnSpPr>
        <xdr:spPr>
          <a:xfrm>
            <a:off x="2046305" y="136826364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00000000-0008-0000-0700-0000E6000000}"/>
              </a:ext>
            </a:extLst>
          </xdr:cNvPr>
          <xdr:cNvCxnSpPr/>
        </xdr:nvCxnSpPr>
        <xdr:spPr>
          <a:xfrm flipH="1">
            <a:off x="855680" y="136826363"/>
            <a:ext cx="1842199" cy="0"/>
          </a:xfrm>
          <a:prstGeom prst="line">
            <a:avLst/>
          </a:prstGeom>
          <a:ln w="31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2" name="Straight Connector 671">
            <a:extLst>
              <a:ext uri="{FF2B5EF4-FFF2-40B4-BE49-F238E27FC236}">
                <a16:creationId xmlns:a16="http://schemas.microsoft.com/office/drawing/2014/main" id="{00000000-0008-0000-0700-0000A0020000}"/>
              </a:ext>
            </a:extLst>
          </xdr:cNvPr>
          <xdr:cNvCxnSpPr/>
        </xdr:nvCxnSpPr>
        <xdr:spPr>
          <a:xfrm>
            <a:off x="2692644" y="136828980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3" name="Straight Connector 672">
            <a:extLst>
              <a:ext uri="{FF2B5EF4-FFF2-40B4-BE49-F238E27FC236}">
                <a16:creationId xmlns:a16="http://schemas.microsoft.com/office/drawing/2014/main" id="{00000000-0008-0000-0700-0000A1020000}"/>
              </a:ext>
            </a:extLst>
          </xdr:cNvPr>
          <xdr:cNvCxnSpPr/>
        </xdr:nvCxnSpPr>
        <xdr:spPr>
          <a:xfrm>
            <a:off x="868763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74" name="TextBox 673">
            <a:extLst>
              <a:ext uri="{FF2B5EF4-FFF2-40B4-BE49-F238E27FC236}">
                <a16:creationId xmlns:a16="http://schemas.microsoft.com/office/drawing/2014/main" id="{00000000-0008-0000-0700-0000A2020000}"/>
              </a:ext>
            </a:extLst>
          </xdr:cNvPr>
          <xdr:cNvSpPr txBox="1"/>
        </xdr:nvSpPr>
        <xdr:spPr>
          <a:xfrm>
            <a:off x="909978" y="136658236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b</a:t>
            </a:r>
          </a:p>
        </xdr:txBody>
      </xdr:sp>
      <xdr:sp macro="" textlink="">
        <xdr:nvSpPr>
          <xdr:cNvPr id="675" name="TextBox 674">
            <a:extLst>
              <a:ext uri="{FF2B5EF4-FFF2-40B4-BE49-F238E27FC236}">
                <a16:creationId xmlns:a16="http://schemas.microsoft.com/office/drawing/2014/main" id="{00000000-0008-0000-0700-0000A3020000}"/>
              </a:ext>
            </a:extLst>
          </xdr:cNvPr>
          <xdr:cNvSpPr txBox="1"/>
        </xdr:nvSpPr>
        <xdr:spPr>
          <a:xfrm>
            <a:off x="1479777" y="136666740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w</a:t>
            </a:r>
          </a:p>
        </xdr:txBody>
      </xdr:sp>
      <xdr:sp macro="" textlink="">
        <xdr:nvSpPr>
          <xdr:cNvPr id="676" name="TextBox 675">
            <a:extLst>
              <a:ext uri="{FF2B5EF4-FFF2-40B4-BE49-F238E27FC236}">
                <a16:creationId xmlns:a16="http://schemas.microsoft.com/office/drawing/2014/main" id="{00000000-0008-0000-0700-0000A4020000}"/>
              </a:ext>
            </a:extLst>
          </xdr:cNvPr>
          <xdr:cNvSpPr txBox="1"/>
        </xdr:nvSpPr>
        <xdr:spPr>
          <a:xfrm>
            <a:off x="2270691" y="136666741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a</a:t>
            </a:r>
          </a:p>
        </xdr:txBody>
      </xdr:sp>
    </xdr:grpSp>
    <xdr:clientData/>
  </xdr:twoCellAnchor>
  <xdr:oneCellAnchor>
    <xdr:from>
      <xdr:col>1</xdr:col>
      <xdr:colOff>119062</xdr:colOff>
      <xdr:row>591</xdr:row>
      <xdr:rowOff>119062</xdr:rowOff>
    </xdr:from>
    <xdr:ext cx="3486830" cy="39971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4" name="TextBox 743">
              <a:extLst>
                <a:ext uri="{FF2B5EF4-FFF2-40B4-BE49-F238E27FC236}">
                  <a16:creationId xmlns:a16="http://schemas.microsoft.com/office/drawing/2014/main" id="{00000000-0008-0000-0700-0000E8020000}"/>
                </a:ext>
              </a:extLst>
            </xdr:cNvPr>
            <xdr:cNvSpPr txBox="1"/>
          </xdr:nvSpPr>
          <xdr:spPr>
            <a:xfrm>
              <a:off x="357187" y="106952142"/>
              <a:ext cx="3486830" cy="3997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𝑏𝑢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𝑠𝑡𝑒𝑒𝑙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𝑐𝑜𝑛𝑐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𝑙𝑜𝑛𝑔𝑡𝑒𝑟𝑚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1.8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𝑠h𝑜𝑟𝑡𝑡𝑒𝑟𝑚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744" name="TextBox 743"/>
            <xdr:cNvSpPr txBox="1"/>
          </xdr:nvSpPr>
          <xdr:spPr>
            <a:xfrm>
              <a:off x="357187" y="106952142"/>
              <a:ext cx="3486830" cy="3997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𝑓_𝑏𝑢</a:t>
              </a:r>
              <a:r>
                <a:rPr lang="en-US" altLang="ko-KR" sz="900" i="0">
                  <a:latin typeface="Cambria Math" panose="02040503050406030204" pitchFamily="18" charset="0"/>
                </a:rPr>
                <a:t>=(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1.25〖(𝐷𝐶〗_1+〖𝐷𝐶〗_2))/𝑆_𝑠𝑡𝑒𝑒𝑙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+(1.25〖𝐷𝐶〗_3)/𝑆_(𝑏𝑜𝑡_𝑐𝑜𝑛𝑐) +(1.25〖𝐷𝐶〗_4+1.5𝐷𝑊)/𝑆_𝑙𝑜𝑛𝑔𝑡𝑒𝑟𝑚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+1.8𝐿𝐿/𝑆_𝑠ℎ𝑜𝑟𝑡𝑡𝑒𝑟𝑚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9923</xdr:colOff>
      <xdr:row>1319</xdr:row>
      <xdr:rowOff>80638</xdr:rowOff>
    </xdr:from>
    <xdr:ext cx="1170058" cy="329046"/>
    <xdr:pic>
      <xdr:nvPicPr>
        <xdr:cNvPr id="829" name="그림 176">
          <a:extLst>
            <a:ext uri="{FF2B5EF4-FFF2-40B4-BE49-F238E27FC236}">
              <a16:creationId xmlns:a16="http://schemas.microsoft.com/office/drawing/2014/main" id="{00000000-0008-0000-0700-00003D03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230" t="26405" r="39089" b="57892"/>
        <a:stretch/>
      </xdr:blipFill>
      <xdr:spPr bwMode="auto">
        <a:xfrm>
          <a:off x="1200548" y="230776138"/>
          <a:ext cx="1170058" cy="329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408927</xdr:colOff>
      <xdr:row>1318</xdr:row>
      <xdr:rowOff>80310</xdr:rowOff>
    </xdr:from>
    <xdr:ext cx="1628991" cy="820630"/>
    <xdr:pic>
      <xdr:nvPicPr>
        <xdr:cNvPr id="830" name="그림 177">
          <a:extLst>
            <a:ext uri="{FF2B5EF4-FFF2-40B4-BE49-F238E27FC236}">
              <a16:creationId xmlns:a16="http://schemas.microsoft.com/office/drawing/2014/main" id="{00000000-0008-0000-0700-00003E03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8" t="14877" r="60492" b="45868"/>
        <a:stretch/>
      </xdr:blipFill>
      <xdr:spPr bwMode="auto">
        <a:xfrm>
          <a:off x="3302370" y="247847126"/>
          <a:ext cx="1628991" cy="820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341294</xdr:colOff>
      <xdr:row>1323</xdr:row>
      <xdr:rowOff>96953</xdr:rowOff>
    </xdr:from>
    <xdr:ext cx="1923401" cy="822616"/>
    <xdr:pic>
      <xdr:nvPicPr>
        <xdr:cNvPr id="831" name="그림 178">
          <a:extLst>
            <a:ext uri="{FF2B5EF4-FFF2-40B4-BE49-F238E27FC236}">
              <a16:creationId xmlns:a16="http://schemas.microsoft.com/office/drawing/2014/main" id="{00000000-0008-0000-0700-00003F03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7" t="54132" r="56152" b="6613"/>
        <a:stretch/>
      </xdr:blipFill>
      <xdr:spPr bwMode="auto">
        <a:xfrm>
          <a:off x="3234737" y="248807283"/>
          <a:ext cx="1923401" cy="822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405192</xdr:colOff>
      <xdr:row>683</xdr:row>
      <xdr:rowOff>173446</xdr:rowOff>
    </xdr:from>
    <xdr:to>
      <xdr:col>12</xdr:col>
      <xdr:colOff>298665</xdr:colOff>
      <xdr:row>688</xdr:row>
      <xdr:rowOff>172261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pSpPr/>
      </xdr:nvGrpSpPr>
      <xdr:grpSpPr>
        <a:xfrm>
          <a:off x="3858005" y="127961526"/>
          <a:ext cx="2359767" cy="934306"/>
          <a:chOff x="1731169" y="130305390"/>
          <a:chExt cx="2256416" cy="1084645"/>
        </a:xfrm>
      </xdr:grpSpPr>
      <xdr:grpSp>
        <xdr:nvGrpSpPr>
          <xdr:cNvPr id="169" name="Group 168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GrpSpPr/>
        </xdr:nvGrpSpPr>
        <xdr:grpSpPr>
          <a:xfrm>
            <a:off x="1731169" y="130305390"/>
            <a:ext cx="2256416" cy="1084645"/>
            <a:chOff x="1731169" y="97348890"/>
            <a:chExt cx="2256416" cy="1084645"/>
          </a:xfrm>
        </xdr:grpSpPr>
        <xdr:grpSp>
          <xdr:nvGrpSpPr>
            <xdr:cNvPr id="101" name="Group 100">
              <a:extLst>
                <a:ext uri="{FF2B5EF4-FFF2-40B4-BE49-F238E27FC236}">
                  <a16:creationId xmlns:a16="http://schemas.microsoft.com/office/drawing/2014/main" id="{00000000-0008-0000-0700-000065000000}"/>
                </a:ext>
              </a:extLst>
            </xdr:cNvPr>
            <xdr:cNvGrpSpPr/>
          </xdr:nvGrpSpPr>
          <xdr:grpSpPr>
            <a:xfrm>
              <a:off x="1889472" y="97348890"/>
              <a:ext cx="2098113" cy="1084645"/>
              <a:chOff x="3557639" y="66179700"/>
              <a:chExt cx="2552714" cy="1316800"/>
            </a:xfrm>
          </xdr:grpSpPr>
          <xdr:grpSp>
            <xdr:nvGrpSpPr>
              <xdr:cNvPr id="104" name="그룹 1">
                <a:extLst>
                  <a:ext uri="{FF2B5EF4-FFF2-40B4-BE49-F238E27FC236}">
                    <a16:creationId xmlns:a16="http://schemas.microsoft.com/office/drawing/2014/main" id="{00000000-0008-0000-0700-000068000000}"/>
                  </a:ext>
                </a:extLst>
              </xdr:cNvPr>
              <xdr:cNvGrpSpPr/>
            </xdr:nvGrpSpPr>
            <xdr:grpSpPr>
              <a:xfrm>
                <a:off x="3557639" y="66179700"/>
                <a:ext cx="2552714" cy="1316800"/>
                <a:chOff x="7186610" y="1304919"/>
                <a:chExt cx="2551899" cy="1318468"/>
              </a:xfrm>
            </xdr:grpSpPr>
            <xdr:sp macro="" textlink="">
              <xdr:nvSpPr>
                <xdr:cNvPr id="106" name="자유형 57">
                  <a:extLst>
                    <a:ext uri="{FF2B5EF4-FFF2-40B4-BE49-F238E27FC236}">
                      <a16:creationId xmlns:a16="http://schemas.microsoft.com/office/drawing/2014/main" id="{00000000-0008-0000-0700-00006A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07" name="그룹 53">
                  <a:extLst>
                    <a:ext uri="{FF2B5EF4-FFF2-40B4-BE49-F238E27FC236}">
                      <a16:creationId xmlns:a16="http://schemas.microsoft.com/office/drawing/2014/main" id="{00000000-0008-0000-0700-00006B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29" cy="1062772"/>
                  <a:chOff x="4943474" y="312840"/>
                  <a:chExt cx="1571426" cy="1062772"/>
                </a:xfrm>
              </xdr:grpSpPr>
              <xdr:grpSp>
                <xdr:nvGrpSpPr>
                  <xdr:cNvPr id="108" name="그룹 47">
                    <a:extLst>
                      <a:ext uri="{FF2B5EF4-FFF2-40B4-BE49-F238E27FC236}">
                        <a16:creationId xmlns:a16="http://schemas.microsoft.com/office/drawing/2014/main" id="{00000000-0008-0000-0700-00006C000000}"/>
                      </a:ext>
                    </a:extLst>
                  </xdr:cNvPr>
                  <xdr:cNvGrpSpPr/>
                </xdr:nvGrpSpPr>
                <xdr:grpSpPr>
                  <a:xfrm>
                    <a:off x="5788360" y="1112333"/>
                    <a:ext cx="300202" cy="131767"/>
                    <a:chOff x="5794841" y="1117435"/>
                    <a:chExt cx="300202" cy="132570"/>
                  </a:xfrm>
                </xdr:grpSpPr>
                <xdr:cxnSp macro="">
                  <xdr:nvCxnSpPr>
                    <xdr:cNvPr id="135" name="직선 연결선 41">
                      <a:extLst>
                        <a:ext uri="{FF2B5EF4-FFF2-40B4-BE49-F238E27FC236}">
                          <a16:creationId xmlns:a16="http://schemas.microsoft.com/office/drawing/2014/main" id="{00000000-0008-0000-0700-000087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797296" y="1117435"/>
                      <a:ext cx="0" cy="132565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6" name="직선 연결선 42">
                      <a:extLst>
                        <a:ext uri="{FF2B5EF4-FFF2-40B4-BE49-F238E27FC236}">
                          <a16:creationId xmlns:a16="http://schemas.microsoft.com/office/drawing/2014/main" id="{00000000-0008-0000-0700-000088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959707" y="1117439"/>
                      <a:ext cx="0" cy="132566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7" name="직선 연결선 44">
                      <a:extLst>
                        <a:ext uri="{FF2B5EF4-FFF2-40B4-BE49-F238E27FC236}">
                          <a16:creationId xmlns:a16="http://schemas.microsoft.com/office/drawing/2014/main" id="{00000000-0008-0000-0700-000089000000}"/>
                        </a:ext>
                      </a:extLst>
                    </xdr:cNvPr>
                    <xdr:cNvCxnSpPr/>
                  </xdr:nvCxnSpPr>
                  <xdr:spPr>
                    <a:xfrm>
                      <a:off x="5794841" y="1117435"/>
                      <a:ext cx="300202" cy="0"/>
                    </a:xfrm>
                    <a:prstGeom prst="line">
                      <a:avLst/>
                    </a:prstGeom>
                    <a:ln w="31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110" name="그룹 50">
                    <a:extLst>
                      <a:ext uri="{FF2B5EF4-FFF2-40B4-BE49-F238E27FC236}">
                        <a16:creationId xmlns:a16="http://schemas.microsoft.com/office/drawing/2014/main" id="{00000000-0008-0000-0700-00006E000000}"/>
                      </a:ext>
                    </a:extLst>
                  </xdr:cNvPr>
                  <xdr:cNvGrpSpPr/>
                </xdr:nvGrpSpPr>
                <xdr:grpSpPr>
                  <a:xfrm>
                    <a:off x="4943474" y="312840"/>
                    <a:ext cx="1571426" cy="1062772"/>
                    <a:chOff x="4949316" y="313866"/>
                    <a:chExt cx="1573242" cy="1068620"/>
                  </a:xfrm>
                </xdr:grpSpPr>
                <xdr:grpSp>
                  <xdr:nvGrpSpPr>
                    <xdr:cNvPr id="112" name="그룹 48">
                      <a:extLst>
                        <a:ext uri="{FF2B5EF4-FFF2-40B4-BE49-F238E27FC236}">
                          <a16:creationId xmlns:a16="http://schemas.microsoft.com/office/drawing/2014/main" id="{00000000-0008-0000-0700-000070000000}"/>
                        </a:ext>
                      </a:extLst>
                    </xdr:cNvPr>
                    <xdr:cNvGrpSpPr/>
                  </xdr:nvGrpSpPr>
                  <xdr:grpSpPr>
                    <a:xfrm>
                      <a:off x="4949316" y="313866"/>
                      <a:ext cx="1573242" cy="1068620"/>
                      <a:chOff x="4949316" y="313866"/>
                      <a:chExt cx="1573242" cy="1068620"/>
                    </a:xfrm>
                  </xdr:grpSpPr>
                  <xdr:grpSp>
                    <xdr:nvGrpSpPr>
                      <xdr:cNvPr id="114" name="그룹 30">
                        <a:extLst>
                          <a:ext uri="{FF2B5EF4-FFF2-40B4-BE49-F238E27FC236}">
                            <a16:creationId xmlns:a16="http://schemas.microsoft.com/office/drawing/2014/main" id="{00000000-0008-0000-0700-000072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949316" y="313866"/>
                        <a:ext cx="1573242" cy="1068620"/>
                        <a:chOff x="4444381" y="313952"/>
                        <a:chExt cx="1570114" cy="1069110"/>
                      </a:xfrm>
                    </xdr:grpSpPr>
                    <xdr:grpSp>
                      <xdr:nvGrpSpPr>
                        <xdr:cNvPr id="119" name="그룹 26">
                          <a:extLst>
                            <a:ext uri="{FF2B5EF4-FFF2-40B4-BE49-F238E27FC236}">
                              <a16:creationId xmlns:a16="http://schemas.microsoft.com/office/drawing/2014/main" id="{00000000-0008-0000-0700-000077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44381" y="315446"/>
                          <a:ext cx="1421154" cy="1067616"/>
                          <a:chOff x="2971800" y="381000"/>
                          <a:chExt cx="1422339" cy="1061287"/>
                        </a:xfrm>
                      </xdr:grpSpPr>
                      <xdr:grpSp>
                        <xdr:nvGrpSpPr>
                          <xdr:cNvPr id="121" name="그룹 7">
                            <a:extLst>
                              <a:ext uri="{FF2B5EF4-FFF2-40B4-BE49-F238E27FC236}">
                                <a16:creationId xmlns:a16="http://schemas.microsoft.com/office/drawing/2014/main" id="{00000000-0008-0000-0700-000079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2971800" y="381000"/>
                            <a:ext cx="1422339" cy="1061287"/>
                            <a:chOff x="2971800" y="381000"/>
                            <a:chExt cx="1422339" cy="1061287"/>
                          </a:xfrm>
                        </xdr:grpSpPr>
                        <xdr:cxnSp macro="">
                          <xdr:nvCxnSpPr>
                            <xdr:cNvPr id="131" name="직선 연결선 3">
                              <a:extLst>
                                <a:ext uri="{FF2B5EF4-FFF2-40B4-BE49-F238E27FC236}">
                                  <a16:creationId xmlns:a16="http://schemas.microsoft.com/office/drawing/2014/main" id="{00000000-0008-0000-0700-000083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207515" y="1442287"/>
                              <a:ext cx="1111112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32" name="직선 연결선 4">
                              <a:extLst>
                                <a:ext uri="{FF2B5EF4-FFF2-40B4-BE49-F238E27FC236}">
                                  <a16:creationId xmlns:a16="http://schemas.microsoft.com/office/drawing/2014/main" id="{00000000-0008-0000-0700-000084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 flipV="1">
                              <a:off x="3121216" y="388255"/>
                              <a:ext cx="247294" cy="1050604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33" name="직선 연결선 5">
                              <a:extLst>
                                <a:ext uri="{FF2B5EF4-FFF2-40B4-BE49-F238E27FC236}">
                                  <a16:creationId xmlns:a16="http://schemas.microsoft.com/office/drawing/2014/main" id="{00000000-0008-0000-0700-000085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34" name="직선 연결선 6">
                              <a:extLst>
                                <a:ext uri="{FF2B5EF4-FFF2-40B4-BE49-F238E27FC236}">
                                  <a16:creationId xmlns:a16="http://schemas.microsoft.com/office/drawing/2014/main" id="{00000000-0008-0000-0700-000086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2971800" y="381000"/>
                              <a:ext cx="363653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122" name="직선 연결선 9">
                            <a:extLst>
                              <a:ext uri="{FF2B5EF4-FFF2-40B4-BE49-F238E27FC236}">
                                <a16:creationId xmlns:a16="http://schemas.microsoft.com/office/drawing/2014/main" id="{00000000-0008-0000-0700-00007A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186114" y="569119"/>
                            <a:ext cx="72975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23" name="직선 연결선 10">
                            <a:extLst>
                              <a:ext uri="{FF2B5EF4-FFF2-40B4-BE49-F238E27FC236}">
                                <a16:creationId xmlns:a16="http://schemas.microsoft.com/office/drawing/2014/main" id="{00000000-0008-0000-0700-00007B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21831" y="735807"/>
                            <a:ext cx="70401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24" name="직선 연결선 11">
                            <a:extLst>
                              <a:ext uri="{FF2B5EF4-FFF2-40B4-BE49-F238E27FC236}">
                                <a16:creationId xmlns:a16="http://schemas.microsoft.com/office/drawing/2014/main" id="{00000000-0008-0000-0700-00007C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259606" y="569119"/>
                            <a:ext cx="76651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25" name="직선 연결선 12">
                            <a:extLst>
                              <a:ext uri="{FF2B5EF4-FFF2-40B4-BE49-F238E27FC236}">
                                <a16:creationId xmlns:a16="http://schemas.microsoft.com/office/drawing/2014/main" id="{00000000-0008-0000-0700-00007D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222319" y="735807"/>
                            <a:ext cx="78219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120" name="직선 연결선 29">
                          <a:extLst>
                            <a:ext uri="{FF2B5EF4-FFF2-40B4-BE49-F238E27FC236}">
                              <a16:creationId xmlns:a16="http://schemas.microsoft.com/office/drawing/2014/main" id="{00000000-0008-0000-0700-000078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51145" y="313952"/>
                          <a:ext cx="363350" cy="0"/>
                        </a:xfrm>
                        <a:prstGeom prst="line">
                          <a:avLst/>
                        </a:prstGeom>
                        <a:ln w="571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115" name="직선 연결선 32">
                        <a:extLst>
                          <a:ext uri="{FF2B5EF4-FFF2-40B4-BE49-F238E27FC236}">
                            <a16:creationId xmlns:a16="http://schemas.microsoft.com/office/drawing/2014/main" id="{00000000-0008-0000-0700-000073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496514" y="1271637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16" name="직선 연결선 37">
                        <a:extLst>
                          <a:ext uri="{FF2B5EF4-FFF2-40B4-BE49-F238E27FC236}">
                            <a16:creationId xmlns:a16="http://schemas.microsoft.com/office/drawing/2014/main" id="{00000000-0008-0000-0700-000074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646263" y="1274091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17" name="직선 연결선 38">
                        <a:extLst>
                          <a:ext uri="{FF2B5EF4-FFF2-40B4-BE49-F238E27FC236}">
                            <a16:creationId xmlns:a16="http://schemas.microsoft.com/office/drawing/2014/main" id="{00000000-0008-0000-0700-000075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793557" y="1274092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18" name="직선 연결선 39">
                        <a:extLst>
                          <a:ext uri="{FF2B5EF4-FFF2-40B4-BE49-F238E27FC236}">
                            <a16:creationId xmlns:a16="http://schemas.microsoft.com/office/drawing/2014/main" id="{00000000-0008-0000-0700-000076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960489" y="1271636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sp macro="" textlink="">
                  <xdr:nvSpPr>
                    <xdr:cNvPr id="113" name="TextBox 112">
                      <a:extLst>
                        <a:ext uri="{FF2B5EF4-FFF2-40B4-BE49-F238E27FC236}">
                          <a16:creationId xmlns:a16="http://schemas.microsoft.com/office/drawing/2014/main" id="{00000000-0008-0000-0700-000071000000}"/>
                        </a:ext>
                      </a:extLst>
                    </xdr:cNvPr>
                    <xdr:cNvSpPr txBox="1"/>
                  </xdr:nvSpPr>
                  <xdr:spPr>
                    <a:xfrm>
                      <a:off x="5741371" y="902036"/>
                      <a:ext cx="517417" cy="21705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w</a:t>
                      </a:r>
                      <a:r>
                        <a:rPr lang="en-US" sz="500"/>
                        <a:t>1</a:t>
                      </a:r>
                      <a:r>
                        <a:rPr lang="en-US" sz="900"/>
                        <a:t>  w</a:t>
                      </a:r>
                      <a:r>
                        <a:rPr lang="en-US" sz="500"/>
                        <a:t>2</a:t>
                      </a:r>
                      <a:endParaRPr lang="en-US" sz="900"/>
                    </a:p>
                  </xdr:txBody>
                </xdr:sp>
              </xdr:grpSp>
            </xdr:grpSp>
          </xdr:grpSp>
          <xdr:cxnSp macro="">
            <xdr:nvCxnSpPr>
              <xdr:cNvPr id="103" name="직선 연결선 42">
                <a:extLst>
                  <a:ext uri="{FF2B5EF4-FFF2-40B4-BE49-F238E27FC236}">
                    <a16:creationId xmlns:a16="http://schemas.microsoft.com/office/drawing/2014/main" id="{00000000-0008-0000-0700-000067000000}"/>
                  </a:ext>
                </a:extLst>
              </xdr:cNvPr>
              <xdr:cNvCxnSpPr/>
            </xdr:nvCxnSpPr>
            <xdr:spPr>
              <a:xfrm flipV="1">
                <a:off x="5270420" y="67237485"/>
                <a:ext cx="0" cy="131594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65" name="Straight Connector 164">
              <a:extLst>
                <a:ext uri="{FF2B5EF4-FFF2-40B4-BE49-F238E27FC236}">
                  <a16:creationId xmlns:a16="http://schemas.microsoft.com/office/drawing/2014/main" id="{00000000-0008-0000-0700-0000A5000000}"/>
                </a:ext>
              </a:extLst>
            </xdr:cNvPr>
            <xdr:cNvCxnSpPr/>
          </xdr:nvCxnSpPr>
          <xdr:spPr>
            <a:xfrm flipH="1">
              <a:off x="1962151" y="97719356"/>
              <a:ext cx="30956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8" name="Straight Connector 557">
              <a:extLst>
                <a:ext uri="{FF2B5EF4-FFF2-40B4-BE49-F238E27FC236}">
                  <a16:creationId xmlns:a16="http://schemas.microsoft.com/office/drawing/2014/main" id="{00000000-0008-0000-0700-00002E020000}"/>
                </a:ext>
              </a:extLst>
            </xdr:cNvPr>
            <xdr:cNvCxnSpPr/>
          </xdr:nvCxnSpPr>
          <xdr:spPr>
            <a:xfrm flipH="1">
              <a:off x="1966913" y="97586007"/>
              <a:ext cx="29289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Straight Connector 167">
              <a:extLst>
                <a:ext uri="{FF2B5EF4-FFF2-40B4-BE49-F238E27FC236}">
                  <a16:creationId xmlns:a16="http://schemas.microsoft.com/office/drawing/2014/main" id="{00000000-0008-0000-0700-0000A8000000}"/>
                </a:ext>
              </a:extLst>
            </xdr:cNvPr>
            <xdr:cNvCxnSpPr/>
          </xdr:nvCxnSpPr>
          <xdr:spPr>
            <a:xfrm>
              <a:off x="1974056" y="97588388"/>
              <a:ext cx="0" cy="128587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9" name="TextBox 558">
              <a:extLst>
                <a:ext uri="{FF2B5EF4-FFF2-40B4-BE49-F238E27FC236}">
                  <a16:creationId xmlns:a16="http://schemas.microsoft.com/office/drawing/2014/main" id="{00000000-0008-0000-0700-00002F020000}"/>
                </a:ext>
              </a:extLst>
            </xdr:cNvPr>
            <xdr:cNvSpPr txBox="1"/>
          </xdr:nvSpPr>
          <xdr:spPr>
            <a:xfrm>
              <a:off x="1731169" y="97545526"/>
              <a:ext cx="340518" cy="1775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500"/>
                <a:t>s</a:t>
              </a:r>
              <a:endParaRPr lang="en-US" sz="900"/>
            </a:p>
          </xdr:txBody>
        </xdr:sp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pSpPr/>
        </xdr:nvGrpSpPr>
        <xdr:grpSpPr>
          <a:xfrm>
            <a:off x="2509837" y="131075906"/>
            <a:ext cx="100296" cy="137127"/>
            <a:chOff x="2509837" y="131075906"/>
            <a:chExt cx="100296" cy="137127"/>
          </a:xfrm>
        </xdr:grpSpPr>
        <xdr:cxnSp macro="">
          <xdr:nvCxnSpPr>
            <xdr:cNvPr id="551" name="직선 연결선 9">
              <a:extLst>
                <a:ext uri="{FF2B5EF4-FFF2-40B4-BE49-F238E27FC236}">
                  <a16:creationId xmlns:a16="http://schemas.microsoft.com/office/drawing/2014/main" id="{00000000-0008-0000-0700-000027020000}"/>
                </a:ext>
              </a:extLst>
            </xdr:cNvPr>
            <xdr:cNvCxnSpPr/>
          </xdr:nvCxnSpPr>
          <xdr:spPr>
            <a:xfrm>
              <a:off x="2509837" y="131075906"/>
              <a:ext cx="68971" cy="0"/>
            </a:xfrm>
            <a:prstGeom prst="line">
              <a:avLst/>
            </a:prstGeom>
            <a:ln w="28575">
              <a:solidFill>
                <a:schemeClr val="accent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2" name="직선 연결선 10">
              <a:extLst>
                <a:ext uri="{FF2B5EF4-FFF2-40B4-BE49-F238E27FC236}">
                  <a16:creationId xmlns:a16="http://schemas.microsoft.com/office/drawing/2014/main" id="{00000000-0008-0000-0700-000028020000}"/>
                </a:ext>
              </a:extLst>
            </xdr:cNvPr>
            <xdr:cNvCxnSpPr/>
          </xdr:nvCxnSpPr>
          <xdr:spPr>
            <a:xfrm>
              <a:off x="2543595" y="131213033"/>
              <a:ext cx="66538" cy="0"/>
            </a:xfrm>
            <a:prstGeom prst="line">
              <a:avLst/>
            </a:prstGeom>
            <a:ln w="28575">
              <a:solidFill>
                <a:schemeClr val="accent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GrpSpPr/>
        </xdr:nvGrpSpPr>
        <xdr:grpSpPr>
          <a:xfrm>
            <a:off x="1935957" y="131180681"/>
            <a:ext cx="542925" cy="180974"/>
            <a:chOff x="1819275" y="131044950"/>
            <a:chExt cx="542925" cy="180974"/>
          </a:xfrm>
        </xdr:grpSpPr>
        <xdr:cxnSp macro="">
          <xdr:nvCxnSpPr>
            <xdr:cNvPr id="553" name="Straight Connector 552">
              <a:extLst>
                <a:ext uri="{FF2B5EF4-FFF2-40B4-BE49-F238E27FC236}">
                  <a16:creationId xmlns:a16="http://schemas.microsoft.com/office/drawing/2014/main" id="{00000000-0008-0000-0700-000029020000}"/>
                </a:ext>
              </a:extLst>
            </xdr:cNvPr>
            <xdr:cNvCxnSpPr/>
          </xdr:nvCxnSpPr>
          <xdr:spPr>
            <a:xfrm flipH="1">
              <a:off x="2052638" y="131225924"/>
              <a:ext cx="30956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id="{00000000-0008-0000-0700-00002A020000}"/>
                </a:ext>
              </a:extLst>
            </xdr:cNvPr>
            <xdr:cNvCxnSpPr/>
          </xdr:nvCxnSpPr>
          <xdr:spPr>
            <a:xfrm flipH="1">
              <a:off x="2057400" y="131080670"/>
              <a:ext cx="29289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554">
              <a:extLst>
                <a:ext uri="{FF2B5EF4-FFF2-40B4-BE49-F238E27FC236}">
                  <a16:creationId xmlns:a16="http://schemas.microsoft.com/office/drawing/2014/main" id="{00000000-0008-0000-0700-00002B020000}"/>
                </a:ext>
              </a:extLst>
            </xdr:cNvPr>
            <xdr:cNvCxnSpPr/>
          </xdr:nvCxnSpPr>
          <xdr:spPr>
            <a:xfrm>
              <a:off x="2064543" y="131080669"/>
              <a:ext cx="0" cy="142874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6" name="TextBox 555">
              <a:extLst>
                <a:ext uri="{FF2B5EF4-FFF2-40B4-BE49-F238E27FC236}">
                  <a16:creationId xmlns:a16="http://schemas.microsoft.com/office/drawing/2014/main" id="{00000000-0008-0000-0700-00002C020000}"/>
                </a:ext>
              </a:extLst>
            </xdr:cNvPr>
            <xdr:cNvSpPr txBox="1"/>
          </xdr:nvSpPr>
          <xdr:spPr>
            <a:xfrm>
              <a:off x="1819275" y="131044950"/>
              <a:ext cx="340518" cy="1775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500"/>
                <a:t>s</a:t>
              </a:r>
              <a:endParaRPr lang="en-US" sz="900"/>
            </a:p>
          </xdr:txBody>
        </xdr:sp>
      </xdr:grpSp>
    </xdr:grpSp>
    <xdr:clientData/>
  </xdr:twoCellAnchor>
  <xdr:oneCellAnchor>
    <xdr:from>
      <xdr:col>10</xdr:col>
      <xdr:colOff>219075</xdr:colOff>
      <xdr:row>674</xdr:row>
      <xdr:rowOff>103697</xdr:rowOff>
    </xdr:from>
    <xdr:ext cx="1702324" cy="5936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00000000-0008-0000-0700-00005F000000}"/>
                </a:ext>
              </a:extLst>
            </xdr:cNvPr>
            <xdr:cNvSpPr txBox="1"/>
          </xdr:nvSpPr>
          <xdr:spPr>
            <a:xfrm>
              <a:off x="4765915" y="126345890"/>
              <a:ext cx="1702324" cy="59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altLang="ko-KR" sz="90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5.34+2.84</m:t>
                                </m:r>
                                <m:sSup>
                                  <m:sSup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f>
                                          <m:fPr>
                                            <m:ctrlPr>
                                              <a:rPr lang="en-US" altLang="ko-KR" sz="9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fPr>
                                          <m:num>
                                            <m:sSub>
                                              <m:sSubPr>
                                                <m:ctrlP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𝐼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𝑠</m:t>
                                                </m:r>
                                              </m:sub>
                                            </m:sSub>
                                          </m:num>
                                          <m:den>
                                            <m:r>
                                              <a:rPr lang="en-US" altLang="ko-KR" sz="900" b="0" i="1">
                                                <a:latin typeface="Cambria Math" panose="02040503050406030204" pitchFamily="18" charset="0"/>
                                              </a:rPr>
                                              <m:t>𝑤</m:t>
                                            </m:r>
                                            <m:sSubSup>
                                              <m:sSubSupPr>
                                                <m:ctrlP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sSubSupPr>
                                              <m:e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𝑡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𝑓𝑐</m:t>
                                                </m:r>
                                              </m:sub>
                                              <m:sup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3</m:t>
                                                </m:r>
                                              </m:sup>
                                            </m:sSubSup>
                                          </m:den>
                                        </m:f>
                                      </m:e>
                                    </m:d>
                                  </m:e>
                                  <m:sup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1/3</m:t>
                                    </m:r>
                                  </m:sup>
                                </m:sSup>
                              </m:num>
                              <m:den>
                                <m:sSup>
                                  <m:sSupPr>
                                    <m:ctrlPr>
                                      <a:rPr lang="en-US" altLang="ko-KR" sz="90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(</m:t>
                                    </m:r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+1)</m:t>
                                    </m:r>
                                  </m:e>
                                  <m:sup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  <m:r>
                      <a:rPr lang="en-US" altLang="ko-KR" sz="9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5.34</m:t>
                    </m:r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00000000-0008-0000-0700-00005F000000}"/>
                </a:ext>
              </a:extLst>
            </xdr:cNvPr>
            <xdr:cNvSpPr txBox="1"/>
          </xdr:nvSpPr>
          <xdr:spPr>
            <a:xfrm>
              <a:off x="4765915" y="126345890"/>
              <a:ext cx="1702324" cy="59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i="0">
                  <a:latin typeface="Cambria Math" panose="02040503050406030204" pitchFamily="18" charset="0"/>
                </a:rPr>
                <a:t>((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5.34+2.84(𝐼_𝑠/(𝑤𝑡_𝑓𝑐^3 ))^(1/3))/〖(𝑛+1)〗^2 )^(1/3)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5.34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1</xdr:col>
      <xdr:colOff>219075</xdr:colOff>
      <xdr:row>24</xdr:row>
      <xdr:rowOff>47661</xdr:rowOff>
    </xdr:from>
    <xdr:to>
      <xdr:col>13</xdr:col>
      <xdr:colOff>143773</xdr:colOff>
      <xdr:row>33</xdr:row>
      <xdr:rowOff>9595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GrpSpPr/>
      </xdr:nvGrpSpPr>
      <xdr:grpSpPr>
        <a:xfrm>
          <a:off x="712334" y="4538018"/>
          <a:ext cx="5843805" cy="1645818"/>
          <a:chOff x="457200" y="4632221"/>
          <a:chExt cx="5519236" cy="1681145"/>
        </a:xfrm>
      </xdr:grpSpPr>
      <xdr:grpSp>
        <xdr:nvGrpSpPr>
          <xdr:cNvPr id="757" name="Group 756">
            <a:extLst>
              <a:ext uri="{FF2B5EF4-FFF2-40B4-BE49-F238E27FC236}">
                <a16:creationId xmlns:a16="http://schemas.microsoft.com/office/drawing/2014/main" id="{00000000-0008-0000-0700-0000F5020000}"/>
              </a:ext>
            </a:extLst>
          </xdr:cNvPr>
          <xdr:cNvGrpSpPr/>
        </xdr:nvGrpSpPr>
        <xdr:grpSpPr>
          <a:xfrm>
            <a:off x="457200" y="4632221"/>
            <a:ext cx="5519236" cy="1681145"/>
            <a:chOff x="443414" y="111051942"/>
            <a:chExt cx="5519236" cy="1676434"/>
          </a:xfrm>
        </xdr:grpSpPr>
        <xdr:grpSp>
          <xdr:nvGrpSpPr>
            <xdr:cNvPr id="758" name="Group 757">
              <a:extLst>
                <a:ext uri="{FF2B5EF4-FFF2-40B4-BE49-F238E27FC236}">
                  <a16:creationId xmlns:a16="http://schemas.microsoft.com/office/drawing/2014/main" id="{00000000-0008-0000-0700-0000F6020000}"/>
                </a:ext>
              </a:extLst>
            </xdr:cNvPr>
            <xdr:cNvGrpSpPr/>
          </xdr:nvGrpSpPr>
          <xdr:grpSpPr>
            <a:xfrm>
              <a:off x="443414" y="111051942"/>
              <a:ext cx="3585662" cy="1676434"/>
              <a:chOff x="605339" y="111137667"/>
              <a:chExt cx="3585662" cy="1676434"/>
            </a:xfrm>
          </xdr:grpSpPr>
          <xdr:grpSp>
            <xdr:nvGrpSpPr>
              <xdr:cNvPr id="760" name="Group 759">
                <a:extLst>
                  <a:ext uri="{FF2B5EF4-FFF2-40B4-BE49-F238E27FC236}">
                    <a16:creationId xmlns:a16="http://schemas.microsoft.com/office/drawing/2014/main" id="{00000000-0008-0000-0700-0000F8020000}"/>
                  </a:ext>
                </a:extLst>
              </xdr:cNvPr>
              <xdr:cNvGrpSpPr/>
            </xdr:nvGrpSpPr>
            <xdr:grpSpPr>
              <a:xfrm>
                <a:off x="605339" y="111137667"/>
                <a:ext cx="3585662" cy="1676434"/>
                <a:chOff x="605339" y="111137667"/>
                <a:chExt cx="3585662" cy="1676434"/>
              </a:xfrm>
            </xdr:grpSpPr>
            <xdr:grpSp>
              <xdr:nvGrpSpPr>
                <xdr:cNvPr id="762" name="Group 761">
                  <a:extLst>
                    <a:ext uri="{FF2B5EF4-FFF2-40B4-BE49-F238E27FC236}">
                      <a16:creationId xmlns:a16="http://schemas.microsoft.com/office/drawing/2014/main" id="{00000000-0008-0000-0700-0000FA020000}"/>
                    </a:ext>
                  </a:extLst>
                </xdr:cNvPr>
                <xdr:cNvGrpSpPr/>
              </xdr:nvGrpSpPr>
              <xdr:grpSpPr>
                <a:xfrm>
                  <a:off x="605339" y="111137667"/>
                  <a:ext cx="3585662" cy="1640532"/>
                  <a:chOff x="1312044" y="110405058"/>
                  <a:chExt cx="3605385" cy="1631014"/>
                </a:xfrm>
              </xdr:grpSpPr>
              <xdr:sp macro="" textlink="">
                <xdr:nvSpPr>
                  <xdr:cNvPr id="779" name="Freeform 778">
                    <a:extLst>
                      <a:ext uri="{FF2B5EF4-FFF2-40B4-BE49-F238E27FC236}">
                        <a16:creationId xmlns:a16="http://schemas.microsoft.com/office/drawing/2014/main" id="{00000000-0008-0000-0700-00000B030000}"/>
                      </a:ext>
                    </a:extLst>
                  </xdr:cNvPr>
                  <xdr:cNvSpPr/>
                </xdr:nvSpPr>
                <xdr:spPr>
                  <a:xfrm>
                    <a:off x="1912652" y="111591730"/>
                    <a:ext cx="435194" cy="263266"/>
                  </a:xfrm>
                  <a:custGeom>
                    <a:avLst/>
                    <a:gdLst>
                      <a:gd name="connsiteX0" fmla="*/ 0 w 404812"/>
                      <a:gd name="connsiteY0" fmla="*/ 0 h 264319"/>
                      <a:gd name="connsiteX1" fmla="*/ 404812 w 404812"/>
                      <a:gd name="connsiteY1" fmla="*/ 0 h 264319"/>
                      <a:gd name="connsiteX2" fmla="*/ 404812 w 404812"/>
                      <a:gd name="connsiteY2" fmla="*/ 264319 h 264319"/>
                      <a:gd name="connsiteX3" fmla="*/ 73819 w 404812"/>
                      <a:gd name="connsiteY3" fmla="*/ 264319 h 264319"/>
                      <a:gd name="connsiteX4" fmla="*/ 0 w 404812"/>
                      <a:gd name="connsiteY4" fmla="*/ 0 h 26431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404812" h="264319">
                        <a:moveTo>
                          <a:pt x="0" y="0"/>
                        </a:moveTo>
                        <a:lnTo>
                          <a:pt x="404812" y="0"/>
                        </a:lnTo>
                        <a:lnTo>
                          <a:pt x="404812" y="264319"/>
                        </a:lnTo>
                        <a:lnTo>
                          <a:pt x="73819" y="264319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solidFill>
                    <a:schemeClr val="accent6">
                      <a:lumMod val="40000"/>
                      <a:lumOff val="60000"/>
                    </a:schemeClr>
                  </a:solidFill>
                  <a:ln w="952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cxnSp macro="">
                <xdr:nvCxnSpPr>
                  <xdr:cNvPr id="778" name="Straight Connector 777">
                    <a:extLst>
                      <a:ext uri="{FF2B5EF4-FFF2-40B4-BE49-F238E27FC236}">
                        <a16:creationId xmlns:a16="http://schemas.microsoft.com/office/drawing/2014/main" id="{00000000-0008-0000-0700-00000A030000}"/>
                      </a:ext>
                    </a:extLst>
                  </xdr:cNvPr>
                  <xdr:cNvCxnSpPr/>
                </xdr:nvCxnSpPr>
                <xdr:spPr>
                  <a:xfrm>
                    <a:off x="1581900" y="111446165"/>
                    <a:ext cx="2863842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780" name="Group 779">
                    <a:extLst>
                      <a:ext uri="{FF2B5EF4-FFF2-40B4-BE49-F238E27FC236}">
                        <a16:creationId xmlns:a16="http://schemas.microsoft.com/office/drawing/2014/main" id="{00000000-0008-0000-0700-00000C030000}"/>
                      </a:ext>
                    </a:extLst>
                  </xdr:cNvPr>
                  <xdr:cNvGrpSpPr/>
                </xdr:nvGrpSpPr>
                <xdr:grpSpPr>
                  <a:xfrm>
                    <a:off x="1312044" y="110405058"/>
                    <a:ext cx="3605385" cy="1631014"/>
                    <a:chOff x="1312044" y="110405058"/>
                    <a:chExt cx="3605385" cy="1631014"/>
                  </a:xfrm>
                </xdr:grpSpPr>
                <xdr:grpSp>
                  <xdr:nvGrpSpPr>
                    <xdr:cNvPr id="781" name="Group 780">
                      <a:extLst>
                        <a:ext uri="{FF2B5EF4-FFF2-40B4-BE49-F238E27FC236}">
                          <a16:creationId xmlns:a16="http://schemas.microsoft.com/office/drawing/2014/main" id="{00000000-0008-0000-0700-00000D030000}"/>
                        </a:ext>
                      </a:extLst>
                    </xdr:cNvPr>
                    <xdr:cNvGrpSpPr/>
                  </xdr:nvGrpSpPr>
                  <xdr:grpSpPr>
                    <a:xfrm>
                      <a:off x="1312044" y="110405058"/>
                      <a:ext cx="3605385" cy="1631014"/>
                      <a:chOff x="1305466" y="111018111"/>
                      <a:chExt cx="3585824" cy="1639995"/>
                    </a:xfrm>
                  </xdr:grpSpPr>
                  <xdr:grpSp>
                    <xdr:nvGrpSpPr>
                      <xdr:cNvPr id="817" name="Group 816">
                        <a:extLst>
                          <a:ext uri="{FF2B5EF4-FFF2-40B4-BE49-F238E27FC236}">
                            <a16:creationId xmlns:a16="http://schemas.microsoft.com/office/drawing/2014/main" id="{00000000-0008-0000-0700-00003103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305466" y="111018111"/>
                        <a:ext cx="3585824" cy="1639995"/>
                        <a:chOff x="4455319" y="111901820"/>
                        <a:chExt cx="4372486" cy="1963538"/>
                      </a:xfrm>
                    </xdr:grpSpPr>
                    <xdr:sp macro="" textlink="">
                      <xdr:nvSpPr>
                        <xdr:cNvPr id="820" name="Freeform 819">
                          <a:extLst>
                            <a:ext uri="{FF2B5EF4-FFF2-40B4-BE49-F238E27FC236}">
                              <a16:creationId xmlns:a16="http://schemas.microsoft.com/office/drawing/2014/main" id="{00000000-0008-0000-0700-00003403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34037" y="112206541"/>
                          <a:ext cx="152837" cy="1658817"/>
                        </a:xfrm>
                        <a:custGeom>
                          <a:avLst/>
                          <a:gdLst>
                            <a:gd name="connsiteX0" fmla="*/ 73478 w 155121"/>
                            <a:gd name="connsiteY0" fmla="*/ 0 h 1687286"/>
                            <a:gd name="connsiteX1" fmla="*/ 73478 w 155121"/>
                            <a:gd name="connsiteY1" fmla="*/ 767443 h 1687286"/>
                            <a:gd name="connsiteX2" fmla="*/ 155121 w 155121"/>
                            <a:gd name="connsiteY2" fmla="*/ 767443 h 1687286"/>
                            <a:gd name="connsiteX3" fmla="*/ 0 w 155121"/>
                            <a:gd name="connsiteY3" fmla="*/ 808265 h 1687286"/>
                            <a:gd name="connsiteX4" fmla="*/ 78921 w 155121"/>
                            <a:gd name="connsiteY4" fmla="*/ 808265 h 1687286"/>
                            <a:gd name="connsiteX5" fmla="*/ 78921 w 155121"/>
                            <a:gd name="connsiteY5" fmla="*/ 1687286 h 1687286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  <a:cxn ang="0">
                              <a:pos x="connsiteX5" y="connsiteY5"/>
                            </a:cxn>
                          </a:cxnLst>
                          <a:rect l="l" t="t" r="r" b="b"/>
                          <a:pathLst>
                            <a:path w="155121" h="1687286">
                              <a:moveTo>
                                <a:pt x="73478" y="0"/>
                              </a:moveTo>
                              <a:lnTo>
                                <a:pt x="73478" y="767443"/>
                              </a:lnTo>
                              <a:lnTo>
                                <a:pt x="155121" y="767443"/>
                              </a:lnTo>
                              <a:lnTo>
                                <a:pt x="0" y="808265"/>
                              </a:lnTo>
                              <a:lnTo>
                                <a:pt x="78921" y="808265"/>
                              </a:lnTo>
                              <a:lnTo>
                                <a:pt x="78921" y="1687286"/>
                              </a:lnTo>
                            </a:path>
                          </a:pathLst>
                        </a:custGeom>
                        <a:noFill/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  <xdr:grpSp>
                      <xdr:nvGrpSpPr>
                        <xdr:cNvPr id="821" name="Group 820">
                          <a:extLst>
                            <a:ext uri="{FF2B5EF4-FFF2-40B4-BE49-F238E27FC236}">
                              <a16:creationId xmlns:a16="http://schemas.microsoft.com/office/drawing/2014/main" id="{00000000-0008-0000-0700-000035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55319" y="111901820"/>
                          <a:ext cx="4372486" cy="1781015"/>
                          <a:chOff x="4455319" y="113931566"/>
                          <a:chExt cx="4372486" cy="1809057"/>
                        </a:xfrm>
                      </xdr:grpSpPr>
                      <xdr:sp macro="" textlink="">
                        <xdr:nvSpPr>
                          <xdr:cNvPr id="822" name="Freeform 821">
                            <a:extLst>
                              <a:ext uri="{FF2B5EF4-FFF2-40B4-BE49-F238E27FC236}">
                                <a16:creationId xmlns:a16="http://schemas.microsoft.com/office/drawing/2014/main" id="{00000000-0008-0000-0700-000036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455319" y="114423825"/>
                            <a:ext cx="1254919" cy="278606"/>
                          </a:xfrm>
                          <a:custGeom>
                            <a:avLst/>
                            <a:gdLst>
                              <a:gd name="connsiteX0" fmla="*/ 373856 w 1254919"/>
                              <a:gd name="connsiteY0" fmla="*/ 278606 h 278606"/>
                              <a:gd name="connsiteX1" fmla="*/ 1254919 w 1254919"/>
                              <a:gd name="connsiteY1" fmla="*/ 278606 h 278606"/>
                              <a:gd name="connsiteX2" fmla="*/ 1254919 w 1254919"/>
                              <a:gd name="connsiteY2" fmla="*/ 0 h 278606"/>
                              <a:gd name="connsiteX3" fmla="*/ 0 w 1254919"/>
                              <a:gd name="connsiteY3" fmla="*/ 0 h 278606"/>
                              <a:gd name="connsiteX4" fmla="*/ 0 w 1254919"/>
                              <a:gd name="connsiteY4" fmla="*/ 202406 h 278606"/>
                              <a:gd name="connsiteX5" fmla="*/ 297656 w 1254919"/>
                              <a:gd name="connsiteY5" fmla="*/ 202406 h 278606"/>
                              <a:gd name="connsiteX6" fmla="*/ 373856 w 1254919"/>
                              <a:gd name="connsiteY6" fmla="*/ 278606 h 27860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</a:cxnLst>
                            <a:rect l="l" t="t" r="r" b="b"/>
                            <a:pathLst>
                              <a:path w="1254919" h="278606">
                                <a:moveTo>
                                  <a:pt x="373856" y="278606"/>
                                </a:moveTo>
                                <a:lnTo>
                                  <a:pt x="1254919" y="278606"/>
                                </a:lnTo>
                                <a:lnTo>
                                  <a:pt x="1254919" y="0"/>
                                </a:lnTo>
                                <a:lnTo>
                                  <a:pt x="0" y="0"/>
                                </a:lnTo>
                                <a:lnTo>
                                  <a:pt x="0" y="202406"/>
                                </a:lnTo>
                                <a:lnTo>
                                  <a:pt x="297656" y="202406"/>
                                </a:lnTo>
                                <a:lnTo>
                                  <a:pt x="373856" y="278606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accent6">
                              <a:lumMod val="40000"/>
                              <a:lumOff val="60000"/>
                            </a:schemeClr>
                          </a:solidFill>
                          <a:ln w="1270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grpSp>
                        <xdr:nvGrpSpPr>
                          <xdr:cNvPr id="823" name="그룹 26">
                            <a:extLst>
                              <a:ext uri="{FF2B5EF4-FFF2-40B4-BE49-F238E27FC236}">
                                <a16:creationId xmlns:a16="http://schemas.microsoft.com/office/drawing/2014/main" id="{00000000-0008-0000-0700-00003703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822940" y="113931566"/>
                            <a:ext cx="4004865" cy="1809057"/>
                            <a:chOff x="2971800" y="-369065"/>
                            <a:chExt cx="3482750" cy="1811352"/>
                          </a:xfrm>
                        </xdr:grpSpPr>
                        <xdr:grpSp>
                          <xdr:nvGrpSpPr>
                            <xdr:cNvPr id="824" name="그룹 7">
                              <a:extLst>
                                <a:ext uri="{FF2B5EF4-FFF2-40B4-BE49-F238E27FC236}">
                                  <a16:creationId xmlns:a16="http://schemas.microsoft.com/office/drawing/2014/main" id="{00000000-0008-0000-0700-00003803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2971800" y="381000"/>
                              <a:ext cx="773686" cy="1061287"/>
                              <a:chOff x="2971800" y="381000"/>
                              <a:chExt cx="773686" cy="1061287"/>
                            </a:xfrm>
                          </xdr:grpSpPr>
                          <xdr:cxnSp macro="">
                            <xdr:nvCxnSpPr>
                              <xdr:cNvPr id="826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3A03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537971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827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3B03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828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3C03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sp macro="" textlink="">
                          <xdr:nvSpPr>
                            <xdr:cNvPr id="825" name="TextBox 824">
                              <a:extLst>
                                <a:ext uri="{FF2B5EF4-FFF2-40B4-BE49-F238E27FC236}">
                                  <a16:creationId xmlns:a16="http://schemas.microsoft.com/office/drawing/2014/main" id="{00000000-0008-0000-0700-00003903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63767" y="-369065"/>
                              <a:ext cx="2290783" cy="285098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ko-KR" altLang="en-US" sz="900"/>
                                <a:t>정모멘트                      부모멘트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</xdr:grpSp>
                  <xdr:cxnSp macro="">
                    <xdr:nvCxnSpPr>
                      <xdr:cNvPr id="818" name="Straight Connector 817">
                        <a:extLst>
                          <a:ext uri="{FF2B5EF4-FFF2-40B4-BE49-F238E27FC236}">
                            <a16:creationId xmlns:a16="http://schemas.microsoft.com/office/drawing/2014/main" id="{00000000-0008-0000-0700-000032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8569" y="111473457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19" name="Straight Connector 818">
                        <a:extLst>
                          <a:ext uri="{FF2B5EF4-FFF2-40B4-BE49-F238E27FC236}">
                            <a16:creationId xmlns:a16="http://schemas.microsoft.com/office/drawing/2014/main" id="{00000000-0008-0000-0700-000033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6831" y="111540132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782" name="Group 781">
                      <a:extLst>
                        <a:ext uri="{FF2B5EF4-FFF2-40B4-BE49-F238E27FC236}">
                          <a16:creationId xmlns:a16="http://schemas.microsoft.com/office/drawing/2014/main" id="{00000000-0008-0000-0700-00000E030000}"/>
                        </a:ext>
                      </a:extLst>
                    </xdr:cNvPr>
                    <xdr:cNvGrpSpPr/>
                  </xdr:nvGrpSpPr>
                  <xdr:grpSpPr>
                    <a:xfrm>
                      <a:off x="1956245" y="110808798"/>
                      <a:ext cx="2636208" cy="1106721"/>
                      <a:chOff x="1956245" y="110808798"/>
                      <a:chExt cx="2636208" cy="1106721"/>
                    </a:xfrm>
                  </xdr:grpSpPr>
                  <xdr:grpSp>
                    <xdr:nvGrpSpPr>
                      <xdr:cNvPr id="783" name="Group 782">
                        <a:extLst>
                          <a:ext uri="{FF2B5EF4-FFF2-40B4-BE49-F238E27FC236}">
                            <a16:creationId xmlns:a16="http://schemas.microsoft.com/office/drawing/2014/main" id="{00000000-0008-0000-0700-00000F03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563376" y="110808798"/>
                        <a:ext cx="608230" cy="1106721"/>
                        <a:chOff x="2549129" y="111423449"/>
                        <a:chExt cx="606512" cy="1113069"/>
                      </a:xfrm>
                    </xdr:grpSpPr>
                    <xdr:cxnSp macro="">
                      <xdr:nvCxnSpPr>
                        <xdr:cNvPr id="805" name="Straight Connector 804">
                          <a:extLst>
                            <a:ext uri="{FF2B5EF4-FFF2-40B4-BE49-F238E27FC236}">
                              <a16:creationId xmlns:a16="http://schemas.microsoft.com/office/drawing/2014/main" id="{00000000-0008-0000-0700-000025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423450"/>
                          <a:ext cx="0" cy="1109204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6" name="Straight Connector 805">
                          <a:extLst>
                            <a:ext uri="{FF2B5EF4-FFF2-40B4-BE49-F238E27FC236}">
                              <a16:creationId xmlns:a16="http://schemas.microsoft.com/office/drawing/2014/main" id="{00000000-0008-0000-0700-000026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604425"/>
                          <a:ext cx="2933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7" name="Straight Connector 806">
                          <a:extLst>
                            <a:ext uri="{FF2B5EF4-FFF2-40B4-BE49-F238E27FC236}">
                              <a16:creationId xmlns:a16="http://schemas.microsoft.com/office/drawing/2014/main" id="{00000000-0008-0000-0700-000027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549129" y="112531047"/>
                          <a:ext cx="32181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8" name="Straight Connector 807">
                          <a:extLst>
                            <a:ext uri="{FF2B5EF4-FFF2-40B4-BE49-F238E27FC236}">
                              <a16:creationId xmlns:a16="http://schemas.microsoft.com/office/drawing/2014/main" id="{00000000-0008-0000-0700-00002803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549129" y="111610002"/>
                          <a:ext cx="604125" cy="92651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9" name="Straight Connector 808">
                          <a:extLst>
                            <a:ext uri="{FF2B5EF4-FFF2-40B4-BE49-F238E27FC236}">
                              <a16:creationId xmlns:a16="http://schemas.microsoft.com/office/drawing/2014/main" id="{00000000-0008-0000-0700-00002903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983706" y="111423450"/>
                          <a:ext cx="91914" cy="183357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10" name="Straight Connector 809">
                          <a:extLst>
                            <a:ext uri="{FF2B5EF4-FFF2-40B4-BE49-F238E27FC236}">
                              <a16:creationId xmlns:a16="http://schemas.microsoft.com/office/drawing/2014/main" id="{00000000-0008-0000-0700-00002A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54877" y="111423449"/>
                          <a:ext cx="228935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811" name="Group 810">
                          <a:extLst>
                            <a:ext uri="{FF2B5EF4-FFF2-40B4-BE49-F238E27FC236}">
                              <a16:creationId xmlns:a16="http://schemas.microsoft.com/office/drawing/2014/main" id="{00000000-0008-0000-0700-00002B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718174" y="112342031"/>
                          <a:ext cx="100013" cy="100013"/>
                          <a:chOff x="2718174" y="112342031"/>
                          <a:chExt cx="100013" cy="100013"/>
                        </a:xfrm>
                      </xdr:grpSpPr>
                      <xdr:sp macro="" textlink="">
                        <xdr:nvSpPr>
                          <xdr:cNvPr id="815" name="Plus 814">
                            <a:extLst>
                              <a:ext uri="{FF2B5EF4-FFF2-40B4-BE49-F238E27FC236}">
                                <a16:creationId xmlns:a16="http://schemas.microsoft.com/office/drawing/2014/main" id="{00000000-0008-0000-0700-00002F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25319" y="112349170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16" name="Oval 815">
                            <a:extLst>
                              <a:ext uri="{FF2B5EF4-FFF2-40B4-BE49-F238E27FC236}">
                                <a16:creationId xmlns:a16="http://schemas.microsoft.com/office/drawing/2014/main" id="{00000000-0008-0000-0700-000030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18174" y="112342031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812" name="Group 811">
                          <a:extLst>
                            <a:ext uri="{FF2B5EF4-FFF2-40B4-BE49-F238E27FC236}">
                              <a16:creationId xmlns:a16="http://schemas.microsoft.com/office/drawing/2014/main" id="{00000000-0008-0000-0700-00002C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913726" y="111687893"/>
                          <a:ext cx="100013" cy="107156"/>
                          <a:chOff x="2913726" y="111685512"/>
                          <a:chExt cx="100013" cy="107156"/>
                        </a:xfrm>
                      </xdr:grpSpPr>
                      <xdr:sp macro="" textlink="">
                        <xdr:nvSpPr>
                          <xdr:cNvPr id="813" name="Oval 812">
                            <a:extLst>
                              <a:ext uri="{FF2B5EF4-FFF2-40B4-BE49-F238E27FC236}">
                                <a16:creationId xmlns:a16="http://schemas.microsoft.com/office/drawing/2014/main" id="{00000000-0008-0000-0700-00002D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13726" y="111685512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14" name="Minus 813">
                            <a:extLst>
                              <a:ext uri="{FF2B5EF4-FFF2-40B4-BE49-F238E27FC236}">
                                <a16:creationId xmlns:a16="http://schemas.microsoft.com/office/drawing/2014/main" id="{00000000-0008-0000-0700-00002E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30394" y="111685512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grpSp>
                    <xdr:nvGrpSpPr>
                      <xdr:cNvPr id="784" name="Group 783">
                        <a:extLst>
                          <a:ext uri="{FF2B5EF4-FFF2-40B4-BE49-F238E27FC236}">
                            <a16:creationId xmlns:a16="http://schemas.microsoft.com/office/drawing/2014/main" id="{00000000-0008-0000-0700-00001003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911486" y="110852167"/>
                        <a:ext cx="680967" cy="1060954"/>
                        <a:chOff x="3097452" y="111465489"/>
                        <a:chExt cx="677594" cy="1066262"/>
                      </a:xfrm>
                    </xdr:grpSpPr>
                    <xdr:cxnSp macro="">
                      <xdr:nvCxnSpPr>
                        <xdr:cNvPr id="794" name="Straight Connector 793">
                          <a:extLst>
                            <a:ext uri="{FF2B5EF4-FFF2-40B4-BE49-F238E27FC236}">
                              <a16:creationId xmlns:a16="http://schemas.microsoft.com/office/drawing/2014/main" id="{00000000-0008-0000-0700-00001A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4576" y="111471074"/>
                          <a:ext cx="0" cy="105727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5" name="Straight Connector 794">
                          <a:extLst>
                            <a:ext uri="{FF2B5EF4-FFF2-40B4-BE49-F238E27FC236}">
                              <a16:creationId xmlns:a16="http://schemas.microsoft.com/office/drawing/2014/main" id="{00000000-0008-0000-0700-00001B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187997" y="111604425"/>
                          <a:ext cx="28657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6" name="Straight Connector 795">
                          <a:extLst>
                            <a:ext uri="{FF2B5EF4-FFF2-40B4-BE49-F238E27FC236}">
                              <a16:creationId xmlns:a16="http://schemas.microsoft.com/office/drawing/2014/main" id="{00000000-0008-0000-0700-00001C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2167" y="112525968"/>
                          <a:ext cx="2995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7" name="Straight Connector 796">
                          <a:extLst>
                            <a:ext uri="{FF2B5EF4-FFF2-40B4-BE49-F238E27FC236}">
                              <a16:creationId xmlns:a16="http://schemas.microsoft.com/office/drawing/2014/main" id="{00000000-0008-0000-0700-00001D030000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3097452" y="111465489"/>
                          <a:ext cx="677594" cy="1066262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8" name="Straight Connector 797">
                          <a:extLst>
                            <a:ext uri="{FF2B5EF4-FFF2-40B4-BE49-F238E27FC236}">
                              <a16:creationId xmlns:a16="http://schemas.microsoft.com/office/drawing/2014/main" id="{00000000-0008-0000-0700-00001E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099852" y="111471074"/>
                          <a:ext cx="374737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799" name="Group 798">
                          <a:extLst>
                            <a:ext uri="{FF2B5EF4-FFF2-40B4-BE49-F238E27FC236}">
                              <a16:creationId xmlns:a16="http://schemas.microsoft.com/office/drawing/2014/main" id="{00000000-0008-0000-0700-00001F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35984" y="111680284"/>
                          <a:ext cx="100013" cy="100013"/>
                          <a:chOff x="3335984" y="111680284"/>
                          <a:chExt cx="100013" cy="100013"/>
                        </a:xfrm>
                      </xdr:grpSpPr>
                      <xdr:sp macro="" textlink="">
                        <xdr:nvSpPr>
                          <xdr:cNvPr id="803" name="Plus 802">
                            <a:extLst>
                              <a:ext uri="{FF2B5EF4-FFF2-40B4-BE49-F238E27FC236}">
                                <a16:creationId xmlns:a16="http://schemas.microsoft.com/office/drawing/2014/main" id="{00000000-0008-0000-0700-000023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43136" y="111687429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04" name="Oval 803">
                            <a:extLst>
                              <a:ext uri="{FF2B5EF4-FFF2-40B4-BE49-F238E27FC236}">
                                <a16:creationId xmlns:a16="http://schemas.microsoft.com/office/drawing/2014/main" id="{00000000-0008-0000-0700-000024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35984" y="111680284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800" name="Group 799">
                          <a:extLst>
                            <a:ext uri="{FF2B5EF4-FFF2-40B4-BE49-F238E27FC236}">
                              <a16:creationId xmlns:a16="http://schemas.microsoft.com/office/drawing/2014/main" id="{00000000-0008-0000-0700-000020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491247" y="112340241"/>
                          <a:ext cx="100013" cy="107156"/>
                          <a:chOff x="3491247" y="112337860"/>
                          <a:chExt cx="100013" cy="107156"/>
                        </a:xfrm>
                      </xdr:grpSpPr>
                      <xdr:sp macro="" textlink="">
                        <xdr:nvSpPr>
                          <xdr:cNvPr id="801" name="Oval 800">
                            <a:extLst>
                              <a:ext uri="{FF2B5EF4-FFF2-40B4-BE49-F238E27FC236}">
                                <a16:creationId xmlns:a16="http://schemas.microsoft.com/office/drawing/2014/main" id="{00000000-0008-0000-0700-000021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491247" y="112337860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02" name="Minus 801">
                            <a:extLst>
                              <a:ext uri="{FF2B5EF4-FFF2-40B4-BE49-F238E27FC236}">
                                <a16:creationId xmlns:a16="http://schemas.microsoft.com/office/drawing/2014/main" id="{00000000-0008-0000-0700-000022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507928" y="112337860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cxnSp macro="">
                    <xdr:nvCxnSpPr>
                      <xdr:cNvPr id="785" name="Straight Connector 784">
                        <a:extLst>
                          <a:ext uri="{FF2B5EF4-FFF2-40B4-BE49-F238E27FC236}">
                            <a16:creationId xmlns:a16="http://schemas.microsoft.com/office/drawing/2014/main" id="{00000000-0008-0000-0700-000011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50477" y="111912701"/>
                        <a:ext cx="1930056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6" name="Straight Connector 785">
                        <a:extLst>
                          <a:ext uri="{FF2B5EF4-FFF2-40B4-BE49-F238E27FC236}">
                            <a16:creationId xmlns:a16="http://schemas.microsoft.com/office/drawing/2014/main" id="{00000000-0008-0000-0700-000012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956245" y="110991349"/>
                        <a:ext cx="204175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7" name="Straight Connector 786">
                        <a:extLst>
                          <a:ext uri="{FF2B5EF4-FFF2-40B4-BE49-F238E27FC236}">
                            <a16:creationId xmlns:a16="http://schemas.microsoft.com/office/drawing/2014/main" id="{00000000-0008-0000-0700-000013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3559" y="110857753"/>
                        <a:ext cx="1580637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8" name="Straight Connector 787">
                        <a:extLst>
                          <a:ext uri="{FF2B5EF4-FFF2-40B4-BE49-F238E27FC236}">
                            <a16:creationId xmlns:a16="http://schemas.microsoft.com/office/drawing/2014/main" id="{00000000-0008-0000-0700-000014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47846" y="110811179"/>
                        <a:ext cx="53070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9" name="Straight Connector 788">
                        <a:extLst>
                          <a:ext uri="{FF2B5EF4-FFF2-40B4-BE49-F238E27FC236}">
                            <a16:creationId xmlns:a16="http://schemas.microsoft.com/office/drawing/2014/main" id="{00000000-0008-0000-0700-000015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8321" y="111591730"/>
                        <a:ext cx="1942211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0" name="Straight Connector 789">
                        <a:extLst>
                          <a:ext uri="{FF2B5EF4-FFF2-40B4-BE49-F238E27FC236}">
                            <a16:creationId xmlns:a16="http://schemas.microsoft.com/office/drawing/2014/main" id="{00000000-0008-0000-0700-000016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28796" y="111852614"/>
                        <a:ext cx="1958919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1" name="Straight Connector 790">
                        <a:extLst>
                          <a:ext uri="{FF2B5EF4-FFF2-40B4-BE49-F238E27FC236}">
                            <a16:creationId xmlns:a16="http://schemas.microsoft.com/office/drawing/2014/main" id="{00000000-0008-0000-0700-000017030000}"/>
                          </a:ext>
                        </a:extLst>
                      </xdr:cNvPr>
                      <xdr:cNvCxnSpPr/>
                    </xdr:nvCxnSpPr>
                    <xdr:spPr>
                      <a:xfrm flipH="1" flipV="1">
                        <a:off x="4313765" y="111588707"/>
                        <a:ext cx="170017" cy="262871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2" name="Straight Connector 791">
                        <a:extLst>
                          <a:ext uri="{FF2B5EF4-FFF2-40B4-BE49-F238E27FC236}">
                            <a16:creationId xmlns:a16="http://schemas.microsoft.com/office/drawing/2014/main" id="{00000000-0008-0000-0700-000018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87941" y="111852614"/>
                        <a:ext cx="20304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3" name="Straight Connector 792">
                        <a:extLst>
                          <a:ext uri="{FF2B5EF4-FFF2-40B4-BE49-F238E27FC236}">
                            <a16:creationId xmlns:a16="http://schemas.microsoft.com/office/drawing/2014/main" id="{00000000-0008-0000-0700-000019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90322" y="111594111"/>
                        <a:ext cx="2857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763" name="Group 762">
                  <a:extLst>
                    <a:ext uri="{FF2B5EF4-FFF2-40B4-BE49-F238E27FC236}">
                      <a16:creationId xmlns:a16="http://schemas.microsoft.com/office/drawing/2014/main" id="{00000000-0008-0000-0700-0000FB020000}"/>
                    </a:ext>
                  </a:extLst>
                </xdr:cNvPr>
                <xdr:cNvGrpSpPr/>
              </xdr:nvGrpSpPr>
              <xdr:grpSpPr>
                <a:xfrm>
                  <a:off x="1707358" y="111409163"/>
                  <a:ext cx="2352674" cy="1404938"/>
                  <a:chOff x="1707358" y="111409163"/>
                  <a:chExt cx="2352674" cy="1404938"/>
                </a:xfrm>
              </xdr:grpSpPr>
              <xdr:sp macro="" textlink="">
                <xdr:nvSpPr>
                  <xdr:cNvPr id="764" name="Oval 763">
                    <a:extLst>
                      <a:ext uri="{FF2B5EF4-FFF2-40B4-BE49-F238E27FC236}">
                        <a16:creationId xmlns:a16="http://schemas.microsoft.com/office/drawing/2014/main" id="{00000000-0008-0000-0700-0000FC020000}"/>
                      </a:ext>
                    </a:extLst>
                  </xdr:cNvPr>
                  <xdr:cNvSpPr/>
                </xdr:nvSpPr>
                <xdr:spPr>
                  <a:xfrm>
                    <a:off x="3826669" y="112611220"/>
                    <a:ext cx="66675" cy="66675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765" name="Group 764">
                    <a:extLst>
                      <a:ext uri="{FF2B5EF4-FFF2-40B4-BE49-F238E27FC236}">
                        <a16:creationId xmlns:a16="http://schemas.microsoft.com/office/drawing/2014/main" id="{00000000-0008-0000-0700-0000FD020000}"/>
                      </a:ext>
                    </a:extLst>
                  </xdr:cNvPr>
                  <xdr:cNvGrpSpPr/>
                </xdr:nvGrpSpPr>
                <xdr:grpSpPr>
                  <a:xfrm>
                    <a:off x="1707358" y="111409163"/>
                    <a:ext cx="2352674" cy="1404938"/>
                    <a:chOff x="1707358" y="111409163"/>
                    <a:chExt cx="2352674" cy="1404938"/>
                  </a:xfrm>
                </xdr:grpSpPr>
                <xdr:sp macro="" textlink="">
                  <xdr:nvSpPr>
                    <xdr:cNvPr id="766" name="Oval 765">
                      <a:extLst>
                        <a:ext uri="{FF2B5EF4-FFF2-40B4-BE49-F238E27FC236}">
                          <a16:creationId xmlns:a16="http://schemas.microsoft.com/office/drawing/2014/main" id="{00000000-0008-0000-0700-0000FE020000}"/>
                        </a:ext>
                      </a:extLst>
                    </xdr:cNvPr>
                    <xdr:cNvSpPr/>
                  </xdr:nvSpPr>
                  <xdr:spPr>
                    <a:xfrm>
                      <a:off x="1828800" y="11261121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67" name="Oval 766">
                      <a:extLst>
                        <a:ext uri="{FF2B5EF4-FFF2-40B4-BE49-F238E27FC236}">
                          <a16:creationId xmlns:a16="http://schemas.microsoft.com/office/drawing/2014/main" id="{00000000-0008-0000-0700-0000FF020000}"/>
                        </a:ext>
                      </a:extLst>
                    </xdr:cNvPr>
                    <xdr:cNvSpPr/>
                  </xdr:nvSpPr>
                  <xdr:spPr>
                    <a:xfrm>
                      <a:off x="2409825" y="111697294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68" name="Oval 767">
                      <a:extLst>
                        <a:ext uri="{FF2B5EF4-FFF2-40B4-BE49-F238E27FC236}">
                          <a16:creationId xmlns:a16="http://schemas.microsoft.com/office/drawing/2014/main" id="{00000000-0008-0000-0700-000000030000}"/>
                        </a:ext>
                      </a:extLst>
                    </xdr:cNvPr>
                    <xdr:cNvSpPr/>
                  </xdr:nvSpPr>
                  <xdr:spPr>
                    <a:xfrm>
                      <a:off x="2340769" y="111513463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69" name="Oval 768">
                      <a:extLst>
                        <a:ext uri="{FF2B5EF4-FFF2-40B4-BE49-F238E27FC236}">
                          <a16:creationId xmlns:a16="http://schemas.microsoft.com/office/drawing/2014/main" id="{00000000-0008-0000-0700-000001030000}"/>
                        </a:ext>
                      </a:extLst>
                    </xdr:cNvPr>
                    <xdr:cNvSpPr/>
                  </xdr:nvSpPr>
                  <xdr:spPr>
                    <a:xfrm>
                      <a:off x="3162301" y="111563470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0" name="Oval 769">
                      <a:extLst>
                        <a:ext uri="{FF2B5EF4-FFF2-40B4-BE49-F238E27FC236}">
                          <a16:creationId xmlns:a16="http://schemas.microsoft.com/office/drawing/2014/main" id="{00000000-0008-0000-0700-000002030000}"/>
                        </a:ext>
                      </a:extLst>
                    </xdr:cNvPr>
                    <xdr:cNvSpPr/>
                  </xdr:nvSpPr>
                  <xdr:spPr>
                    <a:xfrm>
                      <a:off x="3717132" y="11255406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1" name="TextBox 770">
                      <a:extLst>
                        <a:ext uri="{FF2B5EF4-FFF2-40B4-BE49-F238E27FC236}">
                          <a16:creationId xmlns:a16="http://schemas.microsoft.com/office/drawing/2014/main" id="{00000000-0008-0000-0700-000003030000}"/>
                        </a:ext>
                      </a:extLst>
                    </xdr:cNvPr>
                    <xdr:cNvSpPr txBox="1"/>
                  </xdr:nvSpPr>
                  <xdr:spPr>
                    <a:xfrm>
                      <a:off x="1707358" y="112640270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2" name="TextBox 771">
                      <a:extLst>
                        <a:ext uri="{FF2B5EF4-FFF2-40B4-BE49-F238E27FC236}">
                          <a16:creationId xmlns:a16="http://schemas.microsoft.com/office/drawing/2014/main" id="{00000000-0008-0000-0700-000004030000}"/>
                        </a:ext>
                      </a:extLst>
                    </xdr:cNvPr>
                    <xdr:cNvSpPr txBox="1"/>
                  </xdr:nvSpPr>
                  <xdr:spPr>
                    <a:xfrm>
                      <a:off x="2357436" y="111697294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3" name="TextBox 772">
                      <a:extLst>
                        <a:ext uri="{FF2B5EF4-FFF2-40B4-BE49-F238E27FC236}">
                          <a16:creationId xmlns:a16="http://schemas.microsoft.com/office/drawing/2014/main" id="{00000000-0008-0000-0700-000005030000}"/>
                        </a:ext>
                      </a:extLst>
                    </xdr:cNvPr>
                    <xdr:cNvSpPr txBox="1"/>
                  </xdr:nvSpPr>
                  <xdr:spPr>
                    <a:xfrm>
                      <a:off x="2319337" y="111409163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③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4" name="TextBox 773">
                      <a:extLst>
                        <a:ext uri="{FF2B5EF4-FFF2-40B4-BE49-F238E27FC236}">
                          <a16:creationId xmlns:a16="http://schemas.microsoft.com/office/drawing/2014/main" id="{00000000-0008-0000-0700-000006030000}"/>
                        </a:ext>
                      </a:extLst>
                    </xdr:cNvPr>
                    <xdr:cNvSpPr txBox="1"/>
                  </xdr:nvSpPr>
                  <xdr:spPr>
                    <a:xfrm>
                      <a:off x="3050379" y="111683007"/>
                      <a:ext cx="242888" cy="17859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5" name="TextBox 774">
                      <a:extLst>
                        <a:ext uri="{FF2B5EF4-FFF2-40B4-BE49-F238E27FC236}">
                          <a16:creationId xmlns:a16="http://schemas.microsoft.com/office/drawing/2014/main" id="{00000000-0008-0000-0700-000007030000}"/>
                        </a:ext>
                      </a:extLst>
                    </xdr:cNvPr>
                    <xdr:cNvSpPr txBox="1"/>
                  </xdr:nvSpPr>
                  <xdr:spPr>
                    <a:xfrm>
                      <a:off x="3798094" y="112592645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6" name="TextBox 775">
                      <a:extLst>
                        <a:ext uri="{FF2B5EF4-FFF2-40B4-BE49-F238E27FC236}">
                          <a16:creationId xmlns:a16="http://schemas.microsoft.com/office/drawing/2014/main" id="{00000000-0008-0000-0700-000008030000}"/>
                        </a:ext>
                      </a:extLst>
                    </xdr:cNvPr>
                    <xdr:cNvSpPr txBox="1"/>
                  </xdr:nvSpPr>
                  <xdr:spPr>
                    <a:xfrm>
                      <a:off x="3698082" y="112387856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④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7" name="TextBox 776">
                      <a:extLst>
                        <a:ext uri="{FF2B5EF4-FFF2-40B4-BE49-F238E27FC236}">
                          <a16:creationId xmlns:a16="http://schemas.microsoft.com/office/drawing/2014/main" id="{00000000-0008-0000-0700-000009030000}"/>
                        </a:ext>
                      </a:extLst>
                    </xdr:cNvPr>
                    <xdr:cNvSpPr txBox="1"/>
                  </xdr:nvSpPr>
                  <xdr:spPr>
                    <a:xfrm>
                      <a:off x="2981325" y="111418688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⑤</a:t>
                      </a:r>
                      <a:endParaRPr lang="en-US" sz="900"/>
                    </a:p>
                  </xdr:txBody>
                </xdr:sp>
              </xdr:grpSp>
            </xdr:grpSp>
          </xdr:grpSp>
          <xdr:sp macro="" textlink="">
            <xdr:nvSpPr>
              <xdr:cNvPr id="761" name="Oval 760">
                <a:extLst>
                  <a:ext uri="{FF2B5EF4-FFF2-40B4-BE49-F238E27FC236}">
                    <a16:creationId xmlns:a16="http://schemas.microsoft.com/office/drawing/2014/main" id="{00000000-0008-0000-0700-0000F9020000}"/>
                  </a:ext>
                </a:extLst>
              </xdr:cNvPr>
              <xdr:cNvSpPr/>
            </xdr:nvSpPr>
            <xdr:spPr>
              <a:xfrm>
                <a:off x="3243262" y="111692531"/>
                <a:ext cx="66675" cy="66675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759" name="TextBox 758">
              <a:extLst>
                <a:ext uri="{FF2B5EF4-FFF2-40B4-BE49-F238E27FC236}">
                  <a16:creationId xmlns:a16="http://schemas.microsoft.com/office/drawing/2014/main" id="{00000000-0008-0000-0700-0000F7020000}"/>
                </a:ext>
              </a:extLst>
            </xdr:cNvPr>
            <xdr:cNvSpPr txBox="1"/>
          </xdr:nvSpPr>
          <xdr:spPr>
            <a:xfrm>
              <a:off x="4048125" y="111509176"/>
              <a:ext cx="1914525" cy="1085850"/>
            </a:xfrm>
            <a:prstGeom prst="rect">
              <a:avLst/>
            </a:prstGeom>
            <a:solidFill>
              <a:schemeClr val="lt1"/>
            </a:solidFill>
            <a:ln w="22225" cmpd="sng">
              <a:solidFill>
                <a:schemeClr val="accent1">
                  <a:lumMod val="75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bu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플랜지 인장응력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②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bu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플랜지 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③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deck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바닥판 압축응력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④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bot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내부 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con'c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⑤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s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철근 인장응력</a:t>
              </a:r>
              <a:endParaRPr lang="ko-KR" altLang="en-US" sz="900"/>
            </a:p>
          </xdr:txBody>
        </xdr:sp>
      </xdr:grpSp>
      <xdr:grpSp>
        <xdr:nvGrpSpPr>
          <xdr:cNvPr id="126" name="Group 125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GrpSpPr/>
        </xdr:nvGrpSpPr>
        <xdr:grpSpPr>
          <a:xfrm>
            <a:off x="2043688" y="5094828"/>
            <a:ext cx="99748" cy="107468"/>
            <a:chOff x="2381250" y="5348654"/>
            <a:chExt cx="99748" cy="107468"/>
          </a:xfrm>
        </xdr:grpSpPr>
        <xdr:sp macro="" textlink="">
          <xdr:nvSpPr>
            <xdr:cNvPr id="573" name="Oval 572">
              <a:extLst>
                <a:ext uri="{FF2B5EF4-FFF2-40B4-BE49-F238E27FC236}">
                  <a16:creationId xmlns:a16="http://schemas.microsoft.com/office/drawing/2014/main" id="{00000000-0008-0000-0700-00003D020000}"/>
                </a:ext>
              </a:extLst>
            </xdr:cNvPr>
            <xdr:cNvSpPr/>
          </xdr:nvSpPr>
          <xdr:spPr>
            <a:xfrm>
              <a:off x="2381250" y="5348654"/>
              <a:ext cx="99748" cy="100304"/>
            </a:xfrm>
            <a:prstGeom prst="ellipse">
              <a:avLst/>
            </a:prstGeom>
            <a:noFill/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5" name="Minus 574">
              <a:extLst>
                <a:ext uri="{FF2B5EF4-FFF2-40B4-BE49-F238E27FC236}">
                  <a16:creationId xmlns:a16="http://schemas.microsoft.com/office/drawing/2014/main" id="{00000000-0008-0000-0700-00003F020000}"/>
                </a:ext>
              </a:extLst>
            </xdr:cNvPr>
            <xdr:cNvSpPr/>
          </xdr:nvSpPr>
          <xdr:spPr>
            <a:xfrm>
              <a:off x="2397874" y="5348654"/>
              <a:ext cx="68872" cy="107468"/>
            </a:xfrm>
            <a:prstGeom prst="mathMinus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289717</xdr:colOff>
      <xdr:row>69</xdr:row>
      <xdr:rowOff>27335</xdr:rowOff>
    </xdr:from>
    <xdr:to>
      <xdr:col>4</xdr:col>
      <xdr:colOff>373452</xdr:colOff>
      <xdr:row>78</xdr:row>
      <xdr:rowOff>153218</xdr:rowOff>
    </xdr:to>
    <xdr:grpSp>
      <xdr:nvGrpSpPr>
        <xdr:cNvPr id="447" name="Group 446">
          <a:extLst>
            <a:ext uri="{FF2B5EF4-FFF2-40B4-BE49-F238E27FC236}">
              <a16:creationId xmlns:a16="http://schemas.microsoft.com/office/drawing/2014/main" id="{00000000-0008-0000-0700-0000BF010000}"/>
            </a:ext>
          </a:extLst>
        </xdr:cNvPr>
        <xdr:cNvGrpSpPr/>
      </xdr:nvGrpSpPr>
      <xdr:grpSpPr>
        <a:xfrm>
          <a:off x="289717" y="12937112"/>
          <a:ext cx="2056771" cy="1809767"/>
          <a:chOff x="280192" y="12781420"/>
          <a:chExt cx="1736181" cy="1852000"/>
        </a:xfrm>
      </xdr:grpSpPr>
      <xdr:grpSp>
        <xdr:nvGrpSpPr>
          <xdr:cNvPr id="402" name="Group 401">
            <a:extLst>
              <a:ext uri="{FF2B5EF4-FFF2-40B4-BE49-F238E27FC236}">
                <a16:creationId xmlns:a16="http://schemas.microsoft.com/office/drawing/2014/main" id="{00000000-0008-0000-0700-000092010000}"/>
              </a:ext>
            </a:extLst>
          </xdr:cNvPr>
          <xdr:cNvGrpSpPr/>
        </xdr:nvGrpSpPr>
        <xdr:grpSpPr>
          <a:xfrm>
            <a:off x="280192" y="12781420"/>
            <a:ext cx="1736181" cy="1852000"/>
            <a:chOff x="280192" y="12716611"/>
            <a:chExt cx="1736181" cy="1842180"/>
          </a:xfrm>
        </xdr:grpSpPr>
        <xdr:sp macro="" textlink="">
          <xdr:nvSpPr>
            <xdr:cNvPr id="395" name="Freeform 394">
              <a:extLst>
                <a:ext uri="{FF2B5EF4-FFF2-40B4-BE49-F238E27FC236}">
                  <a16:creationId xmlns:a16="http://schemas.microsoft.com/office/drawing/2014/main" id="{00000000-0008-0000-0700-00008B010000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325" name="Group 324">
              <a:extLst>
                <a:ext uri="{FF2B5EF4-FFF2-40B4-BE49-F238E27FC236}">
                  <a16:creationId xmlns:a16="http://schemas.microsoft.com/office/drawing/2014/main" id="{00000000-0008-0000-0700-000045010000}"/>
                </a:ext>
              </a:extLst>
            </xdr:cNvPr>
            <xdr:cNvGrpSpPr/>
          </xdr:nvGrpSpPr>
          <xdr:grpSpPr>
            <a:xfrm>
              <a:off x="280192" y="12716611"/>
              <a:ext cx="1736181" cy="1842180"/>
              <a:chOff x="280192" y="12716611"/>
              <a:chExt cx="1736181" cy="1842180"/>
            </a:xfrm>
          </xdr:grpSpPr>
          <xdr:grpSp>
            <xdr:nvGrpSpPr>
              <xdr:cNvPr id="105" name="Group 104">
                <a:extLst>
                  <a:ext uri="{FF2B5EF4-FFF2-40B4-BE49-F238E27FC236}">
                    <a16:creationId xmlns:a16="http://schemas.microsoft.com/office/drawing/2014/main" id="{00000000-0008-0000-0700-000069000000}"/>
                  </a:ext>
                </a:extLst>
              </xdr:cNvPr>
              <xdr:cNvGrpSpPr/>
            </xdr:nvGrpSpPr>
            <xdr:grpSpPr>
              <a:xfrm>
                <a:off x="280192" y="12716611"/>
                <a:ext cx="1736181" cy="1842180"/>
                <a:chOff x="280192" y="9668611"/>
                <a:chExt cx="1736181" cy="1842180"/>
              </a:xfrm>
            </xdr:grpSpPr>
            <xdr:sp macro="" textlink="">
              <xdr:nvSpPr>
                <xdr:cNvPr id="102" name="Freeform 101">
                  <a:extLst>
                    <a:ext uri="{FF2B5EF4-FFF2-40B4-BE49-F238E27FC236}">
                      <a16:creationId xmlns:a16="http://schemas.microsoft.com/office/drawing/2014/main" id="{00000000-0008-0000-0700-000066000000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328" name="Group 327">
                  <a:extLst>
                    <a:ext uri="{FF2B5EF4-FFF2-40B4-BE49-F238E27FC236}">
                      <a16:creationId xmlns:a16="http://schemas.microsoft.com/office/drawing/2014/main" id="{00000000-0008-0000-0700-000048010000}"/>
                    </a:ext>
                  </a:extLst>
                </xdr:cNvPr>
                <xdr:cNvGrpSpPr/>
              </xdr:nvGrpSpPr>
              <xdr:grpSpPr>
                <a:xfrm>
                  <a:off x="280192" y="9668611"/>
                  <a:ext cx="1736181" cy="1842180"/>
                  <a:chOff x="331475" y="5194697"/>
                  <a:chExt cx="1722354" cy="1790303"/>
                </a:xfrm>
              </xdr:grpSpPr>
              <xdr:grpSp>
                <xdr:nvGrpSpPr>
                  <xdr:cNvPr id="329" name="Group 328">
                    <a:extLst>
                      <a:ext uri="{FF2B5EF4-FFF2-40B4-BE49-F238E27FC236}">
                        <a16:creationId xmlns:a16="http://schemas.microsoft.com/office/drawing/2014/main" id="{00000000-0008-0000-0700-000049010000}"/>
                      </a:ext>
                    </a:extLst>
                  </xdr:cNvPr>
                  <xdr:cNvGrpSpPr/>
                </xdr:nvGrpSpPr>
                <xdr:grpSpPr>
                  <a:xfrm>
                    <a:off x="331475" y="5194697"/>
                    <a:ext cx="1654536" cy="1479550"/>
                    <a:chOff x="331475" y="5194697"/>
                    <a:chExt cx="1654536" cy="1479550"/>
                  </a:xfrm>
                </xdr:grpSpPr>
                <xdr:grpSp>
                  <xdr:nvGrpSpPr>
                    <xdr:cNvPr id="331" name="Group 330">
                      <a:extLst>
                        <a:ext uri="{FF2B5EF4-FFF2-40B4-BE49-F238E27FC236}">
                          <a16:creationId xmlns:a16="http://schemas.microsoft.com/office/drawing/2014/main" id="{00000000-0008-0000-0700-00004B010000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371988"/>
                      <a:ext cx="1654536" cy="1168853"/>
                      <a:chOff x="331501" y="5331957"/>
                      <a:chExt cx="1659981" cy="1160623"/>
                    </a:xfrm>
                  </xdr:grpSpPr>
                  <xdr:grpSp>
                    <xdr:nvGrpSpPr>
                      <xdr:cNvPr id="333" name="Group 332">
                        <a:extLst>
                          <a:ext uri="{FF2B5EF4-FFF2-40B4-BE49-F238E27FC236}">
                            <a16:creationId xmlns:a16="http://schemas.microsoft.com/office/drawing/2014/main" id="{00000000-0008-0000-0700-00004D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331957"/>
                        <a:ext cx="1557511" cy="1160623"/>
                        <a:chOff x="331531" y="5428027"/>
                        <a:chExt cx="1563324" cy="1180376"/>
                      </a:xfrm>
                    </xdr:grpSpPr>
                    <xdr:grpSp>
                      <xdr:nvGrpSpPr>
                        <xdr:cNvPr id="336" name="Group 335">
                          <a:extLst>
                            <a:ext uri="{FF2B5EF4-FFF2-40B4-BE49-F238E27FC236}">
                              <a16:creationId xmlns:a16="http://schemas.microsoft.com/office/drawing/2014/main" id="{00000000-0008-0000-0700-000050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347" name="Straight Connector 346">
                            <a:extLst>
                              <a:ext uri="{FF2B5EF4-FFF2-40B4-BE49-F238E27FC236}">
                                <a16:creationId xmlns:a16="http://schemas.microsoft.com/office/drawing/2014/main" id="{00000000-0008-0000-0700-00005B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8" name="Straight Connector 347">
                            <a:extLst>
                              <a:ext uri="{FF2B5EF4-FFF2-40B4-BE49-F238E27FC236}">
                                <a16:creationId xmlns:a16="http://schemas.microsoft.com/office/drawing/2014/main" id="{00000000-0008-0000-0700-00005C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1" name="직선 연결선 255">
                            <a:extLst>
                              <a:ext uri="{FF2B5EF4-FFF2-40B4-BE49-F238E27FC236}">
                                <a16:creationId xmlns:a16="http://schemas.microsoft.com/office/drawing/2014/main" id="{00000000-0008-0000-0700-000055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3" name="직선 연결선 251">
                            <a:extLst>
                              <a:ext uri="{FF2B5EF4-FFF2-40B4-BE49-F238E27FC236}">
                                <a16:creationId xmlns:a16="http://schemas.microsoft.com/office/drawing/2014/main" id="{00000000-0008-0000-0700-000057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4" name="직선 연결선 238">
                            <a:extLst>
                              <a:ext uri="{FF2B5EF4-FFF2-40B4-BE49-F238E27FC236}">
                                <a16:creationId xmlns:a16="http://schemas.microsoft.com/office/drawing/2014/main" id="{00000000-0008-0000-0700-000058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5" name="직선 연결선 239">
                            <a:extLst>
                              <a:ext uri="{FF2B5EF4-FFF2-40B4-BE49-F238E27FC236}">
                                <a16:creationId xmlns:a16="http://schemas.microsoft.com/office/drawing/2014/main" id="{00000000-0008-0000-0700-000059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9" name="Straight Connector 348">
                            <a:extLst>
                              <a:ext uri="{FF2B5EF4-FFF2-40B4-BE49-F238E27FC236}">
                                <a16:creationId xmlns:a16="http://schemas.microsoft.com/office/drawing/2014/main" id="{00000000-0008-0000-0700-00005D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50" name="Straight Connector 349">
                            <a:extLst>
                              <a:ext uri="{FF2B5EF4-FFF2-40B4-BE49-F238E27FC236}">
                                <a16:creationId xmlns:a16="http://schemas.microsoft.com/office/drawing/2014/main" id="{00000000-0008-0000-0700-00005E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337" name="Straight Connector 336">
                          <a:extLst>
                            <a:ext uri="{FF2B5EF4-FFF2-40B4-BE49-F238E27FC236}">
                              <a16:creationId xmlns:a16="http://schemas.microsoft.com/office/drawing/2014/main" id="{00000000-0008-0000-0700-00005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43207" y="6118795"/>
                          <a:ext cx="1251648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8" name="Straight Connector 337">
                          <a:extLst>
                            <a:ext uri="{FF2B5EF4-FFF2-40B4-BE49-F238E27FC236}">
                              <a16:creationId xmlns:a16="http://schemas.microsoft.com/office/drawing/2014/main" id="{00000000-0008-0000-0700-000052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13809" y="5646078"/>
                          <a:ext cx="188116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9" name="Straight Connector 338">
                          <a:extLst>
                            <a:ext uri="{FF2B5EF4-FFF2-40B4-BE49-F238E27FC236}">
                              <a16:creationId xmlns:a16="http://schemas.microsoft.com/office/drawing/2014/main" id="{00000000-0008-0000-0700-000053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645000"/>
                          <a:ext cx="0" cy="472431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334" name="TextBox 333">
                        <a:extLst>
                          <a:ext uri="{FF2B5EF4-FFF2-40B4-BE49-F238E27FC236}">
                            <a16:creationId xmlns:a16="http://schemas.microsoft.com/office/drawing/2014/main" id="{00000000-0008-0000-0700-00004E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86807" y="5834063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335" name="TextBox 334">
                        <a:extLst>
                          <a:ext uri="{FF2B5EF4-FFF2-40B4-BE49-F238E27FC236}">
                            <a16:creationId xmlns:a16="http://schemas.microsoft.com/office/drawing/2014/main" id="{00000000-0008-0000-0700-00004F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27843" y="5663975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332" name="Freeform 331">
                      <a:extLst>
                        <a:ext uri="{FF2B5EF4-FFF2-40B4-BE49-F238E27FC236}">
                          <a16:creationId xmlns:a16="http://schemas.microsoft.com/office/drawing/2014/main" id="{00000000-0008-0000-0700-00004C010000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330" name="TextBox 329">
                    <a:extLst>
                      <a:ext uri="{FF2B5EF4-FFF2-40B4-BE49-F238E27FC236}">
                        <a16:creationId xmlns:a16="http://schemas.microsoft.com/office/drawing/2014/main" id="{00000000-0008-0000-0700-00004A010000}"/>
                      </a:ext>
                    </a:extLst>
                  </xdr:cNvPr>
                  <xdr:cNvSpPr txBox="1"/>
                </xdr:nvSpPr>
                <xdr:spPr>
                  <a:xfrm>
                    <a:off x="625079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Case 1, 8, a, b, c, d</a:t>
                    </a:r>
                    <a:endParaRPr lang="en-US" sz="600"/>
                  </a:p>
                </xdr:txBody>
              </xdr:sp>
            </xdr:grpSp>
          </xdr:grpSp>
          <xdr:cxnSp macro="">
            <xdr:nvCxnSpPr>
              <xdr:cNvPr id="600" name="직선 연결선 254">
                <a:extLst>
                  <a:ext uri="{FF2B5EF4-FFF2-40B4-BE49-F238E27FC236}">
                    <a16:creationId xmlns:a16="http://schemas.microsoft.com/office/drawing/2014/main" id="{00000000-0008-0000-0700-000058020000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604" name="직선 연결선 239">
            <a:extLst>
              <a:ext uri="{FF2B5EF4-FFF2-40B4-BE49-F238E27FC236}">
                <a16:creationId xmlns:a16="http://schemas.microsoft.com/office/drawing/2014/main" id="{00000000-0008-0000-0700-00005C020000}"/>
              </a:ext>
            </a:extLst>
          </xdr:cNvPr>
          <xdr:cNvCxnSpPr/>
        </xdr:nvCxnSpPr>
        <xdr:spPr>
          <a:xfrm>
            <a:off x="1142998" y="13955770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6" name="직선 연결선 239">
            <a:extLst>
              <a:ext uri="{FF2B5EF4-FFF2-40B4-BE49-F238E27FC236}">
                <a16:creationId xmlns:a16="http://schemas.microsoft.com/office/drawing/2014/main" id="{00000000-0008-0000-0700-00005E020000}"/>
              </a:ext>
            </a:extLst>
          </xdr:cNvPr>
          <xdr:cNvCxnSpPr/>
        </xdr:nvCxnSpPr>
        <xdr:spPr>
          <a:xfrm>
            <a:off x="1154906" y="14021046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8" name="직선 연결선 239">
            <a:extLst>
              <a:ext uri="{FF2B5EF4-FFF2-40B4-BE49-F238E27FC236}">
                <a16:creationId xmlns:a16="http://schemas.microsoft.com/office/drawing/2014/main" id="{00000000-0008-0000-0700-000060020000}"/>
              </a:ext>
            </a:extLst>
          </xdr:cNvPr>
          <xdr:cNvCxnSpPr/>
        </xdr:nvCxnSpPr>
        <xdr:spPr>
          <a:xfrm>
            <a:off x="1175365" y="14090102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474778</xdr:colOff>
      <xdr:row>69</xdr:row>
      <xdr:rowOff>3326</xdr:rowOff>
    </xdr:from>
    <xdr:to>
      <xdr:col>9</xdr:col>
      <xdr:colOff>454684</xdr:colOff>
      <xdr:row>78</xdr:row>
      <xdr:rowOff>129209</xdr:rowOff>
    </xdr:to>
    <xdr:grpSp>
      <xdr:nvGrpSpPr>
        <xdr:cNvPr id="448" name="Group 447">
          <a:extLst>
            <a:ext uri="{FF2B5EF4-FFF2-40B4-BE49-F238E27FC236}">
              <a16:creationId xmlns:a16="http://schemas.microsoft.com/office/drawing/2014/main" id="{00000000-0008-0000-0700-0000C0010000}"/>
            </a:ext>
          </a:extLst>
        </xdr:cNvPr>
        <xdr:cNvGrpSpPr/>
      </xdr:nvGrpSpPr>
      <xdr:grpSpPr>
        <a:xfrm>
          <a:off x="2447814" y="12913103"/>
          <a:ext cx="2446200" cy="1809767"/>
          <a:chOff x="2271048" y="12776461"/>
          <a:chExt cx="2190846" cy="1852000"/>
        </a:xfrm>
      </xdr:grpSpPr>
      <xdr:grpSp>
        <xdr:nvGrpSpPr>
          <xdr:cNvPr id="625" name="Group 624">
            <a:extLst>
              <a:ext uri="{FF2B5EF4-FFF2-40B4-BE49-F238E27FC236}">
                <a16:creationId xmlns:a16="http://schemas.microsoft.com/office/drawing/2014/main" id="{00000000-0008-0000-0700-000071020000}"/>
              </a:ext>
            </a:extLst>
          </xdr:cNvPr>
          <xdr:cNvGrpSpPr/>
        </xdr:nvGrpSpPr>
        <xdr:grpSpPr>
          <a:xfrm>
            <a:off x="2271048" y="12776461"/>
            <a:ext cx="2190846" cy="1852000"/>
            <a:chOff x="258096" y="12716611"/>
            <a:chExt cx="2190846" cy="1842180"/>
          </a:xfrm>
        </xdr:grpSpPr>
        <xdr:sp macro="" textlink="">
          <xdr:nvSpPr>
            <xdr:cNvPr id="626" name="Freeform 625">
              <a:extLst>
                <a:ext uri="{FF2B5EF4-FFF2-40B4-BE49-F238E27FC236}">
                  <a16:creationId xmlns:a16="http://schemas.microsoft.com/office/drawing/2014/main" id="{00000000-0008-0000-0700-000072020000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627" name="Group 626">
              <a:extLst>
                <a:ext uri="{FF2B5EF4-FFF2-40B4-BE49-F238E27FC236}">
                  <a16:creationId xmlns:a16="http://schemas.microsoft.com/office/drawing/2014/main" id="{00000000-0008-0000-0700-000073020000}"/>
                </a:ext>
              </a:extLst>
            </xdr:cNvPr>
            <xdr:cNvGrpSpPr/>
          </xdr:nvGrpSpPr>
          <xdr:grpSpPr>
            <a:xfrm>
              <a:off x="258096" y="12716611"/>
              <a:ext cx="2190846" cy="1842180"/>
              <a:chOff x="258096" y="12716611"/>
              <a:chExt cx="2190846" cy="1842180"/>
            </a:xfrm>
          </xdr:grpSpPr>
          <xdr:grpSp>
            <xdr:nvGrpSpPr>
              <xdr:cNvPr id="628" name="Group 627">
                <a:extLst>
                  <a:ext uri="{FF2B5EF4-FFF2-40B4-BE49-F238E27FC236}">
                    <a16:creationId xmlns:a16="http://schemas.microsoft.com/office/drawing/2014/main" id="{00000000-0008-0000-0700-000074020000}"/>
                  </a:ext>
                </a:extLst>
              </xdr:cNvPr>
              <xdr:cNvGrpSpPr/>
            </xdr:nvGrpSpPr>
            <xdr:grpSpPr>
              <a:xfrm>
                <a:off x="258096" y="12716611"/>
                <a:ext cx="2190846" cy="1842180"/>
                <a:chOff x="258096" y="9668611"/>
                <a:chExt cx="2190846" cy="1842180"/>
              </a:xfrm>
            </xdr:grpSpPr>
            <xdr:sp macro="" textlink="">
              <xdr:nvSpPr>
                <xdr:cNvPr id="630" name="Freeform 629">
                  <a:extLst>
                    <a:ext uri="{FF2B5EF4-FFF2-40B4-BE49-F238E27FC236}">
                      <a16:creationId xmlns:a16="http://schemas.microsoft.com/office/drawing/2014/main" id="{00000000-0008-0000-0700-000076020000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631" name="Group 630">
                  <a:extLst>
                    <a:ext uri="{FF2B5EF4-FFF2-40B4-BE49-F238E27FC236}">
                      <a16:creationId xmlns:a16="http://schemas.microsoft.com/office/drawing/2014/main" id="{00000000-0008-0000-0700-000077020000}"/>
                    </a:ext>
                  </a:extLst>
                </xdr:cNvPr>
                <xdr:cNvGrpSpPr/>
              </xdr:nvGrpSpPr>
              <xdr:grpSpPr>
                <a:xfrm>
                  <a:off x="258096" y="9668611"/>
                  <a:ext cx="2190846" cy="1842180"/>
                  <a:chOff x="309555" y="5194697"/>
                  <a:chExt cx="2173398" cy="1790303"/>
                </a:xfrm>
              </xdr:grpSpPr>
              <xdr:grpSp>
                <xdr:nvGrpSpPr>
                  <xdr:cNvPr id="632" name="Group 631">
                    <a:extLst>
                      <a:ext uri="{FF2B5EF4-FFF2-40B4-BE49-F238E27FC236}">
                        <a16:creationId xmlns:a16="http://schemas.microsoft.com/office/drawing/2014/main" id="{00000000-0008-0000-0700-000078020000}"/>
                      </a:ext>
                    </a:extLst>
                  </xdr:cNvPr>
                  <xdr:cNvGrpSpPr/>
                </xdr:nvGrpSpPr>
                <xdr:grpSpPr>
                  <a:xfrm>
                    <a:off x="309555" y="5194697"/>
                    <a:ext cx="1685905" cy="1479550"/>
                    <a:chOff x="309555" y="5194697"/>
                    <a:chExt cx="1685905" cy="1479550"/>
                  </a:xfrm>
                </xdr:grpSpPr>
                <xdr:grpSp>
                  <xdr:nvGrpSpPr>
                    <xdr:cNvPr id="634" name="Group 633">
                      <a:extLst>
                        <a:ext uri="{FF2B5EF4-FFF2-40B4-BE49-F238E27FC236}">
                          <a16:creationId xmlns:a16="http://schemas.microsoft.com/office/drawing/2014/main" id="{00000000-0008-0000-0700-00007A020000}"/>
                        </a:ext>
                      </a:extLst>
                    </xdr:cNvPr>
                    <xdr:cNvGrpSpPr/>
                  </xdr:nvGrpSpPr>
                  <xdr:grpSpPr>
                    <a:xfrm>
                      <a:off x="309555" y="5289805"/>
                      <a:ext cx="1685905" cy="1251039"/>
                      <a:chOff x="309509" y="5250352"/>
                      <a:chExt cx="1691453" cy="1242230"/>
                    </a:xfrm>
                  </xdr:grpSpPr>
                  <xdr:grpSp>
                    <xdr:nvGrpSpPr>
                      <xdr:cNvPr id="636" name="Group 635">
                        <a:extLst>
                          <a:ext uri="{FF2B5EF4-FFF2-40B4-BE49-F238E27FC236}">
                            <a16:creationId xmlns:a16="http://schemas.microsoft.com/office/drawing/2014/main" id="{00000000-0008-0000-0700-00007C02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640" name="Group 639">
                          <a:extLst>
                            <a:ext uri="{FF2B5EF4-FFF2-40B4-BE49-F238E27FC236}">
                              <a16:creationId xmlns:a16="http://schemas.microsoft.com/office/drawing/2014/main" id="{00000000-0008-0000-0700-00008002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644" name="Straight Connector 643">
                            <a:extLst>
                              <a:ext uri="{FF2B5EF4-FFF2-40B4-BE49-F238E27FC236}">
                                <a16:creationId xmlns:a16="http://schemas.microsoft.com/office/drawing/2014/main" id="{00000000-0008-0000-0700-000084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47" name="Straight Connector 646">
                            <a:extLst>
                              <a:ext uri="{FF2B5EF4-FFF2-40B4-BE49-F238E27FC236}">
                                <a16:creationId xmlns:a16="http://schemas.microsoft.com/office/drawing/2014/main" id="{00000000-0008-0000-0700-000087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48" name="직선 연결선 255">
                            <a:extLst>
                              <a:ext uri="{FF2B5EF4-FFF2-40B4-BE49-F238E27FC236}">
                                <a16:creationId xmlns:a16="http://schemas.microsoft.com/office/drawing/2014/main" id="{00000000-0008-0000-0700-000088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49" name="직선 연결선 251">
                            <a:extLst>
                              <a:ext uri="{FF2B5EF4-FFF2-40B4-BE49-F238E27FC236}">
                                <a16:creationId xmlns:a16="http://schemas.microsoft.com/office/drawing/2014/main" id="{00000000-0008-0000-0700-000089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0" name="직선 연결선 238">
                            <a:extLst>
                              <a:ext uri="{FF2B5EF4-FFF2-40B4-BE49-F238E27FC236}">
                                <a16:creationId xmlns:a16="http://schemas.microsoft.com/office/drawing/2014/main" id="{00000000-0008-0000-0700-00008A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5" name="직선 연결선 239">
                            <a:extLst>
                              <a:ext uri="{FF2B5EF4-FFF2-40B4-BE49-F238E27FC236}">
                                <a16:creationId xmlns:a16="http://schemas.microsoft.com/office/drawing/2014/main" id="{00000000-0008-0000-0700-00008F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6" name="Straight Connector 655">
                            <a:extLst>
                              <a:ext uri="{FF2B5EF4-FFF2-40B4-BE49-F238E27FC236}">
                                <a16:creationId xmlns:a16="http://schemas.microsoft.com/office/drawing/2014/main" id="{00000000-0008-0000-0700-000090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7" name="Straight Connector 656">
                            <a:extLst>
                              <a:ext uri="{FF2B5EF4-FFF2-40B4-BE49-F238E27FC236}">
                                <a16:creationId xmlns:a16="http://schemas.microsoft.com/office/drawing/2014/main" id="{00000000-0008-0000-0700-000091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41" name="Straight Connector 640">
                          <a:extLst>
                            <a:ext uri="{FF2B5EF4-FFF2-40B4-BE49-F238E27FC236}">
                              <a16:creationId xmlns:a16="http://schemas.microsoft.com/office/drawing/2014/main" id="{00000000-0008-0000-0700-000081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623349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42" name="Straight Connector 641">
                          <a:extLst>
                            <a:ext uri="{FF2B5EF4-FFF2-40B4-BE49-F238E27FC236}">
                              <a16:creationId xmlns:a16="http://schemas.microsoft.com/office/drawing/2014/main" id="{00000000-0008-0000-0700-00008202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557271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43" name="Straight Connector 642">
                          <a:extLst>
                            <a:ext uri="{FF2B5EF4-FFF2-40B4-BE49-F238E27FC236}">
                              <a16:creationId xmlns:a16="http://schemas.microsoft.com/office/drawing/2014/main" id="{00000000-0008-0000-0700-000083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252397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637" name="TextBox 636">
                        <a:extLst>
                          <a:ext uri="{FF2B5EF4-FFF2-40B4-BE49-F238E27FC236}">
                            <a16:creationId xmlns:a16="http://schemas.microsoft.com/office/drawing/2014/main" id="{00000000-0008-0000-0700-00007D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09509" y="5507761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638" name="TextBox 637">
                        <a:extLst>
                          <a:ext uri="{FF2B5EF4-FFF2-40B4-BE49-F238E27FC236}">
                            <a16:creationId xmlns:a16="http://schemas.microsoft.com/office/drawing/2014/main" id="{00000000-0008-0000-0700-00007E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37323" y="5250352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635" name="Freeform 634">
                      <a:extLst>
                        <a:ext uri="{FF2B5EF4-FFF2-40B4-BE49-F238E27FC236}">
                          <a16:creationId xmlns:a16="http://schemas.microsoft.com/office/drawing/2014/main" id="{00000000-0008-0000-0700-00007B020000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633" name="TextBox 632">
                    <a:extLst>
                      <a:ext uri="{FF2B5EF4-FFF2-40B4-BE49-F238E27FC236}">
                        <a16:creationId xmlns:a16="http://schemas.microsoft.com/office/drawing/2014/main" id="{00000000-0008-0000-0700-000079020000}"/>
                      </a:ext>
                    </a:extLst>
                  </xdr:cNvPr>
                  <xdr:cNvSpPr txBox="1"/>
                </xdr:nvSpPr>
                <xdr:spPr>
                  <a:xfrm>
                    <a:off x="1054203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2, 9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629" name="직선 연결선 254">
                <a:extLst>
                  <a:ext uri="{FF2B5EF4-FFF2-40B4-BE49-F238E27FC236}">
                    <a16:creationId xmlns:a16="http://schemas.microsoft.com/office/drawing/2014/main" id="{00000000-0008-0000-0700-000075020000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699" name="직선 연결선 239">
            <a:extLst>
              <a:ext uri="{FF2B5EF4-FFF2-40B4-BE49-F238E27FC236}">
                <a16:creationId xmlns:a16="http://schemas.microsoft.com/office/drawing/2014/main" id="{00000000-0008-0000-0700-0000BB020000}"/>
              </a:ext>
            </a:extLst>
          </xdr:cNvPr>
          <xdr:cNvCxnSpPr/>
        </xdr:nvCxnSpPr>
        <xdr:spPr>
          <a:xfrm>
            <a:off x="3156998" y="13950427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3" name="직선 연결선 239">
            <a:extLst>
              <a:ext uri="{FF2B5EF4-FFF2-40B4-BE49-F238E27FC236}">
                <a16:creationId xmlns:a16="http://schemas.microsoft.com/office/drawing/2014/main" id="{00000000-0008-0000-0700-0000DD020000}"/>
              </a:ext>
            </a:extLst>
          </xdr:cNvPr>
          <xdr:cNvCxnSpPr/>
        </xdr:nvCxnSpPr>
        <xdr:spPr>
          <a:xfrm>
            <a:off x="3168906" y="14015703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4" name="직선 연결선 239">
            <a:extLst>
              <a:ext uri="{FF2B5EF4-FFF2-40B4-BE49-F238E27FC236}">
                <a16:creationId xmlns:a16="http://schemas.microsoft.com/office/drawing/2014/main" id="{00000000-0008-0000-0700-0000DE020000}"/>
              </a:ext>
            </a:extLst>
          </xdr:cNvPr>
          <xdr:cNvCxnSpPr/>
        </xdr:nvCxnSpPr>
        <xdr:spPr>
          <a:xfrm>
            <a:off x="3189365" y="14084759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220325</xdr:colOff>
      <xdr:row>68</xdr:row>
      <xdr:rowOff>181735</xdr:rowOff>
    </xdr:from>
    <xdr:to>
      <xdr:col>14</xdr:col>
      <xdr:colOff>168575</xdr:colOff>
      <xdr:row>78</xdr:row>
      <xdr:rowOff>152482</xdr:rowOff>
    </xdr:to>
    <xdr:grpSp>
      <xdr:nvGrpSpPr>
        <xdr:cNvPr id="449" name="Group 448">
          <a:extLst>
            <a:ext uri="{FF2B5EF4-FFF2-40B4-BE49-F238E27FC236}">
              <a16:creationId xmlns:a16="http://schemas.microsoft.com/office/drawing/2014/main" id="{00000000-0008-0000-0700-0000C1010000}"/>
            </a:ext>
          </a:extLst>
        </xdr:cNvPr>
        <xdr:cNvGrpSpPr/>
      </xdr:nvGrpSpPr>
      <xdr:grpSpPr>
        <a:xfrm>
          <a:off x="4659655" y="12904414"/>
          <a:ext cx="2414545" cy="1841729"/>
          <a:chOff x="4355971" y="12747117"/>
          <a:chExt cx="1983307" cy="1885567"/>
        </a:xfrm>
      </xdr:grpSpPr>
      <xdr:grpSp>
        <xdr:nvGrpSpPr>
          <xdr:cNvPr id="659" name="Group 658">
            <a:extLst>
              <a:ext uri="{FF2B5EF4-FFF2-40B4-BE49-F238E27FC236}">
                <a16:creationId xmlns:a16="http://schemas.microsoft.com/office/drawing/2014/main" id="{00000000-0008-0000-0700-000093020000}"/>
              </a:ext>
            </a:extLst>
          </xdr:cNvPr>
          <xdr:cNvGrpSpPr/>
        </xdr:nvGrpSpPr>
        <xdr:grpSpPr>
          <a:xfrm>
            <a:off x="4355971" y="12747117"/>
            <a:ext cx="1983307" cy="1885567"/>
            <a:chOff x="280192" y="12682715"/>
            <a:chExt cx="1983307" cy="1876078"/>
          </a:xfrm>
        </xdr:grpSpPr>
        <xdr:sp macro="" textlink="">
          <xdr:nvSpPr>
            <xdr:cNvPr id="667" name="Freeform 666">
              <a:extLst>
                <a:ext uri="{FF2B5EF4-FFF2-40B4-BE49-F238E27FC236}">
                  <a16:creationId xmlns:a16="http://schemas.microsoft.com/office/drawing/2014/main" id="{00000000-0008-0000-0700-00009B020000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668" name="Group 667">
              <a:extLst>
                <a:ext uri="{FF2B5EF4-FFF2-40B4-BE49-F238E27FC236}">
                  <a16:creationId xmlns:a16="http://schemas.microsoft.com/office/drawing/2014/main" id="{00000000-0008-0000-0700-00009C020000}"/>
                </a:ext>
              </a:extLst>
            </xdr:cNvPr>
            <xdr:cNvGrpSpPr/>
          </xdr:nvGrpSpPr>
          <xdr:grpSpPr>
            <a:xfrm>
              <a:off x="280192" y="12682715"/>
              <a:ext cx="1983307" cy="1876078"/>
              <a:chOff x="280192" y="12682715"/>
              <a:chExt cx="1983307" cy="1876078"/>
            </a:xfrm>
          </xdr:grpSpPr>
          <xdr:grpSp>
            <xdr:nvGrpSpPr>
              <xdr:cNvPr id="669" name="Group 668">
                <a:extLst>
                  <a:ext uri="{FF2B5EF4-FFF2-40B4-BE49-F238E27FC236}">
                    <a16:creationId xmlns:a16="http://schemas.microsoft.com/office/drawing/2014/main" id="{00000000-0008-0000-0700-00009D020000}"/>
                  </a:ext>
                </a:extLst>
              </xdr:cNvPr>
              <xdr:cNvGrpSpPr/>
            </xdr:nvGrpSpPr>
            <xdr:grpSpPr>
              <a:xfrm>
                <a:off x="280192" y="12682715"/>
                <a:ext cx="1983307" cy="1876078"/>
                <a:chOff x="280192" y="9634715"/>
                <a:chExt cx="1983307" cy="1876078"/>
              </a:xfrm>
            </xdr:grpSpPr>
            <xdr:sp macro="" textlink="">
              <xdr:nvSpPr>
                <xdr:cNvPr id="677" name="Freeform 676">
                  <a:extLst>
                    <a:ext uri="{FF2B5EF4-FFF2-40B4-BE49-F238E27FC236}">
                      <a16:creationId xmlns:a16="http://schemas.microsoft.com/office/drawing/2014/main" id="{00000000-0008-0000-0700-0000A5020000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678" name="Group 677">
                  <a:extLst>
                    <a:ext uri="{FF2B5EF4-FFF2-40B4-BE49-F238E27FC236}">
                      <a16:creationId xmlns:a16="http://schemas.microsoft.com/office/drawing/2014/main" id="{00000000-0008-0000-0700-0000A6020000}"/>
                    </a:ext>
                  </a:extLst>
                </xdr:cNvPr>
                <xdr:cNvGrpSpPr/>
              </xdr:nvGrpSpPr>
              <xdr:grpSpPr>
                <a:xfrm>
                  <a:off x="280192" y="9634715"/>
                  <a:ext cx="1983307" cy="1876078"/>
                  <a:chOff x="331475" y="5161754"/>
                  <a:chExt cx="1967512" cy="1823246"/>
                </a:xfrm>
              </xdr:grpSpPr>
              <xdr:grpSp>
                <xdr:nvGrpSpPr>
                  <xdr:cNvPr id="679" name="Group 678">
                    <a:extLst>
                      <a:ext uri="{FF2B5EF4-FFF2-40B4-BE49-F238E27FC236}">
                        <a16:creationId xmlns:a16="http://schemas.microsoft.com/office/drawing/2014/main" id="{00000000-0008-0000-0700-0000A7020000}"/>
                      </a:ext>
                    </a:extLst>
                  </xdr:cNvPr>
                  <xdr:cNvGrpSpPr/>
                </xdr:nvGrpSpPr>
                <xdr:grpSpPr>
                  <a:xfrm>
                    <a:off x="331475" y="5161754"/>
                    <a:ext cx="1704803" cy="1512493"/>
                    <a:chOff x="331475" y="5161754"/>
                    <a:chExt cx="1704803" cy="1512493"/>
                  </a:xfrm>
                </xdr:grpSpPr>
                <xdr:grpSp>
                  <xdr:nvGrpSpPr>
                    <xdr:cNvPr id="681" name="Group 680">
                      <a:extLst>
                        <a:ext uri="{FF2B5EF4-FFF2-40B4-BE49-F238E27FC236}">
                          <a16:creationId xmlns:a16="http://schemas.microsoft.com/office/drawing/2014/main" id="{00000000-0008-0000-0700-0000A9020000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161754"/>
                      <a:ext cx="1704803" cy="1379088"/>
                      <a:chOff x="331501" y="5123204"/>
                      <a:chExt cx="1710413" cy="1369378"/>
                    </a:xfrm>
                  </xdr:grpSpPr>
                  <xdr:grpSp>
                    <xdr:nvGrpSpPr>
                      <xdr:cNvPr id="683" name="Group 682">
                        <a:extLst>
                          <a:ext uri="{FF2B5EF4-FFF2-40B4-BE49-F238E27FC236}">
                            <a16:creationId xmlns:a16="http://schemas.microsoft.com/office/drawing/2014/main" id="{00000000-0008-0000-0700-0000AB02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686" name="Group 685">
                          <a:extLst>
                            <a:ext uri="{FF2B5EF4-FFF2-40B4-BE49-F238E27FC236}">
                              <a16:creationId xmlns:a16="http://schemas.microsoft.com/office/drawing/2014/main" id="{00000000-0008-0000-0700-0000AE02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690" name="Straight Connector 689">
                            <a:extLst>
                              <a:ext uri="{FF2B5EF4-FFF2-40B4-BE49-F238E27FC236}">
                                <a16:creationId xmlns:a16="http://schemas.microsoft.com/office/drawing/2014/main" id="{00000000-0008-0000-0700-0000B2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1" name="Straight Connector 690">
                            <a:extLst>
                              <a:ext uri="{FF2B5EF4-FFF2-40B4-BE49-F238E27FC236}">
                                <a16:creationId xmlns:a16="http://schemas.microsoft.com/office/drawing/2014/main" id="{00000000-0008-0000-0700-0000B3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2" name="직선 연결선 255">
                            <a:extLst>
                              <a:ext uri="{FF2B5EF4-FFF2-40B4-BE49-F238E27FC236}">
                                <a16:creationId xmlns:a16="http://schemas.microsoft.com/office/drawing/2014/main" id="{00000000-0008-0000-0700-0000B4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3" name="직선 연결선 251">
                            <a:extLst>
                              <a:ext uri="{FF2B5EF4-FFF2-40B4-BE49-F238E27FC236}">
                                <a16:creationId xmlns:a16="http://schemas.microsoft.com/office/drawing/2014/main" id="{00000000-0008-0000-0700-0000B5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4" name="직선 연결선 238">
                            <a:extLst>
                              <a:ext uri="{FF2B5EF4-FFF2-40B4-BE49-F238E27FC236}">
                                <a16:creationId xmlns:a16="http://schemas.microsoft.com/office/drawing/2014/main" id="{00000000-0008-0000-0700-0000B6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5" name="직선 연결선 239">
                            <a:extLst>
                              <a:ext uri="{FF2B5EF4-FFF2-40B4-BE49-F238E27FC236}">
                                <a16:creationId xmlns:a16="http://schemas.microsoft.com/office/drawing/2014/main" id="{00000000-0008-0000-0700-0000B7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6" name="Straight Connector 695">
                            <a:extLst>
                              <a:ext uri="{FF2B5EF4-FFF2-40B4-BE49-F238E27FC236}">
                                <a16:creationId xmlns:a16="http://schemas.microsoft.com/office/drawing/2014/main" id="{00000000-0008-0000-0700-0000B8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7" name="Straight Connector 696">
                            <a:extLst>
                              <a:ext uri="{FF2B5EF4-FFF2-40B4-BE49-F238E27FC236}">
                                <a16:creationId xmlns:a16="http://schemas.microsoft.com/office/drawing/2014/main" id="{00000000-0008-0000-0700-0000B9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87" name="Straight Connector 686">
                          <a:extLst>
                            <a:ext uri="{FF2B5EF4-FFF2-40B4-BE49-F238E27FC236}">
                              <a16:creationId xmlns:a16="http://schemas.microsoft.com/office/drawing/2014/main" id="{00000000-0008-0000-0700-0000AF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478455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88" name="Straight Connector 687">
                          <a:extLst>
                            <a:ext uri="{FF2B5EF4-FFF2-40B4-BE49-F238E27FC236}">
                              <a16:creationId xmlns:a16="http://schemas.microsoft.com/office/drawing/2014/main" id="{00000000-0008-0000-0700-0000B002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377322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89" name="Straight Connector 688">
                          <a:extLst>
                            <a:ext uri="{FF2B5EF4-FFF2-40B4-BE49-F238E27FC236}">
                              <a16:creationId xmlns:a16="http://schemas.microsoft.com/office/drawing/2014/main" id="{00000000-0008-0000-0700-0000B1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107499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684" name="TextBox 683">
                        <a:extLst>
                          <a:ext uri="{FF2B5EF4-FFF2-40B4-BE49-F238E27FC236}">
                            <a16:creationId xmlns:a16="http://schemas.microsoft.com/office/drawing/2014/main" id="{00000000-0008-0000-0700-0000AC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75588" y="5123204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685" name="TextBox 684">
                        <a:extLst>
                          <a:ext uri="{FF2B5EF4-FFF2-40B4-BE49-F238E27FC236}">
                            <a16:creationId xmlns:a16="http://schemas.microsoft.com/office/drawing/2014/main" id="{00000000-0008-0000-0700-0000AD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8275" y="5223131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682" name="Freeform 681">
                      <a:extLst>
                        <a:ext uri="{FF2B5EF4-FFF2-40B4-BE49-F238E27FC236}">
                          <a16:creationId xmlns:a16="http://schemas.microsoft.com/office/drawing/2014/main" id="{00000000-0008-0000-0700-0000AA020000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680" name="TextBox 679">
                    <a:extLst>
                      <a:ext uri="{FF2B5EF4-FFF2-40B4-BE49-F238E27FC236}">
                        <a16:creationId xmlns:a16="http://schemas.microsoft.com/office/drawing/2014/main" id="{00000000-0008-0000-0700-0000A8020000}"/>
                      </a:ext>
                    </a:extLst>
                  </xdr:cNvPr>
                  <xdr:cNvSpPr txBox="1"/>
                </xdr:nvSpPr>
                <xdr:spPr>
                  <a:xfrm>
                    <a:off x="870237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3, 4, 5, 6, 7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670" name="직선 연결선 254">
                <a:extLst>
                  <a:ext uri="{FF2B5EF4-FFF2-40B4-BE49-F238E27FC236}">
                    <a16:creationId xmlns:a16="http://schemas.microsoft.com/office/drawing/2014/main" id="{00000000-0008-0000-0700-00009E020000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736" name="직선 연결선 239">
            <a:extLst>
              <a:ext uri="{FF2B5EF4-FFF2-40B4-BE49-F238E27FC236}">
                <a16:creationId xmlns:a16="http://schemas.microsoft.com/office/drawing/2014/main" id="{00000000-0008-0000-0700-0000E0020000}"/>
              </a:ext>
            </a:extLst>
          </xdr:cNvPr>
          <xdr:cNvCxnSpPr/>
        </xdr:nvCxnSpPr>
        <xdr:spPr>
          <a:xfrm>
            <a:off x="5219111" y="13954951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7" name="직선 연결선 239">
            <a:extLst>
              <a:ext uri="{FF2B5EF4-FFF2-40B4-BE49-F238E27FC236}">
                <a16:creationId xmlns:a16="http://schemas.microsoft.com/office/drawing/2014/main" id="{00000000-0008-0000-0700-0000E1020000}"/>
              </a:ext>
            </a:extLst>
          </xdr:cNvPr>
          <xdr:cNvCxnSpPr/>
        </xdr:nvCxnSpPr>
        <xdr:spPr>
          <a:xfrm>
            <a:off x="5231019" y="14020227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8" name="직선 연결선 239">
            <a:extLst>
              <a:ext uri="{FF2B5EF4-FFF2-40B4-BE49-F238E27FC236}">
                <a16:creationId xmlns:a16="http://schemas.microsoft.com/office/drawing/2014/main" id="{00000000-0008-0000-0700-0000E2020000}"/>
              </a:ext>
            </a:extLst>
          </xdr:cNvPr>
          <xdr:cNvCxnSpPr/>
        </xdr:nvCxnSpPr>
        <xdr:spPr>
          <a:xfrm>
            <a:off x="5251478" y="14089283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40361</xdr:colOff>
      <xdr:row>39</xdr:row>
      <xdr:rowOff>129154</xdr:rowOff>
    </xdr:from>
    <xdr:to>
      <xdr:col>14</xdr:col>
      <xdr:colOff>78460</xdr:colOff>
      <xdr:row>49</xdr:row>
      <xdr:rowOff>166550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00000000-0008-0000-0700-0000C2010000}"/>
            </a:ext>
          </a:extLst>
        </xdr:cNvPr>
        <xdr:cNvGrpSpPr/>
      </xdr:nvGrpSpPr>
      <xdr:grpSpPr>
        <a:xfrm>
          <a:off x="40361" y="7425984"/>
          <a:ext cx="6943724" cy="1908379"/>
          <a:chOff x="0" y="7414390"/>
          <a:chExt cx="6390550" cy="1782948"/>
        </a:xfrm>
      </xdr:grpSpPr>
      <xdr:grpSp>
        <xdr:nvGrpSpPr>
          <xdr:cNvPr id="321" name="Group 320">
            <a:extLst>
              <a:ext uri="{FF2B5EF4-FFF2-40B4-BE49-F238E27FC236}">
                <a16:creationId xmlns:a16="http://schemas.microsoft.com/office/drawing/2014/main" id="{00000000-0008-0000-0700-000041010000}"/>
              </a:ext>
            </a:extLst>
          </xdr:cNvPr>
          <xdr:cNvGrpSpPr/>
        </xdr:nvGrpSpPr>
        <xdr:grpSpPr>
          <a:xfrm>
            <a:off x="4020" y="7414390"/>
            <a:ext cx="6386530" cy="1782948"/>
            <a:chOff x="4020" y="7414390"/>
            <a:chExt cx="6386530" cy="1782948"/>
          </a:xfrm>
        </xdr:grpSpPr>
        <xdr:grpSp>
          <xdr:nvGrpSpPr>
            <xdr:cNvPr id="198" name="Group 197">
              <a:extLst>
                <a:ext uri="{FF2B5EF4-FFF2-40B4-BE49-F238E27FC236}">
                  <a16:creationId xmlns:a16="http://schemas.microsoft.com/office/drawing/2014/main" id="{00000000-0008-0000-0700-0000C6000000}"/>
                </a:ext>
              </a:extLst>
            </xdr:cNvPr>
            <xdr:cNvGrpSpPr/>
          </xdr:nvGrpSpPr>
          <xdr:grpSpPr>
            <a:xfrm>
              <a:off x="4020" y="7414390"/>
              <a:ext cx="6386530" cy="1782948"/>
              <a:chOff x="-19793" y="7414390"/>
              <a:chExt cx="6386530" cy="1782948"/>
            </a:xfrm>
          </xdr:grpSpPr>
          <xdr:grpSp>
            <xdr:nvGrpSpPr>
              <xdr:cNvPr id="187" name="Group 186">
                <a:extLst>
                  <a:ext uri="{FF2B5EF4-FFF2-40B4-BE49-F238E27FC236}">
                    <a16:creationId xmlns:a16="http://schemas.microsoft.com/office/drawing/2014/main" id="{00000000-0008-0000-0700-0000BB000000}"/>
                  </a:ext>
                </a:extLst>
              </xdr:cNvPr>
              <xdr:cNvGrpSpPr/>
            </xdr:nvGrpSpPr>
            <xdr:grpSpPr>
              <a:xfrm>
                <a:off x="-19793" y="7414390"/>
                <a:ext cx="6386530" cy="1782948"/>
                <a:chOff x="-19793" y="7414390"/>
                <a:chExt cx="6386530" cy="1782948"/>
              </a:xfrm>
            </xdr:grpSpPr>
            <xdr:cxnSp macro="">
              <xdr:nvCxnSpPr>
                <xdr:cNvPr id="565" name="Straight Connector 564">
                  <a:extLst>
                    <a:ext uri="{FF2B5EF4-FFF2-40B4-BE49-F238E27FC236}">
                      <a16:creationId xmlns:a16="http://schemas.microsoft.com/office/drawing/2014/main" id="{00000000-0008-0000-0700-000035020000}"/>
                    </a:ext>
                  </a:extLst>
                </xdr:cNvPr>
                <xdr:cNvCxnSpPr/>
              </xdr:nvCxnSpPr>
              <xdr:spPr>
                <a:xfrm>
                  <a:off x="1957387" y="8046245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60" name="Straight Connector 559">
                  <a:extLst>
                    <a:ext uri="{FF2B5EF4-FFF2-40B4-BE49-F238E27FC236}">
                      <a16:creationId xmlns:a16="http://schemas.microsoft.com/office/drawing/2014/main" id="{00000000-0008-0000-0700-000030020000}"/>
                    </a:ext>
                  </a:extLst>
                </xdr:cNvPr>
                <xdr:cNvCxnSpPr/>
              </xdr:nvCxnSpPr>
              <xdr:spPr>
                <a:xfrm>
                  <a:off x="1719262" y="8048627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67" name="Group 166">
                  <a:extLst>
                    <a:ext uri="{FF2B5EF4-FFF2-40B4-BE49-F238E27FC236}">
                      <a16:creationId xmlns:a16="http://schemas.microsoft.com/office/drawing/2014/main" id="{00000000-0008-0000-0700-0000A7000000}"/>
                    </a:ext>
                  </a:extLst>
                </xdr:cNvPr>
                <xdr:cNvGrpSpPr/>
              </xdr:nvGrpSpPr>
              <xdr:grpSpPr>
                <a:xfrm>
                  <a:off x="-19793" y="7414390"/>
                  <a:ext cx="6386530" cy="1782948"/>
                  <a:chOff x="-19793" y="7414390"/>
                  <a:chExt cx="6386530" cy="1782948"/>
                </a:xfrm>
              </xdr:grpSpPr>
              <xdr:cxnSp macro="">
                <xdr:nvCxnSpPr>
                  <xdr:cNvPr id="557" name="Straight Connector 556">
                    <a:extLst>
                      <a:ext uri="{FF2B5EF4-FFF2-40B4-BE49-F238E27FC236}">
                        <a16:creationId xmlns:a16="http://schemas.microsoft.com/office/drawing/2014/main" id="{00000000-0008-0000-0700-00002D020000}"/>
                      </a:ext>
                    </a:extLst>
                  </xdr:cNvPr>
                  <xdr:cNvCxnSpPr/>
                </xdr:nvCxnSpPr>
                <xdr:spPr>
                  <a:xfrm>
                    <a:off x="1478757" y="8046245"/>
                    <a:ext cx="0" cy="103435"/>
                  </a:xfrm>
                  <a:prstGeom prst="line">
                    <a:avLst/>
                  </a:prstGeom>
                  <a:ln w="38100"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129" name="Group 128">
                    <a:extLst>
                      <a:ext uri="{FF2B5EF4-FFF2-40B4-BE49-F238E27FC236}">
                        <a16:creationId xmlns:a16="http://schemas.microsoft.com/office/drawing/2014/main" id="{00000000-0008-0000-0700-000081000000}"/>
                      </a:ext>
                    </a:extLst>
                  </xdr:cNvPr>
                  <xdr:cNvGrpSpPr/>
                </xdr:nvGrpSpPr>
                <xdr:grpSpPr>
                  <a:xfrm>
                    <a:off x="-19793" y="7414390"/>
                    <a:ext cx="6386530" cy="1782948"/>
                    <a:chOff x="186906" y="4839041"/>
                    <a:chExt cx="6382014" cy="1781128"/>
                  </a:xfrm>
                </xdr:grpSpPr>
                <xdr:grpSp>
                  <xdr:nvGrpSpPr>
                    <xdr:cNvPr id="410" name="Group 409">
                      <a:extLst>
                        <a:ext uri="{FF2B5EF4-FFF2-40B4-BE49-F238E27FC236}">
                          <a16:creationId xmlns:a16="http://schemas.microsoft.com/office/drawing/2014/main" id="{00000000-0008-0000-0700-00009A010000}"/>
                        </a:ext>
                      </a:extLst>
                    </xdr:cNvPr>
                    <xdr:cNvGrpSpPr/>
                  </xdr:nvGrpSpPr>
                  <xdr:grpSpPr>
                    <a:xfrm>
                      <a:off x="186906" y="4839041"/>
                      <a:ext cx="6042444" cy="1781128"/>
                      <a:chOff x="186906" y="450737"/>
                      <a:chExt cx="6042444" cy="1750142"/>
                    </a:xfrm>
                  </xdr:grpSpPr>
                  <xdr:grpSp>
                    <xdr:nvGrpSpPr>
                      <xdr:cNvPr id="382" name="Group 381">
                        <a:extLst>
                          <a:ext uri="{FF2B5EF4-FFF2-40B4-BE49-F238E27FC236}">
                            <a16:creationId xmlns:a16="http://schemas.microsoft.com/office/drawing/2014/main" id="{00000000-0008-0000-0700-00007E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86906" y="662962"/>
                        <a:ext cx="6042444" cy="1537917"/>
                        <a:chOff x="33827" y="4685573"/>
                        <a:chExt cx="6042444" cy="1537917"/>
                      </a:xfrm>
                    </xdr:grpSpPr>
                    <xdr:grpSp>
                      <xdr:nvGrpSpPr>
                        <xdr:cNvPr id="379" name="Group 378">
                          <a:extLst>
                            <a:ext uri="{FF2B5EF4-FFF2-40B4-BE49-F238E27FC236}">
                              <a16:creationId xmlns:a16="http://schemas.microsoft.com/office/drawing/2014/main" id="{00000000-0008-0000-0700-00007B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827" y="4752573"/>
                          <a:ext cx="6042444" cy="1470917"/>
                          <a:chOff x="33827" y="4810559"/>
                          <a:chExt cx="6042444" cy="1489739"/>
                        </a:xfrm>
                      </xdr:grpSpPr>
                      <xdr:grpSp>
                        <xdr:nvGrpSpPr>
                          <xdr:cNvPr id="369" name="Group 368">
                            <a:extLst>
                              <a:ext uri="{FF2B5EF4-FFF2-40B4-BE49-F238E27FC236}">
                                <a16:creationId xmlns:a16="http://schemas.microsoft.com/office/drawing/2014/main" id="{00000000-0008-0000-0700-000071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3827" y="4810559"/>
                            <a:ext cx="6042444" cy="1489739"/>
                            <a:chOff x="33827" y="4810559"/>
                            <a:chExt cx="6042444" cy="1489739"/>
                          </a:xfrm>
                        </xdr:grpSpPr>
                        <xdr:grpSp>
                          <xdr:nvGrpSpPr>
                            <xdr:cNvPr id="362" name="Group 361">
                              <a:extLst>
                                <a:ext uri="{FF2B5EF4-FFF2-40B4-BE49-F238E27FC236}">
                                  <a16:creationId xmlns:a16="http://schemas.microsoft.com/office/drawing/2014/main" id="{00000000-0008-0000-0700-00006A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3827" y="4810559"/>
                              <a:ext cx="6042444" cy="1489739"/>
                              <a:chOff x="32946" y="4823860"/>
                              <a:chExt cx="6078155" cy="1494056"/>
                            </a:xfrm>
                          </xdr:grpSpPr>
                          <xdr:grpSp>
                            <xdr:nvGrpSpPr>
                              <xdr:cNvPr id="248" name="Group 247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F8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32946" y="4823860"/>
                                <a:ext cx="5946673" cy="1494056"/>
                                <a:chOff x="33801" y="4837622"/>
                                <a:chExt cx="5912783" cy="1498524"/>
                              </a:xfrm>
                            </xdr:grpSpPr>
                            <xdr:sp macro="" textlink="">
                              <xdr:nvSpPr>
                                <xdr:cNvPr id="237" name="TextBox 23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700-0000ED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323853" y="5264943"/>
                                  <a:ext cx="374706" cy="177261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st</a:t>
                                  </a:r>
                                  <a:endParaRPr lang="en-US" sz="800"/>
                                </a:p>
                              </xdr:txBody>
                            </xdr:sp>
                            <xdr:grpSp>
                              <xdr:nvGrpSpPr>
                                <xdr:cNvPr id="246" name="Group 24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700-0000F6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3801" y="4837622"/>
                                  <a:ext cx="5912783" cy="1469001"/>
                                  <a:chOff x="33801" y="4837622"/>
                                  <a:chExt cx="5912783" cy="1469001"/>
                                </a:xfrm>
                              </xdr:grpSpPr>
                              <xdr:grpSp>
                                <xdr:nvGrpSpPr>
                                  <xdr:cNvPr id="236" name="Group 235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EC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3801" y="4837622"/>
                                    <a:ext cx="5912783" cy="1444253"/>
                                    <a:chOff x="33801" y="4837622"/>
                                    <a:chExt cx="5912783" cy="1444253"/>
                                  </a:xfrm>
                                </xdr:grpSpPr>
                                <xdr:grpSp>
                                  <xdr:nvGrpSpPr>
                                    <xdr:cNvPr id="217" name="Group 216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D9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33801" y="4837622"/>
                                      <a:ext cx="5912783" cy="1444253"/>
                                      <a:chOff x="-119279" y="4871640"/>
                                      <a:chExt cx="5912783" cy="1447655"/>
                                    </a:xfrm>
                                  </xdr:grpSpPr>
                                  <xdr:grpSp>
                                    <xdr:nvGrpSpPr>
                                      <xdr:cNvPr id="214" name="Group 21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700-0000D6000000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-119279" y="4871640"/>
                                        <a:ext cx="5912783" cy="1447655"/>
                                        <a:chOff x="-119279" y="4871640"/>
                                        <a:chExt cx="5912783" cy="1447655"/>
                                      </a:xfrm>
                                    </xdr:grpSpPr>
                                    <xdr:grpSp>
                                      <xdr:nvGrpSpPr>
                                        <xdr:cNvPr id="12" name="Group 11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700-00000C000000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-119279" y="4871640"/>
                                          <a:ext cx="5912783" cy="1447655"/>
                                          <a:chOff x="-119279" y="7348140"/>
                                          <a:chExt cx="5912783" cy="1447655"/>
                                        </a:xfrm>
                                      </xdr:grpSpPr>
                                      <xdr:grpSp>
                                        <xdr:nvGrpSpPr>
                                          <xdr:cNvPr id="13" name="그룹 199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700-00000D00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-119279" y="7348140"/>
                                            <a:ext cx="5912783" cy="1447655"/>
                                            <a:chOff x="6356569" y="10055622"/>
                                            <a:chExt cx="5912783" cy="1431780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15" name="그룹 20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700-00000F00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11326019" y="10208419"/>
                                              <a:ext cx="617033" cy="174479"/>
                                              <a:chOff x="11341894" y="10203657"/>
                                              <a:chExt cx="617826" cy="176464"/>
                                            </a:xfrm>
                                          </xdr:grpSpPr>
                                          <xdr:cxnSp macro="">
                                            <xdr:nvCxnSpPr>
                                              <xdr:cNvPr id="92" name="직선 화살표 연결선 28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5C00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>
                                                <a:off x="11582400" y="10306050"/>
                                                <a:ext cx="377320" cy="0"/>
                                              </a:xfrm>
                                              <a:prstGeom prst="straightConnector1">
                                                <a:avLst/>
                                              </a:prstGeom>
                                              <a:ln w="19050">
                                                <a:solidFill>
                                                  <a:srgbClr val="FF0000"/>
                                                </a:solidFill>
                                                <a:tailEnd type="stealth" w="lg" len="lg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sp macro="" textlink="">
                                            <xdr:nvSpPr>
                                              <xdr:cNvPr id="93" name="TextBox 9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5D000000}"/>
                                                  </a:ext>
                                                </a:extLst>
                                              </xdr:cNvPr>
                                              <xdr:cNvSpPr txBox="1"/>
                                            </xdr:nvSpPr>
                                            <xdr:spPr>
                                              <a:xfrm>
                                                <a:off x="11341894" y="10203657"/>
                                                <a:ext cx="406757" cy="176464"/>
                                              </a:xfrm>
                                              <a:prstGeom prst="rect">
                                                <a:avLst/>
                                              </a:prstGeom>
                                              <a:noFill/>
                                              <a:ln w="9525" cmpd="sng">
                                                <a:noFill/>
                                              </a:ln>
                                            </xdr:spPr>
                                            <xdr:style>
                                              <a:lnRef idx="0">
                                                <a:scrgbClr r="0" g="0" b="0"/>
                                              </a:lnRef>
                                              <a:fillRef idx="0">
                                                <a:scrgbClr r="0" g="0" b="0"/>
                                              </a:fillRef>
                                              <a:effectRef idx="0">
                                                <a:scrgbClr r="0" g="0" b="0"/>
                                              </a:effectRef>
                                              <a:fontRef idx="minor">
                                                <a:schemeClr val="dk1"/>
                                              </a:fontRef>
                                            </xdr:style>
                                            <xdr:txBody>
                                              <a:bodyPr vertOverflow="clip" horzOverflow="clip" wrap="square" rtlCol="0" anchor="ctr"/>
                                              <a:lstStyle/>
                                              <a:p>
                                                <a:r>
                                                  <a:rPr lang="en-US" sz="900"/>
                                                  <a:t>P</a:t>
                                                </a:r>
                                                <a:r>
                                                  <a:rPr lang="en-US" sz="600"/>
                                                  <a:t>rb</a:t>
                                                </a:r>
                                              </a:p>
                                            </xdr:txBody>
                                          </xdr:sp>
                                        </xdr:grpSp>
                                        <xdr:grpSp>
                                          <xdr:nvGrpSpPr>
                                            <xdr:cNvPr id="16" name="그룹 201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700-00001000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6356569" y="10055622"/>
                                              <a:ext cx="5912783" cy="1431780"/>
                                              <a:chOff x="6356569" y="10055622"/>
                                              <a:chExt cx="5912783" cy="1431780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17" name="그룹 20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11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10810075" y="10079435"/>
                                                <a:ext cx="1459277" cy="1407967"/>
                                                <a:chOff x="10822775" y="10184607"/>
                                                <a:chExt cx="1461658" cy="1421857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69" name="그룹 259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5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0822775" y="10275094"/>
                                                  <a:ext cx="621430" cy="1281107"/>
                                                  <a:chOff x="10339551" y="10668000"/>
                                                  <a:chExt cx="621430" cy="1281107"/>
                                                </a:xfrm>
                                              </xdr:grpSpPr>
                                              <xdr:sp macro="" textlink="">
                                                <xdr:nvSpPr>
                                                  <xdr:cNvPr id="88" name="직사각형 2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8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648950" y="11146630"/>
                                                    <a:ext cx="312031" cy="802477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89" name="직사각형 279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9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339551" y="10668000"/>
                                                    <a:ext cx="312042" cy="481012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0" name="덧셈 기호 28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A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421503" y="10830538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1" name="뺄셈 기호 281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B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731229" y="1156119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0" name="그룹 260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6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39509" y="10184607"/>
                                                  <a:ext cx="620211" cy="176464"/>
                                                  <a:chOff x="11339509" y="10184607"/>
                                                  <a:chExt cx="620211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6" name="직선 화살표 연결선 27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6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7" name="TextBox 8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7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39509" y="1018460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rt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1" name="그룹 261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7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40130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4" name="직선 화살표 연결선 27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4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5" name="TextBox 8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5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2" name="그룹 262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8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55132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2" name="직선 화살표 연결선 27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2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3" name="TextBox 8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3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3" name="그룹 263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9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58587" y="10906126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0" name="직선 화살표 연결선 27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0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1" name="TextBox 8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1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wb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4" name="그룹 26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A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8121" y="11220296"/>
                                                  <a:ext cx="706770" cy="176464"/>
                                                  <a:chOff x="11563358" y="10836919"/>
                                                  <a:chExt cx="706770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78" name="직선 화살표 연결선 26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E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63358" y="10941704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79" name="TextBox 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F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63371" y="10836919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bot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5" name="그룹 26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B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3350" y="11430000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76" name="직선 화살표 연결선 26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C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77" name="TextBox 7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D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c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  <xdr:grpSp>
                                            <xdr:nvGrpSpPr>
                                              <xdr:cNvPr id="18" name="그룹 203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12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6356569" y="10055622"/>
                                                <a:ext cx="4463430" cy="1381519"/>
                                                <a:chOff x="6365985" y="10160794"/>
                                                <a:chExt cx="4466715" cy="1395409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19" name="그룹 20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13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7039870" y="10160794"/>
                                                  <a:ext cx="3792830" cy="1395409"/>
                                                  <a:chOff x="7039870" y="10160794"/>
                                                  <a:chExt cx="3792830" cy="1395409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32" name="그룹 22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20000000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7039870" y="10160794"/>
                                                    <a:ext cx="3792830" cy="1395409"/>
                                                    <a:chOff x="7032577" y="10160794"/>
                                                    <a:chExt cx="3788357" cy="1395409"/>
                                                  </a:xfrm>
                                                </xdr:grpSpPr>
                                                <xdr:sp macro="" textlink="">
                                                  <xdr:nvSpPr>
                                                    <xdr:cNvPr id="35" name="TextBox 34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23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10373723" y="10349733"/>
                                                      <a:ext cx="447211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P</a:t>
                                                      </a:r>
                                                      <a:r>
                                                        <a:rPr lang="en-US" sz="600" baseline="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  <xdr:grpSp>
                                                  <xdr:nvGrpSpPr>
                                                    <xdr:cNvPr id="36" name="그룹 22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24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9194035" y="10275096"/>
                                                      <a:ext cx="623348" cy="1281107"/>
                                                      <a:chOff x="9901772" y="10270333"/>
                                                      <a:chExt cx="623908" cy="1281107"/>
                                                    </a:xfrm>
                                                  </xdr:grpSpPr>
                                                  <xdr:sp macro="" textlink="">
                                                    <xdr:nvSpPr>
                                                      <xdr:cNvPr id="67" name="직사각형 25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43000000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9901772" y="10748963"/>
                                                        <a:ext cx="311944" cy="802477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68" name="직사각형 25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44000000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0213726" y="10270333"/>
                                                        <a:ext cx="311954" cy="481012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grpSp>
                                                  <xdr:nvGrpSpPr>
                                                    <xdr:cNvPr id="37" name="그룹 227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25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7032577" y="10160794"/>
                                                      <a:ext cx="3649852" cy="1366769"/>
                                                      <a:chOff x="7032577" y="10160794"/>
                                                      <a:chExt cx="3649852" cy="1366769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38" name="그룹 22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6000000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7032577" y="10275867"/>
                                                        <a:ext cx="3303608" cy="1251696"/>
                                                        <a:chOff x="7039872" y="10275867"/>
                                                        <a:chExt cx="3307689" cy="1251696"/>
                                                      </a:xfrm>
                                                    </xdr:grpSpPr>
                                                    <xdr:sp macro="" textlink="">
                                                      <xdr:nvSpPr>
                                                        <xdr:cNvPr id="50" name="자유형 240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32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/>
                                                      </xdr:nvSpPr>
                                                      <xdr:spPr>
                                                        <a:xfrm>
                                                          <a:off x="7731505" y="11263914"/>
                                                          <a:ext cx="738124" cy="258147"/>
                                                        </a:xfrm>
                                                        <a:custGeom>
                                                          <a:avLst/>
                                                          <a:gdLst>
                                                            <a:gd name="connsiteX0" fmla="*/ 0 w 702468"/>
                                                            <a:gd name="connsiteY0" fmla="*/ 0 h 233363"/>
                                                            <a:gd name="connsiteX1" fmla="*/ 702468 w 702468"/>
                                                            <a:gd name="connsiteY1" fmla="*/ 0 h 233363"/>
                                                            <a:gd name="connsiteX2" fmla="*/ 652462 w 702468"/>
                                                            <a:gd name="connsiteY2" fmla="*/ 233363 h 233363"/>
                                                            <a:gd name="connsiteX3" fmla="*/ 40481 w 702468"/>
                                                            <a:gd name="connsiteY3" fmla="*/ 233363 h 233363"/>
                                                            <a:gd name="connsiteX4" fmla="*/ 0 w 702468"/>
                                                            <a:gd name="connsiteY4" fmla="*/ 0 h 233363"/>
                                                          </a:gdLst>
                                                          <a:ahLst/>
                                                          <a:cxnLst>
                                                            <a:cxn ang="0">
                                                              <a:pos x="connsiteX0" y="connsiteY0"/>
                                                            </a:cxn>
                                                            <a:cxn ang="0">
                                                              <a:pos x="connsiteX1" y="connsiteY1"/>
                                                            </a:cxn>
                                                            <a:cxn ang="0">
                                                              <a:pos x="connsiteX2" y="connsiteY2"/>
                                                            </a:cxn>
                                                            <a:cxn ang="0">
                                                              <a:pos x="connsiteX3" y="connsiteY3"/>
                                                            </a:cxn>
                                                            <a:cxn ang="0">
                                                              <a:pos x="connsiteX4" y="connsiteY4"/>
                                                            </a:cxn>
                                                          </a:cxnLst>
                                                          <a:rect l="l" t="t" r="r" b="b"/>
                                                          <a:pathLst>
                                                            <a:path w="702468" h="233363">
                                                              <a:moveTo>
                                                                <a:pt x="0" y="0"/>
                                                              </a:moveTo>
                                                              <a:lnTo>
                                                                <a:pt x="702468" y="0"/>
                                                              </a:lnTo>
                                                              <a:lnTo>
                                                                <a:pt x="652462" y="233363"/>
                                                              </a:lnTo>
                                                              <a:lnTo>
                                                                <a:pt x="40481" y="233363"/>
                                                              </a:lnTo>
                                                              <a:lnTo>
                                                                <a:pt x="0" y="0"/>
                                                              </a:lnTo>
                                                              <a:close/>
                                                            </a:path>
                                                          </a:pathLst>
                                                        </a:custGeom>
                                                        <a:solidFill>
                                                          <a:schemeClr val="accent6">
                                                            <a:lumMod val="60000"/>
                                                            <a:lumOff val="40000"/>
                                                          </a:schemeClr>
                                                        </a:solidFill>
                                                        <a:ln w="6350"/>
                                                      </xdr:spPr>
                                                      <xdr:style>
                                                        <a:lnRef idx="2">
                                                          <a:schemeClr val="accent1">
                                                            <a:shade val="50000"/>
                                                          </a:schemeClr>
                                                        </a:lnRef>
                                                        <a:fillRef idx="1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lt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rtlCol="0" anchor="t"/>
                                                        <a:lstStyle/>
                                                        <a:p>
                                                          <a:pPr algn="l"/>
                                                          <a:endParaRPr lang="en-US" sz="1100"/>
                                                        </a:p>
                                                      </xdr:txBody>
                                                    </xdr:sp>
                                                    <xdr:grpSp>
                                                      <xdr:nvGrpSpPr>
                                                        <xdr:cNvPr id="47" name="그룹 237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2F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7039872" y="10275867"/>
                                                          <a:ext cx="3307689" cy="1251696"/>
                                                          <a:chOff x="7017949" y="8113677"/>
                                                          <a:chExt cx="2646865" cy="936830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51" name="그룹 24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700-000033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7017949" y="8113677"/>
                                                            <a:ext cx="2646865" cy="936830"/>
                                                            <a:chOff x="6896101" y="6875427"/>
                                                            <a:chExt cx="3151908" cy="945662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53" name="그룹 243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700-000035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6896101" y="6875427"/>
                                                              <a:ext cx="3119156" cy="945662"/>
                                                              <a:chOff x="240127" y="1908063"/>
                                                              <a:chExt cx="4214497" cy="1210966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58" name="그룹 248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A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240127" y="1908063"/>
                                                                <a:ext cx="2720768" cy="1206463"/>
                                                                <a:chOff x="240127" y="1908063"/>
                                                                <a:chExt cx="2720768" cy="1206463"/>
                                                              </a:xfrm>
                                                            </xdr:grpSpPr>
                                                            <xdr:grpSp>
                                                              <xdr:nvGrpSpPr>
                                                                <xdr:cNvPr id="60" name="그룹 250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00000000-0008-0000-0700-00003C00000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240127" y="1908063"/>
                                                                  <a:ext cx="2720768" cy="1206463"/>
                                                                  <a:chOff x="1294701" y="2215059"/>
                                                                  <a:chExt cx="2300486" cy="1108468"/>
                                                                </a:xfrm>
                                                              </xdr:grpSpPr>
                                                              <xdr:grpSp>
                                                                <xdr:nvGrpSpPr>
                                                                  <xdr:cNvPr id="62" name="그룹 252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00000000-0008-0000-0700-00003E00000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1875140" y="2436996"/>
                                                                    <a:ext cx="1147515" cy="886531"/>
                                                                    <a:chOff x="952501" y="2485807"/>
                                                                    <a:chExt cx="1123949" cy="867599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65" name="직선 연결선 255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00000000-0008-0000-0700-00004100000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 flipV="1">
                                                                      <a:off x="952501" y="2485807"/>
                                                                      <a:ext cx="218352" cy="867599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66" name="직선 연결선 256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00000000-0008-0000-0700-00004200000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1875510" y="2495331"/>
                                                                      <a:ext cx="200940" cy="855663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</xdr:grpSp>
                                                              <xdr:sp macro="" textlink="">
                                                                <xdr:nvSpPr>
                                                                  <xdr:cNvPr id="63" name="자유형 253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00000000-0008-0000-0700-00003F00000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1294701" y="2215059"/>
                                                                    <a:ext cx="2300486" cy="237904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270761 w 2267627"/>
                                                                      <a:gd name="connsiteY0" fmla="*/ 169226 h 234499"/>
                                                                      <a:gd name="connsiteX1" fmla="*/ 0 w 2267627"/>
                                                                      <a:gd name="connsiteY1" fmla="*/ 169226 h 234499"/>
                                                                      <a:gd name="connsiteX2" fmla="*/ 0 w 2267627"/>
                                                                      <a:gd name="connsiteY2" fmla="*/ 0 h 234499"/>
                                                                      <a:gd name="connsiteX3" fmla="*/ 2267627 w 2267627"/>
                                                                      <a:gd name="connsiteY3" fmla="*/ 0 h 234499"/>
                                                                      <a:gd name="connsiteX4" fmla="*/ 2267627 w 2267627"/>
                                                                      <a:gd name="connsiteY4" fmla="*/ 164391 h 234499"/>
                                                                      <a:gd name="connsiteX5" fmla="*/ 1996865 w 2267627"/>
                                                                      <a:gd name="connsiteY5" fmla="*/ 164391 h 234499"/>
                                                                      <a:gd name="connsiteX6" fmla="*/ 1926757 w 2267627"/>
                                                                      <a:gd name="connsiteY6" fmla="*/ 234499 h 234499"/>
                                                                      <a:gd name="connsiteX7" fmla="*/ 336034 w 2267627"/>
                                                                      <a:gd name="connsiteY7" fmla="*/ 234499 h 234499"/>
                                                                      <a:gd name="connsiteX8" fmla="*/ 270761 w 2267627"/>
                                                                      <a:gd name="connsiteY8" fmla="*/ 169226 h 234499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267627" h="234499">
                                                                        <a:moveTo>
                                                                          <a:pt x="270761" y="169226"/>
                                                                        </a:moveTo>
                                                                        <a:lnTo>
                                                                          <a:pt x="0" y="169226"/>
                                                                        </a:lnTo>
                                                                        <a:lnTo>
                                                                          <a:pt x="0" y="0"/>
                                                                        </a:lnTo>
                                                                        <a:lnTo>
                                                                          <a:pt x="2267627" y="0"/>
                                                                        </a:lnTo>
                                                                        <a:lnTo>
                                                                          <a:pt x="2267627" y="164391"/>
                                                                        </a:lnTo>
                                                                        <a:lnTo>
                                                                          <a:pt x="1996865" y="164391"/>
                                                                        </a:lnTo>
                                                                        <a:lnTo>
                                                                          <a:pt x="1926757" y="234499"/>
                                                                        </a:lnTo>
                                                                        <a:lnTo>
                                                                          <a:pt x="336034" y="234499"/>
                                                                        </a:lnTo>
                                                                        <a:lnTo>
                                                                          <a:pt x="270761" y="169226"/>
                                                                        </a:lnTo>
                                                                        <a:close/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solidFill>
                                                                    <a:schemeClr val="accent6">
                                                                      <a:lumMod val="40000"/>
                                                                      <a:lumOff val="60000"/>
                                                                    </a:schemeClr>
                                                                  </a:solidFill>
                                                                  <a:ln w="15875"/>
                                                                </xdr:spPr>
                                                                <xdr:style>
                                                                  <a:lnRef idx="2">
                                                                    <a:schemeClr val="accent1">
                                                                      <a:shade val="50000"/>
                                                                    </a:schemeClr>
                                                                  </a:lnRef>
                                                                  <a:fillRef idx="1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lt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n-US" sz="1100"/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</xdr:grpSp>
                                                            <xdr:cxnSp macro="">
                                                              <xdr:nvCxnSpPr>
                                                                <xdr:cNvPr id="61" name="직선 연결선 251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00000000-0008-0000-0700-00003D00000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>
                                                                  <a:off x="767304" y="2142942"/>
                                                                  <a:ext cx="1679196" cy="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 w="57150"/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</xdr:grpSp>
                                                          <xdr:sp macro="" textlink="">
                                                            <xdr:nvSpPr>
                                                              <xdr:cNvPr id="59" name="TextBox 58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B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4049797" y="2978500"/>
                                                                <a:ext cx="404827" cy="140529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t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  <xdr:cxnSp macro="">
                                                          <xdr:nvCxnSpPr>
                                                            <xdr:cNvPr id="54" name="직선 화살표 연결선 244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700-000036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9683113" y="7819492"/>
                                                              <a:ext cx="359569" cy="0"/>
                                                            </a:xfrm>
                                                            <a:prstGeom prst="straightConnector1">
                                                              <a:avLst/>
                                                            </a:prstGeom>
                                                            <a:ln w="19050">
                                                              <a:solidFill>
                                                                <a:srgbClr val="FF0000"/>
                                                              </a:solidFill>
                                                              <a:tailEnd type="stealth" w="lg" len="lg"/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grpSp>
                                                          <xdr:nvGrpSpPr>
                                                            <xdr:cNvPr id="55" name="그룹 245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700-000037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9649440" y="7372982"/>
                                                              <a:ext cx="398569" cy="147716"/>
                                                              <a:chOff x="9725640" y="7649207"/>
                                                              <a:chExt cx="398569" cy="147716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56" name="직선 화살표 연결선 24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8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9764640" y="7780748"/>
                                                                <a:ext cx="359569" cy="0"/>
                                                              </a:xfrm>
                                                              <a:prstGeom prst="straightConnector1">
                                                                <a:avLst/>
                                                              </a:prstGeom>
                                                              <a:ln w="19050">
                                                                <a:solidFill>
                                                                  <a:srgbClr val="FF0000"/>
                                                                </a:solidFill>
                                                                <a:tailEnd type="stealth" w="lg" len="lg"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sp macro="" textlink="">
                                                            <xdr:nvSpPr>
                                                              <xdr:cNvPr id="57" name="TextBox 5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9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725640" y="7649207"/>
                                                                <a:ext cx="343126" cy="147716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wb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</xdr:grpSp>
                                                      <xdr:sp macro="" textlink="">
                                                        <xdr:nvSpPr>
                                                          <xdr:cNvPr id="52" name="TextBox 5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700-000034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9185265" y="8140479"/>
                                                            <a:ext cx="325557" cy="132074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sz="900"/>
                                                              <a:t>P</a:t>
                                                            </a:r>
                                                            <a:r>
                                                              <a:rPr lang="en-US" sz="600"/>
                                                              <a:t>rb</a:t>
                                                            </a:r>
                                                          </a:p>
                                                        </xdr:txBody>
                                                      </xdr:sp>
                                                    </xdr:grpSp>
                                                    <xdr:cxnSp macro="">
                                                      <xdr:nvCxnSpPr>
                                                        <xdr:cNvPr id="48" name="직선 연결선 238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30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325102"/>
                                                          <a:ext cx="2107998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49" name="직선 연결선 239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31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422729"/>
                                                          <a:ext cx="2105619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</xdr:grpSp>
                                                  <xdr:cxnSp macro="">
                                                    <xdr:nvCxnSpPr>
                                                      <xdr:cNvPr id="39" name="직선 화살표 연결선 229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7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632532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40" name="TextBox 39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8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64424" y="10160794"/>
                                                        <a:ext cx="406277" cy="176464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rt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41" name="직선 화살표 연결선 231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9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496801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42" name="TextBox 41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A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46594" y="10643818"/>
                                                        <a:ext cx="359525" cy="195520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wt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43" name="TextBox 42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B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9757802" y="10436179"/>
                                                        <a:ext cx="314421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c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44" name="직선 화살표 연결선 23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C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5191" y="1041822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5" name="직선 화살표 연결선 235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D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0429" y="10318208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6" name="직선 화살표 연결선 23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E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10328488" y="1036107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</xdr:grpSp>
                                              </xdr:grpSp>
                                              <xdr:sp macro="" textlink="">
                                                <xdr:nvSpPr>
                                                  <xdr:cNvPr id="33" name="덧셈 기호 22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21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281217" y="11090097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34" name="뺄셈 기호 22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22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605165" y="1047058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20" name="그룹 20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14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6365985" y="10268954"/>
                                                  <a:ext cx="782565" cy="1230121"/>
                                                  <a:chOff x="6365985" y="10268954"/>
                                                  <a:chExt cx="782565" cy="1230121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21" name="그룹 20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5000000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6365985" y="10268954"/>
                                                    <a:ext cx="618222" cy="1230121"/>
                                                    <a:chOff x="6365985" y="10268954"/>
                                                    <a:chExt cx="618222" cy="1230121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25" name="그룹 212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19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6398763" y="10268954"/>
                                                      <a:ext cx="583095" cy="1230121"/>
                                                      <a:chOff x="6703531" y="10268954"/>
                                                      <a:chExt cx="583095" cy="1230121"/>
                                                    </a:xfrm>
                                                  </xdr:grpSpPr>
                                                  <xdr:cxnSp macro="">
                                                    <xdr:nvCxnSpPr>
                                                      <xdr:cNvPr id="28" name="직선 연결선 21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C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3361" y="10477400"/>
                                                        <a:ext cx="403265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29" name="직선 연결선 21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D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6070" y="11499075"/>
                                                        <a:ext cx="313926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30" name="직선 연결선 21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E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>
                                                        <a:off x="6883523" y="10268954"/>
                                                        <a:ext cx="0" cy="1202532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/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1" name="TextBox 30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F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6703531" y="10922764"/>
                                                        <a:ext cx="314792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D</a:t>
                                                        </a:r>
                                                        <a:endParaRPr lang="en-US" sz="6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cxnSp macro="">
                                                  <xdr:nvCxnSpPr>
                                                    <xdr:cNvPr id="26" name="직선 연결선 213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1A000000}"/>
                                                        </a:ext>
                                                      </a:extLst>
                                                    </xdr:cNvPr>
                                                    <xdr:cNvCxnSpPr/>
                                                  </xdr:nvCxnSpPr>
                                                  <xdr:spPr>
                                                    <a:xfrm flipH="1">
                                                      <a:off x="6578594" y="10276787"/>
                                                      <a:ext cx="405613" cy="0"/>
                                                    </a:xfrm>
                                                    <a:prstGeom prst="line">
                                                      <a:avLst/>
                                                    </a:prstGeom>
                                                    <a:ln w="3175">
                                                      <a:tailEnd type="oval" w="sm" len="sm"/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</xdr:cxnSp>
                                                <xdr:sp macro="" textlink="">
                                                  <xdr:nvSpPr>
                                                    <xdr:cNvPr id="27" name="TextBox 2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1B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6365985" y="10282519"/>
                                                      <a:ext cx="314792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t</a:t>
                                                      </a:r>
                                                      <a:r>
                                                        <a:rPr lang="en-US" sz="60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  <xdr:cxnSp macro="">
                                                <xdr:nvCxnSpPr>
                                                  <xdr:cNvPr id="22" name="직선 연결선 207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6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6888994" y="11268075"/>
                                                    <a:ext cx="259556" cy="0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>
                                                    <a:tailEnd type="oval" w="sm" len="sm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cxnSp macro="">
                                                <xdr:nvCxnSpPr>
                                                  <xdr:cNvPr id="23" name="직선 연결선 20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7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6893719" y="11275219"/>
                                                    <a:ext cx="0" cy="207169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/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24" name="TextBox 2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8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6677430" y="11302439"/>
                                                    <a:ext cx="310271" cy="146746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H</a:t>
                                                    </a:r>
                                                    <a:r>
                                                      <a:rPr lang="en-US" sz="700"/>
                                                      <a:t>c</a:t>
                                                    </a:r>
                                                    <a:endParaRPr lang="en-US" sz="6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</xdr:grpSp>
                                      </xdr:grpSp>
                                      <xdr:cxnSp macro="">
                                        <xdr:nvCxnSpPr>
                                          <xdr:cNvPr id="14" name="직선 연결선 207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700-00000E000000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>
                                            <a:off x="407193" y="8686837"/>
                                            <a:ext cx="259365" cy="0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 w="3175">
                                            <a:tailEnd type="oval" w="sm" len="sm"/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</xdr:grpSp>
                                    <xdr:cxnSp macro="">
                                      <xdr:nvCxnSpPr>
                                        <xdr:cNvPr id="212" name="직선 화살표 연결선 244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700-0000D4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>
                                          <a:off x="3878642" y="6166263"/>
                                          <a:ext cx="377042" cy="0"/>
                                        </a:xfrm>
                                        <a:prstGeom prst="straightConnector1">
                                          <a:avLst/>
                                        </a:prstGeom>
                                        <a:ln w="19050">
                                          <a:solidFill>
                                            <a:srgbClr val="FF0000"/>
                                          </a:solidFill>
                                          <a:tailEnd type="stealth" w="lg" len="lg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213" name="TextBox 212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700-0000D5000000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3824287" y="5998368"/>
                                          <a:ext cx="461360" cy="164764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9525" cmpd="sng">
                                          <a:noFill/>
                                        </a:ln>
                                      </xdr:spPr>
                                      <xdr:style>
                                        <a:lnRef idx="0">
                                          <a:scrgbClr r="0" g="0" b="0"/>
                                        </a:lnRef>
                                        <a:fillRef idx="0">
                                          <a:scrgbClr r="0" g="0" b="0"/>
                                        </a:fillRef>
                                        <a:effectRef idx="0">
                                          <a:scrgbClr r="0" g="0" b="0"/>
                                        </a:effectRef>
                                        <a:fontRef idx="minor">
                                          <a:schemeClr val="dk1"/>
                                        </a:fontRef>
                                      </xdr:style>
                                      <xdr:txBody>
                                        <a:bodyPr vertOverflow="clip" horzOverflow="clip" wrap="square" rtlCol="0" anchor="ctr"/>
                                        <a:lstStyle/>
                                        <a:p>
                                          <a:r>
                                            <a:rPr lang="en-US" sz="900"/>
                                            <a:t>P</a:t>
                                          </a:r>
                                          <a:r>
                                            <a:rPr lang="en-US" sz="600"/>
                                            <a:t>sb</a:t>
                                          </a:r>
                                        </a:p>
                                      </xdr:txBody>
                                    </xdr:sp>
                                  </xdr:grpSp>
                                  <xdr:cxnSp macro="">
                                    <xdr:nvCxnSpPr>
                                      <xdr:cNvPr id="215" name="직선 화살표 연결선 23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700-0000D7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 flipH="1">
                                        <a:off x="3876675" y="5283994"/>
                                        <a:ext cx="354098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solidFill>
                                          <a:srgbClr val="FF0000"/>
                                        </a:solidFill>
                                        <a:tailEnd type="stealth" w="lg" len="lg"/>
                                      </a:ln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sp macro="" textlink="">
                                    <xdr:nvSpPr>
                                      <xdr:cNvPr id="216" name="TextBox 215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700-0000D8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3902869" y="5319712"/>
                                        <a:ext cx="447410" cy="145405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sz="900"/>
                                          <a:t>P</a:t>
                                        </a:r>
                                        <a:r>
                                          <a:rPr lang="en-US" sz="600" baseline="0"/>
                                          <a:t>st</a:t>
                                        </a:r>
                                      </a:p>
                                    </xdr:txBody>
                                  </xdr:sp>
                                </xdr:grpSp>
                                <xdr:cxnSp macro="">
                                  <xdr:nvCxnSpPr>
                                    <xdr:cNvPr id="232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E8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501" y="5288756"/>
                                      <a:ext cx="259347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233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E9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499" y="5226844"/>
                                      <a:ext cx="259365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234" name="직선 연결선 208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EA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571500" y="5217319"/>
                                      <a:ext cx="0" cy="201074"/>
                                    </a:xfrm>
                                    <a:prstGeom prst="line">
                                      <a:avLst/>
                                    </a:prstGeom>
                                    <a:ln w="3175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  <xdr:cxnSp macro="">
                                <xdr:nvCxnSpPr>
                                  <xdr:cNvPr id="238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EE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7" y="6105521"/>
                                    <a:ext cx="14525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240" name="직선 연결선 208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F0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673894" y="6079331"/>
                                    <a:ext cx="0" cy="227292"/>
                                  </a:xfrm>
                                  <a:prstGeom prst="line">
                                    <a:avLst/>
                                  </a:prstGeom>
                                  <a:ln w="3175"/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242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F2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4" y="6172199"/>
                                    <a:ext cx="61014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</xdr:grpSp>
                            <xdr:sp macro="" textlink="">
                              <xdr:nvSpPr>
                                <xdr:cNvPr id="247" name="TextBox 24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700-0000F7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442080" y="6191083"/>
                                  <a:ext cx="365082" cy="145063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sb</a:t>
                                  </a:r>
                                  <a:endParaRPr lang="en-US" sz="800"/>
                                </a:p>
                              </xdr:txBody>
                            </xdr:sp>
                          </xdr:grpSp>
                          <xdr:cxnSp macro="">
                            <xdr:nvCxnSpPr>
                              <xdr:cNvPr id="358" name="직선 화살표 연결선 274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6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5659942" y="5241503"/>
                                <a:ext cx="378865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59" name="TextBox 358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7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642102" y="5053315"/>
                                <a:ext cx="468999" cy="190064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 baseline="0"/>
                                  <a:t>st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360" name="직선 화살표 연결선 266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8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5254530" y="6085907"/>
                                <a:ext cx="35581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61" name="TextBox 360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9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557985" y="5989641"/>
                                <a:ext cx="395025" cy="168529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/>
                                  <a:t>sb</a:t>
                                </a:r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63" name="직선 연결선 207">
                              <a:extLst>
                                <a:ext uri="{FF2B5EF4-FFF2-40B4-BE49-F238E27FC236}">
                                  <a16:creationId xmlns:a16="http://schemas.microsoft.com/office/drawing/2014/main" id="{00000000-0008-0000-0700-00006B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2955" y="5070980"/>
                              <a:ext cx="251655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65" name="직선 연결선 207">
                              <a:extLst>
                                <a:ext uri="{FF2B5EF4-FFF2-40B4-BE49-F238E27FC236}">
                                  <a16:creationId xmlns:a16="http://schemas.microsoft.com/office/drawing/2014/main" id="{00000000-0008-0000-0700-00006D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5661" y="4925724"/>
                              <a:ext cx="252521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66" name="직선 연결선 208">
                              <a:extLst>
                                <a:ext uri="{FF2B5EF4-FFF2-40B4-BE49-F238E27FC236}">
                                  <a16:creationId xmlns:a16="http://schemas.microsoft.com/office/drawing/2014/main" id="{00000000-0008-0000-0700-00006E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35660" y="4932976"/>
                              <a:ext cx="0" cy="14071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68" name="TextBox 367">
                              <a:extLst>
                                <a:ext uri="{FF2B5EF4-FFF2-40B4-BE49-F238E27FC236}">
                                  <a16:creationId xmlns:a16="http://schemas.microsoft.com/office/drawing/2014/main" id="{00000000-0008-0000-0700-000070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233991" y="4911329"/>
                              <a:ext cx="330937" cy="144213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sz="900"/>
                                <a:t>c</a:t>
                              </a:r>
                              <a:r>
                                <a:rPr lang="en-US" sz="600"/>
                                <a:t>rb</a:t>
                              </a:r>
                              <a:endParaRPr lang="en-US" sz="800"/>
                            </a:p>
                          </xdr:txBody>
                        </xdr:sp>
                      </xdr:grpSp>
                      <xdr:cxnSp macro="">
                        <xdr:nvCxnSpPr>
                          <xdr:cNvPr id="370" name="직선 연결선 207">
                            <a:extLst>
                              <a:ext uri="{FF2B5EF4-FFF2-40B4-BE49-F238E27FC236}">
                                <a16:creationId xmlns:a16="http://schemas.microsoft.com/office/drawing/2014/main" id="{00000000-0008-0000-0700-000072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2" y="4970859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7" name="직선 연결선 207">
                            <a:extLst>
                              <a:ext uri="{FF2B5EF4-FFF2-40B4-BE49-F238E27FC236}">
                                <a16:creationId xmlns:a16="http://schemas.microsoft.com/office/drawing/2014/main" id="{00000000-0008-0000-0700-000079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3" y="4924858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8" name="직선 연결선 208">
                            <a:extLst>
                              <a:ext uri="{FF2B5EF4-FFF2-40B4-BE49-F238E27FC236}">
                                <a16:creationId xmlns:a16="http://schemas.microsoft.com/office/drawing/2014/main" id="{00000000-0008-0000-0700-00007A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9077" y="4824737"/>
                            <a:ext cx="0" cy="140710"/>
                          </a:xfrm>
                          <a:prstGeom prst="line">
                            <a:avLst/>
                          </a:prstGeom>
                          <a:ln w="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sp macro="" textlink="">
                      <xdr:nvSpPr>
                        <xdr:cNvPr id="380" name="TextBox 379">
                          <a:extLst>
                            <a:ext uri="{FF2B5EF4-FFF2-40B4-BE49-F238E27FC236}">
                              <a16:creationId xmlns:a16="http://schemas.microsoft.com/office/drawing/2014/main" id="{00000000-0008-0000-0700-00007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03310" y="4685573"/>
                          <a:ext cx="330937" cy="144213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sz="900"/>
                            <a:t>c</a:t>
                          </a:r>
                          <a:r>
                            <a:rPr lang="en-US" sz="600"/>
                            <a:t>rt</a:t>
                          </a:r>
                          <a:endParaRPr lang="en-US" sz="800"/>
                        </a:p>
                      </xdr:txBody>
                    </xdr:sp>
                  </xdr:grpSp>
                  <xdr:sp macro="" textlink="">
                    <xdr:nvSpPr>
                      <xdr:cNvPr id="408" name="TextBox 407">
                        <a:extLst>
                          <a:ext uri="{FF2B5EF4-FFF2-40B4-BE49-F238E27FC236}">
                            <a16:creationId xmlns:a16="http://schemas.microsoft.com/office/drawing/2014/main" id="{00000000-0008-0000-0700-00009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333750" y="46774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Positive moment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409" name="TextBox 408">
                        <a:extLst>
                          <a:ext uri="{FF2B5EF4-FFF2-40B4-BE49-F238E27FC236}">
                            <a16:creationId xmlns:a16="http://schemas.microsoft.com/office/drawing/2014/main" id="{00000000-0008-0000-0700-00009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788013" y="45073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Negative moment</a:t>
                        </a:r>
                        <a:endParaRPr lang="en-US" sz="600"/>
                      </a:p>
                    </xdr:txBody>
                  </xdr:sp>
                </xdr:grpSp>
                <xdr:grpSp>
                  <xdr:nvGrpSpPr>
                    <xdr:cNvPr id="128" name="Group 127">
                      <a:extLst>
                        <a:ext uri="{FF2B5EF4-FFF2-40B4-BE49-F238E27FC236}">
                          <a16:creationId xmlns:a16="http://schemas.microsoft.com/office/drawing/2014/main" id="{00000000-0008-0000-0700-000080000000}"/>
                        </a:ext>
                      </a:extLst>
                    </xdr:cNvPr>
                    <xdr:cNvGrpSpPr/>
                  </xdr:nvGrpSpPr>
                  <xdr:grpSpPr>
                    <a:xfrm>
                      <a:off x="5998369" y="6157912"/>
                      <a:ext cx="570551" cy="435557"/>
                      <a:chOff x="5998369" y="6157912"/>
                      <a:chExt cx="570551" cy="435557"/>
                    </a:xfrm>
                  </xdr:grpSpPr>
                  <xdr:cxnSp macro="">
                    <xdr:nvCxnSpPr>
                      <xdr:cNvPr id="488" name="직선 화살표 연결선 266">
                        <a:extLst>
                          <a:ext uri="{FF2B5EF4-FFF2-40B4-BE49-F238E27FC236}">
                            <a16:creationId xmlns:a16="http://schemas.microsoft.com/office/drawing/2014/main" id="{00000000-0008-0000-0700-0000E801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3131" y="6444865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489" name="TextBox 488">
                        <a:extLst>
                          <a:ext uri="{FF2B5EF4-FFF2-40B4-BE49-F238E27FC236}">
                            <a16:creationId xmlns:a16="http://schemas.microsoft.com/office/drawing/2014/main" id="{00000000-0008-0000-0700-0000E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6216" y="64246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r3</a:t>
                        </a:r>
                      </a:p>
                    </xdr:txBody>
                  </xdr:sp>
                  <xdr:cxnSp macro="">
                    <xdr:nvCxnSpPr>
                      <xdr:cNvPr id="490" name="직선 화살표 연결선 266">
                        <a:extLst>
                          <a:ext uri="{FF2B5EF4-FFF2-40B4-BE49-F238E27FC236}">
                            <a16:creationId xmlns:a16="http://schemas.microsoft.com/office/drawing/2014/main" id="{00000000-0008-0000-0700-0000EA01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0750" y="63781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491" name="TextBox 490">
                        <a:extLst>
                          <a:ext uri="{FF2B5EF4-FFF2-40B4-BE49-F238E27FC236}">
                            <a16:creationId xmlns:a16="http://schemas.microsoft.com/office/drawing/2014/main" id="{00000000-0008-0000-0700-0000EB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3835" y="6274593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r2</a:t>
                        </a:r>
                      </a:p>
                    </xdr:txBody>
                  </xdr:sp>
                  <xdr:cxnSp macro="">
                    <xdr:nvCxnSpPr>
                      <xdr:cNvPr id="492" name="직선 화살표 연결선 266">
                        <a:extLst>
                          <a:ext uri="{FF2B5EF4-FFF2-40B4-BE49-F238E27FC236}">
                            <a16:creationId xmlns:a16="http://schemas.microsoft.com/office/drawing/2014/main" id="{00000000-0008-0000-0700-0000EC01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5998369" y="63019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493" name="TextBox 492">
                        <a:extLst>
                          <a:ext uri="{FF2B5EF4-FFF2-40B4-BE49-F238E27FC236}">
                            <a16:creationId xmlns:a16="http://schemas.microsoft.com/office/drawing/2014/main" id="{00000000-0008-0000-0700-0000E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57166" y="61579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r1</a:t>
                        </a:r>
                      </a:p>
                    </xdr:txBody>
                  </xdr:sp>
                </xdr:grpSp>
              </xdr:grpSp>
            </xdr:grpSp>
          </xdr:grpSp>
          <xdr:cxnSp macro="">
            <xdr:nvCxnSpPr>
              <xdr:cNvPr id="566" name="Straight Connector 565">
                <a:extLst>
                  <a:ext uri="{FF2B5EF4-FFF2-40B4-BE49-F238E27FC236}">
                    <a16:creationId xmlns:a16="http://schemas.microsoft.com/office/drawing/2014/main" id="{00000000-0008-0000-0700-000036020000}"/>
                  </a:ext>
                </a:extLst>
              </xdr:cNvPr>
              <xdr:cNvCxnSpPr/>
            </xdr:nvCxnSpPr>
            <xdr:spPr>
              <a:xfrm>
                <a:off x="1545433" y="8970169"/>
                <a:ext cx="0" cy="90487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2" name="Straight Connector 571">
                <a:extLst>
                  <a:ext uri="{FF2B5EF4-FFF2-40B4-BE49-F238E27FC236}">
                    <a16:creationId xmlns:a16="http://schemas.microsoft.com/office/drawing/2014/main" id="{00000000-0008-0000-0700-00003C020000}"/>
                  </a:ext>
                </a:extLst>
              </xdr:cNvPr>
              <xdr:cNvCxnSpPr/>
            </xdr:nvCxnSpPr>
            <xdr:spPr>
              <a:xfrm>
                <a:off x="1719263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6" name="Straight Connector 575">
                <a:extLst>
                  <a:ext uri="{FF2B5EF4-FFF2-40B4-BE49-F238E27FC236}">
                    <a16:creationId xmlns:a16="http://schemas.microsoft.com/office/drawing/2014/main" id="{00000000-0008-0000-0700-000040020000}"/>
                  </a:ext>
                </a:extLst>
              </xdr:cNvPr>
              <xdr:cNvCxnSpPr/>
            </xdr:nvCxnSpPr>
            <xdr:spPr>
              <a:xfrm>
                <a:off x="1909767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7" name="직선 연결선 254">
                <a:extLst>
                  <a:ext uri="{FF2B5EF4-FFF2-40B4-BE49-F238E27FC236}">
                    <a16:creationId xmlns:a16="http://schemas.microsoft.com/office/drawing/2014/main" id="{00000000-0008-0000-0700-000041020000}"/>
                  </a:ext>
                </a:extLst>
              </xdr:cNvPr>
              <xdr:cNvCxnSpPr/>
            </xdr:nvCxnSpPr>
            <xdr:spPr>
              <a:xfrm>
                <a:off x="1262063" y="906303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89" name="직선 연결선 238">
              <a:extLst>
                <a:ext uri="{FF2B5EF4-FFF2-40B4-BE49-F238E27FC236}">
                  <a16:creationId xmlns:a16="http://schemas.microsoft.com/office/drawing/2014/main" id="{00000000-0008-0000-0700-00004D020000}"/>
                </a:ext>
              </a:extLst>
            </xdr:cNvPr>
            <xdr:cNvCxnSpPr/>
          </xdr:nvCxnSpPr>
          <xdr:spPr>
            <a:xfrm>
              <a:off x="1410535" y="8855868"/>
              <a:ext cx="662702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2" name="직선 연결선 238">
              <a:extLst>
                <a:ext uri="{FF2B5EF4-FFF2-40B4-BE49-F238E27FC236}">
                  <a16:creationId xmlns:a16="http://schemas.microsoft.com/office/drawing/2014/main" id="{00000000-0008-0000-0700-000050020000}"/>
                </a:ext>
              </a:extLst>
            </xdr:cNvPr>
            <xdr:cNvCxnSpPr/>
          </xdr:nvCxnSpPr>
          <xdr:spPr>
            <a:xfrm>
              <a:off x="1419225" y="8934450"/>
              <a:ext cx="655560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4" name="직선 연결선 238">
              <a:extLst>
                <a:ext uri="{FF2B5EF4-FFF2-40B4-BE49-F238E27FC236}">
                  <a16:creationId xmlns:a16="http://schemas.microsoft.com/office/drawing/2014/main" id="{00000000-0008-0000-0700-000052020000}"/>
                </a:ext>
              </a:extLst>
            </xdr:cNvPr>
            <xdr:cNvCxnSpPr/>
          </xdr:nvCxnSpPr>
          <xdr:spPr>
            <a:xfrm>
              <a:off x="1431132" y="9003507"/>
              <a:ext cx="623888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39" name="직선 연결선 216">
            <a:extLst>
              <a:ext uri="{FF2B5EF4-FFF2-40B4-BE49-F238E27FC236}">
                <a16:creationId xmlns:a16="http://schemas.microsoft.com/office/drawing/2014/main" id="{00000000-0008-0000-0700-0000E3020000}"/>
              </a:ext>
            </a:extLst>
          </xdr:cNvPr>
          <xdr:cNvCxnSpPr/>
        </xdr:nvCxnSpPr>
        <xdr:spPr>
          <a:xfrm flipH="1">
            <a:off x="216693" y="8089106"/>
            <a:ext cx="403183" cy="0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0" name="TextBox 739">
            <a:extLst>
              <a:ext uri="{FF2B5EF4-FFF2-40B4-BE49-F238E27FC236}">
                <a16:creationId xmlns:a16="http://schemas.microsoft.com/office/drawing/2014/main" id="{00000000-0008-0000-0700-0000E4020000}"/>
              </a:ext>
            </a:extLst>
          </xdr:cNvPr>
          <xdr:cNvSpPr txBox="1"/>
        </xdr:nvSpPr>
        <xdr:spPr>
          <a:xfrm>
            <a:off x="0" y="7967663"/>
            <a:ext cx="314728" cy="1450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t</a:t>
            </a:r>
            <a:r>
              <a:rPr lang="en-US" sz="600"/>
              <a:t>h</a:t>
            </a:r>
          </a:p>
        </xdr:txBody>
      </xdr:sp>
    </xdr:grpSp>
    <xdr:clientData/>
  </xdr:twoCellAnchor>
  <xdr:twoCellAnchor editAs="oneCell">
    <xdr:from>
      <xdr:col>3</xdr:col>
      <xdr:colOff>38636</xdr:colOff>
      <xdr:row>722</xdr:row>
      <xdr:rowOff>146477</xdr:rowOff>
    </xdr:from>
    <xdr:to>
      <xdr:col>10</xdr:col>
      <xdr:colOff>314974</xdr:colOff>
      <xdr:row>745</xdr:row>
      <xdr:rowOff>117861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1F0499E-8E74-4722-81B8-F4D813F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413" y="193044736"/>
          <a:ext cx="3729150" cy="4274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219</xdr:row>
      <xdr:rowOff>133350</xdr:rowOff>
    </xdr:from>
    <xdr:ext cx="1700722" cy="2836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SpPr txBox="1"/>
          </xdr:nvSpPr>
          <xdr:spPr>
            <a:xfrm>
              <a:off x="1162050" y="79190850"/>
              <a:ext cx="1700722" cy="283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𝑟𝑒𝑏𝑎𝑟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SpPr txBox="1"/>
          </xdr:nvSpPr>
          <xdr:spPr>
            <a:xfrm>
              <a:off x="1162050" y="79190850"/>
              <a:ext cx="1700722" cy="283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𝑓_𝑠</a:t>
              </a:r>
              <a:r>
                <a:rPr lang="en-US" altLang="ko-KR" sz="900" i="0">
                  <a:latin typeface="Cambria Math" panose="02040503050406030204" pitchFamily="18" charset="0"/>
                </a:rPr>
                <a:t>=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(1.00〖𝐷𝐶〗_4+1.00𝐷𝑊+1.00𝐿𝐿)/𝑆_𝑟𝑒𝑏𝑎𝑟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122211</xdr:colOff>
      <xdr:row>128</xdr:row>
      <xdr:rowOff>132543</xdr:rowOff>
    </xdr:from>
    <xdr:ext cx="140256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TextBox 108">
              <a:extLst>
                <a:ext uri="{FF2B5EF4-FFF2-40B4-BE49-F238E27FC236}">
                  <a16:creationId xmlns:a16="http://schemas.microsoft.com/office/drawing/2014/main" id="{00000000-0008-0000-0800-00006D000000}"/>
                </a:ext>
              </a:extLst>
            </xdr:cNvPr>
            <xdr:cNvSpPr txBox="1"/>
          </xdr:nvSpPr>
          <xdr:spPr>
            <a:xfrm>
              <a:off x="848694" y="22023899"/>
              <a:ext cx="140256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𝑓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</m:num>
                          <m:den>
                            <m:d>
                              <m:dPr>
                                <m:begChr m:val="|"/>
                                <m:endChr m:val="|"/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𝑓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𝑓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den>
                        </m:f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𝑑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09" name="TextBox 108"/>
            <xdr:cNvSpPr txBox="1"/>
          </xdr:nvSpPr>
          <xdr:spPr>
            <a:xfrm>
              <a:off x="848694" y="22023899"/>
              <a:ext cx="140256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𝐷_𝑐=((−𝑓_𝑐)/(|𝑓_𝑐 |+𝑓_𝑡 ))𝑑−𝑡_𝑓𝑐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2</xdr:col>
      <xdr:colOff>453370</xdr:colOff>
      <xdr:row>130</xdr:row>
      <xdr:rowOff>7029</xdr:rowOff>
    </xdr:from>
    <xdr:to>
      <xdr:col>12</xdr:col>
      <xdr:colOff>123825</xdr:colOff>
      <xdr:row>138</xdr:row>
      <xdr:rowOff>184025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GrpSpPr/>
      </xdr:nvGrpSpPr>
      <xdr:grpSpPr>
        <a:xfrm>
          <a:off x="1463020" y="24772029"/>
          <a:ext cx="4718705" cy="1700996"/>
          <a:chOff x="643870" y="22323999"/>
          <a:chExt cx="4056657" cy="1709547"/>
        </a:xfrm>
      </xdr:grpSpPr>
      <xdr:grpSp>
        <xdr:nvGrpSpPr>
          <xdr:cNvPr id="173" name="Group 172">
            <a:extLst>
              <a:ext uri="{FF2B5EF4-FFF2-40B4-BE49-F238E27FC236}">
                <a16:creationId xmlns:a16="http://schemas.microsoft.com/office/drawing/2014/main" id="{00000000-0008-0000-0800-0000AD000000}"/>
              </a:ext>
            </a:extLst>
          </xdr:cNvPr>
          <xdr:cNvGrpSpPr/>
        </xdr:nvGrpSpPr>
        <xdr:grpSpPr>
          <a:xfrm>
            <a:off x="643870" y="22323999"/>
            <a:ext cx="4056657" cy="1709547"/>
            <a:chOff x="643870" y="22323999"/>
            <a:chExt cx="4056657" cy="1709547"/>
          </a:xfrm>
        </xdr:grpSpPr>
        <xdr:grpSp>
          <xdr:nvGrpSpPr>
            <xdr:cNvPr id="158" name="Group 157">
              <a:extLst>
                <a:ext uri="{FF2B5EF4-FFF2-40B4-BE49-F238E27FC236}">
                  <a16:creationId xmlns:a16="http://schemas.microsoft.com/office/drawing/2014/main" id="{00000000-0008-0000-0800-00009E000000}"/>
                </a:ext>
              </a:extLst>
            </xdr:cNvPr>
            <xdr:cNvGrpSpPr/>
          </xdr:nvGrpSpPr>
          <xdr:grpSpPr>
            <a:xfrm>
              <a:off x="643870" y="22323999"/>
              <a:ext cx="4056657" cy="1709547"/>
              <a:chOff x="643870" y="22210310"/>
              <a:chExt cx="4056657" cy="1700479"/>
            </a:xfrm>
          </xdr:grpSpPr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800-000098000000}"/>
                  </a:ext>
                </a:extLst>
              </xdr:cNvPr>
              <xdr:cNvGrpSpPr/>
            </xdr:nvGrpSpPr>
            <xdr:grpSpPr>
              <a:xfrm>
                <a:off x="643870" y="22210310"/>
                <a:ext cx="4056657" cy="1700479"/>
                <a:chOff x="643870" y="22210310"/>
                <a:chExt cx="4056657" cy="1700479"/>
              </a:xfrm>
            </xdr:grpSpPr>
            <xdr:grpSp>
              <xdr:nvGrpSpPr>
                <xdr:cNvPr id="141" name="Group 140">
                  <a:extLst>
                    <a:ext uri="{FF2B5EF4-FFF2-40B4-BE49-F238E27FC236}">
                      <a16:creationId xmlns:a16="http://schemas.microsoft.com/office/drawing/2014/main" id="{00000000-0008-0000-0800-00008D000000}"/>
                    </a:ext>
                  </a:extLst>
                </xdr:cNvPr>
                <xdr:cNvGrpSpPr/>
              </xdr:nvGrpSpPr>
              <xdr:grpSpPr>
                <a:xfrm>
                  <a:off x="643870" y="22210310"/>
                  <a:ext cx="4056657" cy="1700479"/>
                  <a:chOff x="7207675" y="21761748"/>
                  <a:chExt cx="4109104" cy="1691416"/>
                </a:xfrm>
              </xdr:grpSpPr>
              <xdr:grpSp>
                <xdr:nvGrpSpPr>
                  <xdr:cNvPr id="125" name="Group 124">
                    <a:extLst>
                      <a:ext uri="{FF2B5EF4-FFF2-40B4-BE49-F238E27FC236}">
                        <a16:creationId xmlns:a16="http://schemas.microsoft.com/office/drawing/2014/main" id="{00000000-0008-0000-0800-00007D000000}"/>
                      </a:ext>
                    </a:extLst>
                  </xdr:cNvPr>
                  <xdr:cNvGrpSpPr/>
                </xdr:nvGrpSpPr>
                <xdr:grpSpPr>
                  <a:xfrm>
                    <a:off x="7207675" y="21761748"/>
                    <a:ext cx="4109104" cy="1691416"/>
                    <a:chOff x="7206917" y="21885107"/>
                    <a:chExt cx="4107494" cy="1701176"/>
                  </a:xfrm>
                </xdr:grpSpPr>
                <xdr:grpSp>
                  <xdr:nvGrpSpPr>
                    <xdr:cNvPr id="33" name="Group 32">
                      <a:extLst>
                        <a:ext uri="{FF2B5EF4-FFF2-40B4-BE49-F238E27FC236}">
                          <a16:creationId xmlns:a16="http://schemas.microsoft.com/office/drawing/2014/main" id="{00000000-0008-0000-0800-000021000000}"/>
                        </a:ext>
                      </a:extLst>
                    </xdr:cNvPr>
                    <xdr:cNvGrpSpPr/>
                  </xdr:nvGrpSpPr>
                  <xdr:grpSpPr>
                    <a:xfrm>
                      <a:off x="7372927" y="21885107"/>
                      <a:ext cx="3941484" cy="1701176"/>
                      <a:chOff x="362527" y="4628867"/>
                      <a:chExt cx="3941484" cy="1705956"/>
                    </a:xfrm>
                  </xdr:grpSpPr>
                  <xdr:grpSp>
                    <xdr:nvGrpSpPr>
                      <xdr:cNvPr id="40" name="Group 39">
                        <a:extLst>
                          <a:ext uri="{FF2B5EF4-FFF2-40B4-BE49-F238E27FC236}">
                            <a16:creationId xmlns:a16="http://schemas.microsoft.com/office/drawing/2014/main" id="{00000000-0008-0000-0800-00002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2527" y="4628867"/>
                        <a:ext cx="3941484" cy="1705956"/>
                        <a:chOff x="510666" y="111134356"/>
                        <a:chExt cx="3941484" cy="1701176"/>
                      </a:xfrm>
                    </xdr:grpSpPr>
                    <xdr:grpSp>
                      <xdr:nvGrpSpPr>
                        <xdr:cNvPr id="42" name="Group 41">
                          <a:extLst>
                            <a:ext uri="{FF2B5EF4-FFF2-40B4-BE49-F238E27FC236}">
                              <a16:creationId xmlns:a16="http://schemas.microsoft.com/office/drawing/2014/main" id="{00000000-0008-0000-0800-00002A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10666" y="111134356"/>
                          <a:ext cx="3941484" cy="1643821"/>
                          <a:chOff x="1216851" y="110401772"/>
                          <a:chExt cx="3963164" cy="1634284"/>
                        </a:xfrm>
                      </xdr:grpSpPr>
                      <xdr:sp macro="" textlink="">
                        <xdr:nvSpPr>
                          <xdr:cNvPr id="58" name="Freeform 57">
                            <a:extLst>
                              <a:ext uri="{FF2B5EF4-FFF2-40B4-BE49-F238E27FC236}">
                                <a16:creationId xmlns:a16="http://schemas.microsoft.com/office/drawing/2014/main" id="{00000000-0008-0000-0800-00003A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912652" y="111591730"/>
                            <a:ext cx="435194" cy="263266"/>
                          </a:xfrm>
                          <a:custGeom>
                            <a:avLst/>
                            <a:gdLst>
                              <a:gd name="connsiteX0" fmla="*/ 0 w 404812"/>
                              <a:gd name="connsiteY0" fmla="*/ 0 h 264319"/>
                              <a:gd name="connsiteX1" fmla="*/ 404812 w 404812"/>
                              <a:gd name="connsiteY1" fmla="*/ 0 h 264319"/>
                              <a:gd name="connsiteX2" fmla="*/ 404812 w 404812"/>
                              <a:gd name="connsiteY2" fmla="*/ 264319 h 264319"/>
                              <a:gd name="connsiteX3" fmla="*/ 73819 w 404812"/>
                              <a:gd name="connsiteY3" fmla="*/ 264319 h 264319"/>
                              <a:gd name="connsiteX4" fmla="*/ 0 w 404812"/>
                              <a:gd name="connsiteY4" fmla="*/ 0 h 264319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</a:cxnLst>
                            <a:rect l="l" t="t" r="r" b="b"/>
                            <a:pathLst>
                              <a:path w="404812" h="264319">
                                <a:moveTo>
                                  <a:pt x="0" y="0"/>
                                </a:moveTo>
                                <a:lnTo>
                                  <a:pt x="404812" y="0"/>
                                </a:lnTo>
                                <a:lnTo>
                                  <a:pt x="404812" y="264319"/>
                                </a:lnTo>
                                <a:lnTo>
                                  <a:pt x="73819" y="264319"/>
                                </a:lnTo>
                                <a:lnTo>
                                  <a:pt x="0" y="0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accent6">
                              <a:lumMod val="40000"/>
                              <a:lumOff val="60000"/>
                            </a:schemeClr>
                          </a:solidFill>
                          <a:ln w="9525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cxnSp macro="">
                        <xdr:nvCxnSpPr>
                          <xdr:cNvPr id="59" name="Straight Connector 58">
                            <a:extLst>
                              <a:ext uri="{FF2B5EF4-FFF2-40B4-BE49-F238E27FC236}">
                                <a16:creationId xmlns:a16="http://schemas.microsoft.com/office/drawing/2014/main" id="{00000000-0008-0000-0800-00003B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581900" y="111446165"/>
                            <a:ext cx="3129881" cy="0"/>
                          </a:xfrm>
                          <a:prstGeom prst="line">
                            <a:avLst/>
                          </a:prstGeom>
                          <a:ln>
                            <a:solidFill>
                              <a:srgbClr val="FF0000"/>
                            </a:solidFill>
                            <a:prstDash val="sysDot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grpSp>
                        <xdr:nvGrpSpPr>
                          <xdr:cNvPr id="60" name="Group 59">
                            <a:extLst>
                              <a:ext uri="{FF2B5EF4-FFF2-40B4-BE49-F238E27FC236}">
                                <a16:creationId xmlns:a16="http://schemas.microsoft.com/office/drawing/2014/main" id="{00000000-0008-0000-0800-00003C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216851" y="110401772"/>
                            <a:ext cx="3963164" cy="1634284"/>
                            <a:chOff x="1216851" y="110401772"/>
                            <a:chExt cx="3963164" cy="1634284"/>
                          </a:xfrm>
                        </xdr:grpSpPr>
                        <xdr:grpSp>
                          <xdr:nvGrpSpPr>
                            <xdr:cNvPr id="61" name="Group 60">
                              <a:extLst>
                                <a:ext uri="{FF2B5EF4-FFF2-40B4-BE49-F238E27FC236}">
                                  <a16:creationId xmlns:a16="http://schemas.microsoft.com/office/drawing/2014/main" id="{00000000-0008-0000-0800-00003D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312044" y="110401772"/>
                              <a:ext cx="3867971" cy="1634284"/>
                              <a:chOff x="1305466" y="111014807"/>
                              <a:chExt cx="3846986" cy="1643283"/>
                            </a:xfrm>
                          </xdr:grpSpPr>
                          <xdr:grpSp>
                            <xdr:nvGrpSpPr>
                              <xdr:cNvPr id="97" name="Group 96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61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305466" y="111014807"/>
                                <a:ext cx="3846986" cy="1643283"/>
                                <a:chOff x="4455319" y="111897883"/>
                                <a:chExt cx="4690943" cy="1967475"/>
                              </a:xfrm>
                            </xdr:grpSpPr>
                            <xdr:sp macro="" textlink="">
                              <xdr:nvSpPr>
                                <xdr:cNvPr id="100" name="Freeform 9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6400000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5634037" y="112206541"/>
                                  <a:ext cx="152837" cy="1658817"/>
                                </a:xfrm>
                                <a:custGeom>
                                  <a:avLst/>
                                  <a:gdLst>
                                    <a:gd name="connsiteX0" fmla="*/ 73478 w 155121"/>
                                    <a:gd name="connsiteY0" fmla="*/ 0 h 1687286"/>
                                    <a:gd name="connsiteX1" fmla="*/ 73478 w 155121"/>
                                    <a:gd name="connsiteY1" fmla="*/ 767443 h 1687286"/>
                                    <a:gd name="connsiteX2" fmla="*/ 155121 w 155121"/>
                                    <a:gd name="connsiteY2" fmla="*/ 767443 h 1687286"/>
                                    <a:gd name="connsiteX3" fmla="*/ 0 w 155121"/>
                                    <a:gd name="connsiteY3" fmla="*/ 808265 h 1687286"/>
                                    <a:gd name="connsiteX4" fmla="*/ 78921 w 155121"/>
                                    <a:gd name="connsiteY4" fmla="*/ 808265 h 1687286"/>
                                    <a:gd name="connsiteX5" fmla="*/ 78921 w 155121"/>
                                    <a:gd name="connsiteY5" fmla="*/ 1687286 h 1687286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</a:cxnLst>
                                  <a:rect l="l" t="t" r="r" b="b"/>
                                  <a:pathLst>
                                    <a:path w="155121" h="1687286">
                                      <a:moveTo>
                                        <a:pt x="73478" y="0"/>
                                      </a:moveTo>
                                      <a:lnTo>
                                        <a:pt x="73478" y="767443"/>
                                      </a:lnTo>
                                      <a:lnTo>
                                        <a:pt x="155121" y="767443"/>
                                      </a:lnTo>
                                      <a:lnTo>
                                        <a:pt x="0" y="808265"/>
                                      </a:lnTo>
                                      <a:lnTo>
                                        <a:pt x="78921" y="808265"/>
                                      </a:lnTo>
                                      <a:lnTo>
                                        <a:pt x="78921" y="1687286"/>
                                      </a:lnTo>
                                    </a:path>
                                  </a:pathLst>
                                </a:custGeom>
                                <a:noFill/>
                                <a:ln w="3175"/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ko-KR" altLang="en-US" sz="1100"/>
                                </a:p>
                              </xdr:txBody>
                            </xdr:sp>
                            <xdr:grpSp>
                              <xdr:nvGrpSpPr>
                                <xdr:cNvPr id="101" name="Group 100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65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4455319" y="111897883"/>
                                  <a:ext cx="4690943" cy="1784990"/>
                                  <a:chOff x="4455319" y="113927529"/>
                                  <a:chExt cx="4690943" cy="1813094"/>
                                </a:xfrm>
                              </xdr:grpSpPr>
                              <xdr:sp macro="" textlink="">
                                <xdr:nvSpPr>
                                  <xdr:cNvPr id="102" name="Freeform 10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66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4455319" y="114429614"/>
                                    <a:ext cx="1254919" cy="278605"/>
                                  </a:xfrm>
                                  <a:custGeom>
                                    <a:avLst/>
                                    <a:gdLst>
                                      <a:gd name="connsiteX0" fmla="*/ 373856 w 1254919"/>
                                      <a:gd name="connsiteY0" fmla="*/ 278606 h 278606"/>
                                      <a:gd name="connsiteX1" fmla="*/ 1254919 w 1254919"/>
                                      <a:gd name="connsiteY1" fmla="*/ 278606 h 278606"/>
                                      <a:gd name="connsiteX2" fmla="*/ 1254919 w 1254919"/>
                                      <a:gd name="connsiteY2" fmla="*/ 0 h 278606"/>
                                      <a:gd name="connsiteX3" fmla="*/ 0 w 1254919"/>
                                      <a:gd name="connsiteY3" fmla="*/ 0 h 278606"/>
                                      <a:gd name="connsiteX4" fmla="*/ 0 w 1254919"/>
                                      <a:gd name="connsiteY4" fmla="*/ 202406 h 278606"/>
                                      <a:gd name="connsiteX5" fmla="*/ 297656 w 1254919"/>
                                      <a:gd name="connsiteY5" fmla="*/ 202406 h 278606"/>
                                      <a:gd name="connsiteX6" fmla="*/ 373856 w 1254919"/>
                                      <a:gd name="connsiteY6" fmla="*/ 278606 h 278606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</a:cxnLst>
                                    <a:rect l="l" t="t" r="r" b="b"/>
                                    <a:pathLst>
                                      <a:path w="1254919" h="278606">
                                        <a:moveTo>
                                          <a:pt x="373856" y="278606"/>
                                        </a:moveTo>
                                        <a:lnTo>
                                          <a:pt x="1254919" y="278606"/>
                                        </a:lnTo>
                                        <a:lnTo>
                                          <a:pt x="1254919" y="0"/>
                                        </a:lnTo>
                                        <a:lnTo>
                                          <a:pt x="0" y="0"/>
                                        </a:lnTo>
                                        <a:lnTo>
                                          <a:pt x="0" y="202406"/>
                                        </a:lnTo>
                                        <a:lnTo>
                                          <a:pt x="297656" y="202406"/>
                                        </a:lnTo>
                                        <a:lnTo>
                                          <a:pt x="373856" y="278606"/>
                                        </a:ln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accent6">
                                      <a:lumMod val="40000"/>
                                      <a:lumOff val="60000"/>
                                    </a:schemeClr>
                                  </a:solidFill>
                                  <a:ln w="1270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grpSp>
                                <xdr:nvGrpSpPr>
                                  <xdr:cNvPr id="103" name="그룹 26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67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822940" y="113927529"/>
                                    <a:ext cx="4323322" cy="1813094"/>
                                    <a:chOff x="2971800" y="-373107"/>
                                    <a:chExt cx="3759689" cy="1815394"/>
                                  </a:xfrm>
                                </xdr:grpSpPr>
                                <xdr:grpSp>
                                  <xdr:nvGrpSpPr>
                                    <xdr:cNvPr id="104" name="그룹 7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800-000068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2971800" y="381000"/>
                                      <a:ext cx="773686" cy="1061287"/>
                                      <a:chOff x="2971800" y="381000"/>
                                      <a:chExt cx="773686" cy="1061287"/>
                                    </a:xfrm>
                                  </xdr:grpSpPr>
                                  <xdr:cxnSp macro="">
                                    <xdr:nvCxnSpPr>
                                      <xdr:cNvPr id="106" name="직선 연결선 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800-00006A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3207515" y="1442287"/>
                                        <a:ext cx="537971" cy="0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107" name="직선 연결선 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800-00006B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 flipH="1" flipV="1">
                                        <a:off x="3121216" y="388272"/>
                                        <a:ext cx="247294" cy="1050604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108" name="직선 연결선 6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800-00006C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2971800" y="381000"/>
                                        <a:ext cx="363653" cy="0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sp macro="" textlink="">
                                  <xdr:nvSpPr>
                                    <xdr:cNvPr id="105" name="TextBox 104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800-000069000000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4440706" y="-373107"/>
                                      <a:ext cx="2290783" cy="285097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9525" cmpd="sng">
                                      <a:noFill/>
                                    </a:ln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dk1"/>
                                    </a:fontRef>
                                  </xdr:style>
                                  <xdr:txBody>
                                    <a:bodyPr vertOverflow="clip" horzOverflow="clip" wrap="square" rtlCol="0" anchor="ctr"/>
                                    <a:lstStyle/>
                                    <a:p>
                                      <a:r>
                                        <a:rPr lang="ko-KR" altLang="en-US" sz="900"/>
                                        <a:t>정모멘트                      부모멘트</a:t>
                                      </a:r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</xdr:grpSp>
                          </xdr:grpSp>
                          <xdr:cxnSp macro="">
                            <xdr:nvCxnSpPr>
                              <xdr:cNvPr id="98" name="Straight Connector 97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62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18569" y="111473457"/>
                                <a:ext cx="1009511" cy="0"/>
                              </a:xfrm>
                              <a:prstGeom prst="line">
                                <a:avLst/>
                              </a:prstGeom>
                              <a:ln>
                                <a:prstDash val="sysDot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99" name="Straight Connector 98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63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16831" y="111540132"/>
                                <a:ext cx="1009511" cy="0"/>
                              </a:xfrm>
                              <a:prstGeom prst="line">
                                <a:avLst/>
                              </a:prstGeom>
                              <a:ln>
                                <a:prstDash val="sysDot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grpSp>
                          <xdr:nvGrpSpPr>
                            <xdr:cNvPr id="62" name="Group 61">
                              <a:extLst>
                                <a:ext uri="{FF2B5EF4-FFF2-40B4-BE49-F238E27FC236}">
                                  <a16:creationId xmlns:a16="http://schemas.microsoft.com/office/drawing/2014/main" id="{00000000-0008-0000-0800-00003E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216851" y="110808798"/>
                              <a:ext cx="3620384" cy="1106720"/>
                              <a:chOff x="1216851" y="110808798"/>
                              <a:chExt cx="3620384" cy="1106720"/>
                            </a:xfrm>
                          </xdr:grpSpPr>
                          <xdr:grpSp>
                            <xdr:nvGrpSpPr>
                              <xdr:cNvPr id="63" name="Group 62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3F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2912951" y="110808798"/>
                                <a:ext cx="608229" cy="1106720"/>
                                <a:chOff x="2897716" y="111423450"/>
                                <a:chExt cx="606511" cy="1113068"/>
                              </a:xfrm>
                            </xdr:grpSpPr>
                            <xdr:cxnSp macro="">
                              <xdr:nvCxnSpPr>
                                <xdr:cNvPr id="85" name="Straight Connector 8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5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10851" y="111423450"/>
                                  <a:ext cx="0" cy="1109204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6" name="Straight Connector 8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6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10849" y="111604425"/>
                                  <a:ext cx="293378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7" name="Straight Connector 8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7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897718" y="112531047"/>
                                  <a:ext cx="32181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8" name="Straight Connector 8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8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2897716" y="111610002"/>
                                  <a:ext cx="604125" cy="926516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9" name="Straight Connector 8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9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3332296" y="111423450"/>
                                  <a:ext cx="91914" cy="183357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90" name="Straight Connector 8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A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03466" y="111428334"/>
                                  <a:ext cx="228935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grpSp>
                              <xdr:nvGrpSpPr>
                                <xdr:cNvPr id="91" name="Group 90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B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066763" y="112342031"/>
                                  <a:ext cx="100013" cy="100013"/>
                                  <a:chOff x="3066763" y="112342031"/>
                                  <a:chExt cx="100013" cy="100013"/>
                                </a:xfrm>
                              </xdr:grpSpPr>
                              <xdr:sp macro="" textlink="">
                                <xdr:nvSpPr>
                                  <xdr:cNvPr id="95" name="Plus 94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F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073908" y="112349170"/>
                                    <a:ext cx="88106" cy="88106"/>
                                  </a:xfrm>
                                  <a:prstGeom prst="mathPlus">
                                    <a:avLst>
                                      <a:gd name="adj1" fmla="val 26462"/>
                                    </a:avLst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96" name="Oval 95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60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066763" y="112342031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  <xdr:grpSp>
                              <xdr:nvGrpSpPr>
                                <xdr:cNvPr id="92" name="Group 91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C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262315" y="111687893"/>
                                  <a:ext cx="100013" cy="107156"/>
                                  <a:chOff x="3262315" y="111685512"/>
                                  <a:chExt cx="100013" cy="107156"/>
                                </a:xfrm>
                              </xdr:grpSpPr>
                              <xdr:sp macro="" textlink="">
                                <xdr:nvSpPr>
                                  <xdr:cNvPr id="93" name="Oval 92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D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262315" y="111685512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94" name="Minus 93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E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278982" y="111685512"/>
                                    <a:ext cx="69055" cy="107156"/>
                                  </a:xfrm>
                                  <a:prstGeom prst="mathMinus">
                                    <a:avLst/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</xdr:grpSp>
                          <xdr:grpSp>
                            <xdr:nvGrpSpPr>
                              <xdr:cNvPr id="64" name="Group 63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0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243383" y="110810598"/>
                                <a:ext cx="593852" cy="1102521"/>
                                <a:chOff x="3427708" y="111423716"/>
                                <a:chExt cx="590910" cy="1108037"/>
                              </a:xfrm>
                            </xdr:grpSpPr>
                            <xdr:cxnSp macro="">
                              <xdr:nvCxnSpPr>
                                <xdr:cNvPr id="74" name="Straight Connector 7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A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718146" y="111423716"/>
                                  <a:ext cx="0" cy="1104633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5" name="Straight Connector 7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B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431577" y="111604425"/>
                                  <a:ext cx="28657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6" name="Straight Connector 7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C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715748" y="112525968"/>
                                  <a:ext cx="299578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7" name="Straight Connector 7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D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 flipV="1">
                                  <a:off x="3427708" y="111601899"/>
                                  <a:ext cx="590910" cy="929854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8" name="Straight Connector 7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E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465006" y="111429579"/>
                                  <a:ext cx="25067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grpSp>
                              <xdr:nvGrpSpPr>
                                <xdr:cNvPr id="79" name="Group 7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F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579554" y="111680284"/>
                                  <a:ext cx="100013" cy="100013"/>
                                  <a:chOff x="3579554" y="111680284"/>
                                  <a:chExt cx="100013" cy="100013"/>
                                </a:xfrm>
                              </xdr:grpSpPr>
                              <xdr:sp macro="" textlink="">
                                <xdr:nvSpPr>
                                  <xdr:cNvPr id="83" name="Plus 82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3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86706" y="111687429"/>
                                    <a:ext cx="88106" cy="88106"/>
                                  </a:xfrm>
                                  <a:prstGeom prst="mathPlus">
                                    <a:avLst>
                                      <a:gd name="adj1" fmla="val 26462"/>
                                    </a:avLst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84" name="Oval 83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4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79554" y="111680284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  <xdr:grpSp>
                              <xdr:nvGrpSpPr>
                                <xdr:cNvPr id="80" name="Group 7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0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69999" y="112351117"/>
                                  <a:ext cx="100013" cy="107156"/>
                                  <a:chOff x="3769999" y="112348736"/>
                                  <a:chExt cx="100013" cy="107156"/>
                                </a:xfrm>
                              </xdr:grpSpPr>
                              <xdr:sp macro="" textlink="">
                                <xdr:nvSpPr>
                                  <xdr:cNvPr id="81" name="Oval 80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1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769999" y="112348736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82" name="Minus 8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2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786676" y="112348736"/>
                                    <a:ext cx="69055" cy="107156"/>
                                  </a:xfrm>
                                  <a:prstGeom prst="mathMinus">
                                    <a:avLst/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</xdr:grpSp>
                          <xdr:cxnSp macro="">
                            <xdr:nvCxnSpPr>
                              <xdr:cNvPr id="65" name="Straight Connector 64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1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227730" y="111907967"/>
                                <a:ext cx="3312704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66" name="Straight Connector 65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2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216851" y="110991350"/>
                                <a:ext cx="3070644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68" name="Straight Connector 67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4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307856" y="110813609"/>
                                <a:ext cx="1975510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</xdr:grpSp>
                    </xdr:grpSp>
                    <xdr:grpSp>
                      <xdr:nvGrpSpPr>
                        <xdr:cNvPr id="45" name="Group 44">
                          <a:extLst>
                            <a:ext uri="{FF2B5EF4-FFF2-40B4-BE49-F238E27FC236}">
                              <a16:creationId xmlns:a16="http://schemas.microsoft.com/office/drawing/2014/main" id="{00000000-0008-0000-0800-00002D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047877" y="111697293"/>
                          <a:ext cx="2309172" cy="1138239"/>
                          <a:chOff x="2047877" y="111697293"/>
                          <a:chExt cx="2309172" cy="1138239"/>
                        </a:xfrm>
                      </xdr:grpSpPr>
                      <xdr:sp macro="" textlink="">
                        <xdr:nvSpPr>
                          <xdr:cNvPr id="51" name="TextBox 50">
                            <a:extLst>
                              <a:ext uri="{FF2B5EF4-FFF2-40B4-BE49-F238E27FC236}">
                                <a16:creationId xmlns:a16="http://schemas.microsoft.com/office/drawing/2014/main" id="{00000000-0008-0000-0800-000033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2047877" y="112661701"/>
                            <a:ext cx="321468" cy="17383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2" name="TextBox 51">
                            <a:extLst>
                              <a:ext uri="{FF2B5EF4-FFF2-40B4-BE49-F238E27FC236}">
                                <a16:creationId xmlns:a16="http://schemas.microsoft.com/office/drawing/2014/main" id="{00000000-0008-0000-0800-000034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2740818" y="111697293"/>
                            <a:ext cx="362453" cy="18332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c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4" name="TextBox 53">
                            <a:extLst>
                              <a:ext uri="{FF2B5EF4-FFF2-40B4-BE49-F238E27FC236}">
                                <a16:creationId xmlns:a16="http://schemas.microsoft.com/office/drawing/2014/main" id="{00000000-0008-0000-0800-000036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353970" y="111700108"/>
                            <a:ext cx="269736" cy="17859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5" name="TextBox 54">
                            <a:extLst>
                              <a:ext uri="{FF2B5EF4-FFF2-40B4-BE49-F238E27FC236}">
                                <a16:creationId xmlns:a16="http://schemas.microsoft.com/office/drawing/2014/main" id="{00000000-0008-0000-0800-000037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041538" y="112592645"/>
                            <a:ext cx="315511" cy="17383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c</a:t>
                            </a:r>
                            <a:endParaRPr lang="en-US" sz="900"/>
                          </a:p>
                        </xdr:txBody>
                      </xdr:sp>
                    </xdr:grpSp>
                  </xdr:grpSp>
                  <xdr:grpSp>
                    <xdr:nvGrpSpPr>
                      <xdr:cNvPr id="35" name="Group 34">
                        <a:extLst>
                          <a:ext uri="{FF2B5EF4-FFF2-40B4-BE49-F238E27FC236}">
                            <a16:creationId xmlns:a16="http://schemas.microsoft.com/office/drawing/2014/main" id="{00000000-0008-0000-0800-000023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391353" y="5094828"/>
                        <a:ext cx="99748" cy="107468"/>
                        <a:chOff x="2728915" y="5348654"/>
                        <a:chExt cx="99748" cy="107468"/>
                      </a:xfrm>
                    </xdr:grpSpPr>
                    <xdr:sp macro="" textlink="">
                      <xdr:nvSpPr>
                        <xdr:cNvPr id="36" name="Oval 35">
                          <a:extLst>
                            <a:ext uri="{FF2B5EF4-FFF2-40B4-BE49-F238E27FC236}">
                              <a16:creationId xmlns:a16="http://schemas.microsoft.com/office/drawing/2014/main" id="{00000000-0008-0000-0800-000024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728915" y="5348654"/>
                          <a:ext cx="99748" cy="100304"/>
                        </a:xfrm>
                        <a:prstGeom prst="ellipse">
                          <a:avLst/>
                        </a:prstGeom>
                        <a:noFill/>
                        <a:ln w="6350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  <xdr:sp macro="" textlink="">
                      <xdr:nvSpPr>
                        <xdr:cNvPr id="37" name="Minus 36">
                          <a:extLst>
                            <a:ext uri="{FF2B5EF4-FFF2-40B4-BE49-F238E27FC236}">
                              <a16:creationId xmlns:a16="http://schemas.microsoft.com/office/drawing/2014/main" id="{00000000-0008-0000-0800-000025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745539" y="5348654"/>
                          <a:ext cx="68872" cy="107468"/>
                        </a:xfrm>
                        <a:prstGeom prst="mathMinus">
                          <a:avLst/>
                        </a:prstGeom>
                        <a:ln>
                          <a:noFill/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</xdr:grpSp>
                </xdr:grpSp>
                <xdr:cxnSp macro="">
                  <xdr:nvCxnSpPr>
                    <xdr:cNvPr id="111" name="Straight Connector 110">
                      <a:extLst>
                        <a:ext uri="{FF2B5EF4-FFF2-40B4-BE49-F238E27FC236}">
                          <a16:creationId xmlns:a16="http://schemas.microsoft.com/office/drawing/2014/main" id="{00000000-0008-0000-0800-00006F000000}"/>
                        </a:ext>
                      </a:extLst>
                    </xdr:cNvPr>
                    <xdr:cNvCxnSpPr/>
                  </xdr:nvCxnSpPr>
                  <xdr:spPr>
                    <a:xfrm>
                      <a:off x="9165592" y="22477898"/>
                      <a:ext cx="0" cy="458302"/>
                    </a:xfrm>
                    <a:prstGeom prst="line">
                      <a:avLst/>
                    </a:prstGeom>
                    <a:ln w="3175">
                      <a:headEnd type="oval" w="sm" len="sm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13" name="TextBox 112">
                      <a:extLst>
                        <a:ext uri="{FF2B5EF4-FFF2-40B4-BE49-F238E27FC236}">
                          <a16:creationId xmlns:a16="http://schemas.microsoft.com/office/drawing/2014/main" id="{00000000-0008-0000-0800-000071000000}"/>
                        </a:ext>
                      </a:extLst>
                    </xdr:cNvPr>
                    <xdr:cNvSpPr txBox="1"/>
                  </xdr:nvSpPr>
                  <xdr:spPr>
                    <a:xfrm>
                      <a:off x="8921293" y="22626297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D</a:t>
                      </a:r>
                      <a:r>
                        <a:rPr lang="en-US" sz="7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c</a:t>
                      </a:r>
                      <a:endParaRPr lang="en-US" sz="700"/>
                    </a:p>
                  </xdr:txBody>
                </xdr:sp>
                <xdr:cxnSp macro="">
                  <xdr:nvCxnSpPr>
                    <xdr:cNvPr id="114" name="Straight Connector 113">
                      <a:extLst>
                        <a:ext uri="{FF2B5EF4-FFF2-40B4-BE49-F238E27FC236}">
                          <a16:creationId xmlns:a16="http://schemas.microsoft.com/office/drawing/2014/main" id="{00000000-0008-0000-0800-000072000000}"/>
                        </a:ext>
                      </a:extLst>
                    </xdr:cNvPr>
                    <xdr:cNvCxnSpPr/>
                  </xdr:nvCxnSpPr>
                  <xdr:spPr>
                    <a:xfrm>
                      <a:off x="8460581" y="22526625"/>
                      <a:ext cx="702994" cy="0"/>
                    </a:xfrm>
                    <a:prstGeom prst="line">
                      <a:avLst/>
                    </a:prstGeom>
                    <a:ln w="3175">
                      <a:prstDash val="sys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2" name="Straight Connector 121">
                      <a:extLst>
                        <a:ext uri="{FF2B5EF4-FFF2-40B4-BE49-F238E27FC236}">
                          <a16:creationId xmlns:a16="http://schemas.microsoft.com/office/drawing/2014/main" id="{00000000-0008-0000-0800-00007A000000}"/>
                        </a:ext>
                      </a:extLst>
                    </xdr:cNvPr>
                    <xdr:cNvCxnSpPr/>
                  </xdr:nvCxnSpPr>
                  <xdr:spPr>
                    <a:xfrm>
                      <a:off x="7379454" y="22474238"/>
                      <a:ext cx="0" cy="926306"/>
                    </a:xfrm>
                    <a:prstGeom prst="line">
                      <a:avLst/>
                    </a:prstGeom>
                    <a:ln w="3175">
                      <a:headEnd type="oval" w="sm" len="sm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24" name="TextBox 123">
                      <a:extLst>
                        <a:ext uri="{FF2B5EF4-FFF2-40B4-BE49-F238E27FC236}">
                          <a16:creationId xmlns:a16="http://schemas.microsoft.com/office/drawing/2014/main" id="{00000000-0008-0000-0800-00007C000000}"/>
                        </a:ext>
                      </a:extLst>
                    </xdr:cNvPr>
                    <xdr:cNvSpPr txBox="1"/>
                  </xdr:nvSpPr>
                  <xdr:spPr>
                    <a:xfrm>
                      <a:off x="7206917" y="22813057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d</a:t>
                      </a:r>
                      <a:endParaRPr lang="en-US" sz="700"/>
                    </a:p>
                  </xdr:txBody>
                </xdr:sp>
              </xdr:grpSp>
              <xdr:cxnSp macro="">
                <xdr:nvCxnSpPr>
                  <xdr:cNvPr id="134" name="Straight Connector 133">
                    <a:extLst>
                      <a:ext uri="{FF2B5EF4-FFF2-40B4-BE49-F238E27FC236}">
                        <a16:creationId xmlns:a16="http://schemas.microsoft.com/office/drawing/2014/main" id="{00000000-0008-0000-0800-000086000000}"/>
                      </a:ext>
                    </a:extLst>
                  </xdr:cNvPr>
                  <xdr:cNvCxnSpPr/>
                </xdr:nvCxnSpPr>
                <xdr:spPr>
                  <a:xfrm>
                    <a:off x="10371968" y="22805881"/>
                    <a:ext cx="0" cy="464248"/>
                  </a:xfrm>
                  <a:prstGeom prst="line">
                    <a:avLst/>
                  </a:prstGeom>
                  <a:ln w="3175">
                    <a:headEnd type="oval" w="sm" len="sm"/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" name="Straight Connector 134">
                    <a:extLst>
                      <a:ext uri="{FF2B5EF4-FFF2-40B4-BE49-F238E27FC236}">
                        <a16:creationId xmlns:a16="http://schemas.microsoft.com/office/drawing/2014/main" id="{00000000-0008-0000-0800-000087000000}"/>
                      </a:ext>
                    </a:extLst>
                  </xdr:cNvPr>
                  <xdr:cNvCxnSpPr/>
                </xdr:nvCxnSpPr>
                <xdr:spPr>
                  <a:xfrm>
                    <a:off x="8480497" y="23214482"/>
                    <a:ext cx="1894176" cy="0"/>
                  </a:xfrm>
                  <a:prstGeom prst="line">
                    <a:avLst/>
                  </a:prstGeom>
                  <a:ln w="3175">
                    <a:prstDash val="sys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0" name="TextBox 139">
                    <a:extLst>
                      <a:ext uri="{FF2B5EF4-FFF2-40B4-BE49-F238E27FC236}">
                        <a16:creationId xmlns:a16="http://schemas.microsoft.com/office/drawing/2014/main" id="{00000000-0008-0000-0800-00008C000000}"/>
                      </a:ext>
                    </a:extLst>
                  </xdr:cNvPr>
                  <xdr:cNvSpPr txBox="1"/>
                </xdr:nvSpPr>
                <xdr:spPr>
                  <a:xfrm>
                    <a:off x="10141961" y="22922237"/>
                    <a:ext cx="321594" cy="17283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>
                        <a:latin typeface="맑은 고딕" panose="020B0503020000020004" pitchFamily="50" charset="-127"/>
                        <a:ea typeface="맑은 고딕" panose="020B0503020000020004" pitchFamily="50" charset="-127"/>
                      </a:rPr>
                      <a:t>D</a:t>
                    </a:r>
                    <a:r>
                      <a:rPr lang="en-US" sz="700">
                        <a:latin typeface="맑은 고딕" panose="020B0503020000020004" pitchFamily="50" charset="-127"/>
                        <a:ea typeface="맑은 고딕" panose="020B0503020000020004" pitchFamily="50" charset="-127"/>
                      </a:rPr>
                      <a:t>c</a:t>
                    </a:r>
                    <a:endParaRPr lang="en-US" sz="700"/>
                  </a:p>
                </xdr:txBody>
              </xdr:sp>
            </xdr:grpSp>
            <xdr:cxnSp macro="">
              <xdr:nvCxnSpPr>
                <xdr:cNvPr id="146" name="Straight Connector 145">
                  <a:extLst>
                    <a:ext uri="{FF2B5EF4-FFF2-40B4-BE49-F238E27FC236}">
                      <a16:creationId xmlns:a16="http://schemas.microsoft.com/office/drawing/2014/main" id="{00000000-0008-0000-0800-000092000000}"/>
                    </a:ext>
                  </a:extLst>
                </xdr:cNvPr>
                <xdr:cNvCxnSpPr/>
              </xdr:nvCxnSpPr>
              <xdr:spPr>
                <a:xfrm>
                  <a:off x="2578894" y="22693313"/>
                  <a:ext cx="0" cy="159543"/>
                </a:xfrm>
                <a:prstGeom prst="line">
                  <a:avLst/>
                </a:prstGeom>
                <a:ln w="3175">
                  <a:headEnd type="none" w="sm" len="sm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0" name="TextBox 149">
                  <a:extLst>
                    <a:ext uri="{FF2B5EF4-FFF2-40B4-BE49-F238E27FC236}">
                      <a16:creationId xmlns:a16="http://schemas.microsoft.com/office/drawing/2014/main" id="{00000000-0008-0000-0800-000096000000}"/>
                    </a:ext>
                  </a:extLst>
                </xdr:cNvPr>
                <xdr:cNvSpPr txBox="1"/>
              </xdr:nvSpPr>
              <xdr:spPr>
                <a:xfrm>
                  <a:off x="2331243" y="22633782"/>
                  <a:ext cx="317489" cy="17376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>
                      <a:latin typeface="맑은 고딕" panose="020B0503020000020004" pitchFamily="50" charset="-127"/>
                      <a:ea typeface="맑은 고딕" panose="020B0503020000020004" pitchFamily="50" charset="-127"/>
                    </a:rPr>
                    <a:t>t</a:t>
                  </a:r>
                  <a:r>
                    <a:rPr lang="en-US" sz="700">
                      <a:latin typeface="맑은 고딕" panose="020B0503020000020004" pitchFamily="50" charset="-127"/>
                      <a:ea typeface="맑은 고딕" panose="020B0503020000020004" pitchFamily="50" charset="-127"/>
                    </a:rPr>
                    <a:t>fc</a:t>
                  </a:r>
                  <a:endParaRPr lang="en-US" sz="700"/>
                </a:p>
              </xdr:txBody>
            </xdr:sp>
          </xdr:grpSp>
          <xdr:cxnSp macro="">
            <xdr:nvCxnSpPr>
              <xdr:cNvPr id="154" name="Straight Connector 153">
                <a:extLst>
                  <a:ext uri="{FF2B5EF4-FFF2-40B4-BE49-F238E27FC236}">
                    <a16:creationId xmlns:a16="http://schemas.microsoft.com/office/drawing/2014/main" id="{00000000-0008-0000-0800-00009A000000}"/>
                  </a:ext>
                </a:extLst>
              </xdr:cNvPr>
              <xdr:cNvCxnSpPr/>
            </xdr:nvCxnSpPr>
            <xdr:spPr>
              <a:xfrm>
                <a:off x="3767138" y="23672006"/>
                <a:ext cx="0" cy="219075"/>
              </a:xfrm>
              <a:prstGeom prst="line">
                <a:avLst/>
              </a:prstGeom>
              <a:ln w="3175">
                <a:headEnd type="oval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7" name="TextBox 156">
                <a:extLst>
                  <a:ext uri="{FF2B5EF4-FFF2-40B4-BE49-F238E27FC236}">
                    <a16:creationId xmlns:a16="http://schemas.microsoft.com/office/drawing/2014/main" id="{00000000-0008-0000-0800-00009D000000}"/>
                  </a:ext>
                </a:extLst>
              </xdr:cNvPr>
              <xdr:cNvSpPr txBox="1"/>
            </xdr:nvSpPr>
            <xdr:spPr>
              <a:xfrm>
                <a:off x="3538538" y="23719630"/>
                <a:ext cx="317489" cy="173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t</a:t>
                </a:r>
                <a:r>
                  <a:rPr lang="en-US" sz="70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fc</a:t>
                </a:r>
                <a:endParaRPr lang="en-US" sz="700"/>
              </a:p>
            </xdr:txBody>
          </xdr:sp>
        </xdr:grpSp>
        <xdr:cxnSp macro="">
          <xdr:nvCxnSpPr>
            <xdr:cNvPr id="164" name="Straight Connector 163">
              <a:extLst>
                <a:ext uri="{FF2B5EF4-FFF2-40B4-BE49-F238E27FC236}">
                  <a16:creationId xmlns:a16="http://schemas.microsoft.com/office/drawing/2014/main" id="{00000000-0008-0000-0800-0000A4000000}"/>
                </a:ext>
              </a:extLst>
            </xdr:cNvPr>
            <xdr:cNvCxnSpPr/>
          </xdr:nvCxnSpPr>
          <xdr:spPr>
            <a:xfrm flipH="1" flipV="1">
              <a:off x="3814555" y="22739710"/>
              <a:ext cx="111773" cy="179208"/>
            </a:xfrm>
            <a:prstGeom prst="line">
              <a:avLst/>
            </a:prstGeom>
            <a:ln w="190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72" name="Group 171">
              <a:extLst>
                <a:ext uri="{FF2B5EF4-FFF2-40B4-BE49-F238E27FC236}">
                  <a16:creationId xmlns:a16="http://schemas.microsoft.com/office/drawing/2014/main" id="{00000000-0008-0000-0800-0000AC000000}"/>
                </a:ext>
              </a:extLst>
            </xdr:cNvPr>
            <xdr:cNvGrpSpPr/>
          </xdr:nvGrpSpPr>
          <xdr:grpSpPr>
            <a:xfrm>
              <a:off x="3920470" y="22776533"/>
              <a:ext cx="98724" cy="100588"/>
              <a:chOff x="4286250" y="22594871"/>
              <a:chExt cx="98724" cy="100588"/>
            </a:xfrm>
          </xdr:grpSpPr>
          <xdr:sp macro="" textlink="">
            <xdr:nvSpPr>
              <xdr:cNvPr id="170" name="Plus 169">
                <a:extLst>
                  <a:ext uri="{FF2B5EF4-FFF2-40B4-BE49-F238E27FC236}">
                    <a16:creationId xmlns:a16="http://schemas.microsoft.com/office/drawing/2014/main" id="{00000000-0008-0000-0800-0000AA000000}"/>
                  </a:ext>
                </a:extLst>
              </xdr:cNvPr>
              <xdr:cNvSpPr/>
            </xdr:nvSpPr>
            <xdr:spPr>
              <a:xfrm>
                <a:off x="4293310" y="22602057"/>
                <a:ext cx="86970" cy="88613"/>
              </a:xfrm>
              <a:prstGeom prst="mathPlus">
                <a:avLst>
                  <a:gd name="adj1" fmla="val 26462"/>
                </a:avLst>
              </a:pr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71" name="Oval 170">
                <a:extLst>
                  <a:ext uri="{FF2B5EF4-FFF2-40B4-BE49-F238E27FC236}">
                    <a16:creationId xmlns:a16="http://schemas.microsoft.com/office/drawing/2014/main" id="{00000000-0008-0000-0800-0000AB000000}"/>
                  </a:ext>
                </a:extLst>
              </xdr:cNvPr>
              <xdr:cNvSpPr/>
            </xdr:nvSpPr>
            <xdr:spPr>
              <a:xfrm>
                <a:off x="4286250" y="22594871"/>
                <a:ext cx="98724" cy="100588"/>
              </a:xfrm>
              <a:prstGeom prst="ellipse">
                <a:avLst/>
              </a:prstGeom>
              <a:noFill/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</xdr:grpSp>
      <xdr:sp macro="" textlink="">
        <xdr:nvSpPr>
          <xdr:cNvPr id="176" name="TextBox 175">
            <a:extLst>
              <a:ext uri="{FF2B5EF4-FFF2-40B4-BE49-F238E27FC236}">
                <a16:creationId xmlns:a16="http://schemas.microsoft.com/office/drawing/2014/main" id="{00000000-0008-0000-0800-0000B0000000}"/>
              </a:ext>
            </a:extLst>
          </xdr:cNvPr>
          <xdr:cNvSpPr txBox="1"/>
        </xdr:nvSpPr>
        <xdr:spPr>
          <a:xfrm>
            <a:off x="2906598" y="22553137"/>
            <a:ext cx="400148" cy="184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>
                <a:latin typeface="맑은 고딕" panose="020B0503020000020004" pitchFamily="50" charset="-127"/>
                <a:ea typeface="맑은 고딕" panose="020B0503020000020004" pitchFamily="50" charset="-127"/>
              </a:rPr>
              <a:t>f</a:t>
            </a:r>
            <a:r>
              <a:rPr lang="en-US" sz="700">
                <a:latin typeface="맑은 고딕" panose="020B0503020000020004" pitchFamily="50" charset="-127"/>
                <a:ea typeface="맑은 고딕" panose="020B0503020000020004" pitchFamily="50" charset="-127"/>
              </a:rPr>
              <a:t>con</a:t>
            </a:r>
            <a:endParaRPr lang="en-US" sz="900"/>
          </a:p>
        </xdr:txBody>
      </xdr:sp>
      <xdr:sp macro="" textlink="">
        <xdr:nvSpPr>
          <xdr:cNvPr id="177" name="TextBox 176">
            <a:extLst>
              <a:ext uri="{FF2B5EF4-FFF2-40B4-BE49-F238E27FC236}">
                <a16:creationId xmlns:a16="http://schemas.microsoft.com/office/drawing/2014/main" id="{00000000-0008-0000-0800-0000B1000000}"/>
              </a:ext>
            </a:extLst>
          </xdr:cNvPr>
          <xdr:cNvSpPr txBox="1"/>
        </xdr:nvSpPr>
        <xdr:spPr>
          <a:xfrm>
            <a:off x="3652887" y="22560503"/>
            <a:ext cx="400148" cy="184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>
                <a:latin typeface="맑은 고딕" panose="020B0503020000020004" pitchFamily="50" charset="-127"/>
                <a:ea typeface="맑은 고딕" panose="020B0503020000020004" pitchFamily="50" charset="-127"/>
              </a:rPr>
              <a:t>f</a:t>
            </a:r>
            <a:r>
              <a:rPr lang="en-US" sz="700">
                <a:latin typeface="맑은 고딕" panose="020B0503020000020004" pitchFamily="50" charset="-127"/>
                <a:ea typeface="맑은 고딕" panose="020B0503020000020004" pitchFamily="50" charset="-127"/>
              </a:rPr>
              <a:t>con</a:t>
            </a:r>
            <a:endParaRPr lang="en-US" sz="900"/>
          </a:p>
        </xdr:txBody>
      </xdr:sp>
    </xdr:grpSp>
    <xdr:clientData/>
  </xdr:twoCellAnchor>
  <xdr:oneCellAnchor>
    <xdr:from>
      <xdr:col>2</xdr:col>
      <xdr:colOff>479393</xdr:colOff>
      <xdr:row>143</xdr:row>
      <xdr:rowOff>160813</xdr:rowOff>
    </xdr:from>
    <xdr:ext cx="2196755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TextBox 114">
              <a:extLst>
                <a:ext uri="{FF2B5EF4-FFF2-40B4-BE49-F238E27FC236}">
                  <a16:creationId xmlns:a16="http://schemas.microsoft.com/office/drawing/2014/main" id="{00000000-0008-0000-0800-000073000000}"/>
                </a:ext>
              </a:extLst>
            </xdr:cNvPr>
            <xdr:cNvSpPr txBox="1"/>
          </xdr:nvSpPr>
          <xdr:spPr>
            <a:xfrm>
              <a:off x="1489043" y="26830813"/>
              <a:ext cx="2196755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</m:t>
                        </m:r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altLang="ko-KR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+1.3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15" name="TextBox 114">
              <a:extLst>
                <a:ext uri="{FF2B5EF4-FFF2-40B4-BE49-F238E27FC236}">
                  <a16:creationId xmlns:a16="http://schemas.microsoft.com/office/drawing/2014/main" id="{00000000-0008-0000-0800-000073000000}"/>
                </a:ext>
              </a:extLst>
            </xdr:cNvPr>
            <xdr:cNvSpPr txBox="1"/>
          </xdr:nvSpPr>
          <xdr:spPr>
            <a:xfrm>
              <a:off x="1489043" y="26830813"/>
              <a:ext cx="2196755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𝑓_𝑏𝑜𝑡</a:t>
              </a:r>
              <a:r>
                <a:rPr lang="en-US" altLang="ko-KR" sz="900" i="0">
                  <a:latin typeface="Cambria Math" panose="02040503050406030204" pitchFamily="18" charset="0"/>
                </a:rPr>
                <a:t>=(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1.0〖𝐷𝐶〗_3)/(𝑆_𝑏𝑜𝑡1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×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𝑛)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+(1.0〖𝐷𝐶〗_4+1.0𝐷𝑊+1.3𝐿𝐿)/(𝑆_𝑏𝑜𝑡2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141</xdr:row>
      <xdr:rowOff>0</xdr:rowOff>
    </xdr:from>
    <xdr:ext cx="1666482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TextBox 115">
              <a:extLst>
                <a:ext uri="{FF2B5EF4-FFF2-40B4-BE49-F238E27FC236}">
                  <a16:creationId xmlns:a16="http://schemas.microsoft.com/office/drawing/2014/main" id="{00000000-0008-0000-0800-000074000000}"/>
                </a:ext>
              </a:extLst>
            </xdr:cNvPr>
            <xdr:cNvSpPr txBox="1"/>
          </xdr:nvSpPr>
          <xdr:spPr>
            <a:xfrm>
              <a:off x="714375" y="26098500"/>
              <a:ext cx="1666482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𝑑𝑒𝑐𝑘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+1.3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𝑑𝑒𝑐𝑘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16" name="TextBox 115"/>
            <xdr:cNvSpPr txBox="1"/>
          </xdr:nvSpPr>
          <xdr:spPr>
            <a:xfrm>
              <a:off x="714375" y="26098500"/>
              <a:ext cx="1666482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𝑓_𝑑𝑒𝑐𝑘</a:t>
              </a:r>
              <a:r>
                <a:rPr lang="en-US" altLang="ko-KR" sz="900" i="0">
                  <a:latin typeface="Cambria Math" panose="02040503050406030204" pitchFamily="18" charset="0"/>
                </a:rPr>
                <a:t>=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(1.0〖𝐷𝐶〗_4+1.0𝐷𝑊+1.3𝐿𝐿)/(𝑆_𝑑𝑒𝑐𝑘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117</xdr:row>
      <xdr:rowOff>9526</xdr:rowOff>
    </xdr:from>
    <xdr:to>
      <xdr:col>12</xdr:col>
      <xdr:colOff>371475</xdr:colOff>
      <xdr:row>123</xdr:row>
      <xdr:rowOff>14928</xdr:rowOff>
    </xdr:to>
    <xdr:grpSp>
      <xdr:nvGrpSpPr>
        <xdr:cNvPr id="109" name="그룹 59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GrpSpPr/>
      </xdr:nvGrpSpPr>
      <xdr:grpSpPr>
        <a:xfrm>
          <a:off x="4305300" y="21917026"/>
          <a:ext cx="2124075" cy="1148402"/>
          <a:chOff x="538689" y="21665334"/>
          <a:chExt cx="2549636" cy="1147041"/>
        </a:xfrm>
      </xdr:grpSpPr>
      <xdr:grpSp>
        <xdr:nvGrpSpPr>
          <xdr:cNvPr id="110" name="그룹 17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12" name="그룹 112">
              <a:extLst>
                <a:ext uri="{FF2B5EF4-FFF2-40B4-BE49-F238E27FC236}">
                  <a16:creationId xmlns:a16="http://schemas.microsoft.com/office/drawing/2014/main" id="{00000000-0008-0000-0900-000070000000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17" name="그룹 176">
                <a:extLst>
                  <a:ext uri="{FF2B5EF4-FFF2-40B4-BE49-F238E27FC236}">
                    <a16:creationId xmlns:a16="http://schemas.microsoft.com/office/drawing/2014/main" id="{00000000-0008-0000-0900-000075000000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26" name="자유형 179">
                  <a:extLst>
                    <a:ext uri="{FF2B5EF4-FFF2-40B4-BE49-F238E27FC236}">
                      <a16:creationId xmlns:a16="http://schemas.microsoft.com/office/drawing/2014/main" id="{00000000-0008-0000-0900-00007E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27" name="그룹 180">
                  <a:extLst>
                    <a:ext uri="{FF2B5EF4-FFF2-40B4-BE49-F238E27FC236}">
                      <a16:creationId xmlns:a16="http://schemas.microsoft.com/office/drawing/2014/main" id="{00000000-0008-0000-0900-00007F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28" name="그룹 181">
                    <a:extLst>
                      <a:ext uri="{FF2B5EF4-FFF2-40B4-BE49-F238E27FC236}">
                        <a16:creationId xmlns:a16="http://schemas.microsoft.com/office/drawing/2014/main" id="{00000000-0008-0000-0900-000080000000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30" name="직선 연결선 183">
                      <a:extLst>
                        <a:ext uri="{FF2B5EF4-FFF2-40B4-BE49-F238E27FC236}">
                          <a16:creationId xmlns:a16="http://schemas.microsoft.com/office/drawing/2014/main" id="{00000000-0008-0000-0900-000082000000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1" name="직선 연결선 184">
                      <a:extLst>
                        <a:ext uri="{FF2B5EF4-FFF2-40B4-BE49-F238E27FC236}">
                          <a16:creationId xmlns:a16="http://schemas.microsoft.com/office/drawing/2014/main" id="{00000000-0008-0000-0900-000083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2" name="직선 연결선 185">
                      <a:extLst>
                        <a:ext uri="{FF2B5EF4-FFF2-40B4-BE49-F238E27FC236}">
                          <a16:creationId xmlns:a16="http://schemas.microsoft.com/office/drawing/2014/main" id="{00000000-0008-0000-0900-000084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3" name="직선 연결선 186">
                      <a:extLst>
                        <a:ext uri="{FF2B5EF4-FFF2-40B4-BE49-F238E27FC236}">
                          <a16:creationId xmlns:a16="http://schemas.microsoft.com/office/drawing/2014/main" id="{00000000-0008-0000-0900-000085000000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29" name="직선 연결선 182">
                    <a:extLst>
                      <a:ext uri="{FF2B5EF4-FFF2-40B4-BE49-F238E27FC236}">
                        <a16:creationId xmlns:a16="http://schemas.microsoft.com/office/drawing/2014/main" id="{00000000-0008-0000-0900-000081000000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18" name="그룹 122">
                <a:extLst>
                  <a:ext uri="{FF2B5EF4-FFF2-40B4-BE49-F238E27FC236}">
                    <a16:creationId xmlns:a16="http://schemas.microsoft.com/office/drawing/2014/main" id="{00000000-0008-0000-0900-000076000000}"/>
                  </a:ext>
                </a:extLst>
              </xdr:cNvPr>
              <xdr:cNvGrpSpPr/>
            </xdr:nvGrpSpPr>
            <xdr:grpSpPr>
              <a:xfrm>
                <a:off x="4797688" y="6665478"/>
                <a:ext cx="848704" cy="785766"/>
                <a:chOff x="4797688" y="6665478"/>
                <a:chExt cx="848704" cy="785766"/>
              </a:xfrm>
            </xdr:grpSpPr>
            <xdr:sp macro="" textlink="">
              <xdr:nvSpPr>
                <xdr:cNvPr id="119" name="TextBox 118">
                  <a:extLst>
                    <a:ext uri="{FF2B5EF4-FFF2-40B4-BE49-F238E27FC236}">
                      <a16:creationId xmlns:a16="http://schemas.microsoft.com/office/drawing/2014/main" id="{00000000-0008-0000-0900-000077000000}"/>
                    </a:ext>
                  </a:extLst>
                </xdr:cNvPr>
                <xdr:cNvSpPr txBox="1"/>
              </xdr:nvSpPr>
              <xdr:spPr>
                <a:xfrm>
                  <a:off x="4797688" y="6665478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20" name="그룹 135">
                  <a:extLst>
                    <a:ext uri="{FF2B5EF4-FFF2-40B4-BE49-F238E27FC236}">
                      <a16:creationId xmlns:a16="http://schemas.microsoft.com/office/drawing/2014/main" id="{00000000-0008-0000-0900-000078000000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21" name="직선 화살표 연결선 153">
                    <a:extLst>
                      <a:ext uri="{FF2B5EF4-FFF2-40B4-BE49-F238E27FC236}">
                        <a16:creationId xmlns:a16="http://schemas.microsoft.com/office/drawing/2014/main" id="{00000000-0008-0000-0900-000079000000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2" name="직선 화살표 연결선 154">
                    <a:extLst>
                      <a:ext uri="{FF2B5EF4-FFF2-40B4-BE49-F238E27FC236}">
                        <a16:creationId xmlns:a16="http://schemas.microsoft.com/office/drawing/2014/main" id="{00000000-0008-0000-0900-00007A000000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3" name="직선 연결선 155">
                    <a:extLst>
                      <a:ext uri="{FF2B5EF4-FFF2-40B4-BE49-F238E27FC236}">
                        <a16:creationId xmlns:a16="http://schemas.microsoft.com/office/drawing/2014/main" id="{00000000-0008-0000-0900-00007B000000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4" name="직선 연결선 157">
                    <a:extLst>
                      <a:ext uri="{FF2B5EF4-FFF2-40B4-BE49-F238E27FC236}">
                        <a16:creationId xmlns:a16="http://schemas.microsoft.com/office/drawing/2014/main" id="{00000000-0008-0000-0900-00007C000000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5" name="직선 연결선 159">
                    <a:extLst>
                      <a:ext uri="{FF2B5EF4-FFF2-40B4-BE49-F238E27FC236}">
                        <a16:creationId xmlns:a16="http://schemas.microsoft.com/office/drawing/2014/main" id="{00000000-0008-0000-0900-00007D000000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13" name="그룹 16">
              <a:extLst>
                <a:ext uri="{FF2B5EF4-FFF2-40B4-BE49-F238E27FC236}">
                  <a16:creationId xmlns:a16="http://schemas.microsoft.com/office/drawing/2014/main" id="{00000000-0008-0000-0900-000071000000}"/>
                </a:ext>
              </a:extLst>
            </xdr:cNvPr>
            <xdr:cNvGrpSpPr/>
          </xdr:nvGrpSpPr>
          <xdr:grpSpPr>
            <a:xfrm>
              <a:off x="8005780" y="21978937"/>
              <a:ext cx="290732" cy="542926"/>
              <a:chOff x="8005780" y="21978937"/>
              <a:chExt cx="290732" cy="542926"/>
            </a:xfrm>
          </xdr:grpSpPr>
          <xdr:cxnSp macro="">
            <xdr:nvCxnSpPr>
              <xdr:cNvPr id="114" name="직선 연결선 8">
                <a:extLst>
                  <a:ext uri="{FF2B5EF4-FFF2-40B4-BE49-F238E27FC236}">
                    <a16:creationId xmlns:a16="http://schemas.microsoft.com/office/drawing/2014/main" id="{00000000-0008-0000-0900-000072000000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5" name="TextBox 114">
                <a:extLst>
                  <a:ext uri="{FF2B5EF4-FFF2-40B4-BE49-F238E27FC236}">
                    <a16:creationId xmlns:a16="http://schemas.microsoft.com/office/drawing/2014/main" id="{00000000-0008-0000-0900-000073000000}"/>
                  </a:ext>
                </a:extLst>
              </xdr:cNvPr>
              <xdr:cNvSpPr txBox="1"/>
            </xdr:nvSpPr>
            <xdr:spPr>
              <a:xfrm>
                <a:off x="8005780" y="21978937"/>
                <a:ext cx="214312" cy="1964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>
                    <a:sym typeface="Symbol"/>
                  </a:rPr>
                  <a:t></a:t>
                </a:r>
                <a:endParaRPr lang="en-US" sz="900"/>
              </a:p>
            </xdr:txBody>
          </xdr:sp>
          <xdr:sp macro="" textlink="">
            <xdr:nvSpPr>
              <xdr:cNvPr id="116" name="원호 13">
                <a:extLst>
                  <a:ext uri="{FF2B5EF4-FFF2-40B4-BE49-F238E27FC236}">
                    <a16:creationId xmlns:a16="http://schemas.microsoft.com/office/drawing/2014/main" id="{00000000-0008-0000-0900-00007400000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11" name="직선 화살표 연결선 56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81</xdr:row>
      <xdr:rowOff>142875</xdr:rowOff>
    </xdr:from>
    <xdr:to>
      <xdr:col>24</xdr:col>
      <xdr:colOff>381000</xdr:colOff>
      <xdr:row>89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92</xdr:row>
      <xdr:rowOff>57150</xdr:rowOff>
    </xdr:from>
    <xdr:to>
      <xdr:col>24</xdr:col>
      <xdr:colOff>381000</xdr:colOff>
      <xdr:row>100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100</xdr:row>
      <xdr:rowOff>123825</xdr:rowOff>
    </xdr:from>
    <xdr:to>
      <xdr:col>24</xdr:col>
      <xdr:colOff>381000</xdr:colOff>
      <xdr:row>108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110</xdr:row>
      <xdr:rowOff>76201</xdr:rowOff>
    </xdr:from>
    <xdr:to>
      <xdr:col>24</xdr:col>
      <xdr:colOff>381000</xdr:colOff>
      <xdr:row>118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148</xdr:row>
      <xdr:rowOff>95250</xdr:rowOff>
    </xdr:from>
    <xdr:to>
      <xdr:col>24</xdr:col>
      <xdr:colOff>381000</xdr:colOff>
      <xdr:row>156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169</xdr:row>
      <xdr:rowOff>123824</xdr:rowOff>
    </xdr:from>
    <xdr:to>
      <xdr:col>24</xdr:col>
      <xdr:colOff>381000</xdr:colOff>
      <xdr:row>180</xdr:row>
      <xdr:rowOff>152399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180</xdr:row>
      <xdr:rowOff>123825</xdr:rowOff>
    </xdr:from>
    <xdr:to>
      <xdr:col>24</xdr:col>
      <xdr:colOff>381000</xdr:colOff>
      <xdr:row>190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193</xdr:row>
      <xdr:rowOff>152400</xdr:rowOff>
    </xdr:from>
    <xdr:to>
      <xdr:col>24</xdr:col>
      <xdr:colOff>381000</xdr:colOff>
      <xdr:row>204</xdr:row>
      <xdr:rowOff>180975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120</xdr:row>
      <xdr:rowOff>57151</xdr:rowOff>
    </xdr:from>
    <xdr:to>
      <xdr:col>24</xdr:col>
      <xdr:colOff>381000</xdr:colOff>
      <xdr:row>130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131</xdr:row>
      <xdr:rowOff>28575</xdr:rowOff>
    </xdr:from>
    <xdr:to>
      <xdr:col>24</xdr:col>
      <xdr:colOff>381000</xdr:colOff>
      <xdr:row>142</xdr:row>
      <xdr:rowOff>57150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212</xdr:row>
      <xdr:rowOff>95250</xdr:rowOff>
    </xdr:from>
    <xdr:to>
      <xdr:col>24</xdr:col>
      <xdr:colOff>381000</xdr:colOff>
      <xdr:row>223</xdr:row>
      <xdr:rowOff>123825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226</xdr:row>
      <xdr:rowOff>161925</xdr:rowOff>
    </xdr:from>
    <xdr:to>
      <xdr:col>24</xdr:col>
      <xdr:colOff>381000</xdr:colOff>
      <xdr:row>235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241</xdr:row>
      <xdr:rowOff>57150</xdr:rowOff>
    </xdr:from>
    <xdr:to>
      <xdr:col>24</xdr:col>
      <xdr:colOff>381000</xdr:colOff>
      <xdr:row>249</xdr:row>
      <xdr:rowOff>76199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156</xdr:row>
      <xdr:rowOff>66675</xdr:rowOff>
    </xdr:from>
    <xdr:to>
      <xdr:col>24</xdr:col>
      <xdr:colOff>381000</xdr:colOff>
      <xdr:row>164</xdr:row>
      <xdr:rowOff>38100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254</xdr:row>
      <xdr:rowOff>0</xdr:rowOff>
    </xdr:from>
    <xdr:to>
      <xdr:col>24</xdr:col>
      <xdr:colOff>381000</xdr:colOff>
      <xdr:row>265</xdr:row>
      <xdr:rowOff>28575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57150</xdr:rowOff>
    </xdr:from>
    <xdr:to>
      <xdr:col>11</xdr:col>
      <xdr:colOff>165744</xdr:colOff>
      <xdr:row>26</xdr:row>
      <xdr:rowOff>166887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FB397E-97D0-40F9-B83E-8D6F7B1EB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438150"/>
          <a:ext cx="4480569" cy="468173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</xdr:row>
      <xdr:rowOff>142875</xdr:rowOff>
    </xdr:from>
    <xdr:to>
      <xdr:col>12</xdr:col>
      <xdr:colOff>409587</xdr:colOff>
      <xdr:row>60</xdr:row>
      <xdr:rowOff>24014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20C408-45F2-431C-9C47-EE5B08CFE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5095875"/>
          <a:ext cx="5943612" cy="5596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104775</xdr:rowOff>
    </xdr:from>
    <xdr:to>
      <xdr:col>15</xdr:col>
      <xdr:colOff>4587</xdr:colOff>
      <xdr:row>137</xdr:row>
      <xdr:rowOff>62110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A05541-4E72-41F9-928F-505B38AD1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93275"/>
          <a:ext cx="7434087" cy="3767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14</xdr:col>
      <xdr:colOff>454167</xdr:colOff>
      <xdr:row>198</xdr:row>
      <xdr:rowOff>141747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1DE98B-AA70-4ACC-8EB3-182FF8AE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289500"/>
          <a:ext cx="7388367" cy="7571247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139</xdr:row>
      <xdr:rowOff>85725</xdr:rowOff>
    </xdr:from>
    <xdr:to>
      <xdr:col>10</xdr:col>
      <xdr:colOff>458351</xdr:colOff>
      <xdr:row>156</xdr:row>
      <xdr:rowOff>47631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B92523-791D-48C5-87DE-F393B18A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575" y="26565225"/>
          <a:ext cx="3858776" cy="320040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202</xdr:row>
      <xdr:rowOff>19050</xdr:rowOff>
    </xdr:from>
    <xdr:to>
      <xdr:col>12</xdr:col>
      <xdr:colOff>260996</xdr:colOff>
      <xdr:row>224</xdr:row>
      <xdr:rowOff>16010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059BEB-0649-4E0A-A4ED-184ADC384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38500050"/>
          <a:ext cx="5623571" cy="41879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225</xdr:row>
      <xdr:rowOff>9525</xdr:rowOff>
    </xdr:from>
    <xdr:to>
      <xdr:col>12</xdr:col>
      <xdr:colOff>172222</xdr:colOff>
      <xdr:row>245</xdr:row>
      <xdr:rowOff>149741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9CD46F-AB4C-4933-87D4-B03DAFCE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42872025"/>
          <a:ext cx="5239522" cy="39502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251</xdr:row>
      <xdr:rowOff>114300</xdr:rowOff>
    </xdr:from>
    <xdr:to>
      <xdr:col>13</xdr:col>
      <xdr:colOff>127647</xdr:colOff>
      <xdr:row>270</xdr:row>
      <xdr:rowOff>79255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4BE45F-42F6-4B8F-B277-B1B89216C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7929800"/>
          <a:ext cx="5852172" cy="358445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271</xdr:row>
      <xdr:rowOff>171450</xdr:rowOff>
    </xdr:from>
    <xdr:to>
      <xdr:col>12</xdr:col>
      <xdr:colOff>297570</xdr:colOff>
      <xdr:row>290</xdr:row>
      <xdr:rowOff>145549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46224D7-118D-4E3B-8B59-627F6767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425" y="51796950"/>
          <a:ext cx="4745745" cy="359359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294</xdr:row>
      <xdr:rowOff>152400</xdr:rowOff>
    </xdr:from>
    <xdr:to>
      <xdr:col>13</xdr:col>
      <xdr:colOff>68210</xdr:colOff>
      <xdr:row>319</xdr:row>
      <xdr:rowOff>172221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DFABB0-942D-4BC6-B7B8-DCC924D21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" y="56159400"/>
          <a:ext cx="5449835" cy="4782321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323</xdr:row>
      <xdr:rowOff>9525</xdr:rowOff>
    </xdr:from>
    <xdr:to>
      <xdr:col>11</xdr:col>
      <xdr:colOff>433207</xdr:colOff>
      <xdr:row>350</xdr:row>
      <xdr:rowOff>87259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311E41D-1C2F-43CB-A056-3C76C8B0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61541025"/>
          <a:ext cx="4919482" cy="5221234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351</xdr:row>
      <xdr:rowOff>114300</xdr:rowOff>
    </xdr:from>
    <xdr:to>
      <xdr:col>11</xdr:col>
      <xdr:colOff>172601</xdr:colOff>
      <xdr:row>368</xdr:row>
      <xdr:rowOff>76206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F6F3756-41EB-42ED-BFB9-0B3F45CE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66979800"/>
          <a:ext cx="3858776" cy="320040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369</xdr:row>
      <xdr:rowOff>161925</xdr:rowOff>
    </xdr:from>
    <xdr:to>
      <xdr:col>12</xdr:col>
      <xdr:colOff>251471</xdr:colOff>
      <xdr:row>391</xdr:row>
      <xdr:rowOff>158885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90434F9-DA01-4F21-8B90-0A970B36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0456425"/>
          <a:ext cx="5623571" cy="418796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392</xdr:row>
      <xdr:rowOff>66675</xdr:rowOff>
    </xdr:from>
    <xdr:to>
      <xdr:col>13</xdr:col>
      <xdr:colOff>304050</xdr:colOff>
      <xdr:row>414</xdr:row>
      <xdr:rowOff>17915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AF712C4-26C5-46E7-BDC7-29E9EB06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74742675"/>
          <a:ext cx="6190500" cy="414224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417</xdr:row>
      <xdr:rowOff>28575</xdr:rowOff>
    </xdr:from>
    <xdr:to>
      <xdr:col>14</xdr:col>
      <xdr:colOff>306719</xdr:colOff>
      <xdr:row>468</xdr:row>
      <xdr:rowOff>152039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0FEB240-A6E2-4AC8-9D1A-CB66ADFF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79467075"/>
          <a:ext cx="7040894" cy="9838964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472</xdr:row>
      <xdr:rowOff>180975</xdr:rowOff>
    </xdr:from>
    <xdr:to>
      <xdr:col>13</xdr:col>
      <xdr:colOff>280047</xdr:colOff>
      <xdr:row>488</xdr:row>
      <xdr:rowOff>77349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04B0D10-766D-407F-99D1-D5C89FC6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90096975"/>
          <a:ext cx="5852172" cy="294437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489</xdr:row>
      <xdr:rowOff>114300</xdr:rowOff>
    </xdr:from>
    <xdr:to>
      <xdr:col>13</xdr:col>
      <xdr:colOff>444639</xdr:colOff>
      <xdr:row>512</xdr:row>
      <xdr:rowOff>57921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F74787D-E1EC-44CB-9830-57E6CC215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93268800"/>
          <a:ext cx="6245364" cy="4325121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530</xdr:row>
      <xdr:rowOff>47625</xdr:rowOff>
    </xdr:from>
    <xdr:to>
      <xdr:col>12</xdr:col>
      <xdr:colOff>67447</xdr:colOff>
      <xdr:row>550</xdr:row>
      <xdr:rowOff>187841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A3C73CB-1F50-4E4D-A959-CBB59CEA6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01012625"/>
          <a:ext cx="5239522" cy="395021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62</xdr:row>
      <xdr:rowOff>85725</xdr:rowOff>
    </xdr:from>
    <xdr:to>
      <xdr:col>11</xdr:col>
      <xdr:colOff>386724</xdr:colOff>
      <xdr:row>76</xdr:row>
      <xdr:rowOff>88778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9CDBED-28E4-4CE2-B0F1-82BB422B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11896725"/>
          <a:ext cx="4663449" cy="267005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78</xdr:row>
      <xdr:rowOff>57150</xdr:rowOff>
    </xdr:from>
    <xdr:to>
      <xdr:col>14</xdr:col>
      <xdr:colOff>154319</xdr:colOff>
      <xdr:row>114</xdr:row>
      <xdr:rowOff>176036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DDF2F5-1548-4218-8E02-1A0D33387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916150"/>
          <a:ext cx="7040894" cy="69768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516</xdr:row>
      <xdr:rowOff>152400</xdr:rowOff>
    </xdr:from>
    <xdr:to>
      <xdr:col>13</xdr:col>
      <xdr:colOff>89547</xdr:colOff>
      <xdr:row>528</xdr:row>
      <xdr:rowOff>170693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031400-F9B2-4C32-98BA-C3806D534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98450400"/>
          <a:ext cx="5852172" cy="230429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106542</xdr:colOff>
      <xdr:row>52</xdr:row>
      <xdr:rowOff>61927</xdr:rowOff>
    </xdr:from>
    <xdr:to>
      <xdr:col>44</xdr:col>
      <xdr:colOff>0</xdr:colOff>
      <xdr:row>61</xdr:row>
      <xdr:rowOff>156238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BEE3EAB7-D215-4590-AB1E-9FEEB0EEC4A5}"/>
            </a:ext>
          </a:extLst>
        </xdr:cNvPr>
        <xdr:cNvGrpSpPr/>
      </xdr:nvGrpSpPr>
      <xdr:grpSpPr>
        <a:xfrm>
          <a:off x="4516617" y="10387027"/>
          <a:ext cx="2179458" cy="1808811"/>
          <a:chOff x="5402908" y="11004247"/>
          <a:chExt cx="1904257" cy="1789137"/>
        </a:xfrm>
      </xdr:grpSpPr>
      <xdr:sp macro="" textlink="">
        <xdr:nvSpPr>
          <xdr:cNvPr id="14" name="Freeform 6">
            <a:extLst>
              <a:ext uri="{FF2B5EF4-FFF2-40B4-BE49-F238E27FC236}">
                <a16:creationId xmlns:a16="http://schemas.microsoft.com/office/drawing/2014/main" id="{56A39E28-7B20-446F-A274-B088930DAF21}"/>
              </a:ext>
            </a:extLst>
          </xdr:cNvPr>
          <xdr:cNvSpPr/>
        </xdr:nvSpPr>
        <xdr:spPr>
          <a:xfrm>
            <a:off x="5402908" y="11204134"/>
            <a:ext cx="155122" cy="1589250"/>
          </a:xfrm>
          <a:custGeom>
            <a:avLst/>
            <a:gdLst>
              <a:gd name="connsiteX0" fmla="*/ 73478 w 155121"/>
              <a:gd name="connsiteY0" fmla="*/ 0 h 1687286"/>
              <a:gd name="connsiteX1" fmla="*/ 73478 w 155121"/>
              <a:gd name="connsiteY1" fmla="*/ 767443 h 1687286"/>
              <a:gd name="connsiteX2" fmla="*/ 155121 w 155121"/>
              <a:gd name="connsiteY2" fmla="*/ 767443 h 1687286"/>
              <a:gd name="connsiteX3" fmla="*/ 0 w 155121"/>
              <a:gd name="connsiteY3" fmla="*/ 808265 h 1687286"/>
              <a:gd name="connsiteX4" fmla="*/ 78921 w 155121"/>
              <a:gd name="connsiteY4" fmla="*/ 808265 h 1687286"/>
              <a:gd name="connsiteX5" fmla="*/ 78921 w 155121"/>
              <a:gd name="connsiteY5" fmla="*/ 1687286 h 16872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55121" h="1687286">
                <a:moveTo>
                  <a:pt x="73478" y="0"/>
                </a:moveTo>
                <a:lnTo>
                  <a:pt x="73478" y="767443"/>
                </a:lnTo>
                <a:lnTo>
                  <a:pt x="155121" y="767443"/>
                </a:lnTo>
                <a:lnTo>
                  <a:pt x="0" y="808265"/>
                </a:lnTo>
                <a:lnTo>
                  <a:pt x="78921" y="808265"/>
                </a:lnTo>
                <a:lnTo>
                  <a:pt x="78921" y="1687286"/>
                </a:lnTo>
              </a:path>
            </a:pathLst>
          </a:custGeom>
          <a:noFill/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BD5070A2-2EAF-47F4-82F0-4CC4CD1D8885}"/>
              </a:ext>
            </a:extLst>
          </xdr:cNvPr>
          <xdr:cNvGrpSpPr/>
        </xdr:nvGrpSpPr>
        <xdr:grpSpPr>
          <a:xfrm>
            <a:off x="5472286" y="11004247"/>
            <a:ext cx="1834879" cy="1651015"/>
            <a:chOff x="5403378" y="11106286"/>
            <a:chExt cx="1818139" cy="1667007"/>
          </a:xfrm>
        </xdr:grpSpPr>
        <xdr:sp macro="" textlink="">
          <xdr:nvSpPr>
            <xdr:cNvPr id="16" name="Freeform 8">
              <a:extLst>
                <a:ext uri="{FF2B5EF4-FFF2-40B4-BE49-F238E27FC236}">
                  <a16:creationId xmlns:a16="http://schemas.microsoft.com/office/drawing/2014/main" id="{2B838D7C-59FD-48DD-B9B2-5EEBD1FD2D5B}"/>
                </a:ext>
              </a:extLst>
            </xdr:cNvPr>
            <xdr:cNvSpPr/>
          </xdr:nvSpPr>
          <xdr:spPr>
            <a:xfrm>
              <a:off x="5412921" y="11397343"/>
              <a:ext cx="1240971" cy="293915"/>
            </a:xfrm>
            <a:custGeom>
              <a:avLst/>
              <a:gdLst>
                <a:gd name="connsiteX0" fmla="*/ 933450 w 1240971"/>
                <a:gd name="connsiteY0" fmla="*/ 206829 h 293915"/>
                <a:gd name="connsiteX1" fmla="*/ 1240971 w 1240971"/>
                <a:gd name="connsiteY1" fmla="*/ 206829 h 293915"/>
                <a:gd name="connsiteX2" fmla="*/ 1240971 w 1240971"/>
                <a:gd name="connsiteY2" fmla="*/ 0 h 293915"/>
                <a:gd name="connsiteX3" fmla="*/ 0 w 1240971"/>
                <a:gd name="connsiteY3" fmla="*/ 0 h 293915"/>
                <a:gd name="connsiteX4" fmla="*/ 0 w 1240971"/>
                <a:gd name="connsiteY4" fmla="*/ 293915 h 293915"/>
                <a:gd name="connsiteX5" fmla="*/ 859971 w 1240971"/>
                <a:gd name="connsiteY5" fmla="*/ 293915 h 293915"/>
                <a:gd name="connsiteX6" fmla="*/ 933450 w 1240971"/>
                <a:gd name="connsiteY6" fmla="*/ 206829 h 29391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1240971" h="293915">
                  <a:moveTo>
                    <a:pt x="933450" y="206829"/>
                  </a:moveTo>
                  <a:lnTo>
                    <a:pt x="1240971" y="206829"/>
                  </a:lnTo>
                  <a:lnTo>
                    <a:pt x="1240971" y="0"/>
                  </a:lnTo>
                  <a:lnTo>
                    <a:pt x="0" y="0"/>
                  </a:lnTo>
                  <a:lnTo>
                    <a:pt x="0" y="293915"/>
                  </a:lnTo>
                  <a:lnTo>
                    <a:pt x="859971" y="293915"/>
                  </a:lnTo>
                  <a:lnTo>
                    <a:pt x="933450" y="206829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563F767-FFA7-4542-BD62-AE35FF981AC1}"/>
                </a:ext>
              </a:extLst>
            </xdr:cNvPr>
            <xdr:cNvGrpSpPr/>
          </xdr:nvGrpSpPr>
          <xdr:grpSpPr>
            <a:xfrm>
              <a:off x="5403378" y="11106286"/>
              <a:ext cx="1818139" cy="1667007"/>
              <a:chOff x="2824053" y="12555715"/>
              <a:chExt cx="1811426" cy="1636735"/>
            </a:xfrm>
          </xdr:grpSpPr>
          <xdr:sp macro="" textlink="">
            <xdr:nvSpPr>
              <xdr:cNvPr id="18" name="TextBox 17">
                <a:extLst>
                  <a:ext uri="{FF2B5EF4-FFF2-40B4-BE49-F238E27FC236}">
                    <a16:creationId xmlns:a16="http://schemas.microsoft.com/office/drawing/2014/main" id="{CE8C185C-9359-4BE4-B4A3-B719AD27AB2F}"/>
                  </a:ext>
                </a:extLst>
              </xdr:cNvPr>
              <xdr:cNvSpPr txBox="1"/>
            </xdr:nvSpPr>
            <xdr:spPr>
              <a:xfrm>
                <a:off x="4048125" y="12767922"/>
                <a:ext cx="587354" cy="23582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F</a:t>
                </a:r>
                <a:r>
                  <a:rPr lang="en-US" altLang="ko-KR" sz="900" baseline="-25000"/>
                  <a:t>forms</a:t>
                </a:r>
                <a:endParaRPr lang="en-US" sz="900" baseline="-25000"/>
              </a:p>
            </xdr:txBody>
          </xdr:sp>
          <xdr:grpSp>
            <xdr:nvGrpSpPr>
              <xdr:cNvPr id="19" name="Group 18">
                <a:extLst>
                  <a:ext uri="{FF2B5EF4-FFF2-40B4-BE49-F238E27FC236}">
                    <a16:creationId xmlns:a16="http://schemas.microsoft.com/office/drawing/2014/main" id="{7E00AD0D-352C-4F04-B4CD-3D627D9D1F1F}"/>
                  </a:ext>
                </a:extLst>
              </xdr:cNvPr>
              <xdr:cNvGrpSpPr/>
            </xdr:nvGrpSpPr>
            <xdr:grpSpPr>
              <a:xfrm>
                <a:off x="2824053" y="12555715"/>
                <a:ext cx="1459379" cy="1636735"/>
                <a:chOff x="2824053" y="12840754"/>
                <a:chExt cx="1459379" cy="1675746"/>
              </a:xfrm>
            </xdr:grpSpPr>
            <xdr:grpSp>
              <xdr:nvGrpSpPr>
                <xdr:cNvPr id="20" name="그룹 168">
                  <a:extLst>
                    <a:ext uri="{FF2B5EF4-FFF2-40B4-BE49-F238E27FC236}">
                      <a16:creationId xmlns:a16="http://schemas.microsoft.com/office/drawing/2014/main" id="{0BD20A88-AC9A-4677-9B1D-731CA970A919}"/>
                    </a:ext>
                  </a:extLst>
                </xdr:cNvPr>
                <xdr:cNvGrpSpPr/>
              </xdr:nvGrpSpPr>
              <xdr:grpSpPr>
                <a:xfrm>
                  <a:off x="2824053" y="12840754"/>
                  <a:ext cx="1459379" cy="1675746"/>
                  <a:chOff x="4829506" y="6053432"/>
                  <a:chExt cx="1459379" cy="1598219"/>
                </a:xfrm>
              </xdr:grpSpPr>
              <xdr:grpSp>
                <xdr:nvGrpSpPr>
                  <xdr:cNvPr id="24" name="그룹 75">
                    <a:extLst>
                      <a:ext uri="{FF2B5EF4-FFF2-40B4-BE49-F238E27FC236}">
                        <a16:creationId xmlns:a16="http://schemas.microsoft.com/office/drawing/2014/main" id="{F1178DBD-DF48-41A6-A998-2FA2EC6E3974}"/>
                      </a:ext>
                    </a:extLst>
                  </xdr:cNvPr>
                  <xdr:cNvGrpSpPr/>
                </xdr:nvGrpSpPr>
                <xdr:grpSpPr>
                  <a:xfrm>
                    <a:off x="4839016" y="6053432"/>
                    <a:ext cx="1260487" cy="1598219"/>
                    <a:chOff x="5030532" y="1143545"/>
                    <a:chExt cx="1263341" cy="1582315"/>
                  </a:xfrm>
                </xdr:grpSpPr>
                <xdr:sp macro="" textlink="">
                  <xdr:nvSpPr>
                    <xdr:cNvPr id="43" name="TextBox 42">
                      <a:extLst>
                        <a:ext uri="{FF2B5EF4-FFF2-40B4-BE49-F238E27FC236}">
                          <a16:creationId xmlns:a16="http://schemas.microsoft.com/office/drawing/2014/main" id="{6D0D2444-8F73-469E-9C93-24542A272E8C}"/>
                        </a:ext>
                      </a:extLst>
                    </xdr:cNvPr>
                    <xdr:cNvSpPr txBox="1"/>
                  </xdr:nvSpPr>
                  <xdr:spPr>
                    <a:xfrm>
                      <a:off x="5553876" y="2502935"/>
                      <a:ext cx="739997" cy="2229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Bracket</a:t>
                      </a:r>
                      <a:endParaRPr lang="en-US" sz="900"/>
                    </a:p>
                  </xdr:txBody>
                </xdr:sp>
                <xdr:grpSp>
                  <xdr:nvGrpSpPr>
                    <xdr:cNvPr id="44" name="그룹 77">
                      <a:extLst>
                        <a:ext uri="{FF2B5EF4-FFF2-40B4-BE49-F238E27FC236}">
                          <a16:creationId xmlns:a16="http://schemas.microsoft.com/office/drawing/2014/main" id="{4642D6FF-2F4B-4563-8F7C-C1BCF52FB6FF}"/>
                        </a:ext>
                      </a:extLst>
                    </xdr:cNvPr>
                    <xdr:cNvGrpSpPr/>
                  </xdr:nvGrpSpPr>
                  <xdr:grpSpPr>
                    <a:xfrm>
                      <a:off x="5030532" y="1143545"/>
                      <a:ext cx="1236467" cy="1578507"/>
                      <a:chOff x="5019107" y="1152841"/>
                      <a:chExt cx="1233246" cy="1594372"/>
                    </a:xfrm>
                  </xdr:grpSpPr>
                  <xdr:grpSp>
                    <xdr:nvGrpSpPr>
                      <xdr:cNvPr id="45" name="그룹 78">
                        <a:extLst>
                          <a:ext uri="{FF2B5EF4-FFF2-40B4-BE49-F238E27FC236}">
                            <a16:creationId xmlns:a16="http://schemas.microsoft.com/office/drawing/2014/main" id="{E30607B3-B543-4AE4-B6AD-22178A49948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19107" y="1152841"/>
                        <a:ext cx="1104144" cy="1594372"/>
                        <a:chOff x="5014983" y="1172949"/>
                        <a:chExt cx="1103104" cy="1628692"/>
                      </a:xfrm>
                    </xdr:grpSpPr>
                    <xdr:grpSp>
                      <xdr:nvGrpSpPr>
                        <xdr:cNvPr id="53" name="그룹 117">
                          <a:extLst>
                            <a:ext uri="{FF2B5EF4-FFF2-40B4-BE49-F238E27FC236}">
                              <a16:creationId xmlns:a16="http://schemas.microsoft.com/office/drawing/2014/main" id="{1757451D-96FA-4BEA-96F3-7A104F3CE6B5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014983" y="1716932"/>
                          <a:ext cx="857016" cy="1084709"/>
                          <a:chOff x="5268953" y="313952"/>
                          <a:chExt cx="745542" cy="1069110"/>
                        </a:xfrm>
                      </xdr:grpSpPr>
                      <xdr:grpSp>
                        <xdr:nvGrpSpPr>
                          <xdr:cNvPr id="56" name="그룹 124">
                            <a:extLst>
                              <a:ext uri="{FF2B5EF4-FFF2-40B4-BE49-F238E27FC236}">
                                <a16:creationId xmlns:a16="http://schemas.microsoft.com/office/drawing/2014/main" id="{F9447B6C-E100-421A-AD6D-63194494142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5268953" y="334363"/>
                            <a:ext cx="596578" cy="1048699"/>
                            <a:chOff x="3797063" y="399805"/>
                            <a:chExt cx="597076" cy="1042482"/>
                          </a:xfrm>
                        </xdr:grpSpPr>
                        <xdr:cxnSp macro="">
                          <xdr:nvCxnSpPr>
                            <xdr:cNvPr id="58" name="직선 연결선 137">
                              <a:extLst>
                                <a:ext uri="{FF2B5EF4-FFF2-40B4-BE49-F238E27FC236}">
                                  <a16:creationId xmlns:a16="http://schemas.microsoft.com/office/drawing/2014/main" id="{40E2BDB5-8578-4B56-8626-6D7EFE42034C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797063" y="1442287"/>
                              <a:ext cx="521564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59" name="직선 연결선 139">
                              <a:extLst>
                                <a:ext uri="{FF2B5EF4-FFF2-40B4-BE49-F238E27FC236}">
                                  <a16:creationId xmlns:a16="http://schemas.microsoft.com/office/drawing/2014/main" id="{9C91E6F1-84E2-47BB-AE6A-0EC410A1E991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57" name="직선 연결선 123">
                            <a:extLst>
                              <a:ext uri="{FF2B5EF4-FFF2-40B4-BE49-F238E27FC236}">
                                <a16:creationId xmlns:a16="http://schemas.microsoft.com/office/drawing/2014/main" id="{9B3114FD-A338-4AD7-AEFA-78C5D792415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651145" y="313952"/>
                            <a:ext cx="363350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" name="직선 화살표 연결선 107">
                          <a:extLst>
                            <a:ext uri="{FF2B5EF4-FFF2-40B4-BE49-F238E27FC236}">
                              <a16:creationId xmlns:a16="http://schemas.microsoft.com/office/drawing/2014/main" id="{198646C5-2EDF-4851-BFE1-A2C6D01E981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6018" y="1239453"/>
                          <a:ext cx="0" cy="364057"/>
                        </a:xfrm>
                        <a:prstGeom prst="straightConnector1">
                          <a:avLst/>
                        </a:prstGeom>
                        <a:ln w="28575">
                          <a:solidFill>
                            <a:srgbClr val="FF0000"/>
                          </a:solidFill>
                          <a:tailEnd type="arrow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55" name="TextBox 54">
                          <a:extLst>
                            <a:ext uri="{FF2B5EF4-FFF2-40B4-BE49-F238E27FC236}">
                              <a16:creationId xmlns:a16="http://schemas.microsoft.com/office/drawing/2014/main" id="{D151B4C1-7E66-4352-B0C6-A066160F4317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470545" y="1172949"/>
                          <a:ext cx="647542" cy="234294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F</a:t>
                          </a:r>
                          <a:r>
                            <a:rPr lang="en-US" altLang="ko-KR" sz="900" baseline="-25000"/>
                            <a:t>wet con'c</a:t>
                          </a:r>
                          <a:endParaRPr lang="en-US" sz="900" baseline="-25000"/>
                        </a:p>
                      </xdr:txBody>
                    </xdr:sp>
                  </xdr:grpSp>
                  <xdr:grpSp>
                    <xdr:nvGrpSpPr>
                      <xdr:cNvPr id="46" name="그룹 79">
                        <a:extLst>
                          <a:ext uri="{FF2B5EF4-FFF2-40B4-BE49-F238E27FC236}">
                            <a16:creationId xmlns:a16="http://schemas.microsoft.com/office/drawing/2014/main" id="{B7B8E5F6-AAD9-4075-B6E9-782F6425C65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481638" y="1588294"/>
                        <a:ext cx="770715" cy="1126331"/>
                        <a:chOff x="5481638" y="1588294"/>
                        <a:chExt cx="770715" cy="1126331"/>
                      </a:xfrm>
                    </xdr:grpSpPr>
                    <xdr:grpSp>
                      <xdr:nvGrpSpPr>
                        <xdr:cNvPr id="47" name="그룹 94">
                          <a:extLst>
                            <a:ext uri="{FF2B5EF4-FFF2-40B4-BE49-F238E27FC236}">
                              <a16:creationId xmlns:a16="http://schemas.microsoft.com/office/drawing/2014/main" id="{1F078384-28AF-421C-A296-73D8093211EF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481638" y="1628569"/>
                          <a:ext cx="770715" cy="1086056"/>
                          <a:chOff x="5481638" y="1628569"/>
                          <a:chExt cx="770715" cy="1086056"/>
                        </a:xfrm>
                      </xdr:grpSpPr>
                      <xdr:cxnSp macro="">
                        <xdr:nvCxnSpPr>
                          <xdr:cNvPr id="50" name="직선 연결선 103">
                            <a:extLst>
                              <a:ext uri="{FF2B5EF4-FFF2-40B4-BE49-F238E27FC236}">
                                <a16:creationId xmlns:a16="http://schemas.microsoft.com/office/drawing/2014/main" id="{1B6EAB8C-0A48-4984-AC60-7AB7B85BD1BE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33315" y="1726834"/>
                            <a:ext cx="514350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1" name="직선 연결선 104">
                            <a:extLst>
                              <a:ext uri="{FF2B5EF4-FFF2-40B4-BE49-F238E27FC236}">
                                <a16:creationId xmlns:a16="http://schemas.microsoft.com/office/drawing/2014/main" id="{50DCCCFF-8A0B-4AEF-AF2F-6F8B85DFCB7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481638" y="1716280"/>
                            <a:ext cx="770715" cy="998345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52" name="자유형 105">
                            <a:extLst>
                              <a:ext uri="{FF2B5EF4-FFF2-40B4-BE49-F238E27FC236}">
                                <a16:creationId xmlns:a16="http://schemas.microsoft.com/office/drawing/2014/main" id="{C8B53C67-C175-4263-B60D-68B628D6C5A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869782" y="1628569"/>
                            <a:ext cx="381000" cy="82531"/>
                          </a:xfrm>
                          <a:custGeom>
                            <a:avLst/>
                            <a:gdLst>
                              <a:gd name="connsiteX0" fmla="*/ 78581 w 381000"/>
                              <a:gd name="connsiteY0" fmla="*/ 0 h 88107"/>
                              <a:gd name="connsiteX1" fmla="*/ 381000 w 381000"/>
                              <a:gd name="connsiteY1" fmla="*/ 0 h 88107"/>
                              <a:gd name="connsiteX2" fmla="*/ 381000 w 381000"/>
                              <a:gd name="connsiteY2" fmla="*/ 88107 h 88107"/>
                              <a:gd name="connsiteX3" fmla="*/ 0 w 381000"/>
                              <a:gd name="connsiteY3" fmla="*/ 88107 h 88107"/>
                              <a:gd name="connsiteX4" fmla="*/ 78581 w 381000"/>
                              <a:gd name="connsiteY4" fmla="*/ 0 h 88107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</a:cxnLst>
                            <a:rect l="l" t="t" r="r" b="b"/>
                            <a:pathLst>
                              <a:path w="381000" h="88107">
                                <a:moveTo>
                                  <a:pt x="78581" y="0"/>
                                </a:moveTo>
                                <a:lnTo>
                                  <a:pt x="381000" y="0"/>
                                </a:lnTo>
                                <a:lnTo>
                                  <a:pt x="381000" y="88107"/>
                                </a:lnTo>
                                <a:lnTo>
                                  <a:pt x="0" y="88107"/>
                                </a:lnTo>
                                <a:lnTo>
                                  <a:pt x="78581" y="0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n w="31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n-US" sz="1100"/>
                          </a:p>
                        </xdr:txBody>
                      </xdr:sp>
                    </xdr:grpSp>
                    <xdr:sp macro="" textlink="">
                      <xdr:nvSpPr>
                        <xdr:cNvPr id="48" name="원호 95">
                          <a:extLst>
                            <a:ext uri="{FF2B5EF4-FFF2-40B4-BE49-F238E27FC236}">
                              <a16:creationId xmlns:a16="http://schemas.microsoft.com/office/drawing/2014/main" id="{50103119-2117-4A12-8367-0DC5CE06922E}"/>
                            </a:ext>
                          </a:extLst>
                        </xdr:cNvPr>
                        <xdr:cNvSpPr/>
                      </xdr:nvSpPr>
                      <xdr:spPr>
                        <a:xfrm rot="11444375">
                          <a:off x="5995988" y="1588294"/>
                          <a:ext cx="250031" cy="326232"/>
                        </a:xfrm>
                        <a:prstGeom prst="arc">
                          <a:avLst/>
                        </a:prstGeom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n-US" sz="1100"/>
                        </a:p>
                      </xdr:txBody>
                    </xdr:sp>
                    <xdr:sp macro="" textlink="">
                      <xdr:nvSpPr>
                        <xdr:cNvPr id="49" name="TextBox 48">
                          <a:extLst>
                            <a:ext uri="{FF2B5EF4-FFF2-40B4-BE49-F238E27FC236}">
                              <a16:creationId xmlns:a16="http://schemas.microsoft.com/office/drawing/2014/main" id="{5DCE2459-11C9-4760-ADD1-34023972085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80117" y="1763467"/>
                          <a:ext cx="240508" cy="20032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>
                              <a:sym typeface="Symbol"/>
                            </a:rPr>
                            <a:t></a:t>
                          </a:r>
                          <a:endParaRPr lang="en-US" sz="900"/>
                        </a:p>
                      </xdr:txBody>
                    </xdr:sp>
                  </xdr:grpSp>
                </xdr:grpSp>
              </xdr:grpSp>
              <xdr:cxnSp macro="">
                <xdr:nvCxnSpPr>
                  <xdr:cNvPr id="25" name="직선 화살표 연결선 150">
                    <a:extLst>
                      <a:ext uri="{FF2B5EF4-FFF2-40B4-BE49-F238E27FC236}">
                        <a16:creationId xmlns:a16="http://schemas.microsoft.com/office/drawing/2014/main" id="{5592AE36-9268-4FE6-98EC-01556695257A}"/>
                      </a:ext>
                    </a:extLst>
                  </xdr:cNvPr>
                  <xdr:cNvCxnSpPr/>
                </xdr:nvCxnSpPr>
                <xdr:spPr>
                  <a:xfrm>
                    <a:off x="6072615" y="6131881"/>
                    <a:ext cx="0" cy="405884"/>
                  </a:xfrm>
                  <a:prstGeom prst="straightConnector1">
                    <a:avLst/>
                  </a:prstGeom>
                  <a:ln w="28575">
                    <a:solidFill>
                      <a:srgbClr val="FF0000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26" name="그룹 167">
                    <a:extLst>
                      <a:ext uri="{FF2B5EF4-FFF2-40B4-BE49-F238E27FC236}">
                        <a16:creationId xmlns:a16="http://schemas.microsoft.com/office/drawing/2014/main" id="{803E2518-BA13-48E8-93A1-F5188F03AAA5}"/>
                      </a:ext>
                    </a:extLst>
                  </xdr:cNvPr>
                  <xdr:cNvGrpSpPr/>
                </xdr:nvGrpSpPr>
                <xdr:grpSpPr>
                  <a:xfrm>
                    <a:off x="4829506" y="6603321"/>
                    <a:ext cx="1459379" cy="812501"/>
                    <a:chOff x="4829506" y="6603321"/>
                    <a:chExt cx="1459379" cy="812501"/>
                  </a:xfrm>
                </xdr:grpSpPr>
                <xdr:sp macro="" textlink="">
                  <xdr:nvSpPr>
                    <xdr:cNvPr id="27" name="TextBox 26">
                      <a:extLst>
                        <a:ext uri="{FF2B5EF4-FFF2-40B4-BE49-F238E27FC236}">
                          <a16:creationId xmlns:a16="http://schemas.microsoft.com/office/drawing/2014/main" id="{E6BB7E12-17E2-47C1-BC33-51E8EE1EB5A2}"/>
                        </a:ext>
                      </a:extLst>
                    </xdr:cNvPr>
                    <xdr:cNvSpPr txBox="1"/>
                  </xdr:nvSpPr>
                  <xdr:spPr>
                    <a:xfrm>
                      <a:off x="5017707" y="6603321"/>
                      <a:ext cx="359139" cy="22516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V</a:t>
                      </a:r>
                      <a:endParaRPr lang="en-US" sz="900"/>
                    </a:p>
                  </xdr:txBody>
                </xdr:sp>
                <xdr:grpSp>
                  <xdr:nvGrpSpPr>
                    <xdr:cNvPr id="28" name="그룹 166">
                      <a:extLst>
                        <a:ext uri="{FF2B5EF4-FFF2-40B4-BE49-F238E27FC236}">
                          <a16:creationId xmlns:a16="http://schemas.microsoft.com/office/drawing/2014/main" id="{5AE78B32-C145-4364-B4CB-EA135C6A1BFA}"/>
                        </a:ext>
                      </a:extLst>
                    </xdr:cNvPr>
                    <xdr:cNvGrpSpPr/>
                  </xdr:nvGrpSpPr>
                  <xdr:grpSpPr>
                    <a:xfrm>
                      <a:off x="4829506" y="6708622"/>
                      <a:ext cx="1459379" cy="707200"/>
                      <a:chOff x="4829506" y="6708622"/>
                      <a:chExt cx="1459379" cy="707200"/>
                    </a:xfrm>
                  </xdr:grpSpPr>
                  <xdr:grpSp>
                    <xdr:nvGrpSpPr>
                      <xdr:cNvPr id="29" name="그룹 63">
                        <a:extLst>
                          <a:ext uri="{FF2B5EF4-FFF2-40B4-BE49-F238E27FC236}">
                            <a16:creationId xmlns:a16="http://schemas.microsoft.com/office/drawing/2014/main" id="{B74A6398-618F-4C75-BD22-58D8A93ABCB4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79204" y="6708622"/>
                        <a:ext cx="255599" cy="413813"/>
                        <a:chOff x="4867273" y="6713385"/>
                        <a:chExt cx="255599" cy="413813"/>
                      </a:xfrm>
                    </xdr:grpSpPr>
                    <xdr:cxnSp macro="">
                      <xdr:nvCxnSpPr>
                        <xdr:cNvPr id="38" name="직선 화살표 연결선 147">
                          <a:extLst>
                            <a:ext uri="{FF2B5EF4-FFF2-40B4-BE49-F238E27FC236}">
                              <a16:creationId xmlns:a16="http://schemas.microsoft.com/office/drawing/2014/main" id="{B3DEB57E-BA4A-4627-9A50-900A7611A7A8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10955" y="6724766"/>
                          <a:ext cx="111917" cy="402432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headEnd w="sm" len="sm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" name="직선 화살표 연결선 33">
                          <a:extLst>
                            <a:ext uri="{FF2B5EF4-FFF2-40B4-BE49-F238E27FC236}">
                              <a16:creationId xmlns:a16="http://schemas.microsoft.com/office/drawing/2014/main" id="{53AFFC1C-C820-4591-8BF8-970401470EF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867273" y="7120574"/>
                          <a:ext cx="145257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0" name="직선 연결선 55">
                          <a:extLst>
                            <a:ext uri="{FF2B5EF4-FFF2-40B4-BE49-F238E27FC236}">
                              <a16:creationId xmlns:a16="http://schemas.microsoft.com/office/drawing/2014/main" id="{0CE6BE6D-2CF5-4AAE-AD0E-06414890F5C6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7848" y="6718147"/>
                          <a:ext cx="112712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" name="직선 연결선 58">
                          <a:extLst>
                            <a:ext uri="{FF2B5EF4-FFF2-40B4-BE49-F238E27FC236}">
                              <a16:creationId xmlns:a16="http://schemas.microsoft.com/office/drawing/2014/main" id="{49F70B2A-B308-40DD-BF41-0FAEF3BDAA7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5862" y="6713385"/>
                          <a:ext cx="0" cy="402431"/>
                        </a:xfrm>
                        <a:prstGeom prst="line">
                          <a:avLst/>
                        </a:prstGeom>
                        <a:ln>
                          <a:prstDash val="sysDot"/>
                          <a:tailEnd type="non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" name="직선 연결선 60">
                          <a:extLst>
                            <a:ext uri="{FF2B5EF4-FFF2-40B4-BE49-F238E27FC236}">
                              <a16:creationId xmlns:a16="http://schemas.microsoft.com/office/drawing/2014/main" id="{6DE7BE23-40CE-48A2-B879-69F0D5C38D67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876811" y="6725292"/>
                          <a:ext cx="116670" cy="388145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30" name="TextBox 29">
                        <a:extLst>
                          <a:ext uri="{FF2B5EF4-FFF2-40B4-BE49-F238E27FC236}">
                            <a16:creationId xmlns:a16="http://schemas.microsoft.com/office/drawing/2014/main" id="{90A99F25-EBA9-460E-9794-4CAACF14F34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829506" y="6988495"/>
                        <a:ext cx="359139" cy="22516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V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  <xdr:grpSp>
                    <xdr:nvGrpSpPr>
                      <xdr:cNvPr id="31" name="그룹 162">
                        <a:extLst>
                          <a:ext uri="{FF2B5EF4-FFF2-40B4-BE49-F238E27FC236}">
                            <a16:creationId xmlns:a16="http://schemas.microsoft.com/office/drawing/2014/main" id="{D2C3F2B7-F2B3-4B40-A260-3F18450D280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672138" y="6838956"/>
                        <a:ext cx="616747" cy="414338"/>
                        <a:chOff x="5710234" y="6898481"/>
                        <a:chExt cx="616747" cy="414338"/>
                      </a:xfrm>
                    </xdr:grpSpPr>
                    <xdr:cxnSp macro="">
                      <xdr:nvCxnSpPr>
                        <xdr:cNvPr id="33" name="직선 화살표 연결선 68">
                          <a:extLst>
                            <a:ext uri="{FF2B5EF4-FFF2-40B4-BE49-F238E27FC236}">
                              <a16:creationId xmlns:a16="http://schemas.microsoft.com/office/drawing/2014/main" id="{02CE0287-1887-4A4C-BE62-E975993D006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710234" y="7310437"/>
                          <a:ext cx="319090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4" name="직선 연결선 71">
                          <a:extLst>
                            <a:ext uri="{FF2B5EF4-FFF2-40B4-BE49-F238E27FC236}">
                              <a16:creationId xmlns:a16="http://schemas.microsoft.com/office/drawing/2014/main" id="{0688FD12-916A-46F8-ABD8-CE69BD562CCE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710234" y="6900863"/>
                          <a:ext cx="309566" cy="40718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5" name="직선 화살표 연결선 156">
                          <a:extLst>
                            <a:ext uri="{FF2B5EF4-FFF2-40B4-BE49-F238E27FC236}">
                              <a16:creationId xmlns:a16="http://schemas.microsoft.com/office/drawing/2014/main" id="{1077F2BB-62F2-4BE4-AEA3-58EE38C9FFE8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6022181" y="6898481"/>
                          <a:ext cx="298915" cy="414338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6" name="직선 연결선 158">
                          <a:extLst>
                            <a:ext uri="{FF2B5EF4-FFF2-40B4-BE49-F238E27FC236}">
                              <a16:creationId xmlns:a16="http://schemas.microsoft.com/office/drawing/2014/main" id="{BE0AD258-5260-47DC-B1F3-F21A0D92A46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9325" y="6900863"/>
                          <a:ext cx="297656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7" name="직선 연결선 161">
                          <a:extLst>
                            <a:ext uri="{FF2B5EF4-FFF2-40B4-BE49-F238E27FC236}">
                              <a16:creationId xmlns:a16="http://schemas.microsoft.com/office/drawing/2014/main" id="{CDEFFFD6-937A-4DD6-BBBE-F80B9BAB40AC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4563" y="6898481"/>
                          <a:ext cx="0" cy="41195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32" name="TextBox 31">
                        <a:extLst>
                          <a:ext uri="{FF2B5EF4-FFF2-40B4-BE49-F238E27FC236}">
                            <a16:creationId xmlns:a16="http://schemas.microsoft.com/office/drawing/2014/main" id="{35614366-CF2D-4ADF-99F0-2009677C0B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632280" y="7259033"/>
                        <a:ext cx="437192" cy="156789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F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</xdr:grpSp>
              </xdr:grpSp>
            </xdr:grpSp>
            <xdr:cxnSp macro="">
              <xdr:nvCxnSpPr>
                <xdr:cNvPr id="21" name="직선 연결선 58">
                  <a:extLst>
                    <a:ext uri="{FF2B5EF4-FFF2-40B4-BE49-F238E27FC236}">
                      <a16:creationId xmlns:a16="http://schemas.microsoft.com/office/drawing/2014/main" id="{C51FB262-65D9-4792-999E-56C5925601E2}"/>
                    </a:ext>
                  </a:extLst>
                </xdr:cNvPr>
                <xdr:cNvCxnSpPr/>
              </xdr:nvCxnSpPr>
              <xdr:spPr>
                <a:xfrm>
                  <a:off x="3233790" y="14073864"/>
                  <a:ext cx="0" cy="421952"/>
                </a:xfrm>
                <a:prstGeom prst="line">
                  <a:avLst/>
                </a:prstGeom>
                <a:ln>
                  <a:prstDash val="sysDot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2" name="원호 95">
                  <a:extLst>
                    <a:ext uri="{FF2B5EF4-FFF2-40B4-BE49-F238E27FC236}">
                      <a16:creationId xmlns:a16="http://schemas.microsoft.com/office/drawing/2014/main" id="{D4F2BC08-7411-48F2-9FC8-A9C13621AA80}"/>
                    </a:ext>
                  </a:extLst>
                </xdr:cNvPr>
                <xdr:cNvSpPr/>
              </xdr:nvSpPr>
              <xdr:spPr>
                <a:xfrm rot="20183720">
                  <a:off x="3176790" y="14180035"/>
                  <a:ext cx="250118" cy="325667"/>
                </a:xfrm>
                <a:prstGeom prst="arc">
                  <a:avLst>
                    <a:gd name="adj1" fmla="val 16200000"/>
                    <a:gd name="adj2" fmla="val 18250166"/>
                  </a:avLst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23" name="TextBox 22">
                  <a:extLst>
                    <a:ext uri="{FF2B5EF4-FFF2-40B4-BE49-F238E27FC236}">
                      <a16:creationId xmlns:a16="http://schemas.microsoft.com/office/drawing/2014/main" id="{E4AF089E-7DA3-4A24-ADD9-6339729C36DB}"/>
                    </a:ext>
                  </a:extLst>
                </xdr:cNvPr>
                <xdr:cNvSpPr txBox="1"/>
              </xdr:nvSpPr>
              <xdr:spPr>
                <a:xfrm>
                  <a:off x="3139424" y="13978180"/>
                  <a:ext cx="359139" cy="2360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l-GR" altLang="ko-KR" sz="900">
                      <a:ea typeface="맑은 고딕" panose="020B0503020000020004" pitchFamily="50" charset="-127"/>
                    </a:rPr>
                    <a:t>θ</a:t>
                  </a:r>
                  <a:endParaRPr lang="en-US" sz="900"/>
                </a:p>
              </xdr:txBody>
            </xdr:sp>
          </xdr:grpSp>
        </xdr:grpSp>
      </xdr:grpSp>
    </xdr:grpSp>
    <xdr:clientData/>
  </xdr:twoCellAnchor>
  <xdr:twoCellAnchor>
    <xdr:from>
      <xdr:col>3</xdr:col>
      <xdr:colOff>49306</xdr:colOff>
      <xdr:row>52</xdr:row>
      <xdr:rowOff>85913</xdr:rowOff>
    </xdr:from>
    <xdr:to>
      <xdr:col>24</xdr:col>
      <xdr:colOff>0</xdr:colOff>
      <xdr:row>61</xdr:row>
      <xdr:rowOff>94775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4C211F1D-0568-4938-9CE0-E9867F542F5C}"/>
            </a:ext>
          </a:extLst>
        </xdr:cNvPr>
        <xdr:cNvGrpSpPr/>
      </xdr:nvGrpSpPr>
      <xdr:grpSpPr>
        <a:xfrm>
          <a:off x="506506" y="10411013"/>
          <a:ext cx="3141569" cy="1723362"/>
          <a:chOff x="970564" y="11686932"/>
          <a:chExt cx="2578985" cy="1723860"/>
        </a:xfrm>
      </xdr:grpSpPr>
      <xdr:grpSp>
        <xdr:nvGrpSpPr>
          <xdr:cNvPr id="89" name="Group 88">
            <a:extLst>
              <a:ext uri="{FF2B5EF4-FFF2-40B4-BE49-F238E27FC236}">
                <a16:creationId xmlns:a16="http://schemas.microsoft.com/office/drawing/2014/main" id="{689396CB-4089-4944-97D3-024362672A8B}"/>
              </a:ext>
            </a:extLst>
          </xdr:cNvPr>
          <xdr:cNvGrpSpPr/>
        </xdr:nvGrpSpPr>
        <xdr:grpSpPr>
          <a:xfrm>
            <a:off x="970564" y="11686932"/>
            <a:ext cx="2578985" cy="1723860"/>
            <a:chOff x="1065826" y="10766266"/>
            <a:chExt cx="2977806" cy="2118679"/>
          </a:xfrm>
        </xdr:grpSpPr>
        <xdr:cxnSp macro="">
          <xdr:nvCxnSpPr>
            <xdr:cNvPr id="101" name="Straight Connector 100">
              <a:extLst>
                <a:ext uri="{FF2B5EF4-FFF2-40B4-BE49-F238E27FC236}">
                  <a16:creationId xmlns:a16="http://schemas.microsoft.com/office/drawing/2014/main" id="{890EF0FB-9A48-4A53-B7CF-451A2DF7BD00}"/>
                </a:ext>
              </a:extLst>
            </xdr:cNvPr>
            <xdr:cNvCxnSpPr/>
          </xdr:nvCxnSpPr>
          <xdr:spPr>
            <a:xfrm>
              <a:off x="3731281" y="12288354"/>
              <a:ext cx="0" cy="202744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02" name="Group 101">
              <a:extLst>
                <a:ext uri="{FF2B5EF4-FFF2-40B4-BE49-F238E27FC236}">
                  <a16:creationId xmlns:a16="http://schemas.microsoft.com/office/drawing/2014/main" id="{82416070-A606-4342-B6EA-5122C18B1A80}"/>
                </a:ext>
              </a:extLst>
            </xdr:cNvPr>
            <xdr:cNvGrpSpPr/>
          </xdr:nvGrpSpPr>
          <xdr:grpSpPr>
            <a:xfrm>
              <a:off x="1065826" y="10766266"/>
              <a:ext cx="2977806" cy="2118679"/>
              <a:chOff x="1083798" y="10593550"/>
              <a:chExt cx="3031721" cy="2080779"/>
            </a:xfrm>
          </xdr:grpSpPr>
          <xdr:cxnSp macro="">
            <xdr:nvCxnSpPr>
              <xdr:cNvPr id="103" name="Straight Connector 102">
                <a:extLst>
                  <a:ext uri="{FF2B5EF4-FFF2-40B4-BE49-F238E27FC236}">
                    <a16:creationId xmlns:a16="http://schemas.microsoft.com/office/drawing/2014/main" id="{95A37D1D-B7A0-4CE8-BD24-9963DF7139FB}"/>
                  </a:ext>
                </a:extLst>
              </xdr:cNvPr>
              <xdr:cNvCxnSpPr/>
            </xdr:nvCxnSpPr>
            <xdr:spPr>
              <a:xfrm>
                <a:off x="1628890" y="12075141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4" name="Straight Connector 103">
                <a:extLst>
                  <a:ext uri="{FF2B5EF4-FFF2-40B4-BE49-F238E27FC236}">
                    <a16:creationId xmlns:a16="http://schemas.microsoft.com/office/drawing/2014/main" id="{F8EB3A83-7306-4CA8-BAC4-A428C194F798}"/>
                  </a:ext>
                </a:extLst>
              </xdr:cNvPr>
              <xdr:cNvCxnSpPr/>
            </xdr:nvCxnSpPr>
            <xdr:spPr>
              <a:xfrm>
                <a:off x="2712262" y="12083259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05" name="Group 104">
                <a:extLst>
                  <a:ext uri="{FF2B5EF4-FFF2-40B4-BE49-F238E27FC236}">
                    <a16:creationId xmlns:a16="http://schemas.microsoft.com/office/drawing/2014/main" id="{82399628-B532-4B9D-AA34-F426A3D6232C}"/>
                  </a:ext>
                </a:extLst>
              </xdr:cNvPr>
              <xdr:cNvGrpSpPr/>
            </xdr:nvGrpSpPr>
            <xdr:grpSpPr>
              <a:xfrm>
                <a:off x="1083798" y="10593550"/>
                <a:ext cx="3031721" cy="2080779"/>
                <a:chOff x="1083798" y="10593550"/>
                <a:chExt cx="3031721" cy="2080779"/>
              </a:xfrm>
            </xdr:grpSpPr>
            <xdr:grpSp>
              <xdr:nvGrpSpPr>
                <xdr:cNvPr id="106" name="Group 105">
                  <a:extLst>
                    <a:ext uri="{FF2B5EF4-FFF2-40B4-BE49-F238E27FC236}">
                      <a16:creationId xmlns:a16="http://schemas.microsoft.com/office/drawing/2014/main" id="{8A600914-6C7A-4F46-8BF0-6C85C13B2652}"/>
                    </a:ext>
                  </a:extLst>
                </xdr:cNvPr>
                <xdr:cNvGrpSpPr/>
              </xdr:nvGrpSpPr>
              <xdr:grpSpPr>
                <a:xfrm>
                  <a:off x="1133916" y="10593550"/>
                  <a:ext cx="2903515" cy="423185"/>
                  <a:chOff x="1121850" y="10663805"/>
                  <a:chExt cx="2866025" cy="426328"/>
                </a:xfrm>
              </xdr:grpSpPr>
              <xdr:grpSp>
                <xdr:nvGrpSpPr>
                  <xdr:cNvPr id="138" name="Group 137">
                    <a:extLst>
                      <a:ext uri="{FF2B5EF4-FFF2-40B4-BE49-F238E27FC236}">
                        <a16:creationId xmlns:a16="http://schemas.microsoft.com/office/drawing/2014/main" id="{F70EEF91-7734-4D7A-9408-E2D0CAA90651}"/>
                      </a:ext>
                    </a:extLst>
                  </xdr:cNvPr>
                  <xdr:cNvGrpSpPr/>
                </xdr:nvGrpSpPr>
                <xdr:grpSpPr>
                  <a:xfrm>
                    <a:off x="1121850" y="10860368"/>
                    <a:ext cx="2866025" cy="229765"/>
                    <a:chOff x="1084049" y="10957694"/>
                    <a:chExt cx="2849468" cy="229012"/>
                  </a:xfrm>
                </xdr:grpSpPr>
                <xdr:cxnSp macro="">
                  <xdr:nvCxnSpPr>
                    <xdr:cNvPr id="140" name="Straight Connector 139">
                      <a:extLst>
                        <a:ext uri="{FF2B5EF4-FFF2-40B4-BE49-F238E27FC236}">
                          <a16:creationId xmlns:a16="http://schemas.microsoft.com/office/drawing/2014/main" id="{C73CF600-F61C-49A9-853B-6CC76D209AE3}"/>
                        </a:ext>
                      </a:extLst>
                    </xdr:cNvPr>
                    <xdr:cNvCxnSpPr/>
                  </xdr:nvCxnSpPr>
                  <xdr:spPr>
                    <a:xfrm>
                      <a:off x="1091819" y="11179700"/>
                      <a:ext cx="2841698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1" name="Straight Connector 140">
                      <a:extLst>
                        <a:ext uri="{FF2B5EF4-FFF2-40B4-BE49-F238E27FC236}">
                          <a16:creationId xmlns:a16="http://schemas.microsoft.com/office/drawing/2014/main" id="{73F5047B-94C5-443C-B869-983CDF910264}"/>
                        </a:ext>
                      </a:extLst>
                    </xdr:cNvPr>
                    <xdr:cNvCxnSpPr/>
                  </xdr:nvCxnSpPr>
                  <xdr:spPr>
                    <a:xfrm flipV="1">
                      <a:off x="1095570" y="10957694"/>
                      <a:ext cx="0" cy="223593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2" name="Straight Connector 141">
                      <a:extLst>
                        <a:ext uri="{FF2B5EF4-FFF2-40B4-BE49-F238E27FC236}">
                          <a16:creationId xmlns:a16="http://schemas.microsoft.com/office/drawing/2014/main" id="{281D9E51-BF98-43AE-BB18-8DB792A0EFED}"/>
                        </a:ext>
                      </a:extLst>
                    </xdr:cNvPr>
                    <xdr:cNvCxnSpPr/>
                  </xdr:nvCxnSpPr>
                  <xdr:spPr>
                    <a:xfrm flipV="1">
                      <a:off x="1378721" y="10967708"/>
                      <a:ext cx="0" cy="21358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3" name="Straight Connector 142">
                      <a:extLst>
                        <a:ext uri="{FF2B5EF4-FFF2-40B4-BE49-F238E27FC236}">
                          <a16:creationId xmlns:a16="http://schemas.microsoft.com/office/drawing/2014/main" id="{EB9BBF6D-95DF-4BA9-B88A-C800AE0B5071}"/>
                        </a:ext>
                      </a:extLst>
                    </xdr:cNvPr>
                    <xdr:cNvCxnSpPr/>
                  </xdr:nvCxnSpPr>
                  <xdr:spPr>
                    <a:xfrm>
                      <a:off x="1084049" y="10959875"/>
                      <a:ext cx="2841263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4" name="Straight Connector 143">
                      <a:extLst>
                        <a:ext uri="{FF2B5EF4-FFF2-40B4-BE49-F238E27FC236}">
                          <a16:creationId xmlns:a16="http://schemas.microsoft.com/office/drawing/2014/main" id="{4BB56A03-6E00-4586-BF36-CB8F25146B56}"/>
                        </a:ext>
                      </a:extLst>
                    </xdr:cNvPr>
                    <xdr:cNvCxnSpPr/>
                  </xdr:nvCxnSpPr>
                  <xdr:spPr>
                    <a:xfrm flipV="1">
                      <a:off x="1662848" y="10967708"/>
                      <a:ext cx="0" cy="21899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5" name="Straight Connector 144">
                      <a:extLst>
                        <a:ext uri="{FF2B5EF4-FFF2-40B4-BE49-F238E27FC236}">
                          <a16:creationId xmlns:a16="http://schemas.microsoft.com/office/drawing/2014/main" id="{E0D1E527-1A51-4FE2-80B6-3581CCB69F5B}"/>
                        </a:ext>
                      </a:extLst>
                    </xdr:cNvPr>
                    <xdr:cNvCxnSpPr/>
                  </xdr:nvCxnSpPr>
                  <xdr:spPr>
                    <a:xfrm flipV="1">
                      <a:off x="1945999" y="10961294"/>
                      <a:ext cx="0" cy="2254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6" name="Straight Connector 145">
                      <a:extLst>
                        <a:ext uri="{FF2B5EF4-FFF2-40B4-BE49-F238E27FC236}">
                          <a16:creationId xmlns:a16="http://schemas.microsoft.com/office/drawing/2014/main" id="{0E53D5A3-A76E-452A-995C-0534EF547467}"/>
                        </a:ext>
                      </a:extLst>
                    </xdr:cNvPr>
                    <xdr:cNvCxnSpPr/>
                  </xdr:nvCxnSpPr>
                  <xdr:spPr>
                    <a:xfrm flipV="1">
                      <a:off x="2230126" y="10964500"/>
                      <a:ext cx="0" cy="219498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7" name="Straight Connector 146">
                      <a:extLst>
                        <a:ext uri="{FF2B5EF4-FFF2-40B4-BE49-F238E27FC236}">
                          <a16:creationId xmlns:a16="http://schemas.microsoft.com/office/drawing/2014/main" id="{B8DC5B32-CCA3-4BA9-ACEB-B9C101F56611}"/>
                        </a:ext>
                      </a:extLst>
                    </xdr:cNvPr>
                    <xdr:cNvCxnSpPr/>
                  </xdr:nvCxnSpPr>
                  <xdr:spPr>
                    <a:xfrm flipV="1">
                      <a:off x="2514254" y="10964500"/>
                      <a:ext cx="0" cy="2222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8" name="Straight Connector 147">
                      <a:extLst>
                        <a:ext uri="{FF2B5EF4-FFF2-40B4-BE49-F238E27FC236}">
                          <a16:creationId xmlns:a16="http://schemas.microsoft.com/office/drawing/2014/main" id="{C21D3F29-46D9-4B41-A2B4-F46254AA22FE}"/>
                        </a:ext>
                      </a:extLst>
                    </xdr:cNvPr>
                    <xdr:cNvCxnSpPr/>
                  </xdr:nvCxnSpPr>
                  <xdr:spPr>
                    <a:xfrm flipV="1">
                      <a:off x="2797405" y="10964500"/>
                      <a:ext cx="0" cy="222204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9" name="Straight Connector 148">
                      <a:extLst>
                        <a:ext uri="{FF2B5EF4-FFF2-40B4-BE49-F238E27FC236}">
                          <a16:creationId xmlns:a16="http://schemas.microsoft.com/office/drawing/2014/main" id="{6B0349C3-50AF-49FB-8C4F-725729FC4A05}"/>
                        </a:ext>
                      </a:extLst>
                    </xdr:cNvPr>
                    <xdr:cNvCxnSpPr/>
                  </xdr:nvCxnSpPr>
                  <xdr:spPr>
                    <a:xfrm flipV="1">
                      <a:off x="3079801" y="10958086"/>
                      <a:ext cx="0" cy="22049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0" name="Straight Connector 149">
                      <a:extLst>
                        <a:ext uri="{FF2B5EF4-FFF2-40B4-BE49-F238E27FC236}">
                          <a16:creationId xmlns:a16="http://schemas.microsoft.com/office/drawing/2014/main" id="{34ED120B-7BA5-4E71-8A9B-B378C626940B}"/>
                        </a:ext>
                      </a:extLst>
                    </xdr:cNvPr>
                    <xdr:cNvCxnSpPr/>
                  </xdr:nvCxnSpPr>
                  <xdr:spPr>
                    <a:xfrm flipV="1">
                      <a:off x="3363927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1" name="Straight Connector 150">
                      <a:extLst>
                        <a:ext uri="{FF2B5EF4-FFF2-40B4-BE49-F238E27FC236}">
                          <a16:creationId xmlns:a16="http://schemas.microsoft.com/office/drawing/2014/main" id="{DE42C6A8-0FF7-4DAE-BBBD-B66EA19B8CFF}"/>
                        </a:ext>
                      </a:extLst>
                    </xdr:cNvPr>
                    <xdr:cNvCxnSpPr/>
                  </xdr:nvCxnSpPr>
                  <xdr:spPr>
                    <a:xfrm flipV="1">
                      <a:off x="3647079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2" name="Straight Connector 151">
                      <a:extLst>
                        <a:ext uri="{FF2B5EF4-FFF2-40B4-BE49-F238E27FC236}">
                          <a16:creationId xmlns:a16="http://schemas.microsoft.com/office/drawing/2014/main" id="{EC060524-3DF8-495F-BFE5-957F1F333EC6}"/>
                        </a:ext>
                      </a:extLst>
                    </xdr:cNvPr>
                    <xdr:cNvCxnSpPr/>
                  </xdr:nvCxnSpPr>
                  <xdr:spPr>
                    <a:xfrm flipV="1">
                      <a:off x="3931205" y="10958089"/>
                      <a:ext cx="0" cy="223207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139" name="TextBox 138">
                    <a:extLst>
                      <a:ext uri="{FF2B5EF4-FFF2-40B4-BE49-F238E27FC236}">
                        <a16:creationId xmlns:a16="http://schemas.microsoft.com/office/drawing/2014/main" id="{A5C84DC9-DD77-42FE-AA03-0896B8C42859}"/>
                      </a:ext>
                    </a:extLst>
                  </xdr:cNvPr>
                  <xdr:cNvSpPr txBox="1"/>
                </xdr:nvSpPr>
                <xdr:spPr>
                  <a:xfrm>
                    <a:off x="1569240" y="10663805"/>
                    <a:ext cx="2171309" cy="2482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Lateral uniformly</a:t>
                    </a:r>
                    <a:r>
                      <a:rPr lang="en-US" sz="900" baseline="0"/>
                      <a:t> distributed load w</a:t>
                    </a:r>
                    <a:endParaRPr lang="en-US" sz="900"/>
                  </a:p>
                </xdr:txBody>
              </xdr:sp>
            </xdr:grpSp>
            <xdr:grpSp>
              <xdr:nvGrpSpPr>
                <xdr:cNvPr id="107" name="Group 106">
                  <a:extLst>
                    <a:ext uri="{FF2B5EF4-FFF2-40B4-BE49-F238E27FC236}">
                      <a16:creationId xmlns:a16="http://schemas.microsoft.com/office/drawing/2014/main" id="{D9142074-A4FA-4D82-9135-98A90202524C}"/>
                    </a:ext>
                  </a:extLst>
                </xdr:cNvPr>
                <xdr:cNvGrpSpPr/>
              </xdr:nvGrpSpPr>
              <xdr:grpSpPr>
                <a:xfrm>
                  <a:off x="1115769" y="11874326"/>
                  <a:ext cx="2992135" cy="800003"/>
                  <a:chOff x="1115769" y="11874326"/>
                  <a:chExt cx="2992135" cy="800003"/>
                </a:xfrm>
              </xdr:grpSpPr>
              <xdr:grpSp>
                <xdr:nvGrpSpPr>
                  <xdr:cNvPr id="119" name="Group 118">
                    <a:extLst>
                      <a:ext uri="{FF2B5EF4-FFF2-40B4-BE49-F238E27FC236}">
                        <a16:creationId xmlns:a16="http://schemas.microsoft.com/office/drawing/2014/main" id="{FF61BFB9-60BE-4F18-831A-66BAEA30AB45}"/>
                      </a:ext>
                    </a:extLst>
                  </xdr:cNvPr>
                  <xdr:cNvGrpSpPr/>
                </xdr:nvGrpSpPr>
                <xdr:grpSpPr>
                  <a:xfrm>
                    <a:off x="1115769" y="12067645"/>
                    <a:ext cx="2992135" cy="606684"/>
                    <a:chOff x="1103303" y="12150040"/>
                    <a:chExt cx="2954737" cy="611670"/>
                  </a:xfrm>
                </xdr:grpSpPr>
                <xdr:grpSp>
                  <xdr:nvGrpSpPr>
                    <xdr:cNvPr id="122" name="Group 121">
                      <a:extLst>
                        <a:ext uri="{FF2B5EF4-FFF2-40B4-BE49-F238E27FC236}">
                          <a16:creationId xmlns:a16="http://schemas.microsoft.com/office/drawing/2014/main" id="{0B18A6BE-D452-45C6-9528-6BFCC2FAC184}"/>
                        </a:ext>
                      </a:extLst>
                    </xdr:cNvPr>
                    <xdr:cNvGrpSpPr/>
                  </xdr:nvGrpSpPr>
                  <xdr:grpSpPr>
                    <a:xfrm>
                      <a:off x="1124367" y="12150040"/>
                      <a:ext cx="2916423" cy="366862"/>
                      <a:chOff x="1118861" y="12117153"/>
                      <a:chExt cx="2899906" cy="365798"/>
                    </a:xfrm>
                  </xdr:grpSpPr>
                  <xdr:cxnSp macro="">
                    <xdr:nvCxnSpPr>
                      <xdr:cNvPr id="130" name="Straight Connector 129">
                        <a:extLst>
                          <a:ext uri="{FF2B5EF4-FFF2-40B4-BE49-F238E27FC236}">
                            <a16:creationId xmlns:a16="http://schemas.microsoft.com/office/drawing/2014/main" id="{5D72B92A-B03F-4B7F-BE5E-0FAA83D1704D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36506" y="12318803"/>
                        <a:ext cx="2862912" cy="0"/>
                      </a:xfrm>
                      <a:prstGeom prst="line">
                        <a:avLst/>
                      </a:prstGeom>
                      <a:ln w="19050">
                        <a:solidFill>
                          <a:schemeClr val="tx2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131" name="Isosceles Triangle 130">
                        <a:extLst>
                          <a:ext uri="{FF2B5EF4-FFF2-40B4-BE49-F238E27FC236}">
                            <a16:creationId xmlns:a16="http://schemas.microsoft.com/office/drawing/2014/main" id="{A6612534-F702-4BB7-AE57-7C5C8104514F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36989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132" name="Freeform 63">
                        <a:extLst>
                          <a:ext uri="{FF2B5EF4-FFF2-40B4-BE49-F238E27FC236}">
                            <a16:creationId xmlns:a16="http://schemas.microsoft.com/office/drawing/2014/main" id="{0417CE22-0E43-4D2F-B180-6D2FDA4C44DB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98373" y="12117153"/>
                        <a:ext cx="1063408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3" name="Freeform 288">
                        <a:extLst>
                          <a:ext uri="{FF2B5EF4-FFF2-40B4-BE49-F238E27FC236}">
                            <a16:creationId xmlns:a16="http://schemas.microsoft.com/office/drawing/2014/main" id="{E4E6B526-8F9C-4332-810A-B22DC71F8C1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58518" y="12126939"/>
                        <a:ext cx="1076455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4" name="Freeform 64">
                        <a:extLst>
                          <a:ext uri="{FF2B5EF4-FFF2-40B4-BE49-F238E27FC236}">
                            <a16:creationId xmlns:a16="http://schemas.microsoft.com/office/drawing/2014/main" id="{BC2FCE94-759C-4480-95E7-FC0158F667BD}"/>
                          </a:ext>
                        </a:extLst>
                      </xdr:cNvPr>
                      <xdr:cNvSpPr/>
                    </xdr:nvSpPr>
                    <xdr:spPr>
                      <a:xfrm>
                        <a:off x="3725188" y="12130200"/>
                        <a:ext cx="293579" cy="267928"/>
                      </a:xfrm>
                      <a:custGeom>
                        <a:avLst/>
                        <a:gdLst>
                          <a:gd name="connsiteX0" fmla="*/ 0 w 293579"/>
                          <a:gd name="connsiteY0" fmla="*/ 0 h 267483"/>
                          <a:gd name="connsiteX1" fmla="*/ 172886 w 293579"/>
                          <a:gd name="connsiteY1" fmla="*/ 176147 h 267483"/>
                          <a:gd name="connsiteX2" fmla="*/ 293579 w 293579"/>
                          <a:gd name="connsiteY2" fmla="*/ 267483 h 267483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293579" h="267483">
                            <a:moveTo>
                              <a:pt x="0" y="0"/>
                            </a:moveTo>
                            <a:cubicBezTo>
                              <a:pt x="61978" y="65783"/>
                              <a:pt x="123956" y="131567"/>
                              <a:pt x="172886" y="176147"/>
                            </a:cubicBezTo>
                            <a:cubicBezTo>
                              <a:pt x="221816" y="220728"/>
                              <a:pt x="262047" y="240300"/>
                              <a:pt x="293579" y="267483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5" name="Freeform 65">
                        <a:extLst>
                          <a:ext uri="{FF2B5EF4-FFF2-40B4-BE49-F238E27FC236}">
                            <a16:creationId xmlns:a16="http://schemas.microsoft.com/office/drawing/2014/main" id="{B508C36C-DECA-494D-B70F-3A81C825C938}"/>
                          </a:ext>
                        </a:extLst>
                      </xdr:cNvPr>
                      <xdr:cNvSpPr/>
                    </xdr:nvSpPr>
                    <xdr:spPr>
                      <a:xfrm>
                        <a:off x="1118861" y="12126939"/>
                        <a:ext cx="486036" cy="336430"/>
                      </a:xfrm>
                      <a:custGeom>
                        <a:avLst/>
                        <a:gdLst>
                          <a:gd name="connsiteX0" fmla="*/ 486036 w 486036"/>
                          <a:gd name="connsiteY0" fmla="*/ 0 h 335985"/>
                          <a:gd name="connsiteX1" fmla="*/ 306627 w 486036"/>
                          <a:gd name="connsiteY1" fmla="*/ 169623 h 335985"/>
                          <a:gd name="connsiteX2" fmla="*/ 166362 w 486036"/>
                          <a:gd name="connsiteY2" fmla="*/ 270745 h 335985"/>
                          <a:gd name="connsiteX3" fmla="*/ 65240 w 486036"/>
                          <a:gd name="connsiteY3" fmla="*/ 316413 h 335985"/>
                          <a:gd name="connsiteX4" fmla="*/ 0 w 486036"/>
                          <a:gd name="connsiteY4" fmla="*/ 335985 h 335985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  <a:cxn ang="0">
                            <a:pos x="connsiteX3" y="connsiteY3"/>
                          </a:cxn>
                          <a:cxn ang="0">
                            <a:pos x="connsiteX4" y="connsiteY4"/>
                          </a:cxn>
                        </a:cxnLst>
                        <a:rect l="l" t="t" r="r" b="b"/>
                        <a:pathLst>
                          <a:path w="486036" h="335985">
                            <a:moveTo>
                              <a:pt x="486036" y="0"/>
                            </a:moveTo>
                            <a:cubicBezTo>
                              <a:pt x="422971" y="62249"/>
                              <a:pt x="359906" y="124499"/>
                              <a:pt x="306627" y="169623"/>
                            </a:cubicBezTo>
                            <a:cubicBezTo>
                              <a:pt x="253348" y="214747"/>
                              <a:pt x="206593" y="246280"/>
                              <a:pt x="166362" y="270745"/>
                            </a:cubicBezTo>
                            <a:cubicBezTo>
                              <a:pt x="126131" y="295210"/>
                              <a:pt x="92967" y="305540"/>
                              <a:pt x="65240" y="316413"/>
                            </a:cubicBezTo>
                            <a:cubicBezTo>
                              <a:pt x="37513" y="327286"/>
                              <a:pt x="5437" y="326199"/>
                              <a:pt x="0" y="335985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6" name="Isosceles Triangle 135">
                        <a:extLst>
                          <a:ext uri="{FF2B5EF4-FFF2-40B4-BE49-F238E27FC236}">
                            <a16:creationId xmlns:a16="http://schemas.microsoft.com/office/drawing/2014/main" id="{B294A759-CF02-4C18-84D6-69BC6EE9A772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01781" y="123260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137" name="Isosceles Triangle 136">
                        <a:extLst>
                          <a:ext uri="{FF2B5EF4-FFF2-40B4-BE49-F238E27FC236}">
                            <a16:creationId xmlns:a16="http://schemas.microsoft.com/office/drawing/2014/main" id="{5924EE57-7FC5-4A81-9D08-7E3E076258F8}"/>
                          </a:ext>
                        </a:extLst>
                      </xdr:cNvPr>
                      <xdr:cNvSpPr/>
                    </xdr:nvSpPr>
                    <xdr:spPr>
                      <a:xfrm>
                        <a:off x="3670638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</xdr:grpSp>
                <xdr:grpSp>
                  <xdr:nvGrpSpPr>
                    <xdr:cNvPr id="123" name="Group 122">
                      <a:extLst>
                        <a:ext uri="{FF2B5EF4-FFF2-40B4-BE49-F238E27FC236}">
                          <a16:creationId xmlns:a16="http://schemas.microsoft.com/office/drawing/2014/main" id="{4C48B5B9-94E2-4EE2-828D-E71E0064F4F6}"/>
                        </a:ext>
                      </a:extLst>
                    </xdr:cNvPr>
                    <xdr:cNvGrpSpPr/>
                  </xdr:nvGrpSpPr>
                  <xdr:grpSpPr>
                    <a:xfrm>
                      <a:off x="1103303" y="12539761"/>
                      <a:ext cx="2954737" cy="153555"/>
                      <a:chOff x="1103303" y="12539761"/>
                      <a:chExt cx="2954737" cy="153555"/>
                    </a:xfrm>
                  </xdr:grpSpPr>
                  <xdr:cxnSp macro="">
                    <xdr:nvCxnSpPr>
                      <xdr:cNvPr id="126" name="Straight Connector 125">
                        <a:extLst>
                          <a:ext uri="{FF2B5EF4-FFF2-40B4-BE49-F238E27FC236}">
                            <a16:creationId xmlns:a16="http://schemas.microsoft.com/office/drawing/2014/main" id="{487BF943-7075-4A4E-BD01-38BDA2D9FD02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03303" y="12693316"/>
                        <a:ext cx="2954737" cy="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27" name="Straight Connector 126">
                        <a:extLst>
                          <a:ext uri="{FF2B5EF4-FFF2-40B4-BE49-F238E27FC236}">
                            <a16:creationId xmlns:a16="http://schemas.microsoft.com/office/drawing/2014/main" id="{92E3A867-FBF8-4E04-B1D5-7FD71AB9702D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601390" y="12541164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28" name="Straight Connector 127">
                        <a:extLst>
                          <a:ext uri="{FF2B5EF4-FFF2-40B4-BE49-F238E27FC236}">
                            <a16:creationId xmlns:a16="http://schemas.microsoft.com/office/drawing/2014/main" id="{DF1348B0-C1B7-428B-BDD9-9334CC85B48F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2675809" y="12539762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29" name="Straight Connector 128">
                        <a:extLst>
                          <a:ext uri="{FF2B5EF4-FFF2-40B4-BE49-F238E27FC236}">
                            <a16:creationId xmlns:a16="http://schemas.microsoft.com/office/drawing/2014/main" id="{853A9F44-81E0-4F6A-BEF7-55F33071E93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3754942" y="12539761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sp macro="" textlink="">
                  <xdr:nvSpPr>
                    <xdr:cNvPr id="124" name="TextBox 123">
                      <a:extLst>
                        <a:ext uri="{FF2B5EF4-FFF2-40B4-BE49-F238E27FC236}">
                          <a16:creationId xmlns:a16="http://schemas.microsoft.com/office/drawing/2014/main" id="{71B12B81-65F9-456C-859B-297C482F0368}"/>
                        </a:ext>
                      </a:extLst>
                    </xdr:cNvPr>
                    <xdr:cNvSpPr txBox="1"/>
                  </xdr:nvSpPr>
                  <xdr:spPr>
                    <a:xfrm>
                      <a:off x="1976575" y="12525998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  <xdr:sp macro="" textlink="">
                  <xdr:nvSpPr>
                    <xdr:cNvPr id="125" name="TextBox 124">
                      <a:extLst>
                        <a:ext uri="{FF2B5EF4-FFF2-40B4-BE49-F238E27FC236}">
                          <a16:creationId xmlns:a16="http://schemas.microsoft.com/office/drawing/2014/main" id="{8A7FEBD2-C631-4D28-ADEE-F3352BD07E39}"/>
                        </a:ext>
                      </a:extLst>
                    </xdr:cNvPr>
                    <xdr:cNvSpPr txBox="1"/>
                  </xdr:nvSpPr>
                  <xdr:spPr>
                    <a:xfrm>
                      <a:off x="3083236" y="12520491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</xdr:grpSp>
              <xdr:sp macro="" textlink="">
                <xdr:nvSpPr>
                  <xdr:cNvPr id="120" name="TextBox 119">
                    <a:extLst>
                      <a:ext uri="{FF2B5EF4-FFF2-40B4-BE49-F238E27FC236}">
                        <a16:creationId xmlns:a16="http://schemas.microsoft.com/office/drawing/2014/main" id="{65E275ED-6443-483F-BA00-06A0ADF59695}"/>
                      </a:ext>
                    </a:extLst>
                  </xdr:cNvPr>
                  <xdr:cNvSpPr txBox="1"/>
                </xdr:nvSpPr>
                <xdr:spPr>
                  <a:xfrm>
                    <a:off x="1374835" y="11874326"/>
                    <a:ext cx="991528" cy="2339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  <xdr:sp macro="" textlink="">
                <xdr:nvSpPr>
                  <xdr:cNvPr id="121" name="TextBox 120">
                    <a:extLst>
                      <a:ext uri="{FF2B5EF4-FFF2-40B4-BE49-F238E27FC236}">
                        <a16:creationId xmlns:a16="http://schemas.microsoft.com/office/drawing/2014/main" id="{63A9F7B9-0C82-4591-81F7-EFBF4BC8F983}"/>
                      </a:ext>
                    </a:extLst>
                  </xdr:cNvPr>
                  <xdr:cNvSpPr txBox="1"/>
                </xdr:nvSpPr>
                <xdr:spPr>
                  <a:xfrm>
                    <a:off x="2408208" y="11874327"/>
                    <a:ext cx="925542" cy="23397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</xdr:grpSp>
            <xdr:grpSp>
              <xdr:nvGrpSpPr>
                <xdr:cNvPr id="108" name="Group 107">
                  <a:extLst>
                    <a:ext uri="{FF2B5EF4-FFF2-40B4-BE49-F238E27FC236}">
                      <a16:creationId xmlns:a16="http://schemas.microsoft.com/office/drawing/2014/main" id="{B75BCD61-C978-4ED1-A032-EBE03023228C}"/>
                    </a:ext>
                  </a:extLst>
                </xdr:cNvPr>
                <xdr:cNvGrpSpPr/>
              </xdr:nvGrpSpPr>
              <xdr:grpSpPr>
                <a:xfrm>
                  <a:off x="1083798" y="11138253"/>
                  <a:ext cx="3031721" cy="575632"/>
                  <a:chOff x="1083798" y="11138253"/>
                  <a:chExt cx="3031721" cy="575632"/>
                </a:xfrm>
              </xdr:grpSpPr>
              <xdr:cxnSp macro="">
                <xdr:nvCxnSpPr>
                  <xdr:cNvPr id="109" name="Straight Connector 108">
                    <a:extLst>
                      <a:ext uri="{FF2B5EF4-FFF2-40B4-BE49-F238E27FC236}">
                        <a16:creationId xmlns:a16="http://schemas.microsoft.com/office/drawing/2014/main" id="{4FEE7C49-2E8C-4EB2-80CF-1192CA5C465E}"/>
                      </a:ext>
                    </a:extLst>
                  </xdr:cNvPr>
                  <xdr:cNvCxnSpPr/>
                </xdr:nvCxnSpPr>
                <xdr:spPr>
                  <a:xfrm>
                    <a:off x="1644410" y="11202059"/>
                    <a:ext cx="1069316" cy="494222"/>
                  </a:xfrm>
                  <a:prstGeom prst="line">
                    <a:avLst/>
                  </a:prstGeom>
                  <a:ln w="66675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0" name="Straight Connector 109">
                    <a:extLst>
                      <a:ext uri="{FF2B5EF4-FFF2-40B4-BE49-F238E27FC236}">
                        <a16:creationId xmlns:a16="http://schemas.microsoft.com/office/drawing/2014/main" id="{517F9E13-DE8B-4FFF-A9E6-EF68E37615F5}"/>
                      </a:ext>
                    </a:extLst>
                  </xdr:cNvPr>
                  <xdr:cNvCxnSpPr/>
                </xdr:nvCxnSpPr>
                <xdr:spPr>
                  <a:xfrm>
                    <a:off x="3836956" y="11202060"/>
                    <a:ext cx="278563" cy="128747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1" name="Straight Connector 110">
                    <a:extLst>
                      <a:ext uri="{FF2B5EF4-FFF2-40B4-BE49-F238E27FC236}">
                        <a16:creationId xmlns:a16="http://schemas.microsoft.com/office/drawing/2014/main" id="{40406B7F-AAE6-4D19-8A15-EE704226485E}"/>
                      </a:ext>
                    </a:extLst>
                  </xdr:cNvPr>
                  <xdr:cNvCxnSpPr/>
                </xdr:nvCxnSpPr>
                <xdr:spPr>
                  <a:xfrm flipV="1">
                    <a:off x="2722712" y="11193072"/>
                    <a:ext cx="1096274" cy="503208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" name="Straight Connector 111">
                    <a:extLst>
                      <a:ext uri="{FF2B5EF4-FFF2-40B4-BE49-F238E27FC236}">
                        <a16:creationId xmlns:a16="http://schemas.microsoft.com/office/drawing/2014/main" id="{B5B2DDB1-84FE-4036-99BB-874C0EDBB36B}"/>
                      </a:ext>
                    </a:extLst>
                  </xdr:cNvPr>
                  <xdr:cNvCxnSpPr/>
                </xdr:nvCxnSpPr>
                <xdr:spPr>
                  <a:xfrm flipV="1">
                    <a:off x="1087288" y="11193073"/>
                    <a:ext cx="512193" cy="235105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113" name="Group 112">
                    <a:extLst>
                      <a:ext uri="{FF2B5EF4-FFF2-40B4-BE49-F238E27FC236}">
                        <a16:creationId xmlns:a16="http://schemas.microsoft.com/office/drawing/2014/main" id="{18EE54A9-421E-4281-B459-29AA111246D5}"/>
                      </a:ext>
                    </a:extLst>
                  </xdr:cNvPr>
                  <xdr:cNvGrpSpPr/>
                </xdr:nvGrpSpPr>
                <xdr:grpSpPr>
                  <a:xfrm>
                    <a:off x="1083798" y="11138253"/>
                    <a:ext cx="3021635" cy="575632"/>
                    <a:chOff x="1085265" y="11346627"/>
                    <a:chExt cx="3026036" cy="592688"/>
                  </a:xfrm>
                </xdr:grpSpPr>
                <xdr:cxnSp macro="">
                  <xdr:nvCxnSpPr>
                    <xdr:cNvPr id="114" name="Straight Connector 113">
                      <a:extLst>
                        <a:ext uri="{FF2B5EF4-FFF2-40B4-BE49-F238E27FC236}">
                          <a16:creationId xmlns:a16="http://schemas.microsoft.com/office/drawing/2014/main" id="{DA5CADB4-9559-4602-88D9-BDD02D00DDC8}"/>
                        </a:ext>
                      </a:extLst>
                    </xdr:cNvPr>
                    <xdr:cNvCxnSpPr/>
                  </xdr:nvCxnSpPr>
                  <xdr:spPr>
                    <a:xfrm>
                      <a:off x="1607976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5" name="Straight Connector 114">
                      <a:extLst>
                        <a:ext uri="{FF2B5EF4-FFF2-40B4-BE49-F238E27FC236}">
                          <a16:creationId xmlns:a16="http://schemas.microsoft.com/office/drawing/2014/main" id="{63DA9A0A-366B-45D7-89B1-838D340F389F}"/>
                        </a:ext>
                      </a:extLst>
                    </xdr:cNvPr>
                    <xdr:cNvCxnSpPr/>
                  </xdr:nvCxnSpPr>
                  <xdr:spPr>
                    <a:xfrm>
                      <a:off x="3807668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6" name="Straight Connector 115">
                      <a:extLst>
                        <a:ext uri="{FF2B5EF4-FFF2-40B4-BE49-F238E27FC236}">
                          <a16:creationId xmlns:a16="http://schemas.microsoft.com/office/drawing/2014/main" id="{D9831819-297F-43E6-9027-74D671EBA371}"/>
                        </a:ext>
                      </a:extLst>
                    </xdr:cNvPr>
                    <xdr:cNvCxnSpPr/>
                  </xdr:nvCxnSpPr>
                  <xdr:spPr>
                    <a:xfrm>
                      <a:off x="2717152" y="11394252"/>
                      <a:ext cx="0" cy="535538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7" name="Straight Connector 116">
                      <a:extLst>
                        <a:ext uri="{FF2B5EF4-FFF2-40B4-BE49-F238E27FC236}">
                          <a16:creationId xmlns:a16="http://schemas.microsoft.com/office/drawing/2014/main" id="{A75D7A48-F19F-4D01-930A-C8249C3F33F2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346627"/>
                      <a:ext cx="3016317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8" name="Straight Connector 117">
                      <a:extLst>
                        <a:ext uri="{FF2B5EF4-FFF2-40B4-BE49-F238E27FC236}">
                          <a16:creationId xmlns:a16="http://schemas.microsoft.com/office/drawing/2014/main" id="{5A5DBBB2-095E-4D9E-BFC5-1D6781BA8E12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939315"/>
                      <a:ext cx="3026036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</xdr:grpSp>
        </xdr:grpSp>
      </xdr:grpSp>
      <xdr:grpSp>
        <xdr:nvGrpSpPr>
          <xdr:cNvPr id="90" name="Group 89">
            <a:extLst>
              <a:ext uri="{FF2B5EF4-FFF2-40B4-BE49-F238E27FC236}">
                <a16:creationId xmlns:a16="http://schemas.microsoft.com/office/drawing/2014/main" id="{D3E8F1AF-F723-468C-94CE-516703E952FF}"/>
              </a:ext>
            </a:extLst>
          </xdr:cNvPr>
          <xdr:cNvGrpSpPr/>
        </xdr:nvGrpSpPr>
        <xdr:grpSpPr>
          <a:xfrm>
            <a:off x="1150071" y="11848970"/>
            <a:ext cx="2212498" cy="188595"/>
            <a:chOff x="1753345" y="11568352"/>
            <a:chExt cx="2212498" cy="189659"/>
          </a:xfrm>
        </xdr:grpSpPr>
        <xdr:cxnSp macro="">
          <xdr:nvCxnSpPr>
            <xdr:cNvPr id="91" name="Straight Connector 90">
              <a:extLst>
                <a:ext uri="{FF2B5EF4-FFF2-40B4-BE49-F238E27FC236}">
                  <a16:creationId xmlns:a16="http://schemas.microsoft.com/office/drawing/2014/main" id="{0CC5CFF7-9180-4AF2-8033-6221BCF391AD}"/>
                </a:ext>
              </a:extLst>
            </xdr:cNvPr>
            <xdr:cNvCxnSpPr/>
          </xdr:nvCxnSpPr>
          <xdr:spPr>
            <a:xfrm flipV="1">
              <a:off x="1753345" y="11576334"/>
              <a:ext cx="0" cy="17718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Straight Connector 91">
              <a:extLst>
                <a:ext uri="{FF2B5EF4-FFF2-40B4-BE49-F238E27FC236}">
                  <a16:creationId xmlns:a16="http://schemas.microsoft.com/office/drawing/2014/main" id="{739D661B-BA28-4E50-AFA2-CFF61C373665}"/>
                </a:ext>
              </a:extLst>
            </xdr:cNvPr>
            <xdr:cNvCxnSpPr/>
          </xdr:nvCxnSpPr>
          <xdr:spPr>
            <a:xfrm flipV="1">
              <a:off x="1999627" y="11576334"/>
              <a:ext cx="0" cy="18167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" name="Straight Connector 92">
              <a:extLst>
                <a:ext uri="{FF2B5EF4-FFF2-40B4-BE49-F238E27FC236}">
                  <a16:creationId xmlns:a16="http://schemas.microsoft.com/office/drawing/2014/main" id="{241964EE-4A46-4028-A4BC-9BD17EF52983}"/>
                </a:ext>
              </a:extLst>
            </xdr:cNvPr>
            <xdr:cNvCxnSpPr/>
          </xdr:nvCxnSpPr>
          <xdr:spPr>
            <a:xfrm flipV="1">
              <a:off x="2245063" y="11571013"/>
              <a:ext cx="0" cy="186993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" name="Straight Connector 93">
              <a:extLst>
                <a:ext uri="{FF2B5EF4-FFF2-40B4-BE49-F238E27FC236}">
                  <a16:creationId xmlns:a16="http://schemas.microsoft.com/office/drawing/2014/main" id="{3058411F-DC9E-4BB5-AB9A-046AEBC7AD43}"/>
                </a:ext>
              </a:extLst>
            </xdr:cNvPr>
            <xdr:cNvCxnSpPr/>
          </xdr:nvCxnSpPr>
          <xdr:spPr>
            <a:xfrm flipV="1">
              <a:off x="2491345" y="11573673"/>
              <a:ext cx="0" cy="182091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" name="Straight Connector 94">
              <a:extLst>
                <a:ext uri="{FF2B5EF4-FFF2-40B4-BE49-F238E27FC236}">
                  <a16:creationId xmlns:a16="http://schemas.microsoft.com/office/drawing/2014/main" id="{5073A9FA-8F63-4E0F-9075-69A35236C45A}"/>
                </a:ext>
              </a:extLst>
            </xdr:cNvPr>
            <xdr:cNvCxnSpPr/>
          </xdr:nvCxnSpPr>
          <xdr:spPr>
            <a:xfrm flipV="1">
              <a:off x="2737627" y="11573673"/>
              <a:ext cx="0" cy="18433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" name="Straight Connector 95">
              <a:extLst>
                <a:ext uri="{FF2B5EF4-FFF2-40B4-BE49-F238E27FC236}">
                  <a16:creationId xmlns:a16="http://schemas.microsoft.com/office/drawing/2014/main" id="{48F7C13C-A531-4C7D-AF3D-E70D9735618F}"/>
                </a:ext>
              </a:extLst>
            </xdr:cNvPr>
            <xdr:cNvCxnSpPr/>
          </xdr:nvCxnSpPr>
          <xdr:spPr>
            <a:xfrm flipV="1">
              <a:off x="2983063" y="11573673"/>
              <a:ext cx="0" cy="184336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7" name="Straight Connector 96">
              <a:extLst>
                <a:ext uri="{FF2B5EF4-FFF2-40B4-BE49-F238E27FC236}">
                  <a16:creationId xmlns:a16="http://schemas.microsoft.com/office/drawing/2014/main" id="{D3000E1D-A65F-4186-A3E4-175079E7A01A}"/>
                </a:ext>
              </a:extLst>
            </xdr:cNvPr>
            <xdr:cNvCxnSpPr/>
          </xdr:nvCxnSpPr>
          <xdr:spPr>
            <a:xfrm flipV="1">
              <a:off x="3227844" y="11568352"/>
              <a:ext cx="0" cy="18292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Straight Connector 97">
              <a:extLst>
                <a:ext uri="{FF2B5EF4-FFF2-40B4-BE49-F238E27FC236}">
                  <a16:creationId xmlns:a16="http://schemas.microsoft.com/office/drawing/2014/main" id="{7E8FDA97-1AFC-446A-B185-D09F1EA6C4E8}"/>
                </a:ext>
              </a:extLst>
            </xdr:cNvPr>
            <xdr:cNvCxnSpPr/>
          </xdr:nvCxnSpPr>
          <xdr:spPr>
            <a:xfrm flipV="1">
              <a:off x="3474125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Straight Connector 98">
              <a:extLst>
                <a:ext uri="{FF2B5EF4-FFF2-40B4-BE49-F238E27FC236}">
                  <a16:creationId xmlns:a16="http://schemas.microsoft.com/office/drawing/2014/main" id="{04304F03-6956-46F2-8B09-42CCC9080F5D}"/>
                </a:ext>
              </a:extLst>
            </xdr:cNvPr>
            <xdr:cNvCxnSpPr/>
          </xdr:nvCxnSpPr>
          <xdr:spPr>
            <a:xfrm flipV="1">
              <a:off x="3719562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" name="Straight Connector 99">
              <a:extLst>
                <a:ext uri="{FF2B5EF4-FFF2-40B4-BE49-F238E27FC236}">
                  <a16:creationId xmlns:a16="http://schemas.microsoft.com/office/drawing/2014/main" id="{392FD7F3-BCB8-48F6-8FB5-51F196DDBE4F}"/>
                </a:ext>
              </a:extLst>
            </xdr:cNvPr>
            <xdr:cNvCxnSpPr/>
          </xdr:nvCxnSpPr>
          <xdr:spPr>
            <a:xfrm flipV="1">
              <a:off x="3965843" y="11568355"/>
              <a:ext cx="0" cy="18516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27</xdr:col>
      <xdr:colOff>104775</xdr:colOff>
      <xdr:row>217</xdr:row>
      <xdr:rowOff>57150</xdr:rowOff>
    </xdr:from>
    <xdr:to>
      <xdr:col>43</xdr:col>
      <xdr:colOff>37420</xdr:colOff>
      <xdr:row>222</xdr:row>
      <xdr:rowOff>148276</xdr:rowOff>
    </xdr:to>
    <xdr:grpSp>
      <xdr:nvGrpSpPr>
        <xdr:cNvPr id="155" name="그룹 59">
          <a:extLst>
            <a:ext uri="{FF2B5EF4-FFF2-40B4-BE49-F238E27FC236}">
              <a16:creationId xmlns:a16="http://schemas.microsoft.com/office/drawing/2014/main" id="{23F2645E-CAC7-40EB-80E0-CA87892CFD0D}"/>
            </a:ext>
          </a:extLst>
        </xdr:cNvPr>
        <xdr:cNvGrpSpPr/>
      </xdr:nvGrpSpPr>
      <xdr:grpSpPr>
        <a:xfrm>
          <a:off x="4210050" y="44157900"/>
          <a:ext cx="2371045" cy="1100776"/>
          <a:chOff x="538689" y="21665334"/>
          <a:chExt cx="2549636" cy="1147041"/>
        </a:xfrm>
      </xdr:grpSpPr>
      <xdr:grpSp>
        <xdr:nvGrpSpPr>
          <xdr:cNvPr id="156" name="그룹 17">
            <a:extLst>
              <a:ext uri="{FF2B5EF4-FFF2-40B4-BE49-F238E27FC236}">
                <a16:creationId xmlns:a16="http://schemas.microsoft.com/office/drawing/2014/main" id="{FB6E821D-5142-4AD2-B5C2-5FE5372DB68B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61" name="그룹 112">
              <a:extLst>
                <a:ext uri="{FF2B5EF4-FFF2-40B4-BE49-F238E27FC236}">
                  <a16:creationId xmlns:a16="http://schemas.microsoft.com/office/drawing/2014/main" id="{B65B3CD1-9F2D-4DD6-A070-3383E8BEEE5C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79" name="그룹 176">
                <a:extLst>
                  <a:ext uri="{FF2B5EF4-FFF2-40B4-BE49-F238E27FC236}">
                    <a16:creationId xmlns:a16="http://schemas.microsoft.com/office/drawing/2014/main" id="{895BDD43-6F63-42B8-B402-BB537CEAB7BC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88" name="자유형 179">
                  <a:extLst>
                    <a:ext uri="{FF2B5EF4-FFF2-40B4-BE49-F238E27FC236}">
                      <a16:creationId xmlns:a16="http://schemas.microsoft.com/office/drawing/2014/main" id="{85476D22-829B-42E4-AE30-2DB9A72CA1DA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89" name="그룹 180">
                  <a:extLst>
                    <a:ext uri="{FF2B5EF4-FFF2-40B4-BE49-F238E27FC236}">
                      <a16:creationId xmlns:a16="http://schemas.microsoft.com/office/drawing/2014/main" id="{7F76CED6-5E61-4C86-8CF2-84D27526B72B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90" name="그룹 181">
                    <a:extLst>
                      <a:ext uri="{FF2B5EF4-FFF2-40B4-BE49-F238E27FC236}">
                        <a16:creationId xmlns:a16="http://schemas.microsoft.com/office/drawing/2014/main" id="{9E25808D-850E-4774-8A2E-C47A8DB53957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92" name="직선 연결선 183">
                      <a:extLst>
                        <a:ext uri="{FF2B5EF4-FFF2-40B4-BE49-F238E27FC236}">
                          <a16:creationId xmlns:a16="http://schemas.microsoft.com/office/drawing/2014/main" id="{0E80A1E2-3DF3-4FD0-8320-8F7364E11BC1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3" name="직선 연결선 184">
                      <a:extLst>
                        <a:ext uri="{FF2B5EF4-FFF2-40B4-BE49-F238E27FC236}">
                          <a16:creationId xmlns:a16="http://schemas.microsoft.com/office/drawing/2014/main" id="{6B7605F9-0604-4279-8135-7314DF5A7F55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4" name="직선 연결선 185">
                      <a:extLst>
                        <a:ext uri="{FF2B5EF4-FFF2-40B4-BE49-F238E27FC236}">
                          <a16:creationId xmlns:a16="http://schemas.microsoft.com/office/drawing/2014/main" id="{2CF4300F-6CF4-46C7-AFC1-1A64AF200A37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5" name="직선 연결선 186">
                      <a:extLst>
                        <a:ext uri="{FF2B5EF4-FFF2-40B4-BE49-F238E27FC236}">
                          <a16:creationId xmlns:a16="http://schemas.microsoft.com/office/drawing/2014/main" id="{CAFDDB45-AF79-4993-9C8A-41E3858ABBB8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91" name="직선 연결선 182">
                    <a:extLst>
                      <a:ext uri="{FF2B5EF4-FFF2-40B4-BE49-F238E27FC236}">
                        <a16:creationId xmlns:a16="http://schemas.microsoft.com/office/drawing/2014/main" id="{AD6F6366-49FE-4DC3-ACE2-EF25CCD916C8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0" name="그룹 122">
                <a:extLst>
                  <a:ext uri="{FF2B5EF4-FFF2-40B4-BE49-F238E27FC236}">
                    <a16:creationId xmlns:a16="http://schemas.microsoft.com/office/drawing/2014/main" id="{D6A2C717-B072-42A3-AEE4-76CC31BF130C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81" name="TextBox 180">
                  <a:extLst>
                    <a:ext uri="{FF2B5EF4-FFF2-40B4-BE49-F238E27FC236}">
                      <a16:creationId xmlns:a16="http://schemas.microsoft.com/office/drawing/2014/main" id="{60D4A2F7-C365-4B31-BA4A-C82A142A3C25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82" name="그룹 135">
                  <a:extLst>
                    <a:ext uri="{FF2B5EF4-FFF2-40B4-BE49-F238E27FC236}">
                      <a16:creationId xmlns:a16="http://schemas.microsoft.com/office/drawing/2014/main" id="{522B7F08-B354-493C-801C-1968D482BDA1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83" name="직선 화살표 연결선 153">
                    <a:extLst>
                      <a:ext uri="{FF2B5EF4-FFF2-40B4-BE49-F238E27FC236}">
                        <a16:creationId xmlns:a16="http://schemas.microsoft.com/office/drawing/2014/main" id="{DCAB8D2D-7741-493B-81AB-26B79E855726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4" name="직선 화살표 연결선 154">
                    <a:extLst>
                      <a:ext uri="{FF2B5EF4-FFF2-40B4-BE49-F238E27FC236}">
                        <a16:creationId xmlns:a16="http://schemas.microsoft.com/office/drawing/2014/main" id="{CE6B5505-6816-4214-B31F-D3D74A99FED2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5" name="직선 연결선 155">
                    <a:extLst>
                      <a:ext uri="{FF2B5EF4-FFF2-40B4-BE49-F238E27FC236}">
                        <a16:creationId xmlns:a16="http://schemas.microsoft.com/office/drawing/2014/main" id="{6860C243-36D7-4C1E-AF0F-4E350E1D52EC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6" name="직선 연결선 157">
                    <a:extLst>
                      <a:ext uri="{FF2B5EF4-FFF2-40B4-BE49-F238E27FC236}">
                        <a16:creationId xmlns:a16="http://schemas.microsoft.com/office/drawing/2014/main" id="{5E75A0F3-AE24-45D2-AF6C-931695E5318D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7" name="직선 연결선 159">
                    <a:extLst>
                      <a:ext uri="{FF2B5EF4-FFF2-40B4-BE49-F238E27FC236}">
                        <a16:creationId xmlns:a16="http://schemas.microsoft.com/office/drawing/2014/main" id="{F34CB6E8-AB1A-41BA-9AC5-BD55C40FD811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63" name="그룹 16">
              <a:extLst>
                <a:ext uri="{FF2B5EF4-FFF2-40B4-BE49-F238E27FC236}">
                  <a16:creationId xmlns:a16="http://schemas.microsoft.com/office/drawing/2014/main" id="{470BF2EA-CD25-4B63-94F9-DA3414BFCF9F}"/>
                </a:ext>
              </a:extLst>
            </xdr:cNvPr>
            <xdr:cNvGrpSpPr/>
          </xdr:nvGrpSpPr>
          <xdr:grpSpPr>
            <a:xfrm>
              <a:off x="7998051" y="21927400"/>
              <a:ext cx="298461" cy="594463"/>
              <a:chOff x="7998051" y="21927400"/>
              <a:chExt cx="298461" cy="594463"/>
            </a:xfrm>
          </xdr:grpSpPr>
          <xdr:cxnSp macro="">
            <xdr:nvCxnSpPr>
              <xdr:cNvPr id="176" name="직선 연결선 8">
                <a:extLst>
                  <a:ext uri="{FF2B5EF4-FFF2-40B4-BE49-F238E27FC236}">
                    <a16:creationId xmlns:a16="http://schemas.microsoft.com/office/drawing/2014/main" id="{3B897994-90C2-4C24-92D7-B4CA875B1867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7" name="TextBox 176">
                <a:extLst>
                  <a:ext uri="{FF2B5EF4-FFF2-40B4-BE49-F238E27FC236}">
                    <a16:creationId xmlns:a16="http://schemas.microsoft.com/office/drawing/2014/main" id="{B8D56A15-D5DE-42D0-BF76-2C77F0884C24}"/>
                  </a:ext>
                </a:extLst>
              </xdr:cNvPr>
              <xdr:cNvSpPr txBox="1"/>
            </xdr:nvSpPr>
            <xdr:spPr>
              <a:xfrm>
                <a:off x="7998051" y="21927400"/>
                <a:ext cx="294698" cy="18558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  <a:sym typeface="Symbol"/>
                  </a:rPr>
                  <a:t>Φ</a:t>
                </a:r>
                <a:endParaRPr lang="en-US" sz="900"/>
              </a:p>
            </xdr:txBody>
          </xdr:sp>
          <xdr:sp macro="" textlink="">
            <xdr:nvSpPr>
              <xdr:cNvPr id="178" name="원호 13">
                <a:extLst>
                  <a:ext uri="{FF2B5EF4-FFF2-40B4-BE49-F238E27FC236}">
                    <a16:creationId xmlns:a16="http://schemas.microsoft.com/office/drawing/2014/main" id="{FB0188D9-52E9-4CFA-AE73-BFC7295BD34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60" name="직선 화살표 연결선 56">
            <a:extLst>
              <a:ext uri="{FF2B5EF4-FFF2-40B4-BE49-F238E27FC236}">
                <a16:creationId xmlns:a16="http://schemas.microsoft.com/office/drawing/2014/main" id="{9212F38E-D61F-4879-87B2-A1604F8F01CC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125435</xdr:colOff>
      <xdr:row>1</xdr:row>
      <xdr:rowOff>114529</xdr:rowOff>
    </xdr:from>
    <xdr:to>
      <xdr:col>47</xdr:col>
      <xdr:colOff>28903</xdr:colOff>
      <xdr:row>2</xdr:row>
      <xdr:rowOff>108346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22C202C2-B577-47F6-B759-C1C8592E63EB}"/>
            </a:ext>
          </a:extLst>
        </xdr:cNvPr>
        <xdr:cNvSpPr/>
      </xdr:nvSpPr>
      <xdr:spPr>
        <a:xfrm rot="2142176">
          <a:off x="7993085" y="305029"/>
          <a:ext cx="722618" cy="270042"/>
        </a:xfrm>
        <a:prstGeom prst="leftArrow">
          <a:avLst>
            <a:gd name="adj1" fmla="val 35928"/>
            <a:gd name="adj2" fmla="val 14271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104775</xdr:colOff>
      <xdr:row>401</xdr:row>
      <xdr:rowOff>57150</xdr:rowOff>
    </xdr:from>
    <xdr:to>
      <xdr:col>43</xdr:col>
      <xdr:colOff>37420</xdr:colOff>
      <xdr:row>406</xdr:row>
      <xdr:rowOff>148276</xdr:rowOff>
    </xdr:to>
    <xdr:grpSp>
      <xdr:nvGrpSpPr>
        <xdr:cNvPr id="114" name="그룹 59">
          <a:extLst>
            <a:ext uri="{FF2B5EF4-FFF2-40B4-BE49-F238E27FC236}">
              <a16:creationId xmlns:a16="http://schemas.microsoft.com/office/drawing/2014/main" id="{70435ED2-0122-4E41-8462-1A3BAC0A1EE2}"/>
            </a:ext>
          </a:extLst>
        </xdr:cNvPr>
        <xdr:cNvGrpSpPr/>
      </xdr:nvGrpSpPr>
      <xdr:grpSpPr>
        <a:xfrm>
          <a:off x="4210050" y="78981300"/>
          <a:ext cx="2371045" cy="1100776"/>
          <a:chOff x="538689" y="21665334"/>
          <a:chExt cx="2549636" cy="1147041"/>
        </a:xfrm>
      </xdr:grpSpPr>
      <xdr:grpSp>
        <xdr:nvGrpSpPr>
          <xdr:cNvPr id="115" name="그룹 17">
            <a:extLst>
              <a:ext uri="{FF2B5EF4-FFF2-40B4-BE49-F238E27FC236}">
                <a16:creationId xmlns:a16="http://schemas.microsoft.com/office/drawing/2014/main" id="{E683C8A4-5A80-45AD-A7FF-7BB8A9E82514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17" name="그룹 112">
              <a:extLst>
                <a:ext uri="{FF2B5EF4-FFF2-40B4-BE49-F238E27FC236}">
                  <a16:creationId xmlns:a16="http://schemas.microsoft.com/office/drawing/2014/main" id="{87113901-4BD2-4D7E-B6BE-CFAEB1935381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22" name="그룹 176">
                <a:extLst>
                  <a:ext uri="{FF2B5EF4-FFF2-40B4-BE49-F238E27FC236}">
                    <a16:creationId xmlns:a16="http://schemas.microsoft.com/office/drawing/2014/main" id="{C7C1A70D-21D7-4A21-BCAC-DCD8E8644345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31" name="자유형 179">
                  <a:extLst>
                    <a:ext uri="{FF2B5EF4-FFF2-40B4-BE49-F238E27FC236}">
                      <a16:creationId xmlns:a16="http://schemas.microsoft.com/office/drawing/2014/main" id="{C7EB80B3-F6AF-4038-A00D-D310079C3549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32" name="그룹 180">
                  <a:extLst>
                    <a:ext uri="{FF2B5EF4-FFF2-40B4-BE49-F238E27FC236}">
                      <a16:creationId xmlns:a16="http://schemas.microsoft.com/office/drawing/2014/main" id="{DA172980-0435-4014-AE17-18CFEE2E3C46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33" name="그룹 181">
                    <a:extLst>
                      <a:ext uri="{FF2B5EF4-FFF2-40B4-BE49-F238E27FC236}">
                        <a16:creationId xmlns:a16="http://schemas.microsoft.com/office/drawing/2014/main" id="{49B142B9-716C-421B-AC82-0FB12D221D42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35" name="직선 연결선 183">
                      <a:extLst>
                        <a:ext uri="{FF2B5EF4-FFF2-40B4-BE49-F238E27FC236}">
                          <a16:creationId xmlns:a16="http://schemas.microsoft.com/office/drawing/2014/main" id="{68E048C2-B0DC-4F4B-B2C5-D2E46C92FCC6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6" name="직선 연결선 184">
                      <a:extLst>
                        <a:ext uri="{FF2B5EF4-FFF2-40B4-BE49-F238E27FC236}">
                          <a16:creationId xmlns:a16="http://schemas.microsoft.com/office/drawing/2014/main" id="{82ED452A-5B8B-4964-A90F-71BA271A73D4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7" name="직선 연결선 185">
                      <a:extLst>
                        <a:ext uri="{FF2B5EF4-FFF2-40B4-BE49-F238E27FC236}">
                          <a16:creationId xmlns:a16="http://schemas.microsoft.com/office/drawing/2014/main" id="{E3E5C904-B8FD-41D2-8582-31CD02CF47E4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8" name="직선 연결선 186">
                      <a:extLst>
                        <a:ext uri="{FF2B5EF4-FFF2-40B4-BE49-F238E27FC236}">
                          <a16:creationId xmlns:a16="http://schemas.microsoft.com/office/drawing/2014/main" id="{F4E88F66-7A58-4977-9AED-F7EEADD581A7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34" name="직선 연결선 182">
                    <a:extLst>
                      <a:ext uri="{FF2B5EF4-FFF2-40B4-BE49-F238E27FC236}">
                        <a16:creationId xmlns:a16="http://schemas.microsoft.com/office/drawing/2014/main" id="{67D6872E-F07A-4D76-AC65-A8291ED74AF4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23" name="그룹 122">
                <a:extLst>
                  <a:ext uri="{FF2B5EF4-FFF2-40B4-BE49-F238E27FC236}">
                    <a16:creationId xmlns:a16="http://schemas.microsoft.com/office/drawing/2014/main" id="{FB6ECE14-F2BD-4C31-8917-94729A271561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24" name="TextBox 123">
                  <a:extLst>
                    <a:ext uri="{FF2B5EF4-FFF2-40B4-BE49-F238E27FC236}">
                      <a16:creationId xmlns:a16="http://schemas.microsoft.com/office/drawing/2014/main" id="{C5F95685-2B02-41C8-AA52-F7B28195C012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25" name="그룹 135">
                  <a:extLst>
                    <a:ext uri="{FF2B5EF4-FFF2-40B4-BE49-F238E27FC236}">
                      <a16:creationId xmlns:a16="http://schemas.microsoft.com/office/drawing/2014/main" id="{82C4E56B-B0F7-4F85-A236-8AF42BD45BEA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26" name="직선 화살표 연결선 153">
                    <a:extLst>
                      <a:ext uri="{FF2B5EF4-FFF2-40B4-BE49-F238E27FC236}">
                        <a16:creationId xmlns:a16="http://schemas.microsoft.com/office/drawing/2014/main" id="{47A42688-BA0C-4DBB-8D8B-CBDBED0E6767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" name="직선 화살표 연결선 154">
                    <a:extLst>
                      <a:ext uri="{FF2B5EF4-FFF2-40B4-BE49-F238E27FC236}">
                        <a16:creationId xmlns:a16="http://schemas.microsoft.com/office/drawing/2014/main" id="{603CE88A-C5FD-4DE8-8C01-DECC16182C95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" name="직선 연결선 155">
                    <a:extLst>
                      <a:ext uri="{FF2B5EF4-FFF2-40B4-BE49-F238E27FC236}">
                        <a16:creationId xmlns:a16="http://schemas.microsoft.com/office/drawing/2014/main" id="{DC3FE862-9C40-4A78-BAF9-D944840A7A4C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" name="직선 연결선 157">
                    <a:extLst>
                      <a:ext uri="{FF2B5EF4-FFF2-40B4-BE49-F238E27FC236}">
                        <a16:creationId xmlns:a16="http://schemas.microsoft.com/office/drawing/2014/main" id="{8A5590F2-F896-4964-B5C4-6F23CEC10672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0" name="직선 연결선 159">
                    <a:extLst>
                      <a:ext uri="{FF2B5EF4-FFF2-40B4-BE49-F238E27FC236}">
                        <a16:creationId xmlns:a16="http://schemas.microsoft.com/office/drawing/2014/main" id="{17982E7F-3041-48D5-B307-DD2C456CAE4C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18" name="그룹 16">
              <a:extLst>
                <a:ext uri="{FF2B5EF4-FFF2-40B4-BE49-F238E27FC236}">
                  <a16:creationId xmlns:a16="http://schemas.microsoft.com/office/drawing/2014/main" id="{CA387FD7-111D-4FC2-8613-F6C418BF283B}"/>
                </a:ext>
              </a:extLst>
            </xdr:cNvPr>
            <xdr:cNvGrpSpPr/>
          </xdr:nvGrpSpPr>
          <xdr:grpSpPr>
            <a:xfrm>
              <a:off x="7998051" y="21927400"/>
              <a:ext cx="298461" cy="594463"/>
              <a:chOff x="7998051" y="21927400"/>
              <a:chExt cx="298461" cy="594463"/>
            </a:xfrm>
          </xdr:grpSpPr>
          <xdr:cxnSp macro="">
            <xdr:nvCxnSpPr>
              <xdr:cNvPr id="119" name="직선 연결선 8">
                <a:extLst>
                  <a:ext uri="{FF2B5EF4-FFF2-40B4-BE49-F238E27FC236}">
                    <a16:creationId xmlns:a16="http://schemas.microsoft.com/office/drawing/2014/main" id="{9DD2CD3A-543F-462E-B558-60FC88F23EFC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0" name="TextBox 119">
                <a:extLst>
                  <a:ext uri="{FF2B5EF4-FFF2-40B4-BE49-F238E27FC236}">
                    <a16:creationId xmlns:a16="http://schemas.microsoft.com/office/drawing/2014/main" id="{5787E126-36C6-42F3-BC7C-380948238E5D}"/>
                  </a:ext>
                </a:extLst>
              </xdr:cNvPr>
              <xdr:cNvSpPr txBox="1"/>
            </xdr:nvSpPr>
            <xdr:spPr>
              <a:xfrm>
                <a:off x="7998051" y="21927400"/>
                <a:ext cx="294698" cy="18558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  <a:sym typeface="Symbol"/>
                  </a:rPr>
                  <a:t>Φ</a:t>
                </a:r>
                <a:endParaRPr lang="en-US" sz="900"/>
              </a:p>
            </xdr:txBody>
          </xdr:sp>
          <xdr:sp macro="" textlink="">
            <xdr:nvSpPr>
              <xdr:cNvPr id="121" name="원호 13">
                <a:extLst>
                  <a:ext uri="{FF2B5EF4-FFF2-40B4-BE49-F238E27FC236}">
                    <a16:creationId xmlns:a16="http://schemas.microsoft.com/office/drawing/2014/main" id="{3363AE5B-64AF-4952-8D0A-231FD6CA1CCB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16" name="직선 화살표 연결선 56">
            <a:extLst>
              <a:ext uri="{FF2B5EF4-FFF2-40B4-BE49-F238E27FC236}">
                <a16:creationId xmlns:a16="http://schemas.microsoft.com/office/drawing/2014/main" id="{258AF547-BEFF-456C-B001-54FF960026DB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125435</xdr:colOff>
      <xdr:row>1</xdr:row>
      <xdr:rowOff>114529</xdr:rowOff>
    </xdr:from>
    <xdr:to>
      <xdr:col>47</xdr:col>
      <xdr:colOff>28903</xdr:colOff>
      <xdr:row>2</xdr:row>
      <xdr:rowOff>108346</xdr:rowOff>
    </xdr:to>
    <xdr:sp macro="" textlink="">
      <xdr:nvSpPr>
        <xdr:cNvPr id="139" name="Arrow: Left 138">
          <a:extLst>
            <a:ext uri="{FF2B5EF4-FFF2-40B4-BE49-F238E27FC236}">
              <a16:creationId xmlns:a16="http://schemas.microsoft.com/office/drawing/2014/main" id="{510C936A-AAF1-4E33-B63A-043A1524EE0A}"/>
            </a:ext>
          </a:extLst>
        </xdr:cNvPr>
        <xdr:cNvSpPr/>
      </xdr:nvSpPr>
      <xdr:spPr>
        <a:xfrm rot="2142176">
          <a:off x="7688285" y="305029"/>
          <a:ext cx="722618" cy="270042"/>
        </a:xfrm>
        <a:prstGeom prst="leftArrow">
          <a:avLst>
            <a:gd name="adj1" fmla="val 35928"/>
            <a:gd name="adj2" fmla="val 14271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25</xdr:row>
      <xdr:rowOff>66711</xdr:rowOff>
    </xdr:from>
    <xdr:to>
      <xdr:col>41</xdr:col>
      <xdr:colOff>9525</xdr:colOff>
      <xdr:row>34</xdr:row>
      <xdr:rowOff>28645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4BD32C0E-6EC1-4D6C-A281-D0C811117A16}"/>
            </a:ext>
          </a:extLst>
        </xdr:cNvPr>
        <xdr:cNvGrpSpPr/>
      </xdr:nvGrpSpPr>
      <xdr:grpSpPr>
        <a:xfrm>
          <a:off x="609600" y="4905411"/>
          <a:ext cx="5638800" cy="1676434"/>
          <a:chOff x="457200" y="4632221"/>
          <a:chExt cx="5519236" cy="1681145"/>
        </a:xfrm>
      </xdr:grpSpPr>
      <xdr:grpSp>
        <xdr:nvGrpSpPr>
          <xdr:cNvPr id="141" name="Group 140">
            <a:extLst>
              <a:ext uri="{FF2B5EF4-FFF2-40B4-BE49-F238E27FC236}">
                <a16:creationId xmlns:a16="http://schemas.microsoft.com/office/drawing/2014/main" id="{1FB553B3-A788-4EDA-AEA1-ADF04432435E}"/>
              </a:ext>
            </a:extLst>
          </xdr:cNvPr>
          <xdr:cNvGrpSpPr/>
        </xdr:nvGrpSpPr>
        <xdr:grpSpPr>
          <a:xfrm>
            <a:off x="457200" y="4632221"/>
            <a:ext cx="5519236" cy="1681145"/>
            <a:chOff x="443414" y="111051942"/>
            <a:chExt cx="5519236" cy="1676434"/>
          </a:xfrm>
        </xdr:grpSpPr>
        <xdr:grpSp>
          <xdr:nvGrpSpPr>
            <xdr:cNvPr id="145" name="Group 144">
              <a:extLst>
                <a:ext uri="{FF2B5EF4-FFF2-40B4-BE49-F238E27FC236}">
                  <a16:creationId xmlns:a16="http://schemas.microsoft.com/office/drawing/2014/main" id="{F056FF58-657F-4CC7-ABA0-92ADAF450DD4}"/>
                </a:ext>
              </a:extLst>
            </xdr:cNvPr>
            <xdr:cNvGrpSpPr/>
          </xdr:nvGrpSpPr>
          <xdr:grpSpPr>
            <a:xfrm>
              <a:off x="443414" y="111051942"/>
              <a:ext cx="3585662" cy="1676434"/>
              <a:chOff x="605339" y="111137667"/>
              <a:chExt cx="3585662" cy="1676434"/>
            </a:xfrm>
          </xdr:grpSpPr>
          <xdr:grpSp>
            <xdr:nvGrpSpPr>
              <xdr:cNvPr id="147" name="Group 146">
                <a:extLst>
                  <a:ext uri="{FF2B5EF4-FFF2-40B4-BE49-F238E27FC236}">
                    <a16:creationId xmlns:a16="http://schemas.microsoft.com/office/drawing/2014/main" id="{29489DE6-720B-46D1-B1BE-43DD76FEA981}"/>
                  </a:ext>
                </a:extLst>
              </xdr:cNvPr>
              <xdr:cNvGrpSpPr/>
            </xdr:nvGrpSpPr>
            <xdr:grpSpPr>
              <a:xfrm>
                <a:off x="605339" y="111137667"/>
                <a:ext cx="3585662" cy="1676434"/>
                <a:chOff x="605339" y="111137667"/>
                <a:chExt cx="3585662" cy="1676434"/>
              </a:xfrm>
            </xdr:grpSpPr>
            <xdr:grpSp>
              <xdr:nvGrpSpPr>
                <xdr:cNvPr id="149" name="Group 148">
                  <a:extLst>
                    <a:ext uri="{FF2B5EF4-FFF2-40B4-BE49-F238E27FC236}">
                      <a16:creationId xmlns:a16="http://schemas.microsoft.com/office/drawing/2014/main" id="{0CE94AF0-1228-4064-9C9C-FDFF7A856662}"/>
                    </a:ext>
                  </a:extLst>
                </xdr:cNvPr>
                <xdr:cNvGrpSpPr/>
              </xdr:nvGrpSpPr>
              <xdr:grpSpPr>
                <a:xfrm>
                  <a:off x="605339" y="111137667"/>
                  <a:ext cx="3585662" cy="1640532"/>
                  <a:chOff x="1312044" y="110405058"/>
                  <a:chExt cx="3605385" cy="1631014"/>
                </a:xfrm>
              </xdr:grpSpPr>
              <xdr:sp macro="" textlink="">
                <xdr:nvSpPr>
                  <xdr:cNvPr id="165" name="Freeform 778">
                    <a:extLst>
                      <a:ext uri="{FF2B5EF4-FFF2-40B4-BE49-F238E27FC236}">
                        <a16:creationId xmlns:a16="http://schemas.microsoft.com/office/drawing/2014/main" id="{E31D3868-3A24-4FAF-B28D-B61EEB67D37F}"/>
                      </a:ext>
                    </a:extLst>
                  </xdr:cNvPr>
                  <xdr:cNvSpPr/>
                </xdr:nvSpPr>
                <xdr:spPr>
                  <a:xfrm>
                    <a:off x="1912652" y="111591730"/>
                    <a:ext cx="435194" cy="263266"/>
                  </a:xfrm>
                  <a:custGeom>
                    <a:avLst/>
                    <a:gdLst>
                      <a:gd name="connsiteX0" fmla="*/ 0 w 404812"/>
                      <a:gd name="connsiteY0" fmla="*/ 0 h 264319"/>
                      <a:gd name="connsiteX1" fmla="*/ 404812 w 404812"/>
                      <a:gd name="connsiteY1" fmla="*/ 0 h 264319"/>
                      <a:gd name="connsiteX2" fmla="*/ 404812 w 404812"/>
                      <a:gd name="connsiteY2" fmla="*/ 264319 h 264319"/>
                      <a:gd name="connsiteX3" fmla="*/ 73819 w 404812"/>
                      <a:gd name="connsiteY3" fmla="*/ 264319 h 264319"/>
                      <a:gd name="connsiteX4" fmla="*/ 0 w 404812"/>
                      <a:gd name="connsiteY4" fmla="*/ 0 h 26431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404812" h="264319">
                        <a:moveTo>
                          <a:pt x="0" y="0"/>
                        </a:moveTo>
                        <a:lnTo>
                          <a:pt x="404812" y="0"/>
                        </a:lnTo>
                        <a:lnTo>
                          <a:pt x="404812" y="264319"/>
                        </a:lnTo>
                        <a:lnTo>
                          <a:pt x="73819" y="264319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solidFill>
                    <a:schemeClr val="accent6">
                      <a:lumMod val="40000"/>
                      <a:lumOff val="60000"/>
                    </a:schemeClr>
                  </a:solidFill>
                  <a:ln w="952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cxnSp macro="">
                <xdr:nvCxnSpPr>
                  <xdr:cNvPr id="166" name="Straight Connector 165">
                    <a:extLst>
                      <a:ext uri="{FF2B5EF4-FFF2-40B4-BE49-F238E27FC236}">
                        <a16:creationId xmlns:a16="http://schemas.microsoft.com/office/drawing/2014/main" id="{72A2F7D0-2A8A-4A00-97A0-DF7EC51AEF71}"/>
                      </a:ext>
                    </a:extLst>
                  </xdr:cNvPr>
                  <xdr:cNvCxnSpPr/>
                </xdr:nvCxnSpPr>
                <xdr:spPr>
                  <a:xfrm>
                    <a:off x="1581900" y="111446165"/>
                    <a:ext cx="2863842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167" name="Group 166">
                    <a:extLst>
                      <a:ext uri="{FF2B5EF4-FFF2-40B4-BE49-F238E27FC236}">
                        <a16:creationId xmlns:a16="http://schemas.microsoft.com/office/drawing/2014/main" id="{BA850B4A-3B4E-4CF2-BA3C-5E863CC6202D}"/>
                      </a:ext>
                    </a:extLst>
                  </xdr:cNvPr>
                  <xdr:cNvGrpSpPr/>
                </xdr:nvGrpSpPr>
                <xdr:grpSpPr>
                  <a:xfrm>
                    <a:off x="1312044" y="110405058"/>
                    <a:ext cx="3605385" cy="1631014"/>
                    <a:chOff x="1312044" y="110405058"/>
                    <a:chExt cx="3605385" cy="1631014"/>
                  </a:xfrm>
                </xdr:grpSpPr>
                <xdr:grpSp>
                  <xdr:nvGrpSpPr>
                    <xdr:cNvPr id="168" name="Group 167">
                      <a:extLst>
                        <a:ext uri="{FF2B5EF4-FFF2-40B4-BE49-F238E27FC236}">
                          <a16:creationId xmlns:a16="http://schemas.microsoft.com/office/drawing/2014/main" id="{2CF84711-6D2A-49C5-A19E-45A16E1F108C}"/>
                        </a:ext>
                      </a:extLst>
                    </xdr:cNvPr>
                    <xdr:cNvGrpSpPr/>
                  </xdr:nvGrpSpPr>
                  <xdr:grpSpPr>
                    <a:xfrm>
                      <a:off x="1312044" y="110405058"/>
                      <a:ext cx="3605385" cy="1631014"/>
                      <a:chOff x="1305466" y="111018111"/>
                      <a:chExt cx="3585824" cy="1639995"/>
                    </a:xfrm>
                  </xdr:grpSpPr>
                  <xdr:grpSp>
                    <xdr:nvGrpSpPr>
                      <xdr:cNvPr id="204" name="Group 203">
                        <a:extLst>
                          <a:ext uri="{FF2B5EF4-FFF2-40B4-BE49-F238E27FC236}">
                            <a16:creationId xmlns:a16="http://schemas.microsoft.com/office/drawing/2014/main" id="{96FDBE1E-1214-47F7-A2BF-1C1DDC5C7695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305466" y="111018111"/>
                        <a:ext cx="3585824" cy="1639995"/>
                        <a:chOff x="4455319" y="111901820"/>
                        <a:chExt cx="4372486" cy="1963538"/>
                      </a:xfrm>
                    </xdr:grpSpPr>
                    <xdr:sp macro="" textlink="">
                      <xdr:nvSpPr>
                        <xdr:cNvPr id="207" name="Freeform 819">
                          <a:extLst>
                            <a:ext uri="{FF2B5EF4-FFF2-40B4-BE49-F238E27FC236}">
                              <a16:creationId xmlns:a16="http://schemas.microsoft.com/office/drawing/2014/main" id="{BAD922CD-4E2A-45B7-8E8C-CEB12FDEEF46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34037" y="112206541"/>
                          <a:ext cx="152837" cy="1658817"/>
                        </a:xfrm>
                        <a:custGeom>
                          <a:avLst/>
                          <a:gdLst>
                            <a:gd name="connsiteX0" fmla="*/ 73478 w 155121"/>
                            <a:gd name="connsiteY0" fmla="*/ 0 h 1687286"/>
                            <a:gd name="connsiteX1" fmla="*/ 73478 w 155121"/>
                            <a:gd name="connsiteY1" fmla="*/ 767443 h 1687286"/>
                            <a:gd name="connsiteX2" fmla="*/ 155121 w 155121"/>
                            <a:gd name="connsiteY2" fmla="*/ 767443 h 1687286"/>
                            <a:gd name="connsiteX3" fmla="*/ 0 w 155121"/>
                            <a:gd name="connsiteY3" fmla="*/ 808265 h 1687286"/>
                            <a:gd name="connsiteX4" fmla="*/ 78921 w 155121"/>
                            <a:gd name="connsiteY4" fmla="*/ 808265 h 1687286"/>
                            <a:gd name="connsiteX5" fmla="*/ 78921 w 155121"/>
                            <a:gd name="connsiteY5" fmla="*/ 1687286 h 1687286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  <a:cxn ang="0">
                              <a:pos x="connsiteX5" y="connsiteY5"/>
                            </a:cxn>
                          </a:cxnLst>
                          <a:rect l="l" t="t" r="r" b="b"/>
                          <a:pathLst>
                            <a:path w="155121" h="1687286">
                              <a:moveTo>
                                <a:pt x="73478" y="0"/>
                              </a:moveTo>
                              <a:lnTo>
                                <a:pt x="73478" y="767443"/>
                              </a:lnTo>
                              <a:lnTo>
                                <a:pt x="155121" y="767443"/>
                              </a:lnTo>
                              <a:lnTo>
                                <a:pt x="0" y="808265"/>
                              </a:lnTo>
                              <a:lnTo>
                                <a:pt x="78921" y="808265"/>
                              </a:lnTo>
                              <a:lnTo>
                                <a:pt x="78921" y="1687286"/>
                              </a:lnTo>
                            </a:path>
                          </a:pathLst>
                        </a:custGeom>
                        <a:noFill/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  <xdr:grpSp>
                      <xdr:nvGrpSpPr>
                        <xdr:cNvPr id="208" name="Group 207">
                          <a:extLst>
                            <a:ext uri="{FF2B5EF4-FFF2-40B4-BE49-F238E27FC236}">
                              <a16:creationId xmlns:a16="http://schemas.microsoft.com/office/drawing/2014/main" id="{C88B3FA1-460E-4B50-8628-366DFDD0031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55319" y="111901820"/>
                          <a:ext cx="4372486" cy="1781015"/>
                          <a:chOff x="4455319" y="113931566"/>
                          <a:chExt cx="4372486" cy="1809057"/>
                        </a:xfrm>
                      </xdr:grpSpPr>
                      <xdr:sp macro="" textlink="">
                        <xdr:nvSpPr>
                          <xdr:cNvPr id="209" name="Freeform 821">
                            <a:extLst>
                              <a:ext uri="{FF2B5EF4-FFF2-40B4-BE49-F238E27FC236}">
                                <a16:creationId xmlns:a16="http://schemas.microsoft.com/office/drawing/2014/main" id="{535DBC3B-AFEC-4265-A3E8-FC6E9C1F0F03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455319" y="114423825"/>
                            <a:ext cx="1254919" cy="278606"/>
                          </a:xfrm>
                          <a:custGeom>
                            <a:avLst/>
                            <a:gdLst>
                              <a:gd name="connsiteX0" fmla="*/ 373856 w 1254919"/>
                              <a:gd name="connsiteY0" fmla="*/ 278606 h 278606"/>
                              <a:gd name="connsiteX1" fmla="*/ 1254919 w 1254919"/>
                              <a:gd name="connsiteY1" fmla="*/ 278606 h 278606"/>
                              <a:gd name="connsiteX2" fmla="*/ 1254919 w 1254919"/>
                              <a:gd name="connsiteY2" fmla="*/ 0 h 278606"/>
                              <a:gd name="connsiteX3" fmla="*/ 0 w 1254919"/>
                              <a:gd name="connsiteY3" fmla="*/ 0 h 278606"/>
                              <a:gd name="connsiteX4" fmla="*/ 0 w 1254919"/>
                              <a:gd name="connsiteY4" fmla="*/ 202406 h 278606"/>
                              <a:gd name="connsiteX5" fmla="*/ 297656 w 1254919"/>
                              <a:gd name="connsiteY5" fmla="*/ 202406 h 278606"/>
                              <a:gd name="connsiteX6" fmla="*/ 373856 w 1254919"/>
                              <a:gd name="connsiteY6" fmla="*/ 278606 h 27860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</a:cxnLst>
                            <a:rect l="l" t="t" r="r" b="b"/>
                            <a:pathLst>
                              <a:path w="1254919" h="278606">
                                <a:moveTo>
                                  <a:pt x="373856" y="278606"/>
                                </a:moveTo>
                                <a:lnTo>
                                  <a:pt x="1254919" y="278606"/>
                                </a:lnTo>
                                <a:lnTo>
                                  <a:pt x="1254919" y="0"/>
                                </a:lnTo>
                                <a:lnTo>
                                  <a:pt x="0" y="0"/>
                                </a:lnTo>
                                <a:lnTo>
                                  <a:pt x="0" y="202406"/>
                                </a:lnTo>
                                <a:lnTo>
                                  <a:pt x="297656" y="202406"/>
                                </a:lnTo>
                                <a:lnTo>
                                  <a:pt x="373856" y="278606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accent6">
                              <a:lumMod val="40000"/>
                              <a:lumOff val="60000"/>
                            </a:schemeClr>
                          </a:solidFill>
                          <a:ln w="1270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grpSp>
                        <xdr:nvGrpSpPr>
                          <xdr:cNvPr id="210" name="그룹 26">
                            <a:extLst>
                              <a:ext uri="{FF2B5EF4-FFF2-40B4-BE49-F238E27FC236}">
                                <a16:creationId xmlns:a16="http://schemas.microsoft.com/office/drawing/2014/main" id="{D745C927-8A47-418C-8F55-D635548ACB0B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822940" y="113931566"/>
                            <a:ext cx="4004865" cy="1809057"/>
                            <a:chOff x="2971800" y="-369065"/>
                            <a:chExt cx="3482750" cy="1811352"/>
                          </a:xfrm>
                        </xdr:grpSpPr>
                        <xdr:grpSp>
                          <xdr:nvGrpSpPr>
                            <xdr:cNvPr id="211" name="그룹 7">
                              <a:extLst>
                                <a:ext uri="{FF2B5EF4-FFF2-40B4-BE49-F238E27FC236}">
                                  <a16:creationId xmlns:a16="http://schemas.microsoft.com/office/drawing/2014/main" id="{DBBBA15B-7045-4BFE-8ACE-824D56B5A845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2971800" y="381000"/>
                              <a:ext cx="773686" cy="1061287"/>
                              <a:chOff x="2971800" y="381000"/>
                              <a:chExt cx="773686" cy="1061287"/>
                            </a:xfrm>
                          </xdr:grpSpPr>
                          <xdr:cxnSp macro="">
                            <xdr:nvCxnSpPr>
                              <xdr:cNvPr id="213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ADDAE9D9-F85B-4834-98A4-7FAD00B9EBA2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537971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14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AFB9C779-C4F2-4E0E-B6FF-9E32DEB6DA0D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15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29CBD075-E184-45F6-8B08-5C59CD346DAD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sp macro="" textlink="">
                          <xdr:nvSpPr>
                            <xdr:cNvPr id="212" name="TextBox 211">
                              <a:extLst>
                                <a:ext uri="{FF2B5EF4-FFF2-40B4-BE49-F238E27FC236}">
                                  <a16:creationId xmlns:a16="http://schemas.microsoft.com/office/drawing/2014/main" id="{C647BD2B-FA93-47DA-9401-36F3A1AAD5B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63767" y="-369065"/>
                              <a:ext cx="2290783" cy="285098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ko-KR" altLang="en-US" sz="900"/>
                                <a:t>정모멘트                      부모멘트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</xdr:grpSp>
                  <xdr:cxnSp macro="">
                    <xdr:nvCxnSpPr>
                      <xdr:cNvPr id="205" name="Straight Connector 204">
                        <a:extLst>
                          <a:ext uri="{FF2B5EF4-FFF2-40B4-BE49-F238E27FC236}">
                            <a16:creationId xmlns:a16="http://schemas.microsoft.com/office/drawing/2014/main" id="{87CC90AE-A1C7-461C-838D-DA09C66058C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8569" y="111473457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6" name="Straight Connector 205">
                        <a:extLst>
                          <a:ext uri="{FF2B5EF4-FFF2-40B4-BE49-F238E27FC236}">
                            <a16:creationId xmlns:a16="http://schemas.microsoft.com/office/drawing/2014/main" id="{C3295A78-2CBC-45DA-B959-27C453270928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6831" y="111540132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169" name="Group 168">
                      <a:extLst>
                        <a:ext uri="{FF2B5EF4-FFF2-40B4-BE49-F238E27FC236}">
                          <a16:creationId xmlns:a16="http://schemas.microsoft.com/office/drawing/2014/main" id="{7D0A9A94-AD04-443B-B3A7-512CCC7E3E9F}"/>
                        </a:ext>
                      </a:extLst>
                    </xdr:cNvPr>
                    <xdr:cNvGrpSpPr/>
                  </xdr:nvGrpSpPr>
                  <xdr:grpSpPr>
                    <a:xfrm>
                      <a:off x="1956245" y="110808798"/>
                      <a:ext cx="2636208" cy="1106721"/>
                      <a:chOff x="1956245" y="110808798"/>
                      <a:chExt cx="2636208" cy="1106721"/>
                    </a:xfrm>
                  </xdr:grpSpPr>
                  <xdr:grpSp>
                    <xdr:nvGrpSpPr>
                      <xdr:cNvPr id="170" name="Group 169">
                        <a:extLst>
                          <a:ext uri="{FF2B5EF4-FFF2-40B4-BE49-F238E27FC236}">
                            <a16:creationId xmlns:a16="http://schemas.microsoft.com/office/drawing/2014/main" id="{3D3A327F-3519-47CA-ACFE-14C46FC7D71F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563376" y="110808798"/>
                        <a:ext cx="608230" cy="1106721"/>
                        <a:chOff x="2549129" y="111423449"/>
                        <a:chExt cx="606512" cy="1113069"/>
                      </a:xfrm>
                    </xdr:grpSpPr>
                    <xdr:cxnSp macro="">
                      <xdr:nvCxnSpPr>
                        <xdr:cNvPr id="192" name="Straight Connector 191">
                          <a:extLst>
                            <a:ext uri="{FF2B5EF4-FFF2-40B4-BE49-F238E27FC236}">
                              <a16:creationId xmlns:a16="http://schemas.microsoft.com/office/drawing/2014/main" id="{B5CEA281-FD34-46F6-8BC2-48FE39875AD6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423450"/>
                          <a:ext cx="0" cy="1109204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3" name="Straight Connector 192">
                          <a:extLst>
                            <a:ext uri="{FF2B5EF4-FFF2-40B4-BE49-F238E27FC236}">
                              <a16:creationId xmlns:a16="http://schemas.microsoft.com/office/drawing/2014/main" id="{06F750FF-8A9D-434F-9867-05BF5D2887E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604425"/>
                          <a:ext cx="2933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4" name="Straight Connector 193">
                          <a:extLst>
                            <a:ext uri="{FF2B5EF4-FFF2-40B4-BE49-F238E27FC236}">
                              <a16:creationId xmlns:a16="http://schemas.microsoft.com/office/drawing/2014/main" id="{EDED0D7B-96DC-403D-9DB7-A30DEAE80ED1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549129" y="112531047"/>
                          <a:ext cx="32181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5" name="Straight Connector 194">
                          <a:extLst>
                            <a:ext uri="{FF2B5EF4-FFF2-40B4-BE49-F238E27FC236}">
                              <a16:creationId xmlns:a16="http://schemas.microsoft.com/office/drawing/2014/main" id="{8A7CA3B5-245A-4E58-8C75-A9382D257D91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549129" y="111610002"/>
                          <a:ext cx="604125" cy="92651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6" name="Straight Connector 195">
                          <a:extLst>
                            <a:ext uri="{FF2B5EF4-FFF2-40B4-BE49-F238E27FC236}">
                              <a16:creationId xmlns:a16="http://schemas.microsoft.com/office/drawing/2014/main" id="{11613DDF-523C-4BC1-93DA-8B65491D61CC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983706" y="111423450"/>
                          <a:ext cx="91914" cy="183357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7" name="Straight Connector 196">
                          <a:extLst>
                            <a:ext uri="{FF2B5EF4-FFF2-40B4-BE49-F238E27FC236}">
                              <a16:creationId xmlns:a16="http://schemas.microsoft.com/office/drawing/2014/main" id="{80196524-417C-4298-BA24-BA684C38B6D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54877" y="111423449"/>
                          <a:ext cx="228935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198" name="Group 197">
                          <a:extLst>
                            <a:ext uri="{FF2B5EF4-FFF2-40B4-BE49-F238E27FC236}">
                              <a16:creationId xmlns:a16="http://schemas.microsoft.com/office/drawing/2014/main" id="{378F55E4-3505-4EBE-9BAC-34A6A427598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718174" y="112342031"/>
                          <a:ext cx="100013" cy="100013"/>
                          <a:chOff x="2718174" y="112342031"/>
                          <a:chExt cx="100013" cy="100013"/>
                        </a:xfrm>
                      </xdr:grpSpPr>
                      <xdr:sp macro="" textlink="">
                        <xdr:nvSpPr>
                          <xdr:cNvPr id="202" name="Plus 814">
                            <a:extLst>
                              <a:ext uri="{FF2B5EF4-FFF2-40B4-BE49-F238E27FC236}">
                                <a16:creationId xmlns:a16="http://schemas.microsoft.com/office/drawing/2014/main" id="{A6C57972-37B3-4A51-9A4A-580B4FEAA2D2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25319" y="112349170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203" name="Oval 202">
                            <a:extLst>
                              <a:ext uri="{FF2B5EF4-FFF2-40B4-BE49-F238E27FC236}">
                                <a16:creationId xmlns:a16="http://schemas.microsoft.com/office/drawing/2014/main" id="{25225856-B2DA-44B8-BC4C-C94ED52634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18174" y="112342031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199" name="Group 198">
                          <a:extLst>
                            <a:ext uri="{FF2B5EF4-FFF2-40B4-BE49-F238E27FC236}">
                              <a16:creationId xmlns:a16="http://schemas.microsoft.com/office/drawing/2014/main" id="{FE639D54-8D63-4E7A-87DD-D7C80BAC07A7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913726" y="111687893"/>
                          <a:ext cx="100013" cy="107156"/>
                          <a:chOff x="2913726" y="111685512"/>
                          <a:chExt cx="100013" cy="107156"/>
                        </a:xfrm>
                      </xdr:grpSpPr>
                      <xdr:sp macro="" textlink="">
                        <xdr:nvSpPr>
                          <xdr:cNvPr id="200" name="Oval 199">
                            <a:extLst>
                              <a:ext uri="{FF2B5EF4-FFF2-40B4-BE49-F238E27FC236}">
                                <a16:creationId xmlns:a16="http://schemas.microsoft.com/office/drawing/2014/main" id="{E058FA3E-14E3-4035-B683-D662D583482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13726" y="111685512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201" name="Minus 813">
                            <a:extLst>
                              <a:ext uri="{FF2B5EF4-FFF2-40B4-BE49-F238E27FC236}">
                                <a16:creationId xmlns:a16="http://schemas.microsoft.com/office/drawing/2014/main" id="{8EC52681-01E4-419F-AFD5-6ED8B5BBBE89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30394" y="111685512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grpSp>
                    <xdr:nvGrpSpPr>
                      <xdr:cNvPr id="171" name="Group 170">
                        <a:extLst>
                          <a:ext uri="{FF2B5EF4-FFF2-40B4-BE49-F238E27FC236}">
                            <a16:creationId xmlns:a16="http://schemas.microsoft.com/office/drawing/2014/main" id="{51CBF03F-B7F7-4129-A6EE-C70F40D14B1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911486" y="110852167"/>
                        <a:ext cx="680967" cy="1060954"/>
                        <a:chOff x="3097452" y="111465489"/>
                        <a:chExt cx="677594" cy="1066262"/>
                      </a:xfrm>
                    </xdr:grpSpPr>
                    <xdr:cxnSp macro="">
                      <xdr:nvCxnSpPr>
                        <xdr:cNvPr id="181" name="Straight Connector 180">
                          <a:extLst>
                            <a:ext uri="{FF2B5EF4-FFF2-40B4-BE49-F238E27FC236}">
                              <a16:creationId xmlns:a16="http://schemas.microsoft.com/office/drawing/2014/main" id="{0C8B9342-8A7F-4A07-BF1E-AB7EBA763C2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4576" y="111471074"/>
                          <a:ext cx="0" cy="105727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2" name="Straight Connector 181">
                          <a:extLst>
                            <a:ext uri="{FF2B5EF4-FFF2-40B4-BE49-F238E27FC236}">
                              <a16:creationId xmlns:a16="http://schemas.microsoft.com/office/drawing/2014/main" id="{2595791F-F77E-4EE9-A48E-71645897CEC1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187997" y="111604425"/>
                          <a:ext cx="28657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3" name="Straight Connector 182">
                          <a:extLst>
                            <a:ext uri="{FF2B5EF4-FFF2-40B4-BE49-F238E27FC236}">
                              <a16:creationId xmlns:a16="http://schemas.microsoft.com/office/drawing/2014/main" id="{72740E05-7EAF-4624-B0D9-D8CF41DE6074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2167" y="112525968"/>
                          <a:ext cx="2995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4" name="Straight Connector 183">
                          <a:extLst>
                            <a:ext uri="{FF2B5EF4-FFF2-40B4-BE49-F238E27FC236}">
                              <a16:creationId xmlns:a16="http://schemas.microsoft.com/office/drawing/2014/main" id="{6511E758-0446-4DE7-98D5-0D4B9B59E3CC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3097452" y="111465489"/>
                          <a:ext cx="677594" cy="1066262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5" name="Straight Connector 184">
                          <a:extLst>
                            <a:ext uri="{FF2B5EF4-FFF2-40B4-BE49-F238E27FC236}">
                              <a16:creationId xmlns:a16="http://schemas.microsoft.com/office/drawing/2014/main" id="{78F95A7C-FDB9-404B-A8A2-B893240D047A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099852" y="111471074"/>
                          <a:ext cx="374737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186" name="Group 185">
                          <a:extLst>
                            <a:ext uri="{FF2B5EF4-FFF2-40B4-BE49-F238E27FC236}">
                              <a16:creationId xmlns:a16="http://schemas.microsoft.com/office/drawing/2014/main" id="{DF61BB46-6EB2-4940-A96F-A5D0B75D86A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35984" y="111680284"/>
                          <a:ext cx="100013" cy="100013"/>
                          <a:chOff x="3335984" y="111680284"/>
                          <a:chExt cx="100013" cy="100013"/>
                        </a:xfrm>
                      </xdr:grpSpPr>
                      <xdr:sp macro="" textlink="">
                        <xdr:nvSpPr>
                          <xdr:cNvPr id="190" name="Plus 802">
                            <a:extLst>
                              <a:ext uri="{FF2B5EF4-FFF2-40B4-BE49-F238E27FC236}">
                                <a16:creationId xmlns:a16="http://schemas.microsoft.com/office/drawing/2014/main" id="{1E1EA4D5-2FFF-4DB3-A092-D95422B2290B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43136" y="111687429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191" name="Oval 190">
                            <a:extLst>
                              <a:ext uri="{FF2B5EF4-FFF2-40B4-BE49-F238E27FC236}">
                                <a16:creationId xmlns:a16="http://schemas.microsoft.com/office/drawing/2014/main" id="{87508940-01F4-4955-B3F9-5D137CC90B7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35984" y="111680284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187" name="Group 186">
                          <a:extLst>
                            <a:ext uri="{FF2B5EF4-FFF2-40B4-BE49-F238E27FC236}">
                              <a16:creationId xmlns:a16="http://schemas.microsoft.com/office/drawing/2014/main" id="{CC5CA0C8-D234-4C66-A267-F0985CFF898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491247" y="112340241"/>
                          <a:ext cx="100013" cy="107156"/>
                          <a:chOff x="3491247" y="112337860"/>
                          <a:chExt cx="100013" cy="107156"/>
                        </a:xfrm>
                      </xdr:grpSpPr>
                      <xdr:sp macro="" textlink="">
                        <xdr:nvSpPr>
                          <xdr:cNvPr id="188" name="Oval 187">
                            <a:extLst>
                              <a:ext uri="{FF2B5EF4-FFF2-40B4-BE49-F238E27FC236}">
                                <a16:creationId xmlns:a16="http://schemas.microsoft.com/office/drawing/2014/main" id="{65937E16-4E18-48B2-9DF5-F0454F25A3D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491247" y="112337860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189" name="Minus 801">
                            <a:extLst>
                              <a:ext uri="{FF2B5EF4-FFF2-40B4-BE49-F238E27FC236}">
                                <a16:creationId xmlns:a16="http://schemas.microsoft.com/office/drawing/2014/main" id="{EE3F48E6-F92D-4797-AC9E-F9B530B6A823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507928" y="112337860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cxnSp macro="">
                    <xdr:nvCxnSpPr>
                      <xdr:cNvPr id="172" name="Straight Connector 171">
                        <a:extLst>
                          <a:ext uri="{FF2B5EF4-FFF2-40B4-BE49-F238E27FC236}">
                            <a16:creationId xmlns:a16="http://schemas.microsoft.com/office/drawing/2014/main" id="{F83B0DC9-57ED-4502-B20A-B8DD0202CD27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50477" y="111912701"/>
                        <a:ext cx="1930056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3" name="Straight Connector 172">
                        <a:extLst>
                          <a:ext uri="{FF2B5EF4-FFF2-40B4-BE49-F238E27FC236}">
                            <a16:creationId xmlns:a16="http://schemas.microsoft.com/office/drawing/2014/main" id="{BCF11D03-FFDA-46D4-BE29-9F262E089DB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956245" y="110991349"/>
                        <a:ext cx="204175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4" name="Straight Connector 173">
                        <a:extLst>
                          <a:ext uri="{FF2B5EF4-FFF2-40B4-BE49-F238E27FC236}">
                            <a16:creationId xmlns:a16="http://schemas.microsoft.com/office/drawing/2014/main" id="{DFD21E84-382B-4002-984B-8299D8F7CD97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3559" y="110857753"/>
                        <a:ext cx="1580637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5" name="Straight Connector 174">
                        <a:extLst>
                          <a:ext uri="{FF2B5EF4-FFF2-40B4-BE49-F238E27FC236}">
                            <a16:creationId xmlns:a16="http://schemas.microsoft.com/office/drawing/2014/main" id="{225D6196-5942-4947-A9AC-6528CFE63D2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47846" y="110811179"/>
                        <a:ext cx="53070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6" name="Straight Connector 175">
                        <a:extLst>
                          <a:ext uri="{FF2B5EF4-FFF2-40B4-BE49-F238E27FC236}">
                            <a16:creationId xmlns:a16="http://schemas.microsoft.com/office/drawing/2014/main" id="{4C024E13-9B0A-458A-833B-2C699168BCC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8321" y="111591730"/>
                        <a:ext cx="1942211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7" name="Straight Connector 176">
                        <a:extLst>
                          <a:ext uri="{FF2B5EF4-FFF2-40B4-BE49-F238E27FC236}">
                            <a16:creationId xmlns:a16="http://schemas.microsoft.com/office/drawing/2014/main" id="{D5D67B38-F654-4E4A-8971-E45967D79AD4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28796" y="111852614"/>
                        <a:ext cx="1958919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8" name="Straight Connector 177">
                        <a:extLst>
                          <a:ext uri="{FF2B5EF4-FFF2-40B4-BE49-F238E27FC236}">
                            <a16:creationId xmlns:a16="http://schemas.microsoft.com/office/drawing/2014/main" id="{0C6AE583-008C-4105-8EE3-83D3FB76B339}"/>
                          </a:ext>
                        </a:extLst>
                      </xdr:cNvPr>
                      <xdr:cNvCxnSpPr/>
                    </xdr:nvCxnSpPr>
                    <xdr:spPr>
                      <a:xfrm flipH="1" flipV="1">
                        <a:off x="4313765" y="111588707"/>
                        <a:ext cx="170017" cy="262871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9" name="Straight Connector 178">
                        <a:extLst>
                          <a:ext uri="{FF2B5EF4-FFF2-40B4-BE49-F238E27FC236}">
                            <a16:creationId xmlns:a16="http://schemas.microsoft.com/office/drawing/2014/main" id="{06FCD771-F0D6-428A-A2BC-EF3A4A10138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87941" y="111852614"/>
                        <a:ext cx="20304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80" name="Straight Connector 179">
                        <a:extLst>
                          <a:ext uri="{FF2B5EF4-FFF2-40B4-BE49-F238E27FC236}">
                            <a16:creationId xmlns:a16="http://schemas.microsoft.com/office/drawing/2014/main" id="{60037B87-9F50-4FE8-8BF9-DEF5A5EECACC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90322" y="111594111"/>
                        <a:ext cx="2857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150" name="Group 149">
                  <a:extLst>
                    <a:ext uri="{FF2B5EF4-FFF2-40B4-BE49-F238E27FC236}">
                      <a16:creationId xmlns:a16="http://schemas.microsoft.com/office/drawing/2014/main" id="{F3B9D839-2815-49F1-B99A-D1C59E5C4917}"/>
                    </a:ext>
                  </a:extLst>
                </xdr:cNvPr>
                <xdr:cNvGrpSpPr/>
              </xdr:nvGrpSpPr>
              <xdr:grpSpPr>
                <a:xfrm>
                  <a:off x="1707358" y="111409163"/>
                  <a:ext cx="2352674" cy="1404938"/>
                  <a:chOff x="1707358" y="111409163"/>
                  <a:chExt cx="2352674" cy="1404938"/>
                </a:xfrm>
              </xdr:grpSpPr>
              <xdr:sp macro="" textlink="">
                <xdr:nvSpPr>
                  <xdr:cNvPr id="151" name="Oval 150">
                    <a:extLst>
                      <a:ext uri="{FF2B5EF4-FFF2-40B4-BE49-F238E27FC236}">
                        <a16:creationId xmlns:a16="http://schemas.microsoft.com/office/drawing/2014/main" id="{0065326B-3F5D-45AB-8196-23BEBA1358E0}"/>
                      </a:ext>
                    </a:extLst>
                  </xdr:cNvPr>
                  <xdr:cNvSpPr/>
                </xdr:nvSpPr>
                <xdr:spPr>
                  <a:xfrm>
                    <a:off x="3826669" y="112611220"/>
                    <a:ext cx="66675" cy="66675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152" name="Group 151">
                    <a:extLst>
                      <a:ext uri="{FF2B5EF4-FFF2-40B4-BE49-F238E27FC236}">
                        <a16:creationId xmlns:a16="http://schemas.microsoft.com/office/drawing/2014/main" id="{BAC856DE-9CE5-4B46-8410-AF54256E97E4}"/>
                      </a:ext>
                    </a:extLst>
                  </xdr:cNvPr>
                  <xdr:cNvGrpSpPr/>
                </xdr:nvGrpSpPr>
                <xdr:grpSpPr>
                  <a:xfrm>
                    <a:off x="1707358" y="111409163"/>
                    <a:ext cx="2352674" cy="1404938"/>
                    <a:chOff x="1707358" y="111409163"/>
                    <a:chExt cx="2352674" cy="1404938"/>
                  </a:xfrm>
                </xdr:grpSpPr>
                <xdr:sp macro="" textlink="">
                  <xdr:nvSpPr>
                    <xdr:cNvPr id="153" name="Oval 152">
                      <a:extLst>
                        <a:ext uri="{FF2B5EF4-FFF2-40B4-BE49-F238E27FC236}">
                          <a16:creationId xmlns:a16="http://schemas.microsoft.com/office/drawing/2014/main" id="{62042DC0-1585-4286-B71D-1F98488D792D}"/>
                        </a:ext>
                      </a:extLst>
                    </xdr:cNvPr>
                    <xdr:cNvSpPr/>
                  </xdr:nvSpPr>
                  <xdr:spPr>
                    <a:xfrm>
                      <a:off x="1828800" y="11261121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4" name="Oval 153">
                      <a:extLst>
                        <a:ext uri="{FF2B5EF4-FFF2-40B4-BE49-F238E27FC236}">
                          <a16:creationId xmlns:a16="http://schemas.microsoft.com/office/drawing/2014/main" id="{4BF39348-0B40-4B45-98BE-2DF2E6EA371D}"/>
                        </a:ext>
                      </a:extLst>
                    </xdr:cNvPr>
                    <xdr:cNvSpPr/>
                  </xdr:nvSpPr>
                  <xdr:spPr>
                    <a:xfrm>
                      <a:off x="2409825" y="111697294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5" name="Oval 154">
                      <a:extLst>
                        <a:ext uri="{FF2B5EF4-FFF2-40B4-BE49-F238E27FC236}">
                          <a16:creationId xmlns:a16="http://schemas.microsoft.com/office/drawing/2014/main" id="{801763D1-E671-47CF-87D7-00494F2EE8F0}"/>
                        </a:ext>
                      </a:extLst>
                    </xdr:cNvPr>
                    <xdr:cNvSpPr/>
                  </xdr:nvSpPr>
                  <xdr:spPr>
                    <a:xfrm>
                      <a:off x="2340769" y="111513463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6" name="Oval 155">
                      <a:extLst>
                        <a:ext uri="{FF2B5EF4-FFF2-40B4-BE49-F238E27FC236}">
                          <a16:creationId xmlns:a16="http://schemas.microsoft.com/office/drawing/2014/main" id="{6C0B31E8-4324-4CCA-9EED-A231DE008FCE}"/>
                        </a:ext>
                      </a:extLst>
                    </xdr:cNvPr>
                    <xdr:cNvSpPr/>
                  </xdr:nvSpPr>
                  <xdr:spPr>
                    <a:xfrm>
                      <a:off x="3162301" y="111563470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7" name="Oval 156">
                      <a:extLst>
                        <a:ext uri="{FF2B5EF4-FFF2-40B4-BE49-F238E27FC236}">
                          <a16:creationId xmlns:a16="http://schemas.microsoft.com/office/drawing/2014/main" id="{4ACB5CEB-E00D-4E24-ACAE-4D04A7D96585}"/>
                        </a:ext>
                      </a:extLst>
                    </xdr:cNvPr>
                    <xdr:cNvSpPr/>
                  </xdr:nvSpPr>
                  <xdr:spPr>
                    <a:xfrm>
                      <a:off x="3717132" y="11255406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8" name="TextBox 157">
                      <a:extLst>
                        <a:ext uri="{FF2B5EF4-FFF2-40B4-BE49-F238E27FC236}">
                          <a16:creationId xmlns:a16="http://schemas.microsoft.com/office/drawing/2014/main" id="{82C12CCA-F03A-4FC1-9547-D8C2AEB16B0B}"/>
                        </a:ext>
                      </a:extLst>
                    </xdr:cNvPr>
                    <xdr:cNvSpPr txBox="1"/>
                  </xdr:nvSpPr>
                  <xdr:spPr>
                    <a:xfrm>
                      <a:off x="1707358" y="112640270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59" name="TextBox 158">
                      <a:extLst>
                        <a:ext uri="{FF2B5EF4-FFF2-40B4-BE49-F238E27FC236}">
                          <a16:creationId xmlns:a16="http://schemas.microsoft.com/office/drawing/2014/main" id="{568A1639-54C2-40F5-BFD6-D54C7D9E96A1}"/>
                        </a:ext>
                      </a:extLst>
                    </xdr:cNvPr>
                    <xdr:cNvSpPr txBox="1"/>
                  </xdr:nvSpPr>
                  <xdr:spPr>
                    <a:xfrm>
                      <a:off x="2357436" y="111697294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0" name="TextBox 159">
                      <a:extLst>
                        <a:ext uri="{FF2B5EF4-FFF2-40B4-BE49-F238E27FC236}">
                          <a16:creationId xmlns:a16="http://schemas.microsoft.com/office/drawing/2014/main" id="{3A5454D2-B31A-477B-8B1B-0431F19C7843}"/>
                        </a:ext>
                      </a:extLst>
                    </xdr:cNvPr>
                    <xdr:cNvSpPr txBox="1"/>
                  </xdr:nvSpPr>
                  <xdr:spPr>
                    <a:xfrm>
                      <a:off x="2319337" y="111409163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③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1" name="TextBox 160">
                      <a:extLst>
                        <a:ext uri="{FF2B5EF4-FFF2-40B4-BE49-F238E27FC236}">
                          <a16:creationId xmlns:a16="http://schemas.microsoft.com/office/drawing/2014/main" id="{C7A48B71-C6F0-4245-BEEE-EB0CC791F5DF}"/>
                        </a:ext>
                      </a:extLst>
                    </xdr:cNvPr>
                    <xdr:cNvSpPr txBox="1"/>
                  </xdr:nvSpPr>
                  <xdr:spPr>
                    <a:xfrm>
                      <a:off x="3050379" y="111683007"/>
                      <a:ext cx="242888" cy="17859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2" name="TextBox 161">
                      <a:extLst>
                        <a:ext uri="{FF2B5EF4-FFF2-40B4-BE49-F238E27FC236}">
                          <a16:creationId xmlns:a16="http://schemas.microsoft.com/office/drawing/2014/main" id="{254DBBF6-3639-4EA6-9BCA-266174710A4F}"/>
                        </a:ext>
                      </a:extLst>
                    </xdr:cNvPr>
                    <xdr:cNvSpPr txBox="1"/>
                  </xdr:nvSpPr>
                  <xdr:spPr>
                    <a:xfrm>
                      <a:off x="3798094" y="112592645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3" name="TextBox 162">
                      <a:extLst>
                        <a:ext uri="{FF2B5EF4-FFF2-40B4-BE49-F238E27FC236}">
                          <a16:creationId xmlns:a16="http://schemas.microsoft.com/office/drawing/2014/main" id="{FB700D76-30FE-4DCA-8ABF-5AB2377BE2A3}"/>
                        </a:ext>
                      </a:extLst>
                    </xdr:cNvPr>
                    <xdr:cNvSpPr txBox="1"/>
                  </xdr:nvSpPr>
                  <xdr:spPr>
                    <a:xfrm>
                      <a:off x="3698082" y="112387856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④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4" name="TextBox 163">
                      <a:extLst>
                        <a:ext uri="{FF2B5EF4-FFF2-40B4-BE49-F238E27FC236}">
                          <a16:creationId xmlns:a16="http://schemas.microsoft.com/office/drawing/2014/main" id="{F99DA013-6B1B-4644-B819-87EF29B451DA}"/>
                        </a:ext>
                      </a:extLst>
                    </xdr:cNvPr>
                    <xdr:cNvSpPr txBox="1"/>
                  </xdr:nvSpPr>
                  <xdr:spPr>
                    <a:xfrm>
                      <a:off x="2981325" y="111418688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⑤</a:t>
                      </a:r>
                      <a:endParaRPr lang="en-US" sz="900"/>
                    </a:p>
                  </xdr:txBody>
                </xdr:sp>
              </xdr:grpSp>
            </xdr:grpSp>
          </xdr:grpSp>
          <xdr:sp macro="" textlink="">
            <xdr:nvSpPr>
              <xdr:cNvPr id="148" name="Oval 147">
                <a:extLst>
                  <a:ext uri="{FF2B5EF4-FFF2-40B4-BE49-F238E27FC236}">
                    <a16:creationId xmlns:a16="http://schemas.microsoft.com/office/drawing/2014/main" id="{61D40093-9E13-488A-8F40-099C3BAA5BC1}"/>
                  </a:ext>
                </a:extLst>
              </xdr:cNvPr>
              <xdr:cNvSpPr/>
            </xdr:nvSpPr>
            <xdr:spPr>
              <a:xfrm>
                <a:off x="3243262" y="111692531"/>
                <a:ext cx="66675" cy="66675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146" name="TextBox 145">
              <a:extLst>
                <a:ext uri="{FF2B5EF4-FFF2-40B4-BE49-F238E27FC236}">
                  <a16:creationId xmlns:a16="http://schemas.microsoft.com/office/drawing/2014/main" id="{E052021A-9834-4A14-AA03-86C2F6DD5A51}"/>
                </a:ext>
              </a:extLst>
            </xdr:cNvPr>
            <xdr:cNvSpPr txBox="1"/>
          </xdr:nvSpPr>
          <xdr:spPr>
            <a:xfrm>
              <a:off x="4048125" y="111509176"/>
              <a:ext cx="1914525" cy="1085850"/>
            </a:xfrm>
            <a:prstGeom prst="rect">
              <a:avLst/>
            </a:prstGeom>
            <a:solidFill>
              <a:schemeClr val="lt1"/>
            </a:solidFill>
            <a:ln w="22225" cmpd="sng">
              <a:solidFill>
                <a:schemeClr val="accent1">
                  <a:lumMod val="75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bu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플랜지 인장응력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②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bu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플랜지 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③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deck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바닥판 압축응력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④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bot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내부 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con'c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⑤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s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철근 인장응력</a:t>
              </a:r>
              <a:endParaRPr lang="ko-KR" altLang="en-US" sz="900"/>
            </a:p>
          </xdr:txBody>
        </xdr:sp>
      </xdr:grpSp>
      <xdr:grpSp>
        <xdr:nvGrpSpPr>
          <xdr:cNvPr id="142" name="Group 141">
            <a:extLst>
              <a:ext uri="{FF2B5EF4-FFF2-40B4-BE49-F238E27FC236}">
                <a16:creationId xmlns:a16="http://schemas.microsoft.com/office/drawing/2014/main" id="{74B0BD60-7D17-45FA-8F49-986F05917B60}"/>
              </a:ext>
            </a:extLst>
          </xdr:cNvPr>
          <xdr:cNvGrpSpPr/>
        </xdr:nvGrpSpPr>
        <xdr:grpSpPr>
          <a:xfrm>
            <a:off x="2043688" y="5094828"/>
            <a:ext cx="99748" cy="107468"/>
            <a:chOff x="2381250" y="5348654"/>
            <a:chExt cx="99748" cy="107468"/>
          </a:xfrm>
        </xdr:grpSpPr>
        <xdr:sp macro="" textlink="">
          <xdr:nvSpPr>
            <xdr:cNvPr id="143" name="Oval 142">
              <a:extLst>
                <a:ext uri="{FF2B5EF4-FFF2-40B4-BE49-F238E27FC236}">
                  <a16:creationId xmlns:a16="http://schemas.microsoft.com/office/drawing/2014/main" id="{CCC1B400-A101-4E0A-9FEB-34805DDA0FBA}"/>
                </a:ext>
              </a:extLst>
            </xdr:cNvPr>
            <xdr:cNvSpPr/>
          </xdr:nvSpPr>
          <xdr:spPr>
            <a:xfrm>
              <a:off x="2381250" y="5348654"/>
              <a:ext cx="99748" cy="100304"/>
            </a:xfrm>
            <a:prstGeom prst="ellipse">
              <a:avLst/>
            </a:prstGeom>
            <a:noFill/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4" name="Minus 574">
              <a:extLst>
                <a:ext uri="{FF2B5EF4-FFF2-40B4-BE49-F238E27FC236}">
                  <a16:creationId xmlns:a16="http://schemas.microsoft.com/office/drawing/2014/main" id="{37F6B786-E9B4-4507-B2A9-3A4DEBB68CA2}"/>
                </a:ext>
              </a:extLst>
            </xdr:cNvPr>
            <xdr:cNvSpPr/>
          </xdr:nvSpPr>
          <xdr:spPr>
            <a:xfrm>
              <a:off x="2397874" y="5348654"/>
              <a:ext cx="68872" cy="107468"/>
            </a:xfrm>
            <a:prstGeom prst="mathMinus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</xdr:col>
      <xdr:colOff>3967</xdr:colOff>
      <xdr:row>68</xdr:row>
      <xdr:rowOff>27335</xdr:rowOff>
    </xdr:from>
    <xdr:to>
      <xdr:col>13</xdr:col>
      <xdr:colOff>57150</xdr:colOff>
      <xdr:row>77</xdr:row>
      <xdr:rowOff>153218</xdr:rowOff>
    </xdr:to>
    <xdr:grpSp>
      <xdr:nvGrpSpPr>
        <xdr:cNvPr id="216" name="Group 215">
          <a:extLst>
            <a:ext uri="{FF2B5EF4-FFF2-40B4-BE49-F238E27FC236}">
              <a16:creationId xmlns:a16="http://schemas.microsoft.com/office/drawing/2014/main" id="{F40E0685-6581-4118-A6C9-F1DAD6B2ACBF}"/>
            </a:ext>
          </a:extLst>
        </xdr:cNvPr>
        <xdr:cNvGrpSpPr/>
      </xdr:nvGrpSpPr>
      <xdr:grpSpPr>
        <a:xfrm>
          <a:off x="156367" y="13057535"/>
          <a:ext cx="1872458" cy="1840383"/>
          <a:chOff x="280192" y="12781420"/>
          <a:chExt cx="1736181" cy="1852000"/>
        </a:xfrm>
      </xdr:grpSpPr>
      <xdr:grpSp>
        <xdr:nvGrpSpPr>
          <xdr:cNvPr id="217" name="Group 216">
            <a:extLst>
              <a:ext uri="{FF2B5EF4-FFF2-40B4-BE49-F238E27FC236}">
                <a16:creationId xmlns:a16="http://schemas.microsoft.com/office/drawing/2014/main" id="{03B8B5CD-5213-4E7A-8981-79130CC22F05}"/>
              </a:ext>
            </a:extLst>
          </xdr:cNvPr>
          <xdr:cNvGrpSpPr/>
        </xdr:nvGrpSpPr>
        <xdr:grpSpPr>
          <a:xfrm>
            <a:off x="280192" y="12781420"/>
            <a:ext cx="1736181" cy="1852000"/>
            <a:chOff x="280192" y="12716611"/>
            <a:chExt cx="1736181" cy="1842180"/>
          </a:xfrm>
        </xdr:grpSpPr>
        <xdr:sp macro="" textlink="">
          <xdr:nvSpPr>
            <xdr:cNvPr id="221" name="Freeform 394">
              <a:extLst>
                <a:ext uri="{FF2B5EF4-FFF2-40B4-BE49-F238E27FC236}">
                  <a16:creationId xmlns:a16="http://schemas.microsoft.com/office/drawing/2014/main" id="{0AC0B4F0-53C2-4CE9-ADCE-5AF1EF4010CE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222" name="Group 221">
              <a:extLst>
                <a:ext uri="{FF2B5EF4-FFF2-40B4-BE49-F238E27FC236}">
                  <a16:creationId xmlns:a16="http://schemas.microsoft.com/office/drawing/2014/main" id="{04102DD5-9C08-43F0-9CA8-E5C345F80255}"/>
                </a:ext>
              </a:extLst>
            </xdr:cNvPr>
            <xdr:cNvGrpSpPr/>
          </xdr:nvGrpSpPr>
          <xdr:grpSpPr>
            <a:xfrm>
              <a:off x="280192" y="12716611"/>
              <a:ext cx="1736181" cy="1842180"/>
              <a:chOff x="280192" y="12716611"/>
              <a:chExt cx="1736181" cy="1842180"/>
            </a:xfrm>
          </xdr:grpSpPr>
          <xdr:grpSp>
            <xdr:nvGrpSpPr>
              <xdr:cNvPr id="223" name="Group 222">
                <a:extLst>
                  <a:ext uri="{FF2B5EF4-FFF2-40B4-BE49-F238E27FC236}">
                    <a16:creationId xmlns:a16="http://schemas.microsoft.com/office/drawing/2014/main" id="{85055C06-9319-4A0D-BF51-58146B2AC913}"/>
                  </a:ext>
                </a:extLst>
              </xdr:cNvPr>
              <xdr:cNvGrpSpPr/>
            </xdr:nvGrpSpPr>
            <xdr:grpSpPr>
              <a:xfrm>
                <a:off x="280192" y="12716611"/>
                <a:ext cx="1736181" cy="1842180"/>
                <a:chOff x="280192" y="9668611"/>
                <a:chExt cx="1736181" cy="1842180"/>
              </a:xfrm>
            </xdr:grpSpPr>
            <xdr:sp macro="" textlink="">
              <xdr:nvSpPr>
                <xdr:cNvPr id="225" name="Freeform 101">
                  <a:extLst>
                    <a:ext uri="{FF2B5EF4-FFF2-40B4-BE49-F238E27FC236}">
                      <a16:creationId xmlns:a16="http://schemas.microsoft.com/office/drawing/2014/main" id="{1935D7EE-939D-4948-8829-DA70C01CD344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26" name="Group 225">
                  <a:extLst>
                    <a:ext uri="{FF2B5EF4-FFF2-40B4-BE49-F238E27FC236}">
                      <a16:creationId xmlns:a16="http://schemas.microsoft.com/office/drawing/2014/main" id="{AF556FE7-5DF0-4AD5-ADBA-ECC04AD8A332}"/>
                    </a:ext>
                  </a:extLst>
                </xdr:cNvPr>
                <xdr:cNvGrpSpPr/>
              </xdr:nvGrpSpPr>
              <xdr:grpSpPr>
                <a:xfrm>
                  <a:off x="280192" y="9668611"/>
                  <a:ext cx="1736181" cy="1842180"/>
                  <a:chOff x="331475" y="5194697"/>
                  <a:chExt cx="1722354" cy="1790303"/>
                </a:xfrm>
              </xdr:grpSpPr>
              <xdr:grpSp>
                <xdr:nvGrpSpPr>
                  <xdr:cNvPr id="227" name="Group 226">
                    <a:extLst>
                      <a:ext uri="{FF2B5EF4-FFF2-40B4-BE49-F238E27FC236}">
                        <a16:creationId xmlns:a16="http://schemas.microsoft.com/office/drawing/2014/main" id="{66B305F7-5214-49F1-B171-D20FB1D7D268}"/>
                      </a:ext>
                    </a:extLst>
                  </xdr:cNvPr>
                  <xdr:cNvGrpSpPr/>
                </xdr:nvGrpSpPr>
                <xdr:grpSpPr>
                  <a:xfrm>
                    <a:off x="331475" y="5194697"/>
                    <a:ext cx="1654536" cy="1479550"/>
                    <a:chOff x="331475" y="5194697"/>
                    <a:chExt cx="1654536" cy="1479550"/>
                  </a:xfrm>
                </xdr:grpSpPr>
                <xdr:grpSp>
                  <xdr:nvGrpSpPr>
                    <xdr:cNvPr id="229" name="Group 228">
                      <a:extLst>
                        <a:ext uri="{FF2B5EF4-FFF2-40B4-BE49-F238E27FC236}">
                          <a16:creationId xmlns:a16="http://schemas.microsoft.com/office/drawing/2014/main" id="{BF2ABFD6-175C-4ABA-9356-D48A9D28AB1B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371988"/>
                      <a:ext cx="1654536" cy="1168853"/>
                      <a:chOff x="331501" y="5331957"/>
                      <a:chExt cx="1659981" cy="1160623"/>
                    </a:xfrm>
                  </xdr:grpSpPr>
                  <xdr:grpSp>
                    <xdr:nvGrpSpPr>
                      <xdr:cNvPr id="231" name="Group 230">
                        <a:extLst>
                          <a:ext uri="{FF2B5EF4-FFF2-40B4-BE49-F238E27FC236}">
                            <a16:creationId xmlns:a16="http://schemas.microsoft.com/office/drawing/2014/main" id="{EC018635-4458-4791-A4B7-E84CFD96A30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331957"/>
                        <a:ext cx="1557511" cy="1160623"/>
                        <a:chOff x="331531" y="5428027"/>
                        <a:chExt cx="1563324" cy="1180376"/>
                      </a:xfrm>
                    </xdr:grpSpPr>
                    <xdr:grpSp>
                      <xdr:nvGrpSpPr>
                        <xdr:cNvPr id="234" name="Group 233">
                          <a:extLst>
                            <a:ext uri="{FF2B5EF4-FFF2-40B4-BE49-F238E27FC236}">
                              <a16:creationId xmlns:a16="http://schemas.microsoft.com/office/drawing/2014/main" id="{10604EBA-DCB7-4CC2-85EE-24D35542CA71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238" name="Straight Connector 237">
                            <a:extLst>
                              <a:ext uri="{FF2B5EF4-FFF2-40B4-BE49-F238E27FC236}">
                                <a16:creationId xmlns:a16="http://schemas.microsoft.com/office/drawing/2014/main" id="{A5D255C7-1870-437C-A881-4136740C3827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39" name="Straight Connector 238">
                            <a:extLst>
                              <a:ext uri="{FF2B5EF4-FFF2-40B4-BE49-F238E27FC236}">
                                <a16:creationId xmlns:a16="http://schemas.microsoft.com/office/drawing/2014/main" id="{F0E356BF-53E0-46E7-B3AF-CD6C4067821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0" name="직선 연결선 255">
                            <a:extLst>
                              <a:ext uri="{FF2B5EF4-FFF2-40B4-BE49-F238E27FC236}">
                                <a16:creationId xmlns:a16="http://schemas.microsoft.com/office/drawing/2014/main" id="{CE7881E5-3B2F-477C-AB95-7D5022A462D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1" name="직선 연결선 251">
                            <a:extLst>
                              <a:ext uri="{FF2B5EF4-FFF2-40B4-BE49-F238E27FC236}">
                                <a16:creationId xmlns:a16="http://schemas.microsoft.com/office/drawing/2014/main" id="{76FE883F-0893-406A-A7BD-83B28CFBD02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2" name="직선 연결선 238">
                            <a:extLst>
                              <a:ext uri="{FF2B5EF4-FFF2-40B4-BE49-F238E27FC236}">
                                <a16:creationId xmlns:a16="http://schemas.microsoft.com/office/drawing/2014/main" id="{A0070844-E739-4D69-AFA1-0A5A7030045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3" name="직선 연결선 239">
                            <a:extLst>
                              <a:ext uri="{FF2B5EF4-FFF2-40B4-BE49-F238E27FC236}">
                                <a16:creationId xmlns:a16="http://schemas.microsoft.com/office/drawing/2014/main" id="{5DD44CCA-8F70-4BF0-9092-F9A2C548D5E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4" name="Straight Connector 243">
                            <a:extLst>
                              <a:ext uri="{FF2B5EF4-FFF2-40B4-BE49-F238E27FC236}">
                                <a16:creationId xmlns:a16="http://schemas.microsoft.com/office/drawing/2014/main" id="{93B3FC71-2ADE-4FC5-898D-E12BBE030A7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5" name="Straight Connector 244">
                            <a:extLst>
                              <a:ext uri="{FF2B5EF4-FFF2-40B4-BE49-F238E27FC236}">
                                <a16:creationId xmlns:a16="http://schemas.microsoft.com/office/drawing/2014/main" id="{31BD2A1C-C41F-4469-9674-5E2AAF857CFF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35" name="Straight Connector 234">
                          <a:extLst>
                            <a:ext uri="{FF2B5EF4-FFF2-40B4-BE49-F238E27FC236}">
                              <a16:creationId xmlns:a16="http://schemas.microsoft.com/office/drawing/2014/main" id="{F809270E-5C7C-44BD-B056-E69412E41309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43207" y="6118795"/>
                          <a:ext cx="1251648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36" name="Straight Connector 235">
                          <a:extLst>
                            <a:ext uri="{FF2B5EF4-FFF2-40B4-BE49-F238E27FC236}">
                              <a16:creationId xmlns:a16="http://schemas.microsoft.com/office/drawing/2014/main" id="{25F1E6B5-3677-4734-A7AC-4D0367788E4C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13809" y="5646078"/>
                          <a:ext cx="188116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37" name="Straight Connector 236">
                          <a:extLst>
                            <a:ext uri="{FF2B5EF4-FFF2-40B4-BE49-F238E27FC236}">
                              <a16:creationId xmlns:a16="http://schemas.microsoft.com/office/drawing/2014/main" id="{AAAE9D24-87AA-47B9-8465-63CD6AE3525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645000"/>
                          <a:ext cx="0" cy="472431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32" name="TextBox 231">
                        <a:extLst>
                          <a:ext uri="{FF2B5EF4-FFF2-40B4-BE49-F238E27FC236}">
                            <a16:creationId xmlns:a16="http://schemas.microsoft.com/office/drawing/2014/main" id="{49DEB72B-6C08-49E3-A3A3-380C1E0451D5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86807" y="5834063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233" name="TextBox 232">
                        <a:extLst>
                          <a:ext uri="{FF2B5EF4-FFF2-40B4-BE49-F238E27FC236}">
                            <a16:creationId xmlns:a16="http://schemas.microsoft.com/office/drawing/2014/main" id="{4DCDEBEC-7465-4445-BF62-A5D5FFB052CD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27843" y="5663975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230" name="Freeform 331">
                      <a:extLst>
                        <a:ext uri="{FF2B5EF4-FFF2-40B4-BE49-F238E27FC236}">
                          <a16:creationId xmlns:a16="http://schemas.microsoft.com/office/drawing/2014/main" id="{1D5F2DBA-77EB-4387-9E46-0A5E2E80B3AA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228" name="TextBox 227">
                    <a:extLst>
                      <a:ext uri="{FF2B5EF4-FFF2-40B4-BE49-F238E27FC236}">
                        <a16:creationId xmlns:a16="http://schemas.microsoft.com/office/drawing/2014/main" id="{81E05DC2-368F-4380-9FAC-648BA534AFB4}"/>
                      </a:ext>
                    </a:extLst>
                  </xdr:cNvPr>
                  <xdr:cNvSpPr txBox="1"/>
                </xdr:nvSpPr>
                <xdr:spPr>
                  <a:xfrm>
                    <a:off x="625079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Case 1, 8, a, b, c, d</a:t>
                    </a:r>
                    <a:endParaRPr lang="en-US" sz="600"/>
                  </a:p>
                </xdr:txBody>
              </xdr:sp>
            </xdr:grpSp>
          </xdr:grpSp>
          <xdr:cxnSp macro="">
            <xdr:nvCxnSpPr>
              <xdr:cNvPr id="224" name="직선 연결선 254">
                <a:extLst>
                  <a:ext uri="{FF2B5EF4-FFF2-40B4-BE49-F238E27FC236}">
                    <a16:creationId xmlns:a16="http://schemas.microsoft.com/office/drawing/2014/main" id="{15FC748C-A053-4258-80FB-C524271D3C42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18" name="직선 연결선 239">
            <a:extLst>
              <a:ext uri="{FF2B5EF4-FFF2-40B4-BE49-F238E27FC236}">
                <a16:creationId xmlns:a16="http://schemas.microsoft.com/office/drawing/2014/main" id="{75E7AB31-27B5-4B81-BFF5-D8960E40E4B2}"/>
              </a:ext>
            </a:extLst>
          </xdr:cNvPr>
          <xdr:cNvCxnSpPr/>
        </xdr:nvCxnSpPr>
        <xdr:spPr>
          <a:xfrm>
            <a:off x="1142998" y="13955770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직선 연결선 239">
            <a:extLst>
              <a:ext uri="{FF2B5EF4-FFF2-40B4-BE49-F238E27FC236}">
                <a16:creationId xmlns:a16="http://schemas.microsoft.com/office/drawing/2014/main" id="{783A428A-5C30-4ACA-8C3A-40CBACD53BFC}"/>
              </a:ext>
            </a:extLst>
          </xdr:cNvPr>
          <xdr:cNvCxnSpPr/>
        </xdr:nvCxnSpPr>
        <xdr:spPr>
          <a:xfrm>
            <a:off x="1154906" y="14021046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직선 연결선 239">
            <a:extLst>
              <a:ext uri="{FF2B5EF4-FFF2-40B4-BE49-F238E27FC236}">
                <a16:creationId xmlns:a16="http://schemas.microsoft.com/office/drawing/2014/main" id="{1E397203-E7B7-49CE-B54B-581F383ADE71}"/>
              </a:ext>
            </a:extLst>
          </xdr:cNvPr>
          <xdr:cNvCxnSpPr/>
        </xdr:nvCxnSpPr>
        <xdr:spPr>
          <a:xfrm>
            <a:off x="1175365" y="14090102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74728</xdr:colOff>
      <xdr:row>68</xdr:row>
      <xdr:rowOff>22376</xdr:rowOff>
    </xdr:from>
    <xdr:to>
      <xdr:col>29</xdr:col>
      <xdr:colOff>142875</xdr:colOff>
      <xdr:row>77</xdr:row>
      <xdr:rowOff>148259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CFE9AD75-74CF-4E03-8048-37F48C1834BA}"/>
            </a:ext>
          </a:extLst>
        </xdr:cNvPr>
        <xdr:cNvGrpSpPr/>
      </xdr:nvGrpSpPr>
      <xdr:grpSpPr>
        <a:xfrm>
          <a:off x="2198803" y="13052576"/>
          <a:ext cx="2354147" cy="1840383"/>
          <a:chOff x="2271048" y="12776461"/>
          <a:chExt cx="2190846" cy="1852000"/>
        </a:xfrm>
      </xdr:grpSpPr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8AB23785-1AFE-4735-926E-CA09FA0F2DAF}"/>
              </a:ext>
            </a:extLst>
          </xdr:cNvPr>
          <xdr:cNvGrpSpPr/>
        </xdr:nvGrpSpPr>
        <xdr:grpSpPr>
          <a:xfrm>
            <a:off x="2271048" y="12776461"/>
            <a:ext cx="2190846" cy="1852000"/>
            <a:chOff x="258096" y="12716611"/>
            <a:chExt cx="2190846" cy="1842180"/>
          </a:xfrm>
        </xdr:grpSpPr>
        <xdr:sp macro="" textlink="">
          <xdr:nvSpPr>
            <xdr:cNvPr id="251" name="Freeform 625">
              <a:extLst>
                <a:ext uri="{FF2B5EF4-FFF2-40B4-BE49-F238E27FC236}">
                  <a16:creationId xmlns:a16="http://schemas.microsoft.com/office/drawing/2014/main" id="{633AFEA5-38E2-4400-B342-08CC03BD3EF5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7C847ECC-1663-4E40-BCD0-D457E01BD328}"/>
                </a:ext>
              </a:extLst>
            </xdr:cNvPr>
            <xdr:cNvGrpSpPr/>
          </xdr:nvGrpSpPr>
          <xdr:grpSpPr>
            <a:xfrm>
              <a:off x="258096" y="12716611"/>
              <a:ext cx="2190846" cy="1842180"/>
              <a:chOff x="258096" y="12716611"/>
              <a:chExt cx="2190846" cy="1842180"/>
            </a:xfrm>
          </xdr:grpSpPr>
          <xdr:grpSp>
            <xdr:nvGrpSpPr>
              <xdr:cNvPr id="253" name="Group 252">
                <a:extLst>
                  <a:ext uri="{FF2B5EF4-FFF2-40B4-BE49-F238E27FC236}">
                    <a16:creationId xmlns:a16="http://schemas.microsoft.com/office/drawing/2014/main" id="{0500ABE1-379F-4C89-A68D-45C0043AC686}"/>
                  </a:ext>
                </a:extLst>
              </xdr:cNvPr>
              <xdr:cNvGrpSpPr/>
            </xdr:nvGrpSpPr>
            <xdr:grpSpPr>
              <a:xfrm>
                <a:off x="258096" y="12716611"/>
                <a:ext cx="2190846" cy="1842180"/>
                <a:chOff x="258096" y="9668611"/>
                <a:chExt cx="2190846" cy="1842180"/>
              </a:xfrm>
            </xdr:grpSpPr>
            <xdr:sp macro="" textlink="">
              <xdr:nvSpPr>
                <xdr:cNvPr id="255" name="Freeform 629">
                  <a:extLst>
                    <a:ext uri="{FF2B5EF4-FFF2-40B4-BE49-F238E27FC236}">
                      <a16:creationId xmlns:a16="http://schemas.microsoft.com/office/drawing/2014/main" id="{2CAC0E05-9D0E-47CA-ACDD-67712CCDD277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56" name="Group 255">
                  <a:extLst>
                    <a:ext uri="{FF2B5EF4-FFF2-40B4-BE49-F238E27FC236}">
                      <a16:creationId xmlns:a16="http://schemas.microsoft.com/office/drawing/2014/main" id="{9BF1DB56-02CF-42A0-AAE5-088FBA92AA13}"/>
                    </a:ext>
                  </a:extLst>
                </xdr:cNvPr>
                <xdr:cNvGrpSpPr/>
              </xdr:nvGrpSpPr>
              <xdr:grpSpPr>
                <a:xfrm>
                  <a:off x="258096" y="9668611"/>
                  <a:ext cx="2190846" cy="1842180"/>
                  <a:chOff x="309555" y="5194697"/>
                  <a:chExt cx="2173398" cy="1790303"/>
                </a:xfrm>
              </xdr:grpSpPr>
              <xdr:grpSp>
                <xdr:nvGrpSpPr>
                  <xdr:cNvPr id="257" name="Group 256">
                    <a:extLst>
                      <a:ext uri="{FF2B5EF4-FFF2-40B4-BE49-F238E27FC236}">
                        <a16:creationId xmlns:a16="http://schemas.microsoft.com/office/drawing/2014/main" id="{A25A7A95-4105-4756-A6C3-14173871E738}"/>
                      </a:ext>
                    </a:extLst>
                  </xdr:cNvPr>
                  <xdr:cNvGrpSpPr/>
                </xdr:nvGrpSpPr>
                <xdr:grpSpPr>
                  <a:xfrm>
                    <a:off x="309555" y="5194697"/>
                    <a:ext cx="1685905" cy="1479550"/>
                    <a:chOff x="309555" y="5194697"/>
                    <a:chExt cx="1685905" cy="1479550"/>
                  </a:xfrm>
                </xdr:grpSpPr>
                <xdr:grpSp>
                  <xdr:nvGrpSpPr>
                    <xdr:cNvPr id="259" name="Group 258">
                      <a:extLst>
                        <a:ext uri="{FF2B5EF4-FFF2-40B4-BE49-F238E27FC236}">
                          <a16:creationId xmlns:a16="http://schemas.microsoft.com/office/drawing/2014/main" id="{565D2DBC-F018-4E3A-8013-24456800BBD3}"/>
                        </a:ext>
                      </a:extLst>
                    </xdr:cNvPr>
                    <xdr:cNvGrpSpPr/>
                  </xdr:nvGrpSpPr>
                  <xdr:grpSpPr>
                    <a:xfrm>
                      <a:off x="309555" y="5289805"/>
                      <a:ext cx="1685905" cy="1251039"/>
                      <a:chOff x="309509" y="5250352"/>
                      <a:chExt cx="1691453" cy="1242230"/>
                    </a:xfrm>
                  </xdr:grpSpPr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:a16="http://schemas.microsoft.com/office/drawing/2014/main" id="{2E84E2CF-D5B6-4384-9C73-CCDFA51F86DC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264" name="Group 263">
                          <a:extLst>
                            <a:ext uri="{FF2B5EF4-FFF2-40B4-BE49-F238E27FC236}">
                              <a16:creationId xmlns:a16="http://schemas.microsoft.com/office/drawing/2014/main" id="{AAA2AE6F-45EB-46D7-8F91-708B1A1D96D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268" name="Straight Connector 267">
                            <a:extLst>
                              <a:ext uri="{FF2B5EF4-FFF2-40B4-BE49-F238E27FC236}">
                                <a16:creationId xmlns:a16="http://schemas.microsoft.com/office/drawing/2014/main" id="{053F5646-1382-4441-9B5A-8DF889B14AB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69" name="Straight Connector 268">
                            <a:extLst>
                              <a:ext uri="{FF2B5EF4-FFF2-40B4-BE49-F238E27FC236}">
                                <a16:creationId xmlns:a16="http://schemas.microsoft.com/office/drawing/2014/main" id="{B6D58515-68B6-4C2B-9767-05D4DD9838CF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0" name="직선 연결선 255">
                            <a:extLst>
                              <a:ext uri="{FF2B5EF4-FFF2-40B4-BE49-F238E27FC236}">
                                <a16:creationId xmlns:a16="http://schemas.microsoft.com/office/drawing/2014/main" id="{A4ECD8FA-C12D-4478-A12A-1C8E0DC3755E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1" name="직선 연결선 251">
                            <a:extLst>
                              <a:ext uri="{FF2B5EF4-FFF2-40B4-BE49-F238E27FC236}">
                                <a16:creationId xmlns:a16="http://schemas.microsoft.com/office/drawing/2014/main" id="{1CF167EF-24B0-45E7-B261-00708C8E475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2" name="직선 연결선 238">
                            <a:extLst>
                              <a:ext uri="{FF2B5EF4-FFF2-40B4-BE49-F238E27FC236}">
                                <a16:creationId xmlns:a16="http://schemas.microsoft.com/office/drawing/2014/main" id="{BE008A7E-82AB-4DA2-B2FE-0AB313F94B3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3" name="직선 연결선 239">
                            <a:extLst>
                              <a:ext uri="{FF2B5EF4-FFF2-40B4-BE49-F238E27FC236}">
                                <a16:creationId xmlns:a16="http://schemas.microsoft.com/office/drawing/2014/main" id="{98464DB9-7A88-483C-A655-7E1E8DA9E8F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4" name="Straight Connector 273">
                            <a:extLst>
                              <a:ext uri="{FF2B5EF4-FFF2-40B4-BE49-F238E27FC236}">
                                <a16:creationId xmlns:a16="http://schemas.microsoft.com/office/drawing/2014/main" id="{8DADBB5A-FA17-42BB-9136-A5AFDF335D62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5" name="Straight Connector 274">
                            <a:extLst>
                              <a:ext uri="{FF2B5EF4-FFF2-40B4-BE49-F238E27FC236}">
                                <a16:creationId xmlns:a16="http://schemas.microsoft.com/office/drawing/2014/main" id="{3EE394A0-8762-464C-9148-FC08EFCDC2F9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65" name="Straight Connector 264">
                          <a:extLst>
                            <a:ext uri="{FF2B5EF4-FFF2-40B4-BE49-F238E27FC236}">
                              <a16:creationId xmlns:a16="http://schemas.microsoft.com/office/drawing/2014/main" id="{EFF9584A-CF58-4302-84E0-DA9B029636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623349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6" name="Straight Connector 265">
                          <a:extLst>
                            <a:ext uri="{FF2B5EF4-FFF2-40B4-BE49-F238E27FC236}">
                              <a16:creationId xmlns:a16="http://schemas.microsoft.com/office/drawing/2014/main" id="{B31E981A-3B7B-4C53-8F8E-205A3548CD3C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557271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7" name="Straight Connector 266">
                          <a:extLst>
                            <a:ext uri="{FF2B5EF4-FFF2-40B4-BE49-F238E27FC236}">
                              <a16:creationId xmlns:a16="http://schemas.microsoft.com/office/drawing/2014/main" id="{959BA635-6A28-40A8-8543-2BFE6ED0E442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252397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62" name="TextBox 261">
                        <a:extLst>
                          <a:ext uri="{FF2B5EF4-FFF2-40B4-BE49-F238E27FC236}">
                            <a16:creationId xmlns:a16="http://schemas.microsoft.com/office/drawing/2014/main" id="{878D75CD-768B-4C23-9526-B03E5B688478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09509" y="5507761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263" name="TextBox 262">
                        <a:extLst>
                          <a:ext uri="{FF2B5EF4-FFF2-40B4-BE49-F238E27FC236}">
                            <a16:creationId xmlns:a16="http://schemas.microsoft.com/office/drawing/2014/main" id="{D1EC9495-4A4B-471A-A6B7-69CFD70D67EE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37323" y="5250352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260" name="Freeform 634">
                      <a:extLst>
                        <a:ext uri="{FF2B5EF4-FFF2-40B4-BE49-F238E27FC236}">
                          <a16:creationId xmlns:a16="http://schemas.microsoft.com/office/drawing/2014/main" id="{22C8D19C-5A1A-493E-A206-65535F839762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258" name="TextBox 257">
                    <a:extLst>
                      <a:ext uri="{FF2B5EF4-FFF2-40B4-BE49-F238E27FC236}">
                        <a16:creationId xmlns:a16="http://schemas.microsoft.com/office/drawing/2014/main" id="{760B05D3-3558-4D5B-A537-005732DB4BB7}"/>
                      </a:ext>
                    </a:extLst>
                  </xdr:cNvPr>
                  <xdr:cNvSpPr txBox="1"/>
                </xdr:nvSpPr>
                <xdr:spPr>
                  <a:xfrm>
                    <a:off x="1054203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2, 9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254" name="직선 연결선 254">
                <a:extLst>
                  <a:ext uri="{FF2B5EF4-FFF2-40B4-BE49-F238E27FC236}">
                    <a16:creationId xmlns:a16="http://schemas.microsoft.com/office/drawing/2014/main" id="{EB7637A5-B095-4403-A3A7-F7CAF0846717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48" name="직선 연결선 239">
            <a:extLst>
              <a:ext uri="{FF2B5EF4-FFF2-40B4-BE49-F238E27FC236}">
                <a16:creationId xmlns:a16="http://schemas.microsoft.com/office/drawing/2014/main" id="{7335AB46-688A-4DC8-91E7-F8AF5446128D}"/>
              </a:ext>
            </a:extLst>
          </xdr:cNvPr>
          <xdr:cNvCxnSpPr/>
        </xdr:nvCxnSpPr>
        <xdr:spPr>
          <a:xfrm>
            <a:off x="3156998" y="13950427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직선 연결선 239">
            <a:extLst>
              <a:ext uri="{FF2B5EF4-FFF2-40B4-BE49-F238E27FC236}">
                <a16:creationId xmlns:a16="http://schemas.microsoft.com/office/drawing/2014/main" id="{B2AC33FC-7FAD-4011-9158-A847B7153A9D}"/>
              </a:ext>
            </a:extLst>
          </xdr:cNvPr>
          <xdr:cNvCxnSpPr/>
        </xdr:nvCxnSpPr>
        <xdr:spPr>
          <a:xfrm>
            <a:off x="3168906" y="14015703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직선 연결선 239">
            <a:extLst>
              <a:ext uri="{FF2B5EF4-FFF2-40B4-BE49-F238E27FC236}">
                <a16:creationId xmlns:a16="http://schemas.microsoft.com/office/drawing/2014/main" id="{1F8656D3-056E-4708-8C42-510782F1A390}"/>
              </a:ext>
            </a:extLst>
          </xdr:cNvPr>
          <xdr:cNvCxnSpPr/>
        </xdr:nvCxnSpPr>
        <xdr:spPr>
          <a:xfrm>
            <a:off x="3189365" y="14084759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58400</xdr:colOff>
      <xdr:row>67</xdr:row>
      <xdr:rowOff>181735</xdr:rowOff>
    </xdr:from>
    <xdr:to>
      <xdr:col>43</xdr:col>
      <xdr:colOff>19050</xdr:colOff>
      <xdr:row>77</xdr:row>
      <xdr:rowOff>152482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67CE90DE-E408-4CEA-A784-E82ECABC1D3E}"/>
            </a:ext>
          </a:extLst>
        </xdr:cNvPr>
        <xdr:cNvGrpSpPr/>
      </xdr:nvGrpSpPr>
      <xdr:grpSpPr>
        <a:xfrm>
          <a:off x="4468475" y="13021435"/>
          <a:ext cx="2094250" cy="1875747"/>
          <a:chOff x="4355971" y="12747117"/>
          <a:chExt cx="1983307" cy="1885567"/>
        </a:xfrm>
      </xdr:grpSpPr>
      <xdr:grpSp>
        <xdr:nvGrpSpPr>
          <xdr:cNvPr id="277" name="Group 276">
            <a:extLst>
              <a:ext uri="{FF2B5EF4-FFF2-40B4-BE49-F238E27FC236}">
                <a16:creationId xmlns:a16="http://schemas.microsoft.com/office/drawing/2014/main" id="{5C4511DE-B7BB-413E-874B-B729DECD4F13}"/>
              </a:ext>
            </a:extLst>
          </xdr:cNvPr>
          <xdr:cNvGrpSpPr/>
        </xdr:nvGrpSpPr>
        <xdr:grpSpPr>
          <a:xfrm>
            <a:off x="4355971" y="12747117"/>
            <a:ext cx="1983307" cy="1885567"/>
            <a:chOff x="280192" y="12682715"/>
            <a:chExt cx="1983307" cy="1876078"/>
          </a:xfrm>
        </xdr:grpSpPr>
        <xdr:sp macro="" textlink="">
          <xdr:nvSpPr>
            <xdr:cNvPr id="281" name="Freeform 666">
              <a:extLst>
                <a:ext uri="{FF2B5EF4-FFF2-40B4-BE49-F238E27FC236}">
                  <a16:creationId xmlns:a16="http://schemas.microsoft.com/office/drawing/2014/main" id="{DDEF6E32-DB29-44D0-9148-5499D011FF57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282" name="Group 281">
              <a:extLst>
                <a:ext uri="{FF2B5EF4-FFF2-40B4-BE49-F238E27FC236}">
                  <a16:creationId xmlns:a16="http://schemas.microsoft.com/office/drawing/2014/main" id="{8D0121FA-A49E-4019-91AC-27E17E9A8A59}"/>
                </a:ext>
              </a:extLst>
            </xdr:cNvPr>
            <xdr:cNvGrpSpPr/>
          </xdr:nvGrpSpPr>
          <xdr:grpSpPr>
            <a:xfrm>
              <a:off x="280192" y="12682715"/>
              <a:ext cx="1983307" cy="1876078"/>
              <a:chOff x="280192" y="12682715"/>
              <a:chExt cx="1983307" cy="1876078"/>
            </a:xfrm>
          </xdr:grpSpPr>
          <xdr:grpSp>
            <xdr:nvGrpSpPr>
              <xdr:cNvPr id="283" name="Group 282">
                <a:extLst>
                  <a:ext uri="{FF2B5EF4-FFF2-40B4-BE49-F238E27FC236}">
                    <a16:creationId xmlns:a16="http://schemas.microsoft.com/office/drawing/2014/main" id="{1BCEC188-E0F5-46D9-A17C-1C1102362728}"/>
                  </a:ext>
                </a:extLst>
              </xdr:cNvPr>
              <xdr:cNvGrpSpPr/>
            </xdr:nvGrpSpPr>
            <xdr:grpSpPr>
              <a:xfrm>
                <a:off x="280192" y="12682715"/>
                <a:ext cx="1983307" cy="1876078"/>
                <a:chOff x="280192" y="9634715"/>
                <a:chExt cx="1983307" cy="1876078"/>
              </a:xfrm>
            </xdr:grpSpPr>
            <xdr:sp macro="" textlink="">
              <xdr:nvSpPr>
                <xdr:cNvPr id="285" name="Freeform 676">
                  <a:extLst>
                    <a:ext uri="{FF2B5EF4-FFF2-40B4-BE49-F238E27FC236}">
                      <a16:creationId xmlns:a16="http://schemas.microsoft.com/office/drawing/2014/main" id="{A2BB949D-85AB-4A28-9F7E-54E5C0DCEAEB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86" name="Group 285">
                  <a:extLst>
                    <a:ext uri="{FF2B5EF4-FFF2-40B4-BE49-F238E27FC236}">
                      <a16:creationId xmlns:a16="http://schemas.microsoft.com/office/drawing/2014/main" id="{95F9107D-D691-4A95-8682-A1ABE62D5127}"/>
                    </a:ext>
                  </a:extLst>
                </xdr:cNvPr>
                <xdr:cNvGrpSpPr/>
              </xdr:nvGrpSpPr>
              <xdr:grpSpPr>
                <a:xfrm>
                  <a:off x="280192" y="9634715"/>
                  <a:ext cx="1983307" cy="1876078"/>
                  <a:chOff x="331475" y="5161754"/>
                  <a:chExt cx="1967512" cy="1823246"/>
                </a:xfrm>
              </xdr:grpSpPr>
              <xdr:grpSp>
                <xdr:nvGrpSpPr>
                  <xdr:cNvPr id="287" name="Group 286">
                    <a:extLst>
                      <a:ext uri="{FF2B5EF4-FFF2-40B4-BE49-F238E27FC236}">
                        <a16:creationId xmlns:a16="http://schemas.microsoft.com/office/drawing/2014/main" id="{256D107A-8C5A-4E25-B4CF-CE68BED8E144}"/>
                      </a:ext>
                    </a:extLst>
                  </xdr:cNvPr>
                  <xdr:cNvGrpSpPr/>
                </xdr:nvGrpSpPr>
                <xdr:grpSpPr>
                  <a:xfrm>
                    <a:off x="331475" y="5161754"/>
                    <a:ext cx="1704803" cy="1512493"/>
                    <a:chOff x="331475" y="5161754"/>
                    <a:chExt cx="1704803" cy="1512493"/>
                  </a:xfrm>
                </xdr:grpSpPr>
                <xdr:grpSp>
                  <xdr:nvGrpSpPr>
                    <xdr:cNvPr id="289" name="Group 288">
                      <a:extLst>
                        <a:ext uri="{FF2B5EF4-FFF2-40B4-BE49-F238E27FC236}">
                          <a16:creationId xmlns:a16="http://schemas.microsoft.com/office/drawing/2014/main" id="{678766C0-A16F-4D20-B065-4C31CD970BC8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161754"/>
                      <a:ext cx="1704803" cy="1379088"/>
                      <a:chOff x="331501" y="5123204"/>
                      <a:chExt cx="1710413" cy="1369378"/>
                    </a:xfrm>
                  </xdr:grpSpPr>
                  <xdr:grpSp>
                    <xdr:nvGrpSpPr>
                      <xdr:cNvPr id="291" name="Group 290">
                        <a:extLst>
                          <a:ext uri="{FF2B5EF4-FFF2-40B4-BE49-F238E27FC236}">
                            <a16:creationId xmlns:a16="http://schemas.microsoft.com/office/drawing/2014/main" id="{F7849988-9740-41E8-A922-9219E4941872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294" name="Group 293">
                          <a:extLst>
                            <a:ext uri="{FF2B5EF4-FFF2-40B4-BE49-F238E27FC236}">
                              <a16:creationId xmlns:a16="http://schemas.microsoft.com/office/drawing/2014/main" id="{2631032D-E648-4B84-BEDD-01E6E600A73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298" name="Straight Connector 297">
                            <a:extLst>
                              <a:ext uri="{FF2B5EF4-FFF2-40B4-BE49-F238E27FC236}">
                                <a16:creationId xmlns:a16="http://schemas.microsoft.com/office/drawing/2014/main" id="{AF311E9E-BCAB-4D03-90A2-24198AD3AC97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99" name="Straight Connector 298">
                            <a:extLst>
                              <a:ext uri="{FF2B5EF4-FFF2-40B4-BE49-F238E27FC236}">
                                <a16:creationId xmlns:a16="http://schemas.microsoft.com/office/drawing/2014/main" id="{6285D099-11D6-40DB-AF43-38D54086A261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0" name="직선 연결선 255">
                            <a:extLst>
                              <a:ext uri="{FF2B5EF4-FFF2-40B4-BE49-F238E27FC236}">
                                <a16:creationId xmlns:a16="http://schemas.microsoft.com/office/drawing/2014/main" id="{03644295-373D-43EE-859F-CE58DD8CA2DE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1" name="직선 연결선 251">
                            <a:extLst>
                              <a:ext uri="{FF2B5EF4-FFF2-40B4-BE49-F238E27FC236}">
                                <a16:creationId xmlns:a16="http://schemas.microsoft.com/office/drawing/2014/main" id="{63EE7C37-30E8-4381-89E8-D4E930F6A11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2" name="직선 연결선 238">
                            <a:extLst>
                              <a:ext uri="{FF2B5EF4-FFF2-40B4-BE49-F238E27FC236}">
                                <a16:creationId xmlns:a16="http://schemas.microsoft.com/office/drawing/2014/main" id="{0FCD65AC-1F97-4124-9760-C55ED648F9E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3" name="직선 연결선 239">
                            <a:extLst>
                              <a:ext uri="{FF2B5EF4-FFF2-40B4-BE49-F238E27FC236}">
                                <a16:creationId xmlns:a16="http://schemas.microsoft.com/office/drawing/2014/main" id="{13E9255F-9CAB-4EFF-8E60-72C2E030377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4" name="Straight Connector 303">
                            <a:extLst>
                              <a:ext uri="{FF2B5EF4-FFF2-40B4-BE49-F238E27FC236}">
                                <a16:creationId xmlns:a16="http://schemas.microsoft.com/office/drawing/2014/main" id="{BDA0788A-4487-4FFC-B83B-1565C0665F56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5" name="Straight Connector 304">
                            <a:extLst>
                              <a:ext uri="{FF2B5EF4-FFF2-40B4-BE49-F238E27FC236}">
                                <a16:creationId xmlns:a16="http://schemas.microsoft.com/office/drawing/2014/main" id="{C72F4723-2E8F-4EEE-A429-959BDAAA5B3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95" name="Straight Connector 294">
                          <a:extLst>
                            <a:ext uri="{FF2B5EF4-FFF2-40B4-BE49-F238E27FC236}">
                              <a16:creationId xmlns:a16="http://schemas.microsoft.com/office/drawing/2014/main" id="{9E1DB2DF-C636-4648-80B1-6C85EC1E70BC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478455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96" name="Straight Connector 295">
                          <a:extLst>
                            <a:ext uri="{FF2B5EF4-FFF2-40B4-BE49-F238E27FC236}">
                              <a16:creationId xmlns:a16="http://schemas.microsoft.com/office/drawing/2014/main" id="{3C7831F0-3C53-4D98-8E2E-94FE2DD09804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377322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97" name="Straight Connector 296">
                          <a:extLst>
                            <a:ext uri="{FF2B5EF4-FFF2-40B4-BE49-F238E27FC236}">
                              <a16:creationId xmlns:a16="http://schemas.microsoft.com/office/drawing/2014/main" id="{83DFBFC9-7E71-430C-964E-83C82FA06399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107499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92" name="TextBox 291">
                        <a:extLst>
                          <a:ext uri="{FF2B5EF4-FFF2-40B4-BE49-F238E27FC236}">
                            <a16:creationId xmlns:a16="http://schemas.microsoft.com/office/drawing/2014/main" id="{5362EA20-BF38-4BE7-B548-D4AA99E3BC4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75588" y="5123204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293" name="TextBox 292">
                        <a:extLst>
                          <a:ext uri="{FF2B5EF4-FFF2-40B4-BE49-F238E27FC236}">
                            <a16:creationId xmlns:a16="http://schemas.microsoft.com/office/drawing/2014/main" id="{94D11B0B-6CB9-49B7-B4C1-99E64654582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8275" y="5223131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290" name="Freeform 681">
                      <a:extLst>
                        <a:ext uri="{FF2B5EF4-FFF2-40B4-BE49-F238E27FC236}">
                          <a16:creationId xmlns:a16="http://schemas.microsoft.com/office/drawing/2014/main" id="{00E3FF6E-A0DA-46E2-BD97-8DB8319FFBA6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288" name="TextBox 287">
                    <a:extLst>
                      <a:ext uri="{FF2B5EF4-FFF2-40B4-BE49-F238E27FC236}">
                        <a16:creationId xmlns:a16="http://schemas.microsoft.com/office/drawing/2014/main" id="{666CBAE5-5757-4005-8D62-31B5ADF198C7}"/>
                      </a:ext>
                    </a:extLst>
                  </xdr:cNvPr>
                  <xdr:cNvSpPr txBox="1"/>
                </xdr:nvSpPr>
                <xdr:spPr>
                  <a:xfrm>
                    <a:off x="870237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3, 4, 5, 6, 7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284" name="직선 연결선 254">
                <a:extLst>
                  <a:ext uri="{FF2B5EF4-FFF2-40B4-BE49-F238E27FC236}">
                    <a16:creationId xmlns:a16="http://schemas.microsoft.com/office/drawing/2014/main" id="{C42D3F64-6A20-4B1A-937D-F8099642A069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78" name="직선 연결선 239">
            <a:extLst>
              <a:ext uri="{FF2B5EF4-FFF2-40B4-BE49-F238E27FC236}">
                <a16:creationId xmlns:a16="http://schemas.microsoft.com/office/drawing/2014/main" id="{20D183CE-93B1-4232-BE28-7ECB40DAEC9B}"/>
              </a:ext>
            </a:extLst>
          </xdr:cNvPr>
          <xdr:cNvCxnSpPr/>
        </xdr:nvCxnSpPr>
        <xdr:spPr>
          <a:xfrm>
            <a:off x="5219111" y="13954951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직선 연결선 239">
            <a:extLst>
              <a:ext uri="{FF2B5EF4-FFF2-40B4-BE49-F238E27FC236}">
                <a16:creationId xmlns:a16="http://schemas.microsoft.com/office/drawing/2014/main" id="{E2FBC05C-D814-4D0D-A074-2484DDD39764}"/>
              </a:ext>
            </a:extLst>
          </xdr:cNvPr>
          <xdr:cNvCxnSpPr/>
        </xdr:nvCxnSpPr>
        <xdr:spPr>
          <a:xfrm>
            <a:off x="5231019" y="14020227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직선 연결선 239">
            <a:extLst>
              <a:ext uri="{FF2B5EF4-FFF2-40B4-BE49-F238E27FC236}">
                <a16:creationId xmlns:a16="http://schemas.microsoft.com/office/drawing/2014/main" id="{B9F965A0-5BBC-4CE6-89DC-DED9BFB22522}"/>
              </a:ext>
            </a:extLst>
          </xdr:cNvPr>
          <xdr:cNvCxnSpPr/>
        </xdr:nvCxnSpPr>
        <xdr:spPr>
          <a:xfrm>
            <a:off x="5251478" y="14089283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126085</xdr:colOff>
      <xdr:row>38</xdr:row>
      <xdr:rowOff>138679</xdr:rowOff>
    </xdr:from>
    <xdr:to>
      <xdr:col>43</xdr:col>
      <xdr:colOff>95249</xdr:colOff>
      <xdr:row>48</xdr:row>
      <xdr:rowOff>176075</xdr:rowOff>
    </xdr:to>
    <xdr:grpSp>
      <xdr:nvGrpSpPr>
        <xdr:cNvPr id="306" name="Group 305">
          <a:extLst>
            <a:ext uri="{FF2B5EF4-FFF2-40B4-BE49-F238E27FC236}">
              <a16:creationId xmlns:a16="http://schemas.microsoft.com/office/drawing/2014/main" id="{93896981-306B-4EC7-8007-23B2CF1CD660}"/>
            </a:ext>
          </a:extLst>
        </xdr:cNvPr>
        <xdr:cNvGrpSpPr/>
      </xdr:nvGrpSpPr>
      <xdr:grpSpPr>
        <a:xfrm>
          <a:off x="126085" y="7453879"/>
          <a:ext cx="6512839" cy="1942396"/>
          <a:chOff x="0" y="7414390"/>
          <a:chExt cx="6390550" cy="1782948"/>
        </a:xfrm>
      </xdr:grpSpPr>
      <xdr:grpSp>
        <xdr:nvGrpSpPr>
          <xdr:cNvPr id="307" name="Group 306">
            <a:extLst>
              <a:ext uri="{FF2B5EF4-FFF2-40B4-BE49-F238E27FC236}">
                <a16:creationId xmlns:a16="http://schemas.microsoft.com/office/drawing/2014/main" id="{C4E6F2DE-6615-4E61-9346-D9FB5871BF16}"/>
              </a:ext>
            </a:extLst>
          </xdr:cNvPr>
          <xdr:cNvGrpSpPr/>
        </xdr:nvGrpSpPr>
        <xdr:grpSpPr>
          <a:xfrm>
            <a:off x="4020" y="7414390"/>
            <a:ext cx="6386530" cy="1782948"/>
            <a:chOff x="4020" y="7414390"/>
            <a:chExt cx="6386530" cy="1782948"/>
          </a:xfrm>
        </xdr:grpSpPr>
        <xdr:grpSp>
          <xdr:nvGrpSpPr>
            <xdr:cNvPr id="310" name="Group 309">
              <a:extLst>
                <a:ext uri="{FF2B5EF4-FFF2-40B4-BE49-F238E27FC236}">
                  <a16:creationId xmlns:a16="http://schemas.microsoft.com/office/drawing/2014/main" id="{552F8F9B-EBC0-4180-83ED-6B19C14B331B}"/>
                </a:ext>
              </a:extLst>
            </xdr:cNvPr>
            <xdr:cNvGrpSpPr/>
          </xdr:nvGrpSpPr>
          <xdr:grpSpPr>
            <a:xfrm>
              <a:off x="4020" y="7414390"/>
              <a:ext cx="6386530" cy="1782948"/>
              <a:chOff x="-19793" y="7414390"/>
              <a:chExt cx="6386530" cy="1782948"/>
            </a:xfrm>
          </xdr:grpSpPr>
          <xdr:grpSp>
            <xdr:nvGrpSpPr>
              <xdr:cNvPr id="314" name="Group 313">
                <a:extLst>
                  <a:ext uri="{FF2B5EF4-FFF2-40B4-BE49-F238E27FC236}">
                    <a16:creationId xmlns:a16="http://schemas.microsoft.com/office/drawing/2014/main" id="{52D26E91-5EFD-4CD6-9E24-BF91759A80A4}"/>
                  </a:ext>
                </a:extLst>
              </xdr:cNvPr>
              <xdr:cNvGrpSpPr/>
            </xdr:nvGrpSpPr>
            <xdr:grpSpPr>
              <a:xfrm>
                <a:off x="-19793" y="7414390"/>
                <a:ext cx="6386530" cy="1782948"/>
                <a:chOff x="-19793" y="7414390"/>
                <a:chExt cx="6386530" cy="1782948"/>
              </a:xfrm>
            </xdr:grpSpPr>
            <xdr:cxnSp macro="">
              <xdr:nvCxnSpPr>
                <xdr:cNvPr id="319" name="Straight Connector 318">
                  <a:extLst>
                    <a:ext uri="{FF2B5EF4-FFF2-40B4-BE49-F238E27FC236}">
                      <a16:creationId xmlns:a16="http://schemas.microsoft.com/office/drawing/2014/main" id="{DE6B9710-E732-4811-8442-3AB5D63BE911}"/>
                    </a:ext>
                  </a:extLst>
                </xdr:cNvPr>
                <xdr:cNvCxnSpPr/>
              </xdr:nvCxnSpPr>
              <xdr:spPr>
                <a:xfrm>
                  <a:off x="1957387" y="8046245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0" name="Straight Connector 319">
                  <a:extLst>
                    <a:ext uri="{FF2B5EF4-FFF2-40B4-BE49-F238E27FC236}">
                      <a16:creationId xmlns:a16="http://schemas.microsoft.com/office/drawing/2014/main" id="{8E92E1B7-6603-44B9-A3A9-10179666CC7D}"/>
                    </a:ext>
                  </a:extLst>
                </xdr:cNvPr>
                <xdr:cNvCxnSpPr/>
              </xdr:nvCxnSpPr>
              <xdr:spPr>
                <a:xfrm>
                  <a:off x="1719262" y="8048627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321" name="Group 320">
                  <a:extLst>
                    <a:ext uri="{FF2B5EF4-FFF2-40B4-BE49-F238E27FC236}">
                      <a16:creationId xmlns:a16="http://schemas.microsoft.com/office/drawing/2014/main" id="{BC05BDCE-3B64-4914-BC52-2BFE4947ECC5}"/>
                    </a:ext>
                  </a:extLst>
                </xdr:cNvPr>
                <xdr:cNvGrpSpPr/>
              </xdr:nvGrpSpPr>
              <xdr:grpSpPr>
                <a:xfrm>
                  <a:off x="-19793" y="7414390"/>
                  <a:ext cx="6386530" cy="1782948"/>
                  <a:chOff x="-19793" y="7414390"/>
                  <a:chExt cx="6386530" cy="1782948"/>
                </a:xfrm>
              </xdr:grpSpPr>
              <xdr:cxnSp macro="">
                <xdr:nvCxnSpPr>
                  <xdr:cNvPr id="322" name="Straight Connector 321">
                    <a:extLst>
                      <a:ext uri="{FF2B5EF4-FFF2-40B4-BE49-F238E27FC236}">
                        <a16:creationId xmlns:a16="http://schemas.microsoft.com/office/drawing/2014/main" id="{92D63AB7-F630-4727-ABBD-DE867604758A}"/>
                      </a:ext>
                    </a:extLst>
                  </xdr:cNvPr>
                  <xdr:cNvCxnSpPr/>
                </xdr:nvCxnSpPr>
                <xdr:spPr>
                  <a:xfrm>
                    <a:off x="1478757" y="8046245"/>
                    <a:ext cx="0" cy="103435"/>
                  </a:xfrm>
                  <a:prstGeom prst="line">
                    <a:avLst/>
                  </a:prstGeom>
                  <a:ln w="38100"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323" name="Group 322">
                    <a:extLst>
                      <a:ext uri="{FF2B5EF4-FFF2-40B4-BE49-F238E27FC236}">
                        <a16:creationId xmlns:a16="http://schemas.microsoft.com/office/drawing/2014/main" id="{2A62F327-55D0-46C0-8A68-C3C7BC4F2F5D}"/>
                      </a:ext>
                    </a:extLst>
                  </xdr:cNvPr>
                  <xdr:cNvGrpSpPr/>
                </xdr:nvGrpSpPr>
                <xdr:grpSpPr>
                  <a:xfrm>
                    <a:off x="-19793" y="7414390"/>
                    <a:ext cx="6386530" cy="1782948"/>
                    <a:chOff x="186906" y="4839041"/>
                    <a:chExt cx="6382014" cy="1781128"/>
                  </a:xfrm>
                </xdr:grpSpPr>
                <xdr:grpSp>
                  <xdr:nvGrpSpPr>
                    <xdr:cNvPr id="324" name="Group 323">
                      <a:extLst>
                        <a:ext uri="{FF2B5EF4-FFF2-40B4-BE49-F238E27FC236}">
                          <a16:creationId xmlns:a16="http://schemas.microsoft.com/office/drawing/2014/main" id="{50EA14D9-F7BC-461E-BF72-C4157D8F7E65}"/>
                        </a:ext>
                      </a:extLst>
                    </xdr:cNvPr>
                    <xdr:cNvGrpSpPr/>
                  </xdr:nvGrpSpPr>
                  <xdr:grpSpPr>
                    <a:xfrm>
                      <a:off x="186906" y="4839041"/>
                      <a:ext cx="6042444" cy="1781128"/>
                      <a:chOff x="186906" y="450737"/>
                      <a:chExt cx="6042444" cy="1750142"/>
                    </a:xfrm>
                  </xdr:grpSpPr>
                  <xdr:grpSp>
                    <xdr:nvGrpSpPr>
                      <xdr:cNvPr id="332" name="Group 331">
                        <a:extLst>
                          <a:ext uri="{FF2B5EF4-FFF2-40B4-BE49-F238E27FC236}">
                            <a16:creationId xmlns:a16="http://schemas.microsoft.com/office/drawing/2014/main" id="{EBFECE5A-B5A3-4DFB-BDDE-09A9741BB07C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86906" y="662962"/>
                        <a:ext cx="6042444" cy="1537917"/>
                        <a:chOff x="33827" y="4685573"/>
                        <a:chExt cx="6042444" cy="1537917"/>
                      </a:xfrm>
                    </xdr:grpSpPr>
                    <xdr:grpSp>
                      <xdr:nvGrpSpPr>
                        <xdr:cNvPr id="335" name="Group 334">
                          <a:extLst>
                            <a:ext uri="{FF2B5EF4-FFF2-40B4-BE49-F238E27FC236}">
                              <a16:creationId xmlns:a16="http://schemas.microsoft.com/office/drawing/2014/main" id="{648D7813-E0D6-4923-B04D-F17F6B66A06E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827" y="4752573"/>
                          <a:ext cx="6042444" cy="1470917"/>
                          <a:chOff x="33827" y="4810559"/>
                          <a:chExt cx="6042444" cy="1489739"/>
                        </a:xfrm>
                      </xdr:grpSpPr>
                      <xdr:grpSp>
                        <xdr:nvGrpSpPr>
                          <xdr:cNvPr id="337" name="Group 336">
                            <a:extLst>
                              <a:ext uri="{FF2B5EF4-FFF2-40B4-BE49-F238E27FC236}">
                                <a16:creationId xmlns:a16="http://schemas.microsoft.com/office/drawing/2014/main" id="{A10B34CC-AC8B-4F4D-97AC-ABAB76A504D5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3827" y="4810559"/>
                            <a:ext cx="6042444" cy="1489739"/>
                            <a:chOff x="33827" y="4810559"/>
                            <a:chExt cx="6042444" cy="1489739"/>
                          </a:xfrm>
                        </xdr:grpSpPr>
                        <xdr:grpSp>
                          <xdr:nvGrpSpPr>
                            <xdr:cNvPr id="341" name="Group 340">
                              <a:extLst>
                                <a:ext uri="{FF2B5EF4-FFF2-40B4-BE49-F238E27FC236}">
                                  <a16:creationId xmlns:a16="http://schemas.microsoft.com/office/drawing/2014/main" id="{107F6C45-117F-494F-B237-276AA1DD6F52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3827" y="4810559"/>
                              <a:ext cx="6042444" cy="1489739"/>
                              <a:chOff x="32946" y="4823860"/>
                              <a:chExt cx="6078155" cy="1494056"/>
                            </a:xfrm>
                          </xdr:grpSpPr>
                          <xdr:grpSp>
                            <xdr:nvGrpSpPr>
                              <xdr:cNvPr id="346" name="Group 345">
                                <a:extLst>
                                  <a:ext uri="{FF2B5EF4-FFF2-40B4-BE49-F238E27FC236}">
                                    <a16:creationId xmlns:a16="http://schemas.microsoft.com/office/drawing/2014/main" id="{F8DA859F-93BF-4FB4-8655-E1A755FFB579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32946" y="4823860"/>
                                <a:ext cx="5946673" cy="1494056"/>
                                <a:chOff x="33801" y="4837622"/>
                                <a:chExt cx="5912783" cy="1498524"/>
                              </a:xfrm>
                            </xdr:grpSpPr>
                            <xdr:sp macro="" textlink="">
                              <xdr:nvSpPr>
                                <xdr:cNvPr id="351" name="TextBox 350">
                                  <a:extLst>
                                    <a:ext uri="{FF2B5EF4-FFF2-40B4-BE49-F238E27FC236}">
                                      <a16:creationId xmlns:a16="http://schemas.microsoft.com/office/drawing/2014/main" id="{28FE6B26-38E9-4EDF-A958-406F46D739A2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323853" y="5264943"/>
                                  <a:ext cx="374706" cy="177261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st</a:t>
                                  </a:r>
                                  <a:endParaRPr lang="en-US" sz="800"/>
                                </a:p>
                              </xdr:txBody>
                            </xdr:sp>
                            <xdr:grpSp>
                              <xdr:nvGrpSpPr>
                                <xdr:cNvPr id="352" name="Group 351">
                                  <a:extLst>
                                    <a:ext uri="{FF2B5EF4-FFF2-40B4-BE49-F238E27FC236}">
                                      <a16:creationId xmlns:a16="http://schemas.microsoft.com/office/drawing/2014/main" id="{DC4D5688-BB7E-4C9A-99A5-3485994B9774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3801" y="4837622"/>
                                  <a:ext cx="5912783" cy="1469001"/>
                                  <a:chOff x="33801" y="4837622"/>
                                  <a:chExt cx="5912783" cy="1469001"/>
                                </a:xfrm>
                              </xdr:grpSpPr>
                              <xdr:grpSp>
                                <xdr:nvGrpSpPr>
                                  <xdr:cNvPr id="354" name="Group 353">
                                    <a:extLst>
                                      <a:ext uri="{FF2B5EF4-FFF2-40B4-BE49-F238E27FC236}">
                                        <a16:creationId xmlns:a16="http://schemas.microsoft.com/office/drawing/2014/main" id="{5DE1C621-61BD-4A1E-90A4-42C1F5B4ED4C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3801" y="4837622"/>
                                    <a:ext cx="5912783" cy="1444253"/>
                                    <a:chOff x="33801" y="4837622"/>
                                    <a:chExt cx="5912783" cy="1444253"/>
                                  </a:xfrm>
                                </xdr:grpSpPr>
                                <xdr:grpSp>
                                  <xdr:nvGrpSpPr>
                                    <xdr:cNvPr id="358" name="Group 357">
                                      <a:extLst>
                                        <a:ext uri="{FF2B5EF4-FFF2-40B4-BE49-F238E27FC236}">
                                          <a16:creationId xmlns:a16="http://schemas.microsoft.com/office/drawing/2014/main" id="{67AF2ED8-7476-498C-80E9-19875FD2C381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33801" y="4837622"/>
                                      <a:ext cx="5912783" cy="1444253"/>
                                      <a:chOff x="-119279" y="4871640"/>
                                      <a:chExt cx="5912783" cy="1447655"/>
                                    </a:xfrm>
                                  </xdr:grpSpPr>
                                  <xdr:grpSp>
                                    <xdr:nvGrpSpPr>
                                      <xdr:cNvPr id="362" name="Group 36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790C2941-1D7B-4690-9C99-F4FAC32917D4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-119279" y="4871640"/>
                                        <a:ext cx="5912783" cy="1447655"/>
                                        <a:chOff x="-119279" y="4871640"/>
                                        <a:chExt cx="5912783" cy="1447655"/>
                                      </a:xfrm>
                                    </xdr:grpSpPr>
                                    <xdr:grpSp>
                                      <xdr:nvGrpSpPr>
                                        <xdr:cNvPr id="365" name="Group 364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CAAD6A5E-14C7-47E4-AF3E-399318F3A243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-119279" y="4871640"/>
                                          <a:ext cx="5912783" cy="1447655"/>
                                          <a:chOff x="-119279" y="7348140"/>
                                          <a:chExt cx="5912783" cy="1447655"/>
                                        </a:xfrm>
                                      </xdr:grpSpPr>
                                      <xdr:grpSp>
                                        <xdr:nvGrpSpPr>
                                          <xdr:cNvPr id="368" name="그룹 199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F34B60B2-A5F5-475C-8BE0-D442C554BE5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-119279" y="7348140"/>
                                            <a:ext cx="5912783" cy="1447655"/>
                                            <a:chOff x="6356569" y="10055622"/>
                                            <a:chExt cx="5912783" cy="1431780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370" name="그룹 20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A847FD03-7753-44B3-95ED-2642368EBBDD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11326019" y="10208419"/>
                                              <a:ext cx="617033" cy="174479"/>
                                              <a:chOff x="11341894" y="10203657"/>
                                              <a:chExt cx="617826" cy="176464"/>
                                            </a:xfrm>
                                          </xdr:grpSpPr>
                                          <xdr:cxnSp macro="">
                                            <xdr:nvCxnSpPr>
                                              <xdr:cNvPr id="446" name="직선 화살표 연결선 28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A839F83D-1491-46FB-8876-68D5D0A09967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>
                                                <a:off x="11582400" y="10306050"/>
                                                <a:ext cx="377320" cy="0"/>
                                              </a:xfrm>
                                              <a:prstGeom prst="straightConnector1">
                                                <a:avLst/>
                                              </a:prstGeom>
                                              <a:ln w="19050">
                                                <a:solidFill>
                                                  <a:srgbClr val="FF0000"/>
                                                </a:solidFill>
                                                <a:tailEnd type="stealth" w="lg" len="lg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sp macro="" textlink="">
                                            <xdr:nvSpPr>
                                              <xdr:cNvPr id="447" name="TextBox 446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B452AB36-BB93-48C1-AB66-79F450804B42}"/>
                                                  </a:ext>
                                                </a:extLst>
                                              </xdr:cNvPr>
                                              <xdr:cNvSpPr txBox="1"/>
                                            </xdr:nvSpPr>
                                            <xdr:spPr>
                                              <a:xfrm>
                                                <a:off x="11341894" y="10203657"/>
                                                <a:ext cx="406757" cy="176464"/>
                                              </a:xfrm>
                                              <a:prstGeom prst="rect">
                                                <a:avLst/>
                                              </a:prstGeom>
                                              <a:noFill/>
                                              <a:ln w="9525" cmpd="sng">
                                                <a:noFill/>
                                              </a:ln>
                                            </xdr:spPr>
                                            <xdr:style>
                                              <a:lnRef idx="0">
                                                <a:scrgbClr r="0" g="0" b="0"/>
                                              </a:lnRef>
                                              <a:fillRef idx="0">
                                                <a:scrgbClr r="0" g="0" b="0"/>
                                              </a:fillRef>
                                              <a:effectRef idx="0">
                                                <a:scrgbClr r="0" g="0" b="0"/>
                                              </a:effectRef>
                                              <a:fontRef idx="minor">
                                                <a:schemeClr val="dk1"/>
                                              </a:fontRef>
                                            </xdr:style>
                                            <xdr:txBody>
                                              <a:bodyPr vertOverflow="clip" horzOverflow="clip" wrap="square" rtlCol="0" anchor="ctr"/>
                                              <a:lstStyle/>
                                              <a:p>
                                                <a:r>
                                                  <a:rPr lang="en-US" sz="900"/>
                                                  <a:t>P</a:t>
                                                </a:r>
                                                <a:r>
                                                  <a:rPr lang="en-US" sz="600"/>
                                                  <a:t>rb</a:t>
                                                </a:r>
                                              </a:p>
                                            </xdr:txBody>
                                          </xdr:sp>
                                        </xdr:grpSp>
                                        <xdr:grpSp>
                                          <xdr:nvGrpSpPr>
                                            <xdr:cNvPr id="371" name="그룹 201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9EE629D4-DA97-446A-8C28-9EBCE0CD30F7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6356569" y="10055622"/>
                                              <a:ext cx="5912783" cy="1431780"/>
                                              <a:chOff x="6356569" y="10055622"/>
                                              <a:chExt cx="5912783" cy="1431780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372" name="그룹 20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8AEDED62-E753-4596-B5C9-51972ECAD635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10810075" y="10079435"/>
                                                <a:ext cx="1459277" cy="1407967"/>
                                                <a:chOff x="10822775" y="10184607"/>
                                                <a:chExt cx="1461658" cy="1421857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423" name="그룹 259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12A56C5D-20C7-476B-927F-9C57EDBD184E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0822775" y="10275094"/>
                                                  <a:ext cx="621430" cy="1281107"/>
                                                  <a:chOff x="10339551" y="10668000"/>
                                                  <a:chExt cx="621430" cy="1281107"/>
                                                </a:xfrm>
                                              </xdr:grpSpPr>
                                              <xdr:sp macro="" textlink="">
                                                <xdr:nvSpPr>
                                                  <xdr:cNvPr id="442" name="직사각형 2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98429747-5E7B-4B69-82A0-C64451FD788F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648950" y="11146630"/>
                                                    <a:ext cx="312031" cy="802477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443" name="직사각형 279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2F0584F8-5FD8-4FCD-A065-41A253EF9CC9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339551" y="10668000"/>
                                                    <a:ext cx="312042" cy="481012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444" name="덧셈 기호 28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95B93C5E-EA7A-4E2A-9D54-2FECEE702CBF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421503" y="10830538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445" name="뺄셈 기호 281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35C095B0-167A-4235-BF2C-B99570CECDA5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731229" y="1156119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4" name="그룹 260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5A155812-9397-404E-865E-A7DD153DA39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39509" y="10184607"/>
                                                  <a:ext cx="620211" cy="176464"/>
                                                  <a:chOff x="11339509" y="10184607"/>
                                                  <a:chExt cx="620211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40" name="직선 화살표 연결선 27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90F897E6-9295-4D9B-9835-5AA79A447387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41" name="TextBox 44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0D2079B-80DE-4266-AC4C-A53B1BB818AF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39509" y="1018460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rt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5" name="그룹 261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82A2DCE-D212-4A7D-9798-93BFEC77DEA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40130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8" name="직선 화살표 연결선 27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F21C146-DCDC-49FB-8EF6-8E1FBC07F2A6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9" name="TextBox 43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C53654F7-D9BE-4C50-A445-92B8E9A02912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6" name="그룹 262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DB4E8751-A799-43FC-8DE1-DC41949E3664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55132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6" name="직선 화살표 연결선 27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A34EDC8C-33A9-4693-9AA6-86E7A5D71207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7" name="TextBox 43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EE8517FA-2A64-4E83-A768-41E888EA444E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7" name="그룹 263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2A577C8D-6DC9-4345-A0AD-ACA2A1614D76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58587" y="10906126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4" name="직선 화살표 연결선 27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C67A4DA2-4A51-4249-94A3-CA4EAB7E011A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5" name="TextBox 43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278976AD-803E-4EA6-842A-4436795847A8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wb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8" name="그룹 26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6CFCE2F-973D-4908-B3DD-D0B349417B2E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8121" y="11220296"/>
                                                  <a:ext cx="706770" cy="176464"/>
                                                  <a:chOff x="11563358" y="10836919"/>
                                                  <a:chExt cx="706770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2" name="직선 화살표 연결선 26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DC146F61-D830-4F22-AD4C-0E4F646594FD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63358" y="10941704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3" name="TextBox 43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8CACC9EF-A996-4345-8E56-FFBC8A1CEFB3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63371" y="10836919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bot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9" name="그룹 26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18EE595C-61D1-491F-99F8-32EFDEC018E4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3350" y="11430000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0" name="직선 화살표 연결선 26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56B7000-7816-40F3-8F2D-EB43096FC57D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1" name="TextBox 43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F02B0226-0B9E-4B36-87B5-8494F375BB96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c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  <xdr:grpSp>
                                            <xdr:nvGrpSpPr>
                                              <xdr:cNvPr id="373" name="그룹 203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A8D3168F-EEEB-4B04-89E4-8B82DB426888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6356569" y="10055622"/>
                                                <a:ext cx="4463430" cy="1381519"/>
                                                <a:chOff x="6365985" y="10160794"/>
                                                <a:chExt cx="4466715" cy="1395409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374" name="그룹 20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99C3A3B4-7759-4F6D-ADCC-60539156D45F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7039870" y="10160794"/>
                                                  <a:ext cx="3792830" cy="1395409"/>
                                                  <a:chOff x="7039870" y="10160794"/>
                                                  <a:chExt cx="3792830" cy="1395409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387" name="그룹 22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61B949FF-A42E-4D94-A8EF-D453BC242F11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7039870" y="10160794"/>
                                                    <a:ext cx="3792830" cy="1395409"/>
                                                    <a:chOff x="7032577" y="10160794"/>
                                                    <a:chExt cx="3788357" cy="1395409"/>
                                                  </a:xfrm>
                                                </xdr:grpSpPr>
                                                <xdr:sp macro="" textlink="">
                                                  <xdr:nvSpPr>
                                                    <xdr:cNvPr id="390" name="TextBox 389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55AA4E63-C5C6-4748-9D85-6454E54386DC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10373723" y="10349733"/>
                                                      <a:ext cx="447211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P</a:t>
                                                      </a:r>
                                                      <a:r>
                                                        <a:rPr lang="en-US" sz="600" baseline="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  <xdr:grpSp>
                                                  <xdr:nvGrpSpPr>
                                                    <xdr:cNvPr id="391" name="그룹 22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3DF41C58-F441-4A50-B15A-191693B4EA0B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9194035" y="10275096"/>
                                                      <a:ext cx="623348" cy="1281107"/>
                                                      <a:chOff x="9901772" y="10270333"/>
                                                      <a:chExt cx="623908" cy="1281107"/>
                                                    </a:xfrm>
                                                  </xdr:grpSpPr>
                                                  <xdr:sp macro="" textlink="">
                                                    <xdr:nvSpPr>
                                                      <xdr:cNvPr id="421" name="직사각형 25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AB642049-5DCD-4D61-9FE9-80A90F2BB9F3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9901772" y="10748963"/>
                                                        <a:ext cx="311944" cy="802477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422" name="직사각형 25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2E8514E-1E6F-4E1C-B0F1-EED714FF92F8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0213726" y="10270333"/>
                                                        <a:ext cx="311954" cy="481012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grpSp>
                                                  <xdr:nvGrpSpPr>
                                                    <xdr:cNvPr id="392" name="그룹 227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5D9C9D1E-EE3C-4C8C-BB84-A1C56A9073A3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7032577" y="10160794"/>
                                                      <a:ext cx="3649852" cy="1366769"/>
                                                      <a:chOff x="7032577" y="10160794"/>
                                                      <a:chExt cx="3649852" cy="1366769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393" name="그룹 22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4816013A-6E27-4DEE-8F31-DE39EB390AD5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7032577" y="10275867"/>
                                                        <a:ext cx="3303608" cy="1251696"/>
                                                        <a:chOff x="7039872" y="10275867"/>
                                                        <a:chExt cx="3307689" cy="1251696"/>
                                                      </a:xfrm>
                                                    </xdr:grpSpPr>
                                                    <xdr:sp macro="" textlink="">
                                                      <xdr:nvSpPr>
                                                        <xdr:cNvPr id="402" name="자유형 240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53CDD139-80EE-422B-A938-E4A2BF1FABAF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/>
                                                      </xdr:nvSpPr>
                                                      <xdr:spPr>
                                                        <a:xfrm>
                                                          <a:off x="7731505" y="11263914"/>
                                                          <a:ext cx="738124" cy="258147"/>
                                                        </a:xfrm>
                                                        <a:custGeom>
                                                          <a:avLst/>
                                                          <a:gdLst>
                                                            <a:gd name="connsiteX0" fmla="*/ 0 w 702468"/>
                                                            <a:gd name="connsiteY0" fmla="*/ 0 h 233363"/>
                                                            <a:gd name="connsiteX1" fmla="*/ 702468 w 702468"/>
                                                            <a:gd name="connsiteY1" fmla="*/ 0 h 233363"/>
                                                            <a:gd name="connsiteX2" fmla="*/ 652462 w 702468"/>
                                                            <a:gd name="connsiteY2" fmla="*/ 233363 h 233363"/>
                                                            <a:gd name="connsiteX3" fmla="*/ 40481 w 702468"/>
                                                            <a:gd name="connsiteY3" fmla="*/ 233363 h 233363"/>
                                                            <a:gd name="connsiteX4" fmla="*/ 0 w 702468"/>
                                                            <a:gd name="connsiteY4" fmla="*/ 0 h 233363"/>
                                                          </a:gdLst>
                                                          <a:ahLst/>
                                                          <a:cxnLst>
                                                            <a:cxn ang="0">
                                                              <a:pos x="connsiteX0" y="connsiteY0"/>
                                                            </a:cxn>
                                                            <a:cxn ang="0">
                                                              <a:pos x="connsiteX1" y="connsiteY1"/>
                                                            </a:cxn>
                                                            <a:cxn ang="0">
                                                              <a:pos x="connsiteX2" y="connsiteY2"/>
                                                            </a:cxn>
                                                            <a:cxn ang="0">
                                                              <a:pos x="connsiteX3" y="connsiteY3"/>
                                                            </a:cxn>
                                                            <a:cxn ang="0">
                                                              <a:pos x="connsiteX4" y="connsiteY4"/>
                                                            </a:cxn>
                                                          </a:cxnLst>
                                                          <a:rect l="l" t="t" r="r" b="b"/>
                                                          <a:pathLst>
                                                            <a:path w="702468" h="233363">
                                                              <a:moveTo>
                                                                <a:pt x="0" y="0"/>
                                                              </a:moveTo>
                                                              <a:lnTo>
                                                                <a:pt x="702468" y="0"/>
                                                              </a:lnTo>
                                                              <a:lnTo>
                                                                <a:pt x="652462" y="233363"/>
                                                              </a:lnTo>
                                                              <a:lnTo>
                                                                <a:pt x="40481" y="233363"/>
                                                              </a:lnTo>
                                                              <a:lnTo>
                                                                <a:pt x="0" y="0"/>
                                                              </a:lnTo>
                                                              <a:close/>
                                                            </a:path>
                                                          </a:pathLst>
                                                        </a:custGeom>
                                                        <a:solidFill>
                                                          <a:schemeClr val="accent6">
                                                            <a:lumMod val="60000"/>
                                                            <a:lumOff val="40000"/>
                                                          </a:schemeClr>
                                                        </a:solidFill>
                                                        <a:ln w="6350"/>
                                                      </xdr:spPr>
                                                      <xdr:style>
                                                        <a:lnRef idx="2">
                                                          <a:schemeClr val="accent1">
                                                            <a:shade val="50000"/>
                                                          </a:schemeClr>
                                                        </a:lnRef>
                                                        <a:fillRef idx="1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lt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rtlCol="0" anchor="t"/>
                                                        <a:lstStyle/>
                                                        <a:p>
                                                          <a:pPr algn="l"/>
                                                          <a:endParaRPr lang="en-US" sz="1100"/>
                                                        </a:p>
                                                      </xdr:txBody>
                                                    </xdr:sp>
                                                    <xdr:grpSp>
                                                      <xdr:nvGrpSpPr>
                                                        <xdr:cNvPr id="403" name="그룹 237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E2B0AE8E-EF3C-44D3-A4CB-2AE65AA936BB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7039872" y="10275867"/>
                                                          <a:ext cx="3307689" cy="1251696"/>
                                                          <a:chOff x="7017949" y="8113677"/>
                                                          <a:chExt cx="2646865" cy="936830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406" name="그룹 24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52F1F34B-81CD-4567-BB4F-37B6CD7BBBC1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7017949" y="8113677"/>
                                                            <a:ext cx="2646865" cy="936830"/>
                                                            <a:chOff x="6896101" y="6875427"/>
                                                            <a:chExt cx="3151908" cy="945662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408" name="그룹 243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E3C20387-685D-4682-ADD7-F422E7C479D1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6896101" y="6875427"/>
                                                              <a:ext cx="3119156" cy="945662"/>
                                                              <a:chOff x="240127" y="1908063"/>
                                                              <a:chExt cx="4214497" cy="1210966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413" name="그룹 248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BD1033A4-E95A-4A0B-BB3D-A579A8697C0A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240127" y="1908063"/>
                                                                <a:ext cx="2720768" cy="1206463"/>
                                                                <a:chOff x="240127" y="1908063"/>
                                                                <a:chExt cx="2720768" cy="1206463"/>
                                                              </a:xfrm>
                                                            </xdr:grpSpPr>
                                                            <xdr:grpSp>
                                                              <xdr:nvGrpSpPr>
                                                                <xdr:cNvPr id="415" name="그룹 250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0923BE0C-26FB-4764-B839-4E2ADE67B562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240127" y="1908063"/>
                                                                  <a:ext cx="2720768" cy="1206463"/>
                                                                  <a:chOff x="1294701" y="2215059"/>
                                                                  <a:chExt cx="2300486" cy="1108468"/>
                                                                </a:xfrm>
                                                              </xdr:grpSpPr>
                                                              <xdr:grpSp>
                                                                <xdr:nvGrpSpPr>
                                                                  <xdr:cNvPr id="417" name="그룹 252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B8227E17-83F3-4D01-A53A-5D54F96CD7AC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1875140" y="2436996"/>
                                                                    <a:ext cx="1147515" cy="886531"/>
                                                                    <a:chOff x="952501" y="2485807"/>
                                                                    <a:chExt cx="1123949" cy="867599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419" name="직선 연결선 255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103AAB9D-CE4E-40F4-8B4D-39A3222B3FD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 flipV="1">
                                                                      <a:off x="952501" y="2485807"/>
                                                                      <a:ext cx="218352" cy="867599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420" name="직선 연결선 256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5DFC0B05-E81B-40A8-B166-64E04ADC873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1875510" y="2495331"/>
                                                                      <a:ext cx="200940" cy="855663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</xdr:grpSp>
                                                              <xdr:sp macro="" textlink="">
                                                                <xdr:nvSpPr>
                                                                  <xdr:cNvPr id="418" name="자유형 253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FE7F0156-F811-42FE-A83A-5DDFFCBCE55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1294701" y="2215059"/>
                                                                    <a:ext cx="2300486" cy="237904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270761 w 2267627"/>
                                                                      <a:gd name="connsiteY0" fmla="*/ 169226 h 234499"/>
                                                                      <a:gd name="connsiteX1" fmla="*/ 0 w 2267627"/>
                                                                      <a:gd name="connsiteY1" fmla="*/ 169226 h 234499"/>
                                                                      <a:gd name="connsiteX2" fmla="*/ 0 w 2267627"/>
                                                                      <a:gd name="connsiteY2" fmla="*/ 0 h 234499"/>
                                                                      <a:gd name="connsiteX3" fmla="*/ 2267627 w 2267627"/>
                                                                      <a:gd name="connsiteY3" fmla="*/ 0 h 234499"/>
                                                                      <a:gd name="connsiteX4" fmla="*/ 2267627 w 2267627"/>
                                                                      <a:gd name="connsiteY4" fmla="*/ 164391 h 234499"/>
                                                                      <a:gd name="connsiteX5" fmla="*/ 1996865 w 2267627"/>
                                                                      <a:gd name="connsiteY5" fmla="*/ 164391 h 234499"/>
                                                                      <a:gd name="connsiteX6" fmla="*/ 1926757 w 2267627"/>
                                                                      <a:gd name="connsiteY6" fmla="*/ 234499 h 234499"/>
                                                                      <a:gd name="connsiteX7" fmla="*/ 336034 w 2267627"/>
                                                                      <a:gd name="connsiteY7" fmla="*/ 234499 h 234499"/>
                                                                      <a:gd name="connsiteX8" fmla="*/ 270761 w 2267627"/>
                                                                      <a:gd name="connsiteY8" fmla="*/ 169226 h 234499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267627" h="234499">
                                                                        <a:moveTo>
                                                                          <a:pt x="270761" y="169226"/>
                                                                        </a:moveTo>
                                                                        <a:lnTo>
                                                                          <a:pt x="0" y="169226"/>
                                                                        </a:lnTo>
                                                                        <a:lnTo>
                                                                          <a:pt x="0" y="0"/>
                                                                        </a:lnTo>
                                                                        <a:lnTo>
                                                                          <a:pt x="2267627" y="0"/>
                                                                        </a:lnTo>
                                                                        <a:lnTo>
                                                                          <a:pt x="2267627" y="164391"/>
                                                                        </a:lnTo>
                                                                        <a:lnTo>
                                                                          <a:pt x="1996865" y="164391"/>
                                                                        </a:lnTo>
                                                                        <a:lnTo>
                                                                          <a:pt x="1926757" y="234499"/>
                                                                        </a:lnTo>
                                                                        <a:lnTo>
                                                                          <a:pt x="336034" y="234499"/>
                                                                        </a:lnTo>
                                                                        <a:lnTo>
                                                                          <a:pt x="270761" y="169226"/>
                                                                        </a:lnTo>
                                                                        <a:close/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solidFill>
                                                                    <a:schemeClr val="accent6">
                                                                      <a:lumMod val="40000"/>
                                                                      <a:lumOff val="60000"/>
                                                                    </a:schemeClr>
                                                                  </a:solidFill>
                                                                  <a:ln w="15875"/>
                                                                </xdr:spPr>
                                                                <xdr:style>
                                                                  <a:lnRef idx="2">
                                                                    <a:schemeClr val="accent1">
                                                                      <a:shade val="50000"/>
                                                                    </a:schemeClr>
                                                                  </a:lnRef>
                                                                  <a:fillRef idx="1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lt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n-US" sz="1100"/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</xdr:grpSp>
                                                            <xdr:cxnSp macro="">
                                                              <xdr:nvCxnSpPr>
                                                                <xdr:cNvPr id="416" name="직선 연결선 251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49F06390-24D5-462D-95BA-AB3B16CD9D42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>
                                                                  <a:off x="767304" y="2142942"/>
                                                                  <a:ext cx="1679196" cy="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 w="57150"/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</xdr:grpSp>
                                                          <xdr:sp macro="" textlink="">
                                                            <xdr:nvSpPr>
                                                              <xdr:cNvPr id="414" name="TextBox 413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50022B83-399E-4F01-A2DD-665AC61632E8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4049797" y="2978500"/>
                                                                <a:ext cx="404827" cy="140529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t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  <xdr:cxnSp macro="">
                                                          <xdr:nvCxnSpPr>
                                                            <xdr:cNvPr id="409" name="직선 화살표 연결선 244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382BCB4-8145-490F-997C-57C99970A7E2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9683113" y="7819492"/>
                                                              <a:ext cx="359569" cy="0"/>
                                                            </a:xfrm>
                                                            <a:prstGeom prst="straightConnector1">
                                                              <a:avLst/>
                                                            </a:prstGeom>
                                                            <a:ln w="19050">
                                                              <a:solidFill>
                                                                <a:srgbClr val="FF0000"/>
                                                              </a:solidFill>
                                                              <a:tailEnd type="stealth" w="lg" len="lg"/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grpSp>
                                                          <xdr:nvGrpSpPr>
                                                            <xdr:cNvPr id="410" name="그룹 245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E77BC9-8CE0-4EA0-9040-2DA8F838C8F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9649440" y="7372982"/>
                                                              <a:ext cx="398569" cy="147716"/>
                                                              <a:chOff x="9725640" y="7649207"/>
                                                              <a:chExt cx="398569" cy="147716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411" name="직선 화살표 연결선 24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14EED159-3026-41E5-AEF6-2642C2928B05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9764640" y="7780748"/>
                                                                <a:ext cx="359569" cy="0"/>
                                                              </a:xfrm>
                                                              <a:prstGeom prst="straightConnector1">
                                                                <a:avLst/>
                                                              </a:prstGeom>
                                                              <a:ln w="19050">
                                                                <a:solidFill>
                                                                  <a:srgbClr val="FF0000"/>
                                                                </a:solidFill>
                                                                <a:tailEnd type="stealth" w="lg" len="lg"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sp macro="" textlink="">
                                                            <xdr:nvSpPr>
                                                              <xdr:cNvPr id="412" name="TextBox 411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F82E89A-04FC-46AC-9122-FFE69A6942EE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725640" y="7649207"/>
                                                                <a:ext cx="343126" cy="147716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wb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</xdr:grpSp>
                                                      <xdr:sp macro="" textlink="">
                                                        <xdr:nvSpPr>
                                                          <xdr:cNvPr id="407" name="TextBox 406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53D1EFBC-555E-4A84-AD25-82E4CB970A54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9185265" y="8140479"/>
                                                            <a:ext cx="325557" cy="132074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sz="900"/>
                                                              <a:t>P</a:t>
                                                            </a:r>
                                                            <a:r>
                                                              <a:rPr lang="en-US" sz="600"/>
                                                              <a:t>rb</a:t>
                                                            </a:r>
                                                          </a:p>
                                                        </xdr:txBody>
                                                      </xdr:sp>
                                                    </xdr:grpSp>
                                                    <xdr:cxnSp macro="">
                                                      <xdr:nvCxnSpPr>
                                                        <xdr:cNvPr id="404" name="직선 연결선 238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D98A4E15-5222-410F-84F2-9374C9146284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325102"/>
                                                          <a:ext cx="2107998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405" name="직선 연결선 239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AF3CF219-4B94-4601-89A3-2BAC73C6DB47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422729"/>
                                                          <a:ext cx="2105619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</xdr:grpSp>
                                                  <xdr:cxnSp macro="">
                                                    <xdr:nvCxnSpPr>
                                                      <xdr:cNvPr id="394" name="직선 화살표 연결선 229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3E487C25-E0E7-4544-9024-23118A78D7C6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632532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95" name="TextBox 39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5CE7FDCA-338F-49A4-9592-605B8CA66A34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64424" y="10160794"/>
                                                        <a:ext cx="406277" cy="176464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rt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396" name="직선 화살표 연결선 231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3E3672AE-F365-4B9D-B052-A616C70C4EE7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496801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97" name="TextBox 39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C129F3C6-B6AF-4E25-9FF3-5854D47594B2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46594" y="10643818"/>
                                                        <a:ext cx="359525" cy="195520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wt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398" name="TextBox 39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C9471585-0ED4-4481-AFDE-FAD9561F05A6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9757802" y="10436179"/>
                                                        <a:ext cx="314421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c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399" name="직선 화살표 연결선 23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481C944-F72A-493B-8501-5FC9214C072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5191" y="1041822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00" name="직선 화살표 연결선 235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2DCCD2A6-6861-45A0-86A3-CC493790B673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0429" y="10318208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01" name="직선 화살표 연결선 23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786E807E-2185-4140-8C02-534F1B5D0F25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10328488" y="1036107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</xdr:grpSp>
                                              </xdr:grpSp>
                                              <xdr:sp macro="" textlink="">
                                                <xdr:nvSpPr>
                                                  <xdr:cNvPr id="388" name="덧셈 기호 22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BA0F20B7-64D9-44B6-B566-5213481AD92E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281217" y="11090097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389" name="뺄셈 기호 22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B7E256A2-878F-49E9-A0DB-AC32DE9A6223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605165" y="1047058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375" name="그룹 20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56CE9CAB-FF1A-4367-9756-E109DD5DAC5F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6365985" y="10268954"/>
                                                  <a:ext cx="782565" cy="1230121"/>
                                                  <a:chOff x="6365985" y="10268954"/>
                                                  <a:chExt cx="782565" cy="1230121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376" name="그룹 20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EE79F3D-064F-4735-905F-E6CE658DECC7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6365985" y="10268954"/>
                                                    <a:ext cx="618222" cy="1230121"/>
                                                    <a:chOff x="6365985" y="10268954"/>
                                                    <a:chExt cx="618222" cy="1230121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380" name="그룹 212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EB4BE924-DEA4-4041-A685-17953C8C1E1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6398763" y="10268954"/>
                                                      <a:ext cx="583095" cy="1230121"/>
                                                      <a:chOff x="6703531" y="10268954"/>
                                                      <a:chExt cx="583095" cy="1230121"/>
                                                    </a:xfrm>
                                                  </xdr:grpSpPr>
                                                  <xdr:cxnSp macro="">
                                                    <xdr:nvCxnSpPr>
                                                      <xdr:cNvPr id="383" name="직선 연결선 21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C04909AC-F2F3-46A0-9315-72E4D46188B4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3361" y="10477400"/>
                                                        <a:ext cx="403265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384" name="직선 연결선 21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D42420DC-8762-4810-A980-DB4D3BDCF0C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6070" y="11499075"/>
                                                        <a:ext cx="313926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385" name="직선 연결선 21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58EA3B9F-69DE-4BEC-AF26-15664610E51B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>
                                                        <a:off x="6883523" y="10268954"/>
                                                        <a:ext cx="0" cy="1202532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/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86" name="TextBox 385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A2A2EE7B-7C36-4EF4-BE84-55D67E95FA5C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6703531" y="10922764"/>
                                                        <a:ext cx="314792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D</a:t>
                                                        </a:r>
                                                        <a:endParaRPr lang="en-US" sz="6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cxnSp macro="">
                                                  <xdr:nvCxnSpPr>
                                                    <xdr:cNvPr id="381" name="직선 연결선 213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F54B5F3A-65ED-4EFF-B318-CCD4395AD368}"/>
                                                        </a:ext>
                                                      </a:extLst>
                                                    </xdr:cNvPr>
                                                    <xdr:cNvCxnSpPr/>
                                                  </xdr:nvCxnSpPr>
                                                  <xdr:spPr>
                                                    <a:xfrm flipH="1">
                                                      <a:off x="6578594" y="10276787"/>
                                                      <a:ext cx="405613" cy="0"/>
                                                    </a:xfrm>
                                                    <a:prstGeom prst="line">
                                                      <a:avLst/>
                                                    </a:prstGeom>
                                                    <a:ln w="3175">
                                                      <a:tailEnd type="oval" w="sm" len="sm"/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</xdr:cxnSp>
                                                <xdr:sp macro="" textlink="">
                                                  <xdr:nvSpPr>
                                                    <xdr:cNvPr id="382" name="TextBox 381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F0F67F6D-0081-4B2E-AFFA-EF97C73238E3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6365985" y="10282519"/>
                                                      <a:ext cx="314792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t</a:t>
                                                      </a:r>
                                                      <a:r>
                                                        <a:rPr lang="en-US" sz="60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  <xdr:cxnSp macro="">
                                                <xdr:nvCxnSpPr>
                                                  <xdr:cNvPr id="377" name="직선 연결선 207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667D3EA-B532-4DBB-BBA3-2A0DD6A0E904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6888994" y="11268075"/>
                                                    <a:ext cx="259556" cy="0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>
                                                    <a:tailEnd type="oval" w="sm" len="sm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cxnSp macro="">
                                                <xdr:nvCxnSpPr>
                                                  <xdr:cNvPr id="378" name="직선 연결선 20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8F2FDBE3-0CF7-4131-9B8D-2547FE05FC1C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6893719" y="11275219"/>
                                                    <a:ext cx="0" cy="207169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/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379" name="TextBox 3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206B9FA9-4EEC-4A6B-8A76-CD1751596CE3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6677430" y="11302439"/>
                                                    <a:ext cx="310271" cy="146746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H</a:t>
                                                    </a:r>
                                                    <a:r>
                                                      <a:rPr lang="en-US" sz="700"/>
                                                      <a:t>c</a:t>
                                                    </a:r>
                                                    <a:endParaRPr lang="en-US" sz="6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</xdr:grpSp>
                                      </xdr:grpSp>
                                      <xdr:cxnSp macro="">
                                        <xdr:nvCxnSpPr>
                                          <xdr:cNvPr id="369" name="직선 연결선 207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1AC2B8D4-F711-48E8-B13F-AE065982E418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>
                                            <a:off x="407193" y="8686837"/>
                                            <a:ext cx="259365" cy="0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 w="3175">
                                            <a:tailEnd type="oval" w="sm" len="sm"/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</xdr:grpSp>
                                    <xdr:cxnSp macro="">
                                      <xdr:nvCxnSpPr>
                                        <xdr:cNvPr id="366" name="직선 화살표 연결선 244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42771EB3-8C06-4FCA-B0D1-7D513B8F65F4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>
                                          <a:off x="3878642" y="6166263"/>
                                          <a:ext cx="377042" cy="0"/>
                                        </a:xfrm>
                                        <a:prstGeom prst="straightConnector1">
                                          <a:avLst/>
                                        </a:prstGeom>
                                        <a:ln w="19050">
                                          <a:solidFill>
                                            <a:srgbClr val="FF0000"/>
                                          </a:solidFill>
                                          <a:tailEnd type="stealth" w="lg" len="lg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367" name="TextBox 366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7AB67DFF-0A7F-4473-A2A4-AFC25D2F2B5B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3824287" y="5998368"/>
                                          <a:ext cx="461360" cy="164764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9525" cmpd="sng">
                                          <a:noFill/>
                                        </a:ln>
                                      </xdr:spPr>
                                      <xdr:style>
                                        <a:lnRef idx="0">
                                          <a:scrgbClr r="0" g="0" b="0"/>
                                        </a:lnRef>
                                        <a:fillRef idx="0">
                                          <a:scrgbClr r="0" g="0" b="0"/>
                                        </a:fillRef>
                                        <a:effectRef idx="0">
                                          <a:scrgbClr r="0" g="0" b="0"/>
                                        </a:effectRef>
                                        <a:fontRef idx="minor">
                                          <a:schemeClr val="dk1"/>
                                        </a:fontRef>
                                      </xdr:style>
                                      <xdr:txBody>
                                        <a:bodyPr vertOverflow="clip" horzOverflow="clip" wrap="square" rtlCol="0" anchor="ctr"/>
                                        <a:lstStyle/>
                                        <a:p>
                                          <a:r>
                                            <a:rPr lang="en-US" sz="900"/>
                                            <a:t>P</a:t>
                                          </a:r>
                                          <a:r>
                                            <a:rPr lang="en-US" sz="600"/>
                                            <a:t>sb</a:t>
                                          </a:r>
                                        </a:p>
                                      </xdr:txBody>
                                    </xdr:sp>
                                  </xdr:grpSp>
                                  <xdr:cxnSp macro="">
                                    <xdr:nvCxnSpPr>
                                      <xdr:cNvPr id="363" name="직선 화살표 연결선 23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B3547E2E-D411-4DF1-A5BD-C56717C4431B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 flipH="1">
                                        <a:off x="3876675" y="5283994"/>
                                        <a:ext cx="354098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solidFill>
                                          <a:srgbClr val="FF0000"/>
                                        </a:solidFill>
                                        <a:tailEnd type="stealth" w="lg" len="lg"/>
                                      </a:ln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sp macro="" textlink="">
                                    <xdr:nvSpPr>
                                      <xdr:cNvPr id="364" name="TextBox 36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4F0C5565-36ED-48E3-B6D9-61FC6C813C96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3902869" y="5319712"/>
                                        <a:ext cx="447410" cy="145405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sz="900"/>
                                          <a:t>P</a:t>
                                        </a:r>
                                        <a:r>
                                          <a:rPr lang="en-US" sz="600" baseline="0"/>
                                          <a:t>st</a:t>
                                        </a:r>
                                      </a:p>
                                    </xdr:txBody>
                                  </xdr:sp>
                                </xdr:grpSp>
                                <xdr:cxnSp macro="">
                                  <xdr:nvCxnSpPr>
                                    <xdr:cNvPr id="359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D723B11C-44DC-44B0-BB72-20B1B21A84D8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501" y="5288756"/>
                                      <a:ext cx="259347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360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66003046-E738-4683-88EE-5CFCE976CCCE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499" y="5226844"/>
                                      <a:ext cx="259365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361" name="직선 연결선 208">
                                      <a:extLst>
                                        <a:ext uri="{FF2B5EF4-FFF2-40B4-BE49-F238E27FC236}">
                                          <a16:creationId xmlns:a16="http://schemas.microsoft.com/office/drawing/2014/main" id="{340C7272-B679-494F-A198-1E7A08C8AFD7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571500" y="5217319"/>
                                      <a:ext cx="0" cy="201074"/>
                                    </a:xfrm>
                                    <a:prstGeom prst="line">
                                      <a:avLst/>
                                    </a:prstGeom>
                                    <a:ln w="3175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  <xdr:cxnSp macro="">
                                <xdr:nvCxnSpPr>
                                  <xdr:cNvPr id="355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24AFC9F7-F1EF-423F-B0C9-8B12260B144F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7" y="6105521"/>
                                    <a:ext cx="14525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356" name="직선 연결선 208">
                                    <a:extLst>
                                      <a:ext uri="{FF2B5EF4-FFF2-40B4-BE49-F238E27FC236}">
                                        <a16:creationId xmlns:a16="http://schemas.microsoft.com/office/drawing/2014/main" id="{593A7EF7-7EDA-4DCF-B386-AF5651C808FC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673894" y="6079331"/>
                                    <a:ext cx="0" cy="227292"/>
                                  </a:xfrm>
                                  <a:prstGeom prst="line">
                                    <a:avLst/>
                                  </a:prstGeom>
                                  <a:ln w="3175"/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357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85B2716C-EE4E-426E-8AFD-61CD5C2C6F42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4" y="6172199"/>
                                    <a:ext cx="61014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</xdr:grpSp>
                            <xdr:sp macro="" textlink="">
                              <xdr:nvSpPr>
                                <xdr:cNvPr id="353" name="TextBox 352">
                                  <a:extLst>
                                    <a:ext uri="{FF2B5EF4-FFF2-40B4-BE49-F238E27FC236}">
                                      <a16:creationId xmlns:a16="http://schemas.microsoft.com/office/drawing/2014/main" id="{FA05C045-84DE-4E0B-A440-B28F6F890275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442080" y="6191083"/>
                                  <a:ext cx="365082" cy="145063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sb</a:t>
                                  </a:r>
                                  <a:endParaRPr lang="en-US" sz="800"/>
                                </a:p>
                              </xdr:txBody>
                            </xdr:sp>
                          </xdr:grpSp>
                          <xdr:cxnSp macro="">
                            <xdr:nvCxnSpPr>
                              <xdr:cNvPr id="347" name="직선 화살표 연결선 274">
                                <a:extLst>
                                  <a:ext uri="{FF2B5EF4-FFF2-40B4-BE49-F238E27FC236}">
                                    <a16:creationId xmlns:a16="http://schemas.microsoft.com/office/drawing/2014/main" id="{D7E6F425-FC1D-42D2-B800-39FA6FC399EC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5659942" y="5241503"/>
                                <a:ext cx="378865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48" name="TextBox 347">
                                <a:extLst>
                                  <a:ext uri="{FF2B5EF4-FFF2-40B4-BE49-F238E27FC236}">
                                    <a16:creationId xmlns:a16="http://schemas.microsoft.com/office/drawing/2014/main" id="{E4F91529-0139-4EE5-B2D8-D264FCFB9EC5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642102" y="5053315"/>
                                <a:ext cx="468999" cy="190064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 baseline="0"/>
                                  <a:t>st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349" name="직선 화살표 연결선 266">
                                <a:extLst>
                                  <a:ext uri="{FF2B5EF4-FFF2-40B4-BE49-F238E27FC236}">
                                    <a16:creationId xmlns:a16="http://schemas.microsoft.com/office/drawing/2014/main" id="{0467B377-2124-4513-B377-0F1350B6D786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5254530" y="6085907"/>
                                <a:ext cx="35581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50" name="TextBox 349">
                                <a:extLst>
                                  <a:ext uri="{FF2B5EF4-FFF2-40B4-BE49-F238E27FC236}">
                                    <a16:creationId xmlns:a16="http://schemas.microsoft.com/office/drawing/2014/main" id="{FD4071B8-FCEF-4C74-B6C8-64294B7840E4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557985" y="5989641"/>
                                <a:ext cx="395025" cy="168529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/>
                                  <a:t>sb</a:t>
                                </a:r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42" name="직선 연결선 207">
                              <a:extLst>
                                <a:ext uri="{FF2B5EF4-FFF2-40B4-BE49-F238E27FC236}">
                                  <a16:creationId xmlns:a16="http://schemas.microsoft.com/office/drawing/2014/main" id="{F7901D84-5D84-4063-A695-64346E8DA991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2955" y="5070980"/>
                              <a:ext cx="251655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3" name="직선 연결선 207">
                              <a:extLst>
                                <a:ext uri="{FF2B5EF4-FFF2-40B4-BE49-F238E27FC236}">
                                  <a16:creationId xmlns:a16="http://schemas.microsoft.com/office/drawing/2014/main" id="{35C29BAC-FF64-4E92-B57B-804FE4650ADC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5661" y="4925724"/>
                              <a:ext cx="252521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4" name="직선 연결선 208">
                              <a:extLst>
                                <a:ext uri="{FF2B5EF4-FFF2-40B4-BE49-F238E27FC236}">
                                  <a16:creationId xmlns:a16="http://schemas.microsoft.com/office/drawing/2014/main" id="{E1B858EE-9726-4F0E-B8BC-B25656624FC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35660" y="4932976"/>
                              <a:ext cx="0" cy="14071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45" name="TextBox 344">
                              <a:extLst>
                                <a:ext uri="{FF2B5EF4-FFF2-40B4-BE49-F238E27FC236}">
                                  <a16:creationId xmlns:a16="http://schemas.microsoft.com/office/drawing/2014/main" id="{2219E22C-0635-4903-B992-991506974EFA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233991" y="4911329"/>
                              <a:ext cx="330937" cy="144213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sz="900"/>
                                <a:t>c</a:t>
                              </a:r>
                              <a:r>
                                <a:rPr lang="en-US" sz="600"/>
                                <a:t>rb</a:t>
                              </a:r>
                              <a:endParaRPr lang="en-US" sz="800"/>
                            </a:p>
                          </xdr:txBody>
                        </xdr:sp>
                      </xdr:grpSp>
                      <xdr:cxnSp macro="">
                        <xdr:nvCxnSpPr>
                          <xdr:cNvPr id="338" name="직선 연결선 207">
                            <a:extLst>
                              <a:ext uri="{FF2B5EF4-FFF2-40B4-BE49-F238E27FC236}">
                                <a16:creationId xmlns:a16="http://schemas.microsoft.com/office/drawing/2014/main" id="{CC14FB9A-33A1-475A-BFF2-82020B18005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2" y="4970859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9" name="직선 연결선 207">
                            <a:extLst>
                              <a:ext uri="{FF2B5EF4-FFF2-40B4-BE49-F238E27FC236}">
                                <a16:creationId xmlns:a16="http://schemas.microsoft.com/office/drawing/2014/main" id="{62498922-515E-4BA0-97AF-8209309774A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3" y="4924858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0" name="직선 연결선 208">
                            <a:extLst>
                              <a:ext uri="{FF2B5EF4-FFF2-40B4-BE49-F238E27FC236}">
                                <a16:creationId xmlns:a16="http://schemas.microsoft.com/office/drawing/2014/main" id="{E1668756-6C9D-4244-89E2-3F3654BC23C9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9077" y="4824737"/>
                            <a:ext cx="0" cy="140710"/>
                          </a:xfrm>
                          <a:prstGeom prst="line">
                            <a:avLst/>
                          </a:prstGeom>
                          <a:ln w="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sp macro="" textlink="">
                      <xdr:nvSpPr>
                        <xdr:cNvPr id="336" name="TextBox 335">
                          <a:extLst>
                            <a:ext uri="{FF2B5EF4-FFF2-40B4-BE49-F238E27FC236}">
                              <a16:creationId xmlns:a16="http://schemas.microsoft.com/office/drawing/2014/main" id="{F323905D-D4AE-4542-8BCB-4EA57E935B7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03310" y="4685573"/>
                          <a:ext cx="330937" cy="144213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sz="900"/>
                            <a:t>c</a:t>
                          </a:r>
                          <a:r>
                            <a:rPr lang="en-US" sz="600"/>
                            <a:t>rt</a:t>
                          </a:r>
                          <a:endParaRPr lang="en-US" sz="800"/>
                        </a:p>
                      </xdr:txBody>
                    </xdr:sp>
                  </xdr:grpSp>
                  <xdr:sp macro="" textlink="">
                    <xdr:nvSpPr>
                      <xdr:cNvPr id="333" name="TextBox 332">
                        <a:extLst>
                          <a:ext uri="{FF2B5EF4-FFF2-40B4-BE49-F238E27FC236}">
                            <a16:creationId xmlns:a16="http://schemas.microsoft.com/office/drawing/2014/main" id="{DB100127-CA48-4EE8-B2F4-9234AB112B6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333750" y="46774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Positive moment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334" name="TextBox 333">
                        <a:extLst>
                          <a:ext uri="{FF2B5EF4-FFF2-40B4-BE49-F238E27FC236}">
                            <a16:creationId xmlns:a16="http://schemas.microsoft.com/office/drawing/2014/main" id="{1C407C40-443F-4B6B-A9C7-F188ACB95F6F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788013" y="45073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Negative moment</a:t>
                        </a:r>
                        <a:endParaRPr lang="en-US" sz="600"/>
                      </a:p>
                    </xdr:txBody>
                  </xdr:sp>
                </xdr:grpSp>
                <xdr:grpSp>
                  <xdr:nvGrpSpPr>
                    <xdr:cNvPr id="325" name="Group 324">
                      <a:extLst>
                        <a:ext uri="{FF2B5EF4-FFF2-40B4-BE49-F238E27FC236}">
                          <a16:creationId xmlns:a16="http://schemas.microsoft.com/office/drawing/2014/main" id="{982F6E59-0BE7-4CB9-BA52-764AA7E03DFA}"/>
                        </a:ext>
                      </a:extLst>
                    </xdr:cNvPr>
                    <xdr:cNvGrpSpPr/>
                  </xdr:nvGrpSpPr>
                  <xdr:grpSpPr>
                    <a:xfrm>
                      <a:off x="5998369" y="6157912"/>
                      <a:ext cx="570551" cy="435557"/>
                      <a:chOff x="5998369" y="6157912"/>
                      <a:chExt cx="570551" cy="435557"/>
                    </a:xfrm>
                  </xdr:grpSpPr>
                  <xdr:cxnSp macro="">
                    <xdr:nvCxnSpPr>
                      <xdr:cNvPr id="326" name="직선 화살표 연결선 266">
                        <a:extLst>
                          <a:ext uri="{FF2B5EF4-FFF2-40B4-BE49-F238E27FC236}">
                            <a16:creationId xmlns:a16="http://schemas.microsoft.com/office/drawing/2014/main" id="{8665E0EF-A2F3-4C30-BEB4-554C56DE0252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3131" y="6444865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27" name="TextBox 326">
                        <a:extLst>
                          <a:ext uri="{FF2B5EF4-FFF2-40B4-BE49-F238E27FC236}">
                            <a16:creationId xmlns:a16="http://schemas.microsoft.com/office/drawing/2014/main" id="{5B771E22-1462-4FD9-8589-405CFC0BDD3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6216" y="64246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r3</a:t>
                        </a:r>
                      </a:p>
                    </xdr:txBody>
                  </xdr:sp>
                  <xdr:cxnSp macro="">
                    <xdr:nvCxnSpPr>
                      <xdr:cNvPr id="328" name="직선 화살표 연결선 266">
                        <a:extLst>
                          <a:ext uri="{FF2B5EF4-FFF2-40B4-BE49-F238E27FC236}">
                            <a16:creationId xmlns:a16="http://schemas.microsoft.com/office/drawing/2014/main" id="{188BDA50-AE53-44BC-9F70-89665BAA685F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0750" y="63781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29" name="TextBox 328">
                        <a:extLst>
                          <a:ext uri="{FF2B5EF4-FFF2-40B4-BE49-F238E27FC236}">
                            <a16:creationId xmlns:a16="http://schemas.microsoft.com/office/drawing/2014/main" id="{652175C4-F840-449C-A63F-63367E7B02CE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3835" y="6274593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r2</a:t>
                        </a:r>
                      </a:p>
                    </xdr:txBody>
                  </xdr:sp>
                  <xdr:cxnSp macro="">
                    <xdr:nvCxnSpPr>
                      <xdr:cNvPr id="330" name="직선 화살표 연결선 266">
                        <a:extLst>
                          <a:ext uri="{FF2B5EF4-FFF2-40B4-BE49-F238E27FC236}">
                            <a16:creationId xmlns:a16="http://schemas.microsoft.com/office/drawing/2014/main" id="{826FD056-4FDC-4B3F-8FCB-E68A3CBB5E51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5998369" y="63019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31" name="TextBox 330">
                        <a:extLst>
                          <a:ext uri="{FF2B5EF4-FFF2-40B4-BE49-F238E27FC236}">
                            <a16:creationId xmlns:a16="http://schemas.microsoft.com/office/drawing/2014/main" id="{006AF8EE-B701-44D6-97CA-A6D5BB23FE7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57166" y="61579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r1</a:t>
                        </a:r>
                      </a:p>
                    </xdr:txBody>
                  </xdr:sp>
                </xdr:grpSp>
              </xdr:grpSp>
            </xdr:grpSp>
          </xdr:grpSp>
          <xdr:cxnSp macro="">
            <xdr:nvCxnSpPr>
              <xdr:cNvPr id="315" name="Straight Connector 314">
                <a:extLst>
                  <a:ext uri="{FF2B5EF4-FFF2-40B4-BE49-F238E27FC236}">
                    <a16:creationId xmlns:a16="http://schemas.microsoft.com/office/drawing/2014/main" id="{F5D0648C-DC6B-4C62-B8BA-0AFF5BE92E6E}"/>
                  </a:ext>
                </a:extLst>
              </xdr:cNvPr>
              <xdr:cNvCxnSpPr/>
            </xdr:nvCxnSpPr>
            <xdr:spPr>
              <a:xfrm>
                <a:off x="1545433" y="8970169"/>
                <a:ext cx="0" cy="90487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6" name="Straight Connector 315">
                <a:extLst>
                  <a:ext uri="{FF2B5EF4-FFF2-40B4-BE49-F238E27FC236}">
                    <a16:creationId xmlns:a16="http://schemas.microsoft.com/office/drawing/2014/main" id="{5804AD3C-0CA9-4CA8-9559-61E19B544220}"/>
                  </a:ext>
                </a:extLst>
              </xdr:cNvPr>
              <xdr:cNvCxnSpPr/>
            </xdr:nvCxnSpPr>
            <xdr:spPr>
              <a:xfrm>
                <a:off x="1719263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7" name="Straight Connector 316">
                <a:extLst>
                  <a:ext uri="{FF2B5EF4-FFF2-40B4-BE49-F238E27FC236}">
                    <a16:creationId xmlns:a16="http://schemas.microsoft.com/office/drawing/2014/main" id="{CF776BDE-1160-4E9D-9C99-8DB94A182BB4}"/>
                  </a:ext>
                </a:extLst>
              </xdr:cNvPr>
              <xdr:cNvCxnSpPr/>
            </xdr:nvCxnSpPr>
            <xdr:spPr>
              <a:xfrm>
                <a:off x="1909767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8" name="직선 연결선 254">
                <a:extLst>
                  <a:ext uri="{FF2B5EF4-FFF2-40B4-BE49-F238E27FC236}">
                    <a16:creationId xmlns:a16="http://schemas.microsoft.com/office/drawing/2014/main" id="{F96BC6F7-F211-43DB-A885-BEE89098584F}"/>
                  </a:ext>
                </a:extLst>
              </xdr:cNvPr>
              <xdr:cNvCxnSpPr/>
            </xdr:nvCxnSpPr>
            <xdr:spPr>
              <a:xfrm>
                <a:off x="1262063" y="906303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311" name="직선 연결선 238">
              <a:extLst>
                <a:ext uri="{FF2B5EF4-FFF2-40B4-BE49-F238E27FC236}">
                  <a16:creationId xmlns:a16="http://schemas.microsoft.com/office/drawing/2014/main" id="{4E44C553-3FA2-4B19-923B-513434719A10}"/>
                </a:ext>
              </a:extLst>
            </xdr:cNvPr>
            <xdr:cNvCxnSpPr/>
          </xdr:nvCxnSpPr>
          <xdr:spPr>
            <a:xfrm>
              <a:off x="1410535" y="8855868"/>
              <a:ext cx="662702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2" name="직선 연결선 238">
              <a:extLst>
                <a:ext uri="{FF2B5EF4-FFF2-40B4-BE49-F238E27FC236}">
                  <a16:creationId xmlns:a16="http://schemas.microsoft.com/office/drawing/2014/main" id="{A3D0E74E-1190-41A9-A851-6DDCB4E491B4}"/>
                </a:ext>
              </a:extLst>
            </xdr:cNvPr>
            <xdr:cNvCxnSpPr/>
          </xdr:nvCxnSpPr>
          <xdr:spPr>
            <a:xfrm>
              <a:off x="1419225" y="8934450"/>
              <a:ext cx="655560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3" name="직선 연결선 238">
              <a:extLst>
                <a:ext uri="{FF2B5EF4-FFF2-40B4-BE49-F238E27FC236}">
                  <a16:creationId xmlns:a16="http://schemas.microsoft.com/office/drawing/2014/main" id="{91C17804-6FF5-4325-9F0D-77B56406AD4E}"/>
                </a:ext>
              </a:extLst>
            </xdr:cNvPr>
            <xdr:cNvCxnSpPr/>
          </xdr:nvCxnSpPr>
          <xdr:spPr>
            <a:xfrm>
              <a:off x="1431132" y="9003507"/>
              <a:ext cx="623888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08" name="직선 연결선 216">
            <a:extLst>
              <a:ext uri="{FF2B5EF4-FFF2-40B4-BE49-F238E27FC236}">
                <a16:creationId xmlns:a16="http://schemas.microsoft.com/office/drawing/2014/main" id="{9CD0CDE3-87E8-4ECB-94D7-02B9F67EB115}"/>
              </a:ext>
            </a:extLst>
          </xdr:cNvPr>
          <xdr:cNvCxnSpPr/>
        </xdr:nvCxnSpPr>
        <xdr:spPr>
          <a:xfrm flipH="1">
            <a:off x="216693" y="8089106"/>
            <a:ext cx="403183" cy="0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9" name="TextBox 308">
            <a:extLst>
              <a:ext uri="{FF2B5EF4-FFF2-40B4-BE49-F238E27FC236}">
                <a16:creationId xmlns:a16="http://schemas.microsoft.com/office/drawing/2014/main" id="{32E5390C-BC5B-4CCF-A47C-29945BA695D2}"/>
              </a:ext>
            </a:extLst>
          </xdr:cNvPr>
          <xdr:cNvSpPr txBox="1"/>
        </xdr:nvSpPr>
        <xdr:spPr>
          <a:xfrm>
            <a:off x="0" y="7967663"/>
            <a:ext cx="314728" cy="1450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t</a:t>
            </a:r>
            <a:r>
              <a:rPr lang="en-US" sz="600"/>
              <a:t>h</a:t>
            </a:r>
          </a:p>
        </xdr:txBody>
      </xdr:sp>
    </xdr:grpSp>
    <xdr:clientData/>
  </xdr:twoCellAnchor>
  <xdr:twoCellAnchor>
    <xdr:from>
      <xdr:col>3</xdr:col>
      <xdr:colOff>22503</xdr:colOff>
      <xdr:row>219</xdr:row>
      <xdr:rowOff>152403</xdr:rowOff>
    </xdr:from>
    <xdr:to>
      <xdr:col>21</xdr:col>
      <xdr:colOff>76200</xdr:colOff>
      <xdr:row>227</xdr:row>
      <xdr:rowOff>76586</xdr:rowOff>
    </xdr:to>
    <xdr:grpSp>
      <xdr:nvGrpSpPr>
        <xdr:cNvPr id="472" name="Group 471">
          <a:extLst>
            <a:ext uri="{FF2B5EF4-FFF2-40B4-BE49-F238E27FC236}">
              <a16:creationId xmlns:a16="http://schemas.microsoft.com/office/drawing/2014/main" id="{D4ADB8B6-7B03-423F-99E5-5AF13D22594E}"/>
            </a:ext>
          </a:extLst>
        </xdr:cNvPr>
        <xdr:cNvGrpSpPr/>
      </xdr:nvGrpSpPr>
      <xdr:grpSpPr>
        <a:xfrm>
          <a:off x="479703" y="41948103"/>
          <a:ext cx="2787372" cy="1448183"/>
          <a:chOff x="701974" y="50571300"/>
          <a:chExt cx="2616463" cy="1458213"/>
        </a:xfrm>
      </xdr:grpSpPr>
      <xdr:sp macro="" textlink="">
        <xdr:nvSpPr>
          <xdr:cNvPr id="473" name="TextBox 472">
            <a:extLst>
              <a:ext uri="{FF2B5EF4-FFF2-40B4-BE49-F238E27FC236}">
                <a16:creationId xmlns:a16="http://schemas.microsoft.com/office/drawing/2014/main" id="{85A63B1D-39F5-41AC-8C14-AD7574A9CA0D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정모멘트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474" name="Group 473">
            <a:extLst>
              <a:ext uri="{FF2B5EF4-FFF2-40B4-BE49-F238E27FC236}">
                <a16:creationId xmlns:a16="http://schemas.microsoft.com/office/drawing/2014/main" id="{F3E8202C-4E2A-4A50-8022-E877AD93B605}"/>
              </a:ext>
            </a:extLst>
          </xdr:cNvPr>
          <xdr:cNvGrpSpPr/>
        </xdr:nvGrpSpPr>
        <xdr:grpSpPr>
          <a:xfrm>
            <a:off x="701974" y="50916559"/>
            <a:ext cx="2616463" cy="1112954"/>
            <a:chOff x="701974" y="50916559"/>
            <a:chExt cx="2616463" cy="1112954"/>
          </a:xfrm>
        </xdr:grpSpPr>
        <xdr:grpSp>
          <xdr:nvGrpSpPr>
            <xdr:cNvPr id="475" name="Group 474">
              <a:extLst>
                <a:ext uri="{FF2B5EF4-FFF2-40B4-BE49-F238E27FC236}">
                  <a16:creationId xmlns:a16="http://schemas.microsoft.com/office/drawing/2014/main" id="{560496BF-EDF1-4DA4-842C-F2975583AB9F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484" name="자유형 240">
                <a:extLst>
                  <a:ext uri="{FF2B5EF4-FFF2-40B4-BE49-F238E27FC236}">
                    <a16:creationId xmlns:a16="http://schemas.microsoft.com/office/drawing/2014/main" id="{8C710A87-D25F-4B3B-99AA-E17B544FF3EE}"/>
                  </a:ext>
                </a:extLst>
              </xdr:cNvPr>
              <xdr:cNvSpPr/>
            </xdr:nvSpPr>
            <xdr:spPr>
              <a:xfrm>
                <a:off x="2124437" y="51659705"/>
                <a:ext cx="744444" cy="256143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485" name="직선 연결선 254">
                <a:extLst>
                  <a:ext uri="{FF2B5EF4-FFF2-40B4-BE49-F238E27FC236}">
                    <a16:creationId xmlns:a16="http://schemas.microsoft.com/office/drawing/2014/main" id="{2F245F9A-A51E-4A8B-A87B-A12D1D717F93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86" name="직선 연결선 255">
                <a:extLst>
                  <a:ext uri="{FF2B5EF4-FFF2-40B4-BE49-F238E27FC236}">
                    <a16:creationId xmlns:a16="http://schemas.microsoft.com/office/drawing/2014/main" id="{76F07647-AA49-4F78-BB50-ABFFAB5AA536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87" name="직선 연결선 256">
                <a:extLst>
                  <a:ext uri="{FF2B5EF4-FFF2-40B4-BE49-F238E27FC236}">
                    <a16:creationId xmlns:a16="http://schemas.microsoft.com/office/drawing/2014/main" id="{E9D94CCD-F5C9-4086-B190-E7E416B326EA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88" name="자유형 253">
                <a:extLst>
                  <a:ext uri="{FF2B5EF4-FFF2-40B4-BE49-F238E27FC236}">
                    <a16:creationId xmlns:a16="http://schemas.microsoft.com/office/drawing/2014/main" id="{85FC5FDE-6A83-4BBA-B767-F68F6882246E}"/>
                  </a:ext>
                </a:extLst>
              </xdr:cNvPr>
              <xdr:cNvSpPr/>
            </xdr:nvSpPr>
            <xdr:spPr>
              <a:xfrm>
                <a:off x="1428750" y="50673000"/>
                <a:ext cx="2112618" cy="276369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489" name="직선 연결선 251">
                <a:extLst>
                  <a:ext uri="{FF2B5EF4-FFF2-40B4-BE49-F238E27FC236}">
                    <a16:creationId xmlns:a16="http://schemas.microsoft.com/office/drawing/2014/main" id="{9A9B9CC0-18EE-4D77-8906-7D90A861B71A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476" name="Straight Connector 475">
              <a:extLst>
                <a:ext uri="{FF2B5EF4-FFF2-40B4-BE49-F238E27FC236}">
                  <a16:creationId xmlns:a16="http://schemas.microsoft.com/office/drawing/2014/main" id="{27141C56-6842-4206-9069-3FD23DAAB301}"/>
                </a:ext>
              </a:extLst>
            </xdr:cNvPr>
            <xdr:cNvCxnSpPr/>
          </xdr:nvCxnSpPr>
          <xdr:spPr>
            <a:xfrm>
              <a:off x="789488" y="51248840"/>
              <a:ext cx="2183079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7" name="Straight Connector 476">
              <a:extLst>
                <a:ext uri="{FF2B5EF4-FFF2-40B4-BE49-F238E27FC236}">
                  <a16:creationId xmlns:a16="http://schemas.microsoft.com/office/drawing/2014/main" id="{B2CF1AED-80AD-4388-A287-4D998FC01580}"/>
                </a:ext>
              </a:extLst>
            </xdr:cNvPr>
            <xdr:cNvCxnSpPr/>
          </xdr:nvCxnSpPr>
          <xdr:spPr>
            <a:xfrm flipH="1">
              <a:off x="2699086" y="50921237"/>
              <a:ext cx="378959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8" name="Straight Connector 477">
              <a:extLst>
                <a:ext uri="{FF2B5EF4-FFF2-40B4-BE49-F238E27FC236}">
                  <a16:creationId xmlns:a16="http://schemas.microsoft.com/office/drawing/2014/main" id="{773A5B6A-813B-487B-8712-9F69AFE4EE92}"/>
                </a:ext>
              </a:extLst>
            </xdr:cNvPr>
            <xdr:cNvCxnSpPr/>
          </xdr:nvCxnSpPr>
          <xdr:spPr>
            <a:xfrm>
              <a:off x="2853403" y="50923591"/>
              <a:ext cx="0" cy="32705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9" name="TextBox 478">
              <a:extLst>
                <a:ext uri="{FF2B5EF4-FFF2-40B4-BE49-F238E27FC236}">
                  <a16:creationId xmlns:a16="http://schemas.microsoft.com/office/drawing/2014/main" id="{FBCC5F85-5EFA-406B-80B4-15769EF94EFA}"/>
                </a:ext>
              </a:extLst>
            </xdr:cNvPr>
            <xdr:cNvSpPr txBox="1"/>
          </xdr:nvSpPr>
          <xdr:spPr>
            <a:xfrm>
              <a:off x="701974" y="51102392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480" name="TextBox 479">
              <a:extLst>
                <a:ext uri="{FF2B5EF4-FFF2-40B4-BE49-F238E27FC236}">
                  <a16:creationId xmlns:a16="http://schemas.microsoft.com/office/drawing/2014/main" id="{B1B8905A-B2F8-47CA-84F7-18217F8E6D38}"/>
                </a:ext>
              </a:extLst>
            </xdr:cNvPr>
            <xdr:cNvSpPr txBox="1"/>
          </xdr:nvSpPr>
          <xdr:spPr>
            <a:xfrm>
              <a:off x="2783316" y="50966405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481" name="Straight Connector 480">
              <a:extLst>
                <a:ext uri="{FF2B5EF4-FFF2-40B4-BE49-F238E27FC236}">
                  <a16:creationId xmlns:a16="http://schemas.microsoft.com/office/drawing/2014/main" id="{18F772F7-C9DA-46B1-A6FB-189680CE6F3E}"/>
                </a:ext>
              </a:extLst>
            </xdr:cNvPr>
            <xdr:cNvCxnSpPr/>
          </xdr:nvCxnSpPr>
          <xdr:spPr>
            <a:xfrm flipH="1">
              <a:off x="2211847" y="52029513"/>
              <a:ext cx="866198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2" name="Straight Connector 481">
              <a:extLst>
                <a:ext uri="{FF2B5EF4-FFF2-40B4-BE49-F238E27FC236}">
                  <a16:creationId xmlns:a16="http://schemas.microsoft.com/office/drawing/2014/main" id="{E95ED623-FD19-4F97-87CE-9764C1C5017E}"/>
                </a:ext>
              </a:extLst>
            </xdr:cNvPr>
            <xdr:cNvCxnSpPr/>
          </xdr:nvCxnSpPr>
          <xdr:spPr>
            <a:xfrm>
              <a:off x="3071653" y="50917198"/>
              <a:ext cx="0" cy="1112315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83" name="TextBox 482">
              <a:extLst>
                <a:ext uri="{FF2B5EF4-FFF2-40B4-BE49-F238E27FC236}">
                  <a16:creationId xmlns:a16="http://schemas.microsoft.com/office/drawing/2014/main" id="{77EDD44D-1878-483E-BD12-76F35E3C6562}"/>
                </a:ext>
              </a:extLst>
            </xdr:cNvPr>
            <xdr:cNvSpPr txBox="1"/>
          </xdr:nvSpPr>
          <xdr:spPr>
            <a:xfrm>
              <a:off x="3007727" y="51374271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twoCellAnchor>
    <xdr:from>
      <xdr:col>24</xdr:col>
      <xdr:colOff>114301</xdr:colOff>
      <xdr:row>219</xdr:row>
      <xdr:rowOff>169297</xdr:rowOff>
    </xdr:from>
    <xdr:to>
      <xdr:col>40</xdr:col>
      <xdr:colOff>104775</xdr:colOff>
      <xdr:row>227</xdr:row>
      <xdr:rowOff>69205</xdr:rowOff>
    </xdr:to>
    <xdr:grpSp>
      <xdr:nvGrpSpPr>
        <xdr:cNvPr id="490" name="Group 489">
          <a:extLst>
            <a:ext uri="{FF2B5EF4-FFF2-40B4-BE49-F238E27FC236}">
              <a16:creationId xmlns:a16="http://schemas.microsoft.com/office/drawing/2014/main" id="{1F651EB2-EF6B-41D6-BC5E-573C334A1D6E}"/>
            </a:ext>
          </a:extLst>
        </xdr:cNvPr>
        <xdr:cNvGrpSpPr/>
      </xdr:nvGrpSpPr>
      <xdr:grpSpPr>
        <a:xfrm>
          <a:off x="3762376" y="41964997"/>
          <a:ext cx="2428874" cy="1423908"/>
          <a:chOff x="744784" y="50571300"/>
          <a:chExt cx="2297296" cy="1433777"/>
        </a:xfrm>
      </xdr:grpSpPr>
      <xdr:sp macro="" textlink="">
        <xdr:nvSpPr>
          <xdr:cNvPr id="491" name="TextBox 490">
            <a:extLst>
              <a:ext uri="{FF2B5EF4-FFF2-40B4-BE49-F238E27FC236}">
                <a16:creationId xmlns:a16="http://schemas.microsoft.com/office/drawing/2014/main" id="{1CAED9C9-4FB7-49D9-88EB-8D257973D86C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부모멘트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492" name="Group 491">
            <a:extLst>
              <a:ext uri="{FF2B5EF4-FFF2-40B4-BE49-F238E27FC236}">
                <a16:creationId xmlns:a16="http://schemas.microsoft.com/office/drawing/2014/main" id="{BB06D8A1-0954-4B33-932F-83BB3F2DB766}"/>
              </a:ext>
            </a:extLst>
          </xdr:cNvPr>
          <xdr:cNvGrpSpPr/>
        </xdr:nvGrpSpPr>
        <xdr:grpSpPr>
          <a:xfrm>
            <a:off x="744784" y="50916559"/>
            <a:ext cx="2297296" cy="1088518"/>
            <a:chOff x="744784" y="50916559"/>
            <a:chExt cx="2297296" cy="1088518"/>
          </a:xfrm>
        </xdr:grpSpPr>
        <xdr:grpSp>
          <xdr:nvGrpSpPr>
            <xdr:cNvPr id="493" name="Group 492">
              <a:extLst>
                <a:ext uri="{FF2B5EF4-FFF2-40B4-BE49-F238E27FC236}">
                  <a16:creationId xmlns:a16="http://schemas.microsoft.com/office/drawing/2014/main" id="{9BE6B745-336E-4E9D-AE3A-0ADE71162177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502" name="자유형 240">
                <a:extLst>
                  <a:ext uri="{FF2B5EF4-FFF2-40B4-BE49-F238E27FC236}">
                    <a16:creationId xmlns:a16="http://schemas.microsoft.com/office/drawing/2014/main" id="{CF52489C-1863-4014-A3E8-2BB4EC8F51A5}"/>
                  </a:ext>
                </a:extLst>
              </xdr:cNvPr>
              <xdr:cNvSpPr/>
            </xdr:nvSpPr>
            <xdr:spPr>
              <a:xfrm>
                <a:off x="2121713" y="51659705"/>
                <a:ext cx="751128" cy="233047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503" name="직선 연결선 254">
                <a:extLst>
                  <a:ext uri="{FF2B5EF4-FFF2-40B4-BE49-F238E27FC236}">
                    <a16:creationId xmlns:a16="http://schemas.microsoft.com/office/drawing/2014/main" id="{72E4B7AE-6415-4289-9B08-3049BDE2910E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4" name="직선 연결선 255">
                <a:extLst>
                  <a:ext uri="{FF2B5EF4-FFF2-40B4-BE49-F238E27FC236}">
                    <a16:creationId xmlns:a16="http://schemas.microsoft.com/office/drawing/2014/main" id="{F7BA6678-80A0-4A5A-8057-88B617EF18EC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5" name="직선 연결선 256">
                <a:extLst>
                  <a:ext uri="{FF2B5EF4-FFF2-40B4-BE49-F238E27FC236}">
                    <a16:creationId xmlns:a16="http://schemas.microsoft.com/office/drawing/2014/main" id="{7E6F367C-8FBF-4DE4-9FA4-50B8B858D615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06" name="자유형 253">
                <a:extLst>
                  <a:ext uri="{FF2B5EF4-FFF2-40B4-BE49-F238E27FC236}">
                    <a16:creationId xmlns:a16="http://schemas.microsoft.com/office/drawing/2014/main" id="{4F87CD07-0DCE-48D5-ADCC-BC248B715987}"/>
                  </a:ext>
                </a:extLst>
              </xdr:cNvPr>
              <xdr:cNvSpPr/>
            </xdr:nvSpPr>
            <xdr:spPr>
              <a:xfrm>
                <a:off x="1428750" y="50673000"/>
                <a:ext cx="2112618" cy="267284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507" name="직선 연결선 251">
                <a:extLst>
                  <a:ext uri="{FF2B5EF4-FFF2-40B4-BE49-F238E27FC236}">
                    <a16:creationId xmlns:a16="http://schemas.microsoft.com/office/drawing/2014/main" id="{87E06C61-A354-44D5-8C4F-D7712015497C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494" name="Straight Connector 493">
              <a:extLst>
                <a:ext uri="{FF2B5EF4-FFF2-40B4-BE49-F238E27FC236}">
                  <a16:creationId xmlns:a16="http://schemas.microsoft.com/office/drawing/2014/main" id="{25E38F45-9B30-4CC5-A968-CFA6AF90D721}"/>
                </a:ext>
              </a:extLst>
            </xdr:cNvPr>
            <xdr:cNvCxnSpPr/>
          </xdr:nvCxnSpPr>
          <xdr:spPr>
            <a:xfrm>
              <a:off x="786937" y="51640586"/>
              <a:ext cx="1880054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id="{C080CD81-221E-4113-B615-D424C853F970}"/>
                </a:ext>
              </a:extLst>
            </xdr:cNvPr>
            <xdr:cNvCxnSpPr/>
          </xdr:nvCxnSpPr>
          <xdr:spPr>
            <a:xfrm flipH="1">
              <a:off x="2316529" y="51105345"/>
              <a:ext cx="48818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Straight Connector 495">
              <a:extLst>
                <a:ext uri="{FF2B5EF4-FFF2-40B4-BE49-F238E27FC236}">
                  <a16:creationId xmlns:a16="http://schemas.microsoft.com/office/drawing/2014/main" id="{1B79A317-9857-49C0-BDC4-5A23EDBBD288}"/>
                </a:ext>
              </a:extLst>
            </xdr:cNvPr>
            <xdr:cNvCxnSpPr/>
          </xdr:nvCxnSpPr>
          <xdr:spPr>
            <a:xfrm>
              <a:off x="2519304" y="51643992"/>
              <a:ext cx="0" cy="332382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97" name="TextBox 496">
              <a:extLst>
                <a:ext uri="{FF2B5EF4-FFF2-40B4-BE49-F238E27FC236}">
                  <a16:creationId xmlns:a16="http://schemas.microsoft.com/office/drawing/2014/main" id="{A8D2DA44-350E-4A20-9466-1C040C317B4D}"/>
                </a:ext>
              </a:extLst>
            </xdr:cNvPr>
            <xdr:cNvSpPr txBox="1"/>
          </xdr:nvSpPr>
          <xdr:spPr>
            <a:xfrm>
              <a:off x="744784" y="51470918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498" name="TextBox 497">
              <a:extLst>
                <a:ext uri="{FF2B5EF4-FFF2-40B4-BE49-F238E27FC236}">
                  <a16:creationId xmlns:a16="http://schemas.microsoft.com/office/drawing/2014/main" id="{BB586181-0203-4B45-ABB3-F957BBA3FF70}"/>
                </a:ext>
              </a:extLst>
            </xdr:cNvPr>
            <xdr:cNvSpPr txBox="1"/>
          </xdr:nvSpPr>
          <xdr:spPr>
            <a:xfrm>
              <a:off x="2435442" y="51698302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499" name="Straight Connector 498">
              <a:extLst>
                <a:ext uri="{FF2B5EF4-FFF2-40B4-BE49-F238E27FC236}">
                  <a16:creationId xmlns:a16="http://schemas.microsoft.com/office/drawing/2014/main" id="{1F143C0E-08F4-447E-9810-533FCBE636C7}"/>
                </a:ext>
              </a:extLst>
            </xdr:cNvPr>
            <xdr:cNvCxnSpPr/>
          </xdr:nvCxnSpPr>
          <xdr:spPr>
            <a:xfrm flipH="1">
              <a:off x="2183542" y="51976763"/>
              <a:ext cx="62372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0" name="Straight Connector 499">
              <a:extLst>
                <a:ext uri="{FF2B5EF4-FFF2-40B4-BE49-F238E27FC236}">
                  <a16:creationId xmlns:a16="http://schemas.microsoft.com/office/drawing/2014/main" id="{42246B51-A2F7-420C-90AB-8FED99BE15B9}"/>
                </a:ext>
              </a:extLst>
            </xdr:cNvPr>
            <xdr:cNvCxnSpPr/>
          </xdr:nvCxnSpPr>
          <xdr:spPr>
            <a:xfrm>
              <a:off x="2801312" y="51104295"/>
              <a:ext cx="0" cy="87447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1" name="TextBox 500">
              <a:extLst>
                <a:ext uri="{FF2B5EF4-FFF2-40B4-BE49-F238E27FC236}">
                  <a16:creationId xmlns:a16="http://schemas.microsoft.com/office/drawing/2014/main" id="{3F7D3FC7-B26E-4493-A496-69DA3F43247B}"/>
                </a:ext>
              </a:extLst>
            </xdr:cNvPr>
            <xdr:cNvSpPr txBox="1"/>
          </xdr:nvSpPr>
          <xdr:spPr>
            <a:xfrm>
              <a:off x="2731370" y="51349807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twoCellAnchor>
    <xdr:from>
      <xdr:col>10</xdr:col>
      <xdr:colOff>52519</xdr:colOff>
      <xdr:row>385</xdr:row>
      <xdr:rowOff>102733</xdr:rowOff>
    </xdr:from>
    <xdr:to>
      <xdr:col>30</xdr:col>
      <xdr:colOff>83030</xdr:colOff>
      <xdr:row>391</xdr:row>
      <xdr:rowOff>47006</xdr:rowOff>
    </xdr:to>
    <xdr:grpSp>
      <xdr:nvGrpSpPr>
        <xdr:cNvPr id="570" name="Group 569">
          <a:extLst>
            <a:ext uri="{FF2B5EF4-FFF2-40B4-BE49-F238E27FC236}">
              <a16:creationId xmlns:a16="http://schemas.microsoft.com/office/drawing/2014/main" id="{CC3C73B7-8205-408C-860C-359FBD510721}"/>
            </a:ext>
          </a:extLst>
        </xdr:cNvPr>
        <xdr:cNvGrpSpPr/>
      </xdr:nvGrpSpPr>
      <xdr:grpSpPr>
        <a:xfrm>
          <a:off x="1566994" y="75978883"/>
          <a:ext cx="3078511" cy="1087273"/>
          <a:chOff x="855680" y="136658236"/>
          <a:chExt cx="3011058" cy="1070265"/>
        </a:xfrm>
      </xdr:grpSpPr>
      <xdr:grpSp>
        <xdr:nvGrpSpPr>
          <xdr:cNvPr id="571" name="Group 570">
            <a:extLst>
              <a:ext uri="{FF2B5EF4-FFF2-40B4-BE49-F238E27FC236}">
                <a16:creationId xmlns:a16="http://schemas.microsoft.com/office/drawing/2014/main" id="{892D4BCD-6A08-42C5-BADD-FA70F6E62B1C}"/>
              </a:ext>
            </a:extLst>
          </xdr:cNvPr>
          <xdr:cNvGrpSpPr/>
        </xdr:nvGrpSpPr>
        <xdr:grpSpPr>
          <a:xfrm>
            <a:off x="870389" y="136979361"/>
            <a:ext cx="2996349" cy="749140"/>
            <a:chOff x="376197" y="140741881"/>
            <a:chExt cx="4238225" cy="1080242"/>
          </a:xfrm>
        </xdr:grpSpPr>
        <xdr:sp macro="" textlink="">
          <xdr:nvSpPr>
            <xdr:cNvPr id="580" name="Freeform 206">
              <a:extLst>
                <a:ext uri="{FF2B5EF4-FFF2-40B4-BE49-F238E27FC236}">
                  <a16:creationId xmlns:a16="http://schemas.microsoft.com/office/drawing/2014/main" id="{AFDE733B-9BDD-4F4A-A8A3-00BBE56B85CC}"/>
                </a:ext>
              </a:extLst>
            </xdr:cNvPr>
            <xdr:cNvSpPr/>
          </xdr:nvSpPr>
          <xdr:spPr>
            <a:xfrm>
              <a:off x="376197" y="140741881"/>
              <a:ext cx="4238225" cy="232121"/>
            </a:xfrm>
            <a:custGeom>
              <a:avLst/>
              <a:gdLst>
                <a:gd name="connsiteX0" fmla="*/ 240127 w 4238225"/>
                <a:gd name="connsiteY0" fmla="*/ 176092 h 232121"/>
                <a:gd name="connsiteX1" fmla="*/ 0 w 4238225"/>
                <a:gd name="connsiteY1" fmla="*/ 176092 h 232121"/>
                <a:gd name="connsiteX2" fmla="*/ 0 w 4238225"/>
                <a:gd name="connsiteY2" fmla="*/ 0 h 232121"/>
                <a:gd name="connsiteX3" fmla="*/ 4238225 w 4238225"/>
                <a:gd name="connsiteY3" fmla="*/ 0 h 232121"/>
                <a:gd name="connsiteX4" fmla="*/ 4238225 w 4238225"/>
                <a:gd name="connsiteY4" fmla="*/ 160084 h 232121"/>
                <a:gd name="connsiteX5" fmla="*/ 3982091 w 4238225"/>
                <a:gd name="connsiteY5" fmla="*/ 160084 h 232121"/>
                <a:gd name="connsiteX6" fmla="*/ 3926061 w 4238225"/>
                <a:gd name="connsiteY6" fmla="*/ 216114 h 232121"/>
                <a:gd name="connsiteX7" fmla="*/ 2433278 w 4238225"/>
                <a:gd name="connsiteY7" fmla="*/ 216114 h 232121"/>
                <a:gd name="connsiteX8" fmla="*/ 2381250 w 4238225"/>
                <a:gd name="connsiteY8" fmla="*/ 164086 h 232121"/>
                <a:gd name="connsiteX9" fmla="*/ 1856975 w 4238225"/>
                <a:gd name="connsiteY9" fmla="*/ 164086 h 232121"/>
                <a:gd name="connsiteX10" fmla="*/ 1788940 w 4238225"/>
                <a:gd name="connsiteY10" fmla="*/ 232121 h 232121"/>
                <a:gd name="connsiteX11" fmla="*/ 308162 w 4238225"/>
                <a:gd name="connsiteY11" fmla="*/ 232121 h 232121"/>
                <a:gd name="connsiteX12" fmla="*/ 240127 w 4238225"/>
                <a:gd name="connsiteY12" fmla="*/ 176092 h 2321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4238225" h="232121">
                  <a:moveTo>
                    <a:pt x="240127" y="176092"/>
                  </a:moveTo>
                  <a:lnTo>
                    <a:pt x="0" y="176092"/>
                  </a:lnTo>
                  <a:lnTo>
                    <a:pt x="0" y="0"/>
                  </a:lnTo>
                  <a:lnTo>
                    <a:pt x="4238225" y="0"/>
                  </a:lnTo>
                  <a:lnTo>
                    <a:pt x="4238225" y="160084"/>
                  </a:lnTo>
                  <a:lnTo>
                    <a:pt x="3982091" y="160084"/>
                  </a:lnTo>
                  <a:lnTo>
                    <a:pt x="3926061" y="216114"/>
                  </a:lnTo>
                  <a:lnTo>
                    <a:pt x="2433278" y="216114"/>
                  </a:lnTo>
                  <a:lnTo>
                    <a:pt x="2381250" y="164086"/>
                  </a:lnTo>
                  <a:lnTo>
                    <a:pt x="1856975" y="164086"/>
                  </a:lnTo>
                  <a:lnTo>
                    <a:pt x="1788940" y="232121"/>
                  </a:lnTo>
                  <a:lnTo>
                    <a:pt x="308162" y="232121"/>
                  </a:lnTo>
                  <a:lnTo>
                    <a:pt x="240127" y="176092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581" name="그룹 30">
              <a:extLst>
                <a:ext uri="{FF2B5EF4-FFF2-40B4-BE49-F238E27FC236}">
                  <a16:creationId xmlns:a16="http://schemas.microsoft.com/office/drawing/2014/main" id="{9B836AFA-E299-4754-90D1-DD074610CDEA}"/>
                </a:ext>
              </a:extLst>
            </xdr:cNvPr>
            <xdr:cNvGrpSpPr/>
          </xdr:nvGrpSpPr>
          <xdr:grpSpPr>
            <a:xfrm>
              <a:off x="677934" y="140940085"/>
              <a:ext cx="1497953" cy="882038"/>
              <a:chOff x="4444381" y="313952"/>
              <a:chExt cx="1570114" cy="1069110"/>
            </a:xfrm>
          </xdr:grpSpPr>
          <xdr:grpSp>
            <xdr:nvGrpSpPr>
              <xdr:cNvPr id="589" name="그룹 7">
                <a:extLst>
                  <a:ext uri="{FF2B5EF4-FFF2-40B4-BE49-F238E27FC236}">
                    <a16:creationId xmlns:a16="http://schemas.microsoft.com/office/drawing/2014/main" id="{5D0B63A3-3BC3-410B-B6E1-4148459DC638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591" name="직선 연결선 3">
                  <a:extLst>
                    <a:ext uri="{FF2B5EF4-FFF2-40B4-BE49-F238E27FC236}">
                      <a16:creationId xmlns:a16="http://schemas.microsoft.com/office/drawing/2014/main" id="{D9E65A8E-07D4-48C4-A846-3315FC81BDD4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92" name="직선 연결선 4">
                  <a:extLst>
                    <a:ext uri="{FF2B5EF4-FFF2-40B4-BE49-F238E27FC236}">
                      <a16:creationId xmlns:a16="http://schemas.microsoft.com/office/drawing/2014/main" id="{6212989D-6E02-4913-97C3-3A5FE95C0564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93" name="직선 연결선 5">
                  <a:extLst>
                    <a:ext uri="{FF2B5EF4-FFF2-40B4-BE49-F238E27FC236}">
                      <a16:creationId xmlns:a16="http://schemas.microsoft.com/office/drawing/2014/main" id="{138B6F58-797D-449C-80E7-FFE30229B05C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94" name="직선 연결선 6">
                  <a:extLst>
                    <a:ext uri="{FF2B5EF4-FFF2-40B4-BE49-F238E27FC236}">
                      <a16:creationId xmlns:a16="http://schemas.microsoft.com/office/drawing/2014/main" id="{39D1396A-4367-406C-AA54-8657F64C01AF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590" name="직선 연결선 29">
                <a:extLst>
                  <a:ext uri="{FF2B5EF4-FFF2-40B4-BE49-F238E27FC236}">
                    <a16:creationId xmlns:a16="http://schemas.microsoft.com/office/drawing/2014/main" id="{46B38B85-324C-4246-BB38-A84A152078D8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582" name="그룹 30">
              <a:extLst>
                <a:ext uri="{FF2B5EF4-FFF2-40B4-BE49-F238E27FC236}">
                  <a16:creationId xmlns:a16="http://schemas.microsoft.com/office/drawing/2014/main" id="{5EBD918A-6B30-42D6-B05B-B32FC003001C}"/>
                </a:ext>
              </a:extLst>
            </xdr:cNvPr>
            <xdr:cNvGrpSpPr/>
          </xdr:nvGrpSpPr>
          <xdr:grpSpPr>
            <a:xfrm>
              <a:off x="2803992" y="140934082"/>
              <a:ext cx="1497953" cy="882038"/>
              <a:chOff x="4444381" y="313952"/>
              <a:chExt cx="1570114" cy="1069110"/>
            </a:xfrm>
          </xdr:grpSpPr>
          <xdr:grpSp>
            <xdr:nvGrpSpPr>
              <xdr:cNvPr id="583" name="그룹 7">
                <a:extLst>
                  <a:ext uri="{FF2B5EF4-FFF2-40B4-BE49-F238E27FC236}">
                    <a16:creationId xmlns:a16="http://schemas.microsoft.com/office/drawing/2014/main" id="{21172D12-2CCF-44FD-9817-6B603A75BD70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585" name="직선 연결선 3">
                  <a:extLst>
                    <a:ext uri="{FF2B5EF4-FFF2-40B4-BE49-F238E27FC236}">
                      <a16:creationId xmlns:a16="http://schemas.microsoft.com/office/drawing/2014/main" id="{95554F99-AC6E-4FFA-A250-276AC3D0E04D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6" name="직선 연결선 4">
                  <a:extLst>
                    <a:ext uri="{FF2B5EF4-FFF2-40B4-BE49-F238E27FC236}">
                      <a16:creationId xmlns:a16="http://schemas.microsoft.com/office/drawing/2014/main" id="{AA6985BE-074A-441B-B631-E3842D5F366A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7" name="직선 연결선 5">
                  <a:extLst>
                    <a:ext uri="{FF2B5EF4-FFF2-40B4-BE49-F238E27FC236}">
                      <a16:creationId xmlns:a16="http://schemas.microsoft.com/office/drawing/2014/main" id="{9D099717-C502-4CCF-BE2F-84E1B03903F7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8" name="직선 연결선 6">
                  <a:extLst>
                    <a:ext uri="{FF2B5EF4-FFF2-40B4-BE49-F238E27FC236}">
                      <a16:creationId xmlns:a16="http://schemas.microsoft.com/office/drawing/2014/main" id="{B76C883F-F11F-4D18-8F50-CFD1AC5D3F55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584" name="직선 연결선 29">
                <a:extLst>
                  <a:ext uri="{FF2B5EF4-FFF2-40B4-BE49-F238E27FC236}">
                    <a16:creationId xmlns:a16="http://schemas.microsoft.com/office/drawing/2014/main" id="{73481817-D0EC-4EFF-92F2-A6EB231F176F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440BB420-C6BF-4A3A-946C-2D4BAA822417}"/>
              </a:ext>
            </a:extLst>
          </xdr:cNvPr>
          <xdr:cNvCxnSpPr/>
        </xdr:nvCxnSpPr>
        <xdr:spPr>
          <a:xfrm>
            <a:off x="1190626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EADA35E9-0F16-473C-B3B6-6439CE9FB035}"/>
              </a:ext>
            </a:extLst>
          </xdr:cNvPr>
          <xdr:cNvCxnSpPr/>
        </xdr:nvCxnSpPr>
        <xdr:spPr>
          <a:xfrm>
            <a:off x="2046305" y="136826364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3C99B260-4A89-4C92-BCCA-3BFE4C2F3EE7}"/>
              </a:ext>
            </a:extLst>
          </xdr:cNvPr>
          <xdr:cNvCxnSpPr/>
        </xdr:nvCxnSpPr>
        <xdr:spPr>
          <a:xfrm flipH="1">
            <a:off x="855680" y="136826363"/>
            <a:ext cx="1842199" cy="0"/>
          </a:xfrm>
          <a:prstGeom prst="line">
            <a:avLst/>
          </a:prstGeom>
          <a:ln w="31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264D9B1E-7C48-4486-9958-009DA2C51246}"/>
              </a:ext>
            </a:extLst>
          </xdr:cNvPr>
          <xdr:cNvCxnSpPr/>
        </xdr:nvCxnSpPr>
        <xdr:spPr>
          <a:xfrm>
            <a:off x="2692644" y="136828980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0A2881E4-6E3E-4B28-9C06-4C58817716E2}"/>
              </a:ext>
            </a:extLst>
          </xdr:cNvPr>
          <xdr:cNvCxnSpPr/>
        </xdr:nvCxnSpPr>
        <xdr:spPr>
          <a:xfrm>
            <a:off x="868763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7" name="TextBox 576">
            <a:extLst>
              <a:ext uri="{FF2B5EF4-FFF2-40B4-BE49-F238E27FC236}">
                <a16:creationId xmlns:a16="http://schemas.microsoft.com/office/drawing/2014/main" id="{1D962713-4DE4-42BB-95CF-82337AAFA6BB}"/>
              </a:ext>
            </a:extLst>
          </xdr:cNvPr>
          <xdr:cNvSpPr txBox="1"/>
        </xdr:nvSpPr>
        <xdr:spPr>
          <a:xfrm>
            <a:off x="909978" y="136658236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b</a:t>
            </a:r>
          </a:p>
        </xdr:txBody>
      </xdr:sp>
      <xdr:sp macro="" textlink="">
        <xdr:nvSpPr>
          <xdr:cNvPr id="578" name="TextBox 577">
            <a:extLst>
              <a:ext uri="{FF2B5EF4-FFF2-40B4-BE49-F238E27FC236}">
                <a16:creationId xmlns:a16="http://schemas.microsoft.com/office/drawing/2014/main" id="{7095BC7D-23D0-429D-8441-540CE26FFF9B}"/>
              </a:ext>
            </a:extLst>
          </xdr:cNvPr>
          <xdr:cNvSpPr txBox="1"/>
        </xdr:nvSpPr>
        <xdr:spPr>
          <a:xfrm>
            <a:off x="1479777" y="136666740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w</a:t>
            </a:r>
          </a:p>
        </xdr:txBody>
      </xdr:sp>
      <xdr:sp macro="" textlink="">
        <xdr:nvSpPr>
          <xdr:cNvPr id="579" name="TextBox 578">
            <a:extLst>
              <a:ext uri="{FF2B5EF4-FFF2-40B4-BE49-F238E27FC236}">
                <a16:creationId xmlns:a16="http://schemas.microsoft.com/office/drawing/2014/main" id="{4EEF8651-93B7-45FF-80F2-83DA940255A2}"/>
              </a:ext>
            </a:extLst>
          </xdr:cNvPr>
          <xdr:cNvSpPr txBox="1"/>
        </xdr:nvSpPr>
        <xdr:spPr>
          <a:xfrm>
            <a:off x="2270691" y="136666741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a</a:t>
            </a:r>
          </a:p>
        </xdr:txBody>
      </xdr:sp>
    </xdr:grpSp>
    <xdr:clientData/>
  </xdr:twoCellAnchor>
  <xdr:twoCellAnchor>
    <xdr:from>
      <xdr:col>5</xdr:col>
      <xdr:colOff>104775</xdr:colOff>
      <xdr:row>364</xdr:row>
      <xdr:rowOff>66675</xdr:rowOff>
    </xdr:from>
    <xdr:to>
      <xdr:col>34</xdr:col>
      <xdr:colOff>123826</xdr:colOff>
      <xdr:row>384</xdr:row>
      <xdr:rowOff>19049</xdr:rowOff>
    </xdr:to>
    <xdr:grpSp>
      <xdr:nvGrpSpPr>
        <xdr:cNvPr id="595" name="Group 594">
          <a:extLst>
            <a:ext uri="{FF2B5EF4-FFF2-40B4-BE49-F238E27FC236}">
              <a16:creationId xmlns:a16="http://schemas.microsoft.com/office/drawing/2014/main" id="{38936046-6568-4A68-990C-89E7E20835D7}"/>
            </a:ext>
          </a:extLst>
        </xdr:cNvPr>
        <xdr:cNvGrpSpPr/>
      </xdr:nvGrpSpPr>
      <xdr:grpSpPr>
        <a:xfrm>
          <a:off x="866775" y="71942325"/>
          <a:ext cx="4429126" cy="3762374"/>
          <a:chOff x="533399" y="79228951"/>
          <a:chExt cx="4429126" cy="3762374"/>
        </a:xfrm>
      </xdr:grpSpPr>
      <xdr:grpSp>
        <xdr:nvGrpSpPr>
          <xdr:cNvPr id="596" name="Group 595">
            <a:extLst>
              <a:ext uri="{FF2B5EF4-FFF2-40B4-BE49-F238E27FC236}">
                <a16:creationId xmlns:a16="http://schemas.microsoft.com/office/drawing/2014/main" id="{2FB7732F-4D9E-49AD-A629-9CF070624AE5}"/>
              </a:ext>
            </a:extLst>
          </xdr:cNvPr>
          <xdr:cNvGrpSpPr/>
        </xdr:nvGrpSpPr>
        <xdr:grpSpPr>
          <a:xfrm>
            <a:off x="1781175" y="79705200"/>
            <a:ext cx="590550" cy="428625"/>
            <a:chOff x="1781175" y="79705200"/>
            <a:chExt cx="590550" cy="428625"/>
          </a:xfrm>
        </xdr:grpSpPr>
        <xdr:cxnSp macro="">
          <xdr:nvCxnSpPr>
            <xdr:cNvPr id="630" name="Straight Connector 629">
              <a:extLst>
                <a:ext uri="{FF2B5EF4-FFF2-40B4-BE49-F238E27FC236}">
                  <a16:creationId xmlns:a16="http://schemas.microsoft.com/office/drawing/2014/main" id="{F94D6884-56E1-460A-A979-EA82D4C21F33}"/>
                </a:ext>
              </a:extLst>
            </xdr:cNvPr>
            <xdr:cNvCxnSpPr/>
          </xdr:nvCxnSpPr>
          <xdr:spPr>
            <a:xfrm>
              <a:off x="1809750" y="79705200"/>
              <a:ext cx="0" cy="428625"/>
            </a:xfrm>
            <a:prstGeom prst="line">
              <a:avLst/>
            </a:prstGeom>
            <a:ln w="12700"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31" name="TextBox 630">
              <a:extLst>
                <a:ext uri="{FF2B5EF4-FFF2-40B4-BE49-F238E27FC236}">
                  <a16:creationId xmlns:a16="http://schemas.microsoft.com/office/drawing/2014/main" id="{E35C3A46-64ED-4114-9C78-6A5DBEE920CC}"/>
                </a:ext>
              </a:extLst>
            </xdr:cNvPr>
            <xdr:cNvSpPr txBox="1"/>
          </xdr:nvSpPr>
          <xdr:spPr>
            <a:xfrm>
              <a:off x="1781175" y="79752825"/>
              <a:ext cx="590550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Yes</a:t>
              </a:r>
            </a:p>
          </xdr:txBody>
        </xdr:sp>
      </xdr:grpSp>
      <xdr:grpSp>
        <xdr:nvGrpSpPr>
          <xdr:cNvPr id="597" name="Group 596">
            <a:extLst>
              <a:ext uri="{FF2B5EF4-FFF2-40B4-BE49-F238E27FC236}">
                <a16:creationId xmlns:a16="http://schemas.microsoft.com/office/drawing/2014/main" id="{895F47B3-7264-410D-96F0-96C6CBFAF3BB}"/>
              </a:ext>
            </a:extLst>
          </xdr:cNvPr>
          <xdr:cNvGrpSpPr/>
        </xdr:nvGrpSpPr>
        <xdr:grpSpPr>
          <a:xfrm>
            <a:off x="1781175" y="80619600"/>
            <a:ext cx="590550" cy="428625"/>
            <a:chOff x="1781175" y="79705200"/>
            <a:chExt cx="590550" cy="428625"/>
          </a:xfrm>
        </xdr:grpSpPr>
        <xdr:cxnSp macro="">
          <xdr:nvCxnSpPr>
            <xdr:cNvPr id="628" name="Straight Connector 627">
              <a:extLst>
                <a:ext uri="{FF2B5EF4-FFF2-40B4-BE49-F238E27FC236}">
                  <a16:creationId xmlns:a16="http://schemas.microsoft.com/office/drawing/2014/main" id="{2D383404-CE61-4F3E-9357-7DD05579B452}"/>
                </a:ext>
              </a:extLst>
            </xdr:cNvPr>
            <xdr:cNvCxnSpPr/>
          </xdr:nvCxnSpPr>
          <xdr:spPr>
            <a:xfrm>
              <a:off x="1809750" y="79705200"/>
              <a:ext cx="0" cy="428625"/>
            </a:xfrm>
            <a:prstGeom prst="line">
              <a:avLst/>
            </a:prstGeom>
            <a:ln w="12700"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29" name="TextBox 628">
              <a:extLst>
                <a:ext uri="{FF2B5EF4-FFF2-40B4-BE49-F238E27FC236}">
                  <a16:creationId xmlns:a16="http://schemas.microsoft.com/office/drawing/2014/main" id="{C8D6AA39-4118-47AE-830B-0EDD124864C7}"/>
                </a:ext>
              </a:extLst>
            </xdr:cNvPr>
            <xdr:cNvSpPr txBox="1"/>
          </xdr:nvSpPr>
          <xdr:spPr>
            <a:xfrm>
              <a:off x="1781175" y="79752825"/>
              <a:ext cx="590550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Yes</a:t>
              </a:r>
            </a:p>
          </xdr:txBody>
        </xdr:sp>
      </xdr:grpSp>
      <xdr:grpSp>
        <xdr:nvGrpSpPr>
          <xdr:cNvPr id="598" name="Group 597">
            <a:extLst>
              <a:ext uri="{FF2B5EF4-FFF2-40B4-BE49-F238E27FC236}">
                <a16:creationId xmlns:a16="http://schemas.microsoft.com/office/drawing/2014/main" id="{FA2C7B2E-13CD-4D3A-9510-9F24C4FF42E6}"/>
              </a:ext>
            </a:extLst>
          </xdr:cNvPr>
          <xdr:cNvGrpSpPr/>
        </xdr:nvGrpSpPr>
        <xdr:grpSpPr>
          <a:xfrm>
            <a:off x="533399" y="79228951"/>
            <a:ext cx="4429126" cy="3762374"/>
            <a:chOff x="533399" y="79228951"/>
            <a:chExt cx="4429126" cy="3762374"/>
          </a:xfrm>
        </xdr:grpSpPr>
        <xdr:grpSp>
          <xdr:nvGrpSpPr>
            <xdr:cNvPr id="599" name="Group 598">
              <a:extLst>
                <a:ext uri="{FF2B5EF4-FFF2-40B4-BE49-F238E27FC236}">
                  <a16:creationId xmlns:a16="http://schemas.microsoft.com/office/drawing/2014/main" id="{7F7C5A0D-E570-416B-8062-E3174553EA82}"/>
                </a:ext>
              </a:extLst>
            </xdr:cNvPr>
            <xdr:cNvGrpSpPr/>
          </xdr:nvGrpSpPr>
          <xdr:grpSpPr>
            <a:xfrm>
              <a:off x="1181100" y="79228951"/>
              <a:ext cx="1285875" cy="475059"/>
              <a:chOff x="1181100" y="79228951"/>
              <a:chExt cx="1285875" cy="475059"/>
            </a:xfrm>
          </xdr:grpSpPr>
          <xdr:sp macro="" textlink="">
            <xdr:nvSpPr>
              <xdr:cNvPr id="626" name="Diamond 625">
                <a:extLst>
                  <a:ext uri="{FF2B5EF4-FFF2-40B4-BE49-F238E27FC236}">
                    <a16:creationId xmlns:a16="http://schemas.microsoft.com/office/drawing/2014/main" id="{94370EA3-7C92-4602-8691-1018B3C12FD5}"/>
                  </a:ext>
                </a:extLst>
              </xdr:cNvPr>
              <xdr:cNvSpPr/>
            </xdr:nvSpPr>
            <xdr:spPr>
              <a:xfrm>
                <a:off x="1181100" y="79228951"/>
                <a:ext cx="1266825" cy="475059"/>
              </a:xfrm>
              <a:prstGeom prst="diamond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27" name="TextBox 626">
                <a:extLst>
                  <a:ext uri="{FF2B5EF4-FFF2-40B4-BE49-F238E27FC236}">
                    <a16:creationId xmlns:a16="http://schemas.microsoft.com/office/drawing/2014/main" id="{0CFEA16B-C8D5-4BE2-AA91-3E909AC91E0C}"/>
                  </a:ext>
                </a:extLst>
              </xdr:cNvPr>
              <xdr:cNvSpPr txBox="1"/>
            </xdr:nvSpPr>
            <xdr:spPr>
              <a:xfrm>
                <a:off x="1343025" y="79333725"/>
                <a:ext cx="11239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Positive</a:t>
                </a:r>
                <a:r>
                  <a:rPr lang="en-US" sz="900" baseline="0"/>
                  <a:t> moment</a:t>
                </a:r>
                <a:endParaRPr lang="en-US" sz="900"/>
              </a:p>
            </xdr:txBody>
          </xdr:sp>
        </xdr:grpSp>
        <xdr:grpSp>
          <xdr:nvGrpSpPr>
            <xdr:cNvPr id="600" name="Group 599">
              <a:extLst>
                <a:ext uri="{FF2B5EF4-FFF2-40B4-BE49-F238E27FC236}">
                  <a16:creationId xmlns:a16="http://schemas.microsoft.com/office/drawing/2014/main" id="{231A1185-A369-4087-8250-8D794157C86B}"/>
                </a:ext>
              </a:extLst>
            </xdr:cNvPr>
            <xdr:cNvGrpSpPr/>
          </xdr:nvGrpSpPr>
          <xdr:grpSpPr>
            <a:xfrm>
              <a:off x="3743325" y="79267050"/>
              <a:ext cx="1219200" cy="390525"/>
              <a:chOff x="3695700" y="79295625"/>
              <a:chExt cx="1219200" cy="390525"/>
            </a:xfrm>
          </xdr:grpSpPr>
          <xdr:sp macro="" textlink="">
            <xdr:nvSpPr>
              <xdr:cNvPr id="624" name="Rectangle: Rounded Corners 623">
                <a:extLst>
                  <a:ext uri="{FF2B5EF4-FFF2-40B4-BE49-F238E27FC236}">
                    <a16:creationId xmlns:a16="http://schemas.microsoft.com/office/drawing/2014/main" id="{2265C47C-EF49-495A-8BF6-C74F3B94CFCE}"/>
                  </a:ext>
                </a:extLst>
              </xdr:cNvPr>
              <xdr:cNvSpPr/>
            </xdr:nvSpPr>
            <xdr:spPr>
              <a:xfrm>
                <a:off x="3695700" y="79295625"/>
                <a:ext cx="1219200" cy="390525"/>
              </a:xfrm>
              <a:prstGeom prst="round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190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25" name="TextBox 624">
                <a:extLst>
                  <a:ext uri="{FF2B5EF4-FFF2-40B4-BE49-F238E27FC236}">
                    <a16:creationId xmlns:a16="http://schemas.microsoft.com/office/drawing/2014/main" id="{C3FB723E-0A2E-47EB-8212-EA997D73E797}"/>
                  </a:ext>
                </a:extLst>
              </xdr:cNvPr>
              <xdr:cNvSpPr txBox="1"/>
            </xdr:nvSpPr>
            <xdr:spPr>
              <a:xfrm>
                <a:off x="3924300" y="79362300"/>
                <a:ext cx="83820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 b="1"/>
                  <a:t>Not classified</a:t>
                </a:r>
              </a:p>
            </xdr:txBody>
          </xdr:sp>
        </xdr:grpSp>
        <xdr:grpSp>
          <xdr:nvGrpSpPr>
            <xdr:cNvPr id="601" name="Group 600">
              <a:extLst>
                <a:ext uri="{FF2B5EF4-FFF2-40B4-BE49-F238E27FC236}">
                  <a16:creationId xmlns:a16="http://schemas.microsoft.com/office/drawing/2014/main" id="{68F6840A-D540-4705-A293-C9CB5EB0FB36}"/>
                </a:ext>
              </a:extLst>
            </xdr:cNvPr>
            <xdr:cNvGrpSpPr/>
          </xdr:nvGrpSpPr>
          <xdr:grpSpPr>
            <a:xfrm>
              <a:off x="1171575" y="80133825"/>
              <a:ext cx="1323975" cy="475059"/>
              <a:chOff x="1181100" y="79228951"/>
              <a:chExt cx="1323975" cy="475059"/>
            </a:xfrm>
          </xdr:grpSpPr>
          <xdr:sp macro="" textlink="">
            <xdr:nvSpPr>
              <xdr:cNvPr id="622" name="Diamond 621">
                <a:extLst>
                  <a:ext uri="{FF2B5EF4-FFF2-40B4-BE49-F238E27FC236}">
                    <a16:creationId xmlns:a16="http://schemas.microsoft.com/office/drawing/2014/main" id="{7AC6012F-EADD-4186-B046-8054AAEB38E2}"/>
                  </a:ext>
                </a:extLst>
              </xdr:cNvPr>
              <xdr:cNvSpPr/>
            </xdr:nvSpPr>
            <xdr:spPr>
              <a:xfrm>
                <a:off x="1181100" y="79228951"/>
                <a:ext cx="1266825" cy="475059"/>
              </a:xfrm>
              <a:prstGeom prst="diamond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23" name="TextBox 622">
                <a:extLst>
                  <a:ext uri="{FF2B5EF4-FFF2-40B4-BE49-F238E27FC236}">
                    <a16:creationId xmlns:a16="http://schemas.microsoft.com/office/drawing/2014/main" id="{F09D7314-15A9-4A8D-9C12-8A21BE2761E1}"/>
                  </a:ext>
                </a:extLst>
              </xdr:cNvPr>
              <xdr:cNvSpPr txBox="1"/>
            </xdr:nvSpPr>
            <xdr:spPr>
              <a:xfrm>
                <a:off x="1381125" y="79343250"/>
                <a:ext cx="11239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Straight bridge</a:t>
                </a:r>
              </a:p>
            </xdr:txBody>
          </xdr:sp>
        </xdr:grpSp>
        <xdr:grpSp>
          <xdr:nvGrpSpPr>
            <xdr:cNvPr id="602" name="Group 601">
              <a:extLst>
                <a:ext uri="{FF2B5EF4-FFF2-40B4-BE49-F238E27FC236}">
                  <a16:creationId xmlns:a16="http://schemas.microsoft.com/office/drawing/2014/main" id="{169B9780-F028-4D87-9632-4FEFF57EE55A}"/>
                </a:ext>
              </a:extLst>
            </xdr:cNvPr>
            <xdr:cNvGrpSpPr/>
          </xdr:nvGrpSpPr>
          <xdr:grpSpPr>
            <a:xfrm>
              <a:off x="2406015" y="79257525"/>
              <a:ext cx="1341120" cy="266700"/>
              <a:chOff x="2406015" y="79257525"/>
              <a:chExt cx="1341120" cy="266700"/>
            </a:xfrm>
          </xdr:grpSpPr>
          <xdr:sp macro="" textlink="">
            <xdr:nvSpPr>
              <xdr:cNvPr id="620" name="TextBox 619">
                <a:extLst>
                  <a:ext uri="{FF2B5EF4-FFF2-40B4-BE49-F238E27FC236}">
                    <a16:creationId xmlns:a16="http://schemas.microsoft.com/office/drawing/2014/main" id="{9BAAC589-5A26-4137-AA4D-5E35191762E3}"/>
                  </a:ext>
                </a:extLst>
              </xdr:cNvPr>
              <xdr:cNvSpPr txBox="1"/>
            </xdr:nvSpPr>
            <xdr:spPr>
              <a:xfrm>
                <a:off x="2724150" y="79257525"/>
                <a:ext cx="5905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No</a:t>
                </a:r>
              </a:p>
            </xdr:txBody>
          </xdr:sp>
          <xdr:cxnSp macro="">
            <xdr:nvCxnSpPr>
              <xdr:cNvPr id="621" name="Straight Connector 620">
                <a:extLst>
                  <a:ext uri="{FF2B5EF4-FFF2-40B4-BE49-F238E27FC236}">
                    <a16:creationId xmlns:a16="http://schemas.microsoft.com/office/drawing/2014/main" id="{DD7D6FAB-3498-40E3-91F8-89ADB221EFD0}"/>
                  </a:ext>
                </a:extLst>
              </xdr:cNvPr>
              <xdr:cNvCxnSpPr/>
            </xdr:nvCxnSpPr>
            <xdr:spPr>
              <a:xfrm>
                <a:off x="2406015" y="79467075"/>
                <a:ext cx="1341120" cy="0"/>
              </a:xfrm>
              <a:prstGeom prst="line">
                <a:avLst/>
              </a:prstGeom>
              <a:ln w="12700"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03" name="Group 602">
              <a:extLst>
                <a:ext uri="{FF2B5EF4-FFF2-40B4-BE49-F238E27FC236}">
                  <a16:creationId xmlns:a16="http://schemas.microsoft.com/office/drawing/2014/main" id="{C2EB015B-6B12-473F-8A3A-C6B9AE0A70A7}"/>
                </a:ext>
              </a:extLst>
            </xdr:cNvPr>
            <xdr:cNvGrpSpPr/>
          </xdr:nvGrpSpPr>
          <xdr:grpSpPr>
            <a:xfrm>
              <a:off x="3695700" y="82600800"/>
              <a:ext cx="1247775" cy="390525"/>
              <a:chOff x="3686175" y="79295625"/>
              <a:chExt cx="1247775" cy="390525"/>
            </a:xfrm>
          </xdr:grpSpPr>
          <xdr:sp macro="" textlink="">
            <xdr:nvSpPr>
              <xdr:cNvPr id="618" name="Rectangle: Rounded Corners 617">
                <a:extLst>
                  <a:ext uri="{FF2B5EF4-FFF2-40B4-BE49-F238E27FC236}">
                    <a16:creationId xmlns:a16="http://schemas.microsoft.com/office/drawing/2014/main" id="{45FCAD23-8650-4F29-B256-8F318DA1993B}"/>
                  </a:ext>
                </a:extLst>
              </xdr:cNvPr>
              <xdr:cNvSpPr/>
            </xdr:nvSpPr>
            <xdr:spPr>
              <a:xfrm>
                <a:off x="3695700" y="79295625"/>
                <a:ext cx="1219200" cy="390525"/>
              </a:xfrm>
              <a:prstGeom prst="round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19" name="TextBox 618">
                <a:extLst>
                  <a:ext uri="{FF2B5EF4-FFF2-40B4-BE49-F238E27FC236}">
                    <a16:creationId xmlns:a16="http://schemas.microsoft.com/office/drawing/2014/main" id="{322436DA-8624-4A06-8230-9F97DD96ED04}"/>
                  </a:ext>
                </a:extLst>
              </xdr:cNvPr>
              <xdr:cNvSpPr txBox="1"/>
            </xdr:nvSpPr>
            <xdr:spPr>
              <a:xfrm>
                <a:off x="3686175" y="79362300"/>
                <a:ext cx="1247775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 b="1"/>
                  <a:t>Non-compact</a:t>
                </a:r>
                <a:r>
                  <a:rPr lang="en-US" sz="900" b="1" baseline="0"/>
                  <a:t> section</a:t>
                </a:r>
                <a:endParaRPr lang="en-US" sz="900" b="1"/>
              </a:p>
            </xdr:txBody>
          </xdr:sp>
        </xdr:grpSp>
        <xdr:grpSp>
          <xdr:nvGrpSpPr>
            <xdr:cNvPr id="604" name="Group 603">
              <a:extLst>
                <a:ext uri="{FF2B5EF4-FFF2-40B4-BE49-F238E27FC236}">
                  <a16:creationId xmlns:a16="http://schemas.microsoft.com/office/drawing/2014/main" id="{0123A2F9-C174-48A4-924A-6DD4C3FB6AD7}"/>
                </a:ext>
              </a:extLst>
            </xdr:cNvPr>
            <xdr:cNvGrpSpPr/>
          </xdr:nvGrpSpPr>
          <xdr:grpSpPr>
            <a:xfrm>
              <a:off x="533399" y="81048225"/>
              <a:ext cx="2705101" cy="1209675"/>
              <a:chOff x="1000124" y="80876775"/>
              <a:chExt cx="2705101" cy="1209675"/>
            </a:xfrm>
          </xdr:grpSpPr>
          <xdr:sp macro="" textlink="">
            <xdr:nvSpPr>
              <xdr:cNvPr id="616" name="Rectangle: Rounded Corners 615">
                <a:extLst>
                  <a:ext uri="{FF2B5EF4-FFF2-40B4-BE49-F238E27FC236}">
                    <a16:creationId xmlns:a16="http://schemas.microsoft.com/office/drawing/2014/main" id="{2BDD37D1-31D0-4F60-85A2-9FFD99798AB6}"/>
                  </a:ext>
                </a:extLst>
              </xdr:cNvPr>
              <xdr:cNvSpPr/>
            </xdr:nvSpPr>
            <xdr:spPr>
              <a:xfrm>
                <a:off x="1000124" y="80876775"/>
                <a:ext cx="2562225" cy="1209675"/>
              </a:xfrm>
              <a:prstGeom prst="roundRect">
                <a:avLst>
                  <a:gd name="adj" fmla="val 50000"/>
                </a:avLst>
              </a:prstGeom>
              <a:solidFill>
                <a:schemeClr val="accent6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17" name="TextBox 616">
                <a:extLst>
                  <a:ext uri="{FF2B5EF4-FFF2-40B4-BE49-F238E27FC236}">
                    <a16:creationId xmlns:a16="http://schemas.microsoft.com/office/drawing/2014/main" id="{73F26444-5358-4F60-ACB9-5F8798A99D15}"/>
                  </a:ext>
                </a:extLst>
              </xdr:cNvPr>
              <xdr:cNvSpPr txBox="1"/>
            </xdr:nvSpPr>
            <xdr:spPr>
              <a:xfrm>
                <a:off x="1095374" y="80943450"/>
                <a:ext cx="2609851" cy="10858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>
                    <a:latin typeface="+mn-lt"/>
                    <a:ea typeface="+mj-ea"/>
                  </a:rPr>
                  <a:t>F</a:t>
                </a:r>
                <a:r>
                  <a:rPr lang="en-US" sz="900" baseline="-25000">
                    <a:latin typeface="+mn-lt"/>
                    <a:ea typeface="+mj-ea"/>
                  </a:rPr>
                  <a:t>yf</a:t>
                </a:r>
                <a:r>
                  <a:rPr lang="en-US" sz="900">
                    <a:latin typeface="+mn-lt"/>
                    <a:ea typeface="+mj-ea"/>
                  </a:rPr>
                  <a:t>, F</a:t>
                </a:r>
                <a:r>
                  <a:rPr lang="en-US" sz="900" baseline="-25000">
                    <a:latin typeface="+mn-lt"/>
                    <a:ea typeface="+mj-ea"/>
                  </a:rPr>
                  <a:t>yw</a:t>
                </a:r>
                <a:r>
                  <a:rPr lang="en-US" sz="900">
                    <a:latin typeface="+mn-lt"/>
                    <a:ea typeface="+mj-ea"/>
                  </a:rPr>
                  <a:t> ≤ 455MPa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>
                    <a:latin typeface="+mn-lt"/>
                    <a:ea typeface="+mj-ea"/>
                  </a:rPr>
                  <a:t>D/t</a:t>
                </a:r>
                <a:r>
                  <a:rPr lang="en-US" sz="900" baseline="-25000">
                    <a:latin typeface="+mn-lt"/>
                    <a:ea typeface="+mj-ea"/>
                  </a:rPr>
                  <a:t>w</a:t>
                </a:r>
                <a:r>
                  <a:rPr lang="en-US" sz="900">
                    <a:latin typeface="+mn-lt"/>
                    <a:ea typeface="+mj-ea"/>
                  </a:rPr>
                  <a:t> ≤ 150 without longitudinally stiffeners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>
                    <a:latin typeface="+mn-lt"/>
                    <a:ea typeface="+mj-ea"/>
                  </a:rPr>
                  <a:t>0.8w</a:t>
                </a:r>
                <a:r>
                  <a:rPr lang="en-US" sz="900" baseline="0">
                    <a:latin typeface="+mn-lt"/>
                    <a:ea typeface="+mj-ea"/>
                  </a:rPr>
                  <a:t> ≤ a ≤ 1.2w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0.65w ≤ a ≤ 1.35w for nonparallel box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S ≤ 1/4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b ≤ min(a; 1800)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2D</a:t>
                </a:r>
                <a:r>
                  <a:rPr lang="en-US" sz="900" baseline="-25000">
                    <a:latin typeface="+mn-lt"/>
                    <a:ea typeface="+mj-ea"/>
                  </a:rPr>
                  <a:t>cp</a:t>
                </a:r>
                <a:r>
                  <a:rPr lang="en-US" sz="900" baseline="0">
                    <a:latin typeface="+mn-lt"/>
                    <a:ea typeface="+mj-ea"/>
                  </a:rPr>
                  <a:t> / t</a:t>
                </a:r>
                <a:r>
                  <a:rPr lang="en-US" sz="900" baseline="-25000">
                    <a:latin typeface="+mn-lt"/>
                    <a:ea typeface="+mj-ea"/>
                  </a:rPr>
                  <a:t>w</a:t>
                </a:r>
                <a:r>
                  <a:rPr lang="en-US" sz="900" baseline="0">
                    <a:latin typeface="+mn-lt"/>
                    <a:ea typeface="+mj-ea"/>
                  </a:rPr>
                  <a:t> ≤ 3.76√(E / F</a:t>
                </a:r>
                <a:r>
                  <a:rPr lang="en-US" sz="900" baseline="-25000">
                    <a:latin typeface="+mn-lt"/>
                    <a:ea typeface="+mj-ea"/>
                  </a:rPr>
                  <a:t>yc</a:t>
                </a:r>
                <a:r>
                  <a:rPr lang="en-US" sz="900" baseline="0">
                    <a:latin typeface="+mn-lt"/>
                    <a:ea typeface="+mj-ea"/>
                  </a:rPr>
                  <a:t>)</a:t>
                </a:r>
                <a:endParaRPr lang="en-US" sz="900">
                  <a:latin typeface="+mn-lt"/>
                  <a:ea typeface="+mj-ea"/>
                </a:endParaRPr>
              </a:p>
            </xdr:txBody>
          </xdr:sp>
        </xdr:grpSp>
        <xdr:sp macro="" textlink="">
          <xdr:nvSpPr>
            <xdr:cNvPr id="605" name="Freeform: Shape 604">
              <a:extLst>
                <a:ext uri="{FF2B5EF4-FFF2-40B4-BE49-F238E27FC236}">
                  <a16:creationId xmlns:a16="http://schemas.microsoft.com/office/drawing/2014/main" id="{58A2D9B6-AE32-434B-A383-D23DDAB61D1F}"/>
                </a:ext>
              </a:extLst>
            </xdr:cNvPr>
            <xdr:cNvSpPr/>
          </xdr:nvSpPr>
          <xdr:spPr>
            <a:xfrm>
              <a:off x="2447925" y="80371950"/>
              <a:ext cx="1876425" cy="2219325"/>
            </a:xfrm>
            <a:custGeom>
              <a:avLst/>
              <a:gdLst>
                <a:gd name="connsiteX0" fmla="*/ 0 w 1876425"/>
                <a:gd name="connsiteY0" fmla="*/ 0 h 2219325"/>
                <a:gd name="connsiteX1" fmla="*/ 1876425 w 1876425"/>
                <a:gd name="connsiteY1" fmla="*/ 0 h 2219325"/>
                <a:gd name="connsiteX2" fmla="*/ 1876425 w 1876425"/>
                <a:gd name="connsiteY2" fmla="*/ 2219325 h 22193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1876425" h="2219325">
                  <a:moveTo>
                    <a:pt x="0" y="0"/>
                  </a:moveTo>
                  <a:lnTo>
                    <a:pt x="1876425" y="0"/>
                  </a:lnTo>
                  <a:lnTo>
                    <a:pt x="1876425" y="2219325"/>
                  </a:lnTo>
                </a:path>
              </a:pathLst>
            </a:custGeom>
            <a:noFill/>
            <a:ln w="12700">
              <a:solidFill>
                <a:schemeClr val="accent5">
                  <a:lumMod val="75000"/>
                </a:schemeClr>
              </a:solidFill>
              <a:tailEnd type="stealth" w="lg" len="lg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06" name="TextBox 605">
              <a:extLst>
                <a:ext uri="{FF2B5EF4-FFF2-40B4-BE49-F238E27FC236}">
                  <a16:creationId xmlns:a16="http://schemas.microsoft.com/office/drawing/2014/main" id="{8756B46D-1F54-4723-97E1-B392A8B97440}"/>
                </a:ext>
              </a:extLst>
            </xdr:cNvPr>
            <xdr:cNvSpPr txBox="1"/>
          </xdr:nvSpPr>
          <xdr:spPr>
            <a:xfrm>
              <a:off x="2714625" y="80171925"/>
              <a:ext cx="590550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No</a:t>
              </a:r>
            </a:p>
          </xdr:txBody>
        </xdr:sp>
        <xdr:grpSp>
          <xdr:nvGrpSpPr>
            <xdr:cNvPr id="607" name="Group 606">
              <a:extLst>
                <a:ext uri="{FF2B5EF4-FFF2-40B4-BE49-F238E27FC236}">
                  <a16:creationId xmlns:a16="http://schemas.microsoft.com/office/drawing/2014/main" id="{B3427A5F-8CB9-402B-BB86-07CB42330AE9}"/>
                </a:ext>
              </a:extLst>
            </xdr:cNvPr>
            <xdr:cNvGrpSpPr/>
          </xdr:nvGrpSpPr>
          <xdr:grpSpPr>
            <a:xfrm>
              <a:off x="3105150" y="81438750"/>
              <a:ext cx="1219200" cy="266700"/>
              <a:chOff x="2457450" y="79267050"/>
              <a:chExt cx="914400" cy="266700"/>
            </a:xfrm>
          </xdr:grpSpPr>
          <xdr:sp macro="" textlink="">
            <xdr:nvSpPr>
              <xdr:cNvPr id="614" name="TextBox 613">
                <a:extLst>
                  <a:ext uri="{FF2B5EF4-FFF2-40B4-BE49-F238E27FC236}">
                    <a16:creationId xmlns:a16="http://schemas.microsoft.com/office/drawing/2014/main" id="{D63201E9-016C-458B-B1C3-5684806DCB91}"/>
                  </a:ext>
                </a:extLst>
              </xdr:cNvPr>
              <xdr:cNvSpPr txBox="1"/>
            </xdr:nvSpPr>
            <xdr:spPr>
              <a:xfrm>
                <a:off x="2745581" y="79267050"/>
                <a:ext cx="5905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No</a:t>
                </a:r>
              </a:p>
            </xdr:txBody>
          </xdr:sp>
          <xdr:cxnSp macro="">
            <xdr:nvCxnSpPr>
              <xdr:cNvPr id="615" name="Straight Connector 614">
                <a:extLst>
                  <a:ext uri="{FF2B5EF4-FFF2-40B4-BE49-F238E27FC236}">
                    <a16:creationId xmlns:a16="http://schemas.microsoft.com/office/drawing/2014/main" id="{37DC093E-5F0E-4608-A772-C2ADFEE723BB}"/>
                  </a:ext>
                </a:extLst>
              </xdr:cNvPr>
              <xdr:cNvCxnSpPr/>
            </xdr:nvCxnSpPr>
            <xdr:spPr>
              <a:xfrm>
                <a:off x="2457450" y="79467075"/>
                <a:ext cx="914400" cy="0"/>
              </a:xfrm>
              <a:prstGeom prst="line">
                <a:avLst/>
              </a:prstGeom>
              <a:ln w="12700">
                <a:tailEnd type="non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08" name="Group 607">
              <a:extLst>
                <a:ext uri="{FF2B5EF4-FFF2-40B4-BE49-F238E27FC236}">
                  <a16:creationId xmlns:a16="http://schemas.microsoft.com/office/drawing/2014/main" id="{9C678884-CC8E-40B8-A346-12924369E61D}"/>
                </a:ext>
              </a:extLst>
            </xdr:cNvPr>
            <xdr:cNvGrpSpPr/>
          </xdr:nvGrpSpPr>
          <xdr:grpSpPr>
            <a:xfrm>
              <a:off x="1209675" y="82600800"/>
              <a:ext cx="1247775" cy="390525"/>
              <a:chOff x="3686175" y="79295625"/>
              <a:chExt cx="1247775" cy="390525"/>
            </a:xfrm>
          </xdr:grpSpPr>
          <xdr:sp macro="" textlink="">
            <xdr:nvSpPr>
              <xdr:cNvPr id="612" name="Rectangle: Rounded Corners 611">
                <a:extLst>
                  <a:ext uri="{FF2B5EF4-FFF2-40B4-BE49-F238E27FC236}">
                    <a16:creationId xmlns:a16="http://schemas.microsoft.com/office/drawing/2014/main" id="{3F42F985-5901-441E-9D4B-D21B16AAED59}"/>
                  </a:ext>
                </a:extLst>
              </xdr:cNvPr>
              <xdr:cNvSpPr/>
            </xdr:nvSpPr>
            <xdr:spPr>
              <a:xfrm>
                <a:off x="3695700" y="79295625"/>
                <a:ext cx="1219200" cy="390525"/>
              </a:xfrm>
              <a:prstGeom prst="round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13" name="TextBox 612">
                <a:extLst>
                  <a:ext uri="{FF2B5EF4-FFF2-40B4-BE49-F238E27FC236}">
                    <a16:creationId xmlns:a16="http://schemas.microsoft.com/office/drawing/2014/main" id="{48DC4EDF-C2B7-4A01-92E9-0022E708511F}"/>
                  </a:ext>
                </a:extLst>
              </xdr:cNvPr>
              <xdr:cNvSpPr txBox="1"/>
            </xdr:nvSpPr>
            <xdr:spPr>
              <a:xfrm>
                <a:off x="3686175" y="79362300"/>
                <a:ext cx="1247775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900" b="1"/>
                  <a:t>Compact</a:t>
                </a:r>
                <a:r>
                  <a:rPr lang="en-US" sz="900" b="1" baseline="0"/>
                  <a:t> section</a:t>
                </a:r>
                <a:endParaRPr lang="en-US" sz="900" b="1"/>
              </a:p>
            </xdr:txBody>
          </xdr:sp>
        </xdr:grpSp>
        <xdr:grpSp>
          <xdr:nvGrpSpPr>
            <xdr:cNvPr id="609" name="Group 608">
              <a:extLst>
                <a:ext uri="{FF2B5EF4-FFF2-40B4-BE49-F238E27FC236}">
                  <a16:creationId xmlns:a16="http://schemas.microsoft.com/office/drawing/2014/main" id="{DD7E86C7-2191-49BA-9621-F37C54125B8E}"/>
                </a:ext>
              </a:extLst>
            </xdr:cNvPr>
            <xdr:cNvGrpSpPr/>
          </xdr:nvGrpSpPr>
          <xdr:grpSpPr>
            <a:xfrm>
              <a:off x="1771650" y="82263571"/>
              <a:ext cx="590550" cy="322032"/>
              <a:chOff x="1781175" y="79739446"/>
              <a:chExt cx="590550" cy="322032"/>
            </a:xfrm>
          </xdr:grpSpPr>
          <xdr:cxnSp macro="">
            <xdr:nvCxnSpPr>
              <xdr:cNvPr id="610" name="Straight Connector 609">
                <a:extLst>
                  <a:ext uri="{FF2B5EF4-FFF2-40B4-BE49-F238E27FC236}">
                    <a16:creationId xmlns:a16="http://schemas.microsoft.com/office/drawing/2014/main" id="{09B13A91-0FA8-42CF-9097-1E58EFFB577E}"/>
                  </a:ext>
                </a:extLst>
              </xdr:cNvPr>
              <xdr:cNvCxnSpPr/>
            </xdr:nvCxnSpPr>
            <xdr:spPr>
              <a:xfrm>
                <a:off x="1809750" y="79739446"/>
                <a:ext cx="0" cy="322032"/>
              </a:xfrm>
              <a:prstGeom prst="line">
                <a:avLst/>
              </a:prstGeom>
              <a:ln w="12700"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11" name="TextBox 610">
                <a:extLst>
                  <a:ext uri="{FF2B5EF4-FFF2-40B4-BE49-F238E27FC236}">
                    <a16:creationId xmlns:a16="http://schemas.microsoft.com/office/drawing/2014/main" id="{081CCE21-6F41-442A-B57F-6051A647B20E}"/>
                  </a:ext>
                </a:extLst>
              </xdr:cNvPr>
              <xdr:cNvSpPr txBox="1"/>
            </xdr:nvSpPr>
            <xdr:spPr>
              <a:xfrm>
                <a:off x="1781175" y="79752825"/>
                <a:ext cx="5905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Yes</a:t>
                </a:r>
              </a:p>
            </xdr:txBody>
          </xdr:sp>
        </xdr:grp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E4876-752D-4D0D-9C42-96824EA1701C}">
  <sheetPr codeName="Sheet1"/>
  <dimension ref="A1:R58"/>
  <sheetViews>
    <sheetView topLeftCell="A22" zoomScaleNormal="100" workbookViewId="0">
      <selection activeCell="A58" sqref="A58"/>
    </sheetView>
  </sheetViews>
  <sheetFormatPr defaultRowHeight="13.5"/>
  <cols>
    <col min="1" max="1" width="6.5546875" style="136" customWidth="1"/>
    <col min="2" max="16" width="6.21875" style="136" customWidth="1"/>
    <col min="17" max="16384" width="8.88671875" style="136"/>
  </cols>
  <sheetData>
    <row r="1" spans="1:18">
      <c r="B1" s="1144" t="s">
        <v>2324</v>
      </c>
    </row>
    <row r="2" spans="1:18">
      <c r="B2" s="1144" t="s">
        <v>2325</v>
      </c>
    </row>
    <row r="3" spans="1:18" ht="14.25" thickBot="1">
      <c r="O3" s="1145" t="s">
        <v>2326</v>
      </c>
    </row>
    <row r="4" spans="1:18" ht="14.25" thickTop="1">
      <c r="B4" s="1146" t="s">
        <v>2327</v>
      </c>
      <c r="C4" s="1856" t="s">
        <v>2328</v>
      </c>
      <c r="D4" s="1856"/>
      <c r="E4" s="1856"/>
      <c r="F4" s="1856"/>
      <c r="G4" s="1147" t="s">
        <v>2329</v>
      </c>
      <c r="H4" s="1147" t="s">
        <v>2330</v>
      </c>
      <c r="I4" s="1147" t="s">
        <v>2331</v>
      </c>
      <c r="J4" s="1857" t="s">
        <v>2332</v>
      </c>
      <c r="K4" s="1858"/>
      <c r="L4" s="1859"/>
      <c r="M4" s="1857" t="s">
        <v>2333</v>
      </c>
      <c r="N4" s="1858"/>
      <c r="O4" s="1859"/>
      <c r="P4" s="1148" t="s">
        <v>2334</v>
      </c>
    </row>
    <row r="5" spans="1:18">
      <c r="B5" s="1149" t="s">
        <v>2335</v>
      </c>
      <c r="C5" s="1849" t="s">
        <v>2336</v>
      </c>
      <c r="D5" s="1849"/>
      <c r="E5" s="1849"/>
      <c r="F5" s="1849"/>
      <c r="G5" s="1150" t="s">
        <v>2337</v>
      </c>
      <c r="H5" s="1150" t="s">
        <v>2338</v>
      </c>
      <c r="I5" s="1150" t="s">
        <v>2339</v>
      </c>
      <c r="J5" s="1850" t="s">
        <v>2340</v>
      </c>
      <c r="K5" s="1851"/>
      <c r="L5" s="1852"/>
      <c r="M5" s="1850" t="s">
        <v>2341</v>
      </c>
      <c r="N5" s="1851"/>
      <c r="O5" s="1852"/>
      <c r="P5" s="1151" t="s">
        <v>2342</v>
      </c>
    </row>
    <row r="6" spans="1:18">
      <c r="B6" s="1149" t="s">
        <v>2343</v>
      </c>
      <c r="C6" s="1849" t="s">
        <v>2344</v>
      </c>
      <c r="D6" s="1849"/>
      <c r="E6" s="1849"/>
      <c r="F6" s="1849"/>
      <c r="G6" s="1150" t="s">
        <v>2345</v>
      </c>
      <c r="H6" s="1150" t="s">
        <v>2346</v>
      </c>
      <c r="I6" s="1150" t="s">
        <v>2347</v>
      </c>
      <c r="J6" s="1850" t="s">
        <v>2348</v>
      </c>
      <c r="K6" s="1851"/>
      <c r="L6" s="1852"/>
      <c r="M6" s="1850" t="s">
        <v>2349</v>
      </c>
      <c r="N6" s="1851"/>
      <c r="O6" s="1852"/>
      <c r="P6" s="1151" t="s">
        <v>2350</v>
      </c>
    </row>
    <row r="7" spans="1:18">
      <c r="B7" s="1149" t="s">
        <v>2351</v>
      </c>
      <c r="C7" s="1849" t="s">
        <v>2352</v>
      </c>
      <c r="D7" s="1849"/>
      <c r="E7" s="1849"/>
      <c r="F7" s="1849"/>
      <c r="G7" s="1150" t="s">
        <v>2353</v>
      </c>
      <c r="H7" s="1150" t="s">
        <v>2354</v>
      </c>
      <c r="I7" s="1150" t="s">
        <v>2350</v>
      </c>
      <c r="J7" s="1850" t="s">
        <v>2355</v>
      </c>
      <c r="K7" s="1851"/>
      <c r="L7" s="1852"/>
      <c r="M7" s="1850" t="s">
        <v>2356</v>
      </c>
      <c r="N7" s="1851"/>
      <c r="O7" s="1852"/>
      <c r="P7" s="1151" t="s">
        <v>2357</v>
      </c>
    </row>
    <row r="8" spans="1:18">
      <c r="B8" s="1149"/>
      <c r="C8" s="1849" t="s">
        <v>2351</v>
      </c>
      <c r="D8" s="1849"/>
      <c r="E8" s="1849"/>
      <c r="F8" s="1849"/>
      <c r="G8" s="1150" t="s">
        <v>2358</v>
      </c>
      <c r="H8" s="1150" t="s">
        <v>2359</v>
      </c>
      <c r="I8" s="1150" t="s">
        <v>2360</v>
      </c>
      <c r="J8" s="1850"/>
      <c r="K8" s="1851"/>
      <c r="L8" s="1852"/>
      <c r="M8" s="1850"/>
      <c r="N8" s="1851"/>
      <c r="O8" s="1852"/>
      <c r="P8" s="1151" t="s">
        <v>2361</v>
      </c>
    </row>
    <row r="9" spans="1:18">
      <c r="B9" s="1149"/>
      <c r="C9" s="1152"/>
      <c r="D9" s="1153"/>
      <c r="E9" s="1153"/>
      <c r="F9" s="1154"/>
      <c r="G9" s="1155"/>
      <c r="H9" s="1155"/>
      <c r="I9" s="1155" t="s">
        <v>2356</v>
      </c>
      <c r="J9" s="1853"/>
      <c r="K9" s="1854"/>
      <c r="L9" s="1855"/>
      <c r="M9" s="1853"/>
      <c r="N9" s="1854"/>
      <c r="O9" s="1855"/>
      <c r="P9" s="1156"/>
    </row>
    <row r="10" spans="1:18">
      <c r="B10" s="1149"/>
      <c r="C10" s="1847" t="s">
        <v>2362</v>
      </c>
      <c r="D10" s="1847" t="s">
        <v>1224</v>
      </c>
      <c r="E10" s="1847" t="s">
        <v>2363</v>
      </c>
      <c r="F10" s="1847" t="s">
        <v>2364</v>
      </c>
      <c r="G10" s="1847" t="s">
        <v>2365</v>
      </c>
      <c r="H10" s="1847" t="s">
        <v>2315</v>
      </c>
      <c r="I10" s="1847" t="s">
        <v>2366</v>
      </c>
      <c r="J10" s="1847" t="s">
        <v>2367</v>
      </c>
      <c r="K10" s="1157" t="s">
        <v>2368</v>
      </c>
      <c r="L10" s="1847" t="s">
        <v>2369</v>
      </c>
      <c r="M10" s="1847" t="s">
        <v>2370</v>
      </c>
      <c r="N10" s="1157" t="s">
        <v>2368</v>
      </c>
      <c r="O10" s="1847" t="s">
        <v>2371</v>
      </c>
      <c r="P10" s="1845" t="s">
        <v>2372</v>
      </c>
    </row>
    <row r="11" spans="1:18">
      <c r="B11" s="1158"/>
      <c r="C11" s="1848"/>
      <c r="D11" s="1848"/>
      <c r="E11" s="1848"/>
      <c r="F11" s="1848"/>
      <c r="G11" s="1848"/>
      <c r="H11" s="1848"/>
      <c r="I11" s="1848"/>
      <c r="J11" s="1848"/>
      <c r="K11" s="1159" t="s">
        <v>2373</v>
      </c>
      <c r="L11" s="1848"/>
      <c r="M11" s="1848"/>
      <c r="N11" s="1159" t="s">
        <v>2374</v>
      </c>
      <c r="O11" s="1848"/>
      <c r="P11" s="1846"/>
    </row>
    <row r="12" spans="1:18">
      <c r="A12" s="136" t="str">
        <f>LEFT(C12,2)&amp;"x"&amp;D12</f>
        <v>25x3</v>
      </c>
      <c r="B12" s="1160" t="s">
        <v>2375</v>
      </c>
      <c r="C12" s="1161" t="s">
        <v>2375</v>
      </c>
      <c r="D12" s="1161">
        <v>3</v>
      </c>
      <c r="E12" s="1161">
        <v>4</v>
      </c>
      <c r="F12" s="1161">
        <v>2</v>
      </c>
      <c r="G12" s="1161">
        <v>1.427</v>
      </c>
      <c r="H12" s="1161">
        <v>1.1200000000000001</v>
      </c>
      <c r="I12" s="1161">
        <v>0.71899999999999997</v>
      </c>
      <c r="J12" s="1161">
        <v>0.79700000000000004</v>
      </c>
      <c r="K12" s="1161">
        <v>1.26</v>
      </c>
      <c r="L12" s="1161">
        <v>0.33200000000000002</v>
      </c>
      <c r="M12" s="1161">
        <v>0.747</v>
      </c>
      <c r="N12" s="1161">
        <v>0.94</v>
      </c>
      <c r="O12" s="1161">
        <v>0.48299999999999998</v>
      </c>
      <c r="P12" s="1162">
        <v>0.44800000000000001</v>
      </c>
      <c r="R12" s="136" t="str">
        <f>"Tuple.Create("""&amp;LEFT(C12,2)&amp;"x"&amp;D12&amp;" """&amp;", " &amp;G12*100&amp;", "&amp;O12*10&amp;"),"</f>
        <v>Tuple.Create("25x3 ", 142.7, 4.83),</v>
      </c>
    </row>
    <row r="13" spans="1:18">
      <c r="A13" s="136" t="str">
        <f t="shared" ref="A13:A37" si="0">LEFT(C13,2)&amp;"x"&amp;D13</f>
        <v>30x3</v>
      </c>
      <c r="B13" s="1160" t="s">
        <v>2376</v>
      </c>
      <c r="C13" s="1161" t="s">
        <v>2376</v>
      </c>
      <c r="D13" s="1161">
        <v>3</v>
      </c>
      <c r="E13" s="1161">
        <v>4</v>
      </c>
      <c r="F13" s="1161">
        <v>2</v>
      </c>
      <c r="G13" s="1161">
        <v>1.7270000000000001</v>
      </c>
      <c r="H13" s="1161">
        <v>1.36</v>
      </c>
      <c r="I13" s="1161">
        <v>0.84399999999999997</v>
      </c>
      <c r="J13" s="1161">
        <v>1.42</v>
      </c>
      <c r="K13" s="1161">
        <v>2.2599999999999998</v>
      </c>
      <c r="L13" s="1161">
        <v>0.59</v>
      </c>
      <c r="M13" s="1161">
        <v>0.90800000000000003</v>
      </c>
      <c r="N13" s="1161">
        <v>1.1399999999999999</v>
      </c>
      <c r="O13" s="1161">
        <v>0.58499999999999996</v>
      </c>
      <c r="P13" s="1162">
        <v>0.66100000000000003</v>
      </c>
      <c r="R13" s="136" t="str">
        <f t="shared" ref="R13:R37" si="1">"Tuple.Create("""&amp;LEFT(C13,2)&amp;"x"&amp;D13&amp;" """&amp;", " &amp;G13*100&amp;", "&amp;O13*10&amp;"),"</f>
        <v>Tuple.Create("30x3 ", 172.7, 5.85),</v>
      </c>
    </row>
    <row r="14" spans="1:18">
      <c r="A14" s="136" t="str">
        <f t="shared" si="0"/>
        <v>40x5</v>
      </c>
      <c r="B14" s="1160" t="s">
        <v>2377</v>
      </c>
      <c r="C14" s="1161" t="s">
        <v>2377</v>
      </c>
      <c r="D14" s="1161">
        <v>5</v>
      </c>
      <c r="E14" s="1161">
        <v>4.5</v>
      </c>
      <c r="F14" s="1161">
        <v>3</v>
      </c>
      <c r="G14" s="1161">
        <v>3.7549999999999999</v>
      </c>
      <c r="H14" s="1161">
        <v>2.95</v>
      </c>
      <c r="I14" s="1161">
        <v>1.17</v>
      </c>
      <c r="J14" s="1161">
        <v>5.42</v>
      </c>
      <c r="K14" s="1161">
        <v>8.59</v>
      </c>
      <c r="L14" s="1161">
        <v>2.25</v>
      </c>
      <c r="M14" s="1161">
        <v>1.2</v>
      </c>
      <c r="N14" s="1161">
        <v>1.51</v>
      </c>
      <c r="O14" s="1161">
        <v>0.77400000000000002</v>
      </c>
      <c r="P14" s="1162">
        <v>1.91</v>
      </c>
      <c r="R14" s="136" t="str">
        <f t="shared" si="1"/>
        <v>Tuple.Create("40x5 ", 375.5, 7.74),</v>
      </c>
    </row>
    <row r="15" spans="1:18">
      <c r="A15" s="136" t="str">
        <f t="shared" si="0"/>
        <v>45x4</v>
      </c>
      <c r="B15" s="1841" t="s">
        <v>2378</v>
      </c>
      <c r="C15" s="1161" t="s">
        <v>2378</v>
      </c>
      <c r="D15" s="1161">
        <v>4</v>
      </c>
      <c r="E15" s="1161">
        <v>6.5</v>
      </c>
      <c r="F15" s="1161">
        <v>3</v>
      </c>
      <c r="G15" s="1161">
        <v>3.492</v>
      </c>
      <c r="H15" s="1161">
        <v>2.74</v>
      </c>
      <c r="I15" s="1161">
        <v>1.24</v>
      </c>
      <c r="J15" s="1161">
        <v>6.5</v>
      </c>
      <c r="K15" s="1161">
        <v>10.3</v>
      </c>
      <c r="L15" s="1161">
        <v>2.69</v>
      </c>
      <c r="M15" s="1161">
        <v>1.36</v>
      </c>
      <c r="N15" s="1161">
        <v>1.72</v>
      </c>
      <c r="O15" s="1161">
        <v>0.88</v>
      </c>
      <c r="P15" s="1162">
        <v>2</v>
      </c>
      <c r="R15" s="136" t="str">
        <f t="shared" si="1"/>
        <v>Tuple.Create("45x4 ", 349.2, 8.8),</v>
      </c>
    </row>
    <row r="16" spans="1:18">
      <c r="A16" s="136" t="str">
        <f t="shared" si="0"/>
        <v>45x5</v>
      </c>
      <c r="B16" s="1843"/>
      <c r="C16" s="1161" t="s">
        <v>2378</v>
      </c>
      <c r="D16" s="1161">
        <v>5</v>
      </c>
      <c r="E16" s="1161">
        <v>6.5</v>
      </c>
      <c r="F16" s="1161">
        <v>3</v>
      </c>
      <c r="G16" s="1161">
        <v>4.3019999999999996</v>
      </c>
      <c r="H16" s="1161">
        <v>3.38</v>
      </c>
      <c r="I16" s="1161">
        <v>1.28</v>
      </c>
      <c r="J16" s="1161">
        <v>7.91</v>
      </c>
      <c r="K16" s="1161">
        <v>12.5</v>
      </c>
      <c r="L16" s="1161">
        <v>3.29</v>
      </c>
      <c r="M16" s="1161">
        <v>1.36</v>
      </c>
      <c r="N16" s="1161">
        <v>1.71</v>
      </c>
      <c r="O16" s="1161">
        <v>0.874</v>
      </c>
      <c r="P16" s="1162">
        <v>2.46</v>
      </c>
      <c r="R16" s="136" t="str">
        <f t="shared" si="1"/>
        <v>Tuple.Create("45x5 ", 430.2, 8.74),</v>
      </c>
    </row>
    <row r="17" spans="1:18">
      <c r="A17" s="136" t="str">
        <f t="shared" si="0"/>
        <v>50x4</v>
      </c>
      <c r="B17" s="1841" t="s">
        <v>2379</v>
      </c>
      <c r="C17" s="1161" t="s">
        <v>2379</v>
      </c>
      <c r="D17" s="1161">
        <v>4</v>
      </c>
      <c r="E17" s="1161">
        <v>6.5</v>
      </c>
      <c r="F17" s="1161">
        <v>3</v>
      </c>
      <c r="G17" s="1161">
        <v>3.8919999999999999</v>
      </c>
      <c r="H17" s="1161">
        <v>3.06</v>
      </c>
      <c r="I17" s="1161">
        <v>1.37</v>
      </c>
      <c r="J17" s="1161">
        <v>9.06</v>
      </c>
      <c r="K17" s="1161">
        <v>14.4</v>
      </c>
      <c r="L17" s="1161">
        <v>3.76</v>
      </c>
      <c r="M17" s="1161">
        <v>1.53</v>
      </c>
      <c r="N17" s="1161">
        <v>1.92</v>
      </c>
      <c r="O17" s="1161">
        <v>0.98299999999999998</v>
      </c>
      <c r="P17" s="1162">
        <v>2.4900000000000002</v>
      </c>
      <c r="R17" s="136" t="str">
        <f t="shared" si="1"/>
        <v>Tuple.Create("50x4 ", 389.2, 9.83),</v>
      </c>
    </row>
    <row r="18" spans="1:18">
      <c r="A18" s="136" t="str">
        <f t="shared" si="0"/>
        <v>50x5</v>
      </c>
      <c r="B18" s="1842"/>
      <c r="C18" s="1161" t="s">
        <v>2379</v>
      </c>
      <c r="D18" s="1161">
        <v>5</v>
      </c>
      <c r="E18" s="1161">
        <v>6.5</v>
      </c>
      <c r="F18" s="1161">
        <v>3</v>
      </c>
      <c r="G18" s="1161">
        <v>4.0819999999999999</v>
      </c>
      <c r="H18" s="1161">
        <v>3.77</v>
      </c>
      <c r="I18" s="1161">
        <v>1.41</v>
      </c>
      <c r="J18" s="1161">
        <v>11.1</v>
      </c>
      <c r="K18" s="1161">
        <v>17.5</v>
      </c>
      <c r="L18" s="1161">
        <v>4.58</v>
      </c>
      <c r="M18" s="1161">
        <v>1.52</v>
      </c>
      <c r="N18" s="1161">
        <v>1.91</v>
      </c>
      <c r="O18" s="1161">
        <v>0.97599999999999998</v>
      </c>
      <c r="P18" s="1162">
        <v>3.08</v>
      </c>
      <c r="R18" s="136" t="str">
        <f t="shared" si="1"/>
        <v>Tuple.Create("50x5 ", 408.2, 9.76),</v>
      </c>
    </row>
    <row r="19" spans="1:18">
      <c r="A19" s="136" t="str">
        <f t="shared" si="0"/>
        <v>50x6</v>
      </c>
      <c r="B19" s="1843"/>
      <c r="C19" s="1161" t="s">
        <v>2379</v>
      </c>
      <c r="D19" s="1161">
        <v>6</v>
      </c>
      <c r="E19" s="1161">
        <v>6.5</v>
      </c>
      <c r="F19" s="1161">
        <v>4.5</v>
      </c>
      <c r="G19" s="1161">
        <v>5.6440000000000001</v>
      </c>
      <c r="H19" s="1161">
        <v>4.43</v>
      </c>
      <c r="I19" s="1161">
        <v>1.44</v>
      </c>
      <c r="J19" s="1161">
        <v>12.6</v>
      </c>
      <c r="K19" s="1161">
        <v>20</v>
      </c>
      <c r="L19" s="1161">
        <v>5.23</v>
      </c>
      <c r="M19" s="1161">
        <v>1.5</v>
      </c>
      <c r="N19" s="1161">
        <v>1.88</v>
      </c>
      <c r="O19" s="1161">
        <v>0.96299999999999997</v>
      </c>
      <c r="P19" s="1162">
        <v>3.55</v>
      </c>
      <c r="R19" s="136" t="str">
        <f t="shared" si="1"/>
        <v>Tuple.Create("50x6 ", 564.4, 9.63),</v>
      </c>
    </row>
    <row r="20" spans="1:18">
      <c r="A20" s="136" t="str">
        <f t="shared" si="0"/>
        <v>60x4</v>
      </c>
      <c r="B20" s="1841" t="s">
        <v>2380</v>
      </c>
      <c r="C20" s="1161" t="s">
        <v>2380</v>
      </c>
      <c r="D20" s="1161">
        <v>4</v>
      </c>
      <c r="E20" s="1161">
        <v>6.5</v>
      </c>
      <c r="F20" s="1161">
        <v>3</v>
      </c>
      <c r="G20" s="1161">
        <v>4.6920000000000002</v>
      </c>
      <c r="H20" s="1161">
        <v>3.68</v>
      </c>
      <c r="I20" s="1161">
        <v>1.61</v>
      </c>
      <c r="J20" s="1161">
        <v>16</v>
      </c>
      <c r="K20" s="1161">
        <v>25.4</v>
      </c>
      <c r="L20" s="1161">
        <v>6.62</v>
      </c>
      <c r="M20" s="1161">
        <v>1.85</v>
      </c>
      <c r="N20" s="1161">
        <v>2.33</v>
      </c>
      <c r="O20" s="1161">
        <v>1.19</v>
      </c>
      <c r="P20" s="1162">
        <v>3.66</v>
      </c>
      <c r="R20" s="136" t="str">
        <f t="shared" si="1"/>
        <v>Tuple.Create("60x4 ", 469.2, 11.9),</v>
      </c>
    </row>
    <row r="21" spans="1:18">
      <c r="A21" s="136" t="str">
        <f t="shared" si="0"/>
        <v>60x5</v>
      </c>
      <c r="B21" s="1842"/>
      <c r="C21" s="1161" t="s">
        <v>2380</v>
      </c>
      <c r="D21" s="1161">
        <v>5</v>
      </c>
      <c r="E21" s="1161">
        <v>6.5</v>
      </c>
      <c r="F21" s="1161">
        <v>3</v>
      </c>
      <c r="G21" s="1161">
        <v>5.8019999999999996</v>
      </c>
      <c r="H21" s="1161">
        <v>4.55</v>
      </c>
      <c r="I21" s="1161">
        <v>1.66</v>
      </c>
      <c r="J21" s="1161">
        <v>19.600000000000001</v>
      </c>
      <c r="K21" s="1161">
        <v>31.2</v>
      </c>
      <c r="L21" s="1161">
        <v>8.09</v>
      </c>
      <c r="M21" s="1161">
        <v>1.84</v>
      </c>
      <c r="N21" s="1161">
        <v>2.3199999999999998</v>
      </c>
      <c r="O21" s="1161">
        <v>1.18</v>
      </c>
      <c r="P21" s="1162">
        <v>4.5199999999999996</v>
      </c>
      <c r="R21" s="136" t="str">
        <f t="shared" si="1"/>
        <v>Tuple.Create("60x5 ", 580.2, 11.8),</v>
      </c>
    </row>
    <row r="22" spans="1:18">
      <c r="A22" s="136" t="str">
        <f t="shared" si="0"/>
        <v>60x6</v>
      </c>
      <c r="B22" s="1843"/>
      <c r="C22" s="1161" t="s">
        <v>2380</v>
      </c>
      <c r="D22" s="1161">
        <v>6</v>
      </c>
      <c r="E22" s="1161">
        <v>6.5</v>
      </c>
      <c r="F22" s="1161">
        <v>4.5</v>
      </c>
      <c r="G22" s="1161">
        <v>6.8440000000000003</v>
      </c>
      <c r="H22" s="1161">
        <v>5.37</v>
      </c>
      <c r="I22" s="1161">
        <v>1.69</v>
      </c>
      <c r="J22" s="1161">
        <v>22.6</v>
      </c>
      <c r="K22" s="1161">
        <v>35.9</v>
      </c>
      <c r="L22" s="1161">
        <v>9.3000000000000007</v>
      </c>
      <c r="M22" s="1161">
        <v>1.82</v>
      </c>
      <c r="N22" s="1161">
        <v>2.29</v>
      </c>
      <c r="O22" s="1161">
        <v>1.17</v>
      </c>
      <c r="P22" s="1162">
        <v>5.24</v>
      </c>
      <c r="R22" s="136" t="str">
        <f t="shared" si="1"/>
        <v>Tuple.Create("60x6 ", 684.4, 11.7),</v>
      </c>
    </row>
    <row r="23" spans="1:18">
      <c r="A23" s="136" t="str">
        <f t="shared" si="0"/>
        <v>65x5</v>
      </c>
      <c r="B23" s="1841" t="s">
        <v>2381</v>
      </c>
      <c r="C23" s="1161" t="s">
        <v>2381</v>
      </c>
      <c r="D23" s="1161">
        <v>5</v>
      </c>
      <c r="E23" s="1161">
        <v>8.5</v>
      </c>
      <c r="F23" s="1161">
        <v>3</v>
      </c>
      <c r="G23" s="1161">
        <v>6.367</v>
      </c>
      <c r="H23" s="1161">
        <v>5</v>
      </c>
      <c r="I23" s="1161">
        <v>1.77</v>
      </c>
      <c r="J23" s="1161">
        <v>25.3</v>
      </c>
      <c r="K23" s="1161">
        <v>40.1</v>
      </c>
      <c r="L23" s="1161">
        <v>10.5</v>
      </c>
      <c r="M23" s="1161">
        <v>1.99</v>
      </c>
      <c r="N23" s="1161">
        <v>2.5099999999999998</v>
      </c>
      <c r="O23" s="1161">
        <v>1.28</v>
      </c>
      <c r="P23" s="1162">
        <v>5.36</v>
      </c>
      <c r="R23" s="136" t="str">
        <f t="shared" si="1"/>
        <v>Tuple.Create("65x5 ", 636.7, 12.8),</v>
      </c>
    </row>
    <row r="24" spans="1:18">
      <c r="A24" s="136" t="str">
        <f t="shared" si="0"/>
        <v>65x6</v>
      </c>
      <c r="B24" s="1843"/>
      <c r="C24" s="1161" t="s">
        <v>2381</v>
      </c>
      <c r="D24" s="1161">
        <v>6</v>
      </c>
      <c r="E24" s="1161">
        <v>8.5</v>
      </c>
      <c r="F24" s="1161">
        <v>4</v>
      </c>
      <c r="G24" s="1161">
        <v>7.5270000000000001</v>
      </c>
      <c r="H24" s="1161">
        <v>5.91</v>
      </c>
      <c r="I24" s="1161">
        <v>1.81</v>
      </c>
      <c r="J24" s="1161">
        <v>29.4</v>
      </c>
      <c r="K24" s="1161">
        <v>46.6</v>
      </c>
      <c r="L24" s="1161">
        <v>12.2</v>
      </c>
      <c r="M24" s="1161">
        <v>1.98</v>
      </c>
      <c r="N24" s="1161">
        <v>2.4900000000000002</v>
      </c>
      <c r="O24" s="1161">
        <v>1.27</v>
      </c>
      <c r="P24" s="1162">
        <v>6.26</v>
      </c>
      <c r="R24" s="136" t="str">
        <f t="shared" si="1"/>
        <v>Tuple.Create("65x6 ", 752.7, 12.7),</v>
      </c>
    </row>
    <row r="25" spans="1:18">
      <c r="A25" s="136" t="str">
        <f t="shared" si="0"/>
        <v>65x8</v>
      </c>
      <c r="B25" s="1160"/>
      <c r="C25" s="1161" t="s">
        <v>2381</v>
      </c>
      <c r="D25" s="1161">
        <v>8</v>
      </c>
      <c r="E25" s="1161">
        <v>8.5</v>
      </c>
      <c r="F25" s="1161">
        <v>6</v>
      </c>
      <c r="G25" s="1161">
        <v>9.7609999999999992</v>
      </c>
      <c r="H25" s="1161">
        <v>7.66</v>
      </c>
      <c r="I25" s="1161">
        <v>1.88</v>
      </c>
      <c r="J25" s="1161">
        <v>36.799999999999997</v>
      </c>
      <c r="K25" s="1161">
        <v>58.3</v>
      </c>
      <c r="L25" s="1161">
        <v>15.3</v>
      </c>
      <c r="M25" s="1161">
        <v>1.94</v>
      </c>
      <c r="N25" s="1161">
        <v>2.44</v>
      </c>
      <c r="O25" s="1161">
        <v>1.25</v>
      </c>
      <c r="P25" s="1162">
        <v>7.96</v>
      </c>
      <c r="R25" s="136" t="str">
        <f t="shared" si="1"/>
        <v>Tuple.Create("65x8 ", 976.1, 12.5),</v>
      </c>
    </row>
    <row r="26" spans="1:18">
      <c r="A26" s="136" t="str">
        <f t="shared" si="0"/>
        <v>70x6</v>
      </c>
      <c r="B26" s="1160" t="s">
        <v>2382</v>
      </c>
      <c r="C26" s="1161" t="s">
        <v>2382</v>
      </c>
      <c r="D26" s="1161">
        <v>6</v>
      </c>
      <c r="E26" s="1161">
        <v>8.5</v>
      </c>
      <c r="F26" s="1161">
        <v>4</v>
      </c>
      <c r="G26" s="1161">
        <v>8.1270000000000007</v>
      </c>
      <c r="H26" s="1161">
        <v>6.38</v>
      </c>
      <c r="I26" s="1161">
        <v>1.93</v>
      </c>
      <c r="J26" s="1161">
        <v>37.1</v>
      </c>
      <c r="K26" s="1161">
        <v>58.9</v>
      </c>
      <c r="L26" s="1161">
        <v>15.3</v>
      </c>
      <c r="M26" s="1161">
        <v>2.14</v>
      </c>
      <c r="N26" s="1161">
        <v>2.69</v>
      </c>
      <c r="O26" s="1161">
        <v>1.37</v>
      </c>
      <c r="P26" s="1162">
        <v>7.33</v>
      </c>
      <c r="R26" s="136" t="str">
        <f t="shared" si="1"/>
        <v>Tuple.Create("70x6 ", 812.7, 13.7),</v>
      </c>
    </row>
    <row r="27" spans="1:18">
      <c r="A27" s="136" t="str">
        <f t="shared" si="0"/>
        <v>75x6</v>
      </c>
      <c r="B27" s="1841" t="s">
        <v>2383</v>
      </c>
      <c r="C27" s="1161" t="s">
        <v>2383</v>
      </c>
      <c r="D27" s="1161">
        <v>6</v>
      </c>
      <c r="E27" s="1161">
        <v>8.5</v>
      </c>
      <c r="F27" s="1161">
        <v>4</v>
      </c>
      <c r="G27" s="1161">
        <v>8.7270000000000003</v>
      </c>
      <c r="H27" s="1161">
        <v>6.85</v>
      </c>
      <c r="I27" s="1161">
        <v>2.06</v>
      </c>
      <c r="J27" s="1161">
        <v>46.1</v>
      </c>
      <c r="K27" s="1161">
        <v>73.2</v>
      </c>
      <c r="L27" s="1161">
        <v>19</v>
      </c>
      <c r="M27" s="1161">
        <v>2.2999999999999998</v>
      </c>
      <c r="N27" s="1161">
        <v>2.9</v>
      </c>
      <c r="O27" s="1161">
        <v>1.48</v>
      </c>
      <c r="P27" s="1162">
        <v>8.4700000000000006</v>
      </c>
      <c r="R27" s="136" t="str">
        <f t="shared" si="1"/>
        <v>Tuple.Create("75x6 ", 872.7, 14.8),</v>
      </c>
    </row>
    <row r="28" spans="1:18">
      <c r="A28" s="136" t="str">
        <f t="shared" si="0"/>
        <v>75x9</v>
      </c>
      <c r="B28" s="1842"/>
      <c r="C28" s="1161" t="s">
        <v>2383</v>
      </c>
      <c r="D28" s="1161">
        <v>9</v>
      </c>
      <c r="E28" s="1161">
        <v>8.5</v>
      </c>
      <c r="F28" s="1161">
        <v>6</v>
      </c>
      <c r="G28" s="1161">
        <v>12.69</v>
      </c>
      <c r="H28" s="1161">
        <v>9.9600000000000009</v>
      </c>
      <c r="I28" s="1161">
        <v>2.17</v>
      </c>
      <c r="J28" s="1161">
        <v>64.400000000000006</v>
      </c>
      <c r="K28" s="1161">
        <v>102</v>
      </c>
      <c r="L28" s="1161">
        <v>26.7</v>
      </c>
      <c r="M28" s="1161">
        <v>2.25</v>
      </c>
      <c r="N28" s="1161">
        <v>2.84</v>
      </c>
      <c r="O28" s="1161">
        <v>1.45</v>
      </c>
      <c r="P28" s="1162">
        <v>12.1</v>
      </c>
      <c r="R28" s="136" t="str">
        <f t="shared" si="1"/>
        <v>Tuple.Create("75x9 ", 1269, 14.5),</v>
      </c>
    </row>
    <row r="29" spans="1:18">
      <c r="A29" s="136" t="str">
        <f t="shared" si="0"/>
        <v>75x12</v>
      </c>
      <c r="B29" s="1843"/>
      <c r="C29" s="1161" t="s">
        <v>2383</v>
      </c>
      <c r="D29" s="1161">
        <v>12</v>
      </c>
      <c r="E29" s="1161">
        <v>8.5</v>
      </c>
      <c r="F29" s="1161">
        <v>6</v>
      </c>
      <c r="G29" s="1161">
        <v>16.559999999999999</v>
      </c>
      <c r="H29" s="1161">
        <v>13</v>
      </c>
      <c r="I29" s="1161">
        <v>2.29</v>
      </c>
      <c r="J29" s="1161">
        <v>81.900000000000006</v>
      </c>
      <c r="K29" s="1161">
        <v>129</v>
      </c>
      <c r="L29" s="1161">
        <v>34.5</v>
      </c>
      <c r="M29" s="1161">
        <v>2.2200000000000002</v>
      </c>
      <c r="N29" s="1161">
        <v>2.79</v>
      </c>
      <c r="O29" s="1161">
        <v>1.44</v>
      </c>
      <c r="P29" s="1162">
        <v>15.7</v>
      </c>
      <c r="R29" s="136" t="str">
        <f t="shared" si="1"/>
        <v>Tuple.Create("75x12 ", 1656, 14.4),</v>
      </c>
    </row>
    <row r="30" spans="1:18">
      <c r="A30" s="136" t="str">
        <f t="shared" si="0"/>
        <v>80x6</v>
      </c>
      <c r="B30" s="1841" t="s">
        <v>2384</v>
      </c>
      <c r="C30" s="1161" t="s">
        <v>2384</v>
      </c>
      <c r="D30" s="1161">
        <v>6</v>
      </c>
      <c r="E30" s="1161">
        <v>8.5</v>
      </c>
      <c r="F30" s="1161">
        <v>4</v>
      </c>
      <c r="G30" s="1161">
        <v>9.327</v>
      </c>
      <c r="H30" s="1161">
        <v>7.32</v>
      </c>
      <c r="I30" s="1161">
        <v>2.1800000000000002</v>
      </c>
      <c r="J30" s="1161">
        <v>56.4</v>
      </c>
      <c r="K30" s="1161">
        <v>89.6</v>
      </c>
      <c r="L30" s="1161">
        <v>23.2</v>
      </c>
      <c r="M30" s="1161">
        <v>2.46</v>
      </c>
      <c r="N30" s="1161">
        <v>3.1</v>
      </c>
      <c r="O30" s="1161">
        <v>1.58</v>
      </c>
      <c r="P30" s="1162">
        <v>9.6999999999999993</v>
      </c>
      <c r="R30" s="136" t="str">
        <f t="shared" si="1"/>
        <v>Tuple.Create("80x6 ", 932.7, 15.8),</v>
      </c>
    </row>
    <row r="31" spans="1:18">
      <c r="A31" s="136" t="str">
        <f t="shared" si="0"/>
        <v>80x7</v>
      </c>
      <c r="B31" s="1843"/>
      <c r="C31" s="1161" t="s">
        <v>2384</v>
      </c>
      <c r="D31" s="1161">
        <v>7</v>
      </c>
      <c r="E31" s="1161">
        <v>8.5</v>
      </c>
      <c r="F31" s="1161">
        <v>4</v>
      </c>
      <c r="G31" s="1161">
        <v>10.797000000000001</v>
      </c>
      <c r="H31" s="1161">
        <v>8.48</v>
      </c>
      <c r="I31" s="1161">
        <v>2.23</v>
      </c>
      <c r="J31" s="1161">
        <v>64.2</v>
      </c>
      <c r="K31" s="1161">
        <v>102.4</v>
      </c>
      <c r="L31" s="1161">
        <v>26.8</v>
      </c>
      <c r="M31" s="1161">
        <v>2.44</v>
      </c>
      <c r="N31" s="1161">
        <v>3.08</v>
      </c>
      <c r="O31" s="1161">
        <v>1.58</v>
      </c>
      <c r="P31" s="1162">
        <v>11.12</v>
      </c>
      <c r="R31" s="136" t="str">
        <f t="shared" si="1"/>
        <v>Tuple.Create("80x7 ", 1079.7, 15.8),</v>
      </c>
    </row>
    <row r="32" spans="1:18">
      <c r="A32" s="136" t="str">
        <f t="shared" si="0"/>
        <v>90x6</v>
      </c>
      <c r="B32" s="1841" t="s">
        <v>2385</v>
      </c>
      <c r="C32" s="1161" t="s">
        <v>2385</v>
      </c>
      <c r="D32" s="1161">
        <v>6</v>
      </c>
      <c r="E32" s="1161">
        <v>10</v>
      </c>
      <c r="F32" s="1161">
        <v>5</v>
      </c>
      <c r="G32" s="1161">
        <v>10.55</v>
      </c>
      <c r="H32" s="1161">
        <v>8.2799999999999994</v>
      </c>
      <c r="I32" s="1161">
        <v>2.42</v>
      </c>
      <c r="J32" s="1161">
        <v>80.7</v>
      </c>
      <c r="K32" s="1161">
        <v>128</v>
      </c>
      <c r="L32" s="1161">
        <v>33.4</v>
      </c>
      <c r="M32" s="1161">
        <v>2.77</v>
      </c>
      <c r="N32" s="1161">
        <v>3.48</v>
      </c>
      <c r="O32" s="1161">
        <v>1.78</v>
      </c>
      <c r="P32" s="1162">
        <v>12.3</v>
      </c>
      <c r="R32" s="136" t="str">
        <f t="shared" si="1"/>
        <v>Tuple.Create("90x6 ", 1055, 17.8),</v>
      </c>
    </row>
    <row r="33" spans="1:18">
      <c r="A33" s="136" t="str">
        <f t="shared" si="0"/>
        <v>90x7</v>
      </c>
      <c r="B33" s="1842"/>
      <c r="C33" s="1161" t="s">
        <v>2385</v>
      </c>
      <c r="D33" s="1161">
        <v>7</v>
      </c>
      <c r="E33" s="1161">
        <v>10</v>
      </c>
      <c r="F33" s="1161">
        <v>5</v>
      </c>
      <c r="G33" s="1161">
        <v>12.22</v>
      </c>
      <c r="H33" s="1161">
        <v>9.59</v>
      </c>
      <c r="I33" s="1161">
        <v>2.46</v>
      </c>
      <c r="J33" s="1161">
        <v>93</v>
      </c>
      <c r="K33" s="1161">
        <v>148</v>
      </c>
      <c r="L33" s="1161">
        <v>38.299999999999997</v>
      </c>
      <c r="M33" s="1161">
        <v>2.76</v>
      </c>
      <c r="N33" s="1161">
        <v>3.48</v>
      </c>
      <c r="O33" s="1161">
        <v>1.77</v>
      </c>
      <c r="P33" s="1162">
        <v>14.2</v>
      </c>
      <c r="R33" s="136" t="str">
        <f t="shared" si="1"/>
        <v>Tuple.Create("90x7 ", 1222, 17.7),</v>
      </c>
    </row>
    <row r="34" spans="1:18">
      <c r="A34" s="136" t="str">
        <f t="shared" si="0"/>
        <v>90x8</v>
      </c>
      <c r="B34" s="1842"/>
      <c r="C34" s="1161" t="s">
        <v>2385</v>
      </c>
      <c r="D34" s="1161">
        <v>8</v>
      </c>
      <c r="E34" s="1161">
        <v>10</v>
      </c>
      <c r="F34" s="1161">
        <v>7</v>
      </c>
      <c r="G34" s="1161">
        <v>13.763999999999999</v>
      </c>
      <c r="H34" s="1161">
        <v>10.8</v>
      </c>
      <c r="I34" s="1161">
        <v>2.5</v>
      </c>
      <c r="J34" s="1161">
        <v>104</v>
      </c>
      <c r="K34" s="1161">
        <v>165</v>
      </c>
      <c r="L34" s="1161">
        <v>42.8</v>
      </c>
      <c r="M34" s="1161">
        <v>2.74</v>
      </c>
      <c r="N34" s="1161">
        <v>3.46</v>
      </c>
      <c r="O34" s="1161">
        <v>1.76</v>
      </c>
      <c r="P34" s="1162">
        <v>16</v>
      </c>
      <c r="R34" s="136" t="str">
        <f t="shared" si="1"/>
        <v>Tuple.Create("90x8 ", 1376.4, 17.6),</v>
      </c>
    </row>
    <row r="35" spans="1:18">
      <c r="A35" s="136" t="str">
        <f t="shared" si="0"/>
        <v>90x9</v>
      </c>
      <c r="B35" s="1842"/>
      <c r="C35" s="1161" t="s">
        <v>2385</v>
      </c>
      <c r="D35" s="1161">
        <v>9</v>
      </c>
      <c r="E35" s="1161">
        <v>10</v>
      </c>
      <c r="F35" s="1161">
        <v>7</v>
      </c>
      <c r="G35" s="1161">
        <v>15.394</v>
      </c>
      <c r="H35" s="1161">
        <v>12.08</v>
      </c>
      <c r="I35" s="1161">
        <v>2.54</v>
      </c>
      <c r="J35" s="1161">
        <v>114</v>
      </c>
      <c r="K35" s="1161">
        <v>182</v>
      </c>
      <c r="L35" s="1161">
        <v>47.3</v>
      </c>
      <c r="M35" s="1161">
        <v>2.72</v>
      </c>
      <c r="N35" s="1161">
        <v>3.44</v>
      </c>
      <c r="O35" s="1161">
        <v>1.75</v>
      </c>
      <c r="P35" s="1162">
        <v>17.649999999999999</v>
      </c>
      <c r="R35" s="136" t="str">
        <f t="shared" si="1"/>
        <v>Tuple.Create("90x9 ", 1539.4, 17.5),</v>
      </c>
    </row>
    <row r="36" spans="1:18">
      <c r="A36" s="136" t="str">
        <f t="shared" si="0"/>
        <v>90x10</v>
      </c>
      <c r="B36" s="1842"/>
      <c r="C36" s="1161" t="s">
        <v>2385</v>
      </c>
      <c r="D36" s="1161">
        <v>10</v>
      </c>
      <c r="E36" s="1161">
        <v>10</v>
      </c>
      <c r="F36" s="1161">
        <v>7</v>
      </c>
      <c r="G36" s="1161">
        <v>17</v>
      </c>
      <c r="H36" s="1161">
        <v>13.3</v>
      </c>
      <c r="I36" s="1161">
        <v>2.57</v>
      </c>
      <c r="J36" s="1161">
        <v>125</v>
      </c>
      <c r="K36" s="1161">
        <v>199</v>
      </c>
      <c r="L36" s="1161">
        <v>51.7</v>
      </c>
      <c r="M36" s="1161">
        <v>2.71</v>
      </c>
      <c r="N36" s="1161">
        <v>3.42</v>
      </c>
      <c r="O36" s="1161">
        <v>1.74</v>
      </c>
      <c r="P36" s="1162">
        <v>19.5</v>
      </c>
      <c r="R36" s="136" t="str">
        <f t="shared" si="1"/>
        <v>Tuple.Create("90x10 ", 1700, 17.4),</v>
      </c>
    </row>
    <row r="37" spans="1:18">
      <c r="A37" s="136" t="str">
        <f t="shared" si="0"/>
        <v>90x13</v>
      </c>
      <c r="B37" s="1843"/>
      <c r="C37" s="1161" t="s">
        <v>2385</v>
      </c>
      <c r="D37" s="1161">
        <v>13</v>
      </c>
      <c r="E37" s="1161">
        <v>10</v>
      </c>
      <c r="F37" s="1161">
        <v>7</v>
      </c>
      <c r="G37" s="1161">
        <v>21.71</v>
      </c>
      <c r="H37" s="1161">
        <v>17</v>
      </c>
      <c r="I37" s="1161">
        <v>2.69</v>
      </c>
      <c r="J37" s="1161">
        <v>156</v>
      </c>
      <c r="K37" s="1161">
        <v>248</v>
      </c>
      <c r="L37" s="1161">
        <v>65.3</v>
      </c>
      <c r="M37" s="1161">
        <v>2.68</v>
      </c>
      <c r="N37" s="1161">
        <v>3.38</v>
      </c>
      <c r="O37" s="1161">
        <v>1.73</v>
      </c>
      <c r="P37" s="1162">
        <v>24.8</v>
      </c>
      <c r="R37" s="136" t="str">
        <f t="shared" si="1"/>
        <v>Tuple.Create("90x13 ", 2171, 17.3),</v>
      </c>
    </row>
    <row r="38" spans="1:18">
      <c r="A38" s="136" t="str">
        <f>LEFT(C38,3)&amp;"x"&amp;D38</f>
        <v>100x7</v>
      </c>
      <c r="B38" s="1841" t="s">
        <v>2386</v>
      </c>
      <c r="C38" s="1161" t="s">
        <v>2386</v>
      </c>
      <c r="D38" s="1161">
        <v>7</v>
      </c>
      <c r="E38" s="1161">
        <v>10</v>
      </c>
      <c r="F38" s="1161">
        <v>5</v>
      </c>
      <c r="G38" s="1161">
        <v>13.62</v>
      </c>
      <c r="H38" s="1161">
        <v>10.7</v>
      </c>
      <c r="I38" s="1161">
        <v>2.71</v>
      </c>
      <c r="J38" s="1161">
        <v>129</v>
      </c>
      <c r="K38" s="1161">
        <v>205</v>
      </c>
      <c r="L38" s="1161">
        <v>53.2</v>
      </c>
      <c r="M38" s="1161">
        <v>3.08</v>
      </c>
      <c r="N38" s="1161">
        <v>3.88</v>
      </c>
      <c r="O38" s="1161">
        <v>1.98</v>
      </c>
      <c r="P38" s="1162">
        <v>17.7</v>
      </c>
      <c r="R38" s="136" t="str">
        <f>"Tuple.Create("""&amp;LEFT(C38,3)&amp;"x"&amp;D38&amp;" """&amp;", " &amp;G38*100&amp;", "&amp;O38*10&amp;"),"</f>
        <v>Tuple.Create("100x7 ", 1362, 19.8),</v>
      </c>
    </row>
    <row r="39" spans="1:18">
      <c r="A39" s="136" t="str">
        <f t="shared" ref="A39:A57" si="2">LEFT(C39,3)&amp;"x"&amp;D39</f>
        <v>100x8</v>
      </c>
      <c r="B39" s="1842"/>
      <c r="C39" s="1161" t="s">
        <v>2386</v>
      </c>
      <c r="D39" s="1161">
        <v>8</v>
      </c>
      <c r="E39" s="1161">
        <v>10</v>
      </c>
      <c r="F39" s="1161">
        <v>8</v>
      </c>
      <c r="G39" s="1161">
        <v>15.36</v>
      </c>
      <c r="H39" s="1161">
        <v>12.06</v>
      </c>
      <c r="I39" s="1161">
        <v>2.75</v>
      </c>
      <c r="J39" s="1161">
        <v>144</v>
      </c>
      <c r="K39" s="1161">
        <v>229</v>
      </c>
      <c r="L39" s="1161">
        <v>59.4</v>
      </c>
      <c r="M39" s="1161">
        <v>3.06</v>
      </c>
      <c r="N39" s="1161">
        <v>3.86</v>
      </c>
      <c r="O39" s="1161">
        <v>1.97</v>
      </c>
      <c r="P39" s="1162">
        <v>19.86</v>
      </c>
      <c r="R39" s="136" t="str">
        <f t="shared" ref="R39:R57" si="3">"Tuple.Create("""&amp;LEFT(C39,3)&amp;"x"&amp;D39&amp;" """&amp;", " &amp;G39*100&amp;", "&amp;O39*10&amp;"),"</f>
        <v>Tuple.Create("100x8 ", 1536, 19.7),</v>
      </c>
    </row>
    <row r="40" spans="1:18">
      <c r="A40" s="136" t="str">
        <f t="shared" si="2"/>
        <v>100x10</v>
      </c>
      <c r="B40" s="1842"/>
      <c r="C40" s="1161" t="s">
        <v>2386</v>
      </c>
      <c r="D40" s="1161">
        <v>10</v>
      </c>
      <c r="E40" s="1161">
        <v>10</v>
      </c>
      <c r="F40" s="1161">
        <v>7</v>
      </c>
      <c r="G40" s="1161">
        <v>19</v>
      </c>
      <c r="H40" s="1161">
        <v>14.9</v>
      </c>
      <c r="I40" s="1161">
        <v>2.82</v>
      </c>
      <c r="J40" s="1161">
        <v>175</v>
      </c>
      <c r="K40" s="1161">
        <v>278</v>
      </c>
      <c r="L40" s="1161">
        <v>72</v>
      </c>
      <c r="M40" s="1161">
        <v>3.04</v>
      </c>
      <c r="N40" s="1161">
        <v>3.83</v>
      </c>
      <c r="O40" s="1161">
        <v>1.95</v>
      </c>
      <c r="P40" s="1162">
        <v>24.4</v>
      </c>
      <c r="R40" s="136" t="str">
        <f t="shared" si="3"/>
        <v>Tuple.Create("100x10 ", 1900, 19.5),</v>
      </c>
    </row>
    <row r="41" spans="1:18">
      <c r="A41" s="136" t="str">
        <f t="shared" si="2"/>
        <v>100x13</v>
      </c>
      <c r="B41" s="1843"/>
      <c r="C41" s="1161" t="s">
        <v>2386</v>
      </c>
      <c r="D41" s="1161">
        <v>13</v>
      </c>
      <c r="E41" s="1161">
        <v>10</v>
      </c>
      <c r="F41" s="1161">
        <v>7</v>
      </c>
      <c r="G41" s="1161">
        <v>24.31</v>
      </c>
      <c r="H41" s="1161">
        <v>19.100000000000001</v>
      </c>
      <c r="I41" s="1161">
        <v>2.94</v>
      </c>
      <c r="J41" s="1161">
        <v>220</v>
      </c>
      <c r="K41" s="1161">
        <v>348</v>
      </c>
      <c r="L41" s="1161">
        <v>91.1</v>
      </c>
      <c r="M41" s="1161">
        <v>3</v>
      </c>
      <c r="N41" s="1161">
        <v>3.78</v>
      </c>
      <c r="O41" s="1161">
        <v>1.94</v>
      </c>
      <c r="P41" s="1162">
        <v>31.1</v>
      </c>
      <c r="R41" s="136" t="str">
        <f t="shared" si="3"/>
        <v>Tuple.Create("100x13 ", 2431, 19.4),</v>
      </c>
    </row>
    <row r="42" spans="1:18">
      <c r="A42" s="136" t="str">
        <f t="shared" si="2"/>
        <v>120x8</v>
      </c>
      <c r="B42" s="1160" t="s">
        <v>2387</v>
      </c>
      <c r="C42" s="1161" t="s">
        <v>2387</v>
      </c>
      <c r="D42" s="1161">
        <v>8</v>
      </c>
      <c r="E42" s="1161">
        <v>12</v>
      </c>
      <c r="F42" s="1161">
        <v>5</v>
      </c>
      <c r="G42" s="1161">
        <v>18.760000000000002</v>
      </c>
      <c r="H42" s="1161">
        <v>14.7</v>
      </c>
      <c r="I42" s="1161">
        <v>3.24</v>
      </c>
      <c r="J42" s="1161">
        <v>258</v>
      </c>
      <c r="K42" s="1161">
        <v>410</v>
      </c>
      <c r="L42" s="1161">
        <v>106</v>
      </c>
      <c r="M42" s="1161">
        <v>3.71</v>
      </c>
      <c r="N42" s="1161">
        <v>4.67</v>
      </c>
      <c r="O42" s="1161">
        <v>2.38</v>
      </c>
      <c r="P42" s="1162">
        <v>29.5</v>
      </c>
      <c r="R42" s="136" t="str">
        <f t="shared" si="3"/>
        <v>Tuple.Create("120x8 ", 1876, 23.8),</v>
      </c>
    </row>
    <row r="43" spans="1:18">
      <c r="A43" s="136" t="str">
        <f t="shared" si="2"/>
        <v>130x9</v>
      </c>
      <c r="B43" s="1841" t="s">
        <v>2388</v>
      </c>
      <c r="C43" s="1161" t="s">
        <v>2388</v>
      </c>
      <c r="D43" s="1161">
        <v>9</v>
      </c>
      <c r="E43" s="1161">
        <v>12</v>
      </c>
      <c r="F43" s="1161">
        <v>6</v>
      </c>
      <c r="G43" s="1161">
        <v>22.74</v>
      </c>
      <c r="H43" s="1161">
        <v>17.899999999999999</v>
      </c>
      <c r="I43" s="1161">
        <v>3.53</v>
      </c>
      <c r="J43" s="1161">
        <v>366</v>
      </c>
      <c r="K43" s="1161">
        <v>583</v>
      </c>
      <c r="L43" s="1161">
        <v>150</v>
      </c>
      <c r="M43" s="1161">
        <v>4.01</v>
      </c>
      <c r="N43" s="1161">
        <v>5.0599999999999996</v>
      </c>
      <c r="O43" s="1161">
        <v>2.57</v>
      </c>
      <c r="P43" s="1162">
        <v>38.700000000000003</v>
      </c>
      <c r="R43" s="136" t="str">
        <f t="shared" si="3"/>
        <v>Tuple.Create("130x9 ", 2274, 25.7),</v>
      </c>
    </row>
    <row r="44" spans="1:18">
      <c r="A44" s="136" t="str">
        <f t="shared" si="2"/>
        <v>130x10</v>
      </c>
      <c r="B44" s="1842"/>
      <c r="C44" s="1161" t="s">
        <v>2388</v>
      </c>
      <c r="D44" s="1161">
        <v>10</v>
      </c>
      <c r="E44" s="1161">
        <v>12</v>
      </c>
      <c r="F44" s="1161">
        <v>6</v>
      </c>
      <c r="G44" s="1161">
        <v>25.16</v>
      </c>
      <c r="H44" s="1161">
        <v>19.75</v>
      </c>
      <c r="I44" s="1161">
        <v>3.57</v>
      </c>
      <c r="J44" s="1161">
        <v>403</v>
      </c>
      <c r="K44" s="1161">
        <v>641</v>
      </c>
      <c r="L44" s="1161">
        <v>165</v>
      </c>
      <c r="M44" s="1161">
        <v>4</v>
      </c>
      <c r="N44" s="1161">
        <v>5.05</v>
      </c>
      <c r="O44" s="1161">
        <v>2.56</v>
      </c>
      <c r="P44" s="1162">
        <v>42.8</v>
      </c>
      <c r="R44" s="136" t="str">
        <f t="shared" si="3"/>
        <v>Tuple.Create("130x10 ", 2516, 25.6),</v>
      </c>
    </row>
    <row r="45" spans="1:18">
      <c r="A45" s="136" t="str">
        <f t="shared" si="2"/>
        <v>130x12</v>
      </c>
      <c r="B45" s="1842"/>
      <c r="C45" s="1161" t="s">
        <v>2388</v>
      </c>
      <c r="D45" s="1161">
        <v>12</v>
      </c>
      <c r="E45" s="1161">
        <v>12</v>
      </c>
      <c r="F45" s="1161">
        <v>8.5</v>
      </c>
      <c r="G45" s="1161">
        <v>29.76</v>
      </c>
      <c r="H45" s="1161">
        <v>23.4</v>
      </c>
      <c r="I45" s="1161">
        <v>3.64</v>
      </c>
      <c r="J45" s="1161">
        <v>467</v>
      </c>
      <c r="K45" s="1161">
        <v>743</v>
      </c>
      <c r="L45" s="1161">
        <v>192</v>
      </c>
      <c r="M45" s="1161">
        <v>3.96</v>
      </c>
      <c r="N45" s="1161">
        <v>5</v>
      </c>
      <c r="O45" s="1161">
        <v>2.54</v>
      </c>
      <c r="P45" s="1162">
        <v>49.9</v>
      </c>
      <c r="R45" s="136" t="str">
        <f t="shared" si="3"/>
        <v>Tuple.Create("130x12 ", 2976, 25.4),</v>
      </c>
    </row>
    <row r="46" spans="1:18">
      <c r="A46" s="136" t="str">
        <f t="shared" si="2"/>
        <v>130x15</v>
      </c>
      <c r="B46" s="1843"/>
      <c r="C46" s="1161" t="s">
        <v>2388</v>
      </c>
      <c r="D46" s="1161">
        <v>15</v>
      </c>
      <c r="E46" s="1161">
        <v>12</v>
      </c>
      <c r="F46" s="1161">
        <v>8.5</v>
      </c>
      <c r="G46" s="1161">
        <v>36.75</v>
      </c>
      <c r="H46" s="1161">
        <v>28.8</v>
      </c>
      <c r="I46" s="1161">
        <v>3.76</v>
      </c>
      <c r="J46" s="1161">
        <v>568</v>
      </c>
      <c r="K46" s="1161">
        <v>902</v>
      </c>
      <c r="L46" s="1161">
        <v>234</v>
      </c>
      <c r="M46" s="1161">
        <v>3.93</v>
      </c>
      <c r="N46" s="1161">
        <v>4.95</v>
      </c>
      <c r="O46" s="1161">
        <v>2.5299999999999998</v>
      </c>
      <c r="P46" s="1162">
        <v>61.5</v>
      </c>
      <c r="R46" s="136" t="str">
        <f t="shared" si="3"/>
        <v>Tuple.Create("130x15 ", 3675, 25.3),</v>
      </c>
    </row>
    <row r="47" spans="1:18">
      <c r="A47" s="136" t="str">
        <f t="shared" si="2"/>
        <v>150x10</v>
      </c>
      <c r="B47" s="1841" t="s">
        <v>2389</v>
      </c>
      <c r="C47" s="1161" t="s">
        <v>2389</v>
      </c>
      <c r="D47" s="1161">
        <v>10</v>
      </c>
      <c r="E47" s="1161">
        <v>14</v>
      </c>
      <c r="F47" s="1161">
        <v>7</v>
      </c>
      <c r="G47" s="1161">
        <v>29.21</v>
      </c>
      <c r="H47" s="1161">
        <v>22.9</v>
      </c>
      <c r="I47" s="1161">
        <v>4.0599999999999996</v>
      </c>
      <c r="J47" s="1161">
        <v>627</v>
      </c>
      <c r="K47" s="1161">
        <v>997</v>
      </c>
      <c r="L47" s="1161">
        <v>258</v>
      </c>
      <c r="M47" s="1161">
        <v>4.63</v>
      </c>
      <c r="N47" s="1161">
        <v>5.84</v>
      </c>
      <c r="O47" s="1161">
        <v>2.97</v>
      </c>
      <c r="P47" s="1162">
        <v>57.3</v>
      </c>
      <c r="R47" s="136" t="str">
        <f t="shared" si="3"/>
        <v>Tuple.Create("150x10 ", 2921, 29.7),</v>
      </c>
    </row>
    <row r="48" spans="1:18">
      <c r="A48" s="136" t="str">
        <f t="shared" si="2"/>
        <v>150x12</v>
      </c>
      <c r="B48" s="1842"/>
      <c r="C48" s="1161" t="s">
        <v>2389</v>
      </c>
      <c r="D48" s="1161">
        <v>12</v>
      </c>
      <c r="E48" s="1161">
        <v>14</v>
      </c>
      <c r="F48" s="1161">
        <v>7</v>
      </c>
      <c r="G48" s="1161">
        <v>34.770000000000003</v>
      </c>
      <c r="H48" s="1161">
        <v>27.3</v>
      </c>
      <c r="I48" s="1161">
        <v>4.1399999999999997</v>
      </c>
      <c r="J48" s="1161">
        <v>740</v>
      </c>
      <c r="K48" s="1161">
        <v>1.18</v>
      </c>
      <c r="L48" s="1161">
        <v>304</v>
      </c>
      <c r="M48" s="1161">
        <v>4.6100000000000003</v>
      </c>
      <c r="N48" s="1161">
        <v>5.82</v>
      </c>
      <c r="O48" s="1161">
        <v>2.96</v>
      </c>
      <c r="P48" s="1162">
        <v>68</v>
      </c>
      <c r="R48" s="136" t="str">
        <f t="shared" si="3"/>
        <v>Tuple.Create("150x12 ", 3477, 29.6),</v>
      </c>
    </row>
    <row r="49" spans="1:18">
      <c r="A49" s="136" t="str">
        <f t="shared" si="2"/>
        <v>150x15</v>
      </c>
      <c r="B49" s="1842"/>
      <c r="C49" s="1161" t="s">
        <v>2389</v>
      </c>
      <c r="D49" s="1161">
        <v>15</v>
      </c>
      <c r="E49" s="1161">
        <v>14</v>
      </c>
      <c r="F49" s="1161">
        <v>10</v>
      </c>
      <c r="G49" s="1161">
        <v>42.74</v>
      </c>
      <c r="H49" s="1161">
        <v>33.6</v>
      </c>
      <c r="I49" s="1161">
        <v>4.24</v>
      </c>
      <c r="J49" s="1161">
        <v>888</v>
      </c>
      <c r="K49" s="1161">
        <v>1.1399999999999999</v>
      </c>
      <c r="L49" s="1161">
        <v>365</v>
      </c>
      <c r="M49" s="1161">
        <v>4.5599999999999996</v>
      </c>
      <c r="N49" s="1161">
        <v>5.75</v>
      </c>
      <c r="O49" s="1161">
        <v>2.92</v>
      </c>
      <c r="P49" s="1162">
        <v>82.6</v>
      </c>
      <c r="R49" s="136" t="str">
        <f t="shared" si="3"/>
        <v>Tuple.Create("150x15 ", 4274, 29.2),</v>
      </c>
    </row>
    <row r="50" spans="1:18">
      <c r="A50" s="136" t="str">
        <f t="shared" si="2"/>
        <v>150x19</v>
      </c>
      <c r="B50" s="1843"/>
      <c r="C50" s="1161" t="s">
        <v>2389</v>
      </c>
      <c r="D50" s="1161">
        <v>19</v>
      </c>
      <c r="E50" s="1161">
        <v>14</v>
      </c>
      <c r="F50" s="1161">
        <v>10</v>
      </c>
      <c r="G50" s="1161">
        <v>53.38</v>
      </c>
      <c r="H50" s="1161">
        <v>41.9</v>
      </c>
      <c r="I50" s="1161">
        <v>4.4000000000000004</v>
      </c>
      <c r="J50" s="1161">
        <v>1.0900000000000001</v>
      </c>
      <c r="K50" s="1161">
        <v>1.73</v>
      </c>
      <c r="L50" s="1161">
        <v>451</v>
      </c>
      <c r="M50" s="1161">
        <v>4.5199999999999996</v>
      </c>
      <c r="N50" s="1161">
        <v>5.69</v>
      </c>
      <c r="O50" s="1161">
        <v>2.91</v>
      </c>
      <c r="P50" s="1162">
        <v>103</v>
      </c>
      <c r="R50" s="136" t="str">
        <f t="shared" si="3"/>
        <v>Tuple.Create("150x19 ", 5338, 29.1),</v>
      </c>
    </row>
    <row r="51" spans="1:18">
      <c r="A51" s="136" t="str">
        <f t="shared" si="2"/>
        <v>175x12</v>
      </c>
      <c r="B51" s="1841" t="s">
        <v>2390</v>
      </c>
      <c r="C51" s="1161" t="s">
        <v>2390</v>
      </c>
      <c r="D51" s="1161">
        <v>12</v>
      </c>
      <c r="E51" s="1161">
        <v>15</v>
      </c>
      <c r="F51" s="1161">
        <v>11</v>
      </c>
      <c r="G51" s="1161">
        <v>40.520000000000003</v>
      </c>
      <c r="H51" s="1161">
        <v>31.8</v>
      </c>
      <c r="I51" s="1161">
        <v>4.7300000000000004</v>
      </c>
      <c r="J51" s="1161">
        <v>1.17</v>
      </c>
      <c r="K51" s="1161">
        <v>1.86</v>
      </c>
      <c r="L51" s="1161">
        <v>480</v>
      </c>
      <c r="M51" s="1161">
        <v>5.38</v>
      </c>
      <c r="N51" s="1161">
        <v>6.78</v>
      </c>
      <c r="O51" s="1161">
        <v>3.44</v>
      </c>
      <c r="P51" s="1162">
        <v>91.8</v>
      </c>
      <c r="R51" s="136" t="str">
        <f t="shared" si="3"/>
        <v>Tuple.Create("175x12 ", 4052, 34.4),</v>
      </c>
    </row>
    <row r="52" spans="1:18">
      <c r="A52" s="136" t="str">
        <f t="shared" si="2"/>
        <v>175x15</v>
      </c>
      <c r="B52" s="1843"/>
      <c r="C52" s="1161" t="s">
        <v>2390</v>
      </c>
      <c r="D52" s="1161">
        <v>15</v>
      </c>
      <c r="E52" s="1161">
        <v>15</v>
      </c>
      <c r="F52" s="1161">
        <v>11</v>
      </c>
      <c r="G52" s="1161">
        <v>50.21</v>
      </c>
      <c r="H52" s="1161">
        <v>39.4</v>
      </c>
      <c r="I52" s="1161">
        <v>4.8499999999999996</v>
      </c>
      <c r="J52" s="1161">
        <v>1.44</v>
      </c>
      <c r="K52" s="1161">
        <v>2.29</v>
      </c>
      <c r="L52" s="1161">
        <v>589</v>
      </c>
      <c r="M52" s="1161">
        <v>5.35</v>
      </c>
      <c r="N52" s="1161">
        <v>6.75</v>
      </c>
      <c r="O52" s="1161">
        <v>3.42</v>
      </c>
      <c r="P52" s="1162">
        <v>114</v>
      </c>
      <c r="R52" s="136" t="str">
        <f t="shared" si="3"/>
        <v>Tuple.Create("175x15 ", 5021, 34.2),</v>
      </c>
    </row>
    <row r="53" spans="1:18">
      <c r="A53" s="136" t="str">
        <f t="shared" si="2"/>
        <v>200x15</v>
      </c>
      <c r="B53" s="1841" t="s">
        <v>2391</v>
      </c>
      <c r="C53" s="1161" t="s">
        <v>2391</v>
      </c>
      <c r="D53" s="1161">
        <v>15</v>
      </c>
      <c r="E53" s="1161">
        <v>17</v>
      </c>
      <c r="F53" s="1161">
        <v>12</v>
      </c>
      <c r="G53" s="1161">
        <v>57.75</v>
      </c>
      <c r="H53" s="1161">
        <v>45.3</v>
      </c>
      <c r="I53" s="1161">
        <v>5.46</v>
      </c>
      <c r="J53" s="1161">
        <v>2.1800000000000002</v>
      </c>
      <c r="K53" s="1161">
        <v>3.47</v>
      </c>
      <c r="L53" s="1161">
        <v>891</v>
      </c>
      <c r="M53" s="1161">
        <v>6.14</v>
      </c>
      <c r="N53" s="1161">
        <v>7.75</v>
      </c>
      <c r="O53" s="1161">
        <v>3.93</v>
      </c>
      <c r="P53" s="1162">
        <v>150</v>
      </c>
      <c r="R53" s="136" t="str">
        <f t="shared" si="3"/>
        <v>Tuple.Create("200x15 ", 5775, 39.3),</v>
      </c>
    </row>
    <row r="54" spans="1:18">
      <c r="A54" s="136" t="str">
        <f t="shared" si="2"/>
        <v>200x20</v>
      </c>
      <c r="B54" s="1842"/>
      <c r="C54" s="1161" t="s">
        <v>2391</v>
      </c>
      <c r="D54" s="1161">
        <v>20</v>
      </c>
      <c r="E54" s="1161">
        <v>17</v>
      </c>
      <c r="F54" s="1161">
        <v>12</v>
      </c>
      <c r="G54" s="1161">
        <v>76</v>
      </c>
      <c r="H54" s="1161">
        <v>59.7</v>
      </c>
      <c r="I54" s="1161">
        <v>5.67</v>
      </c>
      <c r="J54" s="1161">
        <v>2.82</v>
      </c>
      <c r="K54" s="1161">
        <v>4.49</v>
      </c>
      <c r="L54" s="1161">
        <v>1.1599999999999999</v>
      </c>
      <c r="M54" s="1161">
        <v>6.09</v>
      </c>
      <c r="N54" s="1161">
        <v>7.68</v>
      </c>
      <c r="O54" s="1161">
        <v>3.9</v>
      </c>
      <c r="P54" s="1162">
        <v>197</v>
      </c>
      <c r="R54" s="136" t="str">
        <f t="shared" si="3"/>
        <v>Tuple.Create("200x20 ", 7600, 39),</v>
      </c>
    </row>
    <row r="55" spans="1:18">
      <c r="A55" s="136" t="str">
        <f t="shared" si="2"/>
        <v>200x25</v>
      </c>
      <c r="B55" s="1843"/>
      <c r="C55" s="1161" t="s">
        <v>2391</v>
      </c>
      <c r="D55" s="1161">
        <v>25</v>
      </c>
      <c r="E55" s="1161">
        <v>17</v>
      </c>
      <c r="F55" s="1161">
        <v>12</v>
      </c>
      <c r="G55" s="1161">
        <v>93.75</v>
      </c>
      <c r="H55" s="1161">
        <v>73.599999999999994</v>
      </c>
      <c r="I55" s="1161">
        <v>5.86</v>
      </c>
      <c r="J55" s="1161">
        <v>3.42</v>
      </c>
      <c r="K55" s="1161">
        <v>5.42</v>
      </c>
      <c r="L55" s="1161">
        <v>1.41</v>
      </c>
      <c r="M55" s="1161">
        <v>6.04</v>
      </c>
      <c r="N55" s="1161">
        <v>7.61</v>
      </c>
      <c r="O55" s="1161">
        <v>3.88</v>
      </c>
      <c r="P55" s="1162">
        <v>242</v>
      </c>
      <c r="R55" s="136" t="str">
        <f t="shared" si="3"/>
        <v>Tuple.Create("200x25 ", 9375, 38.8),</v>
      </c>
    </row>
    <row r="56" spans="1:18">
      <c r="A56" s="136" t="str">
        <f t="shared" si="2"/>
        <v>250x25</v>
      </c>
      <c r="B56" s="1841" t="s">
        <v>2392</v>
      </c>
      <c r="C56" s="1161" t="s">
        <v>2392</v>
      </c>
      <c r="D56" s="1161">
        <v>25</v>
      </c>
      <c r="E56" s="1161">
        <v>24</v>
      </c>
      <c r="F56" s="1161">
        <v>12</v>
      </c>
      <c r="G56" s="1161">
        <v>119.4</v>
      </c>
      <c r="H56" s="1161">
        <v>93.7</v>
      </c>
      <c r="I56" s="1161">
        <v>7.1</v>
      </c>
      <c r="J56" s="1161">
        <v>6.95</v>
      </c>
      <c r="K56" s="1161">
        <v>11.1</v>
      </c>
      <c r="L56" s="1161">
        <v>2.86</v>
      </c>
      <c r="M56" s="1161">
        <v>7.63</v>
      </c>
      <c r="N56" s="1161">
        <v>9.6199999999999992</v>
      </c>
      <c r="O56" s="1161">
        <v>4.9000000000000004</v>
      </c>
      <c r="P56" s="1162">
        <v>388</v>
      </c>
      <c r="R56" s="136" t="str">
        <f t="shared" si="3"/>
        <v>Tuple.Create("250x25 ", 11940, 49),</v>
      </c>
    </row>
    <row r="57" spans="1:18" ht="14.25" thickBot="1">
      <c r="A57" s="136" t="str">
        <f t="shared" si="2"/>
        <v>250x35</v>
      </c>
      <c r="B57" s="1844"/>
      <c r="C57" s="1163" t="s">
        <v>2392</v>
      </c>
      <c r="D57" s="1163">
        <v>35</v>
      </c>
      <c r="E57" s="1163">
        <v>24</v>
      </c>
      <c r="F57" s="1163">
        <v>18</v>
      </c>
      <c r="G57" s="1163">
        <v>162.6</v>
      </c>
      <c r="H57" s="1163">
        <v>128</v>
      </c>
      <c r="I57" s="1163">
        <v>7.45</v>
      </c>
      <c r="J57" s="1163">
        <v>9.11</v>
      </c>
      <c r="K57" s="1163">
        <v>14.4</v>
      </c>
      <c r="L57" s="1163">
        <v>3.79</v>
      </c>
      <c r="M57" s="1163">
        <v>7.49</v>
      </c>
      <c r="N57" s="1163">
        <v>9.42</v>
      </c>
      <c r="O57" s="1163">
        <v>4.83</v>
      </c>
      <c r="P57" s="1164">
        <v>519</v>
      </c>
      <c r="R57" s="136" t="str">
        <f t="shared" si="3"/>
        <v>Tuple.Create("250x35 ", 16260, 48.3),</v>
      </c>
    </row>
    <row r="58" spans="1:18" ht="14.25" thickTop="1">
      <c r="A58" s="900" t="s">
        <v>2393</v>
      </c>
      <c r="G58" s="1165">
        <v>0</v>
      </c>
    </row>
  </sheetData>
  <mergeCells count="42">
    <mergeCell ref="C4:F4"/>
    <mergeCell ref="J4:L4"/>
    <mergeCell ref="M4:O4"/>
    <mergeCell ref="C5:F5"/>
    <mergeCell ref="J5:L5"/>
    <mergeCell ref="M5:O5"/>
    <mergeCell ref="C6:F6"/>
    <mergeCell ref="J6:L6"/>
    <mergeCell ref="M6:O6"/>
    <mergeCell ref="C7:F7"/>
    <mergeCell ref="J7:L7"/>
    <mergeCell ref="M7:O7"/>
    <mergeCell ref="C8:F8"/>
    <mergeCell ref="J8:L8"/>
    <mergeCell ref="M8:O8"/>
    <mergeCell ref="J9:L9"/>
    <mergeCell ref="M9:O9"/>
    <mergeCell ref="B27:B29"/>
    <mergeCell ref="H10:H11"/>
    <mergeCell ref="I10:I11"/>
    <mergeCell ref="J10:J11"/>
    <mergeCell ref="L10:L11"/>
    <mergeCell ref="C10:C11"/>
    <mergeCell ref="D10:D11"/>
    <mergeCell ref="E10:E11"/>
    <mergeCell ref="F10:F11"/>
    <mergeCell ref="G10:G11"/>
    <mergeCell ref="P10:P11"/>
    <mergeCell ref="B15:B16"/>
    <mergeCell ref="B17:B19"/>
    <mergeCell ref="B20:B22"/>
    <mergeCell ref="B23:B24"/>
    <mergeCell ref="M10:M11"/>
    <mergeCell ref="O10:O11"/>
    <mergeCell ref="B53:B55"/>
    <mergeCell ref="B56:B57"/>
    <mergeCell ref="B30:B31"/>
    <mergeCell ref="B32:B37"/>
    <mergeCell ref="B38:B41"/>
    <mergeCell ref="B43:B46"/>
    <mergeCell ref="B47:B50"/>
    <mergeCell ref="B51:B52"/>
  </mergeCells>
  <phoneticPr fontId="3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0000FF"/>
  </sheetPr>
  <dimension ref="A1:IX176"/>
  <sheetViews>
    <sheetView topLeftCell="G1" workbookViewId="0">
      <selection activeCell="R3" sqref="R3"/>
    </sheetView>
  </sheetViews>
  <sheetFormatPr defaultRowHeight="13.5"/>
  <cols>
    <col min="1" max="1" width="9" bestFit="1" customWidth="1"/>
    <col min="3" max="3" width="9" bestFit="1" customWidth="1"/>
    <col min="4" max="4" width="9" style="136" bestFit="1" customWidth="1"/>
    <col min="5" max="5" width="9" bestFit="1" customWidth="1"/>
    <col min="6" max="6" width="9.88671875" style="26" customWidth="1"/>
    <col min="7" max="15" width="9" customWidth="1"/>
    <col min="16" max="16" width="9" style="26" customWidth="1"/>
    <col min="17" max="17" width="9" style="136" customWidth="1"/>
    <col min="18" max="18" width="9" style="169" customWidth="1"/>
    <col min="19" max="19" width="9" style="136" customWidth="1"/>
    <col min="20" max="22" width="9" customWidth="1"/>
    <col min="23" max="24" width="9" style="136" customWidth="1"/>
    <col min="25" max="25" width="9" customWidth="1"/>
    <col min="26" max="27" width="9" style="136" customWidth="1"/>
    <col min="28" max="28" width="9" customWidth="1"/>
    <col min="29" max="29" width="10.21875" style="136" customWidth="1"/>
    <col min="30" max="30" width="9" customWidth="1"/>
    <col min="31" max="35" width="9" style="136" customWidth="1"/>
    <col min="36" max="36" width="9" style="26" customWidth="1"/>
    <col min="37" max="43" width="9" style="169" customWidth="1"/>
    <col min="44" max="44" width="5.33203125" style="169" customWidth="1"/>
    <col min="45" max="45" width="10.77734375" style="169" customWidth="1"/>
    <col min="46" max="47" width="9" style="169" customWidth="1"/>
    <col min="48" max="54" width="9" style="1109" customWidth="1"/>
    <col min="55" max="55" width="5.21875" style="890" customWidth="1"/>
    <col min="56" max="56" width="6.33203125" style="169" customWidth="1"/>
    <col min="57" max="57" width="8.5546875" style="169" customWidth="1"/>
    <col min="58" max="58" width="9" style="169" customWidth="1"/>
    <col min="59" max="59" width="8.109375" style="169" customWidth="1"/>
    <col min="60" max="60" width="7.33203125" style="169" customWidth="1"/>
    <col min="61" max="61" width="9" style="136" bestFit="1" customWidth="1"/>
    <col min="62" max="62" width="9" style="136" customWidth="1"/>
    <col min="63" max="63" width="9" style="136" bestFit="1" customWidth="1"/>
    <col min="64" max="66" width="9" style="136" customWidth="1"/>
    <col min="67" max="67" width="7.5546875" style="136" customWidth="1"/>
    <col min="68" max="68" width="9" bestFit="1" customWidth="1"/>
    <col min="69" max="69" width="9" style="136" bestFit="1" customWidth="1"/>
    <col min="70" max="70" width="9" bestFit="1" customWidth="1"/>
    <col min="71" max="71" width="6.44140625" style="136" customWidth="1"/>
    <col min="72" max="72" width="9.88671875" customWidth="1"/>
    <col min="73" max="73" width="12.77734375" style="136" customWidth="1"/>
    <col min="74" max="75" width="10.5546875" style="136" customWidth="1"/>
    <col min="76" max="82" width="8.5546875" style="136" customWidth="1"/>
    <col min="83" max="83" width="14.109375" style="136" customWidth="1"/>
    <col min="84" max="84" width="9.5546875" style="136" bestFit="1" customWidth="1"/>
    <col min="85" max="85" width="9.5546875" style="136" customWidth="1"/>
    <col min="86" max="87" width="12.77734375" style="136" customWidth="1"/>
    <col min="88" max="88" width="9" bestFit="1" customWidth="1"/>
    <col min="89" max="89" width="11.5546875" customWidth="1"/>
    <col min="90" max="90" width="10.109375" bestFit="1" customWidth="1"/>
    <col min="91" max="91" width="10.77734375" bestFit="1" customWidth="1"/>
    <col min="92" max="92" width="8.77734375" style="136" customWidth="1"/>
    <col min="93" max="93" width="10.5546875" style="136" customWidth="1"/>
    <col min="94" max="94" width="13.21875" style="136" customWidth="1"/>
    <col min="95" max="95" width="11.77734375" style="136" customWidth="1"/>
    <col min="96" max="96" width="12.77734375" bestFit="1" customWidth="1"/>
    <col min="97" max="97" width="12.109375" bestFit="1" customWidth="1"/>
    <col min="98" max="98" width="9" bestFit="1" customWidth="1"/>
    <col min="99" max="99" width="9.21875" bestFit="1" customWidth="1"/>
    <col min="100" max="101" width="9" style="136" bestFit="1" customWidth="1"/>
    <col min="102" max="103" width="9" style="136" customWidth="1"/>
    <col min="104" max="104" width="12.77734375" style="136" bestFit="1" customWidth="1"/>
    <col min="105" max="105" width="12.109375" style="136" bestFit="1" customWidth="1"/>
    <col min="106" max="106" width="9" style="136" bestFit="1" customWidth="1"/>
    <col min="107" max="107" width="9.21875" style="136" bestFit="1" customWidth="1"/>
    <col min="108" max="109" width="9" style="136" bestFit="1" customWidth="1"/>
    <col min="110" max="111" width="9" style="136" customWidth="1"/>
    <col min="112" max="112" width="11.77734375" customWidth="1"/>
    <col min="113" max="113" width="14.21875" customWidth="1"/>
    <col min="114" max="114" width="9" bestFit="1" customWidth="1"/>
    <col min="115" max="115" width="10.5546875" bestFit="1" customWidth="1"/>
    <col min="116" max="116" width="9.33203125" style="136" customWidth="1"/>
    <col min="117" max="117" width="9.44140625" style="136" customWidth="1"/>
    <col min="118" max="118" width="11.109375" style="136" customWidth="1"/>
    <col min="119" max="119" width="9.44140625" style="136" customWidth="1"/>
    <col min="120" max="120" width="12.6640625" customWidth="1"/>
    <col min="121" max="121" width="13.88671875" customWidth="1"/>
    <col min="122" max="122" width="9.77734375" customWidth="1"/>
    <col min="123" max="123" width="10.44140625" customWidth="1"/>
    <col min="124" max="127" width="9.88671875" style="136" customWidth="1"/>
    <col min="128" max="128" width="8.88671875" customWidth="1"/>
    <col min="129" max="129" width="12" customWidth="1"/>
    <col min="130" max="130" width="8.88671875" customWidth="1"/>
    <col min="131" max="131" width="9.5546875" customWidth="1"/>
    <col min="132" max="135" width="8.88671875" style="136" customWidth="1"/>
    <col min="136" max="136" width="8.88671875" customWidth="1"/>
    <col min="137" max="137" width="12" customWidth="1"/>
    <col min="138" max="138" width="8.88671875" customWidth="1"/>
    <col min="139" max="139" width="9.77734375" customWidth="1"/>
    <col min="140" max="141" width="8.88671875" style="136" customWidth="1"/>
    <col min="142" max="142" width="9.5546875" style="136" bestFit="1" customWidth="1"/>
    <col min="143" max="143" width="9.5546875" bestFit="1" customWidth="1"/>
    <col min="144" max="144" width="16.109375" style="136" bestFit="1" customWidth="1"/>
    <col min="145" max="145" width="8.88671875" style="136"/>
    <col min="203" max="203" width="11" bestFit="1" customWidth="1"/>
    <col min="204" max="208" width="9.44140625" bestFit="1" customWidth="1"/>
    <col min="209" max="209" width="19" bestFit="1" customWidth="1"/>
    <col min="210" max="216" width="9.44140625" bestFit="1" customWidth="1"/>
    <col min="217" max="217" width="18.5546875" bestFit="1" customWidth="1"/>
    <col min="218" max="224" width="9.44140625" bestFit="1" customWidth="1"/>
    <col min="225" max="225" width="18.5546875" bestFit="1" customWidth="1"/>
    <col min="226" max="232" width="9.44140625" bestFit="1" customWidth="1"/>
    <col min="233" max="233" width="19.6640625" bestFit="1" customWidth="1"/>
    <col min="234" max="234" width="18.109375" bestFit="1" customWidth="1"/>
    <col min="235" max="240" width="9.44140625" bestFit="1" customWidth="1"/>
    <col min="241" max="241" width="19.6640625" bestFit="1" customWidth="1"/>
    <col min="242" max="242" width="18.109375" bestFit="1" customWidth="1"/>
    <col min="243" max="248" width="9.44140625" bestFit="1" customWidth="1"/>
    <col min="249" max="249" width="19.6640625" bestFit="1" customWidth="1"/>
    <col min="250" max="250" width="18.109375" bestFit="1" customWidth="1"/>
    <col min="251" max="256" width="9.44140625" bestFit="1" customWidth="1"/>
    <col min="257" max="257" width="19.6640625" bestFit="1" customWidth="1"/>
    <col min="258" max="258" width="18.109375" bestFit="1" customWidth="1"/>
  </cols>
  <sheetData>
    <row r="1" spans="1:258" s="29" customFormat="1" ht="16.5">
      <c r="A1" s="23" t="s">
        <v>15</v>
      </c>
      <c r="B1" s="23" t="s">
        <v>16</v>
      </c>
      <c r="C1" s="23" t="s">
        <v>18</v>
      </c>
      <c r="D1" s="23" t="s">
        <v>2302</v>
      </c>
      <c r="E1" s="23" t="s">
        <v>17</v>
      </c>
      <c r="F1" s="751" t="s">
        <v>19</v>
      </c>
      <c r="G1" s="285"/>
      <c r="H1" s="285"/>
      <c r="I1" s="286"/>
      <c r="J1" s="751" t="s">
        <v>20</v>
      </c>
      <c r="K1" s="285"/>
      <c r="L1" s="286"/>
      <c r="M1" s="751" t="s">
        <v>21</v>
      </c>
      <c r="N1" s="286"/>
      <c r="O1" s="209" t="s">
        <v>22</v>
      </c>
      <c r="P1" s="751" t="s">
        <v>23</v>
      </c>
      <c r="Q1" s="285"/>
      <c r="R1" s="285" t="s">
        <v>2303</v>
      </c>
      <c r="S1" s="285"/>
      <c r="T1" s="285" t="s">
        <v>2304</v>
      </c>
      <c r="U1" s="285"/>
      <c r="V1" s="286"/>
      <c r="W1" s="284" t="s">
        <v>614</v>
      </c>
      <c r="X1" s="281"/>
      <c r="Y1" s="285"/>
      <c r="Z1" s="284" t="s">
        <v>615</v>
      </c>
      <c r="AA1" s="281"/>
      <c r="AB1" s="286"/>
      <c r="AC1" s="284" t="s">
        <v>1730</v>
      </c>
      <c r="AD1" s="1860" t="s">
        <v>294</v>
      </c>
      <c r="AE1" s="1861"/>
      <c r="AF1" s="1861"/>
      <c r="AG1" s="1860" t="s">
        <v>409</v>
      </c>
      <c r="AH1" s="1861"/>
      <c r="AI1" s="1861"/>
      <c r="AJ1" s="744"/>
      <c r="AK1" s="745"/>
      <c r="AL1" s="745"/>
      <c r="AM1" s="284" t="s">
        <v>2313</v>
      </c>
      <c r="AN1" s="284"/>
      <c r="AO1" s="284"/>
      <c r="AP1" s="1140"/>
      <c r="AQ1" s="284" t="s">
        <v>2441</v>
      </c>
      <c r="AR1" s="1169"/>
      <c r="AS1" s="1169"/>
      <c r="AT1" s="284" t="s">
        <v>2447</v>
      </c>
      <c r="AU1" s="1169"/>
      <c r="AV1" s="1106"/>
      <c r="AW1" s="1127" t="s">
        <v>2450</v>
      </c>
      <c r="AX1" s="1106"/>
      <c r="AY1" s="1106"/>
      <c r="AZ1" s="1127" t="s">
        <v>2451</v>
      </c>
      <c r="BA1" s="1106"/>
      <c r="BB1" s="1106"/>
      <c r="BC1" s="1166" t="s">
        <v>233</v>
      </c>
      <c r="BD1" s="1140"/>
      <c r="BE1" s="1140"/>
      <c r="BF1" s="1140"/>
      <c r="BG1" s="1140"/>
      <c r="BH1" s="1140"/>
      <c r="BI1" s="1127" t="s">
        <v>2255</v>
      </c>
      <c r="BJ1" s="1127"/>
      <c r="BK1" s="158" t="s">
        <v>2397</v>
      </c>
      <c r="BL1" s="158" t="s">
        <v>2398</v>
      </c>
      <c r="BM1" s="158" t="s">
        <v>2279</v>
      </c>
      <c r="BN1" s="158" t="s">
        <v>2280</v>
      </c>
      <c r="BO1" s="158"/>
      <c r="BP1" s="158" t="s">
        <v>33</v>
      </c>
      <c r="BQ1" s="29" t="s">
        <v>322</v>
      </c>
      <c r="BR1" s="29" t="s">
        <v>140</v>
      </c>
      <c r="BT1" s="29" t="s">
        <v>1859</v>
      </c>
      <c r="BV1" s="29" t="s">
        <v>1860</v>
      </c>
      <c r="BX1" s="29" t="s">
        <v>1861</v>
      </c>
      <c r="BZ1" s="29" t="s">
        <v>1126</v>
      </c>
      <c r="CB1" s="29" t="s">
        <v>1862</v>
      </c>
      <c r="CE1" s="29" t="s">
        <v>2312</v>
      </c>
      <c r="CJ1" s="333" t="s">
        <v>2283</v>
      </c>
      <c r="CP1" s="29" t="s">
        <v>2301</v>
      </c>
      <c r="CQ1" s="29" t="s">
        <v>2426</v>
      </c>
      <c r="CR1" s="29" t="s">
        <v>2284</v>
      </c>
      <c r="CU1" s="24">
        <f>Es/Ec</f>
        <v>5.7028140935422975</v>
      </c>
      <c r="CX1" s="29" t="s">
        <v>2301</v>
      </c>
      <c r="CY1" s="29" t="s">
        <v>2426</v>
      </c>
      <c r="CZ1" s="29" t="s">
        <v>2285</v>
      </c>
      <c r="DC1" s="24">
        <f>CU1*3</f>
        <v>17.108442280626893</v>
      </c>
      <c r="DF1" s="29" t="s">
        <v>2301</v>
      </c>
      <c r="DG1" s="29" t="s">
        <v>2426</v>
      </c>
      <c r="DH1" s="29" t="s">
        <v>2286</v>
      </c>
      <c r="DJ1" s="24">
        <f>Es/Ecd</f>
        <v>6.4337426860029305</v>
      </c>
      <c r="DN1" s="29" t="s">
        <v>2301</v>
      </c>
      <c r="DO1" s="29" t="s">
        <v>2426</v>
      </c>
      <c r="DP1" s="29" t="s">
        <v>2287</v>
      </c>
      <c r="DR1" s="25">
        <f>+DJ1*3</f>
        <v>19.301228058008792</v>
      </c>
      <c r="DV1" s="29" t="s">
        <v>2400</v>
      </c>
      <c r="DW1" s="29" t="s">
        <v>2426</v>
      </c>
      <c r="DX1" s="29" t="s">
        <v>2288</v>
      </c>
      <c r="ED1" s="29" t="s">
        <v>2301</v>
      </c>
      <c r="EE1" s="29" t="s">
        <v>2426</v>
      </c>
      <c r="EF1" s="29" t="s">
        <v>2289</v>
      </c>
      <c r="EL1" s="29" t="s">
        <v>2301</v>
      </c>
      <c r="EM1" s="29" t="s">
        <v>2426</v>
      </c>
    </row>
    <row r="2" spans="1:258" s="455" customFormat="1">
      <c r="B2" s="455" t="s">
        <v>1962</v>
      </c>
      <c r="C2" s="455" t="s">
        <v>1963</v>
      </c>
      <c r="D2" s="455" t="s">
        <v>1961</v>
      </c>
      <c r="F2" s="456" t="s">
        <v>1471</v>
      </c>
      <c r="G2" s="457" t="s">
        <v>1472</v>
      </c>
      <c r="H2" s="457" t="s">
        <v>1473</v>
      </c>
      <c r="I2" s="458" t="s">
        <v>1474</v>
      </c>
      <c r="J2" s="456" t="s">
        <v>1475</v>
      </c>
      <c r="K2" s="457" t="s">
        <v>1476</v>
      </c>
      <c r="L2" s="458" t="s">
        <v>1477</v>
      </c>
      <c r="M2" s="456" t="s">
        <v>1478</v>
      </c>
      <c r="N2" s="458" t="s">
        <v>1479</v>
      </c>
      <c r="O2" s="456" t="s">
        <v>1480</v>
      </c>
      <c r="P2" s="456" t="s">
        <v>1482</v>
      </c>
      <c r="Q2" s="456" t="s">
        <v>1501</v>
      </c>
      <c r="R2" s="457" t="s">
        <v>1481</v>
      </c>
      <c r="S2" s="457" t="s">
        <v>1804</v>
      </c>
      <c r="T2" s="457" t="s">
        <v>1483</v>
      </c>
      <c r="U2" s="457" t="s">
        <v>1484</v>
      </c>
      <c r="V2" s="458" t="s">
        <v>1485</v>
      </c>
      <c r="W2" s="457" t="s">
        <v>1805</v>
      </c>
      <c r="X2" s="457" t="s">
        <v>1806</v>
      </c>
      <c r="Y2" s="457" t="s">
        <v>1807</v>
      </c>
      <c r="Z2" s="457" t="s">
        <v>1808</v>
      </c>
      <c r="AA2" s="457" t="s">
        <v>1809</v>
      </c>
      <c r="AB2" s="458" t="s">
        <v>1810</v>
      </c>
      <c r="AC2" s="457" t="s">
        <v>1811</v>
      </c>
      <c r="AD2" s="456" t="s">
        <v>1488</v>
      </c>
      <c r="AE2" s="457" t="s">
        <v>1487</v>
      </c>
      <c r="AF2" s="457" t="s">
        <v>1489</v>
      </c>
      <c r="AG2" s="456" t="s">
        <v>1490</v>
      </c>
      <c r="AH2" s="457" t="s">
        <v>1486</v>
      </c>
      <c r="AI2" s="457" t="s">
        <v>1491</v>
      </c>
      <c r="AJ2" s="456" t="s">
        <v>2253</v>
      </c>
      <c r="AK2" s="457" t="s">
        <v>1885</v>
      </c>
      <c r="AL2" s="457" t="s">
        <v>1964</v>
      </c>
      <c r="AM2" s="457" t="s">
        <v>2314</v>
      </c>
      <c r="AN2" s="457" t="s">
        <v>2317</v>
      </c>
      <c r="AO2" s="457" t="s">
        <v>2318</v>
      </c>
      <c r="AP2" s="457" t="s">
        <v>2319</v>
      </c>
      <c r="AQ2" s="457" t="s">
        <v>2442</v>
      </c>
      <c r="AR2" s="457" t="s">
        <v>2443</v>
      </c>
      <c r="AS2" s="457" t="s">
        <v>2444</v>
      </c>
      <c r="AT2" s="457" t="s">
        <v>2445</v>
      </c>
      <c r="AU2" s="457" t="s">
        <v>2446</v>
      </c>
      <c r="AV2" s="1107" t="s">
        <v>2155</v>
      </c>
      <c r="AW2" s="1107" t="s">
        <v>2449</v>
      </c>
      <c r="AX2" s="1107" t="s">
        <v>2454</v>
      </c>
      <c r="AY2" s="1107" t="s">
        <v>2455</v>
      </c>
      <c r="AZ2" s="1107" t="s">
        <v>2452</v>
      </c>
      <c r="BA2" s="1107" t="s">
        <v>2453</v>
      </c>
      <c r="BB2" s="1107"/>
      <c r="BC2" s="1167"/>
      <c r="BD2" s="457" t="s">
        <v>2394</v>
      </c>
      <c r="BE2" s="457" t="s">
        <v>2395</v>
      </c>
      <c r="BF2" s="457" t="s">
        <v>2396</v>
      </c>
      <c r="BG2" s="457" t="s">
        <v>2399</v>
      </c>
      <c r="BH2" s="457"/>
      <c r="BI2" s="752" t="s">
        <v>2273</v>
      </c>
      <c r="BJ2" s="752" t="s">
        <v>2274</v>
      </c>
      <c r="BK2" s="752" t="s">
        <v>2254</v>
      </c>
      <c r="BL2" s="752" t="s">
        <v>2275</v>
      </c>
      <c r="BM2" s="752" t="s">
        <v>2277</v>
      </c>
      <c r="BN2" s="752" t="s">
        <v>2278</v>
      </c>
      <c r="BO2" s="752"/>
      <c r="BP2" s="752" t="s">
        <v>1499</v>
      </c>
      <c r="BQ2" s="455" t="s">
        <v>1619</v>
      </c>
      <c r="BR2" s="455" t="s">
        <v>1500</v>
      </c>
      <c r="BT2" s="455" t="s">
        <v>1822</v>
      </c>
      <c r="BU2" s="455" t="s">
        <v>1823</v>
      </c>
      <c r="BV2" s="455" t="s">
        <v>1845</v>
      </c>
      <c r="BW2" s="455" t="s">
        <v>1846</v>
      </c>
      <c r="BX2" s="455" t="s">
        <v>1847</v>
      </c>
      <c r="BY2" s="455" t="s">
        <v>1848</v>
      </c>
      <c r="BZ2" s="455" t="s">
        <v>1865</v>
      </c>
      <c r="CA2" s="455" t="s">
        <v>1866</v>
      </c>
      <c r="CB2" s="455" t="s">
        <v>1863</v>
      </c>
      <c r="CC2" s="455" t="s">
        <v>1864</v>
      </c>
      <c r="CE2" s="455" t="s">
        <v>2291</v>
      </c>
      <c r="CF2" s="455" t="s">
        <v>2292</v>
      </c>
      <c r="CG2" s="455" t="s">
        <v>2293</v>
      </c>
      <c r="CH2" s="455" t="s">
        <v>2296</v>
      </c>
      <c r="CJ2" s="455" t="s">
        <v>1058</v>
      </c>
      <c r="CK2" s="455" t="s">
        <v>2305</v>
      </c>
      <c r="CL2" s="455" t="s">
        <v>1502</v>
      </c>
      <c r="CM2" s="455" t="s">
        <v>1503</v>
      </c>
      <c r="CN2" s="455" t="s">
        <v>1504</v>
      </c>
      <c r="CO2" s="455" t="s">
        <v>1505</v>
      </c>
      <c r="CP2" s="455" t="s">
        <v>2290</v>
      </c>
      <c r="CQ2" s="455" t="s">
        <v>2413</v>
      </c>
      <c r="CR2" s="455" t="s">
        <v>1506</v>
      </c>
      <c r="CS2" s="455" t="s">
        <v>2306</v>
      </c>
      <c r="CT2" s="455" t="s">
        <v>1507</v>
      </c>
      <c r="CU2" s="455" t="s">
        <v>1508</v>
      </c>
      <c r="CV2" s="455" t="s">
        <v>1509</v>
      </c>
      <c r="CW2" s="455" t="s">
        <v>1510</v>
      </c>
      <c r="CX2" s="455" t="s">
        <v>2294</v>
      </c>
      <c r="CY2" s="455" t="s">
        <v>2415</v>
      </c>
      <c r="CZ2" s="455" t="s">
        <v>1511</v>
      </c>
      <c r="DA2" s="455" t="s">
        <v>2307</v>
      </c>
      <c r="DB2" s="455" t="s">
        <v>1512</v>
      </c>
      <c r="DC2" s="455" t="s">
        <v>1513</v>
      </c>
      <c r="DD2" s="455" t="s">
        <v>1514</v>
      </c>
      <c r="DE2" s="455" t="s">
        <v>1515</v>
      </c>
      <c r="DF2" s="455" t="s">
        <v>2295</v>
      </c>
      <c r="DG2" s="455" t="s">
        <v>2417</v>
      </c>
      <c r="DH2" s="455" t="s">
        <v>1516</v>
      </c>
      <c r="DI2" s="455" t="s">
        <v>2308</v>
      </c>
      <c r="DJ2" s="455" t="s">
        <v>1517</v>
      </c>
      <c r="DK2" s="455" t="s">
        <v>1518</v>
      </c>
      <c r="DL2" s="455" t="s">
        <v>1519</v>
      </c>
      <c r="DM2" s="455" t="s">
        <v>1520</v>
      </c>
      <c r="DN2" s="455" t="s">
        <v>2297</v>
      </c>
      <c r="DO2" s="455" t="s">
        <v>2419</v>
      </c>
      <c r="DP2" s="455" t="s">
        <v>1521</v>
      </c>
      <c r="DQ2" s="455" t="s">
        <v>2309</v>
      </c>
      <c r="DR2" s="455" t="s">
        <v>1522</v>
      </c>
      <c r="DS2" s="455" t="s">
        <v>1523</v>
      </c>
      <c r="DT2" s="455" t="s">
        <v>1524</v>
      </c>
      <c r="DU2" s="455" t="s">
        <v>1525</v>
      </c>
      <c r="DV2" s="455" t="s">
        <v>2298</v>
      </c>
      <c r="DW2" s="455" t="s">
        <v>2421</v>
      </c>
      <c r="DX2" s="455" t="s">
        <v>1531</v>
      </c>
      <c r="DY2" s="455" t="s">
        <v>2310</v>
      </c>
      <c r="DZ2" s="455" t="s">
        <v>1532</v>
      </c>
      <c r="EA2" s="455" t="s">
        <v>1533</v>
      </c>
      <c r="EB2" s="455" t="s">
        <v>1534</v>
      </c>
      <c r="EC2" s="455" t="s">
        <v>1535</v>
      </c>
      <c r="ED2" s="455" t="s">
        <v>2299</v>
      </c>
      <c r="EE2" s="455" t="s">
        <v>2423</v>
      </c>
      <c r="EF2" s="455" t="s">
        <v>1526</v>
      </c>
      <c r="EG2" s="455" t="s">
        <v>2311</v>
      </c>
      <c r="EH2" s="455" t="s">
        <v>1527</v>
      </c>
      <c r="EI2" s="455" t="s">
        <v>1528</v>
      </c>
      <c r="EJ2" s="455" t="s">
        <v>1529</v>
      </c>
      <c r="EK2" s="455" t="s">
        <v>1530</v>
      </c>
      <c r="EL2" s="455" t="s">
        <v>2300</v>
      </c>
      <c r="EM2" s="455" t="s">
        <v>2425</v>
      </c>
      <c r="EO2" s="785" t="s">
        <v>2160</v>
      </c>
      <c r="EP2" s="785" t="s">
        <v>1817</v>
      </c>
      <c r="EQ2" s="785" t="s">
        <v>2427</v>
      </c>
      <c r="ER2" s="785" t="s">
        <v>1818</v>
      </c>
      <c r="ES2" s="785" t="s">
        <v>1819</v>
      </c>
      <c r="ET2" s="785" t="s">
        <v>1820</v>
      </c>
      <c r="EU2" s="785" t="s">
        <v>1821</v>
      </c>
      <c r="EV2" s="785" t="s">
        <v>2428</v>
      </c>
      <c r="EW2" s="785" t="s">
        <v>2412</v>
      </c>
      <c r="EX2" s="785" t="s">
        <v>1835</v>
      </c>
      <c r="EY2" s="785" t="s">
        <v>2429</v>
      </c>
      <c r="EZ2" s="785" t="s">
        <v>1836</v>
      </c>
      <c r="FA2" s="785" t="s">
        <v>1837</v>
      </c>
      <c r="FB2" s="785" t="s">
        <v>1838</v>
      </c>
      <c r="FC2" s="785" t="s">
        <v>1839</v>
      </c>
      <c r="FD2" s="785" t="s">
        <v>2430</v>
      </c>
      <c r="FE2" s="785" t="s">
        <v>2414</v>
      </c>
      <c r="FF2" s="785" t="s">
        <v>1840</v>
      </c>
      <c r="FG2" s="785" t="s">
        <v>2431</v>
      </c>
      <c r="FH2" s="785" t="s">
        <v>1841</v>
      </c>
      <c r="FI2" s="785" t="s">
        <v>1842</v>
      </c>
      <c r="FJ2" s="785" t="s">
        <v>1843</v>
      </c>
      <c r="FK2" s="785" t="s">
        <v>1844</v>
      </c>
      <c r="FL2" s="785" t="s">
        <v>2432</v>
      </c>
      <c r="FM2" s="785" t="s">
        <v>2416</v>
      </c>
      <c r="FN2" s="785" t="s">
        <v>1849</v>
      </c>
      <c r="FO2" s="785" t="s">
        <v>2433</v>
      </c>
      <c r="FP2" s="785" t="s">
        <v>1850</v>
      </c>
      <c r="FQ2" s="785" t="s">
        <v>1851</v>
      </c>
      <c r="FR2" s="785" t="s">
        <v>1852</v>
      </c>
      <c r="FS2" s="785" t="s">
        <v>1853</v>
      </c>
      <c r="FT2" s="785" t="s">
        <v>2434</v>
      </c>
      <c r="FU2" s="785" t="s">
        <v>2418</v>
      </c>
      <c r="FV2" s="785" t="s">
        <v>1854</v>
      </c>
      <c r="FW2" s="785" t="s">
        <v>2435</v>
      </c>
      <c r="FX2" s="785" t="s">
        <v>1855</v>
      </c>
      <c r="FY2" s="785" t="s">
        <v>1856</v>
      </c>
      <c r="FZ2" s="785" t="s">
        <v>1857</v>
      </c>
      <c r="GA2" s="785" t="s">
        <v>1858</v>
      </c>
      <c r="GB2" s="785" t="s">
        <v>2436</v>
      </c>
      <c r="GC2" s="785" t="s">
        <v>2420</v>
      </c>
      <c r="GD2" s="785" t="s">
        <v>1867</v>
      </c>
      <c r="GE2" s="785" t="s">
        <v>2437</v>
      </c>
      <c r="GF2" s="785" t="s">
        <v>1868</v>
      </c>
      <c r="GG2" s="785" t="s">
        <v>1869</v>
      </c>
      <c r="GH2" s="785" t="s">
        <v>1870</v>
      </c>
      <c r="GI2" s="785" t="s">
        <v>1871</v>
      </c>
      <c r="GJ2" s="785" t="s">
        <v>2438</v>
      </c>
      <c r="GK2" s="785" t="s">
        <v>2422</v>
      </c>
      <c r="GL2" s="785" t="s">
        <v>1872</v>
      </c>
      <c r="GM2" s="785" t="s">
        <v>2439</v>
      </c>
      <c r="GN2" s="785" t="s">
        <v>1873</v>
      </c>
      <c r="GO2" s="785" t="s">
        <v>1874</v>
      </c>
      <c r="GP2" s="785" t="s">
        <v>1875</v>
      </c>
      <c r="GQ2" s="785" t="s">
        <v>1876</v>
      </c>
      <c r="GR2" s="785" t="s">
        <v>2440</v>
      </c>
      <c r="GS2" s="785" t="s">
        <v>2424</v>
      </c>
      <c r="GU2" s="785" t="s">
        <v>1817</v>
      </c>
      <c r="GV2" s="785" t="s">
        <v>2427</v>
      </c>
      <c r="GW2" s="785" t="s">
        <v>1818</v>
      </c>
      <c r="GX2" s="785" t="s">
        <v>1819</v>
      </c>
      <c r="GY2" s="785" t="s">
        <v>1820</v>
      </c>
      <c r="GZ2" s="785" t="s">
        <v>1821</v>
      </c>
      <c r="HA2" s="785" t="s">
        <v>2428</v>
      </c>
      <c r="HB2" s="785" t="s">
        <v>2412</v>
      </c>
      <c r="HC2" s="785" t="s">
        <v>1835</v>
      </c>
      <c r="HD2" s="785" t="s">
        <v>2429</v>
      </c>
      <c r="HE2" s="785" t="s">
        <v>1836</v>
      </c>
      <c r="HF2" s="785" t="s">
        <v>1837</v>
      </c>
      <c r="HG2" s="785" t="s">
        <v>1838</v>
      </c>
      <c r="HH2" s="785" t="s">
        <v>1839</v>
      </c>
      <c r="HI2" s="785" t="s">
        <v>2430</v>
      </c>
      <c r="HJ2" s="785" t="s">
        <v>2414</v>
      </c>
      <c r="HK2" s="785" t="s">
        <v>1840</v>
      </c>
      <c r="HL2" s="785" t="s">
        <v>2431</v>
      </c>
      <c r="HM2" s="785" t="s">
        <v>1841</v>
      </c>
      <c r="HN2" s="785" t="s">
        <v>1842</v>
      </c>
      <c r="HO2" s="785" t="s">
        <v>1843</v>
      </c>
      <c r="HP2" s="785" t="s">
        <v>1844</v>
      </c>
      <c r="HQ2" s="785" t="s">
        <v>2432</v>
      </c>
      <c r="HR2" s="785" t="s">
        <v>2416</v>
      </c>
      <c r="HS2" s="785" t="s">
        <v>1849</v>
      </c>
      <c r="HT2" s="785" t="s">
        <v>2433</v>
      </c>
      <c r="HU2" s="785" t="s">
        <v>1850</v>
      </c>
      <c r="HV2" s="785" t="s">
        <v>1851</v>
      </c>
      <c r="HW2" s="785" t="s">
        <v>1852</v>
      </c>
      <c r="HX2" s="785" t="s">
        <v>1853</v>
      </c>
      <c r="HY2" s="785" t="s">
        <v>2434</v>
      </c>
      <c r="HZ2" s="785" t="s">
        <v>2418</v>
      </c>
      <c r="IA2" s="785" t="s">
        <v>1854</v>
      </c>
      <c r="IB2" s="785" t="s">
        <v>2435</v>
      </c>
      <c r="IC2" s="785" t="s">
        <v>1855</v>
      </c>
      <c r="ID2" s="785" t="s">
        <v>1856</v>
      </c>
      <c r="IE2" s="785" t="s">
        <v>1857</v>
      </c>
      <c r="IF2" s="785" t="s">
        <v>1858</v>
      </c>
      <c r="IG2" s="785" t="s">
        <v>2436</v>
      </c>
      <c r="IH2" s="785" t="s">
        <v>2420</v>
      </c>
      <c r="II2" s="785" t="s">
        <v>1867</v>
      </c>
      <c r="IJ2" s="785" t="s">
        <v>2437</v>
      </c>
      <c r="IK2" s="785" t="s">
        <v>1868</v>
      </c>
      <c r="IL2" s="785" t="s">
        <v>1869</v>
      </c>
      <c r="IM2" s="785" t="s">
        <v>1870</v>
      </c>
      <c r="IN2" s="785" t="s">
        <v>1871</v>
      </c>
      <c r="IO2" s="785" t="s">
        <v>2438</v>
      </c>
      <c r="IP2" s="785" t="s">
        <v>2422</v>
      </c>
      <c r="IQ2" s="785" t="s">
        <v>1872</v>
      </c>
      <c r="IR2" s="785" t="s">
        <v>2439</v>
      </c>
      <c r="IS2" s="785" t="s">
        <v>1873</v>
      </c>
      <c r="IT2" s="785" t="s">
        <v>1874</v>
      </c>
      <c r="IU2" s="785" t="s">
        <v>1875</v>
      </c>
      <c r="IV2" s="785" t="s">
        <v>1876</v>
      </c>
      <c r="IW2" s="785" t="s">
        <v>2440</v>
      </c>
      <c r="IX2" s="785" t="s">
        <v>2424</v>
      </c>
    </row>
    <row r="3" spans="1:258">
      <c r="A3">
        <v>101</v>
      </c>
      <c r="B3" t="s">
        <v>2013</v>
      </c>
      <c r="C3">
        <v>0</v>
      </c>
      <c r="D3" s="136">
        <v>0</v>
      </c>
      <c r="E3" s="900" t="s">
        <v>2085</v>
      </c>
      <c r="F3" s="26">
        <v>2</v>
      </c>
      <c r="G3" s="136">
        <v>500</v>
      </c>
      <c r="H3" s="136">
        <v>22</v>
      </c>
      <c r="I3" s="28">
        <v>250</v>
      </c>
      <c r="J3" s="26">
        <v>1940</v>
      </c>
      <c r="K3" s="136">
        <v>12</v>
      </c>
      <c r="L3" s="28">
        <v>120</v>
      </c>
      <c r="M3" s="26">
        <v>2600</v>
      </c>
      <c r="N3" s="28">
        <v>12</v>
      </c>
      <c r="O3" s="26">
        <v>0</v>
      </c>
      <c r="P3" s="26">
        <v>290</v>
      </c>
      <c r="Q3" s="26">
        <f>+Section!L64</f>
        <v>5450</v>
      </c>
      <c r="R3" s="169">
        <v>0</v>
      </c>
      <c r="S3" s="210">
        <v>0</v>
      </c>
      <c r="T3" s="27">
        <v>1175</v>
      </c>
      <c r="U3" s="27">
        <v>2350</v>
      </c>
      <c r="V3" s="28">
        <v>3850</v>
      </c>
      <c r="W3" s="210">
        <v>19</v>
      </c>
      <c r="X3" s="210">
        <v>200</v>
      </c>
      <c r="Y3" s="27">
        <v>50</v>
      </c>
      <c r="Z3" s="210">
        <v>16</v>
      </c>
      <c r="AA3" s="210">
        <v>200</v>
      </c>
      <c r="AB3" s="28">
        <v>40</v>
      </c>
      <c r="AC3" s="210">
        <v>0</v>
      </c>
      <c r="AD3" s="26">
        <v>2</v>
      </c>
      <c r="AE3" s="169">
        <v>160</v>
      </c>
      <c r="AF3" s="169">
        <v>16</v>
      </c>
      <c r="AG3" s="26">
        <v>0</v>
      </c>
      <c r="AH3" s="169">
        <v>0</v>
      </c>
      <c r="AI3" s="169">
        <v>0</v>
      </c>
      <c r="AJ3" s="397">
        <v>2</v>
      </c>
      <c r="AK3" s="210">
        <v>2500</v>
      </c>
      <c r="AL3" s="210">
        <v>5000</v>
      </c>
      <c r="AM3" s="210" t="s">
        <v>2316</v>
      </c>
      <c r="AN3" s="210">
        <v>1587.5</v>
      </c>
      <c r="AO3" s="1143" t="s">
        <v>2321</v>
      </c>
      <c r="AP3" s="1143" t="s">
        <v>2321</v>
      </c>
      <c r="AQ3" s="136">
        <v>150</v>
      </c>
      <c r="AR3" s="136">
        <v>14</v>
      </c>
      <c r="AS3" s="1143" t="s">
        <v>2448</v>
      </c>
      <c r="AT3" s="136">
        <v>120</v>
      </c>
      <c r="AU3" s="136">
        <v>12</v>
      </c>
      <c r="AV3" s="1108"/>
      <c r="AW3" s="1108"/>
      <c r="AX3" s="1108"/>
      <c r="AY3" s="1108"/>
      <c r="AZ3" s="1108">
        <v>8</v>
      </c>
      <c r="BA3" s="1108">
        <v>6</v>
      </c>
      <c r="BB3" s="1108"/>
      <c r="BC3" s="1168"/>
      <c r="BD3" s="210">
        <f>INDEX(Spec!$B$12:$P$58,MATCH(AO3,Spec!$A$12:$A$58,0),6)*100</f>
        <v>1900</v>
      </c>
      <c r="BE3" s="210">
        <f>INDEX(Spec!$B$12:$P$58,MATCH(AP3,Spec!$A$12:$A$58,0),6)*100</f>
        <v>1900</v>
      </c>
      <c r="BF3" s="881">
        <f t="shared" ref="BF3:BF34" si="0">IF(AM3="W",2.6*AN3*U3/((SQRT(AN3^2+U3^2))^3/BD3+AN3^3/3*2/(G3*H3+N3*BQ3/4)),0)</f>
        <v>0.79858873711493117</v>
      </c>
      <c r="BG3" s="881">
        <f t="shared" ref="BG3:BG34" si="1">P3*(30702/(2*(1+1/6)))/(210000/(2*(1+0.3)))</f>
        <v>47.243485714285718</v>
      </c>
      <c r="BH3" s="881"/>
      <c r="BI3" s="13" cm="1">
        <f t="array" ref="BI3">INDEX(Info!$AD$4:$AH$15,MATCH(Info!$I$13,Info!$AC$4:$AC$15,0),IF(H3&lt;=16,1,IF(H3&lt;=40,2,IF(H3&lt;=75,3,IF(H3&lt;=100,4,5)))))</f>
        <v>380</v>
      </c>
      <c r="BJ3" s="13" cm="1">
        <f t="array" ref="BJ3">INDEX(Info!$AD$4:$AH$15,MATCH(Info!$I$13,Info!$AC$4:$AC$15,0),IF(K3&lt;=16,1,IF(K3&lt;=40,2,IF(K3&lt;=75,3,IF(K3&lt;=100,4,5)))))</f>
        <v>380</v>
      </c>
      <c r="BK3" s="13" cm="1">
        <f t="array" ref="BK3">INDEX(Info!$AD$4:$AH$15,MATCH(Info!$I$14,Info!$AC$4:$AC$15,0),IF(N3&lt;=16,1,IF(N3&lt;=40,2,IF(N3&lt;=75,3,IF(N3&lt;=100,4,5)))))</f>
        <v>355</v>
      </c>
      <c r="BL3" s="13">
        <f>IF(Stress!C832="Positive",MAX(MIN(0.7*BI3,BK3),0.5*BI3),MAX(MIN(0.7*BJ3,BK3),0.5*BJ3))</f>
        <v>266</v>
      </c>
      <c r="BM3" s="13" cm="1">
        <f t="array" ref="BM3">INDEX(Info!$AD$4:$AH$15,MATCH(Info!$I$13,Info!$AC$4:$AC$15,0),IF(AI3&lt;=16,1,IF(AI3&lt;=40,2,IF(AI3&lt;=75,3,IF(AI3&lt;=100,4,5)))))</f>
        <v>380</v>
      </c>
      <c r="BN3" s="13" cm="1">
        <f t="array" ref="BN3">INDEX(Info!$AD$4:$AH$15,MATCH(Info!$I$13,Info!$AC$4:$AC$15,0),IF(AF3&lt;=16,1,IF(AF3&lt;=40,2,IF(AF3&lt;=75,3,IF(AF3&lt;=100,4,5)))))</f>
        <v>380</v>
      </c>
      <c r="BO3" s="13"/>
      <c r="BP3" s="13">
        <f t="shared" ref="BP3:BP34" si="2">+(U3/2-0.5*(J3-2*L3))/M3</f>
        <v>0.125</v>
      </c>
      <c r="BQ3" s="13">
        <f t="shared" ref="BQ3:BQ34" si="3">+SQRT(M3^2+(M3*BP3)^2)</f>
        <v>2620.2337681970284</v>
      </c>
      <c r="BR3" s="13">
        <f>+K3+R3+P3+M3</f>
        <v>2902</v>
      </c>
      <c r="BS3" s="13"/>
      <c r="BT3">
        <f t="shared" ref="BT3:BT34" si="4">(J3-2*L3)*O3+O3*O3*BP3</f>
        <v>0</v>
      </c>
      <c r="BU3" s="136">
        <f t="shared" ref="BU3:BU34" si="5">((J3-2*L3)^2+4*(J3-2*L3)*((J3-2*L3)+2*O3*BP3)+((J3-2*L3)+2*O3*BP3)^2)/36/((J3-2*L3)+((J3-2*L3)+2*O3*BP3))*O3^3</f>
        <v>0</v>
      </c>
      <c r="BV3" s="136">
        <f t="shared" ref="BV3:BV34" si="6">P3*Q3</f>
        <v>1580500</v>
      </c>
      <c r="BW3" s="136">
        <f t="shared" ref="BW3:BW34" si="7">Q3/12*P3^3</f>
        <v>11076670833.333334</v>
      </c>
      <c r="BX3" s="136">
        <f t="shared" ref="BX3:BX34" si="8">R3*S3*2</f>
        <v>0</v>
      </c>
      <c r="BY3" s="136">
        <f t="shared" ref="BY3:BY34" si="9">4/36*S3*R3^3</f>
        <v>0</v>
      </c>
      <c r="BZ3" s="136">
        <f t="shared" ref="BZ3:BZ34" si="10">ROUNDDOWN(Q3/X3,0)*0.25*PI()*W3^2</f>
        <v>7655.2758986349281</v>
      </c>
      <c r="CA3" s="136">
        <f t="shared" ref="CA3:CA34" si="11">ROUNDDOWN(Q3/X3,0)*1/64*PI()*W3^4</f>
        <v>172722.16246295057</v>
      </c>
      <c r="CB3" s="136">
        <f t="shared" ref="CB3:CB34" si="12">ROUNDDOWN(Q3/AA3,0)*0.25*PI()*Z3^2</f>
        <v>5428.6721054031623</v>
      </c>
      <c r="CC3" s="136">
        <f t="shared" ref="CC3:CC34" si="13">ROUNDDOWN(Q3/AA3,0)*1/64*PI()*Z3^4</f>
        <v>86858.753686450596</v>
      </c>
      <c r="CE3" s="1137">
        <f t="shared" ref="CE3:CE34" si="14">(M3/COS(ATAN(BP3))*N3/COS(ATAN(BP3))*COS(ATAN(BP3))*((N3/COS(ATAN(BP3)))^2+(M3/COS(ATAN(BP3)))^2*(SIN(ATAN(BP3)))^2))/12</f>
        <v>277145400.95441002</v>
      </c>
      <c r="CF3" s="1136">
        <f t="shared" ref="CF3:CF34" si="15">AG3*1/12*AH3*AI3^3+AD3*1/12*AE3*AF3^3+IF(AD3=1,0,IF(AD3=2,2*AE3*AF3*((J3-2*L3)/6)^2,IF(AD3=3,2*AE3*AF3*((J3-2*L3)/4)^2,IF(AD3=4,2*AE3*AF3*((J3-2*L3)/10)^2+2*AE3*AF3*((J3-2*L3)*3/10)^2,0))))</f>
        <v>411131448.88888884</v>
      </c>
      <c r="CG3" s="1136">
        <f t="shared" ref="CG3:CG34" si="16">(O3*((J3-2*L3)+(J3-2*L3)+2*O3*BP3)*((J3-2*L3)^2+((J3-2*L3)+2*O3*BP3)^2))/48</f>
        <v>0</v>
      </c>
      <c r="CH3" s="172">
        <f t="shared" ref="CH3:CH34" si="17">1/12*P3*Q3^3</f>
        <v>3912066770833.333</v>
      </c>
      <c r="CI3" s="172"/>
      <c r="CJ3">
        <f t="shared" ref="CJ3:CJ34" si="18">+F3*G3*H3+J3*K3+BQ3*N3*2+AD3*AE3*AF3+AG3*AH3*AI3</f>
        <v>113285.61043672869</v>
      </c>
      <c r="CK3" s="7">
        <f t="shared" ref="CK3:CK34" si="19">1/12*F3*G3*(H3^3)+F3*G3*H3*(CL3-0.5*H3)^2+1/12*J3*K3^3+J3*K3*(CM3-0.5*K3)^2+1/6*N3*BQ3^3*(1/(1+BP3^2))+2*BQ3*N3*(CM3-K3-0.5*M3)^2+1/12*AD3*AF3*AE3^3+AD3*AE3*AF3*(CM3-K3-0.5*AE3)^2+1/12*AG3*AI3*AH3^3+AG3*AH3*AI3*(CL3-H3-AH3/2)^2</f>
        <v>120039163080.32585</v>
      </c>
      <c r="CL3" s="6">
        <f t="shared" ref="CL3:CL34" si="20">+H3+K3+M3-CM3</f>
        <v>1390.9238462846163</v>
      </c>
      <c r="CM3" s="6">
        <f t="shared" ref="CM3:CM34" si="21">+(F3*G3*H3*(0.5*H3+M3+K3)+2*BQ3*N3*(0.5*M3+K3)+J3*K3*0.5*K3+AD3*AE3*AF3*(0.5*AE3+K3) + AG3*AH3*AI3*(M3-0.5*AH3+K3))/CJ3</f>
        <v>1243.0761537153837</v>
      </c>
      <c r="CN3" s="164">
        <f>+CK3/CL3</f>
        <v>86301750.739963204</v>
      </c>
      <c r="CO3" s="164">
        <f>+CK3/CM3</f>
        <v>96566218.18506074</v>
      </c>
      <c r="CP3" s="1137">
        <f t="shared" ref="CP3:CP34" si="22">1/12*K3*J3^3+IF(F3=1,1/12*H3*G3^3,2*1/12*H3*G3^3+2*H3*G3*(U3/2+I3-G3/2)^2)+2*CE3+2*M3*N3/COS(ATAN(BP3))*(J3/2-L3+N3/COS(ATAN(BP3))/2+M3/2*BP3)^2+CF3</f>
        <v>104338771663.54027</v>
      </c>
      <c r="CQ3" s="1136">
        <f t="shared" ref="CQ3:CQ34" si="23">IF(F3=1,4*((J3-2*L3+M3*BP3)*(K3/2+M3+H3/2))^2/(U3/H3+J3/K3+2*BQ3/N3),4*((J3-2*L3+M3*BP3)*(K3/2+M3+BF3/2))^2/(U3/BF3+J3/K3+2*BQ3/N3))</f>
        <v>31467210010.612415</v>
      </c>
      <c r="CR3" s="22">
        <f t="shared" ref="CR3:CR34" si="24">BT3/$CU$1+CJ3</f>
        <v>113285.61043672869</v>
      </c>
      <c r="CS3" s="7">
        <f t="shared" ref="CS3:CS34" si="25">+CK3+CJ3*(CM3-CU3)^2+BU3/$CU$1+BT3/$CU$1*(CU3-K3-O3/2)^2</f>
        <v>120039163080.32585</v>
      </c>
      <c r="CT3" s="6">
        <f t="shared" ref="CT3:CT34" si="26">+H3+K3+M3-CU3</f>
        <v>1390.9238462846163</v>
      </c>
      <c r="CU3" s="12">
        <f t="shared" ref="CU3:CU34" si="27">+(BT3/$CU$1*(O3/2+K3)+CJ3*CM3)/CR3</f>
        <v>1243.0761537153837</v>
      </c>
      <c r="CV3" s="164">
        <f t="shared" ref="CV3:CV34" si="28">+CS3/CT3</f>
        <v>86301750.739963204</v>
      </c>
      <c r="CW3" s="164">
        <f t="shared" ref="CW3:CW34" si="29">+CS3/CU3</f>
        <v>96566218.18506074</v>
      </c>
      <c r="CX3" s="1136">
        <f t="shared" ref="CX3:CX34" si="30">+CP3+CG3/$CU$1</f>
        <v>104338771663.54027</v>
      </c>
      <c r="CY3" s="1136">
        <f t="shared" ref="CY3:CY34" si="31">+CQ3</f>
        <v>31467210010.612415</v>
      </c>
      <c r="CZ3" s="22">
        <f t="shared" ref="CZ3:CZ34" si="32">BT3/$DC$1+CJ3</f>
        <v>113285.61043672869</v>
      </c>
      <c r="DA3" s="7">
        <f t="shared" ref="DA3:DA34" si="33">+CK3+CJ3*(CM3-DC3)^2+BU3/$DC$1+BT3/$DC$1*(DC3-K3-O3/2)^2</f>
        <v>120039163080.32585</v>
      </c>
      <c r="DB3" s="6">
        <f t="shared" ref="DB3:DB34" si="34">+H3+K3+M3-DC3</f>
        <v>1390.9238462846163</v>
      </c>
      <c r="DC3" s="12">
        <f t="shared" ref="DC3:DC34" si="35">+(BT3/$DC$1*(O3/2+K3)+CJ3*CM3)/CZ3</f>
        <v>1243.0761537153837</v>
      </c>
      <c r="DD3" s="164">
        <f>+DA3/DB3</f>
        <v>86301750.739963204</v>
      </c>
      <c r="DE3" s="164">
        <f>+DA3/DC3</f>
        <v>96566218.18506074</v>
      </c>
      <c r="DF3" s="1136">
        <f t="shared" ref="DF3:DF34" si="36">+CP3+CG3/$DC$1</f>
        <v>104338771663.54027</v>
      </c>
      <c r="DG3" s="1136">
        <f t="shared" ref="DG3:DG34" si="37">CQ3</f>
        <v>31467210010.612415</v>
      </c>
      <c r="DH3" s="22">
        <f t="shared" ref="DH3:DH34" si="38">+(BV3+BX3)/$DJ$1+CJ3</f>
        <v>358943.55436390673</v>
      </c>
      <c r="DI3" s="172">
        <f t="shared" ref="DI3:DI34" si="39">BW3/$DJ$1+BV3/$DJ$1*(K3+M3+R3+P3/2-DK3)^2+BY3/$DJ$1+BX3/$DJ$1*(K3+M3+2*R3/3-DK3)^2+CK3+CJ3*(CM3-DK3)^2</f>
        <v>299460829947.74213</v>
      </c>
      <c r="DJ3" s="12">
        <f t="shared" ref="DJ3:DJ34" si="40">+H3+K3+M3-DK3</f>
        <v>354.80712314225229</v>
      </c>
      <c r="DK3" s="22">
        <f t="shared" ref="DK3:DK34" si="41">+(BV3/$DJ$1*(K3+M3+R3+P3/2)+BX3/$DJ$1*(K3+M3+2*R3/3)+CJ3*CM3)/DH3</f>
        <v>2279.1928768577477</v>
      </c>
      <c r="DL3" s="164">
        <f>+DI3/DJ3</f>
        <v>844010197.13372481</v>
      </c>
      <c r="DM3" s="164">
        <f>+DI3/DK3</f>
        <v>131388981.15573239</v>
      </c>
      <c r="DN3" s="7">
        <f t="shared" ref="DN3:DN34" si="42">+CP3+CH3/$DJ$1</f>
        <v>712393361621.62415</v>
      </c>
      <c r="DO3" s="1136">
        <f t="shared" ref="DO3:DO34" si="43">4*((J3-2*L3+M3*BP3)*(K3/2+M3+BG3/2))^2/(U3/BG3+J3/K3+2*BQ3/N3)</f>
        <v>175002722112.11044</v>
      </c>
      <c r="DP3" s="22">
        <f t="shared" ref="DP3:DP34" si="44">+(BV3+BX3)/$DR$1+CJ3</f>
        <v>195171.59174578806</v>
      </c>
      <c r="DQ3" s="172">
        <f t="shared" ref="DQ3:DQ34" si="45">BW3/$DR$1+BV3/$DR$1*(K3+M3+R3+P3/2-DS3)^2+BY3/$DR$1+BX3/$DR$1*(K3+M3+2*R3/3-DS3)^2+CK3+CJ3*(CM3-DS3)^2</f>
        <v>229550135469.24408</v>
      </c>
      <c r="DR3" s="22">
        <f t="shared" ref="DR3:DR34" si="46">+H3+K3+M3-DS3</f>
        <v>755.74359965491362</v>
      </c>
      <c r="DS3" s="22">
        <f t="shared" ref="DS3:DS34" si="47">+(BV3/$DR$1*(K3+M3+R3+P3/2)+BX3/$DR$1*(K3+M3+2*R3/3)+CJ3*CM3)/DP3</f>
        <v>1878.2564003450864</v>
      </c>
      <c r="DT3" s="164">
        <f>+DQ3/DR3</f>
        <v>303740760.19176459</v>
      </c>
      <c r="DU3" s="164">
        <f>+DQ3/DS3</f>
        <v>122214483.29795097</v>
      </c>
      <c r="DV3" s="1136">
        <f t="shared" ref="DV3:DV34" si="48">+CP3+CH3/$DR$1</f>
        <v>307023634982.90155</v>
      </c>
      <c r="DW3" s="1136">
        <f t="shared" ref="DW3:DW34" si="49">DO3</f>
        <v>175002722112.11044</v>
      </c>
      <c r="DX3" s="763">
        <f t="shared" ref="DX3:DX34" si="50">BZ3+CB3+CR3</f>
        <v>126369.55844076678</v>
      </c>
      <c r="DY3" s="7">
        <f t="shared" ref="DY3:DY34" si="51">+CS3+CR3*(CU3-EA3)^2+CA3+BZ3*(DZ3-H3+R3+P3-Y3)^2+CC3+CB3*(DZ3-H3+R3+AB3)^2</f>
        <v>147478061351.25607</v>
      </c>
      <c r="DZ3" s="13">
        <f t="shared" ref="DZ3:DZ34" si="52">+M3+H3+K3-EA3</f>
        <v>1232.932145019611</v>
      </c>
      <c r="EA3" s="763">
        <f t="shared" ref="EA3:EA34" si="53">(BZ3*(K3+M3+R3+P3-Y3)+CB3*(K3+M3+R3+AB3)+CR3*CU3)/DX3</f>
        <v>1401.067854980389</v>
      </c>
      <c r="EB3" s="164">
        <f>+DY3/DZ3</f>
        <v>119615716.03675747</v>
      </c>
      <c r="EC3" s="164">
        <f>+DY3/EA3</f>
        <v>105261184.05116099</v>
      </c>
      <c r="ED3" s="1136">
        <f t="shared" ref="ED3:ED34" si="54">DN3</f>
        <v>712393361621.62415</v>
      </c>
      <c r="EE3" s="1136">
        <f t="shared" ref="EE3:EE34" si="55">DO3</f>
        <v>175002722112.11044</v>
      </c>
      <c r="EF3" s="763">
        <f t="shared" ref="EF3:EF34" si="56">BZ3/3+CB3/3+CZ3</f>
        <v>117646.92643807472</v>
      </c>
      <c r="EG3" s="7">
        <f t="shared" ref="EG3:EG34" si="57">+DA3+CZ3*(DC3-EI3)^2+CA3/3+BZ3/3*(EH3-H3+R3+P3-Y3)^2+CC3/3+CB3/3*(EH3-H3+R3+AB3)^2</f>
        <v>129860445246.22394</v>
      </c>
      <c r="EH3" s="13">
        <f t="shared" ref="EH3:EH34" si="58">+M3+H3+K3-EI3</f>
        <v>1334.3553149719196</v>
      </c>
      <c r="EI3" s="763">
        <f t="shared" ref="EI3:EI34" si="59">(BZ3/3*(K3+M3+R3+P3-Y3)+CB3/3*(K3+M3+R3+AB3)+CZ3*DC3)/EF3</f>
        <v>1299.6446850280804</v>
      </c>
      <c r="EJ3" s="164">
        <f>+EG3/EH3</f>
        <v>97320738.928489029</v>
      </c>
      <c r="EK3" s="164">
        <f>+EG3/EI3</f>
        <v>99919960.233914346</v>
      </c>
      <c r="EL3" s="1136">
        <f>DV3</f>
        <v>307023634982.90155</v>
      </c>
      <c r="EM3" s="1136">
        <f>DW3</f>
        <v>175002722112.11044</v>
      </c>
      <c r="EN3" s="164"/>
      <c r="EO3" s="1113" t="s">
        <v>2161</v>
      </c>
      <c r="EP3" s="1114">
        <v>113285.610436729</v>
      </c>
      <c r="EQ3" s="1114">
        <v>120039163080.326</v>
      </c>
      <c r="ER3" s="1115">
        <v>1390.9238462846199</v>
      </c>
      <c r="ES3" s="1115">
        <v>1243.0761537153801</v>
      </c>
      <c r="ET3" s="1114">
        <v>86301750.739963204</v>
      </c>
      <c r="EU3" s="1114">
        <v>96566218.185060695</v>
      </c>
      <c r="EV3" s="1114">
        <v>104338771663.53999</v>
      </c>
      <c r="EW3" s="1114">
        <v>31467210010.6124</v>
      </c>
      <c r="EX3" s="1114">
        <v>113285.610436729</v>
      </c>
      <c r="EY3" s="1114">
        <v>120039163080.326</v>
      </c>
      <c r="EZ3" s="1115">
        <v>1390.9238462846199</v>
      </c>
      <c r="FA3" s="1115">
        <v>1243.0761537153801</v>
      </c>
      <c r="FB3" s="1114">
        <v>86301750.739963204</v>
      </c>
      <c r="FC3" s="1114">
        <v>96566218.185060695</v>
      </c>
      <c r="FD3" s="1114">
        <v>104338771663.53999</v>
      </c>
      <c r="FE3" s="1114">
        <v>31467210010.6124</v>
      </c>
      <c r="FF3" s="1114">
        <v>113285.610436729</v>
      </c>
      <c r="FG3" s="1114">
        <v>120039163080.326</v>
      </c>
      <c r="FH3" s="1115">
        <v>1390.9238462846199</v>
      </c>
      <c r="FI3" s="1115">
        <v>1243.0761537153801</v>
      </c>
      <c r="FJ3" s="1114">
        <v>86301750.739963204</v>
      </c>
      <c r="FK3" s="1114">
        <v>96566218.185060695</v>
      </c>
      <c r="FL3" s="1114">
        <v>104338771663.53999</v>
      </c>
      <c r="FM3" s="1114">
        <v>31467210010.6124</v>
      </c>
      <c r="FN3" s="1114">
        <v>358943.55436390702</v>
      </c>
      <c r="FO3" s="1114">
        <v>299460829947.742</v>
      </c>
      <c r="FP3" s="1115">
        <v>354.80712314225201</v>
      </c>
      <c r="FQ3" s="1115">
        <v>2279.19287685775</v>
      </c>
      <c r="FR3" s="1114">
        <v>844010197.133726</v>
      </c>
      <c r="FS3" s="1114">
        <v>131388981.15573201</v>
      </c>
      <c r="FT3" s="1114">
        <v>712393361621.625</v>
      </c>
      <c r="FU3" s="1114">
        <v>175002722112.10999</v>
      </c>
      <c r="FV3" s="1114">
        <v>195171.591745788</v>
      </c>
      <c r="FW3" s="1114">
        <v>229550135469.24399</v>
      </c>
      <c r="FX3" s="1115">
        <v>755.74359965491306</v>
      </c>
      <c r="FY3" s="1115">
        <v>1878.25640034509</v>
      </c>
      <c r="FZ3" s="1114">
        <v>303740760.19176501</v>
      </c>
      <c r="GA3" s="1114">
        <v>122214483.297951</v>
      </c>
      <c r="GB3" s="1114">
        <v>307023634982.90198</v>
      </c>
      <c r="GC3" s="1114">
        <v>175002722112.10999</v>
      </c>
      <c r="GD3" s="1114">
        <v>126369.558440767</v>
      </c>
      <c r="GE3" s="1114">
        <v>147478061351.25601</v>
      </c>
      <c r="GF3" s="1115">
        <v>1232.9321450196101</v>
      </c>
      <c r="GG3" s="1115">
        <v>1401.0678549803899</v>
      </c>
      <c r="GH3" s="1114">
        <v>119615716.03675701</v>
      </c>
      <c r="GI3" s="1114">
        <v>105261184.05116101</v>
      </c>
      <c r="GJ3" s="1114">
        <v>712393361621.625</v>
      </c>
      <c r="GK3" s="1114">
        <v>175002722112.10999</v>
      </c>
      <c r="GL3" s="1114">
        <v>117646.926438075</v>
      </c>
      <c r="GM3" s="1114">
        <v>129860445246.224</v>
      </c>
      <c r="GN3" s="1115">
        <v>1334.3553149719201</v>
      </c>
      <c r="GO3" s="1115">
        <v>1299.6446850280799</v>
      </c>
      <c r="GP3" s="1114">
        <v>97320738.928489</v>
      </c>
      <c r="GQ3" s="1114">
        <v>99919960.233914301</v>
      </c>
      <c r="GR3" s="1114">
        <v>307023634982.90198</v>
      </c>
      <c r="GS3" s="1114">
        <v>175002722112.10999</v>
      </c>
      <c r="GU3" s="1171">
        <f t="shared" ref="GU3:GU34" si="60">CJ3-EP3</f>
        <v>-3.0559021979570389E-10</v>
      </c>
      <c r="GV3" s="1171">
        <f t="shared" ref="GV3:GV34" si="61">CK3-EQ3</f>
        <v>-1.52587890625E-4</v>
      </c>
      <c r="GW3" s="1171">
        <f t="shared" ref="GW3:GW34" si="62">CL3-ER3</f>
        <v>-3.637978807091713E-12</v>
      </c>
      <c r="GX3" s="1171">
        <f t="shared" ref="GX3:GX34" si="63">CM3-ES3</f>
        <v>3.637978807091713E-12</v>
      </c>
      <c r="GY3" s="1171">
        <f t="shared" ref="GY3:GY34" si="64">CN3-ET3</f>
        <v>0</v>
      </c>
      <c r="GZ3" s="1171">
        <f t="shared" ref="GZ3:GZ34" si="65">CO3-EU3</f>
        <v>0</v>
      </c>
      <c r="HA3" s="1170">
        <f>(CP3-EV3)</f>
        <v>2.74658203125E-4</v>
      </c>
      <c r="HB3" s="1171">
        <f t="shared" ref="HB3:HB34" si="66">CQ3-EW3</f>
        <v>0</v>
      </c>
      <c r="HC3" s="1171">
        <f t="shared" ref="HC3:HC34" si="67">CR3-EX3</f>
        <v>-3.0559021979570389E-10</v>
      </c>
      <c r="HD3" s="1171">
        <f t="shared" ref="HD3:HD34" si="68">CS3-EY3</f>
        <v>-1.52587890625E-4</v>
      </c>
      <c r="HE3" s="1171">
        <f t="shared" ref="HE3:HE34" si="69">CT3-EZ3</f>
        <v>-3.637978807091713E-12</v>
      </c>
      <c r="HF3" s="1171">
        <f t="shared" ref="HF3:HF34" si="70">CU3-FA3</f>
        <v>3.637978807091713E-12</v>
      </c>
      <c r="HG3" s="1171">
        <f t="shared" ref="HG3:IX6" si="71">CV3-FB3</f>
        <v>0</v>
      </c>
      <c r="HH3" s="1171">
        <f t="shared" si="71"/>
        <v>0</v>
      </c>
      <c r="HI3" s="1171">
        <f t="shared" si="71"/>
        <v>2.74658203125E-4</v>
      </c>
      <c r="HJ3" s="1171">
        <f t="shared" si="71"/>
        <v>0</v>
      </c>
      <c r="HK3" s="1171">
        <f t="shared" si="71"/>
        <v>-3.0559021979570389E-10</v>
      </c>
      <c r="HL3" s="1171">
        <f t="shared" si="71"/>
        <v>-1.52587890625E-4</v>
      </c>
      <c r="HM3" s="1171">
        <f t="shared" si="71"/>
        <v>-3.637978807091713E-12</v>
      </c>
      <c r="HN3" s="1171">
        <f t="shared" si="71"/>
        <v>3.637978807091713E-12</v>
      </c>
      <c r="HO3" s="1171">
        <f t="shared" si="71"/>
        <v>0</v>
      </c>
      <c r="HP3" s="1171">
        <f t="shared" si="71"/>
        <v>0</v>
      </c>
      <c r="HQ3" s="1171">
        <f t="shared" si="71"/>
        <v>2.74658203125E-4</v>
      </c>
      <c r="HR3" s="1171">
        <f t="shared" si="71"/>
        <v>0</v>
      </c>
      <c r="HS3" s="1171">
        <f t="shared" si="71"/>
        <v>0</v>
      </c>
      <c r="HT3" s="1171">
        <f t="shared" si="71"/>
        <v>0</v>
      </c>
      <c r="HU3" s="1171">
        <f t="shared" si="71"/>
        <v>0</v>
      </c>
      <c r="HV3" s="1171">
        <f t="shared" si="71"/>
        <v>0</v>
      </c>
      <c r="HW3" s="1171">
        <f t="shared" si="71"/>
        <v>-1.1920928955078125E-6</v>
      </c>
      <c r="HX3" s="1171">
        <f t="shared" si="71"/>
        <v>3.8743019104003906E-7</v>
      </c>
      <c r="HY3" s="1171">
        <f t="shared" si="71"/>
        <v>0</v>
      </c>
      <c r="HZ3" s="1171">
        <f t="shared" si="71"/>
        <v>4.57763671875E-4</v>
      </c>
      <c r="IA3" s="1171">
        <f t="shared" si="71"/>
        <v>0</v>
      </c>
      <c r="IB3" s="1171">
        <f t="shared" si="71"/>
        <v>0</v>
      </c>
      <c r="IC3" s="1171">
        <f t="shared" si="71"/>
        <v>0</v>
      </c>
      <c r="ID3" s="1171">
        <f t="shared" si="71"/>
        <v>-3.637978807091713E-12</v>
      </c>
      <c r="IE3" s="1171">
        <f t="shared" si="71"/>
        <v>0</v>
      </c>
      <c r="IF3" s="1171">
        <f t="shared" si="71"/>
        <v>0</v>
      </c>
      <c r="IG3" s="1171">
        <f t="shared" si="71"/>
        <v>0</v>
      </c>
      <c r="IH3" s="1171">
        <f t="shared" si="71"/>
        <v>4.57763671875E-4</v>
      </c>
      <c r="II3" s="1171">
        <f t="shared" si="71"/>
        <v>-2.1827872842550278E-10</v>
      </c>
      <c r="IJ3" s="1171">
        <f t="shared" si="71"/>
        <v>0</v>
      </c>
      <c r="IK3" s="1171">
        <f t="shared" si="71"/>
        <v>0</v>
      </c>
      <c r="IL3" s="1171">
        <f t="shared" si="71"/>
        <v>0</v>
      </c>
      <c r="IM3" s="1171">
        <f t="shared" si="71"/>
        <v>4.6193599700927734E-7</v>
      </c>
      <c r="IN3" s="1171">
        <f t="shared" si="71"/>
        <v>0</v>
      </c>
      <c r="IO3" s="1171">
        <f t="shared" si="71"/>
        <v>0</v>
      </c>
      <c r="IP3" s="1171">
        <f t="shared" si="71"/>
        <v>4.57763671875E-4</v>
      </c>
      <c r="IQ3" s="1171">
        <f t="shared" si="71"/>
        <v>-2.7648638933897018E-10</v>
      </c>
      <c r="IR3" s="1171">
        <f t="shared" si="71"/>
        <v>0</v>
      </c>
      <c r="IS3" s="1171">
        <f t="shared" si="71"/>
        <v>0</v>
      </c>
      <c r="IT3" s="1171">
        <f t="shared" si="71"/>
        <v>0</v>
      </c>
      <c r="IU3" s="1171">
        <f t="shared" si="71"/>
        <v>0</v>
      </c>
      <c r="IV3" s="1171">
        <f t="shared" si="71"/>
        <v>0</v>
      </c>
      <c r="IW3" s="1171">
        <f t="shared" si="71"/>
        <v>0</v>
      </c>
      <c r="IX3" s="1171">
        <f t="shared" si="71"/>
        <v>4.57763671875E-4</v>
      </c>
    </row>
    <row r="4" spans="1:258">
      <c r="B4" t="s">
        <v>2014</v>
      </c>
      <c r="C4">
        <v>0.55000000000000004</v>
      </c>
      <c r="D4" s="136">
        <v>0</v>
      </c>
      <c r="E4" t="s">
        <v>2084</v>
      </c>
      <c r="F4" s="26">
        <v>2</v>
      </c>
      <c r="G4" s="136">
        <v>500</v>
      </c>
      <c r="H4" s="136">
        <v>22</v>
      </c>
      <c r="I4" s="28">
        <v>250</v>
      </c>
      <c r="J4" s="26">
        <v>1940</v>
      </c>
      <c r="K4" s="136">
        <v>12</v>
      </c>
      <c r="L4" s="28">
        <v>120</v>
      </c>
      <c r="M4" s="26">
        <v>2600</v>
      </c>
      <c r="N4" s="28">
        <v>12</v>
      </c>
      <c r="O4" s="26">
        <v>0</v>
      </c>
      <c r="P4" s="26">
        <v>290</v>
      </c>
      <c r="Q4" s="26">
        <f>+Section!L65</f>
        <v>5450</v>
      </c>
      <c r="R4" s="169">
        <v>0</v>
      </c>
      <c r="S4" s="210">
        <v>0</v>
      </c>
      <c r="T4" s="27">
        <v>1175</v>
      </c>
      <c r="U4" s="27">
        <v>2350</v>
      </c>
      <c r="V4" s="28">
        <v>3850</v>
      </c>
      <c r="W4" s="210">
        <v>19</v>
      </c>
      <c r="X4" s="210">
        <v>200</v>
      </c>
      <c r="Y4" s="169">
        <v>50</v>
      </c>
      <c r="Z4" s="210">
        <v>16</v>
      </c>
      <c r="AA4" s="210">
        <v>200</v>
      </c>
      <c r="AB4" s="28">
        <v>40</v>
      </c>
      <c r="AC4" s="210">
        <v>0</v>
      </c>
      <c r="AD4" s="26">
        <v>2</v>
      </c>
      <c r="AE4" s="169">
        <v>160</v>
      </c>
      <c r="AF4" s="169">
        <v>16</v>
      </c>
      <c r="AG4" s="26">
        <v>0</v>
      </c>
      <c r="AH4" s="169">
        <v>0</v>
      </c>
      <c r="AI4" s="169">
        <v>0</v>
      </c>
      <c r="AJ4" s="397">
        <v>2</v>
      </c>
      <c r="AK4" s="210">
        <v>2500</v>
      </c>
      <c r="AL4" s="210">
        <v>5000</v>
      </c>
      <c r="AM4" s="210" t="s">
        <v>2316</v>
      </c>
      <c r="AN4" s="210">
        <v>1587.5</v>
      </c>
      <c r="AO4" s="1143" t="s">
        <v>2321</v>
      </c>
      <c r="AP4" s="1143" t="s">
        <v>2321</v>
      </c>
      <c r="AQ4" s="136">
        <v>150</v>
      </c>
      <c r="AR4" s="136">
        <v>14</v>
      </c>
      <c r="AS4" s="1143" t="s">
        <v>2448</v>
      </c>
      <c r="AT4" s="136">
        <v>120</v>
      </c>
      <c r="AU4" s="136">
        <v>12</v>
      </c>
      <c r="AV4" s="1109" t="s">
        <v>2156</v>
      </c>
      <c r="AW4" s="1109">
        <v>14</v>
      </c>
      <c r="AX4" s="1109">
        <v>400</v>
      </c>
      <c r="AY4" s="1109">
        <v>700</v>
      </c>
      <c r="AZ4" s="1108">
        <v>8</v>
      </c>
      <c r="BA4" s="1108">
        <v>6</v>
      </c>
      <c r="BC4" s="1168"/>
      <c r="BD4" s="210">
        <f>INDEX(Spec!$B$12:$P$58,MATCH(AO4,Spec!$A$12:$A$58,0),6)*100</f>
        <v>1900</v>
      </c>
      <c r="BE4" s="210">
        <f>INDEX(Spec!$B$12:$P$58,MATCH(AP4,Spec!$A$12:$A$58,0),6)*100</f>
        <v>1900</v>
      </c>
      <c r="BF4" s="881">
        <f t="shared" si="0"/>
        <v>0.79858873711493117</v>
      </c>
      <c r="BG4" s="881">
        <f t="shared" si="1"/>
        <v>47.243485714285718</v>
      </c>
      <c r="BH4" s="881"/>
      <c r="BI4" s="13" cm="1">
        <f t="array" ref="BI4">INDEX(Info!$AD$4:$AH$15,MATCH(Info!$I$13,Info!$AC$4:$AC$15,0),IF(H4&lt;=16,1,IF(H4&lt;=40,2,IF(H4&lt;=75,3,IF(H4&lt;=100,4,5)))))</f>
        <v>380</v>
      </c>
      <c r="BJ4" s="13" cm="1">
        <f t="array" ref="BJ4">INDEX(Info!$AD$4:$AH$15,MATCH(Info!$I$13,Info!$AC$4:$AC$15,0),IF(K4&lt;=16,1,IF(K4&lt;=40,2,IF(K4&lt;=75,3,IF(K4&lt;=100,4,5)))))</f>
        <v>380</v>
      </c>
      <c r="BK4" s="13" cm="1">
        <f t="array" ref="BK4">INDEX(Info!$AD$4:$AH$15,MATCH(Info!$I$14,Info!$AC$4:$AC$15,0),IF(N4&lt;=16,1,IF(N4&lt;=40,2,IF(N4&lt;=75,3,IF(N4&lt;=100,4,5)))))</f>
        <v>355</v>
      </c>
      <c r="BL4" s="13">
        <f>IF(Stress!C833="Positive",MAX(MIN(0.7*BI4,BK4),0.5*BI4),MAX(MIN(0.7*BJ4,BK4),0.5*BJ4))</f>
        <v>266</v>
      </c>
      <c r="BM4" s="13" cm="1">
        <f t="array" ref="BM4">INDEX(Info!$AD$4:$AH$15,MATCH(Info!$I$13,Info!$AC$4:$AC$15,0),IF(AI4&lt;=16,1,IF(AI4&lt;=40,2,IF(AI4&lt;=75,3,IF(AI4&lt;=100,4,5)))))</f>
        <v>380</v>
      </c>
      <c r="BN4" s="13" cm="1">
        <f t="array" ref="BN4">INDEX(Info!$AD$4:$AH$15,MATCH(Info!$I$13,Info!$AC$4:$AC$15,0),IF(AF4&lt;=16,1,IF(AF4&lt;=40,2,IF(AF4&lt;=75,3,IF(AF4&lt;=100,4,5)))))</f>
        <v>380</v>
      </c>
      <c r="BO4" s="13"/>
      <c r="BP4" s="13">
        <f t="shared" si="2"/>
        <v>0.125</v>
      </c>
      <c r="BQ4" s="13">
        <f t="shared" si="3"/>
        <v>2620.2337681970284</v>
      </c>
      <c r="BR4" s="13">
        <f t="shared" ref="BR4:BR34" si="72">+K4+R4+P4+M4</f>
        <v>2902</v>
      </c>
      <c r="BS4" s="13"/>
      <c r="BT4" s="136">
        <f t="shared" si="4"/>
        <v>0</v>
      </c>
      <c r="BU4" s="136">
        <f t="shared" si="5"/>
        <v>0</v>
      </c>
      <c r="BV4" s="136">
        <f t="shared" si="6"/>
        <v>1580500</v>
      </c>
      <c r="BW4" s="136">
        <f t="shared" si="7"/>
        <v>11076670833.333334</v>
      </c>
      <c r="BX4" s="136">
        <f t="shared" si="8"/>
        <v>0</v>
      </c>
      <c r="BY4" s="136">
        <f t="shared" si="9"/>
        <v>0</v>
      </c>
      <c r="BZ4" s="136">
        <f t="shared" si="10"/>
        <v>7655.2758986349281</v>
      </c>
      <c r="CA4" s="136">
        <f t="shared" si="11"/>
        <v>172722.16246295057</v>
      </c>
      <c r="CB4" s="136">
        <f t="shared" si="12"/>
        <v>5428.6721054031623</v>
      </c>
      <c r="CC4" s="136">
        <f t="shared" si="13"/>
        <v>86858.753686450596</v>
      </c>
      <c r="CE4" s="1137">
        <f t="shared" si="14"/>
        <v>277145400.95441002</v>
      </c>
      <c r="CF4" s="1136">
        <f t="shared" si="15"/>
        <v>411131448.88888884</v>
      </c>
      <c r="CG4" s="1136">
        <f t="shared" si="16"/>
        <v>0</v>
      </c>
      <c r="CH4" s="172">
        <f t="shared" si="17"/>
        <v>3912066770833.333</v>
      </c>
      <c r="CJ4" s="136">
        <f t="shared" si="18"/>
        <v>113285.61043672869</v>
      </c>
      <c r="CK4" s="7">
        <f t="shared" si="19"/>
        <v>120039163080.32585</v>
      </c>
      <c r="CL4" s="6">
        <f t="shared" si="20"/>
        <v>1390.9238462846163</v>
      </c>
      <c r="CM4" s="6">
        <f t="shared" si="21"/>
        <v>1243.0761537153837</v>
      </c>
      <c r="CN4" s="164">
        <f t="shared" ref="CN4:CN64" si="73">+CK4/CL4</f>
        <v>86301750.739963204</v>
      </c>
      <c r="CO4" s="164">
        <f t="shared" ref="CO4:CO64" si="74">+CK4/CM4</f>
        <v>96566218.18506074</v>
      </c>
      <c r="CP4" s="1137">
        <f t="shared" si="22"/>
        <v>104338771663.54027</v>
      </c>
      <c r="CQ4" s="1136">
        <f t="shared" si="23"/>
        <v>31467210010.612415</v>
      </c>
      <c r="CR4" s="22">
        <f t="shared" si="24"/>
        <v>113285.61043672869</v>
      </c>
      <c r="CS4" s="7">
        <f t="shared" si="25"/>
        <v>120039163080.32585</v>
      </c>
      <c r="CT4" s="6">
        <f t="shared" si="26"/>
        <v>1390.9238462846163</v>
      </c>
      <c r="CU4" s="12">
        <f t="shared" si="27"/>
        <v>1243.0761537153837</v>
      </c>
      <c r="CV4" s="164">
        <f t="shared" si="28"/>
        <v>86301750.739963204</v>
      </c>
      <c r="CW4" s="164">
        <f t="shared" si="29"/>
        <v>96566218.18506074</v>
      </c>
      <c r="CX4" s="1136">
        <f t="shared" si="30"/>
        <v>104338771663.54027</v>
      </c>
      <c r="CY4" s="1136">
        <f t="shared" si="31"/>
        <v>31467210010.612415</v>
      </c>
      <c r="CZ4" s="22">
        <f t="shared" si="32"/>
        <v>113285.61043672869</v>
      </c>
      <c r="DA4" s="7">
        <f t="shared" si="33"/>
        <v>120039163080.32585</v>
      </c>
      <c r="DB4" s="6">
        <f t="shared" si="34"/>
        <v>1390.9238462846163</v>
      </c>
      <c r="DC4" s="12">
        <f t="shared" si="35"/>
        <v>1243.0761537153837</v>
      </c>
      <c r="DD4" s="164">
        <f t="shared" ref="DD4:DD64" si="75">+DA4/DB4</f>
        <v>86301750.739963204</v>
      </c>
      <c r="DE4" s="164">
        <f t="shared" ref="DE4:DE64" si="76">+DA4/DC4</f>
        <v>96566218.18506074</v>
      </c>
      <c r="DF4" s="1136">
        <f t="shared" si="36"/>
        <v>104338771663.54027</v>
      </c>
      <c r="DG4" s="1136">
        <f t="shared" si="37"/>
        <v>31467210010.612415</v>
      </c>
      <c r="DH4" s="22">
        <f t="shared" si="38"/>
        <v>358943.55436390673</v>
      </c>
      <c r="DI4" s="172">
        <f t="shared" si="39"/>
        <v>299460829947.74213</v>
      </c>
      <c r="DJ4" s="12">
        <f t="shared" si="40"/>
        <v>354.80712314225229</v>
      </c>
      <c r="DK4" s="22">
        <f t="shared" si="41"/>
        <v>2279.1928768577477</v>
      </c>
      <c r="DL4" s="164">
        <f t="shared" ref="DL4:DL64" si="77">+DI4/DJ4</f>
        <v>844010197.13372481</v>
      </c>
      <c r="DM4" s="164">
        <f t="shared" ref="DM4:DM64" si="78">+DI4/DK4</f>
        <v>131388981.15573239</v>
      </c>
      <c r="DN4" s="7">
        <f t="shared" si="42"/>
        <v>712393361621.62415</v>
      </c>
      <c r="DO4" s="1136">
        <f t="shared" si="43"/>
        <v>175002722112.11044</v>
      </c>
      <c r="DP4" s="22">
        <f t="shared" si="44"/>
        <v>195171.59174578806</v>
      </c>
      <c r="DQ4" s="172">
        <f t="shared" si="45"/>
        <v>229550135469.24408</v>
      </c>
      <c r="DR4" s="22">
        <f t="shared" si="46"/>
        <v>755.74359965491362</v>
      </c>
      <c r="DS4" s="22">
        <f t="shared" si="47"/>
        <v>1878.2564003450864</v>
      </c>
      <c r="DT4" s="164">
        <f t="shared" ref="DT4:DT64" si="79">+DQ4/DR4</f>
        <v>303740760.19176459</v>
      </c>
      <c r="DU4" s="164">
        <f t="shared" ref="DU4:DU64" si="80">+DQ4/DS4</f>
        <v>122214483.29795097</v>
      </c>
      <c r="DV4" s="1136">
        <f t="shared" si="48"/>
        <v>307023634982.90155</v>
      </c>
      <c r="DW4" s="1136">
        <f t="shared" si="49"/>
        <v>175002722112.11044</v>
      </c>
      <c r="DX4" s="763">
        <f t="shared" si="50"/>
        <v>126369.55844076678</v>
      </c>
      <c r="DY4" s="7">
        <f t="shared" si="51"/>
        <v>147478061351.25607</v>
      </c>
      <c r="DZ4" s="13">
        <f t="shared" si="52"/>
        <v>1232.932145019611</v>
      </c>
      <c r="EA4" s="763">
        <f t="shared" si="53"/>
        <v>1401.067854980389</v>
      </c>
      <c r="EB4" s="164">
        <f t="shared" ref="EB4:EB64" si="81">+DY4/DZ4</f>
        <v>119615716.03675747</v>
      </c>
      <c r="EC4" s="164">
        <f t="shared" ref="EC4:EC64" si="82">+DY4/EA4</f>
        <v>105261184.05116099</v>
      </c>
      <c r="ED4" s="1136">
        <f t="shared" si="54"/>
        <v>712393361621.62415</v>
      </c>
      <c r="EE4" s="1136">
        <f t="shared" si="55"/>
        <v>175002722112.11044</v>
      </c>
      <c r="EF4" s="763">
        <f t="shared" si="56"/>
        <v>117646.92643807472</v>
      </c>
      <c r="EG4" s="7">
        <f t="shared" si="57"/>
        <v>129860445246.22394</v>
      </c>
      <c r="EH4" s="13">
        <f t="shared" si="58"/>
        <v>1334.3553149719196</v>
      </c>
      <c r="EI4" s="763">
        <f t="shared" si="59"/>
        <v>1299.6446850280804</v>
      </c>
      <c r="EJ4" s="164">
        <f t="shared" ref="EJ4:EJ64" si="83">+EG4/EH4</f>
        <v>97320738.928489029</v>
      </c>
      <c r="EK4" s="164">
        <f t="shared" ref="EK4:EK64" si="84">+EG4/EI4</f>
        <v>99919960.233914346</v>
      </c>
      <c r="EL4" s="1136">
        <f t="shared" ref="EL4:EL67" si="85">DV4</f>
        <v>307023634982.90155</v>
      </c>
      <c r="EM4" s="1136">
        <f t="shared" ref="EM4:EM67" si="86">DW4</f>
        <v>175002722112.11044</v>
      </c>
      <c r="EN4" s="164"/>
      <c r="EO4" s="1113" t="s">
        <v>2162</v>
      </c>
      <c r="EP4" s="1114">
        <v>113285.610436729</v>
      </c>
      <c r="EQ4" s="1114">
        <v>120039163080.326</v>
      </c>
      <c r="ER4" s="1115">
        <v>1390.9238462846199</v>
      </c>
      <c r="ES4" s="1115">
        <v>1243.0761537153801</v>
      </c>
      <c r="ET4" s="1114">
        <v>86301750.739963204</v>
      </c>
      <c r="EU4" s="1114">
        <v>96566218.185060695</v>
      </c>
      <c r="EV4" s="1114">
        <v>104338771663.53999</v>
      </c>
      <c r="EW4" s="1114">
        <v>31467210010.6124</v>
      </c>
      <c r="EX4" s="1114">
        <v>113285.610436729</v>
      </c>
      <c r="EY4" s="1114">
        <v>120039163080.326</v>
      </c>
      <c r="EZ4" s="1115">
        <v>1390.9238462846199</v>
      </c>
      <c r="FA4" s="1115">
        <v>1243.0761537153801</v>
      </c>
      <c r="FB4" s="1114">
        <v>86301750.739963204</v>
      </c>
      <c r="FC4" s="1114">
        <v>96566218.185060695</v>
      </c>
      <c r="FD4" s="1114">
        <v>104338771663.53999</v>
      </c>
      <c r="FE4" s="1114">
        <v>31467210010.6124</v>
      </c>
      <c r="FF4" s="1114">
        <v>113285.610436729</v>
      </c>
      <c r="FG4" s="1114">
        <v>120039163080.326</v>
      </c>
      <c r="FH4" s="1115">
        <v>1390.9238462846199</v>
      </c>
      <c r="FI4" s="1115">
        <v>1243.0761537153801</v>
      </c>
      <c r="FJ4" s="1114">
        <v>86301750.739963204</v>
      </c>
      <c r="FK4" s="1114">
        <v>96566218.185060695</v>
      </c>
      <c r="FL4" s="1114">
        <v>104338771663.53999</v>
      </c>
      <c r="FM4" s="1114">
        <v>31467210010.6124</v>
      </c>
      <c r="FN4" s="1114">
        <v>358943.55436390702</v>
      </c>
      <c r="FO4" s="1114">
        <v>299460829947.742</v>
      </c>
      <c r="FP4" s="1115">
        <v>354.80712314225201</v>
      </c>
      <c r="FQ4" s="1115">
        <v>2279.19287685775</v>
      </c>
      <c r="FR4" s="1114">
        <v>844010197.133726</v>
      </c>
      <c r="FS4" s="1114">
        <v>131388981.15573201</v>
      </c>
      <c r="FT4" s="1114">
        <v>712393361621.625</v>
      </c>
      <c r="FU4" s="1114">
        <v>175002722112.10999</v>
      </c>
      <c r="FV4" s="1114">
        <v>195171.591745788</v>
      </c>
      <c r="FW4" s="1114">
        <v>229550135469.24399</v>
      </c>
      <c r="FX4" s="1115">
        <v>755.74359965491306</v>
      </c>
      <c r="FY4" s="1115">
        <v>1878.25640034509</v>
      </c>
      <c r="FZ4" s="1114">
        <v>303740760.19176501</v>
      </c>
      <c r="GA4" s="1114">
        <v>122214483.297951</v>
      </c>
      <c r="GB4" s="1114">
        <v>307023634982.90198</v>
      </c>
      <c r="GC4" s="1114">
        <v>175002722112.10999</v>
      </c>
      <c r="GD4" s="1114">
        <v>126369.558440767</v>
      </c>
      <c r="GE4" s="1114">
        <v>147478061351.25601</v>
      </c>
      <c r="GF4" s="1115">
        <v>1232.9321450196101</v>
      </c>
      <c r="GG4" s="1115">
        <v>1401.0678549803899</v>
      </c>
      <c r="GH4" s="1114">
        <v>119615716.03675701</v>
      </c>
      <c r="GI4" s="1114">
        <v>105261184.05116101</v>
      </c>
      <c r="GJ4" s="1114">
        <v>712393361621.625</v>
      </c>
      <c r="GK4" s="1114">
        <v>175002722112.10999</v>
      </c>
      <c r="GL4" s="1114">
        <v>117646.926438075</v>
      </c>
      <c r="GM4" s="1114">
        <v>129860445246.224</v>
      </c>
      <c r="GN4" s="1115">
        <v>1334.3553149719201</v>
      </c>
      <c r="GO4" s="1115">
        <v>1299.6446850280799</v>
      </c>
      <c r="GP4" s="1114">
        <v>97320738.928489</v>
      </c>
      <c r="GQ4" s="1114">
        <v>99919960.233914301</v>
      </c>
      <c r="GR4" s="1114">
        <v>307023634982.90198</v>
      </c>
      <c r="GS4" s="1114">
        <v>175002722112.10999</v>
      </c>
      <c r="GU4" s="1171">
        <f t="shared" si="60"/>
        <v>-3.0559021979570389E-10</v>
      </c>
      <c r="GV4" s="1171">
        <f t="shared" si="61"/>
        <v>-1.52587890625E-4</v>
      </c>
      <c r="GW4" s="1171">
        <f t="shared" si="62"/>
        <v>-3.637978807091713E-12</v>
      </c>
      <c r="GX4" s="1171">
        <f t="shared" si="63"/>
        <v>3.637978807091713E-12</v>
      </c>
      <c r="GY4" s="1171">
        <f t="shared" si="64"/>
        <v>0</v>
      </c>
      <c r="GZ4" s="1171">
        <f t="shared" si="65"/>
        <v>0</v>
      </c>
      <c r="HA4" s="1171">
        <f t="shared" ref="HA4:HA35" si="87">CP4-EV4</f>
        <v>2.74658203125E-4</v>
      </c>
      <c r="HB4" s="1171">
        <f t="shared" si="66"/>
        <v>0</v>
      </c>
      <c r="HC4" s="1171">
        <f t="shared" si="67"/>
        <v>-3.0559021979570389E-10</v>
      </c>
      <c r="HD4" s="1171">
        <f t="shared" si="68"/>
        <v>-1.52587890625E-4</v>
      </c>
      <c r="HE4" s="1171">
        <f t="shared" si="69"/>
        <v>-3.637978807091713E-12</v>
      </c>
      <c r="HF4" s="1171">
        <f t="shared" si="70"/>
        <v>3.637978807091713E-12</v>
      </c>
      <c r="HG4" s="1171">
        <f t="shared" si="71"/>
        <v>0</v>
      </c>
      <c r="HH4" s="1171">
        <f t="shared" si="71"/>
        <v>0</v>
      </c>
      <c r="HI4" s="1171">
        <f t="shared" si="71"/>
        <v>2.74658203125E-4</v>
      </c>
      <c r="HJ4" s="1171">
        <f t="shared" si="71"/>
        <v>0</v>
      </c>
      <c r="HK4" s="1171">
        <f t="shared" si="71"/>
        <v>-3.0559021979570389E-10</v>
      </c>
      <c r="HL4" s="1171">
        <f t="shared" si="71"/>
        <v>-1.52587890625E-4</v>
      </c>
      <c r="HM4" s="1171">
        <f t="shared" si="71"/>
        <v>-3.637978807091713E-12</v>
      </c>
      <c r="HN4" s="1171">
        <f t="shared" si="71"/>
        <v>3.637978807091713E-12</v>
      </c>
      <c r="HO4" s="1171">
        <f t="shared" si="71"/>
        <v>0</v>
      </c>
      <c r="HP4" s="1171">
        <f t="shared" si="71"/>
        <v>0</v>
      </c>
      <c r="HQ4" s="1171">
        <f t="shared" si="71"/>
        <v>2.74658203125E-4</v>
      </c>
      <c r="HR4" s="1171">
        <f t="shared" si="71"/>
        <v>0</v>
      </c>
      <c r="HS4" s="1171">
        <f t="shared" si="71"/>
        <v>0</v>
      </c>
      <c r="HT4" s="1171">
        <f t="shared" si="71"/>
        <v>0</v>
      </c>
      <c r="HU4" s="1171">
        <f t="shared" si="71"/>
        <v>0</v>
      </c>
      <c r="HV4" s="1171">
        <f t="shared" si="71"/>
        <v>0</v>
      </c>
      <c r="HW4" s="1171">
        <f t="shared" si="71"/>
        <v>-1.1920928955078125E-6</v>
      </c>
      <c r="HX4" s="1171">
        <f t="shared" si="71"/>
        <v>3.8743019104003906E-7</v>
      </c>
      <c r="HY4" s="1171">
        <f t="shared" si="71"/>
        <v>0</v>
      </c>
      <c r="HZ4" s="1171">
        <f t="shared" si="71"/>
        <v>4.57763671875E-4</v>
      </c>
      <c r="IA4" s="1171">
        <f t="shared" si="71"/>
        <v>0</v>
      </c>
      <c r="IB4" s="1171">
        <f t="shared" si="71"/>
        <v>0</v>
      </c>
      <c r="IC4" s="1171">
        <f t="shared" si="71"/>
        <v>0</v>
      </c>
      <c r="ID4" s="1171">
        <f t="shared" si="71"/>
        <v>-3.637978807091713E-12</v>
      </c>
      <c r="IE4" s="1171">
        <f t="shared" si="71"/>
        <v>0</v>
      </c>
      <c r="IF4" s="1171">
        <f t="shared" si="71"/>
        <v>0</v>
      </c>
      <c r="IG4" s="1171">
        <f t="shared" si="71"/>
        <v>0</v>
      </c>
      <c r="IH4" s="1171">
        <f t="shared" si="71"/>
        <v>4.57763671875E-4</v>
      </c>
      <c r="II4" s="1171">
        <f t="shared" si="71"/>
        <v>-2.1827872842550278E-10</v>
      </c>
      <c r="IJ4" s="1171">
        <f t="shared" si="71"/>
        <v>0</v>
      </c>
      <c r="IK4" s="1171">
        <f t="shared" si="71"/>
        <v>0</v>
      </c>
      <c r="IL4" s="1171">
        <f t="shared" si="71"/>
        <v>0</v>
      </c>
      <c r="IM4" s="1171">
        <f t="shared" si="71"/>
        <v>4.6193599700927734E-7</v>
      </c>
      <c r="IN4" s="1171">
        <f t="shared" si="71"/>
        <v>0</v>
      </c>
      <c r="IO4" s="1171">
        <f t="shared" si="71"/>
        <v>0</v>
      </c>
      <c r="IP4" s="1171">
        <f t="shared" si="71"/>
        <v>4.57763671875E-4</v>
      </c>
      <c r="IQ4" s="1171">
        <f t="shared" si="71"/>
        <v>-2.7648638933897018E-10</v>
      </c>
      <c r="IR4" s="1171">
        <f t="shared" si="71"/>
        <v>0</v>
      </c>
      <c r="IS4" s="1171">
        <f t="shared" si="71"/>
        <v>0</v>
      </c>
      <c r="IT4" s="1171">
        <f t="shared" si="71"/>
        <v>0</v>
      </c>
      <c r="IU4" s="1171">
        <f t="shared" si="71"/>
        <v>0</v>
      </c>
      <c r="IV4" s="1171">
        <f t="shared" si="71"/>
        <v>0</v>
      </c>
      <c r="IW4" s="1171">
        <f t="shared" si="71"/>
        <v>0</v>
      </c>
      <c r="IX4" s="1171">
        <f t="shared" si="71"/>
        <v>4.57763671875E-4</v>
      </c>
    </row>
    <row r="5" spans="1:258">
      <c r="A5">
        <v>102</v>
      </c>
      <c r="B5" t="str">
        <f>LEFT(B3,3)+1&amp;"i"</f>
        <v>102i</v>
      </c>
      <c r="C5">
        <v>0.55000000000000004</v>
      </c>
      <c r="D5" s="136">
        <v>0</v>
      </c>
      <c r="E5" t="s">
        <v>2084</v>
      </c>
      <c r="F5" s="26">
        <v>2</v>
      </c>
      <c r="G5" s="136">
        <v>500</v>
      </c>
      <c r="H5" s="136">
        <v>22</v>
      </c>
      <c r="I5" s="28">
        <v>250</v>
      </c>
      <c r="J5" s="26">
        <v>1940</v>
      </c>
      <c r="K5" s="136">
        <v>12</v>
      </c>
      <c r="L5" s="28">
        <v>120</v>
      </c>
      <c r="M5" s="26">
        <v>2600</v>
      </c>
      <c r="N5" s="28">
        <v>12</v>
      </c>
      <c r="O5" s="26">
        <v>0</v>
      </c>
      <c r="P5" s="26">
        <v>290</v>
      </c>
      <c r="Q5" s="26">
        <f>+Section!L66</f>
        <v>5450</v>
      </c>
      <c r="R5" s="169">
        <v>0</v>
      </c>
      <c r="S5" s="210">
        <v>0</v>
      </c>
      <c r="T5" s="27">
        <v>1175</v>
      </c>
      <c r="U5" s="27">
        <v>2350</v>
      </c>
      <c r="V5" s="28">
        <v>3850</v>
      </c>
      <c r="W5" s="210">
        <v>19</v>
      </c>
      <c r="X5" s="210">
        <v>200</v>
      </c>
      <c r="Y5" s="169">
        <v>50</v>
      </c>
      <c r="Z5" s="210">
        <v>16</v>
      </c>
      <c r="AA5" s="210">
        <v>200</v>
      </c>
      <c r="AB5" s="28">
        <v>40</v>
      </c>
      <c r="AC5" s="210">
        <v>0</v>
      </c>
      <c r="AD5" s="26">
        <v>2</v>
      </c>
      <c r="AE5" s="169">
        <v>160</v>
      </c>
      <c r="AF5" s="169">
        <v>16</v>
      </c>
      <c r="AG5" s="26">
        <v>0</v>
      </c>
      <c r="AH5" s="169">
        <v>0</v>
      </c>
      <c r="AI5" s="169">
        <v>0</v>
      </c>
      <c r="AJ5" s="397">
        <v>2</v>
      </c>
      <c r="AK5" s="210">
        <v>2500</v>
      </c>
      <c r="AL5" s="210">
        <v>5000</v>
      </c>
      <c r="AM5" s="210" t="s">
        <v>2316</v>
      </c>
      <c r="AN5" s="210">
        <v>1587.5</v>
      </c>
      <c r="AO5" s="1143" t="s">
        <v>2321</v>
      </c>
      <c r="AP5" s="1143" t="s">
        <v>2321</v>
      </c>
      <c r="AQ5" s="136">
        <v>150</v>
      </c>
      <c r="AR5" s="136">
        <v>14</v>
      </c>
      <c r="AS5" s="1143" t="s">
        <v>2448</v>
      </c>
      <c r="AT5" s="136">
        <v>120</v>
      </c>
      <c r="AU5" s="136">
        <v>12</v>
      </c>
      <c r="AV5" s="1109" t="s">
        <v>2156</v>
      </c>
      <c r="AW5" s="1109">
        <v>14</v>
      </c>
      <c r="AX5" s="1109">
        <v>400</v>
      </c>
      <c r="AY5" s="1109">
        <v>700</v>
      </c>
      <c r="AZ5" s="1108">
        <v>8</v>
      </c>
      <c r="BA5" s="1108">
        <v>6</v>
      </c>
      <c r="BC5" s="1168"/>
      <c r="BD5" s="210">
        <f>INDEX(Spec!$B$12:$P$58,MATCH(AO5,Spec!$A$12:$A$58,0),6)*100</f>
        <v>1900</v>
      </c>
      <c r="BE5" s="210">
        <f>INDEX(Spec!$B$12:$P$58,MATCH(AP5,Spec!$A$12:$A$58,0),6)*100</f>
        <v>1900</v>
      </c>
      <c r="BF5" s="881">
        <f t="shared" si="0"/>
        <v>0.79858873711493117</v>
      </c>
      <c r="BG5" s="881">
        <f t="shared" si="1"/>
        <v>47.243485714285718</v>
      </c>
      <c r="BH5" s="881"/>
      <c r="BI5" s="13" cm="1">
        <f t="array" ref="BI5">INDEX(Info!$AD$4:$AH$15,MATCH(Info!$I$13,Info!$AC$4:$AC$15,0),IF(H5&lt;=16,1,IF(H5&lt;=40,2,IF(H5&lt;=75,3,IF(H5&lt;=100,4,5)))))</f>
        <v>380</v>
      </c>
      <c r="BJ5" s="13" cm="1">
        <f t="array" ref="BJ5">INDEX(Info!$AD$4:$AH$15,MATCH(Info!$I$13,Info!$AC$4:$AC$15,0),IF(K5&lt;=16,1,IF(K5&lt;=40,2,IF(K5&lt;=75,3,IF(K5&lt;=100,4,5)))))</f>
        <v>380</v>
      </c>
      <c r="BK5" s="13" cm="1">
        <f t="array" ref="BK5">INDEX(Info!$AD$4:$AH$15,MATCH(Info!$I$14,Info!$AC$4:$AC$15,0),IF(N5&lt;=16,1,IF(N5&lt;=40,2,IF(N5&lt;=75,3,IF(N5&lt;=100,4,5)))))</f>
        <v>355</v>
      </c>
      <c r="BL5" s="13">
        <f>IF(Stress!C834="Positive",MAX(MIN(0.7*BI5,BK5),0.5*BI5),MAX(MIN(0.7*BJ5,BK5),0.5*BJ5))</f>
        <v>266</v>
      </c>
      <c r="BM5" s="13" cm="1">
        <f t="array" ref="BM5">INDEX(Info!$AD$4:$AH$15,MATCH(Info!$I$13,Info!$AC$4:$AC$15,0),IF(AI5&lt;=16,1,IF(AI5&lt;=40,2,IF(AI5&lt;=75,3,IF(AI5&lt;=100,4,5)))))</f>
        <v>380</v>
      </c>
      <c r="BN5" s="13" cm="1">
        <f t="array" ref="BN5">INDEX(Info!$AD$4:$AH$15,MATCH(Info!$I$13,Info!$AC$4:$AC$15,0),IF(AF5&lt;=16,1,IF(AF5&lt;=40,2,IF(AF5&lt;=75,3,IF(AF5&lt;=100,4,5)))))</f>
        <v>380</v>
      </c>
      <c r="BO5" s="13"/>
      <c r="BP5" s="13">
        <f t="shared" si="2"/>
        <v>0.125</v>
      </c>
      <c r="BQ5" s="13">
        <f t="shared" si="3"/>
        <v>2620.2337681970284</v>
      </c>
      <c r="BR5" s="13">
        <f t="shared" si="72"/>
        <v>2902</v>
      </c>
      <c r="BS5" s="13"/>
      <c r="BT5" s="136">
        <f t="shared" si="4"/>
        <v>0</v>
      </c>
      <c r="BU5" s="136">
        <f t="shared" si="5"/>
        <v>0</v>
      </c>
      <c r="BV5" s="136">
        <f t="shared" si="6"/>
        <v>1580500</v>
      </c>
      <c r="BW5" s="136">
        <f t="shared" si="7"/>
        <v>11076670833.333334</v>
      </c>
      <c r="BX5" s="136">
        <f t="shared" si="8"/>
        <v>0</v>
      </c>
      <c r="BY5" s="136">
        <f t="shared" si="9"/>
        <v>0</v>
      </c>
      <c r="BZ5" s="136">
        <f t="shared" si="10"/>
        <v>7655.2758986349281</v>
      </c>
      <c r="CA5" s="136">
        <f t="shared" si="11"/>
        <v>172722.16246295057</v>
      </c>
      <c r="CB5" s="136">
        <f t="shared" si="12"/>
        <v>5428.6721054031623</v>
      </c>
      <c r="CC5" s="136">
        <f t="shared" si="13"/>
        <v>86858.753686450596</v>
      </c>
      <c r="CE5" s="1137">
        <f t="shared" si="14"/>
        <v>277145400.95441002</v>
      </c>
      <c r="CF5" s="1136">
        <f t="shared" si="15"/>
        <v>411131448.88888884</v>
      </c>
      <c r="CG5" s="1136">
        <f t="shared" si="16"/>
        <v>0</v>
      </c>
      <c r="CH5" s="172">
        <f t="shared" si="17"/>
        <v>3912066770833.333</v>
      </c>
      <c r="CJ5" s="136">
        <f t="shared" si="18"/>
        <v>113285.61043672869</v>
      </c>
      <c r="CK5" s="7">
        <f t="shared" si="19"/>
        <v>120039163080.32585</v>
      </c>
      <c r="CL5" s="6">
        <f t="shared" si="20"/>
        <v>1390.9238462846163</v>
      </c>
      <c r="CM5" s="6">
        <f t="shared" si="21"/>
        <v>1243.0761537153837</v>
      </c>
      <c r="CN5" s="164">
        <f t="shared" si="73"/>
        <v>86301750.739963204</v>
      </c>
      <c r="CO5" s="164">
        <f t="shared" si="74"/>
        <v>96566218.18506074</v>
      </c>
      <c r="CP5" s="1137">
        <f t="shared" si="22"/>
        <v>104338771663.54027</v>
      </c>
      <c r="CQ5" s="1136">
        <f t="shared" si="23"/>
        <v>31467210010.612415</v>
      </c>
      <c r="CR5" s="22">
        <f t="shared" si="24"/>
        <v>113285.61043672869</v>
      </c>
      <c r="CS5" s="7">
        <f t="shared" si="25"/>
        <v>120039163080.32585</v>
      </c>
      <c r="CT5" s="6">
        <f t="shared" si="26"/>
        <v>1390.9238462846163</v>
      </c>
      <c r="CU5" s="12">
        <f t="shared" si="27"/>
        <v>1243.0761537153837</v>
      </c>
      <c r="CV5" s="164">
        <f t="shared" si="28"/>
        <v>86301750.739963204</v>
      </c>
      <c r="CW5" s="164">
        <f t="shared" si="29"/>
        <v>96566218.18506074</v>
      </c>
      <c r="CX5" s="1136">
        <f t="shared" si="30"/>
        <v>104338771663.54027</v>
      </c>
      <c r="CY5" s="1136">
        <f t="shared" si="31"/>
        <v>31467210010.612415</v>
      </c>
      <c r="CZ5" s="22">
        <f t="shared" si="32"/>
        <v>113285.61043672869</v>
      </c>
      <c r="DA5" s="7">
        <f t="shared" si="33"/>
        <v>120039163080.32585</v>
      </c>
      <c r="DB5" s="6">
        <f t="shared" si="34"/>
        <v>1390.9238462846163</v>
      </c>
      <c r="DC5" s="12">
        <f t="shared" si="35"/>
        <v>1243.0761537153837</v>
      </c>
      <c r="DD5" s="164">
        <f t="shared" si="75"/>
        <v>86301750.739963204</v>
      </c>
      <c r="DE5" s="164">
        <f t="shared" si="76"/>
        <v>96566218.18506074</v>
      </c>
      <c r="DF5" s="1136">
        <f t="shared" si="36"/>
        <v>104338771663.54027</v>
      </c>
      <c r="DG5" s="1136">
        <f t="shared" si="37"/>
        <v>31467210010.612415</v>
      </c>
      <c r="DH5" s="22">
        <f t="shared" si="38"/>
        <v>358943.55436390673</v>
      </c>
      <c r="DI5" s="172">
        <f t="shared" si="39"/>
        <v>299460829947.74213</v>
      </c>
      <c r="DJ5" s="12">
        <f t="shared" si="40"/>
        <v>354.80712314225229</v>
      </c>
      <c r="DK5" s="22">
        <f t="shared" si="41"/>
        <v>2279.1928768577477</v>
      </c>
      <c r="DL5" s="164">
        <f t="shared" si="77"/>
        <v>844010197.13372481</v>
      </c>
      <c r="DM5" s="164">
        <f t="shared" si="78"/>
        <v>131388981.15573239</v>
      </c>
      <c r="DN5" s="7">
        <f t="shared" si="42"/>
        <v>712393361621.62415</v>
      </c>
      <c r="DO5" s="1136">
        <f t="shared" si="43"/>
        <v>175002722112.11044</v>
      </c>
      <c r="DP5" s="22">
        <f t="shared" si="44"/>
        <v>195171.59174578806</v>
      </c>
      <c r="DQ5" s="172">
        <f t="shared" si="45"/>
        <v>229550135469.24408</v>
      </c>
      <c r="DR5" s="22">
        <f t="shared" si="46"/>
        <v>755.74359965491362</v>
      </c>
      <c r="DS5" s="22">
        <f t="shared" si="47"/>
        <v>1878.2564003450864</v>
      </c>
      <c r="DT5" s="164">
        <f t="shared" si="79"/>
        <v>303740760.19176459</v>
      </c>
      <c r="DU5" s="164">
        <f t="shared" si="80"/>
        <v>122214483.29795097</v>
      </c>
      <c r="DV5" s="1136">
        <f t="shared" si="48"/>
        <v>307023634982.90155</v>
      </c>
      <c r="DW5" s="1136">
        <f t="shared" si="49"/>
        <v>175002722112.11044</v>
      </c>
      <c r="DX5" s="763">
        <f t="shared" si="50"/>
        <v>126369.55844076678</v>
      </c>
      <c r="DY5" s="7">
        <f t="shared" si="51"/>
        <v>147478061351.25607</v>
      </c>
      <c r="DZ5" s="13">
        <f t="shared" si="52"/>
        <v>1232.932145019611</v>
      </c>
      <c r="EA5" s="763">
        <f t="shared" si="53"/>
        <v>1401.067854980389</v>
      </c>
      <c r="EB5" s="164">
        <f t="shared" si="81"/>
        <v>119615716.03675747</v>
      </c>
      <c r="EC5" s="164">
        <f t="shared" si="82"/>
        <v>105261184.05116099</v>
      </c>
      <c r="ED5" s="1136">
        <f t="shared" si="54"/>
        <v>712393361621.62415</v>
      </c>
      <c r="EE5" s="1136">
        <f t="shared" si="55"/>
        <v>175002722112.11044</v>
      </c>
      <c r="EF5" s="763">
        <f t="shared" si="56"/>
        <v>117646.92643807472</v>
      </c>
      <c r="EG5" s="7">
        <f t="shared" si="57"/>
        <v>129860445246.22394</v>
      </c>
      <c r="EH5" s="13">
        <f t="shared" si="58"/>
        <v>1334.3553149719196</v>
      </c>
      <c r="EI5" s="763">
        <f t="shared" si="59"/>
        <v>1299.6446850280804</v>
      </c>
      <c r="EJ5" s="164">
        <f t="shared" si="83"/>
        <v>97320738.928489029</v>
      </c>
      <c r="EK5" s="164">
        <f t="shared" si="84"/>
        <v>99919960.233914346</v>
      </c>
      <c r="EL5" s="1136">
        <f t="shared" si="85"/>
        <v>307023634982.90155</v>
      </c>
      <c r="EM5" s="1136">
        <f t="shared" si="86"/>
        <v>175002722112.11044</v>
      </c>
      <c r="EN5" s="763"/>
      <c r="EO5" s="1113" t="s">
        <v>2163</v>
      </c>
      <c r="EP5" s="1114">
        <v>113285.610436729</v>
      </c>
      <c r="EQ5" s="1114">
        <v>120039163080.326</v>
      </c>
      <c r="ER5" s="1115">
        <v>1390.9238462846199</v>
      </c>
      <c r="ES5" s="1115">
        <v>1243.0761537153801</v>
      </c>
      <c r="ET5" s="1114">
        <v>86301750.739963204</v>
      </c>
      <c r="EU5" s="1114">
        <v>96566218.185060695</v>
      </c>
      <c r="EV5" s="1114">
        <v>104338771663.53999</v>
      </c>
      <c r="EW5" s="1114">
        <v>31467210010.6124</v>
      </c>
      <c r="EX5" s="1114">
        <v>113285.610436729</v>
      </c>
      <c r="EY5" s="1114">
        <v>120039163080.326</v>
      </c>
      <c r="EZ5" s="1115">
        <v>1390.9238462846199</v>
      </c>
      <c r="FA5" s="1115">
        <v>1243.0761537153801</v>
      </c>
      <c r="FB5" s="1114">
        <v>86301750.739963204</v>
      </c>
      <c r="FC5" s="1114">
        <v>96566218.185060695</v>
      </c>
      <c r="FD5" s="1114">
        <v>104338771663.53999</v>
      </c>
      <c r="FE5" s="1114">
        <v>31467210010.6124</v>
      </c>
      <c r="FF5" s="1114">
        <v>113285.610436729</v>
      </c>
      <c r="FG5" s="1114">
        <v>120039163080.326</v>
      </c>
      <c r="FH5" s="1115">
        <v>1390.9238462846199</v>
      </c>
      <c r="FI5" s="1115">
        <v>1243.0761537153801</v>
      </c>
      <c r="FJ5" s="1114">
        <v>86301750.739963204</v>
      </c>
      <c r="FK5" s="1114">
        <v>96566218.185060695</v>
      </c>
      <c r="FL5" s="1114">
        <v>104338771663.53999</v>
      </c>
      <c r="FM5" s="1114">
        <v>31467210010.6124</v>
      </c>
      <c r="FN5" s="1114">
        <v>358943.55436390702</v>
      </c>
      <c r="FO5" s="1114">
        <v>299460829947.742</v>
      </c>
      <c r="FP5" s="1115">
        <v>354.80712314225201</v>
      </c>
      <c r="FQ5" s="1115">
        <v>2279.19287685775</v>
      </c>
      <c r="FR5" s="1114">
        <v>844010197.133726</v>
      </c>
      <c r="FS5" s="1114">
        <v>131388981.15573201</v>
      </c>
      <c r="FT5" s="1114">
        <v>712393361621.625</v>
      </c>
      <c r="FU5" s="1114">
        <v>175002722112.10999</v>
      </c>
      <c r="FV5" s="1114">
        <v>195171.591745788</v>
      </c>
      <c r="FW5" s="1114">
        <v>229550135469.24399</v>
      </c>
      <c r="FX5" s="1115">
        <v>755.74359965491306</v>
      </c>
      <c r="FY5" s="1115">
        <v>1878.25640034509</v>
      </c>
      <c r="FZ5" s="1114">
        <v>303740760.19176501</v>
      </c>
      <c r="GA5" s="1114">
        <v>122214483.297951</v>
      </c>
      <c r="GB5" s="1114">
        <v>307023634982.90198</v>
      </c>
      <c r="GC5" s="1114">
        <v>175002722112.10999</v>
      </c>
      <c r="GD5" s="1114">
        <v>126369.558440767</v>
      </c>
      <c r="GE5" s="1114">
        <v>147478061351.25601</v>
      </c>
      <c r="GF5" s="1115">
        <v>1232.9321450196101</v>
      </c>
      <c r="GG5" s="1115">
        <v>1401.0678549803899</v>
      </c>
      <c r="GH5" s="1114">
        <v>119615716.03675701</v>
      </c>
      <c r="GI5" s="1114">
        <v>105261184.05116101</v>
      </c>
      <c r="GJ5" s="1114">
        <v>712393361621.625</v>
      </c>
      <c r="GK5" s="1114">
        <v>175002722112.10999</v>
      </c>
      <c r="GL5" s="1114">
        <v>117646.926438075</v>
      </c>
      <c r="GM5" s="1114">
        <v>129860445246.224</v>
      </c>
      <c r="GN5" s="1115">
        <v>1334.3553149719201</v>
      </c>
      <c r="GO5" s="1115">
        <v>1299.6446850280799</v>
      </c>
      <c r="GP5" s="1114">
        <v>97320738.928489</v>
      </c>
      <c r="GQ5" s="1114">
        <v>99919960.233914301</v>
      </c>
      <c r="GR5" s="1114">
        <v>307023634982.90198</v>
      </c>
      <c r="GS5" s="1114">
        <v>175002722112.10999</v>
      </c>
      <c r="GU5" s="1171">
        <f t="shared" si="60"/>
        <v>-3.0559021979570389E-10</v>
      </c>
      <c r="GV5" s="1171">
        <f t="shared" si="61"/>
        <v>-1.52587890625E-4</v>
      </c>
      <c r="GW5" s="1171">
        <f t="shared" si="62"/>
        <v>-3.637978807091713E-12</v>
      </c>
      <c r="GX5" s="1171">
        <f t="shared" si="63"/>
        <v>3.637978807091713E-12</v>
      </c>
      <c r="GY5" s="1171">
        <f t="shared" si="64"/>
        <v>0</v>
      </c>
      <c r="GZ5" s="1171">
        <f t="shared" si="65"/>
        <v>0</v>
      </c>
      <c r="HA5" s="1171">
        <f t="shared" si="87"/>
        <v>2.74658203125E-4</v>
      </c>
      <c r="HB5" s="1171">
        <f t="shared" si="66"/>
        <v>0</v>
      </c>
      <c r="HC5" s="1171">
        <f t="shared" si="67"/>
        <v>-3.0559021979570389E-10</v>
      </c>
      <c r="HD5" s="1171">
        <f t="shared" si="68"/>
        <v>-1.52587890625E-4</v>
      </c>
      <c r="HE5" s="1171">
        <f t="shared" si="69"/>
        <v>-3.637978807091713E-12</v>
      </c>
      <c r="HF5" s="1171">
        <f t="shared" si="70"/>
        <v>3.637978807091713E-12</v>
      </c>
      <c r="HG5" s="1171">
        <f t="shared" si="71"/>
        <v>0</v>
      </c>
      <c r="HH5" s="1171">
        <f t="shared" si="71"/>
        <v>0</v>
      </c>
      <c r="HI5" s="1171">
        <f t="shared" si="71"/>
        <v>2.74658203125E-4</v>
      </c>
      <c r="HJ5" s="1171">
        <f t="shared" si="71"/>
        <v>0</v>
      </c>
      <c r="HK5" s="1171">
        <f t="shared" si="71"/>
        <v>-3.0559021979570389E-10</v>
      </c>
      <c r="HL5" s="1171">
        <f t="shared" si="71"/>
        <v>-1.52587890625E-4</v>
      </c>
      <c r="HM5" s="1171">
        <f t="shared" si="71"/>
        <v>-3.637978807091713E-12</v>
      </c>
      <c r="HN5" s="1171">
        <f t="shared" si="71"/>
        <v>3.637978807091713E-12</v>
      </c>
      <c r="HO5" s="1171">
        <f t="shared" si="71"/>
        <v>0</v>
      </c>
      <c r="HP5" s="1171">
        <f t="shared" si="71"/>
        <v>0</v>
      </c>
      <c r="HQ5" s="1171">
        <f t="shared" si="71"/>
        <v>2.74658203125E-4</v>
      </c>
      <c r="HR5" s="1171">
        <f t="shared" si="71"/>
        <v>0</v>
      </c>
      <c r="HS5" s="1171">
        <f t="shared" si="71"/>
        <v>0</v>
      </c>
      <c r="HT5" s="1171">
        <f t="shared" si="71"/>
        <v>0</v>
      </c>
      <c r="HU5" s="1171">
        <f t="shared" si="71"/>
        <v>0</v>
      </c>
      <c r="HV5" s="1171">
        <f t="shared" si="71"/>
        <v>0</v>
      </c>
      <c r="HW5" s="1171">
        <f t="shared" si="71"/>
        <v>-1.1920928955078125E-6</v>
      </c>
      <c r="HX5" s="1171">
        <f t="shared" si="71"/>
        <v>3.8743019104003906E-7</v>
      </c>
      <c r="HY5" s="1171">
        <f t="shared" si="71"/>
        <v>0</v>
      </c>
      <c r="HZ5" s="1171">
        <f t="shared" si="71"/>
        <v>4.57763671875E-4</v>
      </c>
      <c r="IA5" s="1171">
        <f t="shared" si="71"/>
        <v>0</v>
      </c>
      <c r="IB5" s="1171">
        <f t="shared" si="71"/>
        <v>0</v>
      </c>
      <c r="IC5" s="1171">
        <f t="shared" si="71"/>
        <v>0</v>
      </c>
      <c r="ID5" s="1171">
        <f t="shared" si="71"/>
        <v>-3.637978807091713E-12</v>
      </c>
      <c r="IE5" s="1171">
        <f t="shared" si="71"/>
        <v>0</v>
      </c>
      <c r="IF5" s="1171">
        <f t="shared" si="71"/>
        <v>0</v>
      </c>
      <c r="IG5" s="1171">
        <f t="shared" si="71"/>
        <v>0</v>
      </c>
      <c r="IH5" s="1171">
        <f t="shared" si="71"/>
        <v>4.57763671875E-4</v>
      </c>
      <c r="II5" s="1171">
        <f t="shared" si="71"/>
        <v>-2.1827872842550278E-10</v>
      </c>
      <c r="IJ5" s="1171">
        <f t="shared" si="71"/>
        <v>0</v>
      </c>
      <c r="IK5" s="1171">
        <f t="shared" si="71"/>
        <v>0</v>
      </c>
      <c r="IL5" s="1171">
        <f t="shared" si="71"/>
        <v>0</v>
      </c>
      <c r="IM5" s="1171">
        <f t="shared" si="71"/>
        <v>4.6193599700927734E-7</v>
      </c>
      <c r="IN5" s="1171">
        <f t="shared" si="71"/>
        <v>0</v>
      </c>
      <c r="IO5" s="1171">
        <f t="shared" si="71"/>
        <v>0</v>
      </c>
      <c r="IP5" s="1171">
        <f t="shared" si="71"/>
        <v>4.57763671875E-4</v>
      </c>
      <c r="IQ5" s="1171">
        <f t="shared" si="71"/>
        <v>-2.7648638933897018E-10</v>
      </c>
      <c r="IR5" s="1171">
        <f t="shared" si="71"/>
        <v>0</v>
      </c>
      <c r="IS5" s="1171">
        <f t="shared" si="71"/>
        <v>0</v>
      </c>
      <c r="IT5" s="1171">
        <f t="shared" si="71"/>
        <v>0</v>
      </c>
      <c r="IU5" s="1171">
        <f t="shared" si="71"/>
        <v>0</v>
      </c>
      <c r="IV5" s="1171">
        <f t="shared" si="71"/>
        <v>0</v>
      </c>
      <c r="IW5" s="1171">
        <f t="shared" si="71"/>
        <v>0</v>
      </c>
      <c r="IX5" s="1171">
        <f t="shared" si="71"/>
        <v>4.57763671875E-4</v>
      </c>
    </row>
    <row r="6" spans="1:258">
      <c r="B6" s="136" t="str">
        <f>LEFT(B4,3)+1&amp;"j"</f>
        <v>102j</v>
      </c>
      <c r="C6">
        <v>3.2</v>
      </c>
      <c r="D6" s="136">
        <v>0</v>
      </c>
      <c r="E6" t="s">
        <v>2084</v>
      </c>
      <c r="F6" s="26">
        <v>2</v>
      </c>
      <c r="G6" s="136">
        <v>500</v>
      </c>
      <c r="H6" s="136">
        <v>22</v>
      </c>
      <c r="I6" s="28">
        <v>250</v>
      </c>
      <c r="J6" s="26">
        <v>1940</v>
      </c>
      <c r="K6" s="136">
        <v>12</v>
      </c>
      <c r="L6" s="28">
        <v>120</v>
      </c>
      <c r="M6" s="26">
        <v>2600</v>
      </c>
      <c r="N6" s="28">
        <v>12</v>
      </c>
      <c r="O6" s="26">
        <v>0</v>
      </c>
      <c r="P6" s="26">
        <v>290</v>
      </c>
      <c r="Q6" s="26">
        <f>+Section!L67</f>
        <v>5450</v>
      </c>
      <c r="R6" s="169">
        <v>0</v>
      </c>
      <c r="S6" s="210">
        <v>0</v>
      </c>
      <c r="T6" s="27">
        <v>1175</v>
      </c>
      <c r="U6" s="27">
        <v>2350</v>
      </c>
      <c r="V6" s="28">
        <v>3850</v>
      </c>
      <c r="W6" s="210">
        <v>19</v>
      </c>
      <c r="X6" s="210">
        <v>200</v>
      </c>
      <c r="Y6" s="169">
        <v>50</v>
      </c>
      <c r="Z6" s="210">
        <v>16</v>
      </c>
      <c r="AA6" s="210">
        <v>200</v>
      </c>
      <c r="AB6" s="28">
        <v>40</v>
      </c>
      <c r="AC6" s="210">
        <v>0</v>
      </c>
      <c r="AD6" s="26">
        <v>2</v>
      </c>
      <c r="AE6" s="169">
        <v>160</v>
      </c>
      <c r="AF6" s="169">
        <v>16</v>
      </c>
      <c r="AG6" s="26">
        <v>0</v>
      </c>
      <c r="AH6" s="169">
        <v>0</v>
      </c>
      <c r="AI6" s="169">
        <v>0</v>
      </c>
      <c r="AJ6" s="397">
        <v>2</v>
      </c>
      <c r="AK6" s="210">
        <v>2500</v>
      </c>
      <c r="AL6" s="210">
        <v>5000</v>
      </c>
      <c r="AM6" s="210" t="s">
        <v>2316</v>
      </c>
      <c r="AN6" s="210">
        <v>1587.5</v>
      </c>
      <c r="AO6" s="1143" t="s">
        <v>2321</v>
      </c>
      <c r="AP6" s="1143" t="s">
        <v>2321</v>
      </c>
      <c r="AQ6" s="136">
        <v>150</v>
      </c>
      <c r="AR6" s="136">
        <v>14</v>
      </c>
      <c r="AS6" s="1143" t="s">
        <v>2448</v>
      </c>
      <c r="AT6" s="136">
        <v>120</v>
      </c>
      <c r="AU6" s="136">
        <v>12</v>
      </c>
      <c r="AZ6" s="1108">
        <v>8</v>
      </c>
      <c r="BA6" s="1108">
        <v>6</v>
      </c>
      <c r="BC6" s="1168"/>
      <c r="BD6" s="210">
        <f>INDEX(Spec!$B$12:$P$58,MATCH(AO6,Spec!$A$12:$A$58,0),6)*100</f>
        <v>1900</v>
      </c>
      <c r="BE6" s="210">
        <f>INDEX(Spec!$B$12:$P$58,MATCH(AP6,Spec!$A$12:$A$58,0),6)*100</f>
        <v>1900</v>
      </c>
      <c r="BF6" s="881">
        <f t="shared" si="0"/>
        <v>0.79858873711493117</v>
      </c>
      <c r="BG6" s="881">
        <f t="shared" si="1"/>
        <v>47.243485714285718</v>
      </c>
      <c r="BH6" s="881"/>
      <c r="BI6" s="13" cm="1">
        <f t="array" ref="BI6">INDEX(Info!$AD$4:$AH$15,MATCH(Info!$I$13,Info!$AC$4:$AC$15,0),IF(H6&lt;=16,1,IF(H6&lt;=40,2,IF(H6&lt;=75,3,IF(H6&lt;=100,4,5)))))</f>
        <v>380</v>
      </c>
      <c r="BJ6" s="13" cm="1">
        <f t="array" ref="BJ6">INDEX(Info!$AD$4:$AH$15,MATCH(Info!$I$13,Info!$AC$4:$AC$15,0),IF(K6&lt;=16,1,IF(K6&lt;=40,2,IF(K6&lt;=75,3,IF(K6&lt;=100,4,5)))))</f>
        <v>380</v>
      </c>
      <c r="BK6" s="13" cm="1">
        <f t="array" ref="BK6">INDEX(Info!$AD$4:$AH$15,MATCH(Info!$I$14,Info!$AC$4:$AC$15,0),IF(N6&lt;=16,1,IF(N6&lt;=40,2,IF(N6&lt;=75,3,IF(N6&lt;=100,4,5)))))</f>
        <v>355</v>
      </c>
      <c r="BL6" s="13">
        <f>IF(Stress!C835="Positive",MAX(MIN(0.7*BI6,BK6),0.5*BI6),MAX(MIN(0.7*BJ6,BK6),0.5*BJ6))</f>
        <v>266</v>
      </c>
      <c r="BM6" s="13" cm="1">
        <f t="array" ref="BM6">INDEX(Info!$AD$4:$AH$15,MATCH(Info!$I$13,Info!$AC$4:$AC$15,0),IF(AI6&lt;=16,1,IF(AI6&lt;=40,2,IF(AI6&lt;=75,3,IF(AI6&lt;=100,4,5)))))</f>
        <v>380</v>
      </c>
      <c r="BN6" s="13" cm="1">
        <f t="array" ref="BN6">INDEX(Info!$AD$4:$AH$15,MATCH(Info!$I$13,Info!$AC$4:$AC$15,0),IF(AF6&lt;=16,1,IF(AF6&lt;=40,2,IF(AF6&lt;=75,3,IF(AF6&lt;=100,4,5)))))</f>
        <v>380</v>
      </c>
      <c r="BO6" s="13"/>
      <c r="BP6" s="13">
        <f t="shared" si="2"/>
        <v>0.125</v>
      </c>
      <c r="BQ6" s="13">
        <f t="shared" si="3"/>
        <v>2620.2337681970284</v>
      </c>
      <c r="BR6" s="13">
        <f t="shared" si="72"/>
        <v>2902</v>
      </c>
      <c r="BS6" s="13"/>
      <c r="BT6" s="136">
        <f t="shared" si="4"/>
        <v>0</v>
      </c>
      <c r="BU6" s="136">
        <f t="shared" si="5"/>
        <v>0</v>
      </c>
      <c r="BV6" s="136">
        <f t="shared" si="6"/>
        <v>1580500</v>
      </c>
      <c r="BW6" s="136">
        <f t="shared" si="7"/>
        <v>11076670833.333334</v>
      </c>
      <c r="BX6" s="136">
        <f t="shared" si="8"/>
        <v>0</v>
      </c>
      <c r="BY6" s="136">
        <f t="shared" si="9"/>
        <v>0</v>
      </c>
      <c r="BZ6" s="136">
        <f t="shared" si="10"/>
        <v>7655.2758986349281</v>
      </c>
      <c r="CA6" s="136">
        <f t="shared" si="11"/>
        <v>172722.16246295057</v>
      </c>
      <c r="CB6" s="136">
        <f t="shared" si="12"/>
        <v>5428.6721054031623</v>
      </c>
      <c r="CC6" s="136">
        <f t="shared" si="13"/>
        <v>86858.753686450596</v>
      </c>
      <c r="CE6" s="1137">
        <f t="shared" si="14"/>
        <v>277145400.95441002</v>
      </c>
      <c r="CF6" s="1136">
        <f t="shared" si="15"/>
        <v>411131448.88888884</v>
      </c>
      <c r="CG6" s="1136">
        <f t="shared" si="16"/>
        <v>0</v>
      </c>
      <c r="CH6" s="172">
        <f t="shared" si="17"/>
        <v>3912066770833.333</v>
      </c>
      <c r="CJ6" s="136">
        <f t="shared" si="18"/>
        <v>113285.61043672869</v>
      </c>
      <c r="CK6" s="7">
        <f t="shared" si="19"/>
        <v>120039163080.32585</v>
      </c>
      <c r="CL6" s="6">
        <f t="shared" si="20"/>
        <v>1390.9238462846163</v>
      </c>
      <c r="CM6" s="6">
        <f t="shared" si="21"/>
        <v>1243.0761537153837</v>
      </c>
      <c r="CN6" s="164">
        <f t="shared" si="73"/>
        <v>86301750.739963204</v>
      </c>
      <c r="CO6" s="164">
        <f t="shared" si="74"/>
        <v>96566218.18506074</v>
      </c>
      <c r="CP6" s="1137">
        <f t="shared" si="22"/>
        <v>104338771663.54027</v>
      </c>
      <c r="CQ6" s="1136">
        <f t="shared" si="23"/>
        <v>31467210010.612415</v>
      </c>
      <c r="CR6" s="22">
        <f t="shared" si="24"/>
        <v>113285.61043672869</v>
      </c>
      <c r="CS6" s="7">
        <f t="shared" si="25"/>
        <v>120039163080.32585</v>
      </c>
      <c r="CT6" s="6">
        <f t="shared" si="26"/>
        <v>1390.9238462846163</v>
      </c>
      <c r="CU6" s="12">
        <f t="shared" si="27"/>
        <v>1243.0761537153837</v>
      </c>
      <c r="CV6" s="164">
        <f t="shared" si="28"/>
        <v>86301750.739963204</v>
      </c>
      <c r="CW6" s="164">
        <f t="shared" si="29"/>
        <v>96566218.18506074</v>
      </c>
      <c r="CX6" s="1136">
        <f t="shared" si="30"/>
        <v>104338771663.54027</v>
      </c>
      <c r="CY6" s="1136">
        <f t="shared" si="31"/>
        <v>31467210010.612415</v>
      </c>
      <c r="CZ6" s="22">
        <f t="shared" si="32"/>
        <v>113285.61043672869</v>
      </c>
      <c r="DA6" s="7">
        <f t="shared" si="33"/>
        <v>120039163080.32585</v>
      </c>
      <c r="DB6" s="6">
        <f t="shared" si="34"/>
        <v>1390.9238462846163</v>
      </c>
      <c r="DC6" s="12">
        <f t="shared" si="35"/>
        <v>1243.0761537153837</v>
      </c>
      <c r="DD6" s="164">
        <f t="shared" si="75"/>
        <v>86301750.739963204</v>
      </c>
      <c r="DE6" s="164">
        <f t="shared" si="76"/>
        <v>96566218.18506074</v>
      </c>
      <c r="DF6" s="1136">
        <f t="shared" si="36"/>
        <v>104338771663.54027</v>
      </c>
      <c r="DG6" s="1136">
        <f t="shared" si="37"/>
        <v>31467210010.612415</v>
      </c>
      <c r="DH6" s="22">
        <f t="shared" si="38"/>
        <v>358943.55436390673</v>
      </c>
      <c r="DI6" s="172">
        <f t="shared" si="39"/>
        <v>299460829947.74213</v>
      </c>
      <c r="DJ6" s="12">
        <f t="shared" si="40"/>
        <v>354.80712314225229</v>
      </c>
      <c r="DK6" s="22">
        <f t="shared" si="41"/>
        <v>2279.1928768577477</v>
      </c>
      <c r="DL6" s="164">
        <f t="shared" si="77"/>
        <v>844010197.13372481</v>
      </c>
      <c r="DM6" s="164">
        <f t="shared" si="78"/>
        <v>131388981.15573239</v>
      </c>
      <c r="DN6" s="7">
        <f t="shared" si="42"/>
        <v>712393361621.62415</v>
      </c>
      <c r="DO6" s="1136">
        <f t="shared" si="43"/>
        <v>175002722112.11044</v>
      </c>
      <c r="DP6" s="22">
        <f t="shared" si="44"/>
        <v>195171.59174578806</v>
      </c>
      <c r="DQ6" s="172">
        <f t="shared" si="45"/>
        <v>229550135469.24408</v>
      </c>
      <c r="DR6" s="22">
        <f t="shared" si="46"/>
        <v>755.74359965491362</v>
      </c>
      <c r="DS6" s="22">
        <f t="shared" si="47"/>
        <v>1878.2564003450864</v>
      </c>
      <c r="DT6" s="164">
        <f t="shared" si="79"/>
        <v>303740760.19176459</v>
      </c>
      <c r="DU6" s="164">
        <f t="shared" si="80"/>
        <v>122214483.29795097</v>
      </c>
      <c r="DV6" s="1136">
        <f t="shared" si="48"/>
        <v>307023634982.90155</v>
      </c>
      <c r="DW6" s="1136">
        <f t="shared" si="49"/>
        <v>175002722112.11044</v>
      </c>
      <c r="DX6" s="763">
        <f t="shared" si="50"/>
        <v>126369.55844076678</v>
      </c>
      <c r="DY6" s="7">
        <f t="shared" si="51"/>
        <v>147478061351.25607</v>
      </c>
      <c r="DZ6" s="13">
        <f t="shared" si="52"/>
        <v>1232.932145019611</v>
      </c>
      <c r="EA6" s="763">
        <f t="shared" si="53"/>
        <v>1401.067854980389</v>
      </c>
      <c r="EB6" s="164">
        <f t="shared" si="81"/>
        <v>119615716.03675747</v>
      </c>
      <c r="EC6" s="164">
        <f t="shared" si="82"/>
        <v>105261184.05116099</v>
      </c>
      <c r="ED6" s="1136">
        <f t="shared" si="54"/>
        <v>712393361621.62415</v>
      </c>
      <c r="EE6" s="1136">
        <f t="shared" si="55"/>
        <v>175002722112.11044</v>
      </c>
      <c r="EF6" s="763">
        <f t="shared" si="56"/>
        <v>117646.92643807472</v>
      </c>
      <c r="EG6" s="7">
        <f t="shared" si="57"/>
        <v>129860445246.22394</v>
      </c>
      <c r="EH6" s="13">
        <f t="shared" si="58"/>
        <v>1334.3553149719196</v>
      </c>
      <c r="EI6" s="763">
        <f t="shared" si="59"/>
        <v>1299.6446850280804</v>
      </c>
      <c r="EJ6" s="164">
        <f t="shared" si="83"/>
        <v>97320738.928489029</v>
      </c>
      <c r="EK6" s="164">
        <f t="shared" si="84"/>
        <v>99919960.233914346</v>
      </c>
      <c r="EL6" s="1136">
        <f t="shared" si="85"/>
        <v>307023634982.90155</v>
      </c>
      <c r="EM6" s="1136">
        <f t="shared" si="86"/>
        <v>175002722112.11044</v>
      </c>
      <c r="EN6" s="763"/>
      <c r="EO6" s="1113" t="s">
        <v>2164</v>
      </c>
      <c r="EP6" s="1114">
        <v>113285.610436729</v>
      </c>
      <c r="EQ6" s="1114">
        <v>120039163080.326</v>
      </c>
      <c r="ER6" s="1115">
        <v>1390.9238462846199</v>
      </c>
      <c r="ES6" s="1115">
        <v>1243.0761537153801</v>
      </c>
      <c r="ET6" s="1114">
        <v>86301750.739963204</v>
      </c>
      <c r="EU6" s="1114">
        <v>96566218.185060695</v>
      </c>
      <c r="EV6" s="1114">
        <v>104338771663.53999</v>
      </c>
      <c r="EW6" s="1114">
        <v>31467210010.6124</v>
      </c>
      <c r="EX6" s="1114">
        <v>113285.610436729</v>
      </c>
      <c r="EY6" s="1114">
        <v>120039163080.326</v>
      </c>
      <c r="EZ6" s="1115">
        <v>1390.9238462846199</v>
      </c>
      <c r="FA6" s="1115">
        <v>1243.0761537153801</v>
      </c>
      <c r="FB6" s="1114">
        <v>86301750.739963204</v>
      </c>
      <c r="FC6" s="1114">
        <v>96566218.185060695</v>
      </c>
      <c r="FD6" s="1114">
        <v>104338771663.53999</v>
      </c>
      <c r="FE6" s="1114">
        <v>31467210010.6124</v>
      </c>
      <c r="FF6" s="1114">
        <v>113285.610436729</v>
      </c>
      <c r="FG6" s="1114">
        <v>120039163080.326</v>
      </c>
      <c r="FH6" s="1115">
        <v>1390.9238462846199</v>
      </c>
      <c r="FI6" s="1115">
        <v>1243.0761537153801</v>
      </c>
      <c r="FJ6" s="1114">
        <v>86301750.739963204</v>
      </c>
      <c r="FK6" s="1114">
        <v>96566218.185060695</v>
      </c>
      <c r="FL6" s="1114">
        <v>104338771663.53999</v>
      </c>
      <c r="FM6" s="1114">
        <v>31467210010.6124</v>
      </c>
      <c r="FN6" s="1114">
        <v>358943.55436390702</v>
      </c>
      <c r="FO6" s="1114">
        <v>299460829947.742</v>
      </c>
      <c r="FP6" s="1115">
        <v>354.80712314225201</v>
      </c>
      <c r="FQ6" s="1115">
        <v>2279.19287685775</v>
      </c>
      <c r="FR6" s="1114">
        <v>844010197.133726</v>
      </c>
      <c r="FS6" s="1114">
        <v>131388981.15573201</v>
      </c>
      <c r="FT6" s="1114">
        <v>712393361621.625</v>
      </c>
      <c r="FU6" s="1114">
        <v>175002722112.10999</v>
      </c>
      <c r="FV6" s="1114">
        <v>195171.591745788</v>
      </c>
      <c r="FW6" s="1114">
        <v>229550135469.24399</v>
      </c>
      <c r="FX6" s="1115">
        <v>755.74359965491306</v>
      </c>
      <c r="FY6" s="1115">
        <v>1878.25640034509</v>
      </c>
      <c r="FZ6" s="1114">
        <v>303740760.19176501</v>
      </c>
      <c r="GA6" s="1114">
        <v>122214483.297951</v>
      </c>
      <c r="GB6" s="1114">
        <v>307023634982.90198</v>
      </c>
      <c r="GC6" s="1114">
        <v>175002722112.10999</v>
      </c>
      <c r="GD6" s="1114">
        <v>126369.558440767</v>
      </c>
      <c r="GE6" s="1114">
        <v>147478061351.25601</v>
      </c>
      <c r="GF6" s="1115">
        <v>1232.9321450196101</v>
      </c>
      <c r="GG6" s="1115">
        <v>1401.0678549803899</v>
      </c>
      <c r="GH6" s="1114">
        <v>119615716.03675701</v>
      </c>
      <c r="GI6" s="1114">
        <v>105261184.05116101</v>
      </c>
      <c r="GJ6" s="1114">
        <v>712393361621.625</v>
      </c>
      <c r="GK6" s="1114">
        <v>175002722112.10999</v>
      </c>
      <c r="GL6" s="1114">
        <v>117646.926438075</v>
      </c>
      <c r="GM6" s="1114">
        <v>129860445246.224</v>
      </c>
      <c r="GN6" s="1115">
        <v>1334.3553149719201</v>
      </c>
      <c r="GO6" s="1115">
        <v>1299.6446850280799</v>
      </c>
      <c r="GP6" s="1114">
        <v>97320738.928489</v>
      </c>
      <c r="GQ6" s="1114">
        <v>99919960.233914301</v>
      </c>
      <c r="GR6" s="1114">
        <v>307023634982.90198</v>
      </c>
      <c r="GS6" s="1114">
        <v>175002722112.10999</v>
      </c>
      <c r="GU6" s="1171">
        <f t="shared" si="60"/>
        <v>-3.0559021979570389E-10</v>
      </c>
      <c r="GV6" s="1171">
        <f t="shared" si="61"/>
        <v>-1.52587890625E-4</v>
      </c>
      <c r="GW6" s="1171">
        <f t="shared" si="62"/>
        <v>-3.637978807091713E-12</v>
      </c>
      <c r="GX6" s="1171">
        <f t="shared" si="63"/>
        <v>3.637978807091713E-12</v>
      </c>
      <c r="GY6" s="1171">
        <f t="shared" si="64"/>
        <v>0</v>
      </c>
      <c r="GZ6" s="1171">
        <f t="shared" si="65"/>
        <v>0</v>
      </c>
      <c r="HA6" s="1171">
        <f t="shared" si="87"/>
        <v>2.74658203125E-4</v>
      </c>
      <c r="HB6" s="1171">
        <f t="shared" si="66"/>
        <v>0</v>
      </c>
      <c r="HC6" s="1171">
        <f t="shared" si="67"/>
        <v>-3.0559021979570389E-10</v>
      </c>
      <c r="HD6" s="1171">
        <f t="shared" si="68"/>
        <v>-1.52587890625E-4</v>
      </c>
      <c r="HE6" s="1171">
        <f t="shared" si="69"/>
        <v>-3.637978807091713E-12</v>
      </c>
      <c r="HF6" s="1171">
        <f t="shared" si="70"/>
        <v>3.637978807091713E-12</v>
      </c>
      <c r="HG6" s="1171">
        <f t="shared" si="71"/>
        <v>0</v>
      </c>
      <c r="HH6" s="1171">
        <f t="shared" si="71"/>
        <v>0</v>
      </c>
      <c r="HI6" s="1171">
        <f t="shared" si="71"/>
        <v>2.74658203125E-4</v>
      </c>
      <c r="HJ6" s="1171">
        <f t="shared" si="71"/>
        <v>0</v>
      </c>
      <c r="HK6" s="1171">
        <f t="shared" si="71"/>
        <v>-3.0559021979570389E-10</v>
      </c>
      <c r="HL6" s="1171">
        <f t="shared" si="71"/>
        <v>-1.52587890625E-4</v>
      </c>
      <c r="HM6" s="1171">
        <f t="shared" si="71"/>
        <v>-3.637978807091713E-12</v>
      </c>
      <c r="HN6" s="1171">
        <f t="shared" si="71"/>
        <v>3.637978807091713E-12</v>
      </c>
      <c r="HO6" s="1171">
        <f t="shared" si="71"/>
        <v>0</v>
      </c>
      <c r="HP6" s="1171">
        <f t="shared" si="71"/>
        <v>0</v>
      </c>
      <c r="HQ6" s="1171">
        <f t="shared" si="71"/>
        <v>2.74658203125E-4</v>
      </c>
      <c r="HR6" s="1171">
        <f t="shared" si="71"/>
        <v>0</v>
      </c>
      <c r="HS6" s="1171">
        <f t="shared" si="71"/>
        <v>0</v>
      </c>
      <c r="HT6" s="1171">
        <f t="shared" si="71"/>
        <v>0</v>
      </c>
      <c r="HU6" s="1171">
        <f t="shared" si="71"/>
        <v>0</v>
      </c>
      <c r="HV6" s="1171">
        <f t="shared" si="71"/>
        <v>0</v>
      </c>
      <c r="HW6" s="1171">
        <f t="shared" si="71"/>
        <v>-1.1920928955078125E-6</v>
      </c>
      <c r="HX6" s="1171">
        <f t="shared" si="71"/>
        <v>3.8743019104003906E-7</v>
      </c>
      <c r="HY6" s="1171">
        <f t="shared" si="71"/>
        <v>0</v>
      </c>
      <c r="HZ6" s="1171">
        <f t="shared" si="71"/>
        <v>4.57763671875E-4</v>
      </c>
      <c r="IA6" s="1171">
        <f t="shared" si="71"/>
        <v>0</v>
      </c>
      <c r="IB6" s="1171">
        <f t="shared" si="71"/>
        <v>0</v>
      </c>
      <c r="IC6" s="1171">
        <f t="shared" si="71"/>
        <v>0</v>
      </c>
      <c r="ID6" s="1171">
        <f t="shared" si="71"/>
        <v>-3.637978807091713E-12</v>
      </c>
      <c r="IE6" s="1171">
        <f t="shared" si="71"/>
        <v>0</v>
      </c>
      <c r="IF6" s="1171">
        <f t="shared" si="71"/>
        <v>0</v>
      </c>
      <c r="IG6" s="1171">
        <f t="shared" si="71"/>
        <v>0</v>
      </c>
      <c r="IH6" s="1171">
        <f t="shared" si="71"/>
        <v>4.57763671875E-4</v>
      </c>
      <c r="II6" s="1171">
        <f t="shared" si="71"/>
        <v>-2.1827872842550278E-10</v>
      </c>
      <c r="IJ6" s="1171">
        <f t="shared" si="71"/>
        <v>0</v>
      </c>
      <c r="IK6" s="1171">
        <f t="shared" si="71"/>
        <v>0</v>
      </c>
      <c r="IL6" s="1171">
        <f t="shared" si="71"/>
        <v>0</v>
      </c>
      <c r="IM6" s="1171">
        <f t="shared" si="71"/>
        <v>4.6193599700927734E-7</v>
      </c>
      <c r="IN6" s="1171">
        <f t="shared" si="71"/>
        <v>0</v>
      </c>
      <c r="IO6" s="1171">
        <f t="shared" si="71"/>
        <v>0</v>
      </c>
      <c r="IP6" s="1171">
        <f t="shared" si="71"/>
        <v>4.57763671875E-4</v>
      </c>
      <c r="IQ6" s="1171">
        <f t="shared" si="71"/>
        <v>-2.7648638933897018E-10</v>
      </c>
      <c r="IR6" s="1171">
        <f t="shared" si="71"/>
        <v>0</v>
      </c>
      <c r="IS6" s="1171">
        <f t="shared" si="71"/>
        <v>0</v>
      </c>
      <c r="IT6" s="1171">
        <f t="shared" si="71"/>
        <v>0</v>
      </c>
      <c r="IU6" s="1171">
        <f t="shared" si="71"/>
        <v>0</v>
      </c>
      <c r="IV6" s="1171">
        <f t="shared" si="71"/>
        <v>0</v>
      </c>
      <c r="IW6" s="1171">
        <f t="shared" si="71"/>
        <v>0</v>
      </c>
      <c r="IX6" s="1171">
        <f t="shared" si="71"/>
        <v>4.57763671875E-4</v>
      </c>
    </row>
    <row r="7" spans="1:258">
      <c r="A7">
        <v>103</v>
      </c>
      <c r="B7" s="136" t="str">
        <f t="shared" ref="B7" si="88">LEFT(B5,3)+1&amp;"i"</f>
        <v>103i</v>
      </c>
      <c r="C7">
        <v>3.2</v>
      </c>
      <c r="D7" s="136">
        <v>0</v>
      </c>
      <c r="E7" t="s">
        <v>2086</v>
      </c>
      <c r="F7" s="26">
        <v>2</v>
      </c>
      <c r="G7" s="136">
        <v>500</v>
      </c>
      <c r="H7" s="136">
        <v>30</v>
      </c>
      <c r="I7" s="28">
        <v>250</v>
      </c>
      <c r="J7" s="26">
        <v>1940</v>
      </c>
      <c r="K7" s="136">
        <v>18</v>
      </c>
      <c r="L7" s="28">
        <v>120</v>
      </c>
      <c r="M7" s="26">
        <v>2800</v>
      </c>
      <c r="N7" s="28">
        <v>12</v>
      </c>
      <c r="O7" s="26">
        <v>0</v>
      </c>
      <c r="P7" s="26">
        <v>290</v>
      </c>
      <c r="Q7" s="26">
        <f>+Section!L68</f>
        <v>5500</v>
      </c>
      <c r="R7" s="169">
        <v>0</v>
      </c>
      <c r="S7" s="210">
        <v>0</v>
      </c>
      <c r="T7" s="27">
        <v>1200</v>
      </c>
      <c r="U7" s="27">
        <v>2400</v>
      </c>
      <c r="V7" s="28">
        <v>3800</v>
      </c>
      <c r="W7" s="210">
        <v>19</v>
      </c>
      <c r="X7" s="210">
        <v>200</v>
      </c>
      <c r="Y7" s="169">
        <v>50</v>
      </c>
      <c r="Z7" s="210">
        <v>16</v>
      </c>
      <c r="AA7" s="210">
        <v>200</v>
      </c>
      <c r="AB7" s="28">
        <v>40</v>
      </c>
      <c r="AC7" s="210">
        <v>0</v>
      </c>
      <c r="AD7" s="26">
        <v>2</v>
      </c>
      <c r="AE7" s="169">
        <v>160</v>
      </c>
      <c r="AF7" s="169">
        <v>16</v>
      </c>
      <c r="AG7" s="26">
        <v>0</v>
      </c>
      <c r="AH7" s="169">
        <v>0</v>
      </c>
      <c r="AI7" s="169">
        <v>0</v>
      </c>
      <c r="AJ7" s="397">
        <v>2</v>
      </c>
      <c r="AK7" s="210">
        <v>2500</v>
      </c>
      <c r="AL7" s="210">
        <v>5000</v>
      </c>
      <c r="AM7" s="210" t="s">
        <v>2316</v>
      </c>
      <c r="AN7" s="210">
        <v>1587.5</v>
      </c>
      <c r="AO7" s="1143" t="s">
        <v>2321</v>
      </c>
      <c r="AP7" s="1143" t="s">
        <v>2321</v>
      </c>
      <c r="AQ7" s="136">
        <v>150</v>
      </c>
      <c r="AR7" s="136">
        <v>14</v>
      </c>
      <c r="AS7" s="1143" t="s">
        <v>2448</v>
      </c>
      <c r="AT7" s="136">
        <v>120</v>
      </c>
      <c r="AU7" s="136">
        <v>12</v>
      </c>
      <c r="AZ7" s="1108">
        <v>8</v>
      </c>
      <c r="BA7" s="1108">
        <v>6</v>
      </c>
      <c r="BC7" s="1168"/>
      <c r="BD7" s="210">
        <f>INDEX(Spec!$B$12:$P$58,MATCH(AO7,Spec!$A$12:$A$58,0),6)*100</f>
        <v>1900</v>
      </c>
      <c r="BE7" s="210">
        <f>INDEX(Spec!$B$12:$P$58,MATCH(AP7,Spec!$A$12:$A$58,0),6)*100</f>
        <v>1900</v>
      </c>
      <c r="BF7" s="881">
        <f t="shared" si="0"/>
        <v>0.78284436196746643</v>
      </c>
      <c r="BG7" s="881">
        <f t="shared" si="1"/>
        <v>47.243485714285718</v>
      </c>
      <c r="BH7" s="881"/>
      <c r="BI7" s="13" cm="1">
        <f t="array" ref="BI7">INDEX(Info!$AD$4:$AH$15,MATCH(Info!$I$13,Info!$AC$4:$AC$15,0),IF(H7&lt;=16,1,IF(H7&lt;=40,2,IF(H7&lt;=75,3,IF(H7&lt;=100,4,5)))))</f>
        <v>380</v>
      </c>
      <c r="BJ7" s="13" cm="1">
        <f t="array" ref="BJ7">INDEX(Info!$AD$4:$AH$15,MATCH(Info!$I$13,Info!$AC$4:$AC$15,0),IF(K7&lt;=16,1,IF(K7&lt;=40,2,IF(K7&lt;=75,3,IF(K7&lt;=100,4,5)))))</f>
        <v>380</v>
      </c>
      <c r="BK7" s="13" cm="1">
        <f t="array" ref="BK7">INDEX(Info!$AD$4:$AH$15,MATCH(Info!$I$14,Info!$AC$4:$AC$15,0),IF(N7&lt;=16,1,IF(N7&lt;=40,2,IF(N7&lt;=75,3,IF(N7&lt;=100,4,5)))))</f>
        <v>355</v>
      </c>
      <c r="BL7" s="13">
        <f>IF(Stress!C836="Positive",MAX(MIN(0.7*BI7,BK7),0.5*BI7),MAX(MIN(0.7*BJ7,BK7),0.5*BJ7))</f>
        <v>266</v>
      </c>
      <c r="BM7" s="13" cm="1">
        <f t="array" ref="BM7">INDEX(Info!$AD$4:$AH$15,MATCH(Info!$I$13,Info!$AC$4:$AC$15,0),IF(AI7&lt;=16,1,IF(AI7&lt;=40,2,IF(AI7&lt;=75,3,IF(AI7&lt;=100,4,5)))))</f>
        <v>380</v>
      </c>
      <c r="BN7" s="13" cm="1">
        <f t="array" ref="BN7">INDEX(Info!$AD$4:$AH$15,MATCH(Info!$I$13,Info!$AC$4:$AC$15,0),IF(AF7&lt;=16,1,IF(AF7&lt;=40,2,IF(AF7&lt;=75,3,IF(AF7&lt;=100,4,5)))))</f>
        <v>380</v>
      </c>
      <c r="BO7" s="13"/>
      <c r="BP7" s="13">
        <f t="shared" si="2"/>
        <v>0.125</v>
      </c>
      <c r="BQ7" s="13">
        <f t="shared" si="3"/>
        <v>2821.7902119044925</v>
      </c>
      <c r="BR7" s="13">
        <f t="shared" si="72"/>
        <v>3108</v>
      </c>
      <c r="BS7" s="13"/>
      <c r="BT7" s="136">
        <f t="shared" si="4"/>
        <v>0</v>
      </c>
      <c r="BU7" s="136">
        <f t="shared" si="5"/>
        <v>0</v>
      </c>
      <c r="BV7" s="136">
        <f t="shared" si="6"/>
        <v>1595000</v>
      </c>
      <c r="BW7" s="136">
        <f t="shared" si="7"/>
        <v>11178291666.666666</v>
      </c>
      <c r="BX7" s="136">
        <f t="shared" si="8"/>
        <v>0</v>
      </c>
      <c r="BY7" s="136">
        <f t="shared" si="9"/>
        <v>0</v>
      </c>
      <c r="BZ7" s="136">
        <f t="shared" si="10"/>
        <v>7655.2758986349281</v>
      </c>
      <c r="CA7" s="136">
        <f t="shared" si="11"/>
        <v>172722.16246295057</v>
      </c>
      <c r="CB7" s="136">
        <f t="shared" si="12"/>
        <v>5428.6721054031623</v>
      </c>
      <c r="CC7" s="136">
        <f t="shared" si="13"/>
        <v>86858.753686450596</v>
      </c>
      <c r="CE7" s="1137">
        <f t="shared" si="14"/>
        <v>346081987.77679139</v>
      </c>
      <c r="CF7" s="1136">
        <f t="shared" si="15"/>
        <v>411131448.88888884</v>
      </c>
      <c r="CG7" s="1136">
        <f t="shared" si="16"/>
        <v>0</v>
      </c>
      <c r="CH7" s="172">
        <f t="shared" si="17"/>
        <v>4020729166666.6665</v>
      </c>
      <c r="CJ7" s="136">
        <f t="shared" si="18"/>
        <v>137762.96508570784</v>
      </c>
      <c r="CK7" s="7">
        <f t="shared" si="19"/>
        <v>181248618073.21808</v>
      </c>
      <c r="CL7" s="6">
        <f t="shared" si="20"/>
        <v>1528.071930954698</v>
      </c>
      <c r="CM7" s="6">
        <f t="shared" si="21"/>
        <v>1319.928069045302</v>
      </c>
      <c r="CN7" s="164">
        <f t="shared" si="73"/>
        <v>118612621.8285934</v>
      </c>
      <c r="CO7" s="164">
        <f t="shared" si="74"/>
        <v>137317041.98420024</v>
      </c>
      <c r="CP7" s="1137">
        <f t="shared" si="22"/>
        <v>127873762738.52518</v>
      </c>
      <c r="CQ7" s="1136">
        <f t="shared" si="23"/>
        <v>36411229719.221405</v>
      </c>
      <c r="CR7" s="22">
        <f t="shared" si="24"/>
        <v>137762.96508570784</v>
      </c>
      <c r="CS7" s="7">
        <f t="shared" si="25"/>
        <v>181248618073.21808</v>
      </c>
      <c r="CT7" s="6">
        <f t="shared" si="26"/>
        <v>1528.071930954698</v>
      </c>
      <c r="CU7" s="12">
        <f t="shared" si="27"/>
        <v>1319.928069045302</v>
      </c>
      <c r="CV7" s="164">
        <f t="shared" si="28"/>
        <v>118612621.8285934</v>
      </c>
      <c r="CW7" s="164">
        <f t="shared" si="29"/>
        <v>137317041.98420024</v>
      </c>
      <c r="CX7" s="1136">
        <f t="shared" si="30"/>
        <v>127873762738.52518</v>
      </c>
      <c r="CY7" s="1136">
        <f t="shared" si="31"/>
        <v>36411229719.221405</v>
      </c>
      <c r="CZ7" s="22">
        <f t="shared" si="32"/>
        <v>137762.96508570784</v>
      </c>
      <c r="DA7" s="7">
        <f t="shared" si="33"/>
        <v>181248618073.21808</v>
      </c>
      <c r="DB7" s="6">
        <f t="shared" si="34"/>
        <v>1528.071930954698</v>
      </c>
      <c r="DC7" s="12">
        <f t="shared" si="35"/>
        <v>1319.928069045302</v>
      </c>
      <c r="DD7" s="164">
        <f t="shared" si="75"/>
        <v>118612621.8285934</v>
      </c>
      <c r="DE7" s="164">
        <f t="shared" si="76"/>
        <v>137317041.98420024</v>
      </c>
      <c r="DF7" s="1136">
        <f t="shared" si="36"/>
        <v>127873762738.52518</v>
      </c>
      <c r="DG7" s="1136">
        <f t="shared" si="37"/>
        <v>36411229719.221405</v>
      </c>
      <c r="DH7" s="22">
        <f t="shared" si="38"/>
        <v>385674.65161772241</v>
      </c>
      <c r="DI7" s="172">
        <f t="shared" si="39"/>
        <v>422054115505.74689</v>
      </c>
      <c r="DJ7" s="12">
        <f t="shared" si="40"/>
        <v>471.90520652049327</v>
      </c>
      <c r="DK7" s="22">
        <f t="shared" si="41"/>
        <v>2376.0947934795067</v>
      </c>
      <c r="DL7" s="164">
        <f t="shared" si="77"/>
        <v>894362066.09731162</v>
      </c>
      <c r="DM7" s="164">
        <f t="shared" si="78"/>
        <v>177625116.92039824</v>
      </c>
      <c r="DN7" s="7">
        <f t="shared" si="42"/>
        <v>752817805871.31189</v>
      </c>
      <c r="DO7" s="1136">
        <f t="shared" si="43"/>
        <v>214476299647.88208</v>
      </c>
      <c r="DP7" s="22">
        <f t="shared" si="44"/>
        <v>220400.1939297127</v>
      </c>
      <c r="DQ7" s="172">
        <f t="shared" si="45"/>
        <v>321274841805.49976</v>
      </c>
      <c r="DR7" s="22">
        <f t="shared" si="46"/>
        <v>912.01570729835566</v>
      </c>
      <c r="DS7" s="22">
        <f t="shared" si="47"/>
        <v>1935.9842927016443</v>
      </c>
      <c r="DT7" s="164">
        <f t="shared" si="79"/>
        <v>352268978.7407338</v>
      </c>
      <c r="DU7" s="164">
        <f t="shared" si="80"/>
        <v>165949095.25694773</v>
      </c>
      <c r="DV7" s="1136">
        <f t="shared" si="48"/>
        <v>336188443782.78741</v>
      </c>
      <c r="DW7" s="1136">
        <f t="shared" si="49"/>
        <v>214476299647.88208</v>
      </c>
      <c r="DX7" s="763">
        <f t="shared" si="50"/>
        <v>150846.91308974594</v>
      </c>
      <c r="DY7" s="7">
        <f t="shared" si="51"/>
        <v>214108336764.70999</v>
      </c>
      <c r="DZ7" s="13">
        <f t="shared" si="52"/>
        <v>1384.5150764771718</v>
      </c>
      <c r="EA7" s="763">
        <f t="shared" si="53"/>
        <v>1463.4849235228282</v>
      </c>
      <c r="EB7" s="164">
        <f t="shared" si="81"/>
        <v>154645001.99557072</v>
      </c>
      <c r="EC7" s="164">
        <f t="shared" si="82"/>
        <v>146300336.49360666</v>
      </c>
      <c r="ED7" s="1136">
        <f t="shared" si="54"/>
        <v>752817805871.31189</v>
      </c>
      <c r="EE7" s="1136">
        <f t="shared" si="55"/>
        <v>214476299647.88208</v>
      </c>
      <c r="EF7" s="763">
        <f t="shared" si="56"/>
        <v>142124.28108705388</v>
      </c>
      <c r="EG7" s="7">
        <f t="shared" si="57"/>
        <v>192871489301.60898</v>
      </c>
      <c r="EH7" s="13">
        <f t="shared" si="58"/>
        <v>1477.2827948897061</v>
      </c>
      <c r="EI7" s="763">
        <f t="shared" si="59"/>
        <v>1370.7172051102939</v>
      </c>
      <c r="EJ7" s="164">
        <f t="shared" si="83"/>
        <v>130558272.23386079</v>
      </c>
      <c r="EK7" s="164">
        <f t="shared" si="84"/>
        <v>140708447.06883919</v>
      </c>
      <c r="EL7" s="1136">
        <f t="shared" si="85"/>
        <v>336188443782.78741</v>
      </c>
      <c r="EM7" s="1136">
        <f t="shared" si="86"/>
        <v>214476299647.88208</v>
      </c>
      <c r="EN7" s="763"/>
      <c r="EO7" s="1113" t="s">
        <v>2165</v>
      </c>
      <c r="EP7" s="1114">
        <v>137762.96508570801</v>
      </c>
      <c r="EQ7" s="1114">
        <v>181248618073.21799</v>
      </c>
      <c r="ER7" s="1115">
        <v>1528.0719309547001</v>
      </c>
      <c r="ES7" s="1115">
        <v>1319.9280690452999</v>
      </c>
      <c r="ET7" s="1114">
        <v>118612621.828593</v>
      </c>
      <c r="EU7" s="1114">
        <v>137317041.9842</v>
      </c>
      <c r="EV7" s="1114">
        <v>127873762738.52499</v>
      </c>
      <c r="EW7" s="1114">
        <v>36411229719.221397</v>
      </c>
      <c r="EX7" s="1114">
        <v>137762.96508570801</v>
      </c>
      <c r="EY7" s="1114">
        <v>181248618073.21799</v>
      </c>
      <c r="EZ7" s="1115">
        <v>1528.0719309547001</v>
      </c>
      <c r="FA7" s="1115">
        <v>1319.9280690452999</v>
      </c>
      <c r="FB7" s="1114">
        <v>118612621.828593</v>
      </c>
      <c r="FC7" s="1114">
        <v>137317041.9842</v>
      </c>
      <c r="FD7" s="1114">
        <v>127873762738.52499</v>
      </c>
      <c r="FE7" s="1114">
        <v>36411229719.221397</v>
      </c>
      <c r="FF7" s="1114">
        <v>137762.96508570801</v>
      </c>
      <c r="FG7" s="1114">
        <v>181248618073.21799</v>
      </c>
      <c r="FH7" s="1115">
        <v>1528.0719309547001</v>
      </c>
      <c r="FI7" s="1115">
        <v>1319.9280690452999</v>
      </c>
      <c r="FJ7" s="1114">
        <v>118612621.828593</v>
      </c>
      <c r="FK7" s="1114">
        <v>137317041.9842</v>
      </c>
      <c r="FL7" s="1114">
        <v>127873762738.52499</v>
      </c>
      <c r="FM7" s="1114">
        <v>36411229719.221397</v>
      </c>
      <c r="FN7" s="1114">
        <v>385674.65161772299</v>
      </c>
      <c r="FO7" s="1114">
        <v>422054115505.74701</v>
      </c>
      <c r="FP7" s="1115">
        <v>471.90520652049298</v>
      </c>
      <c r="FQ7" s="1115">
        <v>2376.0947934795099</v>
      </c>
      <c r="FR7" s="1114">
        <v>894362066.09731197</v>
      </c>
      <c r="FS7" s="1114">
        <v>177625116.920398</v>
      </c>
      <c r="FT7" s="1114">
        <v>752817805871.31299</v>
      </c>
      <c r="FU7" s="1114">
        <v>214476299647.88199</v>
      </c>
      <c r="FV7" s="1114">
        <v>220400.19392971299</v>
      </c>
      <c r="FW7" s="1114">
        <v>321274841805.5</v>
      </c>
      <c r="FX7" s="1115">
        <v>912.01570729835498</v>
      </c>
      <c r="FY7" s="1115">
        <v>1935.98429270164</v>
      </c>
      <c r="FZ7" s="1114">
        <v>352268978.74073398</v>
      </c>
      <c r="GA7" s="1114">
        <v>165949095.25694799</v>
      </c>
      <c r="GB7" s="1114">
        <v>336188443782.78802</v>
      </c>
      <c r="GC7" s="1114">
        <v>214476299647.88199</v>
      </c>
      <c r="GD7" s="1114">
        <v>150846.913089746</v>
      </c>
      <c r="GE7" s="1114">
        <v>214108336764.70999</v>
      </c>
      <c r="GF7" s="1115">
        <v>1384.5150764771699</v>
      </c>
      <c r="GG7" s="1115">
        <v>1463.4849235228301</v>
      </c>
      <c r="GH7" s="1114">
        <v>154645001.99557099</v>
      </c>
      <c r="GI7" s="1114">
        <v>146300336.49360701</v>
      </c>
      <c r="GJ7" s="1114">
        <v>752817805871.31299</v>
      </c>
      <c r="GK7" s="1114">
        <v>214476299647.88199</v>
      </c>
      <c r="GL7" s="1114">
        <v>142124.281087054</v>
      </c>
      <c r="GM7" s="1114">
        <v>192871489301.60901</v>
      </c>
      <c r="GN7" s="1115">
        <v>1477.28279488971</v>
      </c>
      <c r="GO7" s="1115">
        <v>1370.71720511029</v>
      </c>
      <c r="GP7" s="1114">
        <v>130558272.233861</v>
      </c>
      <c r="GQ7" s="1114">
        <v>140708447.06883901</v>
      </c>
      <c r="GR7" s="1114">
        <v>336188443782.78802</v>
      </c>
      <c r="GS7" s="1114">
        <v>214476299647.88199</v>
      </c>
      <c r="GU7" s="1171">
        <f t="shared" si="60"/>
        <v>0</v>
      </c>
      <c r="GV7" s="1171">
        <f t="shared" si="61"/>
        <v>0</v>
      </c>
      <c r="GW7" s="1171">
        <f t="shared" si="62"/>
        <v>-2.0463630789890885E-12</v>
      </c>
      <c r="GX7" s="1171">
        <f t="shared" si="63"/>
        <v>2.0463630789890885E-12</v>
      </c>
      <c r="GY7" s="1171">
        <f t="shared" si="64"/>
        <v>4.0233135223388672E-7</v>
      </c>
      <c r="GZ7" s="1171">
        <f t="shared" si="65"/>
        <v>2.384185791015625E-7</v>
      </c>
      <c r="HA7" s="1171">
        <f t="shared" si="87"/>
        <v>1.8310546875E-4</v>
      </c>
      <c r="HB7" s="1171">
        <f t="shared" si="66"/>
        <v>0</v>
      </c>
      <c r="HC7" s="1171">
        <f t="shared" si="67"/>
        <v>0</v>
      </c>
      <c r="HD7" s="1171">
        <f t="shared" si="68"/>
        <v>0</v>
      </c>
      <c r="HE7" s="1171">
        <f t="shared" si="69"/>
        <v>-2.0463630789890885E-12</v>
      </c>
      <c r="HF7" s="1171">
        <f t="shared" si="70"/>
        <v>2.0463630789890885E-12</v>
      </c>
      <c r="HG7" s="1171">
        <f t="shared" ref="HG7:HG64" si="89">CV7-FB7</f>
        <v>4.0233135223388672E-7</v>
      </c>
      <c r="HH7" s="1171">
        <f t="shared" ref="HH7:HH64" si="90">CW7-FC7</f>
        <v>2.384185791015625E-7</v>
      </c>
      <c r="HI7" s="1171">
        <f t="shared" ref="HI7:HI64" si="91">CX7-FD7</f>
        <v>1.8310546875E-4</v>
      </c>
      <c r="HJ7" s="1171">
        <f t="shared" ref="HJ7:HJ64" si="92">CY7-FE7</f>
        <v>0</v>
      </c>
      <c r="HK7" s="1171">
        <f t="shared" ref="HK7:HK64" si="93">CZ7-FF7</f>
        <v>0</v>
      </c>
      <c r="HL7" s="1171">
        <f t="shared" ref="HL7:HL64" si="94">DA7-FG7</f>
        <v>0</v>
      </c>
      <c r="HM7" s="1171">
        <f t="shared" ref="HM7:HM64" si="95">DB7-FH7</f>
        <v>-2.0463630789890885E-12</v>
      </c>
      <c r="HN7" s="1171">
        <f t="shared" ref="HN7:HN64" si="96">DC7-FI7</f>
        <v>2.0463630789890885E-12</v>
      </c>
      <c r="HO7" s="1171">
        <f t="shared" ref="HO7:HO64" si="97">DD7-FJ7</f>
        <v>4.0233135223388672E-7</v>
      </c>
      <c r="HP7" s="1171">
        <f t="shared" ref="HP7:HP64" si="98">DE7-FK7</f>
        <v>2.384185791015625E-7</v>
      </c>
      <c r="HQ7" s="1171">
        <f t="shared" ref="HQ7:HQ64" si="99">DF7-FL7</f>
        <v>1.8310546875E-4</v>
      </c>
      <c r="HR7" s="1171">
        <f t="shared" ref="HR7:HR64" si="100">DG7-FM7</f>
        <v>0</v>
      </c>
      <c r="HS7" s="1171">
        <f t="shared" ref="HS7:HS64" si="101">DH7-FN7</f>
        <v>-5.8207660913467407E-10</v>
      </c>
      <c r="HT7" s="1171">
        <f t="shared" ref="HT7:HT64" si="102">DI7-FO7</f>
        <v>0</v>
      </c>
      <c r="HU7" s="1171">
        <f t="shared" ref="HU7:HU64" si="103">DJ7-FP7</f>
        <v>0</v>
      </c>
      <c r="HV7" s="1171">
        <f t="shared" ref="HV7:HV64" si="104">DK7-FQ7</f>
        <v>0</v>
      </c>
      <c r="HW7" s="1171">
        <f t="shared" ref="HW7:HW64" si="105">DL7-FR7</f>
        <v>0</v>
      </c>
      <c r="HX7" s="1171">
        <f t="shared" ref="HX7:HX64" si="106">DM7-FS7</f>
        <v>2.384185791015625E-7</v>
      </c>
      <c r="HY7" s="1171">
        <f t="shared" ref="HY7:HY64" si="107">DN7-FT7</f>
        <v>-1.0986328125E-3</v>
      </c>
      <c r="HZ7" s="1171">
        <f t="shared" ref="HZ7:HZ64" si="108">DO7-FU7</f>
        <v>0</v>
      </c>
      <c r="IA7" s="1171">
        <f t="shared" ref="IA7:IA64" si="109">DP7-FV7</f>
        <v>-2.9103830456733704E-10</v>
      </c>
      <c r="IB7" s="1171">
        <f t="shared" ref="IB7:IB64" si="110">DQ7-FW7</f>
        <v>0</v>
      </c>
      <c r="IC7" s="1171">
        <f t="shared" ref="IC7:IC64" si="111">DR7-FX7</f>
        <v>0</v>
      </c>
      <c r="ID7" s="1171">
        <f t="shared" ref="ID7:ID64" si="112">DS7-FY7</f>
        <v>4.3200998334214091E-12</v>
      </c>
      <c r="IE7" s="1171">
        <f t="shared" ref="IE7:IE64" si="113">DT7-FZ7</f>
        <v>0</v>
      </c>
      <c r="IF7" s="1171">
        <f t="shared" ref="IF7:IF64" si="114">DU7-GA7</f>
        <v>-2.6822090148925781E-7</v>
      </c>
      <c r="IG7" s="1171">
        <f t="shared" ref="IG7:IG64" si="115">DV7-GB7</f>
        <v>-6.103515625E-4</v>
      </c>
      <c r="IH7" s="1171">
        <f t="shared" ref="IH7:IH64" si="116">DW7-GC7</f>
        <v>0</v>
      </c>
      <c r="II7" s="1171">
        <f t="shared" ref="II7:II64" si="117">DX7-GD7</f>
        <v>0</v>
      </c>
      <c r="IJ7" s="1171">
        <f t="shared" ref="IJ7:IJ64" si="118">DY7-GE7</f>
        <v>0</v>
      </c>
      <c r="IK7" s="1171">
        <f t="shared" ref="IK7:IK64" si="119">DZ7-GF7</f>
        <v>1.8189894035458565E-12</v>
      </c>
      <c r="IL7" s="1171">
        <f t="shared" ref="IL7:IL64" si="120">EA7-GG7</f>
        <v>-1.8189894035458565E-12</v>
      </c>
      <c r="IM7" s="1171">
        <f t="shared" ref="IM7:IM64" si="121">EB7-GH7</f>
        <v>-2.6822090148925781E-7</v>
      </c>
      <c r="IN7" s="1171">
        <f t="shared" ref="IN7:IN64" si="122">EC7-GI7</f>
        <v>-3.5762786865234375E-7</v>
      </c>
      <c r="IO7" s="1171">
        <f t="shared" ref="IO7:IO64" si="123">ED7-GJ7</f>
        <v>-1.0986328125E-3</v>
      </c>
      <c r="IP7" s="1171">
        <f t="shared" ref="IP7:IP64" si="124">EE7-GK7</f>
        <v>0</v>
      </c>
      <c r="IQ7" s="1171">
        <f t="shared" ref="IQ7:IQ64" si="125">EF7-GL7</f>
        <v>0</v>
      </c>
      <c r="IR7" s="1171">
        <f t="shared" ref="IR7:IR64" si="126">EG7-GM7</f>
        <v>0</v>
      </c>
      <c r="IS7" s="1171">
        <f t="shared" ref="IS7:IS64" si="127">EH7-GN7</f>
        <v>-3.865352482534945E-12</v>
      </c>
      <c r="IT7" s="1171">
        <f t="shared" ref="IT7:IT64" si="128">EI7-GO7</f>
        <v>3.865352482534945E-12</v>
      </c>
      <c r="IU7" s="1171">
        <f t="shared" ref="IU7:IU64" si="129">EJ7-GP7</f>
        <v>-2.0861625671386719E-7</v>
      </c>
      <c r="IV7" s="1171">
        <f t="shared" ref="IV7:IV64" si="130">EK7-GQ7</f>
        <v>0</v>
      </c>
      <c r="IW7" s="1171">
        <f t="shared" ref="IW7:IW64" si="131">EL7-GR7</f>
        <v>-6.103515625E-4</v>
      </c>
      <c r="IX7" s="1171">
        <f t="shared" ref="IX7:IX64" si="132">EM7-GS7</f>
        <v>0</v>
      </c>
    </row>
    <row r="8" spans="1:258">
      <c r="B8" s="136" t="str">
        <f t="shared" ref="B8" si="133">LEFT(B6,3)+1&amp;"j"</f>
        <v>103j</v>
      </c>
      <c r="C8">
        <v>6.9</v>
      </c>
      <c r="D8" s="136">
        <v>0</v>
      </c>
      <c r="E8" t="s">
        <v>2086</v>
      </c>
      <c r="F8" s="26">
        <v>2</v>
      </c>
      <c r="G8" s="136">
        <v>500</v>
      </c>
      <c r="H8" s="136">
        <v>30</v>
      </c>
      <c r="I8" s="28">
        <v>250</v>
      </c>
      <c r="J8" s="26">
        <v>1940</v>
      </c>
      <c r="K8" s="136">
        <v>18</v>
      </c>
      <c r="L8" s="28">
        <v>120</v>
      </c>
      <c r="M8" s="26">
        <v>2800</v>
      </c>
      <c r="N8" s="28">
        <v>12</v>
      </c>
      <c r="O8" s="26">
        <v>0</v>
      </c>
      <c r="P8" s="26">
        <v>290</v>
      </c>
      <c r="Q8" s="26">
        <f>+Section!L69</f>
        <v>5500</v>
      </c>
      <c r="R8" s="169">
        <v>0</v>
      </c>
      <c r="S8" s="210">
        <v>0</v>
      </c>
      <c r="T8" s="27">
        <v>1200</v>
      </c>
      <c r="U8" s="27">
        <v>2400</v>
      </c>
      <c r="V8" s="28">
        <v>3800</v>
      </c>
      <c r="W8" s="210">
        <v>19</v>
      </c>
      <c r="X8" s="210">
        <v>200</v>
      </c>
      <c r="Y8" s="169">
        <v>50</v>
      </c>
      <c r="Z8" s="210">
        <v>16</v>
      </c>
      <c r="AA8" s="210">
        <v>200</v>
      </c>
      <c r="AB8" s="28">
        <v>40</v>
      </c>
      <c r="AC8" s="210">
        <v>0</v>
      </c>
      <c r="AD8" s="26">
        <v>2</v>
      </c>
      <c r="AE8" s="169">
        <v>160</v>
      </c>
      <c r="AF8" s="169">
        <v>16</v>
      </c>
      <c r="AG8" s="26">
        <v>0</v>
      </c>
      <c r="AH8" s="169">
        <v>0</v>
      </c>
      <c r="AI8" s="169">
        <v>0</v>
      </c>
      <c r="AJ8" s="397">
        <v>2</v>
      </c>
      <c r="AK8" s="210">
        <v>2500</v>
      </c>
      <c r="AL8" s="210">
        <v>5000</v>
      </c>
      <c r="AM8" s="210" t="s">
        <v>2316</v>
      </c>
      <c r="AN8" s="210">
        <v>1587.5</v>
      </c>
      <c r="AO8" s="1143" t="s">
        <v>2321</v>
      </c>
      <c r="AP8" s="1143" t="s">
        <v>2321</v>
      </c>
      <c r="AQ8" s="136">
        <v>150</v>
      </c>
      <c r="AR8" s="136">
        <v>14</v>
      </c>
      <c r="AS8" s="1143" t="s">
        <v>2448</v>
      </c>
      <c r="AT8" s="136">
        <v>120</v>
      </c>
      <c r="AU8" s="136">
        <v>12</v>
      </c>
      <c r="AV8" s="1109" t="s">
        <v>2157</v>
      </c>
      <c r="AW8" s="1109">
        <v>12</v>
      </c>
      <c r="AX8" s="1109">
        <v>400</v>
      </c>
      <c r="AY8" s="1109">
        <v>1000</v>
      </c>
      <c r="AZ8" s="1108">
        <v>8</v>
      </c>
      <c r="BA8" s="1108">
        <v>6</v>
      </c>
      <c r="BC8" s="1168"/>
      <c r="BD8" s="210">
        <f>INDEX(Spec!$B$12:$P$58,MATCH(AO8,Spec!$A$12:$A$58,0),6)*100</f>
        <v>1900</v>
      </c>
      <c r="BE8" s="210">
        <f>INDEX(Spec!$B$12:$P$58,MATCH(AP8,Spec!$A$12:$A$58,0),6)*100</f>
        <v>1900</v>
      </c>
      <c r="BF8" s="881">
        <f t="shared" si="0"/>
        <v>0.78284436196746643</v>
      </c>
      <c r="BG8" s="881">
        <f t="shared" si="1"/>
        <v>47.243485714285718</v>
      </c>
      <c r="BH8" s="881"/>
      <c r="BI8" s="13" cm="1">
        <f t="array" ref="BI8">INDEX(Info!$AD$4:$AH$15,MATCH(Info!$I$13,Info!$AC$4:$AC$15,0),IF(H8&lt;=16,1,IF(H8&lt;=40,2,IF(H8&lt;=75,3,IF(H8&lt;=100,4,5)))))</f>
        <v>380</v>
      </c>
      <c r="BJ8" s="13" cm="1">
        <f t="array" ref="BJ8">INDEX(Info!$AD$4:$AH$15,MATCH(Info!$I$13,Info!$AC$4:$AC$15,0),IF(K8&lt;=16,1,IF(K8&lt;=40,2,IF(K8&lt;=75,3,IF(K8&lt;=100,4,5)))))</f>
        <v>380</v>
      </c>
      <c r="BK8" s="13" cm="1">
        <f t="array" ref="BK8">INDEX(Info!$AD$4:$AH$15,MATCH(Info!$I$14,Info!$AC$4:$AC$15,0),IF(N8&lt;=16,1,IF(N8&lt;=40,2,IF(N8&lt;=75,3,IF(N8&lt;=100,4,5)))))</f>
        <v>355</v>
      </c>
      <c r="BL8" s="13">
        <f>IF(Stress!C837="Positive",MAX(MIN(0.7*BI8,BK8),0.5*BI8),MAX(MIN(0.7*BJ8,BK8),0.5*BJ8))</f>
        <v>266</v>
      </c>
      <c r="BM8" s="13" cm="1">
        <f t="array" ref="BM8">INDEX(Info!$AD$4:$AH$15,MATCH(Info!$I$13,Info!$AC$4:$AC$15,0),IF(AI8&lt;=16,1,IF(AI8&lt;=40,2,IF(AI8&lt;=75,3,IF(AI8&lt;=100,4,5)))))</f>
        <v>380</v>
      </c>
      <c r="BN8" s="13" cm="1">
        <f t="array" ref="BN8">INDEX(Info!$AD$4:$AH$15,MATCH(Info!$I$13,Info!$AC$4:$AC$15,0),IF(AF8&lt;=16,1,IF(AF8&lt;=40,2,IF(AF8&lt;=75,3,IF(AF8&lt;=100,4,5)))))</f>
        <v>380</v>
      </c>
      <c r="BO8" s="13"/>
      <c r="BP8" s="13">
        <f t="shared" si="2"/>
        <v>0.125</v>
      </c>
      <c r="BQ8" s="13">
        <f t="shared" si="3"/>
        <v>2821.7902119044925</v>
      </c>
      <c r="BR8" s="13">
        <f t="shared" si="72"/>
        <v>3108</v>
      </c>
      <c r="BS8" s="13"/>
      <c r="BT8" s="136">
        <f t="shared" si="4"/>
        <v>0</v>
      </c>
      <c r="BU8" s="136">
        <f t="shared" si="5"/>
        <v>0</v>
      </c>
      <c r="BV8" s="136">
        <f t="shared" si="6"/>
        <v>1595000</v>
      </c>
      <c r="BW8" s="136">
        <f t="shared" si="7"/>
        <v>11178291666.666666</v>
      </c>
      <c r="BX8" s="136">
        <f t="shared" si="8"/>
        <v>0</v>
      </c>
      <c r="BY8" s="136">
        <f t="shared" si="9"/>
        <v>0</v>
      </c>
      <c r="BZ8" s="136">
        <f t="shared" si="10"/>
        <v>7655.2758986349281</v>
      </c>
      <c r="CA8" s="136">
        <f t="shared" si="11"/>
        <v>172722.16246295057</v>
      </c>
      <c r="CB8" s="136">
        <f t="shared" si="12"/>
        <v>5428.6721054031623</v>
      </c>
      <c r="CC8" s="136">
        <f t="shared" si="13"/>
        <v>86858.753686450596</v>
      </c>
      <c r="CE8" s="1137">
        <f t="shared" si="14"/>
        <v>346081987.77679139</v>
      </c>
      <c r="CF8" s="1136">
        <f t="shared" si="15"/>
        <v>411131448.88888884</v>
      </c>
      <c r="CG8" s="1136">
        <f t="shared" si="16"/>
        <v>0</v>
      </c>
      <c r="CH8" s="172">
        <f t="shared" si="17"/>
        <v>4020729166666.6665</v>
      </c>
      <c r="CJ8" s="136">
        <f t="shared" si="18"/>
        <v>137762.96508570784</v>
      </c>
      <c r="CK8" s="7">
        <f t="shared" si="19"/>
        <v>181248618073.21808</v>
      </c>
      <c r="CL8" s="6">
        <f t="shared" si="20"/>
        <v>1528.071930954698</v>
      </c>
      <c r="CM8" s="6">
        <f t="shared" si="21"/>
        <v>1319.928069045302</v>
      </c>
      <c r="CN8" s="164">
        <f t="shared" si="73"/>
        <v>118612621.8285934</v>
      </c>
      <c r="CO8" s="164">
        <f t="shared" si="74"/>
        <v>137317041.98420024</v>
      </c>
      <c r="CP8" s="1137">
        <f t="shared" si="22"/>
        <v>127873762738.52518</v>
      </c>
      <c r="CQ8" s="1136">
        <f t="shared" si="23"/>
        <v>36411229719.221405</v>
      </c>
      <c r="CR8" s="22">
        <f t="shared" si="24"/>
        <v>137762.96508570784</v>
      </c>
      <c r="CS8" s="7">
        <f t="shared" si="25"/>
        <v>181248618073.21808</v>
      </c>
      <c r="CT8" s="6">
        <f t="shared" si="26"/>
        <v>1528.071930954698</v>
      </c>
      <c r="CU8" s="12">
        <f t="shared" si="27"/>
        <v>1319.928069045302</v>
      </c>
      <c r="CV8" s="164">
        <f t="shared" si="28"/>
        <v>118612621.8285934</v>
      </c>
      <c r="CW8" s="164">
        <f t="shared" si="29"/>
        <v>137317041.98420024</v>
      </c>
      <c r="CX8" s="1136">
        <f t="shared" si="30"/>
        <v>127873762738.52518</v>
      </c>
      <c r="CY8" s="1136">
        <f t="shared" si="31"/>
        <v>36411229719.221405</v>
      </c>
      <c r="CZ8" s="22">
        <f t="shared" si="32"/>
        <v>137762.96508570784</v>
      </c>
      <c r="DA8" s="7">
        <f t="shared" si="33"/>
        <v>181248618073.21808</v>
      </c>
      <c r="DB8" s="6">
        <f t="shared" si="34"/>
        <v>1528.071930954698</v>
      </c>
      <c r="DC8" s="12">
        <f t="shared" si="35"/>
        <v>1319.928069045302</v>
      </c>
      <c r="DD8" s="164">
        <f t="shared" si="75"/>
        <v>118612621.8285934</v>
      </c>
      <c r="DE8" s="164">
        <f t="shared" si="76"/>
        <v>137317041.98420024</v>
      </c>
      <c r="DF8" s="1136">
        <f t="shared" si="36"/>
        <v>127873762738.52518</v>
      </c>
      <c r="DG8" s="1136">
        <f t="shared" si="37"/>
        <v>36411229719.221405</v>
      </c>
      <c r="DH8" s="22">
        <f t="shared" si="38"/>
        <v>385674.65161772241</v>
      </c>
      <c r="DI8" s="172">
        <f t="shared" si="39"/>
        <v>422054115505.74689</v>
      </c>
      <c r="DJ8" s="12">
        <f t="shared" si="40"/>
        <v>471.90520652049327</v>
      </c>
      <c r="DK8" s="22">
        <f t="shared" si="41"/>
        <v>2376.0947934795067</v>
      </c>
      <c r="DL8" s="164">
        <f t="shared" si="77"/>
        <v>894362066.09731162</v>
      </c>
      <c r="DM8" s="164">
        <f t="shared" si="78"/>
        <v>177625116.92039824</v>
      </c>
      <c r="DN8" s="7">
        <f t="shared" si="42"/>
        <v>752817805871.31189</v>
      </c>
      <c r="DO8" s="1136">
        <f t="shared" si="43"/>
        <v>214476299647.88208</v>
      </c>
      <c r="DP8" s="22">
        <f t="shared" si="44"/>
        <v>220400.1939297127</v>
      </c>
      <c r="DQ8" s="172">
        <f t="shared" si="45"/>
        <v>321274841805.49976</v>
      </c>
      <c r="DR8" s="22">
        <f t="shared" si="46"/>
        <v>912.01570729835566</v>
      </c>
      <c r="DS8" s="22">
        <f t="shared" si="47"/>
        <v>1935.9842927016443</v>
      </c>
      <c r="DT8" s="164">
        <f t="shared" si="79"/>
        <v>352268978.7407338</v>
      </c>
      <c r="DU8" s="164">
        <f t="shared" si="80"/>
        <v>165949095.25694773</v>
      </c>
      <c r="DV8" s="1136">
        <f t="shared" si="48"/>
        <v>336188443782.78741</v>
      </c>
      <c r="DW8" s="1136">
        <f t="shared" si="49"/>
        <v>214476299647.88208</v>
      </c>
      <c r="DX8" s="763">
        <f t="shared" si="50"/>
        <v>150846.91308974594</v>
      </c>
      <c r="DY8" s="7">
        <f t="shared" si="51"/>
        <v>214108336764.70999</v>
      </c>
      <c r="DZ8" s="13">
        <f t="shared" si="52"/>
        <v>1384.5150764771718</v>
      </c>
      <c r="EA8" s="763">
        <f t="shared" si="53"/>
        <v>1463.4849235228282</v>
      </c>
      <c r="EB8" s="164">
        <f t="shared" si="81"/>
        <v>154645001.99557072</v>
      </c>
      <c r="EC8" s="164">
        <f t="shared" si="82"/>
        <v>146300336.49360666</v>
      </c>
      <c r="ED8" s="1136">
        <f t="shared" si="54"/>
        <v>752817805871.31189</v>
      </c>
      <c r="EE8" s="1136">
        <f t="shared" si="55"/>
        <v>214476299647.88208</v>
      </c>
      <c r="EF8" s="763">
        <f t="shared" si="56"/>
        <v>142124.28108705388</v>
      </c>
      <c r="EG8" s="7">
        <f t="shared" si="57"/>
        <v>192871489301.60898</v>
      </c>
      <c r="EH8" s="13">
        <f t="shared" si="58"/>
        <v>1477.2827948897061</v>
      </c>
      <c r="EI8" s="763">
        <f t="shared" si="59"/>
        <v>1370.7172051102939</v>
      </c>
      <c r="EJ8" s="164">
        <f t="shared" si="83"/>
        <v>130558272.23386079</v>
      </c>
      <c r="EK8" s="164">
        <f t="shared" si="84"/>
        <v>140708447.06883919</v>
      </c>
      <c r="EL8" s="1136">
        <f t="shared" si="85"/>
        <v>336188443782.78741</v>
      </c>
      <c r="EM8" s="1136">
        <f t="shared" si="86"/>
        <v>214476299647.88208</v>
      </c>
      <c r="EN8" s="763"/>
      <c r="EO8" s="1113" t="s">
        <v>2166</v>
      </c>
      <c r="EP8" s="1114">
        <v>137762.96508570801</v>
      </c>
      <c r="EQ8" s="1114">
        <v>181248618073.21799</v>
      </c>
      <c r="ER8" s="1115">
        <v>1528.0719309547001</v>
      </c>
      <c r="ES8" s="1115">
        <v>1319.9280690452999</v>
      </c>
      <c r="ET8" s="1114">
        <v>118612621.828593</v>
      </c>
      <c r="EU8" s="1114">
        <v>137317041.9842</v>
      </c>
      <c r="EV8" s="1114">
        <v>127873762738.52499</v>
      </c>
      <c r="EW8" s="1114">
        <v>36411229719.221397</v>
      </c>
      <c r="EX8" s="1114">
        <v>137762.96508570801</v>
      </c>
      <c r="EY8" s="1114">
        <v>181248618073.21799</v>
      </c>
      <c r="EZ8" s="1115">
        <v>1528.0719309547001</v>
      </c>
      <c r="FA8" s="1115">
        <v>1319.9280690452999</v>
      </c>
      <c r="FB8" s="1114">
        <v>118612621.828593</v>
      </c>
      <c r="FC8" s="1114">
        <v>137317041.9842</v>
      </c>
      <c r="FD8" s="1114">
        <v>127873762738.52499</v>
      </c>
      <c r="FE8" s="1114">
        <v>36411229719.221397</v>
      </c>
      <c r="FF8" s="1114">
        <v>137762.96508570801</v>
      </c>
      <c r="FG8" s="1114">
        <v>181248618073.21799</v>
      </c>
      <c r="FH8" s="1115">
        <v>1528.0719309547001</v>
      </c>
      <c r="FI8" s="1115">
        <v>1319.9280690452999</v>
      </c>
      <c r="FJ8" s="1114">
        <v>118612621.828593</v>
      </c>
      <c r="FK8" s="1114">
        <v>137317041.9842</v>
      </c>
      <c r="FL8" s="1114">
        <v>127873762738.52499</v>
      </c>
      <c r="FM8" s="1114">
        <v>36411229719.221397</v>
      </c>
      <c r="FN8" s="1114">
        <v>385674.65161772299</v>
      </c>
      <c r="FO8" s="1114">
        <v>422054115505.74701</v>
      </c>
      <c r="FP8" s="1115">
        <v>471.90520652049298</v>
      </c>
      <c r="FQ8" s="1115">
        <v>2376.0947934795099</v>
      </c>
      <c r="FR8" s="1114">
        <v>894362066.09731197</v>
      </c>
      <c r="FS8" s="1114">
        <v>177625116.920398</v>
      </c>
      <c r="FT8" s="1114">
        <v>752817805871.31299</v>
      </c>
      <c r="FU8" s="1114">
        <v>214476299647.88199</v>
      </c>
      <c r="FV8" s="1114">
        <v>220400.19392971299</v>
      </c>
      <c r="FW8" s="1114">
        <v>321274841805.5</v>
      </c>
      <c r="FX8" s="1115">
        <v>912.01570729835498</v>
      </c>
      <c r="FY8" s="1115">
        <v>1935.98429270164</v>
      </c>
      <c r="FZ8" s="1114">
        <v>352268978.74073398</v>
      </c>
      <c r="GA8" s="1114">
        <v>165949095.25694799</v>
      </c>
      <c r="GB8" s="1114">
        <v>336188443782.78802</v>
      </c>
      <c r="GC8" s="1114">
        <v>214476299647.88199</v>
      </c>
      <c r="GD8" s="1114">
        <v>150846.913089746</v>
      </c>
      <c r="GE8" s="1114">
        <v>214108336764.70999</v>
      </c>
      <c r="GF8" s="1115">
        <v>1384.5150764771699</v>
      </c>
      <c r="GG8" s="1115">
        <v>1463.4849235228301</v>
      </c>
      <c r="GH8" s="1114">
        <v>154645001.99557099</v>
      </c>
      <c r="GI8" s="1114">
        <v>146300336.49360701</v>
      </c>
      <c r="GJ8" s="1114">
        <v>752817805871.31299</v>
      </c>
      <c r="GK8" s="1114">
        <v>214476299647.88199</v>
      </c>
      <c r="GL8" s="1114">
        <v>142124.281087054</v>
      </c>
      <c r="GM8" s="1114">
        <v>192871489301.60901</v>
      </c>
      <c r="GN8" s="1115">
        <v>1477.28279488971</v>
      </c>
      <c r="GO8" s="1115">
        <v>1370.71720511029</v>
      </c>
      <c r="GP8" s="1114">
        <v>130558272.233861</v>
      </c>
      <c r="GQ8" s="1114">
        <v>140708447.06883901</v>
      </c>
      <c r="GR8" s="1114">
        <v>336188443782.78802</v>
      </c>
      <c r="GS8" s="1114">
        <v>214476299647.88199</v>
      </c>
      <c r="GU8" s="1171">
        <f t="shared" si="60"/>
        <v>0</v>
      </c>
      <c r="GV8" s="1171">
        <f t="shared" si="61"/>
        <v>0</v>
      </c>
      <c r="GW8" s="1171">
        <f t="shared" si="62"/>
        <v>-2.0463630789890885E-12</v>
      </c>
      <c r="GX8" s="1171">
        <f t="shared" si="63"/>
        <v>2.0463630789890885E-12</v>
      </c>
      <c r="GY8" s="1171">
        <f t="shared" si="64"/>
        <v>4.0233135223388672E-7</v>
      </c>
      <c r="GZ8" s="1171">
        <f t="shared" si="65"/>
        <v>2.384185791015625E-7</v>
      </c>
      <c r="HA8" s="1171">
        <f t="shared" si="87"/>
        <v>1.8310546875E-4</v>
      </c>
      <c r="HB8" s="1171">
        <f t="shared" si="66"/>
        <v>0</v>
      </c>
      <c r="HC8" s="1171">
        <f t="shared" si="67"/>
        <v>0</v>
      </c>
      <c r="HD8" s="1171">
        <f t="shared" si="68"/>
        <v>0</v>
      </c>
      <c r="HE8" s="1171">
        <f t="shared" si="69"/>
        <v>-2.0463630789890885E-12</v>
      </c>
      <c r="HF8" s="1171">
        <f t="shared" si="70"/>
        <v>2.0463630789890885E-12</v>
      </c>
      <c r="HG8" s="1171">
        <f t="shared" si="89"/>
        <v>4.0233135223388672E-7</v>
      </c>
      <c r="HH8" s="1171">
        <f t="shared" si="90"/>
        <v>2.384185791015625E-7</v>
      </c>
      <c r="HI8" s="1171">
        <f t="shared" si="91"/>
        <v>1.8310546875E-4</v>
      </c>
      <c r="HJ8" s="1171">
        <f t="shared" si="92"/>
        <v>0</v>
      </c>
      <c r="HK8" s="1171">
        <f t="shared" si="93"/>
        <v>0</v>
      </c>
      <c r="HL8" s="1171">
        <f t="shared" si="94"/>
        <v>0</v>
      </c>
      <c r="HM8" s="1171">
        <f t="shared" si="95"/>
        <v>-2.0463630789890885E-12</v>
      </c>
      <c r="HN8" s="1171">
        <f t="shared" si="96"/>
        <v>2.0463630789890885E-12</v>
      </c>
      <c r="HO8" s="1171">
        <f t="shared" si="97"/>
        <v>4.0233135223388672E-7</v>
      </c>
      <c r="HP8" s="1171">
        <f t="shared" si="98"/>
        <v>2.384185791015625E-7</v>
      </c>
      <c r="HQ8" s="1171">
        <f t="shared" si="99"/>
        <v>1.8310546875E-4</v>
      </c>
      <c r="HR8" s="1171">
        <f t="shared" si="100"/>
        <v>0</v>
      </c>
      <c r="HS8" s="1171">
        <f t="shared" si="101"/>
        <v>-5.8207660913467407E-10</v>
      </c>
      <c r="HT8" s="1171">
        <f t="shared" si="102"/>
        <v>0</v>
      </c>
      <c r="HU8" s="1171">
        <f t="shared" si="103"/>
        <v>0</v>
      </c>
      <c r="HV8" s="1171">
        <f t="shared" si="104"/>
        <v>0</v>
      </c>
      <c r="HW8" s="1171">
        <f t="shared" si="105"/>
        <v>0</v>
      </c>
      <c r="HX8" s="1171">
        <f t="shared" si="106"/>
        <v>2.384185791015625E-7</v>
      </c>
      <c r="HY8" s="1171">
        <f t="shared" si="107"/>
        <v>-1.0986328125E-3</v>
      </c>
      <c r="HZ8" s="1171">
        <f t="shared" si="108"/>
        <v>0</v>
      </c>
      <c r="IA8" s="1171">
        <f t="shared" si="109"/>
        <v>-2.9103830456733704E-10</v>
      </c>
      <c r="IB8" s="1171">
        <f t="shared" si="110"/>
        <v>0</v>
      </c>
      <c r="IC8" s="1171">
        <f t="shared" si="111"/>
        <v>0</v>
      </c>
      <c r="ID8" s="1171">
        <f t="shared" si="112"/>
        <v>4.3200998334214091E-12</v>
      </c>
      <c r="IE8" s="1171">
        <f t="shared" si="113"/>
        <v>0</v>
      </c>
      <c r="IF8" s="1171">
        <f t="shared" si="114"/>
        <v>-2.6822090148925781E-7</v>
      </c>
      <c r="IG8" s="1171">
        <f t="shared" si="115"/>
        <v>-6.103515625E-4</v>
      </c>
      <c r="IH8" s="1171">
        <f t="shared" si="116"/>
        <v>0</v>
      </c>
      <c r="II8" s="1171">
        <f t="shared" si="117"/>
        <v>0</v>
      </c>
      <c r="IJ8" s="1171">
        <f t="shared" si="118"/>
        <v>0</v>
      </c>
      <c r="IK8" s="1171">
        <f t="shared" si="119"/>
        <v>1.8189894035458565E-12</v>
      </c>
      <c r="IL8" s="1171">
        <f t="shared" si="120"/>
        <v>-1.8189894035458565E-12</v>
      </c>
      <c r="IM8" s="1171">
        <f t="shared" si="121"/>
        <v>-2.6822090148925781E-7</v>
      </c>
      <c r="IN8" s="1171">
        <f t="shared" si="122"/>
        <v>-3.5762786865234375E-7</v>
      </c>
      <c r="IO8" s="1171">
        <f t="shared" si="123"/>
        <v>-1.0986328125E-3</v>
      </c>
      <c r="IP8" s="1171">
        <f t="shared" si="124"/>
        <v>0</v>
      </c>
      <c r="IQ8" s="1171">
        <f t="shared" si="125"/>
        <v>0</v>
      </c>
      <c r="IR8" s="1171">
        <f t="shared" si="126"/>
        <v>0</v>
      </c>
      <c r="IS8" s="1171">
        <f t="shared" si="127"/>
        <v>-3.865352482534945E-12</v>
      </c>
      <c r="IT8" s="1171">
        <f t="shared" si="128"/>
        <v>3.865352482534945E-12</v>
      </c>
      <c r="IU8" s="1171">
        <f t="shared" si="129"/>
        <v>-2.0861625671386719E-7</v>
      </c>
      <c r="IV8" s="1171">
        <f t="shared" si="130"/>
        <v>0</v>
      </c>
      <c r="IW8" s="1171">
        <f t="shared" si="131"/>
        <v>-6.103515625E-4</v>
      </c>
      <c r="IX8" s="1171">
        <f t="shared" si="132"/>
        <v>0</v>
      </c>
    </row>
    <row r="9" spans="1:258">
      <c r="A9">
        <v>104</v>
      </c>
      <c r="B9" s="136" t="str">
        <f t="shared" ref="B9" si="134">LEFT(B7,3)+1&amp;"i"</f>
        <v>104i</v>
      </c>
      <c r="C9">
        <v>6.9</v>
      </c>
      <c r="D9" s="136">
        <v>0</v>
      </c>
      <c r="E9" t="s">
        <v>2086</v>
      </c>
      <c r="F9" s="26">
        <v>2</v>
      </c>
      <c r="G9" s="136">
        <v>500</v>
      </c>
      <c r="H9" s="136">
        <v>30</v>
      </c>
      <c r="I9" s="28">
        <v>250</v>
      </c>
      <c r="J9" s="26">
        <v>1940</v>
      </c>
      <c r="K9" s="136">
        <v>18</v>
      </c>
      <c r="L9" s="28">
        <v>120</v>
      </c>
      <c r="M9" s="26">
        <v>2800</v>
      </c>
      <c r="N9" s="28">
        <v>12</v>
      </c>
      <c r="O9" s="26">
        <v>0</v>
      </c>
      <c r="P9" s="26">
        <v>290</v>
      </c>
      <c r="Q9" s="26">
        <f>+Section!L70</f>
        <v>5500</v>
      </c>
      <c r="R9" s="169">
        <v>0</v>
      </c>
      <c r="S9" s="210">
        <v>0</v>
      </c>
      <c r="T9" s="27">
        <v>1200</v>
      </c>
      <c r="U9" s="27">
        <v>2400</v>
      </c>
      <c r="V9" s="28">
        <v>3800</v>
      </c>
      <c r="W9" s="210">
        <v>19</v>
      </c>
      <c r="X9" s="210">
        <v>200</v>
      </c>
      <c r="Y9" s="169">
        <v>50</v>
      </c>
      <c r="Z9" s="210">
        <v>16</v>
      </c>
      <c r="AA9" s="210">
        <v>200</v>
      </c>
      <c r="AB9" s="28">
        <v>40</v>
      </c>
      <c r="AC9" s="210">
        <v>0</v>
      </c>
      <c r="AD9" s="26">
        <v>2</v>
      </c>
      <c r="AE9" s="169">
        <v>160</v>
      </c>
      <c r="AF9" s="169">
        <v>16</v>
      </c>
      <c r="AG9" s="26">
        <v>0</v>
      </c>
      <c r="AH9" s="169">
        <v>0</v>
      </c>
      <c r="AI9" s="169">
        <v>0</v>
      </c>
      <c r="AJ9" s="397">
        <v>2</v>
      </c>
      <c r="AK9" s="210">
        <v>2500</v>
      </c>
      <c r="AL9" s="210">
        <v>5000</v>
      </c>
      <c r="AM9" s="210" t="s">
        <v>2316</v>
      </c>
      <c r="AN9" s="210">
        <v>2500</v>
      </c>
      <c r="AO9" s="1143" t="s">
        <v>2322</v>
      </c>
      <c r="AP9" s="1143" t="s">
        <v>2321</v>
      </c>
      <c r="AQ9" s="136">
        <v>150</v>
      </c>
      <c r="AR9" s="136">
        <v>14</v>
      </c>
      <c r="AS9" s="1143" t="s">
        <v>2448</v>
      </c>
      <c r="AT9" s="136">
        <v>120</v>
      </c>
      <c r="AU9" s="136">
        <v>12</v>
      </c>
      <c r="AV9" s="1109" t="s">
        <v>2157</v>
      </c>
      <c r="AW9" s="1109">
        <v>12</v>
      </c>
      <c r="AX9" s="1109">
        <v>400</v>
      </c>
      <c r="AY9" s="1109">
        <v>1000</v>
      </c>
      <c r="AZ9" s="1108">
        <v>8</v>
      </c>
      <c r="BA9" s="1108">
        <v>6</v>
      </c>
      <c r="BC9" s="1168"/>
      <c r="BD9" s="210">
        <f>INDEX(Spec!$B$12:$P$58,MATCH(AO9,Spec!$A$12:$A$58,0),6)*100</f>
        <v>2921</v>
      </c>
      <c r="BE9" s="210">
        <f>INDEX(Spec!$B$12:$P$58,MATCH(AP9,Spec!$A$12:$A$58,0),6)*100</f>
        <v>1900</v>
      </c>
      <c r="BF9" s="881">
        <f t="shared" si="0"/>
        <v>1.0617395007654364</v>
      </c>
      <c r="BG9" s="881">
        <f t="shared" si="1"/>
        <v>47.243485714285718</v>
      </c>
      <c r="BH9" s="881"/>
      <c r="BI9" s="13" cm="1">
        <f t="array" ref="BI9">INDEX(Info!$AD$4:$AH$15,MATCH(Info!$I$13,Info!$AC$4:$AC$15,0),IF(H9&lt;=16,1,IF(H9&lt;=40,2,IF(H9&lt;=75,3,IF(H9&lt;=100,4,5)))))</f>
        <v>380</v>
      </c>
      <c r="BJ9" s="13" cm="1">
        <f t="array" ref="BJ9">INDEX(Info!$AD$4:$AH$15,MATCH(Info!$I$13,Info!$AC$4:$AC$15,0),IF(K9&lt;=16,1,IF(K9&lt;=40,2,IF(K9&lt;=75,3,IF(K9&lt;=100,4,5)))))</f>
        <v>380</v>
      </c>
      <c r="BK9" s="13" cm="1">
        <f t="array" ref="BK9">INDEX(Info!$AD$4:$AH$15,MATCH(Info!$I$14,Info!$AC$4:$AC$15,0),IF(N9&lt;=16,1,IF(N9&lt;=40,2,IF(N9&lt;=75,3,IF(N9&lt;=100,4,5)))))</f>
        <v>355</v>
      </c>
      <c r="BL9" s="13">
        <f>IF(Stress!C838="Positive",MAX(MIN(0.7*BI9,BK9),0.5*BI9),MAX(MIN(0.7*BJ9,BK9),0.5*BJ9))</f>
        <v>266</v>
      </c>
      <c r="BM9" s="13" cm="1">
        <f t="array" ref="BM9">INDEX(Info!$AD$4:$AH$15,MATCH(Info!$I$13,Info!$AC$4:$AC$15,0),IF(AI9&lt;=16,1,IF(AI9&lt;=40,2,IF(AI9&lt;=75,3,IF(AI9&lt;=100,4,5)))))</f>
        <v>380</v>
      </c>
      <c r="BN9" s="13" cm="1">
        <f t="array" ref="BN9">INDEX(Info!$AD$4:$AH$15,MATCH(Info!$I$13,Info!$AC$4:$AC$15,0),IF(AF9&lt;=16,1,IF(AF9&lt;=40,2,IF(AF9&lt;=75,3,IF(AF9&lt;=100,4,5)))))</f>
        <v>380</v>
      </c>
      <c r="BO9" s="13"/>
      <c r="BP9" s="13">
        <f t="shared" si="2"/>
        <v>0.125</v>
      </c>
      <c r="BQ9" s="13">
        <f t="shared" si="3"/>
        <v>2821.7902119044925</v>
      </c>
      <c r="BR9" s="13">
        <f t="shared" si="72"/>
        <v>3108</v>
      </c>
      <c r="BS9" s="13"/>
      <c r="BT9" s="136">
        <f t="shared" si="4"/>
        <v>0</v>
      </c>
      <c r="BU9" s="136">
        <f t="shared" si="5"/>
        <v>0</v>
      </c>
      <c r="BV9" s="136">
        <f t="shared" si="6"/>
        <v>1595000</v>
      </c>
      <c r="BW9" s="136">
        <f t="shared" si="7"/>
        <v>11178291666.666666</v>
      </c>
      <c r="BX9" s="136">
        <f t="shared" si="8"/>
        <v>0</v>
      </c>
      <c r="BY9" s="136">
        <f t="shared" si="9"/>
        <v>0</v>
      </c>
      <c r="BZ9" s="136">
        <f t="shared" si="10"/>
        <v>7655.2758986349281</v>
      </c>
      <c r="CA9" s="136">
        <f t="shared" si="11"/>
        <v>172722.16246295057</v>
      </c>
      <c r="CB9" s="136">
        <f t="shared" si="12"/>
        <v>5428.6721054031623</v>
      </c>
      <c r="CC9" s="136">
        <f t="shared" si="13"/>
        <v>86858.753686450596</v>
      </c>
      <c r="CE9" s="1137">
        <f t="shared" si="14"/>
        <v>346081987.77679139</v>
      </c>
      <c r="CF9" s="1136">
        <f t="shared" si="15"/>
        <v>411131448.88888884</v>
      </c>
      <c r="CG9" s="1136">
        <f t="shared" si="16"/>
        <v>0</v>
      </c>
      <c r="CH9" s="172">
        <f t="shared" si="17"/>
        <v>4020729166666.6665</v>
      </c>
      <c r="CJ9" s="136">
        <f t="shared" si="18"/>
        <v>137762.96508570784</v>
      </c>
      <c r="CK9" s="7">
        <f t="shared" si="19"/>
        <v>181248618073.21808</v>
      </c>
      <c r="CL9" s="6">
        <f t="shared" si="20"/>
        <v>1528.071930954698</v>
      </c>
      <c r="CM9" s="6">
        <f t="shared" si="21"/>
        <v>1319.928069045302</v>
      </c>
      <c r="CN9" s="164">
        <f t="shared" si="73"/>
        <v>118612621.8285934</v>
      </c>
      <c r="CO9" s="164">
        <f t="shared" si="74"/>
        <v>137317041.98420024</v>
      </c>
      <c r="CP9" s="1137">
        <f t="shared" si="22"/>
        <v>127873762738.52518</v>
      </c>
      <c r="CQ9" s="1136">
        <f t="shared" si="23"/>
        <v>46745922615.017654</v>
      </c>
      <c r="CR9" s="22">
        <f t="shared" si="24"/>
        <v>137762.96508570784</v>
      </c>
      <c r="CS9" s="7">
        <f t="shared" si="25"/>
        <v>181248618073.21808</v>
      </c>
      <c r="CT9" s="6">
        <f t="shared" si="26"/>
        <v>1528.071930954698</v>
      </c>
      <c r="CU9" s="12">
        <f t="shared" si="27"/>
        <v>1319.928069045302</v>
      </c>
      <c r="CV9" s="164">
        <f t="shared" si="28"/>
        <v>118612621.8285934</v>
      </c>
      <c r="CW9" s="164">
        <f t="shared" si="29"/>
        <v>137317041.98420024</v>
      </c>
      <c r="CX9" s="1136">
        <f t="shared" si="30"/>
        <v>127873762738.52518</v>
      </c>
      <c r="CY9" s="1136">
        <f t="shared" si="31"/>
        <v>46745922615.017654</v>
      </c>
      <c r="CZ9" s="22">
        <f t="shared" si="32"/>
        <v>137762.96508570784</v>
      </c>
      <c r="DA9" s="7">
        <f t="shared" si="33"/>
        <v>181248618073.21808</v>
      </c>
      <c r="DB9" s="6">
        <f t="shared" si="34"/>
        <v>1528.071930954698</v>
      </c>
      <c r="DC9" s="12">
        <f t="shared" si="35"/>
        <v>1319.928069045302</v>
      </c>
      <c r="DD9" s="164">
        <f t="shared" si="75"/>
        <v>118612621.8285934</v>
      </c>
      <c r="DE9" s="164">
        <f t="shared" si="76"/>
        <v>137317041.98420024</v>
      </c>
      <c r="DF9" s="1136">
        <f t="shared" si="36"/>
        <v>127873762738.52518</v>
      </c>
      <c r="DG9" s="1136">
        <f t="shared" si="37"/>
        <v>46745922615.017654</v>
      </c>
      <c r="DH9" s="22">
        <f t="shared" si="38"/>
        <v>385674.65161772241</v>
      </c>
      <c r="DI9" s="172">
        <f t="shared" si="39"/>
        <v>422054115505.74689</v>
      </c>
      <c r="DJ9" s="12">
        <f t="shared" si="40"/>
        <v>471.90520652049327</v>
      </c>
      <c r="DK9" s="22">
        <f t="shared" si="41"/>
        <v>2376.0947934795067</v>
      </c>
      <c r="DL9" s="164">
        <f t="shared" si="77"/>
        <v>894362066.09731162</v>
      </c>
      <c r="DM9" s="164">
        <f t="shared" si="78"/>
        <v>177625116.92039824</v>
      </c>
      <c r="DN9" s="7">
        <f t="shared" si="42"/>
        <v>752817805871.31189</v>
      </c>
      <c r="DO9" s="1136">
        <f t="shared" si="43"/>
        <v>214476299647.88208</v>
      </c>
      <c r="DP9" s="22">
        <f t="shared" si="44"/>
        <v>220400.1939297127</v>
      </c>
      <c r="DQ9" s="172">
        <f t="shared" si="45"/>
        <v>321274841805.49976</v>
      </c>
      <c r="DR9" s="22">
        <f t="shared" si="46"/>
        <v>912.01570729835566</v>
      </c>
      <c r="DS9" s="22">
        <f t="shared" si="47"/>
        <v>1935.9842927016443</v>
      </c>
      <c r="DT9" s="164">
        <f t="shared" si="79"/>
        <v>352268978.7407338</v>
      </c>
      <c r="DU9" s="164">
        <f t="shared" si="80"/>
        <v>165949095.25694773</v>
      </c>
      <c r="DV9" s="1136">
        <f t="shared" si="48"/>
        <v>336188443782.78741</v>
      </c>
      <c r="DW9" s="1136">
        <f t="shared" si="49"/>
        <v>214476299647.88208</v>
      </c>
      <c r="DX9" s="763">
        <f t="shared" si="50"/>
        <v>150846.91308974594</v>
      </c>
      <c r="DY9" s="7">
        <f t="shared" si="51"/>
        <v>214108336764.70999</v>
      </c>
      <c r="DZ9" s="13">
        <f t="shared" si="52"/>
        <v>1384.5150764771718</v>
      </c>
      <c r="EA9" s="763">
        <f t="shared" si="53"/>
        <v>1463.4849235228282</v>
      </c>
      <c r="EB9" s="164">
        <f t="shared" si="81"/>
        <v>154645001.99557072</v>
      </c>
      <c r="EC9" s="164">
        <f t="shared" si="82"/>
        <v>146300336.49360666</v>
      </c>
      <c r="ED9" s="1136">
        <f t="shared" si="54"/>
        <v>752817805871.31189</v>
      </c>
      <c r="EE9" s="1136">
        <f t="shared" si="55"/>
        <v>214476299647.88208</v>
      </c>
      <c r="EF9" s="763">
        <f t="shared" si="56"/>
        <v>142124.28108705388</v>
      </c>
      <c r="EG9" s="7">
        <f t="shared" si="57"/>
        <v>192871489301.60898</v>
      </c>
      <c r="EH9" s="13">
        <f t="shared" si="58"/>
        <v>1477.2827948897061</v>
      </c>
      <c r="EI9" s="763">
        <f t="shared" si="59"/>
        <v>1370.7172051102939</v>
      </c>
      <c r="EJ9" s="164">
        <f t="shared" si="83"/>
        <v>130558272.23386079</v>
      </c>
      <c r="EK9" s="164">
        <f t="shared" si="84"/>
        <v>140708447.06883919</v>
      </c>
      <c r="EL9" s="1136">
        <f t="shared" si="85"/>
        <v>336188443782.78741</v>
      </c>
      <c r="EM9" s="1136">
        <f t="shared" si="86"/>
        <v>214476299647.88208</v>
      </c>
      <c r="EN9" s="763"/>
      <c r="EO9" s="1113" t="s">
        <v>2167</v>
      </c>
      <c r="EP9" s="1114">
        <v>137762.96508570801</v>
      </c>
      <c r="EQ9" s="1114">
        <v>181248618073.21799</v>
      </c>
      <c r="ER9" s="1115">
        <v>1528.0719309547001</v>
      </c>
      <c r="ES9" s="1115">
        <v>1319.9280690452999</v>
      </c>
      <c r="ET9" s="1114">
        <v>118612621.828593</v>
      </c>
      <c r="EU9" s="1114">
        <v>137317041.9842</v>
      </c>
      <c r="EV9" s="1114">
        <v>127873762738.52499</v>
      </c>
      <c r="EW9" s="1114">
        <v>46745922615.0177</v>
      </c>
      <c r="EX9" s="1114">
        <v>137762.96508570801</v>
      </c>
      <c r="EY9" s="1114">
        <v>181248618073.21799</v>
      </c>
      <c r="EZ9" s="1115">
        <v>1528.0719309547001</v>
      </c>
      <c r="FA9" s="1115">
        <v>1319.9280690452999</v>
      </c>
      <c r="FB9" s="1114">
        <v>118612621.828593</v>
      </c>
      <c r="FC9" s="1114">
        <v>137317041.9842</v>
      </c>
      <c r="FD9" s="1114">
        <v>127873762738.52499</v>
      </c>
      <c r="FE9" s="1114">
        <v>46745922615.0177</v>
      </c>
      <c r="FF9" s="1114">
        <v>137762.96508570801</v>
      </c>
      <c r="FG9" s="1114">
        <v>181248618073.21799</v>
      </c>
      <c r="FH9" s="1115">
        <v>1528.0719309547001</v>
      </c>
      <c r="FI9" s="1115">
        <v>1319.9280690452999</v>
      </c>
      <c r="FJ9" s="1114">
        <v>118612621.828593</v>
      </c>
      <c r="FK9" s="1114">
        <v>137317041.9842</v>
      </c>
      <c r="FL9" s="1114">
        <v>127873762738.52499</v>
      </c>
      <c r="FM9" s="1114">
        <v>46745922615.0177</v>
      </c>
      <c r="FN9" s="1114">
        <v>385674.65161772299</v>
      </c>
      <c r="FO9" s="1114">
        <v>422054115505.74701</v>
      </c>
      <c r="FP9" s="1115">
        <v>471.90520652049298</v>
      </c>
      <c r="FQ9" s="1115">
        <v>2376.0947934795099</v>
      </c>
      <c r="FR9" s="1114">
        <v>894362066.09731197</v>
      </c>
      <c r="FS9" s="1114">
        <v>177625116.920398</v>
      </c>
      <c r="FT9" s="1114">
        <v>752817805871.31299</v>
      </c>
      <c r="FU9" s="1114">
        <v>214476299647.88199</v>
      </c>
      <c r="FV9" s="1114">
        <v>220400.19392971299</v>
      </c>
      <c r="FW9" s="1114">
        <v>321274841805.5</v>
      </c>
      <c r="FX9" s="1115">
        <v>912.01570729835498</v>
      </c>
      <c r="FY9" s="1115">
        <v>1935.98429270164</v>
      </c>
      <c r="FZ9" s="1114">
        <v>352268978.74073398</v>
      </c>
      <c r="GA9" s="1114">
        <v>165949095.25694799</v>
      </c>
      <c r="GB9" s="1114">
        <v>336188443782.78802</v>
      </c>
      <c r="GC9" s="1114">
        <v>214476299647.88199</v>
      </c>
      <c r="GD9" s="1114">
        <v>150846.913089746</v>
      </c>
      <c r="GE9" s="1114">
        <v>214108336764.70999</v>
      </c>
      <c r="GF9" s="1115">
        <v>1384.5150764771699</v>
      </c>
      <c r="GG9" s="1115">
        <v>1463.4849235228301</v>
      </c>
      <c r="GH9" s="1114">
        <v>154645001.99557099</v>
      </c>
      <c r="GI9" s="1114">
        <v>146300336.49360701</v>
      </c>
      <c r="GJ9" s="1114">
        <v>752817805871.31299</v>
      </c>
      <c r="GK9" s="1114">
        <v>214476299647.88199</v>
      </c>
      <c r="GL9" s="1114">
        <v>142124.281087054</v>
      </c>
      <c r="GM9" s="1114">
        <v>192871489301.60901</v>
      </c>
      <c r="GN9" s="1115">
        <v>1477.28279488971</v>
      </c>
      <c r="GO9" s="1115">
        <v>1370.71720511029</v>
      </c>
      <c r="GP9" s="1114">
        <v>130558272.233861</v>
      </c>
      <c r="GQ9" s="1114">
        <v>140708447.06883901</v>
      </c>
      <c r="GR9" s="1114">
        <v>336188443782.78802</v>
      </c>
      <c r="GS9" s="1114">
        <v>214476299647.88199</v>
      </c>
      <c r="GU9" s="1171">
        <f t="shared" si="60"/>
        <v>0</v>
      </c>
      <c r="GV9" s="1171">
        <f t="shared" si="61"/>
        <v>0</v>
      </c>
      <c r="GW9" s="1171">
        <f t="shared" si="62"/>
        <v>-2.0463630789890885E-12</v>
      </c>
      <c r="GX9" s="1171">
        <f t="shared" si="63"/>
        <v>2.0463630789890885E-12</v>
      </c>
      <c r="GY9" s="1171">
        <f t="shared" si="64"/>
        <v>4.0233135223388672E-7</v>
      </c>
      <c r="GZ9" s="1171">
        <f t="shared" si="65"/>
        <v>2.384185791015625E-7</v>
      </c>
      <c r="HA9" s="1171">
        <f t="shared" si="87"/>
        <v>1.8310546875E-4</v>
      </c>
      <c r="HB9" s="1171">
        <f t="shared" si="66"/>
        <v>0</v>
      </c>
      <c r="HC9" s="1171">
        <f t="shared" si="67"/>
        <v>0</v>
      </c>
      <c r="HD9" s="1171">
        <f t="shared" si="68"/>
        <v>0</v>
      </c>
      <c r="HE9" s="1171">
        <f t="shared" si="69"/>
        <v>-2.0463630789890885E-12</v>
      </c>
      <c r="HF9" s="1171">
        <f t="shared" si="70"/>
        <v>2.0463630789890885E-12</v>
      </c>
      <c r="HG9" s="1171">
        <f t="shared" si="89"/>
        <v>4.0233135223388672E-7</v>
      </c>
      <c r="HH9" s="1171">
        <f t="shared" si="90"/>
        <v>2.384185791015625E-7</v>
      </c>
      <c r="HI9" s="1171">
        <f t="shared" si="91"/>
        <v>1.8310546875E-4</v>
      </c>
      <c r="HJ9" s="1171">
        <f t="shared" si="92"/>
        <v>0</v>
      </c>
      <c r="HK9" s="1171">
        <f t="shared" si="93"/>
        <v>0</v>
      </c>
      <c r="HL9" s="1171">
        <f t="shared" si="94"/>
        <v>0</v>
      </c>
      <c r="HM9" s="1171">
        <f t="shared" si="95"/>
        <v>-2.0463630789890885E-12</v>
      </c>
      <c r="HN9" s="1171">
        <f t="shared" si="96"/>
        <v>2.0463630789890885E-12</v>
      </c>
      <c r="HO9" s="1171">
        <f t="shared" si="97"/>
        <v>4.0233135223388672E-7</v>
      </c>
      <c r="HP9" s="1171">
        <f t="shared" si="98"/>
        <v>2.384185791015625E-7</v>
      </c>
      <c r="HQ9" s="1171">
        <f t="shared" si="99"/>
        <v>1.8310546875E-4</v>
      </c>
      <c r="HR9" s="1171">
        <f t="shared" si="100"/>
        <v>0</v>
      </c>
      <c r="HS9" s="1171">
        <f t="shared" si="101"/>
        <v>-5.8207660913467407E-10</v>
      </c>
      <c r="HT9" s="1171">
        <f t="shared" si="102"/>
        <v>0</v>
      </c>
      <c r="HU9" s="1171">
        <f t="shared" si="103"/>
        <v>0</v>
      </c>
      <c r="HV9" s="1171">
        <f t="shared" si="104"/>
        <v>0</v>
      </c>
      <c r="HW9" s="1171">
        <f t="shared" si="105"/>
        <v>0</v>
      </c>
      <c r="HX9" s="1171">
        <f t="shared" si="106"/>
        <v>2.384185791015625E-7</v>
      </c>
      <c r="HY9" s="1171">
        <f t="shared" si="107"/>
        <v>-1.0986328125E-3</v>
      </c>
      <c r="HZ9" s="1171">
        <f t="shared" si="108"/>
        <v>0</v>
      </c>
      <c r="IA9" s="1171">
        <f t="shared" si="109"/>
        <v>-2.9103830456733704E-10</v>
      </c>
      <c r="IB9" s="1171">
        <f t="shared" si="110"/>
        <v>0</v>
      </c>
      <c r="IC9" s="1171">
        <f t="shared" si="111"/>
        <v>0</v>
      </c>
      <c r="ID9" s="1171">
        <f t="shared" si="112"/>
        <v>4.3200998334214091E-12</v>
      </c>
      <c r="IE9" s="1171">
        <f t="shared" si="113"/>
        <v>0</v>
      </c>
      <c r="IF9" s="1171">
        <f t="shared" si="114"/>
        <v>-2.6822090148925781E-7</v>
      </c>
      <c r="IG9" s="1171">
        <f t="shared" si="115"/>
        <v>-6.103515625E-4</v>
      </c>
      <c r="IH9" s="1171">
        <f t="shared" si="116"/>
        <v>0</v>
      </c>
      <c r="II9" s="1171">
        <f t="shared" si="117"/>
        <v>0</v>
      </c>
      <c r="IJ9" s="1171">
        <f t="shared" si="118"/>
        <v>0</v>
      </c>
      <c r="IK9" s="1171">
        <f t="shared" si="119"/>
        <v>1.8189894035458565E-12</v>
      </c>
      <c r="IL9" s="1171">
        <f t="shared" si="120"/>
        <v>-1.8189894035458565E-12</v>
      </c>
      <c r="IM9" s="1171">
        <f t="shared" si="121"/>
        <v>-2.6822090148925781E-7</v>
      </c>
      <c r="IN9" s="1171">
        <f t="shared" si="122"/>
        <v>-3.5762786865234375E-7</v>
      </c>
      <c r="IO9" s="1171">
        <f t="shared" si="123"/>
        <v>-1.0986328125E-3</v>
      </c>
      <c r="IP9" s="1171">
        <f t="shared" si="124"/>
        <v>0</v>
      </c>
      <c r="IQ9" s="1171">
        <f t="shared" si="125"/>
        <v>0</v>
      </c>
      <c r="IR9" s="1171">
        <f t="shared" si="126"/>
        <v>0</v>
      </c>
      <c r="IS9" s="1171">
        <f t="shared" si="127"/>
        <v>-3.865352482534945E-12</v>
      </c>
      <c r="IT9" s="1171">
        <f t="shared" si="128"/>
        <v>3.865352482534945E-12</v>
      </c>
      <c r="IU9" s="1171">
        <f t="shared" si="129"/>
        <v>-2.0861625671386719E-7</v>
      </c>
      <c r="IV9" s="1171">
        <f t="shared" si="130"/>
        <v>0</v>
      </c>
      <c r="IW9" s="1171">
        <f t="shared" si="131"/>
        <v>-6.103515625E-4</v>
      </c>
      <c r="IX9" s="1171">
        <f t="shared" si="132"/>
        <v>0</v>
      </c>
    </row>
    <row r="10" spans="1:258" s="856" customFormat="1">
      <c r="B10" s="856" t="str">
        <f t="shared" ref="B10" si="135">LEFT(B8,3)+1&amp;"j"</f>
        <v>104j</v>
      </c>
      <c r="C10" s="856">
        <v>11.9</v>
      </c>
      <c r="D10" s="856">
        <v>0</v>
      </c>
      <c r="E10" s="856" t="s">
        <v>2086</v>
      </c>
      <c r="F10" s="882">
        <v>2</v>
      </c>
      <c r="G10" s="883">
        <v>500</v>
      </c>
      <c r="H10" s="883">
        <v>30</v>
      </c>
      <c r="I10" s="726">
        <v>250</v>
      </c>
      <c r="J10" s="882">
        <v>1940</v>
      </c>
      <c r="K10" s="883">
        <v>18</v>
      </c>
      <c r="L10" s="726">
        <v>120</v>
      </c>
      <c r="M10" s="882">
        <v>2800</v>
      </c>
      <c r="N10" s="726">
        <v>12</v>
      </c>
      <c r="O10" s="857">
        <v>0</v>
      </c>
      <c r="P10" s="26">
        <v>290</v>
      </c>
      <c r="Q10" s="857">
        <f>+Section!L71</f>
        <v>5500</v>
      </c>
      <c r="R10" s="169">
        <v>0</v>
      </c>
      <c r="S10" s="210">
        <v>0</v>
      </c>
      <c r="T10" s="858">
        <v>1200</v>
      </c>
      <c r="U10" s="858">
        <v>2400</v>
      </c>
      <c r="V10" s="859">
        <v>3800</v>
      </c>
      <c r="W10" s="860">
        <v>19</v>
      </c>
      <c r="X10" s="860">
        <v>200</v>
      </c>
      <c r="Y10" s="858">
        <v>50</v>
      </c>
      <c r="Z10" s="860">
        <v>16</v>
      </c>
      <c r="AA10" s="860">
        <v>200</v>
      </c>
      <c r="AB10" s="859">
        <v>40</v>
      </c>
      <c r="AC10" s="860">
        <v>0</v>
      </c>
      <c r="AD10" s="857">
        <v>2</v>
      </c>
      <c r="AE10" s="858">
        <v>160</v>
      </c>
      <c r="AF10" s="858">
        <v>16</v>
      </c>
      <c r="AG10" s="857">
        <v>0</v>
      </c>
      <c r="AH10" s="858">
        <v>0</v>
      </c>
      <c r="AI10" s="858">
        <v>0</v>
      </c>
      <c r="AJ10" s="397">
        <v>2</v>
      </c>
      <c r="AK10" s="210">
        <v>2500</v>
      </c>
      <c r="AL10" s="860">
        <v>5000</v>
      </c>
      <c r="AM10" s="210" t="s">
        <v>2316</v>
      </c>
      <c r="AN10" s="210">
        <v>2500</v>
      </c>
      <c r="AO10" s="1143" t="s">
        <v>2322</v>
      </c>
      <c r="AP10" s="1143" t="s">
        <v>2321</v>
      </c>
      <c r="AQ10" s="136">
        <v>150</v>
      </c>
      <c r="AR10" s="136">
        <v>14</v>
      </c>
      <c r="AS10" s="1143" t="s">
        <v>2448</v>
      </c>
      <c r="AT10" s="136">
        <v>120</v>
      </c>
      <c r="AU10" s="136">
        <v>12</v>
      </c>
      <c r="AV10" s="1110"/>
      <c r="AW10" s="1110"/>
      <c r="AX10" s="1110"/>
      <c r="AY10" s="1110"/>
      <c r="AZ10" s="1108">
        <v>8</v>
      </c>
      <c r="BA10" s="1108">
        <v>6</v>
      </c>
      <c r="BB10" s="1110"/>
      <c r="BC10" s="1168"/>
      <c r="BD10" s="210">
        <f>INDEX(Spec!$B$12:$P$58,MATCH(AO10,Spec!$A$12:$A$58,0),6)*100</f>
        <v>2921</v>
      </c>
      <c r="BE10" s="210">
        <f>INDEX(Spec!$B$12:$P$58,MATCH(AP10,Spec!$A$12:$A$58,0),6)*100</f>
        <v>1900</v>
      </c>
      <c r="BF10" s="881">
        <f t="shared" si="0"/>
        <v>1.0617395007654364</v>
      </c>
      <c r="BG10" s="881">
        <f t="shared" si="1"/>
        <v>47.243485714285718</v>
      </c>
      <c r="BH10" s="881"/>
      <c r="BI10" s="13" cm="1">
        <f t="array" ref="BI10">INDEX(Info!$AD$4:$AH$15,MATCH(Info!$I$13,Info!$AC$4:$AC$15,0),IF(H10&lt;=16,1,IF(H10&lt;=40,2,IF(H10&lt;=75,3,IF(H10&lt;=100,4,5)))))</f>
        <v>380</v>
      </c>
      <c r="BJ10" s="13" cm="1">
        <f t="array" ref="BJ10">INDEX(Info!$AD$4:$AH$15,MATCH(Info!$I$13,Info!$AC$4:$AC$15,0),IF(K10&lt;=16,1,IF(K10&lt;=40,2,IF(K10&lt;=75,3,IF(K10&lt;=100,4,5)))))</f>
        <v>380</v>
      </c>
      <c r="BK10" s="13" cm="1">
        <f t="array" ref="BK10">INDEX(Info!$AD$4:$AH$15,MATCH(Info!$I$14,Info!$AC$4:$AC$15,0),IF(N10&lt;=16,1,IF(N10&lt;=40,2,IF(N10&lt;=75,3,IF(N10&lt;=100,4,5)))))</f>
        <v>355</v>
      </c>
      <c r="BL10" s="13">
        <f>IF(Stress!C839="Positive",MAX(MIN(0.7*BI10,BK10),0.5*BI10),MAX(MIN(0.7*BJ10,BK10),0.5*BJ10))</f>
        <v>266</v>
      </c>
      <c r="BM10" s="13" cm="1">
        <f t="array" ref="BM10">INDEX(Info!$AD$4:$AH$15,MATCH(Info!$I$13,Info!$AC$4:$AC$15,0),IF(AI10&lt;=16,1,IF(AI10&lt;=40,2,IF(AI10&lt;=75,3,IF(AI10&lt;=100,4,5)))))</f>
        <v>380</v>
      </c>
      <c r="BN10" s="13" cm="1">
        <f t="array" ref="BN10">INDEX(Info!$AD$4:$AH$15,MATCH(Info!$I$13,Info!$AC$4:$AC$15,0),IF(AF10&lt;=16,1,IF(AF10&lt;=40,2,IF(AF10&lt;=75,3,IF(AF10&lt;=100,4,5)))))</f>
        <v>380</v>
      </c>
      <c r="BO10" s="13"/>
      <c r="BP10" s="861">
        <f t="shared" si="2"/>
        <v>0.125</v>
      </c>
      <c r="BQ10" s="861">
        <f t="shared" si="3"/>
        <v>2821.7902119044925</v>
      </c>
      <c r="BR10" s="861">
        <f t="shared" si="72"/>
        <v>3108</v>
      </c>
      <c r="BS10" s="861"/>
      <c r="BT10" s="856">
        <f t="shared" si="4"/>
        <v>0</v>
      </c>
      <c r="BU10" s="136">
        <f t="shared" si="5"/>
        <v>0</v>
      </c>
      <c r="BV10" s="856">
        <f t="shared" si="6"/>
        <v>1595000</v>
      </c>
      <c r="BW10" s="856">
        <f t="shared" si="7"/>
        <v>11178291666.666666</v>
      </c>
      <c r="BX10" s="856">
        <f t="shared" si="8"/>
        <v>0</v>
      </c>
      <c r="BY10" s="856">
        <f t="shared" si="9"/>
        <v>0</v>
      </c>
      <c r="BZ10" s="856">
        <f t="shared" si="10"/>
        <v>7655.2758986349281</v>
      </c>
      <c r="CA10" s="856">
        <f t="shared" si="11"/>
        <v>172722.16246295057</v>
      </c>
      <c r="CB10" s="856">
        <f t="shared" si="12"/>
        <v>5428.6721054031623</v>
      </c>
      <c r="CC10" s="856">
        <f t="shared" si="13"/>
        <v>86858.753686450596</v>
      </c>
      <c r="CE10" s="1137">
        <f t="shared" si="14"/>
        <v>346081987.77679139</v>
      </c>
      <c r="CF10" s="1136">
        <f t="shared" si="15"/>
        <v>411131448.88888884</v>
      </c>
      <c r="CG10" s="1136">
        <f t="shared" si="16"/>
        <v>0</v>
      </c>
      <c r="CH10" s="172">
        <f t="shared" si="17"/>
        <v>4020729166666.6665</v>
      </c>
      <c r="CJ10" s="136">
        <f t="shared" si="18"/>
        <v>137762.96508570784</v>
      </c>
      <c r="CK10" s="7">
        <f t="shared" si="19"/>
        <v>181248618073.21808</v>
      </c>
      <c r="CL10" s="863">
        <f t="shared" si="20"/>
        <v>1528.071930954698</v>
      </c>
      <c r="CM10" s="6">
        <f t="shared" si="21"/>
        <v>1319.928069045302</v>
      </c>
      <c r="CN10" s="864">
        <f t="shared" si="73"/>
        <v>118612621.8285934</v>
      </c>
      <c r="CO10" s="864">
        <f t="shared" si="74"/>
        <v>137317041.98420024</v>
      </c>
      <c r="CP10" s="1137">
        <f t="shared" si="22"/>
        <v>127873762738.52518</v>
      </c>
      <c r="CQ10" s="1136">
        <f t="shared" si="23"/>
        <v>46745922615.017654</v>
      </c>
      <c r="CR10" s="865">
        <f t="shared" si="24"/>
        <v>137762.96508570784</v>
      </c>
      <c r="CS10" s="862">
        <f t="shared" si="25"/>
        <v>181248618073.21808</v>
      </c>
      <c r="CT10" s="863">
        <f t="shared" si="26"/>
        <v>1528.071930954698</v>
      </c>
      <c r="CU10" s="866">
        <f t="shared" si="27"/>
        <v>1319.928069045302</v>
      </c>
      <c r="CV10" s="864">
        <f t="shared" si="28"/>
        <v>118612621.8285934</v>
      </c>
      <c r="CW10" s="864">
        <f t="shared" si="29"/>
        <v>137317041.98420024</v>
      </c>
      <c r="CX10" s="1136">
        <f t="shared" si="30"/>
        <v>127873762738.52518</v>
      </c>
      <c r="CY10" s="1136">
        <f t="shared" si="31"/>
        <v>46745922615.017654</v>
      </c>
      <c r="CZ10" s="865">
        <f t="shared" si="32"/>
        <v>137762.96508570784</v>
      </c>
      <c r="DA10" s="862">
        <f t="shared" si="33"/>
        <v>181248618073.21808</v>
      </c>
      <c r="DB10" s="863">
        <f t="shared" si="34"/>
        <v>1528.071930954698</v>
      </c>
      <c r="DC10" s="866">
        <f t="shared" si="35"/>
        <v>1319.928069045302</v>
      </c>
      <c r="DD10" s="864">
        <f t="shared" si="75"/>
        <v>118612621.8285934</v>
      </c>
      <c r="DE10" s="864">
        <f t="shared" si="76"/>
        <v>137317041.98420024</v>
      </c>
      <c r="DF10" s="1136">
        <f t="shared" si="36"/>
        <v>127873762738.52518</v>
      </c>
      <c r="DG10" s="1136">
        <f t="shared" si="37"/>
        <v>46745922615.017654</v>
      </c>
      <c r="DH10" s="865">
        <f t="shared" si="38"/>
        <v>385674.65161772241</v>
      </c>
      <c r="DI10" s="867">
        <f t="shared" si="39"/>
        <v>422054115505.74689</v>
      </c>
      <c r="DJ10" s="866">
        <f t="shared" si="40"/>
        <v>471.90520652049327</v>
      </c>
      <c r="DK10" s="865">
        <f t="shared" si="41"/>
        <v>2376.0947934795067</v>
      </c>
      <c r="DL10" s="864">
        <f t="shared" si="77"/>
        <v>894362066.09731162</v>
      </c>
      <c r="DM10" s="864">
        <f t="shared" si="78"/>
        <v>177625116.92039824</v>
      </c>
      <c r="DN10" s="7">
        <f t="shared" si="42"/>
        <v>752817805871.31189</v>
      </c>
      <c r="DO10" s="1136">
        <f t="shared" si="43"/>
        <v>214476299647.88208</v>
      </c>
      <c r="DP10" s="865">
        <f t="shared" si="44"/>
        <v>220400.1939297127</v>
      </c>
      <c r="DQ10" s="867">
        <f t="shared" si="45"/>
        <v>321274841805.49976</v>
      </c>
      <c r="DR10" s="865">
        <f t="shared" si="46"/>
        <v>912.01570729835566</v>
      </c>
      <c r="DS10" s="865">
        <f t="shared" si="47"/>
        <v>1935.9842927016443</v>
      </c>
      <c r="DT10" s="864">
        <f t="shared" si="79"/>
        <v>352268978.7407338</v>
      </c>
      <c r="DU10" s="864">
        <f t="shared" si="80"/>
        <v>165949095.25694773</v>
      </c>
      <c r="DV10" s="1136">
        <f t="shared" si="48"/>
        <v>336188443782.78741</v>
      </c>
      <c r="DW10" s="1136">
        <f t="shared" si="49"/>
        <v>214476299647.88208</v>
      </c>
      <c r="DX10" s="868">
        <f t="shared" si="50"/>
        <v>150846.91308974594</v>
      </c>
      <c r="DY10" s="862">
        <f t="shared" si="51"/>
        <v>214108336764.70999</v>
      </c>
      <c r="DZ10" s="861">
        <f t="shared" si="52"/>
        <v>1384.5150764771718</v>
      </c>
      <c r="EA10" s="868">
        <f t="shared" si="53"/>
        <v>1463.4849235228282</v>
      </c>
      <c r="EB10" s="864">
        <f t="shared" si="81"/>
        <v>154645001.99557072</v>
      </c>
      <c r="EC10" s="864">
        <f t="shared" si="82"/>
        <v>146300336.49360666</v>
      </c>
      <c r="ED10" s="1136">
        <f t="shared" si="54"/>
        <v>752817805871.31189</v>
      </c>
      <c r="EE10" s="1136">
        <f t="shared" si="55"/>
        <v>214476299647.88208</v>
      </c>
      <c r="EF10" s="868">
        <f t="shared" si="56"/>
        <v>142124.28108705388</v>
      </c>
      <c r="EG10" s="862">
        <f t="shared" si="57"/>
        <v>192871489301.60898</v>
      </c>
      <c r="EH10" s="861">
        <f t="shared" si="58"/>
        <v>1477.2827948897061</v>
      </c>
      <c r="EI10" s="868">
        <f t="shared" si="59"/>
        <v>1370.7172051102939</v>
      </c>
      <c r="EJ10" s="864">
        <f t="shared" si="83"/>
        <v>130558272.23386079</v>
      </c>
      <c r="EK10" s="864">
        <f t="shared" si="84"/>
        <v>140708447.06883919</v>
      </c>
      <c r="EL10" s="1136">
        <f t="shared" si="85"/>
        <v>336188443782.78741</v>
      </c>
      <c r="EM10" s="1136">
        <f t="shared" si="86"/>
        <v>214476299647.88208</v>
      </c>
      <c r="EN10" s="1134"/>
      <c r="EO10" s="1113" t="s">
        <v>2168</v>
      </c>
      <c r="EP10" s="1114">
        <v>137762.96508570801</v>
      </c>
      <c r="EQ10" s="1114">
        <v>181248618073.21799</v>
      </c>
      <c r="ER10" s="1115">
        <v>1528.0719309547001</v>
      </c>
      <c r="ES10" s="1115">
        <v>1319.9280690452999</v>
      </c>
      <c r="ET10" s="1114">
        <v>118612621.828593</v>
      </c>
      <c r="EU10" s="1114">
        <v>137317041.9842</v>
      </c>
      <c r="EV10" s="1114">
        <v>127873762738.52499</v>
      </c>
      <c r="EW10" s="1114">
        <v>46745922615.0177</v>
      </c>
      <c r="EX10" s="1114">
        <v>137762.96508570801</v>
      </c>
      <c r="EY10" s="1114">
        <v>181248618073.21799</v>
      </c>
      <c r="EZ10" s="1115">
        <v>1528.0719309547001</v>
      </c>
      <c r="FA10" s="1115">
        <v>1319.9280690452999</v>
      </c>
      <c r="FB10" s="1114">
        <v>118612621.828593</v>
      </c>
      <c r="FC10" s="1114">
        <v>137317041.9842</v>
      </c>
      <c r="FD10" s="1114">
        <v>127873762738.52499</v>
      </c>
      <c r="FE10" s="1114">
        <v>46745922615.0177</v>
      </c>
      <c r="FF10" s="1114">
        <v>137762.96508570801</v>
      </c>
      <c r="FG10" s="1114">
        <v>181248618073.21799</v>
      </c>
      <c r="FH10" s="1115">
        <v>1528.0719309547001</v>
      </c>
      <c r="FI10" s="1115">
        <v>1319.9280690452999</v>
      </c>
      <c r="FJ10" s="1114">
        <v>118612621.828593</v>
      </c>
      <c r="FK10" s="1114">
        <v>137317041.9842</v>
      </c>
      <c r="FL10" s="1114">
        <v>127873762738.52499</v>
      </c>
      <c r="FM10" s="1114">
        <v>46745922615.0177</v>
      </c>
      <c r="FN10" s="1114">
        <v>385674.65161772299</v>
      </c>
      <c r="FO10" s="1114">
        <v>422054115505.74701</v>
      </c>
      <c r="FP10" s="1115">
        <v>471.90520652049298</v>
      </c>
      <c r="FQ10" s="1115">
        <v>2376.0947934795099</v>
      </c>
      <c r="FR10" s="1114">
        <v>894362066.09731197</v>
      </c>
      <c r="FS10" s="1114">
        <v>177625116.920398</v>
      </c>
      <c r="FT10" s="1114">
        <v>752817805871.31299</v>
      </c>
      <c r="FU10" s="1114">
        <v>214476299647.88199</v>
      </c>
      <c r="FV10" s="1114">
        <v>220400.19392971299</v>
      </c>
      <c r="FW10" s="1114">
        <v>321274841805.5</v>
      </c>
      <c r="FX10" s="1115">
        <v>912.01570729835498</v>
      </c>
      <c r="FY10" s="1115">
        <v>1935.98429270164</v>
      </c>
      <c r="FZ10" s="1114">
        <v>352268978.74073398</v>
      </c>
      <c r="GA10" s="1114">
        <v>165949095.25694799</v>
      </c>
      <c r="GB10" s="1114">
        <v>336188443782.78802</v>
      </c>
      <c r="GC10" s="1114">
        <v>214476299647.88199</v>
      </c>
      <c r="GD10" s="1114">
        <v>150846.913089746</v>
      </c>
      <c r="GE10" s="1114">
        <v>214108336764.70999</v>
      </c>
      <c r="GF10" s="1115">
        <v>1384.5150764771699</v>
      </c>
      <c r="GG10" s="1115">
        <v>1463.4849235228301</v>
      </c>
      <c r="GH10" s="1114">
        <v>154645001.99557099</v>
      </c>
      <c r="GI10" s="1114">
        <v>146300336.49360701</v>
      </c>
      <c r="GJ10" s="1114">
        <v>752817805871.31299</v>
      </c>
      <c r="GK10" s="1114">
        <v>214476299647.88199</v>
      </c>
      <c r="GL10" s="1114">
        <v>142124.281087054</v>
      </c>
      <c r="GM10" s="1114">
        <v>192871489301.60901</v>
      </c>
      <c r="GN10" s="1115">
        <v>1477.28279488971</v>
      </c>
      <c r="GO10" s="1115">
        <v>1370.71720511029</v>
      </c>
      <c r="GP10" s="1114">
        <v>130558272.233861</v>
      </c>
      <c r="GQ10" s="1114">
        <v>140708447.06883901</v>
      </c>
      <c r="GR10" s="1114">
        <v>336188443782.78802</v>
      </c>
      <c r="GS10" s="1114">
        <v>214476299647.88199</v>
      </c>
      <c r="GU10" s="1171">
        <f t="shared" si="60"/>
        <v>0</v>
      </c>
      <c r="GV10" s="1171">
        <f t="shared" si="61"/>
        <v>0</v>
      </c>
      <c r="GW10" s="1171">
        <f t="shared" si="62"/>
        <v>-2.0463630789890885E-12</v>
      </c>
      <c r="GX10" s="1171">
        <f t="shared" si="63"/>
        <v>2.0463630789890885E-12</v>
      </c>
      <c r="GY10" s="1171">
        <f t="shared" si="64"/>
        <v>4.0233135223388672E-7</v>
      </c>
      <c r="GZ10" s="1171">
        <f t="shared" si="65"/>
        <v>2.384185791015625E-7</v>
      </c>
      <c r="HA10" s="1171">
        <f t="shared" si="87"/>
        <v>1.8310546875E-4</v>
      </c>
      <c r="HB10" s="1171">
        <f t="shared" si="66"/>
        <v>0</v>
      </c>
      <c r="HC10" s="1171">
        <f t="shared" si="67"/>
        <v>0</v>
      </c>
      <c r="HD10" s="1171">
        <f t="shared" si="68"/>
        <v>0</v>
      </c>
      <c r="HE10" s="1171">
        <f t="shared" si="69"/>
        <v>-2.0463630789890885E-12</v>
      </c>
      <c r="HF10" s="1171">
        <f t="shared" si="70"/>
        <v>2.0463630789890885E-12</v>
      </c>
      <c r="HG10" s="1171">
        <f t="shared" si="89"/>
        <v>4.0233135223388672E-7</v>
      </c>
      <c r="HH10" s="1171">
        <f t="shared" si="90"/>
        <v>2.384185791015625E-7</v>
      </c>
      <c r="HI10" s="1171">
        <f t="shared" si="91"/>
        <v>1.8310546875E-4</v>
      </c>
      <c r="HJ10" s="1171">
        <f t="shared" si="92"/>
        <v>0</v>
      </c>
      <c r="HK10" s="1171">
        <f t="shared" si="93"/>
        <v>0</v>
      </c>
      <c r="HL10" s="1171">
        <f t="shared" si="94"/>
        <v>0</v>
      </c>
      <c r="HM10" s="1171">
        <f t="shared" si="95"/>
        <v>-2.0463630789890885E-12</v>
      </c>
      <c r="HN10" s="1171">
        <f t="shared" si="96"/>
        <v>2.0463630789890885E-12</v>
      </c>
      <c r="HO10" s="1171">
        <f t="shared" si="97"/>
        <v>4.0233135223388672E-7</v>
      </c>
      <c r="HP10" s="1171">
        <f t="shared" si="98"/>
        <v>2.384185791015625E-7</v>
      </c>
      <c r="HQ10" s="1171">
        <f t="shared" si="99"/>
        <v>1.8310546875E-4</v>
      </c>
      <c r="HR10" s="1171">
        <f t="shared" si="100"/>
        <v>0</v>
      </c>
      <c r="HS10" s="1171">
        <f t="shared" si="101"/>
        <v>-5.8207660913467407E-10</v>
      </c>
      <c r="HT10" s="1171">
        <f t="shared" si="102"/>
        <v>0</v>
      </c>
      <c r="HU10" s="1171">
        <f t="shared" si="103"/>
        <v>0</v>
      </c>
      <c r="HV10" s="1171">
        <f t="shared" si="104"/>
        <v>0</v>
      </c>
      <c r="HW10" s="1171">
        <f t="shared" si="105"/>
        <v>0</v>
      </c>
      <c r="HX10" s="1171">
        <f t="shared" si="106"/>
        <v>2.384185791015625E-7</v>
      </c>
      <c r="HY10" s="1171">
        <f t="shared" si="107"/>
        <v>-1.0986328125E-3</v>
      </c>
      <c r="HZ10" s="1171">
        <f t="shared" si="108"/>
        <v>0</v>
      </c>
      <c r="IA10" s="1171">
        <f t="shared" si="109"/>
        <v>-2.9103830456733704E-10</v>
      </c>
      <c r="IB10" s="1171">
        <f t="shared" si="110"/>
        <v>0</v>
      </c>
      <c r="IC10" s="1171">
        <f t="shared" si="111"/>
        <v>0</v>
      </c>
      <c r="ID10" s="1171">
        <f t="shared" si="112"/>
        <v>4.3200998334214091E-12</v>
      </c>
      <c r="IE10" s="1171">
        <f t="shared" si="113"/>
        <v>0</v>
      </c>
      <c r="IF10" s="1171">
        <f t="shared" si="114"/>
        <v>-2.6822090148925781E-7</v>
      </c>
      <c r="IG10" s="1171">
        <f t="shared" si="115"/>
        <v>-6.103515625E-4</v>
      </c>
      <c r="IH10" s="1171">
        <f t="shared" si="116"/>
        <v>0</v>
      </c>
      <c r="II10" s="1171">
        <f t="shared" si="117"/>
        <v>0</v>
      </c>
      <c r="IJ10" s="1171">
        <f t="shared" si="118"/>
        <v>0</v>
      </c>
      <c r="IK10" s="1171">
        <f t="shared" si="119"/>
        <v>1.8189894035458565E-12</v>
      </c>
      <c r="IL10" s="1171">
        <f t="shared" si="120"/>
        <v>-1.8189894035458565E-12</v>
      </c>
      <c r="IM10" s="1171">
        <f t="shared" si="121"/>
        <v>-2.6822090148925781E-7</v>
      </c>
      <c r="IN10" s="1171">
        <f t="shared" si="122"/>
        <v>-3.5762786865234375E-7</v>
      </c>
      <c r="IO10" s="1171">
        <f t="shared" si="123"/>
        <v>-1.0986328125E-3</v>
      </c>
      <c r="IP10" s="1171">
        <f t="shared" si="124"/>
        <v>0</v>
      </c>
      <c r="IQ10" s="1171">
        <f t="shared" si="125"/>
        <v>0</v>
      </c>
      <c r="IR10" s="1171">
        <f t="shared" si="126"/>
        <v>0</v>
      </c>
      <c r="IS10" s="1171">
        <f t="shared" si="127"/>
        <v>-3.865352482534945E-12</v>
      </c>
      <c r="IT10" s="1171">
        <f t="shared" si="128"/>
        <v>3.865352482534945E-12</v>
      </c>
      <c r="IU10" s="1171">
        <f t="shared" si="129"/>
        <v>-2.0861625671386719E-7</v>
      </c>
      <c r="IV10" s="1171">
        <f t="shared" si="130"/>
        <v>0</v>
      </c>
      <c r="IW10" s="1171">
        <f t="shared" si="131"/>
        <v>-6.103515625E-4</v>
      </c>
      <c r="IX10" s="1171">
        <f t="shared" si="132"/>
        <v>0</v>
      </c>
    </row>
    <row r="11" spans="1:258" s="856" customFormat="1">
      <c r="A11" s="856">
        <v>105</v>
      </c>
      <c r="B11" s="856" t="str">
        <f t="shared" ref="B11" si="136">LEFT(B9,3)+1&amp;"i"</f>
        <v>105i</v>
      </c>
      <c r="C11" s="856">
        <v>11.9</v>
      </c>
      <c r="D11" s="856">
        <v>0</v>
      </c>
      <c r="E11" s="856" t="s">
        <v>2087</v>
      </c>
      <c r="F11" s="882">
        <v>2</v>
      </c>
      <c r="G11" s="883">
        <v>500</v>
      </c>
      <c r="H11" s="883">
        <v>38</v>
      </c>
      <c r="I11" s="726">
        <v>250</v>
      </c>
      <c r="J11" s="882">
        <v>1940</v>
      </c>
      <c r="K11" s="883">
        <v>34</v>
      </c>
      <c r="L11" s="726">
        <v>120</v>
      </c>
      <c r="M11" s="882">
        <v>2800</v>
      </c>
      <c r="N11" s="726">
        <v>12</v>
      </c>
      <c r="O11" s="857">
        <v>0</v>
      </c>
      <c r="P11" s="26">
        <v>290</v>
      </c>
      <c r="Q11" s="857">
        <f>+Section!L72</f>
        <v>5500</v>
      </c>
      <c r="R11" s="169">
        <v>0</v>
      </c>
      <c r="S11" s="210">
        <v>0</v>
      </c>
      <c r="T11" s="858">
        <v>1200</v>
      </c>
      <c r="U11" s="858">
        <v>2400</v>
      </c>
      <c r="V11" s="859">
        <v>3800</v>
      </c>
      <c r="W11" s="860">
        <v>19</v>
      </c>
      <c r="X11" s="860">
        <v>200</v>
      </c>
      <c r="Y11" s="858">
        <v>50</v>
      </c>
      <c r="Z11" s="860">
        <v>16</v>
      </c>
      <c r="AA11" s="860">
        <v>200</v>
      </c>
      <c r="AB11" s="859">
        <v>40</v>
      </c>
      <c r="AC11" s="860">
        <v>0</v>
      </c>
      <c r="AD11" s="857">
        <v>2</v>
      </c>
      <c r="AE11" s="858">
        <v>160</v>
      </c>
      <c r="AF11" s="858">
        <v>16</v>
      </c>
      <c r="AG11" s="857">
        <v>0</v>
      </c>
      <c r="AH11" s="858">
        <v>0</v>
      </c>
      <c r="AI11" s="858">
        <v>0</v>
      </c>
      <c r="AJ11" s="397">
        <v>2</v>
      </c>
      <c r="AK11" s="210">
        <v>2500</v>
      </c>
      <c r="AL11" s="860">
        <v>5000</v>
      </c>
      <c r="AM11" s="210" t="s">
        <v>2316</v>
      </c>
      <c r="AN11" s="210">
        <v>2500</v>
      </c>
      <c r="AO11" s="1143" t="s">
        <v>2322</v>
      </c>
      <c r="AP11" s="1143" t="s">
        <v>2321</v>
      </c>
      <c r="AQ11" s="136">
        <v>150</v>
      </c>
      <c r="AR11" s="136">
        <v>14</v>
      </c>
      <c r="AS11" s="1143" t="s">
        <v>2448</v>
      </c>
      <c r="AT11" s="136">
        <v>120</v>
      </c>
      <c r="AU11" s="136">
        <v>12</v>
      </c>
      <c r="AV11" s="1110"/>
      <c r="AW11" s="1110"/>
      <c r="AX11" s="1110"/>
      <c r="AY11" s="1110"/>
      <c r="AZ11" s="1108">
        <v>8</v>
      </c>
      <c r="BA11" s="1108">
        <v>6</v>
      </c>
      <c r="BB11" s="1110"/>
      <c r="BC11" s="1168"/>
      <c r="BD11" s="210">
        <f>INDEX(Spec!$B$12:$P$58,MATCH(AO11,Spec!$A$12:$A$58,0),6)*100</f>
        <v>2921</v>
      </c>
      <c r="BE11" s="210">
        <f>INDEX(Spec!$B$12:$P$58,MATCH(AP11,Spec!$A$12:$A$58,0),6)*100</f>
        <v>1900</v>
      </c>
      <c r="BF11" s="881">
        <f t="shared" si="0"/>
        <v>1.0664319805794482</v>
      </c>
      <c r="BG11" s="881">
        <f t="shared" si="1"/>
        <v>47.243485714285718</v>
      </c>
      <c r="BH11" s="881"/>
      <c r="BI11" s="13" cm="1">
        <f t="array" ref="BI11">INDEX(Info!$AD$4:$AH$15,MATCH(Info!$I$13,Info!$AC$4:$AC$15,0),IF(H11&lt;=16,1,IF(H11&lt;=40,2,IF(H11&lt;=75,3,IF(H11&lt;=100,4,5)))))</f>
        <v>380</v>
      </c>
      <c r="BJ11" s="13" cm="1">
        <f t="array" ref="BJ11">INDEX(Info!$AD$4:$AH$15,MATCH(Info!$I$13,Info!$AC$4:$AC$15,0),IF(K11&lt;=16,1,IF(K11&lt;=40,2,IF(K11&lt;=75,3,IF(K11&lt;=100,4,5)))))</f>
        <v>380</v>
      </c>
      <c r="BK11" s="13" cm="1">
        <f t="array" ref="BK11">INDEX(Info!$AD$4:$AH$15,MATCH(Info!$I$14,Info!$AC$4:$AC$15,0),IF(N11&lt;=16,1,IF(N11&lt;=40,2,IF(N11&lt;=75,3,IF(N11&lt;=100,4,5)))))</f>
        <v>355</v>
      </c>
      <c r="BL11" s="13">
        <f>IF(Stress!C840="Positive",MAX(MIN(0.7*BI11,BK11),0.5*BI11),MAX(MIN(0.7*BJ11,BK11),0.5*BJ11))</f>
        <v>266</v>
      </c>
      <c r="BM11" s="13" cm="1">
        <f t="array" ref="BM11">INDEX(Info!$AD$4:$AH$15,MATCH(Info!$I$13,Info!$AC$4:$AC$15,0),IF(AI11&lt;=16,1,IF(AI11&lt;=40,2,IF(AI11&lt;=75,3,IF(AI11&lt;=100,4,5)))))</f>
        <v>380</v>
      </c>
      <c r="BN11" s="13" cm="1">
        <f t="array" ref="BN11">INDEX(Info!$AD$4:$AH$15,MATCH(Info!$I$13,Info!$AC$4:$AC$15,0),IF(AF11&lt;=16,1,IF(AF11&lt;=40,2,IF(AF11&lt;=75,3,IF(AF11&lt;=100,4,5)))))</f>
        <v>380</v>
      </c>
      <c r="BO11" s="13"/>
      <c r="BP11" s="861">
        <f t="shared" si="2"/>
        <v>0.125</v>
      </c>
      <c r="BQ11" s="861">
        <f t="shared" si="3"/>
        <v>2821.7902119044925</v>
      </c>
      <c r="BR11" s="861">
        <f t="shared" si="72"/>
        <v>3124</v>
      </c>
      <c r="BS11" s="861"/>
      <c r="BT11" s="856">
        <f t="shared" si="4"/>
        <v>0</v>
      </c>
      <c r="BU11" s="136">
        <f t="shared" si="5"/>
        <v>0</v>
      </c>
      <c r="BV11" s="856">
        <f t="shared" si="6"/>
        <v>1595000</v>
      </c>
      <c r="BW11" s="856">
        <f t="shared" si="7"/>
        <v>11178291666.666666</v>
      </c>
      <c r="BX11" s="856">
        <f t="shared" si="8"/>
        <v>0</v>
      </c>
      <c r="BY11" s="856">
        <f t="shared" si="9"/>
        <v>0</v>
      </c>
      <c r="BZ11" s="856">
        <f t="shared" si="10"/>
        <v>7655.2758986349281</v>
      </c>
      <c r="CA11" s="856">
        <f t="shared" si="11"/>
        <v>172722.16246295057</v>
      </c>
      <c r="CB11" s="856">
        <f t="shared" si="12"/>
        <v>5428.6721054031623</v>
      </c>
      <c r="CC11" s="856">
        <f t="shared" si="13"/>
        <v>86858.753686450596</v>
      </c>
      <c r="CE11" s="1137">
        <f t="shared" si="14"/>
        <v>346081987.77679139</v>
      </c>
      <c r="CF11" s="1136">
        <f t="shared" si="15"/>
        <v>411131448.88888884</v>
      </c>
      <c r="CG11" s="1136">
        <f t="shared" si="16"/>
        <v>0</v>
      </c>
      <c r="CH11" s="172">
        <f t="shared" si="17"/>
        <v>4020729166666.6665</v>
      </c>
      <c r="CJ11" s="136">
        <f t="shared" si="18"/>
        <v>176802.96508570784</v>
      </c>
      <c r="CK11" s="7">
        <f t="shared" si="19"/>
        <v>250018643484.55331</v>
      </c>
      <c r="CL11" s="863">
        <f t="shared" si="20"/>
        <v>1699.8831645586633</v>
      </c>
      <c r="CM11" s="6">
        <f t="shared" si="21"/>
        <v>1172.1168354413367</v>
      </c>
      <c r="CN11" s="864">
        <f t="shared" si="73"/>
        <v>147079898.60554036</v>
      </c>
      <c r="CO11" s="864">
        <f t="shared" si="74"/>
        <v>213305223.44251961</v>
      </c>
      <c r="CP11" s="1137">
        <f t="shared" si="22"/>
        <v>149295608071.85852</v>
      </c>
      <c r="CQ11" s="1136">
        <f t="shared" si="23"/>
        <v>48039297273.756439</v>
      </c>
      <c r="CR11" s="865">
        <f t="shared" si="24"/>
        <v>176802.96508570784</v>
      </c>
      <c r="CS11" s="862">
        <f t="shared" si="25"/>
        <v>250018643484.55331</v>
      </c>
      <c r="CT11" s="863">
        <f t="shared" si="26"/>
        <v>1699.8831645586633</v>
      </c>
      <c r="CU11" s="866">
        <f t="shared" si="27"/>
        <v>1172.1168354413367</v>
      </c>
      <c r="CV11" s="864">
        <f t="shared" si="28"/>
        <v>147079898.60554036</v>
      </c>
      <c r="CW11" s="864">
        <f t="shared" si="29"/>
        <v>213305223.44251961</v>
      </c>
      <c r="CX11" s="1136">
        <f t="shared" si="30"/>
        <v>149295608071.85852</v>
      </c>
      <c r="CY11" s="1136">
        <f t="shared" si="31"/>
        <v>48039297273.756439</v>
      </c>
      <c r="CZ11" s="865">
        <f t="shared" si="32"/>
        <v>176802.96508570784</v>
      </c>
      <c r="DA11" s="862">
        <f t="shared" si="33"/>
        <v>250018643484.55331</v>
      </c>
      <c r="DB11" s="863">
        <f t="shared" si="34"/>
        <v>1699.8831645586633</v>
      </c>
      <c r="DC11" s="866">
        <f t="shared" si="35"/>
        <v>1172.1168354413367</v>
      </c>
      <c r="DD11" s="864">
        <f t="shared" si="75"/>
        <v>147079898.60554036</v>
      </c>
      <c r="DE11" s="864">
        <f t="shared" si="76"/>
        <v>213305223.44251961</v>
      </c>
      <c r="DF11" s="1136">
        <f t="shared" si="36"/>
        <v>149295608071.85852</v>
      </c>
      <c r="DG11" s="1136">
        <f t="shared" si="37"/>
        <v>48039297273.756439</v>
      </c>
      <c r="DH11" s="865">
        <f t="shared" si="38"/>
        <v>424714.65161772241</v>
      </c>
      <c r="DI11" s="867">
        <f t="shared" si="39"/>
        <v>588693664353.30603</v>
      </c>
      <c r="DJ11" s="866">
        <f t="shared" si="40"/>
        <v>645.18102281284291</v>
      </c>
      <c r="DK11" s="865">
        <f t="shared" si="41"/>
        <v>2226.8189771871571</v>
      </c>
      <c r="DL11" s="864">
        <f t="shared" si="77"/>
        <v>912447272.2194078</v>
      </c>
      <c r="DM11" s="864">
        <f t="shared" si="78"/>
        <v>264365298.83400047</v>
      </c>
      <c r="DN11" s="7">
        <f t="shared" si="42"/>
        <v>774239651204.64526</v>
      </c>
      <c r="DO11" s="1136">
        <f t="shared" si="43"/>
        <v>234610855423.4957</v>
      </c>
      <c r="DP11" s="865">
        <f t="shared" si="44"/>
        <v>259440.1939297127</v>
      </c>
      <c r="DQ11" s="867">
        <f t="shared" si="45"/>
        <v>434458180516.33417</v>
      </c>
      <c r="DR11" s="865">
        <f t="shared" si="46"/>
        <v>1124.3523830619979</v>
      </c>
      <c r="DS11" s="865">
        <f t="shared" si="47"/>
        <v>1747.6476169380021</v>
      </c>
      <c r="DT11" s="864">
        <f t="shared" si="79"/>
        <v>386407488.48964524</v>
      </c>
      <c r="DU11" s="864">
        <f t="shared" si="80"/>
        <v>248595984.8573676</v>
      </c>
      <c r="DV11" s="1136">
        <f t="shared" si="48"/>
        <v>357610289116.12073</v>
      </c>
      <c r="DW11" s="1136">
        <f t="shared" si="49"/>
        <v>234610855423.4957</v>
      </c>
      <c r="DX11" s="868">
        <f t="shared" si="50"/>
        <v>189886.91308974594</v>
      </c>
      <c r="DY11" s="862">
        <f t="shared" si="51"/>
        <v>290450258588.50891</v>
      </c>
      <c r="DZ11" s="861">
        <f t="shared" si="52"/>
        <v>1574.5538007466741</v>
      </c>
      <c r="EA11" s="868">
        <f t="shared" si="53"/>
        <v>1297.4461992533259</v>
      </c>
      <c r="EB11" s="864">
        <f t="shared" si="81"/>
        <v>184465121.77022696</v>
      </c>
      <c r="EC11" s="864">
        <f t="shared" si="82"/>
        <v>223863046.3102529</v>
      </c>
      <c r="ED11" s="1136">
        <f t="shared" si="54"/>
        <v>774239651204.64526</v>
      </c>
      <c r="EE11" s="1136">
        <f t="shared" si="55"/>
        <v>234610855423.4957</v>
      </c>
      <c r="EF11" s="868">
        <f t="shared" si="56"/>
        <v>181164.28108705388</v>
      </c>
      <c r="EG11" s="862">
        <f t="shared" si="57"/>
        <v>264142700868.93478</v>
      </c>
      <c r="EH11" s="861">
        <f t="shared" si="58"/>
        <v>1656.0952723925752</v>
      </c>
      <c r="EI11" s="868">
        <f t="shared" si="59"/>
        <v>1215.9047276074248</v>
      </c>
      <c r="EJ11" s="864">
        <f t="shared" si="83"/>
        <v>159497285.73726651</v>
      </c>
      <c r="EK11" s="864">
        <f t="shared" si="84"/>
        <v>217239636.3559643</v>
      </c>
      <c r="EL11" s="1136">
        <f t="shared" si="85"/>
        <v>357610289116.12073</v>
      </c>
      <c r="EM11" s="1136">
        <f t="shared" si="86"/>
        <v>234610855423.4957</v>
      </c>
      <c r="EN11" s="1135"/>
      <c r="EO11" s="1113" t="s">
        <v>2169</v>
      </c>
      <c r="EP11" s="1114">
        <v>176802.96508570801</v>
      </c>
      <c r="EQ11" s="1114">
        <v>250018643484.55301</v>
      </c>
      <c r="ER11" s="1115">
        <v>1699.8831645586599</v>
      </c>
      <c r="ES11" s="1115">
        <v>1172.1168354413401</v>
      </c>
      <c r="ET11" s="1114">
        <v>147079898.60554001</v>
      </c>
      <c r="EU11" s="1114">
        <v>213305223.44251999</v>
      </c>
      <c r="EV11" s="1114">
        <v>149295608071.85901</v>
      </c>
      <c r="EW11" s="1114">
        <v>48039297273.756401</v>
      </c>
      <c r="EX11" s="1114">
        <v>176802.96508570801</v>
      </c>
      <c r="EY11" s="1114">
        <v>250018643484.55301</v>
      </c>
      <c r="EZ11" s="1115">
        <v>1699.8831645586599</v>
      </c>
      <c r="FA11" s="1115">
        <v>1172.1168354413401</v>
      </c>
      <c r="FB11" s="1114">
        <v>147079898.60554001</v>
      </c>
      <c r="FC11" s="1114">
        <v>213305223.44251999</v>
      </c>
      <c r="FD11" s="1114">
        <v>149295608071.85901</v>
      </c>
      <c r="FE11" s="1114">
        <v>48039297273.756401</v>
      </c>
      <c r="FF11" s="1114">
        <v>176802.96508570801</v>
      </c>
      <c r="FG11" s="1114">
        <v>250018643484.55301</v>
      </c>
      <c r="FH11" s="1115">
        <v>1699.8831645586599</v>
      </c>
      <c r="FI11" s="1115">
        <v>1172.1168354413401</v>
      </c>
      <c r="FJ11" s="1114">
        <v>147079898.60554001</v>
      </c>
      <c r="FK11" s="1114">
        <v>213305223.44251999</v>
      </c>
      <c r="FL11" s="1114">
        <v>149295608071.85901</v>
      </c>
      <c r="FM11" s="1114">
        <v>48039297273.756401</v>
      </c>
      <c r="FN11" s="1114">
        <v>424714.65161772299</v>
      </c>
      <c r="FO11" s="1114">
        <v>588693664353.30603</v>
      </c>
      <c r="FP11" s="1115">
        <v>645.181022812842</v>
      </c>
      <c r="FQ11" s="1115">
        <v>2226.8189771871598</v>
      </c>
      <c r="FR11" s="1114">
        <v>912447272.21940899</v>
      </c>
      <c r="FS11" s="1114">
        <v>264365298.83399999</v>
      </c>
      <c r="FT11" s="1114">
        <v>774239651204.646</v>
      </c>
      <c r="FU11" s="1114">
        <v>234610855423.496</v>
      </c>
      <c r="FV11" s="1114">
        <v>259440.19392971299</v>
      </c>
      <c r="FW11" s="1114">
        <v>434458180516.33398</v>
      </c>
      <c r="FX11" s="1115">
        <v>1124.3523830619999</v>
      </c>
      <c r="FY11" s="1115">
        <v>1747.6476169380001</v>
      </c>
      <c r="FZ11" s="1114">
        <v>386407488.489645</v>
      </c>
      <c r="GA11" s="1114">
        <v>248595984.85736799</v>
      </c>
      <c r="GB11" s="1114">
        <v>357610289116.12097</v>
      </c>
      <c r="GC11" s="1114">
        <v>234610855423.496</v>
      </c>
      <c r="GD11" s="1114">
        <v>189886.913089746</v>
      </c>
      <c r="GE11" s="1114">
        <v>290450258588.50897</v>
      </c>
      <c r="GF11" s="1115">
        <v>1574.55380074667</v>
      </c>
      <c r="GG11" s="1115">
        <v>1297.44619925333</v>
      </c>
      <c r="GH11" s="1114">
        <v>184465121.77022699</v>
      </c>
      <c r="GI11" s="1114">
        <v>223863046.31025299</v>
      </c>
      <c r="GJ11" s="1114">
        <v>774239651204.646</v>
      </c>
      <c r="GK11" s="1114">
        <v>234610855423.496</v>
      </c>
      <c r="GL11" s="1114">
        <v>181164.281087054</v>
      </c>
      <c r="GM11" s="1114">
        <v>264142700868.935</v>
      </c>
      <c r="GN11" s="1115">
        <v>1656.09527239258</v>
      </c>
      <c r="GO11" s="1115">
        <v>1215.90472760742</v>
      </c>
      <c r="GP11" s="1114">
        <v>159497285.737266</v>
      </c>
      <c r="GQ11" s="1114">
        <v>217239636.355964</v>
      </c>
      <c r="GR11" s="1114">
        <v>357610289116.12097</v>
      </c>
      <c r="GS11" s="1114">
        <v>234610855423.496</v>
      </c>
      <c r="GU11" s="1171">
        <f t="shared" si="60"/>
        <v>0</v>
      </c>
      <c r="GV11" s="1171">
        <f t="shared" si="61"/>
        <v>3.0517578125E-4</v>
      </c>
      <c r="GW11" s="1171">
        <f t="shared" si="62"/>
        <v>3.4106051316484809E-12</v>
      </c>
      <c r="GX11" s="1171">
        <f t="shared" si="63"/>
        <v>-3.4106051316484809E-12</v>
      </c>
      <c r="GY11" s="1171">
        <f t="shared" si="64"/>
        <v>3.5762786865234375E-7</v>
      </c>
      <c r="GZ11" s="1171">
        <f t="shared" si="65"/>
        <v>-3.8743019104003906E-7</v>
      </c>
      <c r="HA11" s="1171">
        <f t="shared" si="87"/>
        <v>-4.8828125E-4</v>
      </c>
      <c r="HB11" s="1171">
        <f t="shared" si="66"/>
        <v>0</v>
      </c>
      <c r="HC11" s="1171">
        <f t="shared" si="67"/>
        <v>0</v>
      </c>
      <c r="HD11" s="1171">
        <f t="shared" si="68"/>
        <v>3.0517578125E-4</v>
      </c>
      <c r="HE11" s="1171">
        <f t="shared" si="69"/>
        <v>3.4106051316484809E-12</v>
      </c>
      <c r="HF11" s="1171">
        <f t="shared" si="70"/>
        <v>-3.4106051316484809E-12</v>
      </c>
      <c r="HG11" s="1171">
        <f t="shared" si="89"/>
        <v>3.5762786865234375E-7</v>
      </c>
      <c r="HH11" s="1171">
        <f t="shared" si="90"/>
        <v>-3.8743019104003906E-7</v>
      </c>
      <c r="HI11" s="1171">
        <f t="shared" si="91"/>
        <v>-4.8828125E-4</v>
      </c>
      <c r="HJ11" s="1171">
        <f t="shared" si="92"/>
        <v>0</v>
      </c>
      <c r="HK11" s="1171">
        <f t="shared" si="93"/>
        <v>0</v>
      </c>
      <c r="HL11" s="1171">
        <f t="shared" si="94"/>
        <v>3.0517578125E-4</v>
      </c>
      <c r="HM11" s="1171">
        <f t="shared" si="95"/>
        <v>3.4106051316484809E-12</v>
      </c>
      <c r="HN11" s="1171">
        <f t="shared" si="96"/>
        <v>-3.4106051316484809E-12</v>
      </c>
      <c r="HO11" s="1171">
        <f t="shared" si="97"/>
        <v>3.5762786865234375E-7</v>
      </c>
      <c r="HP11" s="1171">
        <f t="shared" si="98"/>
        <v>-3.8743019104003906E-7</v>
      </c>
      <c r="HQ11" s="1171">
        <f t="shared" si="99"/>
        <v>-4.8828125E-4</v>
      </c>
      <c r="HR11" s="1171">
        <f t="shared" si="100"/>
        <v>0</v>
      </c>
      <c r="HS11" s="1171">
        <f t="shared" si="101"/>
        <v>-5.8207660913467407E-10</v>
      </c>
      <c r="HT11" s="1171">
        <f t="shared" si="102"/>
        <v>0</v>
      </c>
      <c r="HU11" s="1171">
        <f t="shared" si="103"/>
        <v>9.0949470177292824E-13</v>
      </c>
      <c r="HV11" s="1171">
        <f t="shared" si="104"/>
        <v>0</v>
      </c>
      <c r="HW11" s="1171">
        <f t="shared" si="105"/>
        <v>-1.1920928955078125E-6</v>
      </c>
      <c r="HX11" s="1171">
        <f t="shared" si="106"/>
        <v>4.76837158203125E-7</v>
      </c>
      <c r="HY11" s="1171">
        <f t="shared" si="107"/>
        <v>0</v>
      </c>
      <c r="HZ11" s="1171">
        <f t="shared" si="108"/>
        <v>-3.0517578125E-4</v>
      </c>
      <c r="IA11" s="1171">
        <f t="shared" si="109"/>
        <v>-2.9103830456733704E-10</v>
      </c>
      <c r="IB11" s="1171">
        <f t="shared" si="110"/>
        <v>0</v>
      </c>
      <c r="IC11" s="1171">
        <f t="shared" si="111"/>
        <v>-2.0463630789890885E-12</v>
      </c>
      <c r="ID11" s="1171">
        <f t="shared" si="112"/>
        <v>2.0463630789890885E-12</v>
      </c>
      <c r="IE11" s="1171">
        <f t="shared" si="113"/>
        <v>0</v>
      </c>
      <c r="IF11" s="1171">
        <f t="shared" si="114"/>
        <v>-3.8743019104003906E-7</v>
      </c>
      <c r="IG11" s="1171">
        <f t="shared" si="115"/>
        <v>0</v>
      </c>
      <c r="IH11" s="1171">
        <f t="shared" si="116"/>
        <v>-3.0517578125E-4</v>
      </c>
      <c r="II11" s="1171">
        <f t="shared" si="117"/>
        <v>0</v>
      </c>
      <c r="IJ11" s="1171">
        <f t="shared" si="118"/>
        <v>0</v>
      </c>
      <c r="IK11" s="1171">
        <f t="shared" si="119"/>
        <v>4.0927261579781771E-12</v>
      </c>
      <c r="IL11" s="1171">
        <f t="shared" si="120"/>
        <v>-4.0927261579781771E-12</v>
      </c>
      <c r="IM11" s="1171">
        <f t="shared" si="121"/>
        <v>0</v>
      </c>
      <c r="IN11" s="1171">
        <f t="shared" si="122"/>
        <v>0</v>
      </c>
      <c r="IO11" s="1171">
        <f t="shared" si="123"/>
        <v>0</v>
      </c>
      <c r="IP11" s="1171">
        <f t="shared" si="124"/>
        <v>-3.0517578125E-4</v>
      </c>
      <c r="IQ11" s="1171">
        <f t="shared" si="125"/>
        <v>0</v>
      </c>
      <c r="IR11" s="1171">
        <f t="shared" si="126"/>
        <v>0</v>
      </c>
      <c r="IS11" s="1171">
        <f t="shared" si="127"/>
        <v>-4.7748471843078732E-12</v>
      </c>
      <c r="IT11" s="1171">
        <f t="shared" si="128"/>
        <v>4.7748471843078732E-12</v>
      </c>
      <c r="IU11" s="1171">
        <f t="shared" si="129"/>
        <v>5.0663948059082031E-7</v>
      </c>
      <c r="IV11" s="1171">
        <f t="shared" si="130"/>
        <v>2.9802322387695313E-7</v>
      </c>
      <c r="IW11" s="1171">
        <f t="shared" si="131"/>
        <v>0</v>
      </c>
      <c r="IX11" s="1171">
        <f t="shared" si="132"/>
        <v>-3.0517578125E-4</v>
      </c>
    </row>
    <row r="12" spans="1:258">
      <c r="B12" s="136" t="str">
        <f t="shared" ref="B12" si="137">LEFT(B10,3)+1&amp;"j"</f>
        <v>105j</v>
      </c>
      <c r="C12">
        <v>16.899999999999999</v>
      </c>
      <c r="D12" s="136">
        <v>0</v>
      </c>
      <c r="E12" t="s">
        <v>2087</v>
      </c>
      <c r="F12" s="26">
        <v>2</v>
      </c>
      <c r="G12" s="136">
        <v>500</v>
      </c>
      <c r="H12" s="136">
        <v>38</v>
      </c>
      <c r="I12" s="28">
        <v>250</v>
      </c>
      <c r="J12" s="26">
        <v>1940</v>
      </c>
      <c r="K12" s="136">
        <v>34</v>
      </c>
      <c r="L12" s="28">
        <v>120</v>
      </c>
      <c r="M12" s="26">
        <v>2800</v>
      </c>
      <c r="N12" s="28">
        <v>12</v>
      </c>
      <c r="O12" s="26">
        <v>0</v>
      </c>
      <c r="P12" s="26">
        <v>290</v>
      </c>
      <c r="Q12" s="26">
        <f>+Section!L73</f>
        <v>5500</v>
      </c>
      <c r="R12" s="169">
        <v>0</v>
      </c>
      <c r="S12" s="210">
        <v>0</v>
      </c>
      <c r="T12" s="27">
        <v>1200</v>
      </c>
      <c r="U12" s="27">
        <v>2400</v>
      </c>
      <c r="V12" s="28">
        <v>3800</v>
      </c>
      <c r="W12" s="210">
        <v>19</v>
      </c>
      <c r="X12" s="210">
        <v>200</v>
      </c>
      <c r="Y12" s="169">
        <v>50</v>
      </c>
      <c r="Z12" s="210">
        <v>16</v>
      </c>
      <c r="AA12" s="210">
        <v>200</v>
      </c>
      <c r="AB12" s="28">
        <v>40</v>
      </c>
      <c r="AC12" s="210">
        <v>0</v>
      </c>
      <c r="AD12" s="26">
        <v>2</v>
      </c>
      <c r="AE12" s="169">
        <v>160</v>
      </c>
      <c r="AF12" s="169">
        <v>16</v>
      </c>
      <c r="AG12" s="26">
        <v>0</v>
      </c>
      <c r="AH12" s="169">
        <v>0</v>
      </c>
      <c r="AI12" s="169">
        <v>0</v>
      </c>
      <c r="AJ12" s="397">
        <v>2</v>
      </c>
      <c r="AK12" s="210">
        <v>2500</v>
      </c>
      <c r="AL12" s="210">
        <v>5000</v>
      </c>
      <c r="AM12" s="210" t="s">
        <v>2316</v>
      </c>
      <c r="AN12" s="210">
        <v>2500</v>
      </c>
      <c r="AO12" s="1143" t="s">
        <v>2322</v>
      </c>
      <c r="AP12" s="1143" t="s">
        <v>2321</v>
      </c>
      <c r="AQ12" s="136">
        <v>150</v>
      </c>
      <c r="AR12" s="136">
        <v>14</v>
      </c>
      <c r="AS12" s="1143" t="s">
        <v>2448</v>
      </c>
      <c r="AT12" s="136">
        <v>120</v>
      </c>
      <c r="AU12" s="136">
        <v>12</v>
      </c>
      <c r="AV12" s="1109" t="s">
        <v>2157</v>
      </c>
      <c r="AW12" s="1109">
        <v>12</v>
      </c>
      <c r="AX12" s="1109">
        <v>400</v>
      </c>
      <c r="AY12" s="1109">
        <v>1000</v>
      </c>
      <c r="AZ12" s="1108">
        <v>8</v>
      </c>
      <c r="BA12" s="1108">
        <v>6</v>
      </c>
      <c r="BC12" s="1168"/>
      <c r="BD12" s="210">
        <f>INDEX(Spec!$B$12:$P$58,MATCH(AO12,Spec!$A$12:$A$58,0),6)*100</f>
        <v>2921</v>
      </c>
      <c r="BE12" s="210">
        <f>INDEX(Spec!$B$12:$P$58,MATCH(AP12,Spec!$A$12:$A$58,0),6)*100</f>
        <v>1900</v>
      </c>
      <c r="BF12" s="881">
        <f t="shared" si="0"/>
        <v>1.0664319805794482</v>
      </c>
      <c r="BG12" s="881">
        <f t="shared" si="1"/>
        <v>47.243485714285718</v>
      </c>
      <c r="BH12" s="881"/>
      <c r="BI12" s="13" cm="1">
        <f t="array" ref="BI12">INDEX(Info!$AD$4:$AH$15,MATCH(Info!$I$13,Info!$AC$4:$AC$15,0),IF(H12&lt;=16,1,IF(H12&lt;=40,2,IF(H12&lt;=75,3,IF(H12&lt;=100,4,5)))))</f>
        <v>380</v>
      </c>
      <c r="BJ12" s="13" cm="1">
        <f t="array" ref="BJ12">INDEX(Info!$AD$4:$AH$15,MATCH(Info!$I$13,Info!$AC$4:$AC$15,0),IF(K12&lt;=16,1,IF(K12&lt;=40,2,IF(K12&lt;=75,3,IF(K12&lt;=100,4,5)))))</f>
        <v>380</v>
      </c>
      <c r="BK12" s="13" cm="1">
        <f t="array" ref="BK12">INDEX(Info!$AD$4:$AH$15,MATCH(Info!$I$14,Info!$AC$4:$AC$15,0),IF(N12&lt;=16,1,IF(N12&lt;=40,2,IF(N12&lt;=75,3,IF(N12&lt;=100,4,5)))))</f>
        <v>355</v>
      </c>
      <c r="BL12" s="13">
        <f>IF(Stress!C841="Positive",MAX(MIN(0.7*BI12,BK12),0.5*BI12),MAX(MIN(0.7*BJ12,BK12),0.5*BJ12))</f>
        <v>266</v>
      </c>
      <c r="BM12" s="13" cm="1">
        <f t="array" ref="BM12">INDEX(Info!$AD$4:$AH$15,MATCH(Info!$I$13,Info!$AC$4:$AC$15,0),IF(AI12&lt;=16,1,IF(AI12&lt;=40,2,IF(AI12&lt;=75,3,IF(AI12&lt;=100,4,5)))))</f>
        <v>380</v>
      </c>
      <c r="BN12" s="13" cm="1">
        <f t="array" ref="BN12">INDEX(Info!$AD$4:$AH$15,MATCH(Info!$I$13,Info!$AC$4:$AC$15,0),IF(AF12&lt;=16,1,IF(AF12&lt;=40,2,IF(AF12&lt;=75,3,IF(AF12&lt;=100,4,5)))))</f>
        <v>380</v>
      </c>
      <c r="BO12" s="13"/>
      <c r="BP12" s="13">
        <f t="shared" si="2"/>
        <v>0.125</v>
      </c>
      <c r="BQ12" s="13">
        <f t="shared" si="3"/>
        <v>2821.7902119044925</v>
      </c>
      <c r="BR12" s="13">
        <f t="shared" si="72"/>
        <v>3124</v>
      </c>
      <c r="BS12" s="13"/>
      <c r="BT12" s="136">
        <f t="shared" si="4"/>
        <v>0</v>
      </c>
      <c r="BU12" s="136">
        <f t="shared" si="5"/>
        <v>0</v>
      </c>
      <c r="BV12" s="136">
        <f t="shared" si="6"/>
        <v>1595000</v>
      </c>
      <c r="BW12" s="136">
        <f t="shared" si="7"/>
        <v>11178291666.666666</v>
      </c>
      <c r="BX12" s="136">
        <f t="shared" si="8"/>
        <v>0</v>
      </c>
      <c r="BY12" s="136">
        <f t="shared" si="9"/>
        <v>0</v>
      </c>
      <c r="BZ12" s="136">
        <f t="shared" si="10"/>
        <v>7655.2758986349281</v>
      </c>
      <c r="CA12" s="136">
        <f t="shared" si="11"/>
        <v>172722.16246295057</v>
      </c>
      <c r="CB12" s="136">
        <f t="shared" si="12"/>
        <v>5428.6721054031623</v>
      </c>
      <c r="CC12" s="136">
        <f t="shared" si="13"/>
        <v>86858.753686450596</v>
      </c>
      <c r="CE12" s="1137">
        <f t="shared" si="14"/>
        <v>346081987.77679139</v>
      </c>
      <c r="CF12" s="1136">
        <f t="shared" si="15"/>
        <v>411131448.88888884</v>
      </c>
      <c r="CG12" s="1136">
        <f t="shared" si="16"/>
        <v>0</v>
      </c>
      <c r="CH12" s="172">
        <f t="shared" si="17"/>
        <v>4020729166666.6665</v>
      </c>
      <c r="CJ12" s="136">
        <f t="shared" si="18"/>
        <v>176802.96508570784</v>
      </c>
      <c r="CK12" s="7">
        <f t="shared" si="19"/>
        <v>250018643484.55331</v>
      </c>
      <c r="CL12" s="6">
        <f t="shared" si="20"/>
        <v>1699.8831645586633</v>
      </c>
      <c r="CM12" s="6">
        <f t="shared" si="21"/>
        <v>1172.1168354413367</v>
      </c>
      <c r="CN12" s="164">
        <f t="shared" si="73"/>
        <v>147079898.60554036</v>
      </c>
      <c r="CO12" s="164">
        <f t="shared" si="74"/>
        <v>213305223.44251961</v>
      </c>
      <c r="CP12" s="1137">
        <f t="shared" si="22"/>
        <v>149295608071.85852</v>
      </c>
      <c r="CQ12" s="1136">
        <f t="shared" si="23"/>
        <v>48039297273.756439</v>
      </c>
      <c r="CR12" s="22">
        <f t="shared" si="24"/>
        <v>176802.96508570784</v>
      </c>
      <c r="CS12" s="7">
        <f t="shared" si="25"/>
        <v>250018643484.55331</v>
      </c>
      <c r="CT12" s="6">
        <f t="shared" si="26"/>
        <v>1699.8831645586633</v>
      </c>
      <c r="CU12" s="12">
        <f t="shared" si="27"/>
        <v>1172.1168354413367</v>
      </c>
      <c r="CV12" s="164">
        <f t="shared" si="28"/>
        <v>147079898.60554036</v>
      </c>
      <c r="CW12" s="164">
        <f t="shared" si="29"/>
        <v>213305223.44251961</v>
      </c>
      <c r="CX12" s="1136">
        <f t="shared" si="30"/>
        <v>149295608071.85852</v>
      </c>
      <c r="CY12" s="1136">
        <f t="shared" si="31"/>
        <v>48039297273.756439</v>
      </c>
      <c r="CZ12" s="22">
        <f t="shared" si="32"/>
        <v>176802.96508570784</v>
      </c>
      <c r="DA12" s="7">
        <f t="shared" si="33"/>
        <v>250018643484.55331</v>
      </c>
      <c r="DB12" s="6">
        <f t="shared" si="34"/>
        <v>1699.8831645586633</v>
      </c>
      <c r="DC12" s="12">
        <f t="shared" si="35"/>
        <v>1172.1168354413367</v>
      </c>
      <c r="DD12" s="164">
        <f t="shared" si="75"/>
        <v>147079898.60554036</v>
      </c>
      <c r="DE12" s="164">
        <f t="shared" si="76"/>
        <v>213305223.44251961</v>
      </c>
      <c r="DF12" s="1136">
        <f t="shared" si="36"/>
        <v>149295608071.85852</v>
      </c>
      <c r="DG12" s="1136">
        <f t="shared" si="37"/>
        <v>48039297273.756439</v>
      </c>
      <c r="DH12" s="22">
        <f t="shared" si="38"/>
        <v>424714.65161772241</v>
      </c>
      <c r="DI12" s="172">
        <f t="shared" si="39"/>
        <v>588693664353.30603</v>
      </c>
      <c r="DJ12" s="12">
        <f t="shared" si="40"/>
        <v>645.18102281284291</v>
      </c>
      <c r="DK12" s="22">
        <f t="shared" si="41"/>
        <v>2226.8189771871571</v>
      </c>
      <c r="DL12" s="164">
        <f t="shared" si="77"/>
        <v>912447272.2194078</v>
      </c>
      <c r="DM12" s="164">
        <f t="shared" si="78"/>
        <v>264365298.83400047</v>
      </c>
      <c r="DN12" s="7">
        <f t="shared" si="42"/>
        <v>774239651204.64526</v>
      </c>
      <c r="DO12" s="1136">
        <f t="shared" si="43"/>
        <v>234610855423.4957</v>
      </c>
      <c r="DP12" s="22">
        <f t="shared" si="44"/>
        <v>259440.1939297127</v>
      </c>
      <c r="DQ12" s="172">
        <f t="shared" si="45"/>
        <v>434458180516.33417</v>
      </c>
      <c r="DR12" s="22">
        <f t="shared" si="46"/>
        <v>1124.3523830619979</v>
      </c>
      <c r="DS12" s="22">
        <f t="shared" si="47"/>
        <v>1747.6476169380021</v>
      </c>
      <c r="DT12" s="164">
        <f t="shared" si="79"/>
        <v>386407488.48964524</v>
      </c>
      <c r="DU12" s="164">
        <f t="shared" si="80"/>
        <v>248595984.8573676</v>
      </c>
      <c r="DV12" s="1136">
        <f t="shared" si="48"/>
        <v>357610289116.12073</v>
      </c>
      <c r="DW12" s="1136">
        <f t="shared" si="49"/>
        <v>234610855423.4957</v>
      </c>
      <c r="DX12" s="763">
        <f t="shared" si="50"/>
        <v>189886.91308974594</v>
      </c>
      <c r="DY12" s="7">
        <f t="shared" si="51"/>
        <v>290450258588.50891</v>
      </c>
      <c r="DZ12" s="13">
        <f t="shared" si="52"/>
        <v>1574.5538007466741</v>
      </c>
      <c r="EA12" s="763">
        <f t="shared" si="53"/>
        <v>1297.4461992533259</v>
      </c>
      <c r="EB12" s="164">
        <f t="shared" si="81"/>
        <v>184465121.77022696</v>
      </c>
      <c r="EC12" s="164">
        <f t="shared" si="82"/>
        <v>223863046.3102529</v>
      </c>
      <c r="ED12" s="1136">
        <f t="shared" si="54"/>
        <v>774239651204.64526</v>
      </c>
      <c r="EE12" s="1136">
        <f t="shared" si="55"/>
        <v>234610855423.4957</v>
      </c>
      <c r="EF12" s="763">
        <f t="shared" si="56"/>
        <v>181164.28108705388</v>
      </c>
      <c r="EG12" s="7">
        <f t="shared" si="57"/>
        <v>264142700868.93478</v>
      </c>
      <c r="EH12" s="13">
        <f t="shared" si="58"/>
        <v>1656.0952723925752</v>
      </c>
      <c r="EI12" s="763">
        <f t="shared" si="59"/>
        <v>1215.9047276074248</v>
      </c>
      <c r="EJ12" s="164">
        <f t="shared" si="83"/>
        <v>159497285.73726651</v>
      </c>
      <c r="EK12" s="164">
        <f t="shared" si="84"/>
        <v>217239636.3559643</v>
      </c>
      <c r="EL12" s="1136">
        <f t="shared" si="85"/>
        <v>357610289116.12073</v>
      </c>
      <c r="EM12" s="1136">
        <f t="shared" si="86"/>
        <v>234610855423.4957</v>
      </c>
      <c r="EO12" s="1113" t="s">
        <v>2170</v>
      </c>
      <c r="EP12" s="1114">
        <v>176802.96508570801</v>
      </c>
      <c r="EQ12" s="1114">
        <v>250018643484.55301</v>
      </c>
      <c r="ER12" s="1115">
        <v>1699.8831645586599</v>
      </c>
      <c r="ES12" s="1115">
        <v>1172.1168354413401</v>
      </c>
      <c r="ET12" s="1114">
        <v>147079898.60554001</v>
      </c>
      <c r="EU12" s="1114">
        <v>213305223.44251999</v>
      </c>
      <c r="EV12" s="1114">
        <v>149295608071.85901</v>
      </c>
      <c r="EW12" s="1114">
        <v>48039297273.756401</v>
      </c>
      <c r="EX12" s="1114">
        <v>176802.96508570801</v>
      </c>
      <c r="EY12" s="1114">
        <v>250018643484.55301</v>
      </c>
      <c r="EZ12" s="1115">
        <v>1699.8831645586599</v>
      </c>
      <c r="FA12" s="1115">
        <v>1172.1168354413401</v>
      </c>
      <c r="FB12" s="1114">
        <v>147079898.60554001</v>
      </c>
      <c r="FC12" s="1114">
        <v>213305223.44251999</v>
      </c>
      <c r="FD12" s="1114">
        <v>149295608071.85901</v>
      </c>
      <c r="FE12" s="1114">
        <v>48039297273.756401</v>
      </c>
      <c r="FF12" s="1114">
        <v>176802.96508570801</v>
      </c>
      <c r="FG12" s="1114">
        <v>250018643484.55301</v>
      </c>
      <c r="FH12" s="1115">
        <v>1699.8831645586599</v>
      </c>
      <c r="FI12" s="1115">
        <v>1172.1168354413401</v>
      </c>
      <c r="FJ12" s="1114">
        <v>147079898.60554001</v>
      </c>
      <c r="FK12" s="1114">
        <v>213305223.44251999</v>
      </c>
      <c r="FL12" s="1114">
        <v>149295608071.85901</v>
      </c>
      <c r="FM12" s="1114">
        <v>48039297273.756401</v>
      </c>
      <c r="FN12" s="1114">
        <v>424714.65161772299</v>
      </c>
      <c r="FO12" s="1114">
        <v>588693664353.30603</v>
      </c>
      <c r="FP12" s="1115">
        <v>645.181022812842</v>
      </c>
      <c r="FQ12" s="1115">
        <v>2226.8189771871598</v>
      </c>
      <c r="FR12" s="1114">
        <v>912447272.21940899</v>
      </c>
      <c r="FS12" s="1114">
        <v>264365298.83399999</v>
      </c>
      <c r="FT12" s="1114">
        <v>774239651204.646</v>
      </c>
      <c r="FU12" s="1114">
        <v>234610855423.496</v>
      </c>
      <c r="FV12" s="1114">
        <v>259440.19392971299</v>
      </c>
      <c r="FW12" s="1114">
        <v>434458180516.33398</v>
      </c>
      <c r="FX12" s="1115">
        <v>1124.3523830619999</v>
      </c>
      <c r="FY12" s="1115">
        <v>1747.6476169380001</v>
      </c>
      <c r="FZ12" s="1114">
        <v>386407488.489645</v>
      </c>
      <c r="GA12" s="1114">
        <v>248595984.85736799</v>
      </c>
      <c r="GB12" s="1114">
        <v>357610289116.12097</v>
      </c>
      <c r="GC12" s="1114">
        <v>234610855423.496</v>
      </c>
      <c r="GD12" s="1114">
        <v>189886.913089746</v>
      </c>
      <c r="GE12" s="1114">
        <v>290450258588.50897</v>
      </c>
      <c r="GF12" s="1115">
        <v>1574.55380074667</v>
      </c>
      <c r="GG12" s="1115">
        <v>1297.44619925333</v>
      </c>
      <c r="GH12" s="1114">
        <v>184465121.77022699</v>
      </c>
      <c r="GI12" s="1114">
        <v>223863046.31025299</v>
      </c>
      <c r="GJ12" s="1114">
        <v>774239651204.646</v>
      </c>
      <c r="GK12" s="1114">
        <v>234610855423.496</v>
      </c>
      <c r="GL12" s="1114">
        <v>181164.281087054</v>
      </c>
      <c r="GM12" s="1114">
        <v>264142700868.935</v>
      </c>
      <c r="GN12" s="1115">
        <v>1656.09527239258</v>
      </c>
      <c r="GO12" s="1115">
        <v>1215.90472760742</v>
      </c>
      <c r="GP12" s="1114">
        <v>159497285.737266</v>
      </c>
      <c r="GQ12" s="1114">
        <v>217239636.355964</v>
      </c>
      <c r="GR12" s="1114">
        <v>357610289116.12097</v>
      </c>
      <c r="GS12" s="1114">
        <v>234610855423.496</v>
      </c>
      <c r="GU12" s="1171">
        <f t="shared" si="60"/>
        <v>0</v>
      </c>
      <c r="GV12" s="1171">
        <f t="shared" si="61"/>
        <v>3.0517578125E-4</v>
      </c>
      <c r="GW12" s="1171">
        <f t="shared" si="62"/>
        <v>3.4106051316484809E-12</v>
      </c>
      <c r="GX12" s="1171">
        <f t="shared" si="63"/>
        <v>-3.4106051316484809E-12</v>
      </c>
      <c r="GY12" s="1171">
        <f t="shared" si="64"/>
        <v>3.5762786865234375E-7</v>
      </c>
      <c r="GZ12" s="1171">
        <f t="shared" si="65"/>
        <v>-3.8743019104003906E-7</v>
      </c>
      <c r="HA12" s="1171">
        <f t="shared" si="87"/>
        <v>-4.8828125E-4</v>
      </c>
      <c r="HB12" s="1171">
        <f t="shared" si="66"/>
        <v>0</v>
      </c>
      <c r="HC12" s="1171">
        <f t="shared" si="67"/>
        <v>0</v>
      </c>
      <c r="HD12" s="1171">
        <f t="shared" si="68"/>
        <v>3.0517578125E-4</v>
      </c>
      <c r="HE12" s="1171">
        <f t="shared" si="69"/>
        <v>3.4106051316484809E-12</v>
      </c>
      <c r="HF12" s="1171">
        <f t="shared" si="70"/>
        <v>-3.4106051316484809E-12</v>
      </c>
      <c r="HG12" s="1171">
        <f t="shared" si="89"/>
        <v>3.5762786865234375E-7</v>
      </c>
      <c r="HH12" s="1171">
        <f t="shared" si="90"/>
        <v>-3.8743019104003906E-7</v>
      </c>
      <c r="HI12" s="1171">
        <f t="shared" si="91"/>
        <v>-4.8828125E-4</v>
      </c>
      <c r="HJ12" s="1171">
        <f t="shared" si="92"/>
        <v>0</v>
      </c>
      <c r="HK12" s="1171">
        <f t="shared" si="93"/>
        <v>0</v>
      </c>
      <c r="HL12" s="1171">
        <f t="shared" si="94"/>
        <v>3.0517578125E-4</v>
      </c>
      <c r="HM12" s="1171">
        <f t="shared" si="95"/>
        <v>3.4106051316484809E-12</v>
      </c>
      <c r="HN12" s="1171">
        <f t="shared" si="96"/>
        <v>-3.4106051316484809E-12</v>
      </c>
      <c r="HO12" s="1171">
        <f t="shared" si="97"/>
        <v>3.5762786865234375E-7</v>
      </c>
      <c r="HP12" s="1171">
        <f t="shared" si="98"/>
        <v>-3.8743019104003906E-7</v>
      </c>
      <c r="HQ12" s="1171">
        <f t="shared" si="99"/>
        <v>-4.8828125E-4</v>
      </c>
      <c r="HR12" s="1171">
        <f t="shared" si="100"/>
        <v>0</v>
      </c>
      <c r="HS12" s="1171">
        <f t="shared" si="101"/>
        <v>-5.8207660913467407E-10</v>
      </c>
      <c r="HT12" s="1171">
        <f t="shared" si="102"/>
        <v>0</v>
      </c>
      <c r="HU12" s="1171">
        <f t="shared" si="103"/>
        <v>9.0949470177292824E-13</v>
      </c>
      <c r="HV12" s="1171">
        <f t="shared" si="104"/>
        <v>0</v>
      </c>
      <c r="HW12" s="1171">
        <f t="shared" si="105"/>
        <v>-1.1920928955078125E-6</v>
      </c>
      <c r="HX12" s="1171">
        <f t="shared" si="106"/>
        <v>4.76837158203125E-7</v>
      </c>
      <c r="HY12" s="1171">
        <f t="shared" si="107"/>
        <v>0</v>
      </c>
      <c r="HZ12" s="1171">
        <f t="shared" si="108"/>
        <v>-3.0517578125E-4</v>
      </c>
      <c r="IA12" s="1171">
        <f t="shared" si="109"/>
        <v>-2.9103830456733704E-10</v>
      </c>
      <c r="IB12" s="1171">
        <f t="shared" si="110"/>
        <v>0</v>
      </c>
      <c r="IC12" s="1171">
        <f t="shared" si="111"/>
        <v>-2.0463630789890885E-12</v>
      </c>
      <c r="ID12" s="1171">
        <f t="shared" si="112"/>
        <v>2.0463630789890885E-12</v>
      </c>
      <c r="IE12" s="1171">
        <f t="shared" si="113"/>
        <v>0</v>
      </c>
      <c r="IF12" s="1171">
        <f t="shared" si="114"/>
        <v>-3.8743019104003906E-7</v>
      </c>
      <c r="IG12" s="1171">
        <f t="shared" si="115"/>
        <v>0</v>
      </c>
      <c r="IH12" s="1171">
        <f t="shared" si="116"/>
        <v>-3.0517578125E-4</v>
      </c>
      <c r="II12" s="1171">
        <f t="shared" si="117"/>
        <v>0</v>
      </c>
      <c r="IJ12" s="1171">
        <f t="shared" si="118"/>
        <v>0</v>
      </c>
      <c r="IK12" s="1171">
        <f t="shared" si="119"/>
        <v>4.0927261579781771E-12</v>
      </c>
      <c r="IL12" s="1171">
        <f t="shared" si="120"/>
        <v>-4.0927261579781771E-12</v>
      </c>
      <c r="IM12" s="1171">
        <f t="shared" si="121"/>
        <v>0</v>
      </c>
      <c r="IN12" s="1171">
        <f t="shared" si="122"/>
        <v>0</v>
      </c>
      <c r="IO12" s="1171">
        <f t="shared" si="123"/>
        <v>0</v>
      </c>
      <c r="IP12" s="1171">
        <f t="shared" si="124"/>
        <v>-3.0517578125E-4</v>
      </c>
      <c r="IQ12" s="1171">
        <f t="shared" si="125"/>
        <v>0</v>
      </c>
      <c r="IR12" s="1171">
        <f t="shared" si="126"/>
        <v>0</v>
      </c>
      <c r="IS12" s="1171">
        <f t="shared" si="127"/>
        <v>-4.7748471843078732E-12</v>
      </c>
      <c r="IT12" s="1171">
        <f t="shared" si="128"/>
        <v>4.7748471843078732E-12</v>
      </c>
      <c r="IU12" s="1171">
        <f t="shared" si="129"/>
        <v>5.0663948059082031E-7</v>
      </c>
      <c r="IV12" s="1171">
        <f t="shared" si="130"/>
        <v>2.9802322387695313E-7</v>
      </c>
      <c r="IW12" s="1171">
        <f t="shared" si="131"/>
        <v>0</v>
      </c>
      <c r="IX12" s="1171">
        <f t="shared" si="132"/>
        <v>-3.0517578125E-4</v>
      </c>
    </row>
    <row r="13" spans="1:258">
      <c r="A13">
        <v>106</v>
      </c>
      <c r="B13" s="136" t="str">
        <f t="shared" ref="B13" si="138">LEFT(B11,3)+1&amp;"i"</f>
        <v>106i</v>
      </c>
      <c r="C13">
        <v>16.899999999999999</v>
      </c>
      <c r="D13" s="136">
        <v>0</v>
      </c>
      <c r="E13" t="s">
        <v>2087</v>
      </c>
      <c r="F13" s="26">
        <v>2</v>
      </c>
      <c r="G13" s="136">
        <v>500</v>
      </c>
      <c r="H13" s="136">
        <v>38</v>
      </c>
      <c r="I13" s="28">
        <v>250</v>
      </c>
      <c r="J13" s="26">
        <v>1940</v>
      </c>
      <c r="K13" s="136">
        <v>34</v>
      </c>
      <c r="L13" s="28">
        <v>120</v>
      </c>
      <c r="M13" s="26">
        <v>2800</v>
      </c>
      <c r="N13" s="28">
        <v>12</v>
      </c>
      <c r="O13" s="26">
        <v>0</v>
      </c>
      <c r="P13" s="26">
        <v>290</v>
      </c>
      <c r="Q13" s="26">
        <f>+Section!L74</f>
        <v>5500</v>
      </c>
      <c r="R13" s="169">
        <v>0</v>
      </c>
      <c r="S13" s="210">
        <v>0</v>
      </c>
      <c r="T13" s="27">
        <v>1200</v>
      </c>
      <c r="U13" s="27">
        <v>2400</v>
      </c>
      <c r="V13" s="28">
        <v>3800</v>
      </c>
      <c r="W13" s="210">
        <v>19</v>
      </c>
      <c r="X13" s="210">
        <v>200</v>
      </c>
      <c r="Y13" s="169">
        <v>50</v>
      </c>
      <c r="Z13" s="210">
        <v>16</v>
      </c>
      <c r="AA13" s="210">
        <v>200</v>
      </c>
      <c r="AB13" s="28">
        <v>40</v>
      </c>
      <c r="AC13" s="210">
        <v>0</v>
      </c>
      <c r="AD13" s="26">
        <v>2</v>
      </c>
      <c r="AE13" s="169">
        <v>160</v>
      </c>
      <c r="AF13" s="169">
        <v>16</v>
      </c>
      <c r="AG13" s="26">
        <v>0</v>
      </c>
      <c r="AH13" s="169">
        <v>0</v>
      </c>
      <c r="AI13" s="169">
        <v>0</v>
      </c>
      <c r="AJ13" s="397">
        <v>2</v>
      </c>
      <c r="AK13" s="210">
        <v>2500</v>
      </c>
      <c r="AL13" s="210">
        <v>5000</v>
      </c>
      <c r="AM13" s="210" t="s">
        <v>2316</v>
      </c>
      <c r="AN13" s="210">
        <v>2500</v>
      </c>
      <c r="AO13" s="1143" t="s">
        <v>2322</v>
      </c>
      <c r="AP13" s="1143" t="s">
        <v>2321</v>
      </c>
      <c r="AQ13" s="136">
        <v>150</v>
      </c>
      <c r="AR13" s="136">
        <v>14</v>
      </c>
      <c r="AS13" s="1143" t="s">
        <v>2448</v>
      </c>
      <c r="AT13" s="136">
        <v>120</v>
      </c>
      <c r="AU13" s="136">
        <v>12</v>
      </c>
      <c r="AV13" s="1109" t="s">
        <v>2157</v>
      </c>
      <c r="AW13" s="1109">
        <v>12</v>
      </c>
      <c r="AX13" s="1109">
        <v>400</v>
      </c>
      <c r="AY13" s="1109">
        <v>1000</v>
      </c>
      <c r="AZ13" s="1108">
        <v>8</v>
      </c>
      <c r="BA13" s="1108">
        <v>6</v>
      </c>
      <c r="BC13" s="1168"/>
      <c r="BD13" s="210">
        <f>INDEX(Spec!$B$12:$P$58,MATCH(AO13,Spec!$A$12:$A$58,0),6)*100</f>
        <v>2921</v>
      </c>
      <c r="BE13" s="210">
        <f>INDEX(Spec!$B$12:$P$58,MATCH(AP13,Spec!$A$12:$A$58,0),6)*100</f>
        <v>1900</v>
      </c>
      <c r="BF13" s="881">
        <f t="shared" si="0"/>
        <v>1.0664319805794482</v>
      </c>
      <c r="BG13" s="881">
        <f t="shared" si="1"/>
        <v>47.243485714285718</v>
      </c>
      <c r="BH13" s="881"/>
      <c r="BI13" s="13" cm="1">
        <f t="array" ref="BI13">INDEX(Info!$AD$4:$AH$15,MATCH(Info!$I$13,Info!$AC$4:$AC$15,0),IF(H13&lt;=16,1,IF(H13&lt;=40,2,IF(H13&lt;=75,3,IF(H13&lt;=100,4,5)))))</f>
        <v>380</v>
      </c>
      <c r="BJ13" s="13" cm="1">
        <f t="array" ref="BJ13">INDEX(Info!$AD$4:$AH$15,MATCH(Info!$I$13,Info!$AC$4:$AC$15,0),IF(K13&lt;=16,1,IF(K13&lt;=40,2,IF(K13&lt;=75,3,IF(K13&lt;=100,4,5)))))</f>
        <v>380</v>
      </c>
      <c r="BK13" s="13" cm="1">
        <f t="array" ref="BK13">INDEX(Info!$AD$4:$AH$15,MATCH(Info!$I$14,Info!$AC$4:$AC$15,0),IF(N13&lt;=16,1,IF(N13&lt;=40,2,IF(N13&lt;=75,3,IF(N13&lt;=100,4,5)))))</f>
        <v>355</v>
      </c>
      <c r="BL13" s="13">
        <f>IF(Stress!C842="Positive",MAX(MIN(0.7*BI13,BK13),0.5*BI13),MAX(MIN(0.7*BJ13,BK13),0.5*BJ13))</f>
        <v>266</v>
      </c>
      <c r="BM13" s="13" cm="1">
        <f t="array" ref="BM13">INDEX(Info!$AD$4:$AH$15,MATCH(Info!$I$13,Info!$AC$4:$AC$15,0),IF(AI13&lt;=16,1,IF(AI13&lt;=40,2,IF(AI13&lt;=75,3,IF(AI13&lt;=100,4,5)))))</f>
        <v>380</v>
      </c>
      <c r="BN13" s="13" cm="1">
        <f t="array" ref="BN13">INDEX(Info!$AD$4:$AH$15,MATCH(Info!$I$13,Info!$AC$4:$AC$15,0),IF(AF13&lt;=16,1,IF(AF13&lt;=40,2,IF(AF13&lt;=75,3,IF(AF13&lt;=100,4,5)))))</f>
        <v>380</v>
      </c>
      <c r="BO13" s="13"/>
      <c r="BP13" s="13">
        <f t="shared" si="2"/>
        <v>0.125</v>
      </c>
      <c r="BQ13" s="13">
        <f t="shared" si="3"/>
        <v>2821.7902119044925</v>
      </c>
      <c r="BR13" s="13">
        <f t="shared" si="72"/>
        <v>3124</v>
      </c>
      <c r="BS13" s="13"/>
      <c r="BT13" s="136">
        <f t="shared" si="4"/>
        <v>0</v>
      </c>
      <c r="BU13" s="136">
        <f t="shared" si="5"/>
        <v>0</v>
      </c>
      <c r="BV13" s="136">
        <f t="shared" si="6"/>
        <v>1595000</v>
      </c>
      <c r="BW13" s="136">
        <f t="shared" si="7"/>
        <v>11178291666.666666</v>
      </c>
      <c r="BX13" s="136">
        <f t="shared" si="8"/>
        <v>0</v>
      </c>
      <c r="BY13" s="136">
        <f t="shared" si="9"/>
        <v>0</v>
      </c>
      <c r="BZ13" s="136">
        <f t="shared" si="10"/>
        <v>7655.2758986349281</v>
      </c>
      <c r="CA13" s="136">
        <f t="shared" si="11"/>
        <v>172722.16246295057</v>
      </c>
      <c r="CB13" s="136">
        <f t="shared" si="12"/>
        <v>5428.6721054031623</v>
      </c>
      <c r="CC13" s="136">
        <f t="shared" si="13"/>
        <v>86858.753686450596</v>
      </c>
      <c r="CE13" s="1137">
        <f t="shared" si="14"/>
        <v>346081987.77679139</v>
      </c>
      <c r="CF13" s="1136">
        <f t="shared" si="15"/>
        <v>411131448.88888884</v>
      </c>
      <c r="CG13" s="1136">
        <f t="shared" si="16"/>
        <v>0</v>
      </c>
      <c r="CH13" s="172">
        <f t="shared" si="17"/>
        <v>4020729166666.6665</v>
      </c>
      <c r="CJ13" s="136">
        <f t="shared" si="18"/>
        <v>176802.96508570784</v>
      </c>
      <c r="CK13" s="7">
        <f t="shared" si="19"/>
        <v>250018643484.55331</v>
      </c>
      <c r="CL13" s="6">
        <f t="shared" si="20"/>
        <v>1699.8831645586633</v>
      </c>
      <c r="CM13" s="6">
        <f t="shared" si="21"/>
        <v>1172.1168354413367</v>
      </c>
      <c r="CN13" s="164">
        <f t="shared" si="73"/>
        <v>147079898.60554036</v>
      </c>
      <c r="CO13" s="164">
        <f t="shared" si="74"/>
        <v>213305223.44251961</v>
      </c>
      <c r="CP13" s="1137">
        <f t="shared" si="22"/>
        <v>149295608071.85852</v>
      </c>
      <c r="CQ13" s="1136">
        <f t="shared" si="23"/>
        <v>48039297273.756439</v>
      </c>
      <c r="CR13" s="22">
        <f t="shared" si="24"/>
        <v>176802.96508570784</v>
      </c>
      <c r="CS13" s="7">
        <f t="shared" si="25"/>
        <v>250018643484.55331</v>
      </c>
      <c r="CT13" s="6">
        <f t="shared" si="26"/>
        <v>1699.8831645586633</v>
      </c>
      <c r="CU13" s="12">
        <f t="shared" si="27"/>
        <v>1172.1168354413367</v>
      </c>
      <c r="CV13" s="164">
        <f t="shared" si="28"/>
        <v>147079898.60554036</v>
      </c>
      <c r="CW13" s="164">
        <f t="shared" si="29"/>
        <v>213305223.44251961</v>
      </c>
      <c r="CX13" s="1136">
        <f t="shared" si="30"/>
        <v>149295608071.85852</v>
      </c>
      <c r="CY13" s="1136">
        <f t="shared" si="31"/>
        <v>48039297273.756439</v>
      </c>
      <c r="CZ13" s="22">
        <f t="shared" si="32"/>
        <v>176802.96508570784</v>
      </c>
      <c r="DA13" s="7">
        <f t="shared" si="33"/>
        <v>250018643484.55331</v>
      </c>
      <c r="DB13" s="6">
        <f t="shared" si="34"/>
        <v>1699.8831645586633</v>
      </c>
      <c r="DC13" s="12">
        <f t="shared" si="35"/>
        <v>1172.1168354413367</v>
      </c>
      <c r="DD13" s="164">
        <f t="shared" si="75"/>
        <v>147079898.60554036</v>
      </c>
      <c r="DE13" s="164">
        <f t="shared" si="76"/>
        <v>213305223.44251961</v>
      </c>
      <c r="DF13" s="1136">
        <f t="shared" si="36"/>
        <v>149295608071.85852</v>
      </c>
      <c r="DG13" s="1136">
        <f t="shared" si="37"/>
        <v>48039297273.756439</v>
      </c>
      <c r="DH13" s="22">
        <f t="shared" si="38"/>
        <v>424714.65161772241</v>
      </c>
      <c r="DI13" s="172">
        <f t="shared" si="39"/>
        <v>588693664353.30603</v>
      </c>
      <c r="DJ13" s="12">
        <f t="shared" si="40"/>
        <v>645.18102281284291</v>
      </c>
      <c r="DK13" s="22">
        <f t="shared" si="41"/>
        <v>2226.8189771871571</v>
      </c>
      <c r="DL13" s="164">
        <f t="shared" si="77"/>
        <v>912447272.2194078</v>
      </c>
      <c r="DM13" s="164">
        <f t="shared" si="78"/>
        <v>264365298.83400047</v>
      </c>
      <c r="DN13" s="7">
        <f t="shared" si="42"/>
        <v>774239651204.64526</v>
      </c>
      <c r="DO13" s="1136">
        <f t="shared" si="43"/>
        <v>234610855423.4957</v>
      </c>
      <c r="DP13" s="22">
        <f t="shared" si="44"/>
        <v>259440.1939297127</v>
      </c>
      <c r="DQ13" s="172">
        <f t="shared" si="45"/>
        <v>434458180516.33417</v>
      </c>
      <c r="DR13" s="22">
        <f t="shared" si="46"/>
        <v>1124.3523830619979</v>
      </c>
      <c r="DS13" s="22">
        <f t="shared" si="47"/>
        <v>1747.6476169380021</v>
      </c>
      <c r="DT13" s="164">
        <f t="shared" si="79"/>
        <v>386407488.48964524</v>
      </c>
      <c r="DU13" s="164">
        <f t="shared" si="80"/>
        <v>248595984.8573676</v>
      </c>
      <c r="DV13" s="1136">
        <f t="shared" si="48"/>
        <v>357610289116.12073</v>
      </c>
      <c r="DW13" s="1136">
        <f t="shared" si="49"/>
        <v>234610855423.4957</v>
      </c>
      <c r="DX13" s="763">
        <f t="shared" si="50"/>
        <v>189886.91308974594</v>
      </c>
      <c r="DY13" s="7">
        <f t="shared" si="51"/>
        <v>290450258588.50891</v>
      </c>
      <c r="DZ13" s="13">
        <f t="shared" si="52"/>
        <v>1574.5538007466741</v>
      </c>
      <c r="EA13" s="763">
        <f t="shared" si="53"/>
        <v>1297.4461992533259</v>
      </c>
      <c r="EB13" s="164">
        <f t="shared" si="81"/>
        <v>184465121.77022696</v>
      </c>
      <c r="EC13" s="164">
        <f t="shared" si="82"/>
        <v>223863046.3102529</v>
      </c>
      <c r="ED13" s="1136">
        <f t="shared" si="54"/>
        <v>774239651204.64526</v>
      </c>
      <c r="EE13" s="1136">
        <f t="shared" si="55"/>
        <v>234610855423.4957</v>
      </c>
      <c r="EF13" s="763">
        <f t="shared" si="56"/>
        <v>181164.28108705388</v>
      </c>
      <c r="EG13" s="7">
        <f t="shared" si="57"/>
        <v>264142700868.93478</v>
      </c>
      <c r="EH13" s="13">
        <f t="shared" si="58"/>
        <v>1656.0952723925752</v>
      </c>
      <c r="EI13" s="763">
        <f t="shared" si="59"/>
        <v>1215.9047276074248</v>
      </c>
      <c r="EJ13" s="164">
        <f t="shared" si="83"/>
        <v>159497285.73726651</v>
      </c>
      <c r="EK13" s="164">
        <f t="shared" si="84"/>
        <v>217239636.3559643</v>
      </c>
      <c r="EL13" s="1136">
        <f t="shared" si="85"/>
        <v>357610289116.12073</v>
      </c>
      <c r="EM13" s="1136">
        <f t="shared" si="86"/>
        <v>234610855423.4957</v>
      </c>
      <c r="EO13" s="1113" t="s">
        <v>2171</v>
      </c>
      <c r="EP13" s="1114">
        <v>176802.96508570801</v>
      </c>
      <c r="EQ13" s="1114">
        <v>250018643484.55301</v>
      </c>
      <c r="ER13" s="1115">
        <v>1699.8831645586599</v>
      </c>
      <c r="ES13" s="1115">
        <v>1172.1168354413401</v>
      </c>
      <c r="ET13" s="1114">
        <v>147079898.60554001</v>
      </c>
      <c r="EU13" s="1114">
        <v>213305223.44251999</v>
      </c>
      <c r="EV13" s="1114">
        <v>149295608071.85901</v>
      </c>
      <c r="EW13" s="1114">
        <v>48039297273.756401</v>
      </c>
      <c r="EX13" s="1114">
        <v>176802.96508570801</v>
      </c>
      <c r="EY13" s="1114">
        <v>250018643484.55301</v>
      </c>
      <c r="EZ13" s="1115">
        <v>1699.8831645586599</v>
      </c>
      <c r="FA13" s="1115">
        <v>1172.1168354413401</v>
      </c>
      <c r="FB13" s="1114">
        <v>147079898.60554001</v>
      </c>
      <c r="FC13" s="1114">
        <v>213305223.44251999</v>
      </c>
      <c r="FD13" s="1114">
        <v>149295608071.85901</v>
      </c>
      <c r="FE13" s="1114">
        <v>48039297273.756401</v>
      </c>
      <c r="FF13" s="1114">
        <v>176802.96508570801</v>
      </c>
      <c r="FG13" s="1114">
        <v>250018643484.55301</v>
      </c>
      <c r="FH13" s="1115">
        <v>1699.8831645586599</v>
      </c>
      <c r="FI13" s="1115">
        <v>1172.1168354413401</v>
      </c>
      <c r="FJ13" s="1114">
        <v>147079898.60554001</v>
      </c>
      <c r="FK13" s="1114">
        <v>213305223.44251999</v>
      </c>
      <c r="FL13" s="1114">
        <v>149295608071.85901</v>
      </c>
      <c r="FM13" s="1114">
        <v>48039297273.756401</v>
      </c>
      <c r="FN13" s="1114">
        <v>424714.65161772299</v>
      </c>
      <c r="FO13" s="1114">
        <v>588693664353.30603</v>
      </c>
      <c r="FP13" s="1115">
        <v>645.181022812842</v>
      </c>
      <c r="FQ13" s="1115">
        <v>2226.8189771871598</v>
      </c>
      <c r="FR13" s="1114">
        <v>912447272.21940899</v>
      </c>
      <c r="FS13" s="1114">
        <v>264365298.83399999</v>
      </c>
      <c r="FT13" s="1114">
        <v>774239651204.646</v>
      </c>
      <c r="FU13" s="1114">
        <v>234610855423.496</v>
      </c>
      <c r="FV13" s="1114">
        <v>259440.19392971299</v>
      </c>
      <c r="FW13" s="1114">
        <v>434458180516.33398</v>
      </c>
      <c r="FX13" s="1115">
        <v>1124.3523830619999</v>
      </c>
      <c r="FY13" s="1115">
        <v>1747.6476169380001</v>
      </c>
      <c r="FZ13" s="1114">
        <v>386407488.489645</v>
      </c>
      <c r="GA13" s="1114">
        <v>248595984.85736799</v>
      </c>
      <c r="GB13" s="1114">
        <v>357610289116.12097</v>
      </c>
      <c r="GC13" s="1114">
        <v>234610855423.496</v>
      </c>
      <c r="GD13" s="1114">
        <v>189886.913089746</v>
      </c>
      <c r="GE13" s="1114">
        <v>290450258588.50897</v>
      </c>
      <c r="GF13" s="1115">
        <v>1574.55380074667</v>
      </c>
      <c r="GG13" s="1115">
        <v>1297.44619925333</v>
      </c>
      <c r="GH13" s="1114">
        <v>184465121.77022699</v>
      </c>
      <c r="GI13" s="1114">
        <v>223863046.31025299</v>
      </c>
      <c r="GJ13" s="1114">
        <v>774239651204.646</v>
      </c>
      <c r="GK13" s="1114">
        <v>234610855423.496</v>
      </c>
      <c r="GL13" s="1114">
        <v>181164.281087054</v>
      </c>
      <c r="GM13" s="1114">
        <v>264142700868.935</v>
      </c>
      <c r="GN13" s="1115">
        <v>1656.09527239258</v>
      </c>
      <c r="GO13" s="1115">
        <v>1215.90472760742</v>
      </c>
      <c r="GP13" s="1114">
        <v>159497285.737266</v>
      </c>
      <c r="GQ13" s="1114">
        <v>217239636.355964</v>
      </c>
      <c r="GR13" s="1114">
        <v>357610289116.12097</v>
      </c>
      <c r="GS13" s="1114">
        <v>234610855423.496</v>
      </c>
      <c r="GU13" s="1171">
        <f t="shared" si="60"/>
        <v>0</v>
      </c>
      <c r="GV13" s="1171">
        <f t="shared" si="61"/>
        <v>3.0517578125E-4</v>
      </c>
      <c r="GW13" s="1171">
        <f t="shared" si="62"/>
        <v>3.4106051316484809E-12</v>
      </c>
      <c r="GX13" s="1171">
        <f t="shared" si="63"/>
        <v>-3.4106051316484809E-12</v>
      </c>
      <c r="GY13" s="1171">
        <f t="shared" si="64"/>
        <v>3.5762786865234375E-7</v>
      </c>
      <c r="GZ13" s="1171">
        <f t="shared" si="65"/>
        <v>-3.8743019104003906E-7</v>
      </c>
      <c r="HA13" s="1171">
        <f t="shared" si="87"/>
        <v>-4.8828125E-4</v>
      </c>
      <c r="HB13" s="1171">
        <f t="shared" si="66"/>
        <v>0</v>
      </c>
      <c r="HC13" s="1171">
        <f t="shared" si="67"/>
        <v>0</v>
      </c>
      <c r="HD13" s="1171">
        <f t="shared" si="68"/>
        <v>3.0517578125E-4</v>
      </c>
      <c r="HE13" s="1171">
        <f t="shared" si="69"/>
        <v>3.4106051316484809E-12</v>
      </c>
      <c r="HF13" s="1171">
        <f t="shared" si="70"/>
        <v>-3.4106051316484809E-12</v>
      </c>
      <c r="HG13" s="1171">
        <f t="shared" si="89"/>
        <v>3.5762786865234375E-7</v>
      </c>
      <c r="HH13" s="1171">
        <f t="shared" si="90"/>
        <v>-3.8743019104003906E-7</v>
      </c>
      <c r="HI13" s="1171">
        <f t="shared" si="91"/>
        <v>-4.8828125E-4</v>
      </c>
      <c r="HJ13" s="1171">
        <f t="shared" si="92"/>
        <v>0</v>
      </c>
      <c r="HK13" s="1171">
        <f t="shared" si="93"/>
        <v>0</v>
      </c>
      <c r="HL13" s="1171">
        <f t="shared" si="94"/>
        <v>3.0517578125E-4</v>
      </c>
      <c r="HM13" s="1171">
        <f t="shared" si="95"/>
        <v>3.4106051316484809E-12</v>
      </c>
      <c r="HN13" s="1171">
        <f t="shared" si="96"/>
        <v>-3.4106051316484809E-12</v>
      </c>
      <c r="HO13" s="1171">
        <f t="shared" si="97"/>
        <v>3.5762786865234375E-7</v>
      </c>
      <c r="HP13" s="1171">
        <f t="shared" si="98"/>
        <v>-3.8743019104003906E-7</v>
      </c>
      <c r="HQ13" s="1171">
        <f t="shared" si="99"/>
        <v>-4.8828125E-4</v>
      </c>
      <c r="HR13" s="1171">
        <f t="shared" si="100"/>
        <v>0</v>
      </c>
      <c r="HS13" s="1171">
        <f t="shared" si="101"/>
        <v>-5.8207660913467407E-10</v>
      </c>
      <c r="HT13" s="1171">
        <f t="shared" si="102"/>
        <v>0</v>
      </c>
      <c r="HU13" s="1171">
        <f t="shared" si="103"/>
        <v>9.0949470177292824E-13</v>
      </c>
      <c r="HV13" s="1171">
        <f t="shared" si="104"/>
        <v>0</v>
      </c>
      <c r="HW13" s="1171">
        <f t="shared" si="105"/>
        <v>-1.1920928955078125E-6</v>
      </c>
      <c r="HX13" s="1171">
        <f t="shared" si="106"/>
        <v>4.76837158203125E-7</v>
      </c>
      <c r="HY13" s="1171">
        <f t="shared" si="107"/>
        <v>0</v>
      </c>
      <c r="HZ13" s="1171">
        <f t="shared" si="108"/>
        <v>-3.0517578125E-4</v>
      </c>
      <c r="IA13" s="1171">
        <f t="shared" si="109"/>
        <v>-2.9103830456733704E-10</v>
      </c>
      <c r="IB13" s="1171">
        <f t="shared" si="110"/>
        <v>0</v>
      </c>
      <c r="IC13" s="1171">
        <f t="shared" si="111"/>
        <v>-2.0463630789890885E-12</v>
      </c>
      <c r="ID13" s="1171">
        <f t="shared" si="112"/>
        <v>2.0463630789890885E-12</v>
      </c>
      <c r="IE13" s="1171">
        <f t="shared" si="113"/>
        <v>0</v>
      </c>
      <c r="IF13" s="1171">
        <f t="shared" si="114"/>
        <v>-3.8743019104003906E-7</v>
      </c>
      <c r="IG13" s="1171">
        <f t="shared" si="115"/>
        <v>0</v>
      </c>
      <c r="IH13" s="1171">
        <f t="shared" si="116"/>
        <v>-3.0517578125E-4</v>
      </c>
      <c r="II13" s="1171">
        <f t="shared" si="117"/>
        <v>0</v>
      </c>
      <c r="IJ13" s="1171">
        <f t="shared" si="118"/>
        <v>0</v>
      </c>
      <c r="IK13" s="1171">
        <f t="shared" si="119"/>
        <v>4.0927261579781771E-12</v>
      </c>
      <c r="IL13" s="1171">
        <f t="shared" si="120"/>
        <v>-4.0927261579781771E-12</v>
      </c>
      <c r="IM13" s="1171">
        <f t="shared" si="121"/>
        <v>0</v>
      </c>
      <c r="IN13" s="1171">
        <f t="shared" si="122"/>
        <v>0</v>
      </c>
      <c r="IO13" s="1171">
        <f t="shared" si="123"/>
        <v>0</v>
      </c>
      <c r="IP13" s="1171">
        <f t="shared" si="124"/>
        <v>-3.0517578125E-4</v>
      </c>
      <c r="IQ13" s="1171">
        <f t="shared" si="125"/>
        <v>0</v>
      </c>
      <c r="IR13" s="1171">
        <f t="shared" si="126"/>
        <v>0</v>
      </c>
      <c r="IS13" s="1171">
        <f t="shared" si="127"/>
        <v>-4.7748471843078732E-12</v>
      </c>
      <c r="IT13" s="1171">
        <f t="shared" si="128"/>
        <v>4.7748471843078732E-12</v>
      </c>
      <c r="IU13" s="1171">
        <f t="shared" si="129"/>
        <v>5.0663948059082031E-7</v>
      </c>
      <c r="IV13" s="1171">
        <f t="shared" si="130"/>
        <v>2.9802322387695313E-7</v>
      </c>
      <c r="IW13" s="1171">
        <f t="shared" si="131"/>
        <v>0</v>
      </c>
      <c r="IX13" s="1171">
        <f t="shared" si="132"/>
        <v>-3.0517578125E-4</v>
      </c>
    </row>
    <row r="14" spans="1:258">
      <c r="B14" s="136" t="str">
        <f t="shared" ref="B14" si="139">LEFT(B12,3)+1&amp;"j"</f>
        <v>106j</v>
      </c>
      <c r="C14">
        <v>21.9</v>
      </c>
      <c r="D14" s="136">
        <v>0</v>
      </c>
      <c r="E14" t="s">
        <v>2087</v>
      </c>
      <c r="F14" s="26">
        <v>2</v>
      </c>
      <c r="G14" s="136">
        <v>500</v>
      </c>
      <c r="H14" s="136">
        <v>38</v>
      </c>
      <c r="I14" s="28">
        <v>250</v>
      </c>
      <c r="J14" s="26">
        <v>1940</v>
      </c>
      <c r="K14" s="136">
        <v>34</v>
      </c>
      <c r="L14" s="28">
        <v>120</v>
      </c>
      <c r="M14" s="26">
        <v>2800</v>
      </c>
      <c r="N14" s="28">
        <v>12</v>
      </c>
      <c r="O14" s="26">
        <v>0</v>
      </c>
      <c r="P14" s="26">
        <v>290</v>
      </c>
      <c r="Q14" s="26">
        <f>+Section!L75</f>
        <v>5500</v>
      </c>
      <c r="R14" s="169">
        <v>0</v>
      </c>
      <c r="S14" s="210">
        <v>0</v>
      </c>
      <c r="T14" s="27">
        <v>1200</v>
      </c>
      <c r="U14" s="27">
        <v>2400</v>
      </c>
      <c r="V14" s="28">
        <v>3800</v>
      </c>
      <c r="W14" s="210">
        <v>19</v>
      </c>
      <c r="X14" s="210">
        <v>200</v>
      </c>
      <c r="Y14" s="169">
        <v>50</v>
      </c>
      <c r="Z14" s="210">
        <v>16</v>
      </c>
      <c r="AA14" s="210">
        <v>200</v>
      </c>
      <c r="AB14" s="28">
        <v>40</v>
      </c>
      <c r="AC14" s="210">
        <v>0</v>
      </c>
      <c r="AD14" s="26">
        <v>2</v>
      </c>
      <c r="AE14" s="169">
        <v>160</v>
      </c>
      <c r="AF14" s="169">
        <v>16</v>
      </c>
      <c r="AG14" s="26">
        <v>0</v>
      </c>
      <c r="AH14" s="169">
        <v>0</v>
      </c>
      <c r="AI14" s="169">
        <v>0</v>
      </c>
      <c r="AJ14" s="397">
        <v>2</v>
      </c>
      <c r="AK14" s="210">
        <v>2500</v>
      </c>
      <c r="AL14" s="210">
        <v>5000</v>
      </c>
      <c r="AM14" s="210" t="s">
        <v>2316</v>
      </c>
      <c r="AN14" s="210">
        <v>2500</v>
      </c>
      <c r="AO14" s="1143" t="s">
        <v>2322</v>
      </c>
      <c r="AP14" s="1143" t="s">
        <v>2321</v>
      </c>
      <c r="AQ14" s="136">
        <v>150</v>
      </c>
      <c r="AR14" s="136">
        <v>14</v>
      </c>
      <c r="AS14" s="1143" t="s">
        <v>2448</v>
      </c>
      <c r="AT14" s="136">
        <v>120</v>
      </c>
      <c r="AU14" s="136">
        <v>12</v>
      </c>
      <c r="AZ14" s="1108">
        <v>8</v>
      </c>
      <c r="BA14" s="1108">
        <v>6</v>
      </c>
      <c r="BC14" s="1168"/>
      <c r="BD14" s="210">
        <f>INDEX(Spec!$B$12:$P$58,MATCH(AO14,Spec!$A$12:$A$58,0),6)*100</f>
        <v>2921</v>
      </c>
      <c r="BE14" s="210">
        <f>INDEX(Spec!$B$12:$P$58,MATCH(AP14,Spec!$A$12:$A$58,0),6)*100</f>
        <v>1900</v>
      </c>
      <c r="BF14" s="881">
        <f t="shared" si="0"/>
        <v>1.0664319805794482</v>
      </c>
      <c r="BG14" s="881">
        <f t="shared" si="1"/>
        <v>47.243485714285718</v>
      </c>
      <c r="BH14" s="881"/>
      <c r="BI14" s="13" cm="1">
        <f t="array" ref="BI14">INDEX(Info!$AD$4:$AH$15,MATCH(Info!$I$13,Info!$AC$4:$AC$15,0),IF(H14&lt;=16,1,IF(H14&lt;=40,2,IF(H14&lt;=75,3,IF(H14&lt;=100,4,5)))))</f>
        <v>380</v>
      </c>
      <c r="BJ14" s="13" cm="1">
        <f t="array" ref="BJ14">INDEX(Info!$AD$4:$AH$15,MATCH(Info!$I$13,Info!$AC$4:$AC$15,0),IF(K14&lt;=16,1,IF(K14&lt;=40,2,IF(K14&lt;=75,3,IF(K14&lt;=100,4,5)))))</f>
        <v>380</v>
      </c>
      <c r="BK14" s="13" cm="1">
        <f t="array" ref="BK14">INDEX(Info!$AD$4:$AH$15,MATCH(Info!$I$14,Info!$AC$4:$AC$15,0),IF(N14&lt;=16,1,IF(N14&lt;=40,2,IF(N14&lt;=75,3,IF(N14&lt;=100,4,5)))))</f>
        <v>355</v>
      </c>
      <c r="BL14" s="13">
        <f>IF(Stress!C843="Positive",MAX(MIN(0.7*BI14,BK14),0.5*BI14),MAX(MIN(0.7*BJ14,BK14),0.5*BJ14))</f>
        <v>266</v>
      </c>
      <c r="BM14" s="13" cm="1">
        <f t="array" ref="BM14">INDEX(Info!$AD$4:$AH$15,MATCH(Info!$I$13,Info!$AC$4:$AC$15,0),IF(AI14&lt;=16,1,IF(AI14&lt;=40,2,IF(AI14&lt;=75,3,IF(AI14&lt;=100,4,5)))))</f>
        <v>380</v>
      </c>
      <c r="BN14" s="13" cm="1">
        <f t="array" ref="BN14">INDEX(Info!$AD$4:$AH$15,MATCH(Info!$I$13,Info!$AC$4:$AC$15,0),IF(AF14&lt;=16,1,IF(AF14&lt;=40,2,IF(AF14&lt;=75,3,IF(AF14&lt;=100,4,5)))))</f>
        <v>380</v>
      </c>
      <c r="BO14" s="13"/>
      <c r="BP14" s="13">
        <f t="shared" si="2"/>
        <v>0.125</v>
      </c>
      <c r="BQ14" s="13">
        <f t="shared" si="3"/>
        <v>2821.7902119044925</v>
      </c>
      <c r="BR14" s="13">
        <f t="shared" si="72"/>
        <v>3124</v>
      </c>
      <c r="BS14" s="13"/>
      <c r="BT14" s="136">
        <f t="shared" si="4"/>
        <v>0</v>
      </c>
      <c r="BU14" s="136">
        <f t="shared" si="5"/>
        <v>0</v>
      </c>
      <c r="BV14" s="136">
        <f t="shared" si="6"/>
        <v>1595000</v>
      </c>
      <c r="BW14" s="136">
        <f t="shared" si="7"/>
        <v>11178291666.666666</v>
      </c>
      <c r="BX14" s="136">
        <f t="shared" si="8"/>
        <v>0</v>
      </c>
      <c r="BY14" s="136">
        <f t="shared" si="9"/>
        <v>0</v>
      </c>
      <c r="BZ14" s="136">
        <f t="shared" si="10"/>
        <v>7655.2758986349281</v>
      </c>
      <c r="CA14" s="136">
        <f t="shared" si="11"/>
        <v>172722.16246295057</v>
      </c>
      <c r="CB14" s="136">
        <f t="shared" si="12"/>
        <v>5428.6721054031623</v>
      </c>
      <c r="CC14" s="136">
        <f t="shared" si="13"/>
        <v>86858.753686450596</v>
      </c>
      <c r="CE14" s="1137">
        <f t="shared" si="14"/>
        <v>346081987.77679139</v>
      </c>
      <c r="CF14" s="1136">
        <f t="shared" si="15"/>
        <v>411131448.88888884</v>
      </c>
      <c r="CG14" s="1136">
        <f t="shared" si="16"/>
        <v>0</v>
      </c>
      <c r="CH14" s="172">
        <f t="shared" si="17"/>
        <v>4020729166666.6665</v>
      </c>
      <c r="CJ14" s="136">
        <f t="shared" si="18"/>
        <v>176802.96508570784</v>
      </c>
      <c r="CK14" s="7">
        <f t="shared" si="19"/>
        <v>250018643484.55331</v>
      </c>
      <c r="CL14" s="6">
        <f t="shared" si="20"/>
        <v>1699.8831645586633</v>
      </c>
      <c r="CM14" s="6">
        <f t="shared" si="21"/>
        <v>1172.1168354413367</v>
      </c>
      <c r="CN14" s="164">
        <f t="shared" si="73"/>
        <v>147079898.60554036</v>
      </c>
      <c r="CO14" s="164">
        <f t="shared" si="74"/>
        <v>213305223.44251961</v>
      </c>
      <c r="CP14" s="1137">
        <f t="shared" si="22"/>
        <v>149295608071.85852</v>
      </c>
      <c r="CQ14" s="1136">
        <f t="shared" si="23"/>
        <v>48039297273.756439</v>
      </c>
      <c r="CR14" s="22">
        <f t="shared" si="24"/>
        <v>176802.96508570784</v>
      </c>
      <c r="CS14" s="7">
        <f t="shared" si="25"/>
        <v>250018643484.55331</v>
      </c>
      <c r="CT14" s="6">
        <f t="shared" si="26"/>
        <v>1699.8831645586633</v>
      </c>
      <c r="CU14" s="12">
        <f t="shared" si="27"/>
        <v>1172.1168354413367</v>
      </c>
      <c r="CV14" s="164">
        <f t="shared" si="28"/>
        <v>147079898.60554036</v>
      </c>
      <c r="CW14" s="164">
        <f t="shared" si="29"/>
        <v>213305223.44251961</v>
      </c>
      <c r="CX14" s="1136">
        <f t="shared" si="30"/>
        <v>149295608071.85852</v>
      </c>
      <c r="CY14" s="1136">
        <f t="shared" si="31"/>
        <v>48039297273.756439</v>
      </c>
      <c r="CZ14" s="22">
        <f t="shared" si="32"/>
        <v>176802.96508570784</v>
      </c>
      <c r="DA14" s="7">
        <f t="shared" si="33"/>
        <v>250018643484.55331</v>
      </c>
      <c r="DB14" s="6">
        <f t="shared" si="34"/>
        <v>1699.8831645586633</v>
      </c>
      <c r="DC14" s="12">
        <f t="shared" si="35"/>
        <v>1172.1168354413367</v>
      </c>
      <c r="DD14" s="164">
        <f t="shared" si="75"/>
        <v>147079898.60554036</v>
      </c>
      <c r="DE14" s="164">
        <f t="shared" si="76"/>
        <v>213305223.44251961</v>
      </c>
      <c r="DF14" s="1136">
        <f t="shared" si="36"/>
        <v>149295608071.85852</v>
      </c>
      <c r="DG14" s="1136">
        <f t="shared" si="37"/>
        <v>48039297273.756439</v>
      </c>
      <c r="DH14" s="22">
        <f t="shared" si="38"/>
        <v>424714.65161772241</v>
      </c>
      <c r="DI14" s="172">
        <f t="shared" si="39"/>
        <v>588693664353.30603</v>
      </c>
      <c r="DJ14" s="12">
        <f t="shared" si="40"/>
        <v>645.18102281284291</v>
      </c>
      <c r="DK14" s="22">
        <f t="shared" si="41"/>
        <v>2226.8189771871571</v>
      </c>
      <c r="DL14" s="164">
        <f t="shared" si="77"/>
        <v>912447272.2194078</v>
      </c>
      <c r="DM14" s="164">
        <f t="shared" si="78"/>
        <v>264365298.83400047</v>
      </c>
      <c r="DN14" s="7">
        <f t="shared" si="42"/>
        <v>774239651204.64526</v>
      </c>
      <c r="DO14" s="1136">
        <f t="shared" si="43"/>
        <v>234610855423.4957</v>
      </c>
      <c r="DP14" s="22">
        <f t="shared" si="44"/>
        <v>259440.1939297127</v>
      </c>
      <c r="DQ14" s="172">
        <f t="shared" si="45"/>
        <v>434458180516.33417</v>
      </c>
      <c r="DR14" s="22">
        <f t="shared" si="46"/>
        <v>1124.3523830619979</v>
      </c>
      <c r="DS14" s="22">
        <f t="shared" si="47"/>
        <v>1747.6476169380021</v>
      </c>
      <c r="DT14" s="164">
        <f t="shared" si="79"/>
        <v>386407488.48964524</v>
      </c>
      <c r="DU14" s="164">
        <f t="shared" si="80"/>
        <v>248595984.8573676</v>
      </c>
      <c r="DV14" s="1136">
        <f t="shared" si="48"/>
        <v>357610289116.12073</v>
      </c>
      <c r="DW14" s="1136">
        <f t="shared" si="49"/>
        <v>234610855423.4957</v>
      </c>
      <c r="DX14" s="763">
        <f t="shared" si="50"/>
        <v>189886.91308974594</v>
      </c>
      <c r="DY14" s="7">
        <f t="shared" si="51"/>
        <v>290450258588.50891</v>
      </c>
      <c r="DZ14" s="13">
        <f t="shared" si="52"/>
        <v>1574.5538007466741</v>
      </c>
      <c r="EA14" s="763">
        <f t="shared" si="53"/>
        <v>1297.4461992533259</v>
      </c>
      <c r="EB14" s="164">
        <f t="shared" si="81"/>
        <v>184465121.77022696</v>
      </c>
      <c r="EC14" s="164">
        <f t="shared" si="82"/>
        <v>223863046.3102529</v>
      </c>
      <c r="ED14" s="1136">
        <f t="shared" si="54"/>
        <v>774239651204.64526</v>
      </c>
      <c r="EE14" s="1136">
        <f t="shared" si="55"/>
        <v>234610855423.4957</v>
      </c>
      <c r="EF14" s="763">
        <f t="shared" si="56"/>
        <v>181164.28108705388</v>
      </c>
      <c r="EG14" s="7">
        <f t="shared" si="57"/>
        <v>264142700868.93478</v>
      </c>
      <c r="EH14" s="13">
        <f t="shared" si="58"/>
        <v>1656.0952723925752</v>
      </c>
      <c r="EI14" s="763">
        <f t="shared" si="59"/>
        <v>1215.9047276074248</v>
      </c>
      <c r="EJ14" s="164">
        <f t="shared" si="83"/>
        <v>159497285.73726651</v>
      </c>
      <c r="EK14" s="164">
        <f t="shared" si="84"/>
        <v>217239636.3559643</v>
      </c>
      <c r="EL14" s="1136">
        <f t="shared" si="85"/>
        <v>357610289116.12073</v>
      </c>
      <c r="EM14" s="1136">
        <f t="shared" si="86"/>
        <v>234610855423.4957</v>
      </c>
      <c r="EN14" s="763"/>
      <c r="EO14" s="1113" t="s">
        <v>2172</v>
      </c>
      <c r="EP14" s="1114">
        <v>176802.96508570801</v>
      </c>
      <c r="EQ14" s="1114">
        <v>250018643484.55301</v>
      </c>
      <c r="ER14" s="1115">
        <v>1699.8831645586599</v>
      </c>
      <c r="ES14" s="1115">
        <v>1172.1168354413401</v>
      </c>
      <c r="ET14" s="1114">
        <v>147079898.60554001</v>
      </c>
      <c r="EU14" s="1114">
        <v>213305223.44251999</v>
      </c>
      <c r="EV14" s="1114">
        <v>149295608071.85901</v>
      </c>
      <c r="EW14" s="1114">
        <v>48039297273.756401</v>
      </c>
      <c r="EX14" s="1114">
        <v>176802.96508570801</v>
      </c>
      <c r="EY14" s="1114">
        <v>250018643484.55301</v>
      </c>
      <c r="EZ14" s="1115">
        <v>1699.8831645586599</v>
      </c>
      <c r="FA14" s="1115">
        <v>1172.1168354413401</v>
      </c>
      <c r="FB14" s="1114">
        <v>147079898.60554001</v>
      </c>
      <c r="FC14" s="1114">
        <v>213305223.44251999</v>
      </c>
      <c r="FD14" s="1114">
        <v>149295608071.85901</v>
      </c>
      <c r="FE14" s="1114">
        <v>48039297273.756401</v>
      </c>
      <c r="FF14" s="1114">
        <v>176802.96508570801</v>
      </c>
      <c r="FG14" s="1114">
        <v>250018643484.55301</v>
      </c>
      <c r="FH14" s="1115">
        <v>1699.8831645586599</v>
      </c>
      <c r="FI14" s="1115">
        <v>1172.1168354413401</v>
      </c>
      <c r="FJ14" s="1114">
        <v>147079898.60554001</v>
      </c>
      <c r="FK14" s="1114">
        <v>213305223.44251999</v>
      </c>
      <c r="FL14" s="1114">
        <v>149295608071.85901</v>
      </c>
      <c r="FM14" s="1114">
        <v>48039297273.756401</v>
      </c>
      <c r="FN14" s="1114">
        <v>424714.65161772299</v>
      </c>
      <c r="FO14" s="1114">
        <v>588693664353.30603</v>
      </c>
      <c r="FP14" s="1115">
        <v>645.181022812842</v>
      </c>
      <c r="FQ14" s="1115">
        <v>2226.8189771871598</v>
      </c>
      <c r="FR14" s="1114">
        <v>912447272.21940899</v>
      </c>
      <c r="FS14" s="1114">
        <v>264365298.83399999</v>
      </c>
      <c r="FT14" s="1114">
        <v>774239651204.646</v>
      </c>
      <c r="FU14" s="1114">
        <v>234610855423.496</v>
      </c>
      <c r="FV14" s="1114">
        <v>259440.19392971299</v>
      </c>
      <c r="FW14" s="1114">
        <v>434458180516.33398</v>
      </c>
      <c r="FX14" s="1115">
        <v>1124.3523830619999</v>
      </c>
      <c r="FY14" s="1115">
        <v>1747.6476169380001</v>
      </c>
      <c r="FZ14" s="1114">
        <v>386407488.489645</v>
      </c>
      <c r="GA14" s="1114">
        <v>248595984.85736799</v>
      </c>
      <c r="GB14" s="1114">
        <v>357610289116.12097</v>
      </c>
      <c r="GC14" s="1114">
        <v>234610855423.496</v>
      </c>
      <c r="GD14" s="1114">
        <v>189886.913089746</v>
      </c>
      <c r="GE14" s="1114">
        <v>290450258588.50897</v>
      </c>
      <c r="GF14" s="1115">
        <v>1574.55380074667</v>
      </c>
      <c r="GG14" s="1115">
        <v>1297.44619925333</v>
      </c>
      <c r="GH14" s="1114">
        <v>184465121.77022699</v>
      </c>
      <c r="GI14" s="1114">
        <v>223863046.31025299</v>
      </c>
      <c r="GJ14" s="1114">
        <v>774239651204.646</v>
      </c>
      <c r="GK14" s="1114">
        <v>234610855423.496</v>
      </c>
      <c r="GL14" s="1114">
        <v>181164.281087054</v>
      </c>
      <c r="GM14" s="1114">
        <v>264142700868.935</v>
      </c>
      <c r="GN14" s="1115">
        <v>1656.09527239258</v>
      </c>
      <c r="GO14" s="1115">
        <v>1215.90472760742</v>
      </c>
      <c r="GP14" s="1114">
        <v>159497285.737266</v>
      </c>
      <c r="GQ14" s="1114">
        <v>217239636.355964</v>
      </c>
      <c r="GR14" s="1114">
        <v>357610289116.12097</v>
      </c>
      <c r="GS14" s="1114">
        <v>234610855423.496</v>
      </c>
      <c r="GU14" s="1171">
        <f t="shared" si="60"/>
        <v>0</v>
      </c>
      <c r="GV14" s="1171">
        <f t="shared" si="61"/>
        <v>3.0517578125E-4</v>
      </c>
      <c r="GW14" s="1171">
        <f t="shared" si="62"/>
        <v>3.4106051316484809E-12</v>
      </c>
      <c r="GX14" s="1171">
        <f t="shared" si="63"/>
        <v>-3.4106051316484809E-12</v>
      </c>
      <c r="GY14" s="1171">
        <f t="shared" si="64"/>
        <v>3.5762786865234375E-7</v>
      </c>
      <c r="GZ14" s="1171">
        <f t="shared" si="65"/>
        <v>-3.8743019104003906E-7</v>
      </c>
      <c r="HA14" s="1171">
        <f t="shared" si="87"/>
        <v>-4.8828125E-4</v>
      </c>
      <c r="HB14" s="1171">
        <f t="shared" si="66"/>
        <v>0</v>
      </c>
      <c r="HC14" s="1171">
        <f t="shared" si="67"/>
        <v>0</v>
      </c>
      <c r="HD14" s="1171">
        <f t="shared" si="68"/>
        <v>3.0517578125E-4</v>
      </c>
      <c r="HE14" s="1171">
        <f t="shared" si="69"/>
        <v>3.4106051316484809E-12</v>
      </c>
      <c r="HF14" s="1171">
        <f t="shared" si="70"/>
        <v>-3.4106051316484809E-12</v>
      </c>
      <c r="HG14" s="1171">
        <f t="shared" si="89"/>
        <v>3.5762786865234375E-7</v>
      </c>
      <c r="HH14" s="1171">
        <f t="shared" si="90"/>
        <v>-3.8743019104003906E-7</v>
      </c>
      <c r="HI14" s="1171">
        <f t="shared" si="91"/>
        <v>-4.8828125E-4</v>
      </c>
      <c r="HJ14" s="1171">
        <f t="shared" si="92"/>
        <v>0</v>
      </c>
      <c r="HK14" s="1171">
        <f t="shared" si="93"/>
        <v>0</v>
      </c>
      <c r="HL14" s="1171">
        <f t="shared" si="94"/>
        <v>3.0517578125E-4</v>
      </c>
      <c r="HM14" s="1171">
        <f t="shared" si="95"/>
        <v>3.4106051316484809E-12</v>
      </c>
      <c r="HN14" s="1171">
        <f t="shared" si="96"/>
        <v>-3.4106051316484809E-12</v>
      </c>
      <c r="HO14" s="1171">
        <f t="shared" si="97"/>
        <v>3.5762786865234375E-7</v>
      </c>
      <c r="HP14" s="1171">
        <f t="shared" si="98"/>
        <v>-3.8743019104003906E-7</v>
      </c>
      <c r="HQ14" s="1171">
        <f t="shared" si="99"/>
        <v>-4.8828125E-4</v>
      </c>
      <c r="HR14" s="1171">
        <f t="shared" si="100"/>
        <v>0</v>
      </c>
      <c r="HS14" s="1171">
        <f t="shared" si="101"/>
        <v>-5.8207660913467407E-10</v>
      </c>
      <c r="HT14" s="1171">
        <f t="shared" si="102"/>
        <v>0</v>
      </c>
      <c r="HU14" s="1171">
        <f t="shared" si="103"/>
        <v>9.0949470177292824E-13</v>
      </c>
      <c r="HV14" s="1171">
        <f t="shared" si="104"/>
        <v>0</v>
      </c>
      <c r="HW14" s="1171">
        <f t="shared" si="105"/>
        <v>-1.1920928955078125E-6</v>
      </c>
      <c r="HX14" s="1171">
        <f t="shared" si="106"/>
        <v>4.76837158203125E-7</v>
      </c>
      <c r="HY14" s="1171">
        <f t="shared" si="107"/>
        <v>0</v>
      </c>
      <c r="HZ14" s="1171">
        <f t="shared" si="108"/>
        <v>-3.0517578125E-4</v>
      </c>
      <c r="IA14" s="1171">
        <f t="shared" si="109"/>
        <v>-2.9103830456733704E-10</v>
      </c>
      <c r="IB14" s="1171">
        <f t="shared" si="110"/>
        <v>0</v>
      </c>
      <c r="IC14" s="1171">
        <f t="shared" si="111"/>
        <v>-2.0463630789890885E-12</v>
      </c>
      <c r="ID14" s="1171">
        <f t="shared" si="112"/>
        <v>2.0463630789890885E-12</v>
      </c>
      <c r="IE14" s="1171">
        <f t="shared" si="113"/>
        <v>0</v>
      </c>
      <c r="IF14" s="1171">
        <f t="shared" si="114"/>
        <v>-3.8743019104003906E-7</v>
      </c>
      <c r="IG14" s="1171">
        <f t="shared" si="115"/>
        <v>0</v>
      </c>
      <c r="IH14" s="1171">
        <f t="shared" si="116"/>
        <v>-3.0517578125E-4</v>
      </c>
      <c r="II14" s="1171">
        <f t="shared" si="117"/>
        <v>0</v>
      </c>
      <c r="IJ14" s="1171">
        <f t="shared" si="118"/>
        <v>0</v>
      </c>
      <c r="IK14" s="1171">
        <f t="shared" si="119"/>
        <v>4.0927261579781771E-12</v>
      </c>
      <c r="IL14" s="1171">
        <f t="shared" si="120"/>
        <v>-4.0927261579781771E-12</v>
      </c>
      <c r="IM14" s="1171">
        <f t="shared" si="121"/>
        <v>0</v>
      </c>
      <c r="IN14" s="1171">
        <f t="shared" si="122"/>
        <v>0</v>
      </c>
      <c r="IO14" s="1171">
        <f t="shared" si="123"/>
        <v>0</v>
      </c>
      <c r="IP14" s="1171">
        <f t="shared" si="124"/>
        <v>-3.0517578125E-4</v>
      </c>
      <c r="IQ14" s="1171">
        <f t="shared" si="125"/>
        <v>0</v>
      </c>
      <c r="IR14" s="1171">
        <f t="shared" si="126"/>
        <v>0</v>
      </c>
      <c r="IS14" s="1171">
        <f t="shared" si="127"/>
        <v>-4.7748471843078732E-12</v>
      </c>
      <c r="IT14" s="1171">
        <f t="shared" si="128"/>
        <v>4.7748471843078732E-12</v>
      </c>
      <c r="IU14" s="1171">
        <f t="shared" si="129"/>
        <v>5.0663948059082031E-7</v>
      </c>
      <c r="IV14" s="1171">
        <f t="shared" si="130"/>
        <v>2.9802322387695313E-7</v>
      </c>
      <c r="IW14" s="1171">
        <f t="shared" si="131"/>
        <v>0</v>
      </c>
      <c r="IX14" s="1171">
        <f t="shared" si="132"/>
        <v>-3.0517578125E-4</v>
      </c>
    </row>
    <row r="15" spans="1:258">
      <c r="A15">
        <v>107</v>
      </c>
      <c r="B15" s="136" t="str">
        <f t="shared" ref="B15" si="140">LEFT(B13,3)+1&amp;"i"</f>
        <v>107i</v>
      </c>
      <c r="C15">
        <v>21.9</v>
      </c>
      <c r="D15" s="136">
        <v>0</v>
      </c>
      <c r="E15" t="s">
        <v>2088</v>
      </c>
      <c r="F15" s="26">
        <v>2</v>
      </c>
      <c r="G15" s="136">
        <v>600</v>
      </c>
      <c r="H15" s="136">
        <v>40</v>
      </c>
      <c r="I15" s="28">
        <v>250</v>
      </c>
      <c r="J15" s="26">
        <v>1940</v>
      </c>
      <c r="K15" s="136">
        <v>40</v>
      </c>
      <c r="L15" s="28">
        <v>120</v>
      </c>
      <c r="M15" s="26">
        <v>2800</v>
      </c>
      <c r="N15" s="28">
        <v>12</v>
      </c>
      <c r="O15" s="26">
        <v>0</v>
      </c>
      <c r="P15" s="26">
        <v>290</v>
      </c>
      <c r="Q15" s="26">
        <f>+Section!L76</f>
        <v>5500</v>
      </c>
      <c r="R15" s="169">
        <v>0</v>
      </c>
      <c r="S15" s="210">
        <v>0</v>
      </c>
      <c r="T15" s="27">
        <v>1200</v>
      </c>
      <c r="U15" s="27">
        <v>2400</v>
      </c>
      <c r="V15" s="28">
        <v>3800</v>
      </c>
      <c r="W15" s="210">
        <v>19</v>
      </c>
      <c r="X15" s="210">
        <v>200</v>
      </c>
      <c r="Y15" s="169">
        <v>50</v>
      </c>
      <c r="Z15" s="210">
        <v>16</v>
      </c>
      <c r="AA15" s="210">
        <v>200</v>
      </c>
      <c r="AB15" s="28">
        <v>40</v>
      </c>
      <c r="AC15" s="210">
        <v>0</v>
      </c>
      <c r="AD15" s="26">
        <v>2</v>
      </c>
      <c r="AE15" s="169">
        <v>160</v>
      </c>
      <c r="AF15" s="169">
        <v>16</v>
      </c>
      <c r="AG15" s="26">
        <v>0</v>
      </c>
      <c r="AH15" s="169">
        <v>0</v>
      </c>
      <c r="AI15" s="169">
        <v>0</v>
      </c>
      <c r="AJ15" s="397">
        <v>2</v>
      </c>
      <c r="AK15" s="210">
        <v>2500</v>
      </c>
      <c r="AL15" s="210">
        <v>5000</v>
      </c>
      <c r="AM15" s="210" t="s">
        <v>2316</v>
      </c>
      <c r="AN15" s="210">
        <v>2500</v>
      </c>
      <c r="AO15" s="1143" t="s">
        <v>2320</v>
      </c>
      <c r="AP15" s="1143" t="s">
        <v>2321</v>
      </c>
      <c r="AQ15" s="136">
        <v>150</v>
      </c>
      <c r="AR15" s="136">
        <v>14</v>
      </c>
      <c r="AS15" s="1143" t="s">
        <v>2448</v>
      </c>
      <c r="AT15" s="136">
        <v>120</v>
      </c>
      <c r="AU15" s="136">
        <v>12</v>
      </c>
      <c r="AZ15" s="1108">
        <v>8</v>
      </c>
      <c r="BA15" s="1108">
        <v>6</v>
      </c>
      <c r="BC15" s="1168"/>
      <c r="BD15" s="210">
        <f>INDEX(Spec!$B$12:$P$58,MATCH(AO15,Spec!$A$12:$A$58,0),6)*100</f>
        <v>5021</v>
      </c>
      <c r="BE15" s="210">
        <f>INDEX(Spec!$B$12:$P$58,MATCH(AP15,Spec!$A$12:$A$58,0),6)*100</f>
        <v>1900</v>
      </c>
      <c r="BF15" s="881">
        <f t="shared" si="0"/>
        <v>1.8117883028477031</v>
      </c>
      <c r="BG15" s="881">
        <f t="shared" si="1"/>
        <v>47.243485714285718</v>
      </c>
      <c r="BH15" s="881"/>
      <c r="BI15" s="13" cm="1">
        <f t="array" ref="BI15">INDEX(Info!$AD$4:$AH$15,MATCH(Info!$I$13,Info!$AC$4:$AC$15,0),IF(H15&lt;=16,1,IF(H15&lt;=40,2,IF(H15&lt;=75,3,IF(H15&lt;=100,4,5)))))</f>
        <v>380</v>
      </c>
      <c r="BJ15" s="13" cm="1">
        <f t="array" ref="BJ15">INDEX(Info!$AD$4:$AH$15,MATCH(Info!$I$13,Info!$AC$4:$AC$15,0),IF(K15&lt;=16,1,IF(K15&lt;=40,2,IF(K15&lt;=75,3,IF(K15&lt;=100,4,5)))))</f>
        <v>380</v>
      </c>
      <c r="BK15" s="13" cm="1">
        <f t="array" ref="BK15">INDEX(Info!$AD$4:$AH$15,MATCH(Info!$I$14,Info!$AC$4:$AC$15,0),IF(N15&lt;=16,1,IF(N15&lt;=40,2,IF(N15&lt;=75,3,IF(N15&lt;=100,4,5)))))</f>
        <v>355</v>
      </c>
      <c r="BL15" s="13">
        <f>IF(Stress!C844="Positive",MAX(MIN(0.7*BI15,BK15),0.5*BI15),MAX(MIN(0.7*BJ15,BK15),0.5*BJ15))</f>
        <v>266</v>
      </c>
      <c r="BM15" s="13" cm="1">
        <f t="array" ref="BM15">INDEX(Info!$AD$4:$AH$15,MATCH(Info!$I$13,Info!$AC$4:$AC$15,0),IF(AI15&lt;=16,1,IF(AI15&lt;=40,2,IF(AI15&lt;=75,3,IF(AI15&lt;=100,4,5)))))</f>
        <v>380</v>
      </c>
      <c r="BN15" s="13" cm="1">
        <f t="array" ref="BN15">INDEX(Info!$AD$4:$AH$15,MATCH(Info!$I$13,Info!$AC$4:$AC$15,0),IF(AF15&lt;=16,1,IF(AF15&lt;=40,2,IF(AF15&lt;=75,3,IF(AF15&lt;=100,4,5)))))</f>
        <v>380</v>
      </c>
      <c r="BO15" s="13"/>
      <c r="BP15" s="13">
        <f t="shared" si="2"/>
        <v>0.125</v>
      </c>
      <c r="BQ15" s="13">
        <f t="shared" si="3"/>
        <v>2821.7902119044925</v>
      </c>
      <c r="BR15" s="13">
        <f t="shared" si="72"/>
        <v>3130</v>
      </c>
      <c r="BS15" s="13"/>
      <c r="BT15" s="136">
        <f t="shared" si="4"/>
        <v>0</v>
      </c>
      <c r="BU15" s="136">
        <f t="shared" si="5"/>
        <v>0</v>
      </c>
      <c r="BV15" s="136">
        <f t="shared" si="6"/>
        <v>1595000</v>
      </c>
      <c r="BW15" s="136">
        <f t="shared" si="7"/>
        <v>11178291666.666666</v>
      </c>
      <c r="BX15" s="136">
        <f t="shared" si="8"/>
        <v>0</v>
      </c>
      <c r="BY15" s="136">
        <f t="shared" si="9"/>
        <v>0</v>
      </c>
      <c r="BZ15" s="136">
        <f t="shared" si="10"/>
        <v>7655.2758986349281</v>
      </c>
      <c r="CA15" s="136">
        <f t="shared" si="11"/>
        <v>172722.16246295057</v>
      </c>
      <c r="CB15" s="136">
        <f t="shared" si="12"/>
        <v>5428.6721054031623</v>
      </c>
      <c r="CC15" s="136">
        <f t="shared" si="13"/>
        <v>86858.753686450596</v>
      </c>
      <c r="CE15" s="1137">
        <f t="shared" si="14"/>
        <v>346081987.77679139</v>
      </c>
      <c r="CF15" s="1136">
        <f t="shared" si="15"/>
        <v>411131448.88888884</v>
      </c>
      <c r="CG15" s="1136">
        <f t="shared" si="16"/>
        <v>0</v>
      </c>
      <c r="CH15" s="172">
        <f t="shared" si="17"/>
        <v>4020729166666.6665</v>
      </c>
      <c r="CJ15" s="136">
        <f t="shared" si="18"/>
        <v>198442.96508570784</v>
      </c>
      <c r="CK15" s="7">
        <f t="shared" si="19"/>
        <v>294458361973.75983</v>
      </c>
      <c r="CL15" s="6">
        <f t="shared" si="20"/>
        <v>1685.8661105921663</v>
      </c>
      <c r="CM15" s="6">
        <f t="shared" si="21"/>
        <v>1194.1338894078337</v>
      </c>
      <c r="CN15" s="164">
        <f t="shared" si="73"/>
        <v>174662958.18137676</v>
      </c>
      <c r="CO15" s="164">
        <f t="shared" si="74"/>
        <v>246587392.40687704</v>
      </c>
      <c r="CP15" s="1137">
        <f t="shared" si="22"/>
        <v>162354633405.19186</v>
      </c>
      <c r="CQ15" s="1136">
        <f t="shared" si="23"/>
        <v>72562465391.25</v>
      </c>
      <c r="CR15" s="22">
        <f t="shared" si="24"/>
        <v>198442.96508570784</v>
      </c>
      <c r="CS15" s="7">
        <f t="shared" si="25"/>
        <v>294458361973.75983</v>
      </c>
      <c r="CT15" s="6">
        <f t="shared" si="26"/>
        <v>1685.8661105921663</v>
      </c>
      <c r="CU15" s="12">
        <f t="shared" si="27"/>
        <v>1194.1338894078337</v>
      </c>
      <c r="CV15" s="164">
        <f t="shared" si="28"/>
        <v>174662958.18137676</v>
      </c>
      <c r="CW15" s="164">
        <f t="shared" si="29"/>
        <v>246587392.40687704</v>
      </c>
      <c r="CX15" s="1136">
        <f t="shared" si="30"/>
        <v>162354633405.19186</v>
      </c>
      <c r="CY15" s="1136">
        <f t="shared" si="31"/>
        <v>72562465391.25</v>
      </c>
      <c r="CZ15" s="22">
        <f t="shared" si="32"/>
        <v>198442.96508570784</v>
      </c>
      <c r="DA15" s="7">
        <f t="shared" si="33"/>
        <v>294458361973.75983</v>
      </c>
      <c r="DB15" s="6">
        <f t="shared" si="34"/>
        <v>1685.8661105921663</v>
      </c>
      <c r="DC15" s="12">
        <f t="shared" si="35"/>
        <v>1194.1338894078337</v>
      </c>
      <c r="DD15" s="164">
        <f t="shared" si="75"/>
        <v>174662958.18137676</v>
      </c>
      <c r="DE15" s="164">
        <f t="shared" si="76"/>
        <v>246587392.40687704</v>
      </c>
      <c r="DF15" s="1136">
        <f t="shared" si="36"/>
        <v>162354633405.19186</v>
      </c>
      <c r="DG15" s="1136">
        <f t="shared" si="37"/>
        <v>72562465391.25</v>
      </c>
      <c r="DH15" s="22">
        <f t="shared" si="38"/>
        <v>446354.65161772241</v>
      </c>
      <c r="DI15" s="172">
        <f t="shared" si="39"/>
        <v>649687231067.52405</v>
      </c>
      <c r="DJ15" s="12">
        <f t="shared" si="40"/>
        <v>691.19374362829694</v>
      </c>
      <c r="DK15" s="22">
        <f t="shared" si="41"/>
        <v>2188.8062563717031</v>
      </c>
      <c r="DL15" s="164">
        <f t="shared" si="77"/>
        <v>939949525.08844781</v>
      </c>
      <c r="DM15" s="164">
        <f t="shared" si="78"/>
        <v>296822630.6811114</v>
      </c>
      <c r="DN15" s="7">
        <f t="shared" si="42"/>
        <v>787298676537.97864</v>
      </c>
      <c r="DO15" s="1136">
        <f t="shared" si="43"/>
        <v>238639389909.96988</v>
      </c>
      <c r="DP15" s="22">
        <f t="shared" si="44"/>
        <v>281080.1939297127</v>
      </c>
      <c r="DQ15" s="172">
        <f t="shared" si="45"/>
        <v>482152011680.10175</v>
      </c>
      <c r="DR15" s="22">
        <f t="shared" si="46"/>
        <v>1159.3536924066825</v>
      </c>
      <c r="DS15" s="22">
        <f t="shared" si="47"/>
        <v>1720.6463075933175</v>
      </c>
      <c r="DT15" s="164">
        <f t="shared" si="79"/>
        <v>415879998.34563911</v>
      </c>
      <c r="DU15" s="164">
        <f t="shared" si="80"/>
        <v>280215643.12917501</v>
      </c>
      <c r="DV15" s="1136">
        <f t="shared" si="48"/>
        <v>370669314449.4541</v>
      </c>
      <c r="DW15" s="1136">
        <f t="shared" si="49"/>
        <v>238639389909.96988</v>
      </c>
      <c r="DX15" s="763">
        <f t="shared" si="50"/>
        <v>211526.91308974594</v>
      </c>
      <c r="DY15" s="7">
        <f t="shared" si="51"/>
        <v>334483056239.52264</v>
      </c>
      <c r="DZ15" s="13">
        <f t="shared" si="52"/>
        <v>1574.3491439427423</v>
      </c>
      <c r="EA15" s="763">
        <f t="shared" si="53"/>
        <v>1305.6508560572577</v>
      </c>
      <c r="EB15" s="164">
        <f t="shared" si="81"/>
        <v>212457990.99039462</v>
      </c>
      <c r="EC15" s="164">
        <f t="shared" si="82"/>
        <v>256181087.53022891</v>
      </c>
      <c r="ED15" s="1136">
        <f t="shared" si="54"/>
        <v>787298676537.97864</v>
      </c>
      <c r="EE15" s="1136">
        <f t="shared" si="55"/>
        <v>238639389909.96988</v>
      </c>
      <c r="EF15" s="763">
        <f t="shared" si="56"/>
        <v>202804.28108705388</v>
      </c>
      <c r="EG15" s="7">
        <f t="shared" si="57"/>
        <v>308371923533.24579</v>
      </c>
      <c r="EH15" s="13">
        <f t="shared" si="58"/>
        <v>1647.0950031545817</v>
      </c>
      <c r="EI15" s="763">
        <f t="shared" si="59"/>
        <v>1232.9049968454183</v>
      </c>
      <c r="EJ15" s="164">
        <f t="shared" si="83"/>
        <v>187221698.16716075</v>
      </c>
      <c r="EK15" s="164">
        <f t="shared" si="84"/>
        <v>250118155.35038298</v>
      </c>
      <c r="EL15" s="1136">
        <f t="shared" si="85"/>
        <v>370669314449.4541</v>
      </c>
      <c r="EM15" s="1136">
        <f t="shared" si="86"/>
        <v>238639389909.96988</v>
      </c>
      <c r="EN15" s="763"/>
      <c r="EO15" s="1113" t="s">
        <v>2173</v>
      </c>
      <c r="EP15" s="1114">
        <v>198442.96508570801</v>
      </c>
      <c r="EQ15" s="1114">
        <v>294458361973.76001</v>
      </c>
      <c r="ER15" s="1115">
        <v>1685.8661105921699</v>
      </c>
      <c r="ES15" s="1115">
        <v>1194.1338894078301</v>
      </c>
      <c r="ET15" s="1114">
        <v>174662958.18137699</v>
      </c>
      <c r="EU15" s="1114">
        <v>246587392.40687701</v>
      </c>
      <c r="EV15" s="1114">
        <v>162354633405.19199</v>
      </c>
      <c r="EW15" s="1114">
        <v>72562465391.25</v>
      </c>
      <c r="EX15" s="1114">
        <v>198442.96508570801</v>
      </c>
      <c r="EY15" s="1114">
        <v>294458361973.76001</v>
      </c>
      <c r="EZ15" s="1115">
        <v>1685.8661105921699</v>
      </c>
      <c r="FA15" s="1115">
        <v>1194.1338894078301</v>
      </c>
      <c r="FB15" s="1114">
        <v>174662958.18137699</v>
      </c>
      <c r="FC15" s="1114">
        <v>246587392.40687701</v>
      </c>
      <c r="FD15" s="1114">
        <v>162354633405.19199</v>
      </c>
      <c r="FE15" s="1114">
        <v>72562465391.25</v>
      </c>
      <c r="FF15" s="1114">
        <v>198442.96508570801</v>
      </c>
      <c r="FG15" s="1114">
        <v>294458361973.76001</v>
      </c>
      <c r="FH15" s="1115">
        <v>1685.8661105921699</v>
      </c>
      <c r="FI15" s="1115">
        <v>1194.1338894078301</v>
      </c>
      <c r="FJ15" s="1114">
        <v>174662958.18137699</v>
      </c>
      <c r="FK15" s="1114">
        <v>246587392.40687701</v>
      </c>
      <c r="FL15" s="1114">
        <v>162354633405.19199</v>
      </c>
      <c r="FM15" s="1114">
        <v>72562465391.25</v>
      </c>
      <c r="FN15" s="1114">
        <v>446354.65161772299</v>
      </c>
      <c r="FO15" s="1114">
        <v>649687231067.52405</v>
      </c>
      <c r="FP15" s="1115">
        <v>691.19374362829603</v>
      </c>
      <c r="FQ15" s="1115">
        <v>2188.8062563716999</v>
      </c>
      <c r="FR15" s="1114">
        <v>939949525.088449</v>
      </c>
      <c r="FS15" s="1114">
        <v>296822630.68111098</v>
      </c>
      <c r="FT15" s="1114">
        <v>787298676537.979</v>
      </c>
      <c r="FU15" s="1114">
        <v>238639389909.97</v>
      </c>
      <c r="FV15" s="1114">
        <v>281080.19392971299</v>
      </c>
      <c r="FW15" s="1114">
        <v>482152011680.10199</v>
      </c>
      <c r="FX15" s="1115">
        <v>1159.35369240668</v>
      </c>
      <c r="FY15" s="1115">
        <v>1720.64630759332</v>
      </c>
      <c r="FZ15" s="1114">
        <v>415879998.34563899</v>
      </c>
      <c r="GA15" s="1114">
        <v>280215643.12917501</v>
      </c>
      <c r="GB15" s="1114">
        <v>370669314449.45398</v>
      </c>
      <c r="GC15" s="1114">
        <v>238639389909.97</v>
      </c>
      <c r="GD15" s="1114">
        <v>211526.913089746</v>
      </c>
      <c r="GE15" s="1114">
        <v>334483056239.52301</v>
      </c>
      <c r="GF15" s="1115">
        <v>1574.3491439427401</v>
      </c>
      <c r="GG15" s="1115">
        <v>1305.6508560572599</v>
      </c>
      <c r="GH15" s="1114">
        <v>212457990.99039501</v>
      </c>
      <c r="GI15" s="1114">
        <v>256181087.530229</v>
      </c>
      <c r="GJ15" s="1114">
        <v>787298676537.979</v>
      </c>
      <c r="GK15" s="1114">
        <v>238639389909.97</v>
      </c>
      <c r="GL15" s="1114">
        <v>202804.281087054</v>
      </c>
      <c r="GM15" s="1114">
        <v>308371923533.24597</v>
      </c>
      <c r="GN15" s="1115">
        <v>1647.0950031545799</v>
      </c>
      <c r="GO15" s="1115">
        <v>1232.9049968454201</v>
      </c>
      <c r="GP15" s="1114">
        <v>187221698.16716099</v>
      </c>
      <c r="GQ15" s="1114">
        <v>250118155.35038301</v>
      </c>
      <c r="GR15" s="1114">
        <v>370669314449.45398</v>
      </c>
      <c r="GS15" s="1114">
        <v>238639389909.97</v>
      </c>
      <c r="GU15" s="1171">
        <f t="shared" si="60"/>
        <v>0</v>
      </c>
      <c r="GV15" s="1171">
        <f t="shared" si="61"/>
        <v>0</v>
      </c>
      <c r="GW15" s="1171">
        <f t="shared" si="62"/>
        <v>-3.637978807091713E-12</v>
      </c>
      <c r="GX15" s="1171">
        <f t="shared" si="63"/>
        <v>3.637978807091713E-12</v>
      </c>
      <c r="GY15" s="1171">
        <f t="shared" si="64"/>
        <v>-2.384185791015625E-7</v>
      </c>
      <c r="GZ15" s="1171">
        <f t="shared" si="65"/>
        <v>0</v>
      </c>
      <c r="HA15" s="1171">
        <f t="shared" si="87"/>
        <v>0</v>
      </c>
      <c r="HB15" s="1171">
        <f t="shared" si="66"/>
        <v>0</v>
      </c>
      <c r="HC15" s="1171">
        <f t="shared" si="67"/>
        <v>0</v>
      </c>
      <c r="HD15" s="1171">
        <f t="shared" si="68"/>
        <v>0</v>
      </c>
      <c r="HE15" s="1171">
        <f t="shared" si="69"/>
        <v>-3.637978807091713E-12</v>
      </c>
      <c r="HF15" s="1171">
        <f t="shared" si="70"/>
        <v>3.637978807091713E-12</v>
      </c>
      <c r="HG15" s="1171">
        <f t="shared" si="89"/>
        <v>-2.384185791015625E-7</v>
      </c>
      <c r="HH15" s="1171">
        <f t="shared" si="90"/>
        <v>0</v>
      </c>
      <c r="HI15" s="1171">
        <f t="shared" si="91"/>
        <v>0</v>
      </c>
      <c r="HJ15" s="1171">
        <f t="shared" si="92"/>
        <v>0</v>
      </c>
      <c r="HK15" s="1171">
        <f t="shared" si="93"/>
        <v>0</v>
      </c>
      <c r="HL15" s="1171">
        <f t="shared" si="94"/>
        <v>0</v>
      </c>
      <c r="HM15" s="1171">
        <f t="shared" si="95"/>
        <v>-3.637978807091713E-12</v>
      </c>
      <c r="HN15" s="1171">
        <f t="shared" si="96"/>
        <v>3.637978807091713E-12</v>
      </c>
      <c r="HO15" s="1171">
        <f t="shared" si="97"/>
        <v>-2.384185791015625E-7</v>
      </c>
      <c r="HP15" s="1171">
        <f t="shared" si="98"/>
        <v>0</v>
      </c>
      <c r="HQ15" s="1171">
        <f t="shared" si="99"/>
        <v>0</v>
      </c>
      <c r="HR15" s="1171">
        <f t="shared" si="100"/>
        <v>0</v>
      </c>
      <c r="HS15" s="1171">
        <f t="shared" si="101"/>
        <v>-5.8207660913467407E-10</v>
      </c>
      <c r="HT15" s="1171">
        <f t="shared" si="102"/>
        <v>0</v>
      </c>
      <c r="HU15" s="1171">
        <f t="shared" si="103"/>
        <v>9.0949470177292824E-13</v>
      </c>
      <c r="HV15" s="1171">
        <f t="shared" si="104"/>
        <v>0</v>
      </c>
      <c r="HW15" s="1171">
        <f t="shared" si="105"/>
        <v>-1.1920928955078125E-6</v>
      </c>
      <c r="HX15" s="1171">
        <f t="shared" si="106"/>
        <v>0</v>
      </c>
      <c r="HY15" s="1171">
        <f t="shared" si="107"/>
        <v>0</v>
      </c>
      <c r="HZ15" s="1171">
        <f t="shared" si="108"/>
        <v>0</v>
      </c>
      <c r="IA15" s="1171">
        <f t="shared" si="109"/>
        <v>0</v>
      </c>
      <c r="IB15" s="1171">
        <f t="shared" si="110"/>
        <v>0</v>
      </c>
      <c r="IC15" s="1171">
        <f t="shared" si="111"/>
        <v>2.5011104298755527E-12</v>
      </c>
      <c r="ID15" s="1171">
        <f t="shared" si="112"/>
        <v>-2.5011104298755527E-12</v>
      </c>
      <c r="IE15" s="1171">
        <f t="shared" si="113"/>
        <v>0</v>
      </c>
      <c r="IF15" s="1171">
        <f t="shared" si="114"/>
        <v>0</v>
      </c>
      <c r="IG15" s="1171">
        <f t="shared" si="115"/>
        <v>0</v>
      </c>
      <c r="IH15" s="1171">
        <f t="shared" si="116"/>
        <v>0</v>
      </c>
      <c r="II15" s="1171">
        <f t="shared" si="117"/>
        <v>0</v>
      </c>
      <c r="IJ15" s="1171">
        <f t="shared" si="118"/>
        <v>0</v>
      </c>
      <c r="IK15" s="1171">
        <f t="shared" si="119"/>
        <v>2.2737367544323206E-12</v>
      </c>
      <c r="IL15" s="1171">
        <f t="shared" si="120"/>
        <v>-2.2737367544323206E-12</v>
      </c>
      <c r="IM15" s="1171">
        <f t="shared" si="121"/>
        <v>-3.8743019104003906E-7</v>
      </c>
      <c r="IN15" s="1171">
        <f t="shared" si="122"/>
        <v>0</v>
      </c>
      <c r="IO15" s="1171">
        <f t="shared" si="123"/>
        <v>0</v>
      </c>
      <c r="IP15" s="1171">
        <f t="shared" si="124"/>
        <v>0</v>
      </c>
      <c r="IQ15" s="1171">
        <f t="shared" si="125"/>
        <v>0</v>
      </c>
      <c r="IR15" s="1171">
        <f t="shared" si="126"/>
        <v>0</v>
      </c>
      <c r="IS15" s="1171">
        <f t="shared" si="127"/>
        <v>1.8189894035458565E-12</v>
      </c>
      <c r="IT15" s="1171">
        <f t="shared" si="128"/>
        <v>-1.8189894035458565E-12</v>
      </c>
      <c r="IU15" s="1171">
        <f t="shared" si="129"/>
        <v>-2.384185791015625E-7</v>
      </c>
      <c r="IV15" s="1171">
        <f t="shared" si="130"/>
        <v>0</v>
      </c>
      <c r="IW15" s="1171">
        <f t="shared" si="131"/>
        <v>0</v>
      </c>
      <c r="IX15" s="1171">
        <f t="shared" si="132"/>
        <v>0</v>
      </c>
    </row>
    <row r="16" spans="1:258">
      <c r="B16" s="136" t="str">
        <f t="shared" ref="B16" si="141">LEFT(B14,3)+1&amp;"j"</f>
        <v>107j</v>
      </c>
      <c r="C16">
        <v>26.9</v>
      </c>
      <c r="D16" s="136">
        <v>0</v>
      </c>
      <c r="E16" t="s">
        <v>2088</v>
      </c>
      <c r="F16" s="26">
        <v>2</v>
      </c>
      <c r="G16" s="136">
        <v>600</v>
      </c>
      <c r="H16" s="136">
        <v>40</v>
      </c>
      <c r="I16" s="28">
        <v>250</v>
      </c>
      <c r="J16" s="26">
        <v>1940</v>
      </c>
      <c r="K16" s="136">
        <v>40</v>
      </c>
      <c r="L16" s="28">
        <v>120</v>
      </c>
      <c r="M16" s="26">
        <v>2800</v>
      </c>
      <c r="N16" s="28">
        <v>12</v>
      </c>
      <c r="O16" s="26">
        <v>0</v>
      </c>
      <c r="P16" s="26">
        <v>290</v>
      </c>
      <c r="Q16" s="26">
        <f>+Section!L77</f>
        <v>5500</v>
      </c>
      <c r="R16" s="169">
        <v>0</v>
      </c>
      <c r="S16" s="210">
        <v>0</v>
      </c>
      <c r="T16" s="27">
        <v>1200</v>
      </c>
      <c r="U16" s="27">
        <v>2400</v>
      </c>
      <c r="V16" s="28">
        <v>3800</v>
      </c>
      <c r="W16" s="210">
        <v>19</v>
      </c>
      <c r="X16" s="210">
        <v>200</v>
      </c>
      <c r="Y16" s="169">
        <v>50</v>
      </c>
      <c r="Z16" s="210">
        <v>16</v>
      </c>
      <c r="AA16" s="210">
        <v>200</v>
      </c>
      <c r="AB16" s="28">
        <v>40</v>
      </c>
      <c r="AC16" s="210">
        <v>0</v>
      </c>
      <c r="AD16" s="26">
        <v>2</v>
      </c>
      <c r="AE16" s="169">
        <v>160</v>
      </c>
      <c r="AF16" s="169">
        <v>16</v>
      </c>
      <c r="AG16" s="26">
        <v>0</v>
      </c>
      <c r="AH16" s="169">
        <v>0</v>
      </c>
      <c r="AI16" s="169">
        <v>0</v>
      </c>
      <c r="AJ16" s="397">
        <v>2</v>
      </c>
      <c r="AK16" s="210">
        <v>2500</v>
      </c>
      <c r="AL16" s="210">
        <v>5000</v>
      </c>
      <c r="AM16" s="210" t="s">
        <v>2316</v>
      </c>
      <c r="AN16" s="210">
        <v>2500</v>
      </c>
      <c r="AO16" s="1143" t="s">
        <v>2320</v>
      </c>
      <c r="AP16" s="1143" t="s">
        <v>2321</v>
      </c>
      <c r="AQ16" s="136">
        <v>150</v>
      </c>
      <c r="AR16" s="136">
        <v>14</v>
      </c>
      <c r="AS16" s="1143" t="s">
        <v>2448</v>
      </c>
      <c r="AT16" s="136">
        <v>120</v>
      </c>
      <c r="AU16" s="136">
        <v>12</v>
      </c>
      <c r="AV16" s="1109" t="s">
        <v>2157</v>
      </c>
      <c r="AW16" s="1109">
        <v>12</v>
      </c>
      <c r="AX16" s="1109">
        <v>400</v>
      </c>
      <c r="AY16" s="1109">
        <v>1000</v>
      </c>
      <c r="AZ16" s="1108">
        <v>8</v>
      </c>
      <c r="BA16" s="1108">
        <v>6</v>
      </c>
      <c r="BC16" s="1168"/>
      <c r="BD16" s="210">
        <f>INDEX(Spec!$B$12:$P$58,MATCH(AO16,Spec!$A$12:$A$58,0),6)*100</f>
        <v>5021</v>
      </c>
      <c r="BE16" s="210">
        <f>INDEX(Spec!$B$12:$P$58,MATCH(AP16,Spec!$A$12:$A$58,0),6)*100</f>
        <v>1900</v>
      </c>
      <c r="BF16" s="881">
        <f t="shared" si="0"/>
        <v>1.8117883028477031</v>
      </c>
      <c r="BG16" s="881">
        <f t="shared" si="1"/>
        <v>47.243485714285718</v>
      </c>
      <c r="BH16" s="881"/>
      <c r="BI16" s="13" cm="1">
        <f t="array" ref="BI16">INDEX(Info!$AD$4:$AH$15,MATCH(Info!$I$13,Info!$AC$4:$AC$15,0),IF(H16&lt;=16,1,IF(H16&lt;=40,2,IF(H16&lt;=75,3,IF(H16&lt;=100,4,5)))))</f>
        <v>380</v>
      </c>
      <c r="BJ16" s="13" cm="1">
        <f t="array" ref="BJ16">INDEX(Info!$AD$4:$AH$15,MATCH(Info!$I$13,Info!$AC$4:$AC$15,0),IF(K16&lt;=16,1,IF(K16&lt;=40,2,IF(K16&lt;=75,3,IF(K16&lt;=100,4,5)))))</f>
        <v>380</v>
      </c>
      <c r="BK16" s="13" cm="1">
        <f t="array" ref="BK16">INDEX(Info!$AD$4:$AH$15,MATCH(Info!$I$14,Info!$AC$4:$AC$15,0),IF(N16&lt;=16,1,IF(N16&lt;=40,2,IF(N16&lt;=75,3,IF(N16&lt;=100,4,5)))))</f>
        <v>355</v>
      </c>
      <c r="BL16" s="13">
        <f>IF(Stress!C845="Positive",MAX(MIN(0.7*BI16,BK16),0.5*BI16),MAX(MIN(0.7*BJ16,BK16),0.5*BJ16))</f>
        <v>266</v>
      </c>
      <c r="BM16" s="13" cm="1">
        <f t="array" ref="BM16">INDEX(Info!$AD$4:$AH$15,MATCH(Info!$I$13,Info!$AC$4:$AC$15,0),IF(AI16&lt;=16,1,IF(AI16&lt;=40,2,IF(AI16&lt;=75,3,IF(AI16&lt;=100,4,5)))))</f>
        <v>380</v>
      </c>
      <c r="BN16" s="13" cm="1">
        <f t="array" ref="BN16">INDEX(Info!$AD$4:$AH$15,MATCH(Info!$I$13,Info!$AC$4:$AC$15,0),IF(AF16&lt;=16,1,IF(AF16&lt;=40,2,IF(AF16&lt;=75,3,IF(AF16&lt;=100,4,5)))))</f>
        <v>380</v>
      </c>
      <c r="BO16" s="13"/>
      <c r="BP16" s="13">
        <f t="shared" si="2"/>
        <v>0.125</v>
      </c>
      <c r="BQ16" s="13">
        <f t="shared" si="3"/>
        <v>2821.7902119044925</v>
      </c>
      <c r="BR16" s="13">
        <f t="shared" si="72"/>
        <v>3130</v>
      </c>
      <c r="BS16" s="13"/>
      <c r="BT16" s="136">
        <f t="shared" si="4"/>
        <v>0</v>
      </c>
      <c r="BU16" s="136">
        <f t="shared" si="5"/>
        <v>0</v>
      </c>
      <c r="BV16" s="136">
        <f t="shared" si="6"/>
        <v>1595000</v>
      </c>
      <c r="BW16" s="136">
        <f t="shared" si="7"/>
        <v>11178291666.666666</v>
      </c>
      <c r="BX16" s="136">
        <f t="shared" si="8"/>
        <v>0</v>
      </c>
      <c r="BY16" s="136">
        <f t="shared" si="9"/>
        <v>0</v>
      </c>
      <c r="BZ16" s="136">
        <f t="shared" si="10"/>
        <v>7655.2758986349281</v>
      </c>
      <c r="CA16" s="136">
        <f t="shared" si="11"/>
        <v>172722.16246295057</v>
      </c>
      <c r="CB16" s="136">
        <f t="shared" si="12"/>
        <v>5428.6721054031623</v>
      </c>
      <c r="CC16" s="136">
        <f t="shared" si="13"/>
        <v>86858.753686450596</v>
      </c>
      <c r="CE16" s="1137">
        <f t="shared" si="14"/>
        <v>346081987.77679139</v>
      </c>
      <c r="CF16" s="1136">
        <f t="shared" si="15"/>
        <v>411131448.88888884</v>
      </c>
      <c r="CG16" s="1136">
        <f t="shared" si="16"/>
        <v>0</v>
      </c>
      <c r="CH16" s="172">
        <f t="shared" si="17"/>
        <v>4020729166666.6665</v>
      </c>
      <c r="CJ16" s="136">
        <f t="shared" si="18"/>
        <v>198442.96508570784</v>
      </c>
      <c r="CK16" s="7">
        <f t="shared" si="19"/>
        <v>294458361973.75983</v>
      </c>
      <c r="CL16" s="6">
        <f t="shared" si="20"/>
        <v>1685.8661105921663</v>
      </c>
      <c r="CM16" s="6">
        <f t="shared" si="21"/>
        <v>1194.1338894078337</v>
      </c>
      <c r="CN16" s="164">
        <f t="shared" si="73"/>
        <v>174662958.18137676</v>
      </c>
      <c r="CO16" s="164">
        <f t="shared" si="74"/>
        <v>246587392.40687704</v>
      </c>
      <c r="CP16" s="1137">
        <f t="shared" si="22"/>
        <v>162354633405.19186</v>
      </c>
      <c r="CQ16" s="1136">
        <f t="shared" si="23"/>
        <v>72562465391.25</v>
      </c>
      <c r="CR16" s="22">
        <f t="shared" si="24"/>
        <v>198442.96508570784</v>
      </c>
      <c r="CS16" s="7">
        <f t="shared" si="25"/>
        <v>294458361973.75983</v>
      </c>
      <c r="CT16" s="6">
        <f t="shared" si="26"/>
        <v>1685.8661105921663</v>
      </c>
      <c r="CU16" s="12">
        <f t="shared" si="27"/>
        <v>1194.1338894078337</v>
      </c>
      <c r="CV16" s="164">
        <f t="shared" si="28"/>
        <v>174662958.18137676</v>
      </c>
      <c r="CW16" s="164">
        <f t="shared" si="29"/>
        <v>246587392.40687704</v>
      </c>
      <c r="CX16" s="1136">
        <f t="shared" si="30"/>
        <v>162354633405.19186</v>
      </c>
      <c r="CY16" s="1136">
        <f t="shared" si="31"/>
        <v>72562465391.25</v>
      </c>
      <c r="CZ16" s="22">
        <f t="shared" si="32"/>
        <v>198442.96508570784</v>
      </c>
      <c r="DA16" s="7">
        <f t="shared" si="33"/>
        <v>294458361973.75983</v>
      </c>
      <c r="DB16" s="6">
        <f t="shared" si="34"/>
        <v>1685.8661105921663</v>
      </c>
      <c r="DC16" s="12">
        <f t="shared" si="35"/>
        <v>1194.1338894078337</v>
      </c>
      <c r="DD16" s="164">
        <f t="shared" si="75"/>
        <v>174662958.18137676</v>
      </c>
      <c r="DE16" s="164">
        <f t="shared" si="76"/>
        <v>246587392.40687704</v>
      </c>
      <c r="DF16" s="1136">
        <f t="shared" si="36"/>
        <v>162354633405.19186</v>
      </c>
      <c r="DG16" s="1136">
        <f t="shared" si="37"/>
        <v>72562465391.25</v>
      </c>
      <c r="DH16" s="22">
        <f t="shared" si="38"/>
        <v>446354.65161772241</v>
      </c>
      <c r="DI16" s="172">
        <f t="shared" si="39"/>
        <v>649687231067.52405</v>
      </c>
      <c r="DJ16" s="12">
        <f t="shared" si="40"/>
        <v>691.19374362829694</v>
      </c>
      <c r="DK16" s="22">
        <f t="shared" si="41"/>
        <v>2188.8062563717031</v>
      </c>
      <c r="DL16" s="164">
        <f t="shared" si="77"/>
        <v>939949525.08844781</v>
      </c>
      <c r="DM16" s="164">
        <f t="shared" si="78"/>
        <v>296822630.6811114</v>
      </c>
      <c r="DN16" s="7">
        <f t="shared" si="42"/>
        <v>787298676537.97864</v>
      </c>
      <c r="DO16" s="1136">
        <f t="shared" si="43"/>
        <v>238639389909.96988</v>
      </c>
      <c r="DP16" s="22">
        <f t="shared" si="44"/>
        <v>281080.1939297127</v>
      </c>
      <c r="DQ16" s="172">
        <f t="shared" si="45"/>
        <v>482152011680.10175</v>
      </c>
      <c r="DR16" s="22">
        <f t="shared" si="46"/>
        <v>1159.3536924066825</v>
      </c>
      <c r="DS16" s="22">
        <f t="shared" si="47"/>
        <v>1720.6463075933175</v>
      </c>
      <c r="DT16" s="164">
        <f t="shared" si="79"/>
        <v>415879998.34563911</v>
      </c>
      <c r="DU16" s="164">
        <f t="shared" si="80"/>
        <v>280215643.12917501</v>
      </c>
      <c r="DV16" s="1136">
        <f t="shared" si="48"/>
        <v>370669314449.4541</v>
      </c>
      <c r="DW16" s="1136">
        <f t="shared" si="49"/>
        <v>238639389909.96988</v>
      </c>
      <c r="DX16" s="763">
        <f t="shared" si="50"/>
        <v>211526.91308974594</v>
      </c>
      <c r="DY16" s="7">
        <f t="shared" si="51"/>
        <v>334483056239.52264</v>
      </c>
      <c r="DZ16" s="13">
        <f t="shared" si="52"/>
        <v>1574.3491439427423</v>
      </c>
      <c r="EA16" s="763">
        <f t="shared" si="53"/>
        <v>1305.6508560572577</v>
      </c>
      <c r="EB16" s="164">
        <f t="shared" si="81"/>
        <v>212457990.99039462</v>
      </c>
      <c r="EC16" s="164">
        <f t="shared" si="82"/>
        <v>256181087.53022891</v>
      </c>
      <c r="ED16" s="1136">
        <f t="shared" si="54"/>
        <v>787298676537.97864</v>
      </c>
      <c r="EE16" s="1136">
        <f t="shared" si="55"/>
        <v>238639389909.96988</v>
      </c>
      <c r="EF16" s="763">
        <f t="shared" si="56"/>
        <v>202804.28108705388</v>
      </c>
      <c r="EG16" s="7">
        <f t="shared" si="57"/>
        <v>308371923533.24579</v>
      </c>
      <c r="EH16" s="13">
        <f t="shared" si="58"/>
        <v>1647.0950031545817</v>
      </c>
      <c r="EI16" s="763">
        <f t="shared" si="59"/>
        <v>1232.9049968454183</v>
      </c>
      <c r="EJ16" s="164">
        <f t="shared" si="83"/>
        <v>187221698.16716075</v>
      </c>
      <c r="EK16" s="164">
        <f t="shared" si="84"/>
        <v>250118155.35038298</v>
      </c>
      <c r="EL16" s="1136">
        <f t="shared" si="85"/>
        <v>370669314449.4541</v>
      </c>
      <c r="EM16" s="1136">
        <f t="shared" si="86"/>
        <v>238639389909.96988</v>
      </c>
      <c r="EN16" s="763"/>
      <c r="EO16" s="1113" t="s">
        <v>2174</v>
      </c>
      <c r="EP16" s="1114">
        <v>198442.96508570801</v>
      </c>
      <c r="EQ16" s="1114">
        <v>294458361973.76001</v>
      </c>
      <c r="ER16" s="1115">
        <v>1685.8661105921699</v>
      </c>
      <c r="ES16" s="1115">
        <v>1194.1338894078301</v>
      </c>
      <c r="ET16" s="1114">
        <v>174662958.18137699</v>
      </c>
      <c r="EU16" s="1114">
        <v>246587392.40687701</v>
      </c>
      <c r="EV16" s="1114">
        <v>162354633405.19199</v>
      </c>
      <c r="EW16" s="1114">
        <v>72562465391.25</v>
      </c>
      <c r="EX16" s="1114">
        <v>198442.96508570801</v>
      </c>
      <c r="EY16" s="1114">
        <v>294458361973.76001</v>
      </c>
      <c r="EZ16" s="1115">
        <v>1685.8661105921699</v>
      </c>
      <c r="FA16" s="1115">
        <v>1194.1338894078301</v>
      </c>
      <c r="FB16" s="1114">
        <v>174662958.18137699</v>
      </c>
      <c r="FC16" s="1114">
        <v>246587392.40687701</v>
      </c>
      <c r="FD16" s="1114">
        <v>162354633405.19199</v>
      </c>
      <c r="FE16" s="1114">
        <v>72562465391.25</v>
      </c>
      <c r="FF16" s="1114">
        <v>198442.96508570801</v>
      </c>
      <c r="FG16" s="1114">
        <v>294458361973.76001</v>
      </c>
      <c r="FH16" s="1115">
        <v>1685.8661105921699</v>
      </c>
      <c r="FI16" s="1115">
        <v>1194.1338894078301</v>
      </c>
      <c r="FJ16" s="1114">
        <v>174662958.18137699</v>
      </c>
      <c r="FK16" s="1114">
        <v>246587392.40687701</v>
      </c>
      <c r="FL16" s="1114">
        <v>162354633405.19199</v>
      </c>
      <c r="FM16" s="1114">
        <v>72562465391.25</v>
      </c>
      <c r="FN16" s="1114">
        <v>446354.65161772299</v>
      </c>
      <c r="FO16" s="1114">
        <v>649687231067.52405</v>
      </c>
      <c r="FP16" s="1115">
        <v>691.19374362829603</v>
      </c>
      <c r="FQ16" s="1115">
        <v>2188.8062563716999</v>
      </c>
      <c r="FR16" s="1114">
        <v>939949525.088449</v>
      </c>
      <c r="FS16" s="1114">
        <v>296822630.68111098</v>
      </c>
      <c r="FT16" s="1114">
        <v>787298676537.979</v>
      </c>
      <c r="FU16" s="1114">
        <v>238639389909.97</v>
      </c>
      <c r="FV16" s="1114">
        <v>281080.19392971299</v>
      </c>
      <c r="FW16" s="1114">
        <v>482152011680.10199</v>
      </c>
      <c r="FX16" s="1115">
        <v>1159.35369240668</v>
      </c>
      <c r="FY16" s="1115">
        <v>1720.64630759332</v>
      </c>
      <c r="FZ16" s="1114">
        <v>415879998.34563899</v>
      </c>
      <c r="GA16" s="1114">
        <v>280215643.12917501</v>
      </c>
      <c r="GB16" s="1114">
        <v>370669314449.45398</v>
      </c>
      <c r="GC16" s="1114">
        <v>238639389909.97</v>
      </c>
      <c r="GD16" s="1114">
        <v>211526.913089746</v>
      </c>
      <c r="GE16" s="1114">
        <v>334483056239.52301</v>
      </c>
      <c r="GF16" s="1115">
        <v>1574.3491439427401</v>
      </c>
      <c r="GG16" s="1115">
        <v>1305.6508560572599</v>
      </c>
      <c r="GH16" s="1114">
        <v>212457990.99039501</v>
      </c>
      <c r="GI16" s="1114">
        <v>256181087.530229</v>
      </c>
      <c r="GJ16" s="1114">
        <v>787298676537.979</v>
      </c>
      <c r="GK16" s="1114">
        <v>238639389909.97</v>
      </c>
      <c r="GL16" s="1114">
        <v>202804.281087054</v>
      </c>
      <c r="GM16" s="1114">
        <v>308371923533.24597</v>
      </c>
      <c r="GN16" s="1115">
        <v>1647.0950031545799</v>
      </c>
      <c r="GO16" s="1115">
        <v>1232.9049968454201</v>
      </c>
      <c r="GP16" s="1114">
        <v>187221698.16716099</v>
      </c>
      <c r="GQ16" s="1114">
        <v>250118155.35038301</v>
      </c>
      <c r="GR16" s="1114">
        <v>370669314449.45398</v>
      </c>
      <c r="GS16" s="1114">
        <v>238639389909.97</v>
      </c>
      <c r="GU16" s="1171">
        <f t="shared" si="60"/>
        <v>0</v>
      </c>
      <c r="GV16" s="1171">
        <f t="shared" si="61"/>
        <v>0</v>
      </c>
      <c r="GW16" s="1171">
        <f t="shared" si="62"/>
        <v>-3.637978807091713E-12</v>
      </c>
      <c r="GX16" s="1171">
        <f t="shared" si="63"/>
        <v>3.637978807091713E-12</v>
      </c>
      <c r="GY16" s="1171">
        <f t="shared" si="64"/>
        <v>-2.384185791015625E-7</v>
      </c>
      <c r="GZ16" s="1171">
        <f t="shared" si="65"/>
        <v>0</v>
      </c>
      <c r="HA16" s="1171">
        <f t="shared" si="87"/>
        <v>0</v>
      </c>
      <c r="HB16" s="1171">
        <f t="shared" si="66"/>
        <v>0</v>
      </c>
      <c r="HC16" s="1171">
        <f t="shared" si="67"/>
        <v>0</v>
      </c>
      <c r="HD16" s="1171">
        <f t="shared" si="68"/>
        <v>0</v>
      </c>
      <c r="HE16" s="1171">
        <f t="shared" si="69"/>
        <v>-3.637978807091713E-12</v>
      </c>
      <c r="HF16" s="1171">
        <f t="shared" si="70"/>
        <v>3.637978807091713E-12</v>
      </c>
      <c r="HG16" s="1171">
        <f t="shared" si="89"/>
        <v>-2.384185791015625E-7</v>
      </c>
      <c r="HH16" s="1171">
        <f t="shared" si="90"/>
        <v>0</v>
      </c>
      <c r="HI16" s="1171">
        <f t="shared" si="91"/>
        <v>0</v>
      </c>
      <c r="HJ16" s="1171">
        <f t="shared" si="92"/>
        <v>0</v>
      </c>
      <c r="HK16" s="1171">
        <f t="shared" si="93"/>
        <v>0</v>
      </c>
      <c r="HL16" s="1171">
        <f t="shared" si="94"/>
        <v>0</v>
      </c>
      <c r="HM16" s="1171">
        <f t="shared" si="95"/>
        <v>-3.637978807091713E-12</v>
      </c>
      <c r="HN16" s="1171">
        <f t="shared" si="96"/>
        <v>3.637978807091713E-12</v>
      </c>
      <c r="HO16" s="1171">
        <f t="shared" si="97"/>
        <v>-2.384185791015625E-7</v>
      </c>
      <c r="HP16" s="1171">
        <f t="shared" si="98"/>
        <v>0</v>
      </c>
      <c r="HQ16" s="1171">
        <f t="shared" si="99"/>
        <v>0</v>
      </c>
      <c r="HR16" s="1171">
        <f t="shared" si="100"/>
        <v>0</v>
      </c>
      <c r="HS16" s="1171">
        <f t="shared" si="101"/>
        <v>-5.8207660913467407E-10</v>
      </c>
      <c r="HT16" s="1171">
        <f t="shared" si="102"/>
        <v>0</v>
      </c>
      <c r="HU16" s="1171">
        <f t="shared" si="103"/>
        <v>9.0949470177292824E-13</v>
      </c>
      <c r="HV16" s="1171">
        <f t="shared" si="104"/>
        <v>0</v>
      </c>
      <c r="HW16" s="1171">
        <f t="shared" si="105"/>
        <v>-1.1920928955078125E-6</v>
      </c>
      <c r="HX16" s="1171">
        <f t="shared" si="106"/>
        <v>0</v>
      </c>
      <c r="HY16" s="1171">
        <f t="shared" si="107"/>
        <v>0</v>
      </c>
      <c r="HZ16" s="1171">
        <f t="shared" si="108"/>
        <v>0</v>
      </c>
      <c r="IA16" s="1171">
        <f t="shared" si="109"/>
        <v>0</v>
      </c>
      <c r="IB16" s="1171">
        <f t="shared" si="110"/>
        <v>0</v>
      </c>
      <c r="IC16" s="1171">
        <f t="shared" si="111"/>
        <v>2.5011104298755527E-12</v>
      </c>
      <c r="ID16" s="1171">
        <f t="shared" si="112"/>
        <v>-2.5011104298755527E-12</v>
      </c>
      <c r="IE16" s="1171">
        <f t="shared" si="113"/>
        <v>0</v>
      </c>
      <c r="IF16" s="1171">
        <f t="shared" si="114"/>
        <v>0</v>
      </c>
      <c r="IG16" s="1171">
        <f t="shared" si="115"/>
        <v>0</v>
      </c>
      <c r="IH16" s="1171">
        <f t="shared" si="116"/>
        <v>0</v>
      </c>
      <c r="II16" s="1171">
        <f t="shared" si="117"/>
        <v>0</v>
      </c>
      <c r="IJ16" s="1171">
        <f t="shared" si="118"/>
        <v>0</v>
      </c>
      <c r="IK16" s="1171">
        <f t="shared" si="119"/>
        <v>2.2737367544323206E-12</v>
      </c>
      <c r="IL16" s="1171">
        <f t="shared" si="120"/>
        <v>-2.2737367544323206E-12</v>
      </c>
      <c r="IM16" s="1171">
        <f t="shared" si="121"/>
        <v>-3.8743019104003906E-7</v>
      </c>
      <c r="IN16" s="1171">
        <f t="shared" si="122"/>
        <v>0</v>
      </c>
      <c r="IO16" s="1171">
        <f t="shared" si="123"/>
        <v>0</v>
      </c>
      <c r="IP16" s="1171">
        <f t="shared" si="124"/>
        <v>0</v>
      </c>
      <c r="IQ16" s="1171">
        <f t="shared" si="125"/>
        <v>0</v>
      </c>
      <c r="IR16" s="1171">
        <f t="shared" si="126"/>
        <v>0</v>
      </c>
      <c r="IS16" s="1171">
        <f t="shared" si="127"/>
        <v>1.8189894035458565E-12</v>
      </c>
      <c r="IT16" s="1171">
        <f t="shared" si="128"/>
        <v>-1.8189894035458565E-12</v>
      </c>
      <c r="IU16" s="1171">
        <f t="shared" si="129"/>
        <v>-2.384185791015625E-7</v>
      </c>
      <c r="IV16" s="1171">
        <f t="shared" si="130"/>
        <v>0</v>
      </c>
      <c r="IW16" s="1171">
        <f t="shared" si="131"/>
        <v>0</v>
      </c>
      <c r="IX16" s="1171">
        <f t="shared" si="132"/>
        <v>0</v>
      </c>
    </row>
    <row r="17" spans="1:258">
      <c r="A17">
        <v>108</v>
      </c>
      <c r="B17" s="136" t="str">
        <f t="shared" ref="B17" si="142">LEFT(B15,3)+1&amp;"i"</f>
        <v>108i</v>
      </c>
      <c r="C17">
        <v>26.9</v>
      </c>
      <c r="D17" s="136">
        <v>0</v>
      </c>
      <c r="E17" t="s">
        <v>2088</v>
      </c>
      <c r="F17" s="26">
        <v>2</v>
      </c>
      <c r="G17" s="136">
        <v>600</v>
      </c>
      <c r="H17" s="136">
        <v>40</v>
      </c>
      <c r="I17" s="28">
        <v>250</v>
      </c>
      <c r="J17" s="26">
        <v>1940</v>
      </c>
      <c r="K17" s="136">
        <v>40</v>
      </c>
      <c r="L17" s="28">
        <v>120</v>
      </c>
      <c r="M17" s="26">
        <v>2800</v>
      </c>
      <c r="N17" s="28">
        <v>12</v>
      </c>
      <c r="O17" s="26">
        <v>0</v>
      </c>
      <c r="P17" s="26">
        <v>290</v>
      </c>
      <c r="Q17" s="26">
        <f>+Section!L78</f>
        <v>5500</v>
      </c>
      <c r="R17" s="169">
        <v>0</v>
      </c>
      <c r="S17" s="210">
        <v>0</v>
      </c>
      <c r="T17" s="27">
        <v>1200</v>
      </c>
      <c r="U17" s="27">
        <v>2400</v>
      </c>
      <c r="V17" s="28">
        <v>3800</v>
      </c>
      <c r="W17" s="210">
        <v>19</v>
      </c>
      <c r="X17" s="210">
        <v>200</v>
      </c>
      <c r="Y17" s="169">
        <v>50</v>
      </c>
      <c r="Z17" s="210">
        <v>16</v>
      </c>
      <c r="AA17" s="210">
        <v>200</v>
      </c>
      <c r="AB17" s="28">
        <v>40</v>
      </c>
      <c r="AC17" s="210">
        <v>0</v>
      </c>
      <c r="AD17" s="26">
        <v>2</v>
      </c>
      <c r="AE17" s="169">
        <v>160</v>
      </c>
      <c r="AF17" s="169">
        <v>16</v>
      </c>
      <c r="AG17" s="26">
        <v>0</v>
      </c>
      <c r="AH17" s="169">
        <v>0</v>
      </c>
      <c r="AI17" s="169">
        <v>0</v>
      </c>
      <c r="AJ17" s="397">
        <v>2</v>
      </c>
      <c r="AK17" s="210">
        <v>2500</v>
      </c>
      <c r="AL17" s="210">
        <v>5000</v>
      </c>
      <c r="AM17" s="210" t="s">
        <v>2316</v>
      </c>
      <c r="AN17" s="210">
        <v>2500</v>
      </c>
      <c r="AO17" s="1143" t="s">
        <v>2320</v>
      </c>
      <c r="AP17" s="1143" t="s">
        <v>2321</v>
      </c>
      <c r="AQ17" s="136">
        <v>150</v>
      </c>
      <c r="AR17" s="136">
        <v>14</v>
      </c>
      <c r="AS17" s="1143" t="s">
        <v>2448</v>
      </c>
      <c r="AT17" s="136">
        <v>120</v>
      </c>
      <c r="AU17" s="136">
        <v>12</v>
      </c>
      <c r="AV17" s="1109" t="s">
        <v>2157</v>
      </c>
      <c r="AW17" s="1109">
        <v>12</v>
      </c>
      <c r="AX17" s="1109">
        <v>400</v>
      </c>
      <c r="AY17" s="1109">
        <v>1000</v>
      </c>
      <c r="AZ17" s="1108">
        <v>8</v>
      </c>
      <c r="BA17" s="1108">
        <v>6</v>
      </c>
      <c r="BC17" s="1168"/>
      <c r="BD17" s="210">
        <f>INDEX(Spec!$B$12:$P$58,MATCH(AO17,Spec!$A$12:$A$58,0),6)*100</f>
        <v>5021</v>
      </c>
      <c r="BE17" s="210">
        <f>INDEX(Spec!$B$12:$P$58,MATCH(AP17,Spec!$A$12:$A$58,0),6)*100</f>
        <v>1900</v>
      </c>
      <c r="BF17" s="881">
        <f t="shared" si="0"/>
        <v>1.8117883028477031</v>
      </c>
      <c r="BG17" s="881">
        <f t="shared" si="1"/>
        <v>47.243485714285718</v>
      </c>
      <c r="BH17" s="881"/>
      <c r="BI17" s="13" cm="1">
        <f t="array" ref="BI17">INDEX(Info!$AD$4:$AH$15,MATCH(Info!$I$13,Info!$AC$4:$AC$15,0),IF(H17&lt;=16,1,IF(H17&lt;=40,2,IF(H17&lt;=75,3,IF(H17&lt;=100,4,5)))))</f>
        <v>380</v>
      </c>
      <c r="BJ17" s="13" cm="1">
        <f t="array" ref="BJ17">INDEX(Info!$AD$4:$AH$15,MATCH(Info!$I$13,Info!$AC$4:$AC$15,0),IF(K17&lt;=16,1,IF(K17&lt;=40,2,IF(K17&lt;=75,3,IF(K17&lt;=100,4,5)))))</f>
        <v>380</v>
      </c>
      <c r="BK17" s="13" cm="1">
        <f t="array" ref="BK17">INDEX(Info!$AD$4:$AH$15,MATCH(Info!$I$14,Info!$AC$4:$AC$15,0),IF(N17&lt;=16,1,IF(N17&lt;=40,2,IF(N17&lt;=75,3,IF(N17&lt;=100,4,5)))))</f>
        <v>355</v>
      </c>
      <c r="BL17" s="13">
        <f>IF(Stress!C846="Positive",MAX(MIN(0.7*BI17,BK17),0.5*BI17),MAX(MIN(0.7*BJ17,BK17),0.5*BJ17))</f>
        <v>266</v>
      </c>
      <c r="BM17" s="13" cm="1">
        <f t="array" ref="BM17">INDEX(Info!$AD$4:$AH$15,MATCH(Info!$I$13,Info!$AC$4:$AC$15,0),IF(AI17&lt;=16,1,IF(AI17&lt;=40,2,IF(AI17&lt;=75,3,IF(AI17&lt;=100,4,5)))))</f>
        <v>380</v>
      </c>
      <c r="BN17" s="13" cm="1">
        <f t="array" ref="BN17">INDEX(Info!$AD$4:$AH$15,MATCH(Info!$I$13,Info!$AC$4:$AC$15,0),IF(AF17&lt;=16,1,IF(AF17&lt;=40,2,IF(AF17&lt;=75,3,IF(AF17&lt;=100,4,5)))))</f>
        <v>380</v>
      </c>
      <c r="BO17" s="13"/>
      <c r="BP17" s="13">
        <f t="shared" si="2"/>
        <v>0.125</v>
      </c>
      <c r="BQ17" s="13">
        <f t="shared" si="3"/>
        <v>2821.7902119044925</v>
      </c>
      <c r="BR17" s="13">
        <f t="shared" si="72"/>
        <v>3130</v>
      </c>
      <c r="BS17" s="13"/>
      <c r="BT17" s="136">
        <f t="shared" si="4"/>
        <v>0</v>
      </c>
      <c r="BU17" s="136">
        <f t="shared" si="5"/>
        <v>0</v>
      </c>
      <c r="BV17" s="136">
        <f t="shared" si="6"/>
        <v>1595000</v>
      </c>
      <c r="BW17" s="136">
        <f t="shared" si="7"/>
        <v>11178291666.666666</v>
      </c>
      <c r="BX17" s="136">
        <f t="shared" si="8"/>
        <v>0</v>
      </c>
      <c r="BY17" s="136">
        <f t="shared" si="9"/>
        <v>0</v>
      </c>
      <c r="BZ17" s="136">
        <f t="shared" si="10"/>
        <v>7655.2758986349281</v>
      </c>
      <c r="CA17" s="136">
        <f t="shared" si="11"/>
        <v>172722.16246295057</v>
      </c>
      <c r="CB17" s="136">
        <f t="shared" si="12"/>
        <v>5428.6721054031623</v>
      </c>
      <c r="CC17" s="136">
        <f t="shared" si="13"/>
        <v>86858.753686450596</v>
      </c>
      <c r="CE17" s="1137">
        <f t="shared" si="14"/>
        <v>346081987.77679139</v>
      </c>
      <c r="CF17" s="1136">
        <f t="shared" si="15"/>
        <v>411131448.88888884</v>
      </c>
      <c r="CG17" s="1136">
        <f t="shared" si="16"/>
        <v>0</v>
      </c>
      <c r="CH17" s="172">
        <f t="shared" si="17"/>
        <v>4020729166666.6665</v>
      </c>
      <c r="CJ17" s="136">
        <f t="shared" si="18"/>
        <v>198442.96508570784</v>
      </c>
      <c r="CK17" s="7">
        <f t="shared" si="19"/>
        <v>294458361973.75983</v>
      </c>
      <c r="CL17" s="6">
        <f t="shared" si="20"/>
        <v>1685.8661105921663</v>
      </c>
      <c r="CM17" s="6">
        <f t="shared" si="21"/>
        <v>1194.1338894078337</v>
      </c>
      <c r="CN17" s="164">
        <f t="shared" si="73"/>
        <v>174662958.18137676</v>
      </c>
      <c r="CO17" s="164">
        <f t="shared" si="74"/>
        <v>246587392.40687704</v>
      </c>
      <c r="CP17" s="1137">
        <f t="shared" si="22"/>
        <v>162354633405.19186</v>
      </c>
      <c r="CQ17" s="1136">
        <f t="shared" si="23"/>
        <v>72562465391.25</v>
      </c>
      <c r="CR17" s="22">
        <f t="shared" si="24"/>
        <v>198442.96508570784</v>
      </c>
      <c r="CS17" s="7">
        <f t="shared" si="25"/>
        <v>294458361973.75983</v>
      </c>
      <c r="CT17" s="6">
        <f t="shared" si="26"/>
        <v>1685.8661105921663</v>
      </c>
      <c r="CU17" s="12">
        <f t="shared" si="27"/>
        <v>1194.1338894078337</v>
      </c>
      <c r="CV17" s="164">
        <f t="shared" si="28"/>
        <v>174662958.18137676</v>
      </c>
      <c r="CW17" s="164">
        <f t="shared" si="29"/>
        <v>246587392.40687704</v>
      </c>
      <c r="CX17" s="1136">
        <f t="shared" si="30"/>
        <v>162354633405.19186</v>
      </c>
      <c r="CY17" s="1136">
        <f t="shared" si="31"/>
        <v>72562465391.25</v>
      </c>
      <c r="CZ17" s="22">
        <f t="shared" si="32"/>
        <v>198442.96508570784</v>
      </c>
      <c r="DA17" s="7">
        <f t="shared" si="33"/>
        <v>294458361973.75983</v>
      </c>
      <c r="DB17" s="6">
        <f t="shared" si="34"/>
        <v>1685.8661105921663</v>
      </c>
      <c r="DC17" s="12">
        <f t="shared" si="35"/>
        <v>1194.1338894078337</v>
      </c>
      <c r="DD17" s="164">
        <f t="shared" si="75"/>
        <v>174662958.18137676</v>
      </c>
      <c r="DE17" s="164">
        <f t="shared" si="76"/>
        <v>246587392.40687704</v>
      </c>
      <c r="DF17" s="1136">
        <f t="shared" si="36"/>
        <v>162354633405.19186</v>
      </c>
      <c r="DG17" s="1136">
        <f t="shared" si="37"/>
        <v>72562465391.25</v>
      </c>
      <c r="DH17" s="22">
        <f t="shared" si="38"/>
        <v>446354.65161772241</v>
      </c>
      <c r="DI17" s="172">
        <f t="shared" si="39"/>
        <v>649687231067.52405</v>
      </c>
      <c r="DJ17" s="12">
        <f t="shared" si="40"/>
        <v>691.19374362829694</v>
      </c>
      <c r="DK17" s="22">
        <f t="shared" si="41"/>
        <v>2188.8062563717031</v>
      </c>
      <c r="DL17" s="164">
        <f t="shared" si="77"/>
        <v>939949525.08844781</v>
      </c>
      <c r="DM17" s="164">
        <f t="shared" si="78"/>
        <v>296822630.6811114</v>
      </c>
      <c r="DN17" s="7">
        <f t="shared" si="42"/>
        <v>787298676537.97864</v>
      </c>
      <c r="DO17" s="1136">
        <f t="shared" si="43"/>
        <v>238639389909.96988</v>
      </c>
      <c r="DP17" s="22">
        <f t="shared" si="44"/>
        <v>281080.1939297127</v>
      </c>
      <c r="DQ17" s="172">
        <f t="shared" si="45"/>
        <v>482152011680.10175</v>
      </c>
      <c r="DR17" s="22">
        <f t="shared" si="46"/>
        <v>1159.3536924066825</v>
      </c>
      <c r="DS17" s="22">
        <f t="shared" si="47"/>
        <v>1720.6463075933175</v>
      </c>
      <c r="DT17" s="164">
        <f t="shared" si="79"/>
        <v>415879998.34563911</v>
      </c>
      <c r="DU17" s="164">
        <f t="shared" si="80"/>
        <v>280215643.12917501</v>
      </c>
      <c r="DV17" s="1136">
        <f t="shared" si="48"/>
        <v>370669314449.4541</v>
      </c>
      <c r="DW17" s="1136">
        <f t="shared" si="49"/>
        <v>238639389909.96988</v>
      </c>
      <c r="DX17" s="763">
        <f t="shared" si="50"/>
        <v>211526.91308974594</v>
      </c>
      <c r="DY17" s="7">
        <f t="shared" si="51"/>
        <v>334483056239.52264</v>
      </c>
      <c r="DZ17" s="13">
        <f t="shared" si="52"/>
        <v>1574.3491439427423</v>
      </c>
      <c r="EA17" s="763">
        <f t="shared" si="53"/>
        <v>1305.6508560572577</v>
      </c>
      <c r="EB17" s="164">
        <f t="shared" si="81"/>
        <v>212457990.99039462</v>
      </c>
      <c r="EC17" s="164">
        <f t="shared" si="82"/>
        <v>256181087.53022891</v>
      </c>
      <c r="ED17" s="1136">
        <f t="shared" si="54"/>
        <v>787298676537.97864</v>
      </c>
      <c r="EE17" s="1136">
        <f t="shared" si="55"/>
        <v>238639389909.96988</v>
      </c>
      <c r="EF17" s="763">
        <f t="shared" si="56"/>
        <v>202804.28108705388</v>
      </c>
      <c r="EG17" s="7">
        <f t="shared" si="57"/>
        <v>308371923533.24579</v>
      </c>
      <c r="EH17" s="13">
        <f t="shared" si="58"/>
        <v>1647.0950031545817</v>
      </c>
      <c r="EI17" s="763">
        <f t="shared" si="59"/>
        <v>1232.9049968454183</v>
      </c>
      <c r="EJ17" s="164">
        <f t="shared" si="83"/>
        <v>187221698.16716075</v>
      </c>
      <c r="EK17" s="164">
        <f t="shared" si="84"/>
        <v>250118155.35038298</v>
      </c>
      <c r="EL17" s="1136">
        <f t="shared" si="85"/>
        <v>370669314449.4541</v>
      </c>
      <c r="EM17" s="1136">
        <f t="shared" si="86"/>
        <v>238639389909.96988</v>
      </c>
      <c r="EN17" s="763"/>
      <c r="EO17" s="1113" t="s">
        <v>2175</v>
      </c>
      <c r="EP17" s="1114">
        <v>198442.96508570801</v>
      </c>
      <c r="EQ17" s="1114">
        <v>294458361973.76001</v>
      </c>
      <c r="ER17" s="1115">
        <v>1685.8661105921699</v>
      </c>
      <c r="ES17" s="1115">
        <v>1194.1338894078301</v>
      </c>
      <c r="ET17" s="1114">
        <v>174662958.18137699</v>
      </c>
      <c r="EU17" s="1114">
        <v>246587392.40687701</v>
      </c>
      <c r="EV17" s="1114">
        <v>162354633405.19199</v>
      </c>
      <c r="EW17" s="1114">
        <v>72562465391.25</v>
      </c>
      <c r="EX17" s="1114">
        <v>198442.96508570801</v>
      </c>
      <c r="EY17" s="1114">
        <v>294458361973.76001</v>
      </c>
      <c r="EZ17" s="1115">
        <v>1685.8661105921699</v>
      </c>
      <c r="FA17" s="1115">
        <v>1194.1338894078301</v>
      </c>
      <c r="FB17" s="1114">
        <v>174662958.18137699</v>
      </c>
      <c r="FC17" s="1114">
        <v>246587392.40687701</v>
      </c>
      <c r="FD17" s="1114">
        <v>162354633405.19199</v>
      </c>
      <c r="FE17" s="1114">
        <v>72562465391.25</v>
      </c>
      <c r="FF17" s="1114">
        <v>198442.96508570801</v>
      </c>
      <c r="FG17" s="1114">
        <v>294458361973.76001</v>
      </c>
      <c r="FH17" s="1115">
        <v>1685.8661105921699</v>
      </c>
      <c r="FI17" s="1115">
        <v>1194.1338894078301</v>
      </c>
      <c r="FJ17" s="1114">
        <v>174662958.18137699</v>
      </c>
      <c r="FK17" s="1114">
        <v>246587392.40687701</v>
      </c>
      <c r="FL17" s="1114">
        <v>162354633405.19199</v>
      </c>
      <c r="FM17" s="1114">
        <v>72562465391.25</v>
      </c>
      <c r="FN17" s="1114">
        <v>446354.65161772299</v>
      </c>
      <c r="FO17" s="1114">
        <v>649687231067.52405</v>
      </c>
      <c r="FP17" s="1115">
        <v>691.19374362829603</v>
      </c>
      <c r="FQ17" s="1115">
        <v>2188.8062563716999</v>
      </c>
      <c r="FR17" s="1114">
        <v>939949525.088449</v>
      </c>
      <c r="FS17" s="1114">
        <v>296822630.68111098</v>
      </c>
      <c r="FT17" s="1114">
        <v>787298676537.979</v>
      </c>
      <c r="FU17" s="1114">
        <v>238639389909.97</v>
      </c>
      <c r="FV17" s="1114">
        <v>281080.19392971299</v>
      </c>
      <c r="FW17" s="1114">
        <v>482152011680.10199</v>
      </c>
      <c r="FX17" s="1115">
        <v>1159.35369240668</v>
      </c>
      <c r="FY17" s="1115">
        <v>1720.64630759332</v>
      </c>
      <c r="FZ17" s="1114">
        <v>415879998.34563899</v>
      </c>
      <c r="GA17" s="1114">
        <v>280215643.12917501</v>
      </c>
      <c r="GB17" s="1114">
        <v>370669314449.45398</v>
      </c>
      <c r="GC17" s="1114">
        <v>238639389909.97</v>
      </c>
      <c r="GD17" s="1114">
        <v>211526.913089746</v>
      </c>
      <c r="GE17" s="1114">
        <v>334483056239.52301</v>
      </c>
      <c r="GF17" s="1115">
        <v>1574.3491439427401</v>
      </c>
      <c r="GG17" s="1115">
        <v>1305.6508560572599</v>
      </c>
      <c r="GH17" s="1114">
        <v>212457990.99039501</v>
      </c>
      <c r="GI17" s="1114">
        <v>256181087.530229</v>
      </c>
      <c r="GJ17" s="1114">
        <v>787298676537.979</v>
      </c>
      <c r="GK17" s="1114">
        <v>238639389909.97</v>
      </c>
      <c r="GL17" s="1114">
        <v>202804.281087054</v>
      </c>
      <c r="GM17" s="1114">
        <v>308371923533.24597</v>
      </c>
      <c r="GN17" s="1115">
        <v>1647.0950031545799</v>
      </c>
      <c r="GO17" s="1115">
        <v>1232.9049968454201</v>
      </c>
      <c r="GP17" s="1114">
        <v>187221698.16716099</v>
      </c>
      <c r="GQ17" s="1114">
        <v>250118155.35038301</v>
      </c>
      <c r="GR17" s="1114">
        <v>370669314449.45398</v>
      </c>
      <c r="GS17" s="1114">
        <v>238639389909.97</v>
      </c>
      <c r="GU17" s="1171">
        <f t="shared" si="60"/>
        <v>0</v>
      </c>
      <c r="GV17" s="1171">
        <f t="shared" si="61"/>
        <v>0</v>
      </c>
      <c r="GW17" s="1171">
        <f t="shared" si="62"/>
        <v>-3.637978807091713E-12</v>
      </c>
      <c r="GX17" s="1171">
        <f t="shared" si="63"/>
        <v>3.637978807091713E-12</v>
      </c>
      <c r="GY17" s="1171">
        <f t="shared" si="64"/>
        <v>-2.384185791015625E-7</v>
      </c>
      <c r="GZ17" s="1171">
        <f t="shared" si="65"/>
        <v>0</v>
      </c>
      <c r="HA17" s="1171">
        <f t="shared" si="87"/>
        <v>0</v>
      </c>
      <c r="HB17" s="1171">
        <f t="shared" si="66"/>
        <v>0</v>
      </c>
      <c r="HC17" s="1171">
        <f t="shared" si="67"/>
        <v>0</v>
      </c>
      <c r="HD17" s="1171">
        <f t="shared" si="68"/>
        <v>0</v>
      </c>
      <c r="HE17" s="1171">
        <f t="shared" si="69"/>
        <v>-3.637978807091713E-12</v>
      </c>
      <c r="HF17" s="1171">
        <f t="shared" si="70"/>
        <v>3.637978807091713E-12</v>
      </c>
      <c r="HG17" s="1171">
        <f t="shared" si="89"/>
        <v>-2.384185791015625E-7</v>
      </c>
      <c r="HH17" s="1171">
        <f t="shared" si="90"/>
        <v>0</v>
      </c>
      <c r="HI17" s="1171">
        <f t="shared" si="91"/>
        <v>0</v>
      </c>
      <c r="HJ17" s="1171">
        <f t="shared" si="92"/>
        <v>0</v>
      </c>
      <c r="HK17" s="1171">
        <f t="shared" si="93"/>
        <v>0</v>
      </c>
      <c r="HL17" s="1171">
        <f t="shared" si="94"/>
        <v>0</v>
      </c>
      <c r="HM17" s="1171">
        <f t="shared" si="95"/>
        <v>-3.637978807091713E-12</v>
      </c>
      <c r="HN17" s="1171">
        <f t="shared" si="96"/>
        <v>3.637978807091713E-12</v>
      </c>
      <c r="HO17" s="1171">
        <f t="shared" si="97"/>
        <v>-2.384185791015625E-7</v>
      </c>
      <c r="HP17" s="1171">
        <f t="shared" si="98"/>
        <v>0</v>
      </c>
      <c r="HQ17" s="1171">
        <f t="shared" si="99"/>
        <v>0</v>
      </c>
      <c r="HR17" s="1171">
        <f t="shared" si="100"/>
        <v>0</v>
      </c>
      <c r="HS17" s="1171">
        <f t="shared" si="101"/>
        <v>-5.8207660913467407E-10</v>
      </c>
      <c r="HT17" s="1171">
        <f t="shared" si="102"/>
        <v>0</v>
      </c>
      <c r="HU17" s="1171">
        <f t="shared" si="103"/>
        <v>9.0949470177292824E-13</v>
      </c>
      <c r="HV17" s="1171">
        <f t="shared" si="104"/>
        <v>0</v>
      </c>
      <c r="HW17" s="1171">
        <f t="shared" si="105"/>
        <v>-1.1920928955078125E-6</v>
      </c>
      <c r="HX17" s="1171">
        <f t="shared" si="106"/>
        <v>0</v>
      </c>
      <c r="HY17" s="1171">
        <f t="shared" si="107"/>
        <v>0</v>
      </c>
      <c r="HZ17" s="1171">
        <f t="shared" si="108"/>
        <v>0</v>
      </c>
      <c r="IA17" s="1171">
        <f t="shared" si="109"/>
        <v>0</v>
      </c>
      <c r="IB17" s="1171">
        <f t="shared" si="110"/>
        <v>0</v>
      </c>
      <c r="IC17" s="1171">
        <f t="shared" si="111"/>
        <v>2.5011104298755527E-12</v>
      </c>
      <c r="ID17" s="1171">
        <f t="shared" si="112"/>
        <v>-2.5011104298755527E-12</v>
      </c>
      <c r="IE17" s="1171">
        <f t="shared" si="113"/>
        <v>0</v>
      </c>
      <c r="IF17" s="1171">
        <f t="shared" si="114"/>
        <v>0</v>
      </c>
      <c r="IG17" s="1171">
        <f t="shared" si="115"/>
        <v>0</v>
      </c>
      <c r="IH17" s="1171">
        <f t="shared" si="116"/>
        <v>0</v>
      </c>
      <c r="II17" s="1171">
        <f t="shared" si="117"/>
        <v>0</v>
      </c>
      <c r="IJ17" s="1171">
        <f t="shared" si="118"/>
        <v>0</v>
      </c>
      <c r="IK17" s="1171">
        <f t="shared" si="119"/>
        <v>2.2737367544323206E-12</v>
      </c>
      <c r="IL17" s="1171">
        <f t="shared" si="120"/>
        <v>-2.2737367544323206E-12</v>
      </c>
      <c r="IM17" s="1171">
        <f t="shared" si="121"/>
        <v>-3.8743019104003906E-7</v>
      </c>
      <c r="IN17" s="1171">
        <f t="shared" si="122"/>
        <v>0</v>
      </c>
      <c r="IO17" s="1171">
        <f t="shared" si="123"/>
        <v>0</v>
      </c>
      <c r="IP17" s="1171">
        <f t="shared" si="124"/>
        <v>0</v>
      </c>
      <c r="IQ17" s="1171">
        <f t="shared" si="125"/>
        <v>0</v>
      </c>
      <c r="IR17" s="1171">
        <f t="shared" si="126"/>
        <v>0</v>
      </c>
      <c r="IS17" s="1171">
        <f t="shared" si="127"/>
        <v>1.8189894035458565E-12</v>
      </c>
      <c r="IT17" s="1171">
        <f t="shared" si="128"/>
        <v>-1.8189894035458565E-12</v>
      </c>
      <c r="IU17" s="1171">
        <f t="shared" si="129"/>
        <v>-2.384185791015625E-7</v>
      </c>
      <c r="IV17" s="1171">
        <f t="shared" si="130"/>
        <v>0</v>
      </c>
      <c r="IW17" s="1171">
        <f t="shared" si="131"/>
        <v>0</v>
      </c>
      <c r="IX17" s="1171">
        <f t="shared" si="132"/>
        <v>0</v>
      </c>
    </row>
    <row r="18" spans="1:258">
      <c r="B18" s="136" t="str">
        <f t="shared" ref="B18" si="143">LEFT(B16,3)+1&amp;"j"</f>
        <v>108j</v>
      </c>
      <c r="C18">
        <v>31.9</v>
      </c>
      <c r="D18" s="136">
        <v>0</v>
      </c>
      <c r="E18" t="s">
        <v>2088</v>
      </c>
      <c r="F18" s="26">
        <v>2</v>
      </c>
      <c r="G18" s="136">
        <v>600</v>
      </c>
      <c r="H18" s="136">
        <v>40</v>
      </c>
      <c r="I18" s="28">
        <v>250</v>
      </c>
      <c r="J18" s="26">
        <v>1940</v>
      </c>
      <c r="K18" s="136">
        <v>40</v>
      </c>
      <c r="L18" s="28">
        <v>120</v>
      </c>
      <c r="M18" s="26">
        <v>2800</v>
      </c>
      <c r="N18" s="28">
        <v>12</v>
      </c>
      <c r="O18" s="26">
        <v>0</v>
      </c>
      <c r="P18" s="26">
        <v>290</v>
      </c>
      <c r="Q18" s="26">
        <f>+Section!L79</f>
        <v>5500</v>
      </c>
      <c r="R18" s="169">
        <v>0</v>
      </c>
      <c r="S18" s="210">
        <v>0</v>
      </c>
      <c r="T18" s="27">
        <v>1200</v>
      </c>
      <c r="U18" s="27">
        <v>2400</v>
      </c>
      <c r="V18" s="28">
        <v>3800</v>
      </c>
      <c r="W18" s="210">
        <v>19</v>
      </c>
      <c r="X18" s="210">
        <v>200</v>
      </c>
      <c r="Y18" s="169">
        <v>50</v>
      </c>
      <c r="Z18" s="210">
        <v>16</v>
      </c>
      <c r="AA18" s="210">
        <v>200</v>
      </c>
      <c r="AB18" s="28">
        <v>40</v>
      </c>
      <c r="AC18" s="210">
        <v>0</v>
      </c>
      <c r="AD18" s="26">
        <v>2</v>
      </c>
      <c r="AE18" s="169">
        <v>160</v>
      </c>
      <c r="AF18" s="169">
        <v>16</v>
      </c>
      <c r="AG18" s="26">
        <v>0</v>
      </c>
      <c r="AH18" s="169">
        <v>0</v>
      </c>
      <c r="AI18" s="169">
        <v>0</v>
      </c>
      <c r="AJ18" s="397">
        <v>2</v>
      </c>
      <c r="AK18" s="210">
        <v>2500</v>
      </c>
      <c r="AL18" s="210">
        <v>5000</v>
      </c>
      <c r="AM18" s="210" t="s">
        <v>2316</v>
      </c>
      <c r="AN18" s="210">
        <v>2500</v>
      </c>
      <c r="AO18" s="1143" t="s">
        <v>2320</v>
      </c>
      <c r="AP18" s="1143" t="s">
        <v>2321</v>
      </c>
      <c r="AQ18" s="136">
        <v>150</v>
      </c>
      <c r="AR18" s="136">
        <v>14</v>
      </c>
      <c r="AS18" s="1143" t="s">
        <v>2448</v>
      </c>
      <c r="AT18" s="136">
        <v>120</v>
      </c>
      <c r="AU18" s="136">
        <v>12</v>
      </c>
      <c r="AZ18" s="1108">
        <v>8</v>
      </c>
      <c r="BA18" s="1108">
        <v>6</v>
      </c>
      <c r="BC18" s="1168"/>
      <c r="BD18" s="210">
        <f>INDEX(Spec!$B$12:$P$58,MATCH(AO18,Spec!$A$12:$A$58,0),6)*100</f>
        <v>5021</v>
      </c>
      <c r="BE18" s="210">
        <f>INDEX(Spec!$B$12:$P$58,MATCH(AP18,Spec!$A$12:$A$58,0),6)*100</f>
        <v>1900</v>
      </c>
      <c r="BF18" s="881">
        <f t="shared" si="0"/>
        <v>1.8117883028477031</v>
      </c>
      <c r="BG18" s="881">
        <f t="shared" si="1"/>
        <v>47.243485714285718</v>
      </c>
      <c r="BH18" s="881"/>
      <c r="BI18" s="13" cm="1">
        <f t="array" ref="BI18">INDEX(Info!$AD$4:$AH$15,MATCH(Info!$I$13,Info!$AC$4:$AC$15,0),IF(H18&lt;=16,1,IF(H18&lt;=40,2,IF(H18&lt;=75,3,IF(H18&lt;=100,4,5)))))</f>
        <v>380</v>
      </c>
      <c r="BJ18" s="13" cm="1">
        <f t="array" ref="BJ18">INDEX(Info!$AD$4:$AH$15,MATCH(Info!$I$13,Info!$AC$4:$AC$15,0),IF(K18&lt;=16,1,IF(K18&lt;=40,2,IF(K18&lt;=75,3,IF(K18&lt;=100,4,5)))))</f>
        <v>380</v>
      </c>
      <c r="BK18" s="13" cm="1">
        <f t="array" ref="BK18">INDEX(Info!$AD$4:$AH$15,MATCH(Info!$I$14,Info!$AC$4:$AC$15,0),IF(N18&lt;=16,1,IF(N18&lt;=40,2,IF(N18&lt;=75,3,IF(N18&lt;=100,4,5)))))</f>
        <v>355</v>
      </c>
      <c r="BL18" s="13">
        <f>IF(Stress!C847="Positive",MAX(MIN(0.7*BI18,BK18),0.5*BI18),MAX(MIN(0.7*BJ18,BK18),0.5*BJ18))</f>
        <v>266</v>
      </c>
      <c r="BM18" s="13" cm="1">
        <f t="array" ref="BM18">INDEX(Info!$AD$4:$AH$15,MATCH(Info!$I$13,Info!$AC$4:$AC$15,0),IF(AI18&lt;=16,1,IF(AI18&lt;=40,2,IF(AI18&lt;=75,3,IF(AI18&lt;=100,4,5)))))</f>
        <v>380</v>
      </c>
      <c r="BN18" s="13" cm="1">
        <f t="array" ref="BN18">INDEX(Info!$AD$4:$AH$15,MATCH(Info!$I$13,Info!$AC$4:$AC$15,0),IF(AF18&lt;=16,1,IF(AF18&lt;=40,2,IF(AF18&lt;=75,3,IF(AF18&lt;=100,4,5)))))</f>
        <v>380</v>
      </c>
      <c r="BO18" s="13"/>
      <c r="BP18" s="13">
        <f t="shared" si="2"/>
        <v>0.125</v>
      </c>
      <c r="BQ18" s="13">
        <f t="shared" si="3"/>
        <v>2821.7902119044925</v>
      </c>
      <c r="BR18" s="13">
        <f t="shared" si="72"/>
        <v>3130</v>
      </c>
      <c r="BS18" s="13"/>
      <c r="BT18" s="136">
        <f t="shared" si="4"/>
        <v>0</v>
      </c>
      <c r="BU18" s="136">
        <f t="shared" si="5"/>
        <v>0</v>
      </c>
      <c r="BV18" s="136">
        <f t="shared" si="6"/>
        <v>1595000</v>
      </c>
      <c r="BW18" s="136">
        <f t="shared" si="7"/>
        <v>11178291666.666666</v>
      </c>
      <c r="BX18" s="136">
        <f t="shared" si="8"/>
        <v>0</v>
      </c>
      <c r="BY18" s="136">
        <f t="shared" si="9"/>
        <v>0</v>
      </c>
      <c r="BZ18" s="136">
        <f t="shared" si="10"/>
        <v>7655.2758986349281</v>
      </c>
      <c r="CA18" s="136">
        <f t="shared" si="11"/>
        <v>172722.16246295057</v>
      </c>
      <c r="CB18" s="136">
        <f t="shared" si="12"/>
        <v>5428.6721054031623</v>
      </c>
      <c r="CC18" s="136">
        <f t="shared" si="13"/>
        <v>86858.753686450596</v>
      </c>
      <c r="CE18" s="1137">
        <f t="shared" si="14"/>
        <v>346081987.77679139</v>
      </c>
      <c r="CF18" s="1136">
        <f t="shared" si="15"/>
        <v>411131448.88888884</v>
      </c>
      <c r="CG18" s="1136">
        <f t="shared" si="16"/>
        <v>0</v>
      </c>
      <c r="CH18" s="172">
        <f t="shared" si="17"/>
        <v>4020729166666.6665</v>
      </c>
      <c r="CJ18" s="136">
        <f t="shared" si="18"/>
        <v>198442.96508570784</v>
      </c>
      <c r="CK18" s="7">
        <f t="shared" si="19"/>
        <v>294458361973.75983</v>
      </c>
      <c r="CL18" s="6">
        <f t="shared" si="20"/>
        <v>1685.8661105921663</v>
      </c>
      <c r="CM18" s="6">
        <f t="shared" si="21"/>
        <v>1194.1338894078337</v>
      </c>
      <c r="CN18" s="164">
        <f t="shared" si="73"/>
        <v>174662958.18137676</v>
      </c>
      <c r="CO18" s="164">
        <f t="shared" si="74"/>
        <v>246587392.40687704</v>
      </c>
      <c r="CP18" s="1137">
        <f t="shared" si="22"/>
        <v>162354633405.19186</v>
      </c>
      <c r="CQ18" s="1136">
        <f t="shared" si="23"/>
        <v>72562465391.25</v>
      </c>
      <c r="CR18" s="22">
        <f t="shared" si="24"/>
        <v>198442.96508570784</v>
      </c>
      <c r="CS18" s="7">
        <f t="shared" si="25"/>
        <v>294458361973.75983</v>
      </c>
      <c r="CT18" s="6">
        <f t="shared" si="26"/>
        <v>1685.8661105921663</v>
      </c>
      <c r="CU18" s="12">
        <f t="shared" si="27"/>
        <v>1194.1338894078337</v>
      </c>
      <c r="CV18" s="164">
        <f t="shared" si="28"/>
        <v>174662958.18137676</v>
      </c>
      <c r="CW18" s="164">
        <f t="shared" si="29"/>
        <v>246587392.40687704</v>
      </c>
      <c r="CX18" s="1136">
        <f t="shared" si="30"/>
        <v>162354633405.19186</v>
      </c>
      <c r="CY18" s="1136">
        <f t="shared" si="31"/>
        <v>72562465391.25</v>
      </c>
      <c r="CZ18" s="22">
        <f t="shared" si="32"/>
        <v>198442.96508570784</v>
      </c>
      <c r="DA18" s="7">
        <f t="shared" si="33"/>
        <v>294458361973.75983</v>
      </c>
      <c r="DB18" s="6">
        <f t="shared" si="34"/>
        <v>1685.8661105921663</v>
      </c>
      <c r="DC18" s="12">
        <f t="shared" si="35"/>
        <v>1194.1338894078337</v>
      </c>
      <c r="DD18" s="164">
        <f t="shared" si="75"/>
        <v>174662958.18137676</v>
      </c>
      <c r="DE18" s="164">
        <f t="shared" si="76"/>
        <v>246587392.40687704</v>
      </c>
      <c r="DF18" s="1136">
        <f t="shared" si="36"/>
        <v>162354633405.19186</v>
      </c>
      <c r="DG18" s="1136">
        <f t="shared" si="37"/>
        <v>72562465391.25</v>
      </c>
      <c r="DH18" s="22">
        <f t="shared" si="38"/>
        <v>446354.65161772241</v>
      </c>
      <c r="DI18" s="172">
        <f t="shared" si="39"/>
        <v>649687231067.52405</v>
      </c>
      <c r="DJ18" s="12">
        <f t="shared" si="40"/>
        <v>691.19374362829694</v>
      </c>
      <c r="DK18" s="22">
        <f t="shared" si="41"/>
        <v>2188.8062563717031</v>
      </c>
      <c r="DL18" s="164">
        <f t="shared" si="77"/>
        <v>939949525.08844781</v>
      </c>
      <c r="DM18" s="164">
        <f t="shared" si="78"/>
        <v>296822630.6811114</v>
      </c>
      <c r="DN18" s="7">
        <f t="shared" si="42"/>
        <v>787298676537.97864</v>
      </c>
      <c r="DO18" s="1136">
        <f t="shared" si="43"/>
        <v>238639389909.96988</v>
      </c>
      <c r="DP18" s="22">
        <f t="shared" si="44"/>
        <v>281080.1939297127</v>
      </c>
      <c r="DQ18" s="172">
        <f t="shared" si="45"/>
        <v>482152011680.10175</v>
      </c>
      <c r="DR18" s="22">
        <f t="shared" si="46"/>
        <v>1159.3536924066825</v>
      </c>
      <c r="DS18" s="22">
        <f t="shared" si="47"/>
        <v>1720.6463075933175</v>
      </c>
      <c r="DT18" s="164">
        <f t="shared" si="79"/>
        <v>415879998.34563911</v>
      </c>
      <c r="DU18" s="164">
        <f t="shared" si="80"/>
        <v>280215643.12917501</v>
      </c>
      <c r="DV18" s="1136">
        <f t="shared" si="48"/>
        <v>370669314449.4541</v>
      </c>
      <c r="DW18" s="1136">
        <f t="shared" si="49"/>
        <v>238639389909.96988</v>
      </c>
      <c r="DX18" s="763">
        <f t="shared" si="50"/>
        <v>211526.91308974594</v>
      </c>
      <c r="DY18" s="7">
        <f t="shared" si="51"/>
        <v>334483056239.52264</v>
      </c>
      <c r="DZ18" s="13">
        <f t="shared" si="52"/>
        <v>1574.3491439427423</v>
      </c>
      <c r="EA18" s="763">
        <f t="shared" si="53"/>
        <v>1305.6508560572577</v>
      </c>
      <c r="EB18" s="164">
        <f t="shared" si="81"/>
        <v>212457990.99039462</v>
      </c>
      <c r="EC18" s="164">
        <f t="shared" si="82"/>
        <v>256181087.53022891</v>
      </c>
      <c r="ED18" s="1136">
        <f t="shared" si="54"/>
        <v>787298676537.97864</v>
      </c>
      <c r="EE18" s="1136">
        <f t="shared" si="55"/>
        <v>238639389909.96988</v>
      </c>
      <c r="EF18" s="763">
        <f t="shared" si="56"/>
        <v>202804.28108705388</v>
      </c>
      <c r="EG18" s="7">
        <f t="shared" si="57"/>
        <v>308371923533.24579</v>
      </c>
      <c r="EH18" s="13">
        <f t="shared" si="58"/>
        <v>1647.0950031545817</v>
      </c>
      <c r="EI18" s="763">
        <f t="shared" si="59"/>
        <v>1232.9049968454183</v>
      </c>
      <c r="EJ18" s="164">
        <f t="shared" si="83"/>
        <v>187221698.16716075</v>
      </c>
      <c r="EK18" s="164">
        <f t="shared" si="84"/>
        <v>250118155.35038298</v>
      </c>
      <c r="EL18" s="1136">
        <f t="shared" si="85"/>
        <v>370669314449.4541</v>
      </c>
      <c r="EM18" s="1136">
        <f t="shared" si="86"/>
        <v>238639389909.96988</v>
      </c>
      <c r="EN18" s="763"/>
      <c r="EO18" s="1113" t="s">
        <v>2176</v>
      </c>
      <c r="EP18" s="1114">
        <v>198442.96508570801</v>
      </c>
      <c r="EQ18" s="1114">
        <v>294458361973.76001</v>
      </c>
      <c r="ER18" s="1115">
        <v>1685.8661105921699</v>
      </c>
      <c r="ES18" s="1115">
        <v>1194.1338894078301</v>
      </c>
      <c r="ET18" s="1114">
        <v>174662958.18137699</v>
      </c>
      <c r="EU18" s="1114">
        <v>246587392.40687701</v>
      </c>
      <c r="EV18" s="1114">
        <v>162354633405.19199</v>
      </c>
      <c r="EW18" s="1114">
        <v>72562465391.25</v>
      </c>
      <c r="EX18" s="1114">
        <v>198442.96508570801</v>
      </c>
      <c r="EY18" s="1114">
        <v>294458361973.76001</v>
      </c>
      <c r="EZ18" s="1115">
        <v>1685.8661105921699</v>
      </c>
      <c r="FA18" s="1115">
        <v>1194.1338894078301</v>
      </c>
      <c r="FB18" s="1114">
        <v>174662958.18137699</v>
      </c>
      <c r="FC18" s="1114">
        <v>246587392.40687701</v>
      </c>
      <c r="FD18" s="1114">
        <v>162354633405.19199</v>
      </c>
      <c r="FE18" s="1114">
        <v>72562465391.25</v>
      </c>
      <c r="FF18" s="1114">
        <v>198442.96508570801</v>
      </c>
      <c r="FG18" s="1114">
        <v>294458361973.76001</v>
      </c>
      <c r="FH18" s="1115">
        <v>1685.8661105921699</v>
      </c>
      <c r="FI18" s="1115">
        <v>1194.1338894078301</v>
      </c>
      <c r="FJ18" s="1114">
        <v>174662958.18137699</v>
      </c>
      <c r="FK18" s="1114">
        <v>246587392.40687701</v>
      </c>
      <c r="FL18" s="1114">
        <v>162354633405.19199</v>
      </c>
      <c r="FM18" s="1114">
        <v>72562465391.25</v>
      </c>
      <c r="FN18" s="1114">
        <v>446354.65161772299</v>
      </c>
      <c r="FO18" s="1114">
        <v>649687231067.52405</v>
      </c>
      <c r="FP18" s="1115">
        <v>691.19374362829603</v>
      </c>
      <c r="FQ18" s="1115">
        <v>2188.8062563716999</v>
      </c>
      <c r="FR18" s="1114">
        <v>939949525.088449</v>
      </c>
      <c r="FS18" s="1114">
        <v>296822630.68111098</v>
      </c>
      <c r="FT18" s="1114">
        <v>787298676537.979</v>
      </c>
      <c r="FU18" s="1114">
        <v>238639389909.97</v>
      </c>
      <c r="FV18" s="1114">
        <v>281080.19392971299</v>
      </c>
      <c r="FW18" s="1114">
        <v>482152011680.10199</v>
      </c>
      <c r="FX18" s="1115">
        <v>1159.35369240668</v>
      </c>
      <c r="FY18" s="1115">
        <v>1720.64630759332</v>
      </c>
      <c r="FZ18" s="1114">
        <v>415879998.34563899</v>
      </c>
      <c r="GA18" s="1114">
        <v>280215643.12917501</v>
      </c>
      <c r="GB18" s="1114">
        <v>370669314449.45398</v>
      </c>
      <c r="GC18" s="1114">
        <v>238639389909.97</v>
      </c>
      <c r="GD18" s="1114">
        <v>211526.913089746</v>
      </c>
      <c r="GE18" s="1114">
        <v>334483056239.52301</v>
      </c>
      <c r="GF18" s="1115">
        <v>1574.3491439427401</v>
      </c>
      <c r="GG18" s="1115">
        <v>1305.6508560572599</v>
      </c>
      <c r="GH18" s="1114">
        <v>212457990.99039501</v>
      </c>
      <c r="GI18" s="1114">
        <v>256181087.530229</v>
      </c>
      <c r="GJ18" s="1114">
        <v>787298676537.979</v>
      </c>
      <c r="GK18" s="1114">
        <v>238639389909.97</v>
      </c>
      <c r="GL18" s="1114">
        <v>202804.281087054</v>
      </c>
      <c r="GM18" s="1114">
        <v>308371923533.24597</v>
      </c>
      <c r="GN18" s="1115">
        <v>1647.0950031545799</v>
      </c>
      <c r="GO18" s="1115">
        <v>1232.9049968454201</v>
      </c>
      <c r="GP18" s="1114">
        <v>187221698.16716099</v>
      </c>
      <c r="GQ18" s="1114">
        <v>250118155.35038301</v>
      </c>
      <c r="GR18" s="1114">
        <v>370669314449.45398</v>
      </c>
      <c r="GS18" s="1114">
        <v>238639389909.97</v>
      </c>
      <c r="GU18" s="1171">
        <f t="shared" si="60"/>
        <v>0</v>
      </c>
      <c r="GV18" s="1171">
        <f t="shared" si="61"/>
        <v>0</v>
      </c>
      <c r="GW18" s="1171">
        <f t="shared" si="62"/>
        <v>-3.637978807091713E-12</v>
      </c>
      <c r="GX18" s="1171">
        <f t="shared" si="63"/>
        <v>3.637978807091713E-12</v>
      </c>
      <c r="GY18" s="1171">
        <f t="shared" si="64"/>
        <v>-2.384185791015625E-7</v>
      </c>
      <c r="GZ18" s="1171">
        <f t="shared" si="65"/>
        <v>0</v>
      </c>
      <c r="HA18" s="1171">
        <f t="shared" si="87"/>
        <v>0</v>
      </c>
      <c r="HB18" s="1171">
        <f t="shared" si="66"/>
        <v>0</v>
      </c>
      <c r="HC18" s="1171">
        <f t="shared" si="67"/>
        <v>0</v>
      </c>
      <c r="HD18" s="1171">
        <f t="shared" si="68"/>
        <v>0</v>
      </c>
      <c r="HE18" s="1171">
        <f t="shared" si="69"/>
        <v>-3.637978807091713E-12</v>
      </c>
      <c r="HF18" s="1171">
        <f t="shared" si="70"/>
        <v>3.637978807091713E-12</v>
      </c>
      <c r="HG18" s="1171">
        <f t="shared" si="89"/>
        <v>-2.384185791015625E-7</v>
      </c>
      <c r="HH18" s="1171">
        <f t="shared" si="90"/>
        <v>0</v>
      </c>
      <c r="HI18" s="1171">
        <f t="shared" si="91"/>
        <v>0</v>
      </c>
      <c r="HJ18" s="1171">
        <f t="shared" si="92"/>
        <v>0</v>
      </c>
      <c r="HK18" s="1171">
        <f t="shared" si="93"/>
        <v>0</v>
      </c>
      <c r="HL18" s="1171">
        <f t="shared" si="94"/>
        <v>0</v>
      </c>
      <c r="HM18" s="1171">
        <f t="shared" si="95"/>
        <v>-3.637978807091713E-12</v>
      </c>
      <c r="HN18" s="1171">
        <f t="shared" si="96"/>
        <v>3.637978807091713E-12</v>
      </c>
      <c r="HO18" s="1171">
        <f t="shared" si="97"/>
        <v>-2.384185791015625E-7</v>
      </c>
      <c r="HP18" s="1171">
        <f t="shared" si="98"/>
        <v>0</v>
      </c>
      <c r="HQ18" s="1171">
        <f t="shared" si="99"/>
        <v>0</v>
      </c>
      <c r="HR18" s="1171">
        <f t="shared" si="100"/>
        <v>0</v>
      </c>
      <c r="HS18" s="1171">
        <f t="shared" si="101"/>
        <v>-5.8207660913467407E-10</v>
      </c>
      <c r="HT18" s="1171">
        <f t="shared" si="102"/>
        <v>0</v>
      </c>
      <c r="HU18" s="1171">
        <f t="shared" si="103"/>
        <v>9.0949470177292824E-13</v>
      </c>
      <c r="HV18" s="1171">
        <f t="shared" si="104"/>
        <v>0</v>
      </c>
      <c r="HW18" s="1171">
        <f t="shared" si="105"/>
        <v>-1.1920928955078125E-6</v>
      </c>
      <c r="HX18" s="1171">
        <f t="shared" si="106"/>
        <v>0</v>
      </c>
      <c r="HY18" s="1171">
        <f t="shared" si="107"/>
        <v>0</v>
      </c>
      <c r="HZ18" s="1171">
        <f t="shared" si="108"/>
        <v>0</v>
      </c>
      <c r="IA18" s="1171">
        <f t="shared" si="109"/>
        <v>0</v>
      </c>
      <c r="IB18" s="1171">
        <f t="shared" si="110"/>
        <v>0</v>
      </c>
      <c r="IC18" s="1171">
        <f t="shared" si="111"/>
        <v>2.5011104298755527E-12</v>
      </c>
      <c r="ID18" s="1171">
        <f t="shared" si="112"/>
        <v>-2.5011104298755527E-12</v>
      </c>
      <c r="IE18" s="1171">
        <f t="shared" si="113"/>
        <v>0</v>
      </c>
      <c r="IF18" s="1171">
        <f t="shared" si="114"/>
        <v>0</v>
      </c>
      <c r="IG18" s="1171">
        <f t="shared" si="115"/>
        <v>0</v>
      </c>
      <c r="IH18" s="1171">
        <f t="shared" si="116"/>
        <v>0</v>
      </c>
      <c r="II18" s="1171">
        <f t="shared" si="117"/>
        <v>0</v>
      </c>
      <c r="IJ18" s="1171">
        <f t="shared" si="118"/>
        <v>0</v>
      </c>
      <c r="IK18" s="1171">
        <f t="shared" si="119"/>
        <v>2.2737367544323206E-12</v>
      </c>
      <c r="IL18" s="1171">
        <f t="shared" si="120"/>
        <v>-2.2737367544323206E-12</v>
      </c>
      <c r="IM18" s="1171">
        <f t="shared" si="121"/>
        <v>-3.8743019104003906E-7</v>
      </c>
      <c r="IN18" s="1171">
        <f t="shared" si="122"/>
        <v>0</v>
      </c>
      <c r="IO18" s="1171">
        <f t="shared" si="123"/>
        <v>0</v>
      </c>
      <c r="IP18" s="1171">
        <f t="shared" si="124"/>
        <v>0</v>
      </c>
      <c r="IQ18" s="1171">
        <f t="shared" si="125"/>
        <v>0</v>
      </c>
      <c r="IR18" s="1171">
        <f t="shared" si="126"/>
        <v>0</v>
      </c>
      <c r="IS18" s="1171">
        <f t="shared" si="127"/>
        <v>1.8189894035458565E-12</v>
      </c>
      <c r="IT18" s="1171">
        <f t="shared" si="128"/>
        <v>-1.8189894035458565E-12</v>
      </c>
      <c r="IU18" s="1171">
        <f t="shared" si="129"/>
        <v>-2.384185791015625E-7</v>
      </c>
      <c r="IV18" s="1171">
        <f t="shared" si="130"/>
        <v>0</v>
      </c>
      <c r="IW18" s="1171">
        <f t="shared" si="131"/>
        <v>0</v>
      </c>
      <c r="IX18" s="1171">
        <f t="shared" si="132"/>
        <v>0</v>
      </c>
    </row>
    <row r="19" spans="1:258">
      <c r="A19">
        <v>109</v>
      </c>
      <c r="B19" s="136" t="str">
        <f t="shared" ref="B19" si="144">LEFT(B17,3)+1&amp;"i"</f>
        <v>109i</v>
      </c>
      <c r="C19">
        <v>31.9</v>
      </c>
      <c r="D19" s="136">
        <v>0</v>
      </c>
      <c r="E19" t="s">
        <v>2088</v>
      </c>
      <c r="F19" s="26">
        <v>2</v>
      </c>
      <c r="G19" s="136">
        <v>600</v>
      </c>
      <c r="H19" s="136">
        <v>40</v>
      </c>
      <c r="I19" s="28">
        <v>250</v>
      </c>
      <c r="J19" s="26">
        <v>1940</v>
      </c>
      <c r="K19" s="136">
        <v>40</v>
      </c>
      <c r="L19" s="28">
        <v>120</v>
      </c>
      <c r="M19" s="26">
        <v>2800</v>
      </c>
      <c r="N19" s="28">
        <v>12</v>
      </c>
      <c r="O19" s="26">
        <v>0</v>
      </c>
      <c r="P19" s="26">
        <v>290</v>
      </c>
      <c r="Q19" s="26">
        <f>+Section!L80</f>
        <v>5500</v>
      </c>
      <c r="R19" s="169">
        <v>0</v>
      </c>
      <c r="S19" s="210">
        <v>0</v>
      </c>
      <c r="T19" s="27">
        <v>1200</v>
      </c>
      <c r="U19" s="27">
        <v>2400</v>
      </c>
      <c r="V19" s="28">
        <v>3800</v>
      </c>
      <c r="W19" s="210">
        <v>19</v>
      </c>
      <c r="X19" s="210">
        <v>200</v>
      </c>
      <c r="Y19" s="169">
        <v>50</v>
      </c>
      <c r="Z19" s="210">
        <v>16</v>
      </c>
      <c r="AA19" s="210">
        <v>200</v>
      </c>
      <c r="AB19" s="28">
        <v>40</v>
      </c>
      <c r="AC19" s="210">
        <v>0</v>
      </c>
      <c r="AD19" s="26">
        <v>2</v>
      </c>
      <c r="AE19" s="169">
        <v>160</v>
      </c>
      <c r="AF19" s="169">
        <v>16</v>
      </c>
      <c r="AG19" s="26">
        <v>0</v>
      </c>
      <c r="AH19" s="169">
        <v>0</v>
      </c>
      <c r="AI19" s="169">
        <v>0</v>
      </c>
      <c r="AJ19" s="397">
        <v>2</v>
      </c>
      <c r="AK19" s="210">
        <v>2500</v>
      </c>
      <c r="AL19" s="210">
        <v>5000</v>
      </c>
      <c r="AM19" s="210" t="s">
        <v>2316</v>
      </c>
      <c r="AN19" s="210">
        <v>2500</v>
      </c>
      <c r="AO19" s="1143" t="s">
        <v>2320</v>
      </c>
      <c r="AP19" s="1143" t="s">
        <v>2321</v>
      </c>
      <c r="AQ19" s="136">
        <v>150</v>
      </c>
      <c r="AR19" s="136">
        <v>14</v>
      </c>
      <c r="AS19" s="1143" t="s">
        <v>2448</v>
      </c>
      <c r="AT19" s="136">
        <v>120</v>
      </c>
      <c r="AU19" s="136">
        <v>12</v>
      </c>
      <c r="AZ19" s="1108">
        <v>8</v>
      </c>
      <c r="BA19" s="1108">
        <v>6</v>
      </c>
      <c r="BC19" s="1168"/>
      <c r="BD19" s="210">
        <f>INDEX(Spec!$B$12:$P$58,MATCH(AO19,Spec!$A$12:$A$58,0),6)*100</f>
        <v>5021</v>
      </c>
      <c r="BE19" s="210">
        <f>INDEX(Spec!$B$12:$P$58,MATCH(AP19,Spec!$A$12:$A$58,0),6)*100</f>
        <v>1900</v>
      </c>
      <c r="BF19" s="881">
        <f t="shared" si="0"/>
        <v>1.8117883028477031</v>
      </c>
      <c r="BG19" s="881">
        <f t="shared" si="1"/>
        <v>47.243485714285718</v>
      </c>
      <c r="BH19" s="881"/>
      <c r="BI19" s="13" cm="1">
        <f t="array" ref="BI19">INDEX(Info!$AD$4:$AH$15,MATCH(Info!$I$13,Info!$AC$4:$AC$15,0),IF(H19&lt;=16,1,IF(H19&lt;=40,2,IF(H19&lt;=75,3,IF(H19&lt;=100,4,5)))))</f>
        <v>380</v>
      </c>
      <c r="BJ19" s="13" cm="1">
        <f t="array" ref="BJ19">INDEX(Info!$AD$4:$AH$15,MATCH(Info!$I$13,Info!$AC$4:$AC$15,0),IF(K19&lt;=16,1,IF(K19&lt;=40,2,IF(K19&lt;=75,3,IF(K19&lt;=100,4,5)))))</f>
        <v>380</v>
      </c>
      <c r="BK19" s="13" cm="1">
        <f t="array" ref="BK19">INDEX(Info!$AD$4:$AH$15,MATCH(Info!$I$14,Info!$AC$4:$AC$15,0),IF(N19&lt;=16,1,IF(N19&lt;=40,2,IF(N19&lt;=75,3,IF(N19&lt;=100,4,5)))))</f>
        <v>355</v>
      </c>
      <c r="BL19" s="13">
        <f>IF(Stress!C848="Positive",MAX(MIN(0.7*BI19,BK19),0.5*BI19),MAX(MIN(0.7*BJ19,BK19),0.5*BJ19))</f>
        <v>266</v>
      </c>
      <c r="BM19" s="13" cm="1">
        <f t="array" ref="BM19">INDEX(Info!$AD$4:$AH$15,MATCH(Info!$I$13,Info!$AC$4:$AC$15,0),IF(AI19&lt;=16,1,IF(AI19&lt;=40,2,IF(AI19&lt;=75,3,IF(AI19&lt;=100,4,5)))))</f>
        <v>380</v>
      </c>
      <c r="BN19" s="13" cm="1">
        <f t="array" ref="BN19">INDEX(Info!$AD$4:$AH$15,MATCH(Info!$I$13,Info!$AC$4:$AC$15,0),IF(AF19&lt;=16,1,IF(AF19&lt;=40,2,IF(AF19&lt;=75,3,IF(AF19&lt;=100,4,5)))))</f>
        <v>380</v>
      </c>
      <c r="BO19" s="13"/>
      <c r="BP19" s="13">
        <f t="shared" si="2"/>
        <v>0.125</v>
      </c>
      <c r="BQ19" s="13">
        <f t="shared" si="3"/>
        <v>2821.7902119044925</v>
      </c>
      <c r="BR19" s="13">
        <f t="shared" si="72"/>
        <v>3130</v>
      </c>
      <c r="BS19" s="13"/>
      <c r="BT19" s="136">
        <f t="shared" si="4"/>
        <v>0</v>
      </c>
      <c r="BU19" s="136">
        <f t="shared" si="5"/>
        <v>0</v>
      </c>
      <c r="BV19" s="136">
        <f t="shared" si="6"/>
        <v>1595000</v>
      </c>
      <c r="BW19" s="136">
        <f t="shared" si="7"/>
        <v>11178291666.666666</v>
      </c>
      <c r="BX19" s="136">
        <f t="shared" si="8"/>
        <v>0</v>
      </c>
      <c r="BY19" s="136">
        <f t="shared" si="9"/>
        <v>0</v>
      </c>
      <c r="BZ19" s="136">
        <f t="shared" si="10"/>
        <v>7655.2758986349281</v>
      </c>
      <c r="CA19" s="136">
        <f t="shared" si="11"/>
        <v>172722.16246295057</v>
      </c>
      <c r="CB19" s="136">
        <f t="shared" si="12"/>
        <v>5428.6721054031623</v>
      </c>
      <c r="CC19" s="136">
        <f t="shared" si="13"/>
        <v>86858.753686450596</v>
      </c>
      <c r="CE19" s="1137">
        <f t="shared" si="14"/>
        <v>346081987.77679139</v>
      </c>
      <c r="CF19" s="1136">
        <f t="shared" si="15"/>
        <v>411131448.88888884</v>
      </c>
      <c r="CG19" s="1136">
        <f t="shared" si="16"/>
        <v>0</v>
      </c>
      <c r="CH19" s="172">
        <f t="shared" si="17"/>
        <v>4020729166666.6665</v>
      </c>
      <c r="CJ19" s="136">
        <f t="shared" si="18"/>
        <v>198442.96508570784</v>
      </c>
      <c r="CK19" s="7">
        <f t="shared" si="19"/>
        <v>294458361973.75983</v>
      </c>
      <c r="CL19" s="6">
        <f t="shared" si="20"/>
        <v>1685.8661105921663</v>
      </c>
      <c r="CM19" s="6">
        <f t="shared" si="21"/>
        <v>1194.1338894078337</v>
      </c>
      <c r="CN19" s="164">
        <f t="shared" si="73"/>
        <v>174662958.18137676</v>
      </c>
      <c r="CO19" s="164">
        <f t="shared" si="74"/>
        <v>246587392.40687704</v>
      </c>
      <c r="CP19" s="1137">
        <f t="shared" si="22"/>
        <v>162354633405.19186</v>
      </c>
      <c r="CQ19" s="1136">
        <f t="shared" si="23"/>
        <v>72562465391.25</v>
      </c>
      <c r="CR19" s="22">
        <f t="shared" si="24"/>
        <v>198442.96508570784</v>
      </c>
      <c r="CS19" s="7">
        <f t="shared" si="25"/>
        <v>294458361973.75983</v>
      </c>
      <c r="CT19" s="6">
        <f t="shared" si="26"/>
        <v>1685.8661105921663</v>
      </c>
      <c r="CU19" s="12">
        <f t="shared" si="27"/>
        <v>1194.1338894078337</v>
      </c>
      <c r="CV19" s="164">
        <f t="shared" si="28"/>
        <v>174662958.18137676</v>
      </c>
      <c r="CW19" s="164">
        <f t="shared" si="29"/>
        <v>246587392.40687704</v>
      </c>
      <c r="CX19" s="1136">
        <f t="shared" si="30"/>
        <v>162354633405.19186</v>
      </c>
      <c r="CY19" s="1136">
        <f t="shared" si="31"/>
        <v>72562465391.25</v>
      </c>
      <c r="CZ19" s="22">
        <f t="shared" si="32"/>
        <v>198442.96508570784</v>
      </c>
      <c r="DA19" s="7">
        <f t="shared" si="33"/>
        <v>294458361973.75983</v>
      </c>
      <c r="DB19" s="6">
        <f t="shared" si="34"/>
        <v>1685.8661105921663</v>
      </c>
      <c r="DC19" s="12">
        <f t="shared" si="35"/>
        <v>1194.1338894078337</v>
      </c>
      <c r="DD19" s="164">
        <f t="shared" si="75"/>
        <v>174662958.18137676</v>
      </c>
      <c r="DE19" s="164">
        <f t="shared" si="76"/>
        <v>246587392.40687704</v>
      </c>
      <c r="DF19" s="1136">
        <f t="shared" si="36"/>
        <v>162354633405.19186</v>
      </c>
      <c r="DG19" s="1136">
        <f t="shared" si="37"/>
        <v>72562465391.25</v>
      </c>
      <c r="DH19" s="22">
        <f t="shared" si="38"/>
        <v>446354.65161772241</v>
      </c>
      <c r="DI19" s="172">
        <f t="shared" si="39"/>
        <v>649687231067.52405</v>
      </c>
      <c r="DJ19" s="12">
        <f t="shared" si="40"/>
        <v>691.19374362829694</v>
      </c>
      <c r="DK19" s="22">
        <f t="shared" si="41"/>
        <v>2188.8062563717031</v>
      </c>
      <c r="DL19" s="164">
        <f t="shared" si="77"/>
        <v>939949525.08844781</v>
      </c>
      <c r="DM19" s="164">
        <f t="shared" si="78"/>
        <v>296822630.6811114</v>
      </c>
      <c r="DN19" s="7">
        <f t="shared" si="42"/>
        <v>787298676537.97864</v>
      </c>
      <c r="DO19" s="1136">
        <f t="shared" si="43"/>
        <v>238639389909.96988</v>
      </c>
      <c r="DP19" s="22">
        <f t="shared" si="44"/>
        <v>281080.1939297127</v>
      </c>
      <c r="DQ19" s="172">
        <f t="shared" si="45"/>
        <v>482152011680.10175</v>
      </c>
      <c r="DR19" s="22">
        <f t="shared" si="46"/>
        <v>1159.3536924066825</v>
      </c>
      <c r="DS19" s="22">
        <f t="shared" si="47"/>
        <v>1720.6463075933175</v>
      </c>
      <c r="DT19" s="164">
        <f t="shared" si="79"/>
        <v>415879998.34563911</v>
      </c>
      <c r="DU19" s="164">
        <f t="shared" si="80"/>
        <v>280215643.12917501</v>
      </c>
      <c r="DV19" s="1136">
        <f t="shared" si="48"/>
        <v>370669314449.4541</v>
      </c>
      <c r="DW19" s="1136">
        <f t="shared" si="49"/>
        <v>238639389909.96988</v>
      </c>
      <c r="DX19" s="763">
        <f t="shared" si="50"/>
        <v>211526.91308974594</v>
      </c>
      <c r="DY19" s="7">
        <f t="shared" si="51"/>
        <v>334483056239.52264</v>
      </c>
      <c r="DZ19" s="13">
        <f t="shared" si="52"/>
        <v>1574.3491439427423</v>
      </c>
      <c r="EA19" s="763">
        <f t="shared" si="53"/>
        <v>1305.6508560572577</v>
      </c>
      <c r="EB19" s="164">
        <f t="shared" si="81"/>
        <v>212457990.99039462</v>
      </c>
      <c r="EC19" s="164">
        <f t="shared" si="82"/>
        <v>256181087.53022891</v>
      </c>
      <c r="ED19" s="1136">
        <f t="shared" si="54"/>
        <v>787298676537.97864</v>
      </c>
      <c r="EE19" s="1136">
        <f t="shared" si="55"/>
        <v>238639389909.96988</v>
      </c>
      <c r="EF19" s="763">
        <f t="shared" si="56"/>
        <v>202804.28108705388</v>
      </c>
      <c r="EG19" s="7">
        <f t="shared" si="57"/>
        <v>308371923533.24579</v>
      </c>
      <c r="EH19" s="13">
        <f t="shared" si="58"/>
        <v>1647.0950031545817</v>
      </c>
      <c r="EI19" s="763">
        <f t="shared" si="59"/>
        <v>1232.9049968454183</v>
      </c>
      <c r="EJ19" s="164">
        <f t="shared" si="83"/>
        <v>187221698.16716075</v>
      </c>
      <c r="EK19" s="164">
        <f t="shared" si="84"/>
        <v>250118155.35038298</v>
      </c>
      <c r="EL19" s="1136">
        <f t="shared" si="85"/>
        <v>370669314449.4541</v>
      </c>
      <c r="EM19" s="1136">
        <f t="shared" si="86"/>
        <v>238639389909.96988</v>
      </c>
      <c r="EN19" s="763"/>
      <c r="EO19" s="1113" t="s">
        <v>2177</v>
      </c>
      <c r="EP19" s="1114">
        <v>198442.96508570801</v>
      </c>
      <c r="EQ19" s="1114">
        <v>294458361973.76001</v>
      </c>
      <c r="ER19" s="1115">
        <v>1685.8661105921699</v>
      </c>
      <c r="ES19" s="1115">
        <v>1194.1338894078301</v>
      </c>
      <c r="ET19" s="1114">
        <v>174662958.18137699</v>
      </c>
      <c r="EU19" s="1114">
        <v>246587392.40687701</v>
      </c>
      <c r="EV19" s="1114">
        <v>162354633405.19199</v>
      </c>
      <c r="EW19" s="1114">
        <v>72562465391.25</v>
      </c>
      <c r="EX19" s="1114">
        <v>198442.96508570801</v>
      </c>
      <c r="EY19" s="1114">
        <v>294458361973.76001</v>
      </c>
      <c r="EZ19" s="1115">
        <v>1685.8661105921699</v>
      </c>
      <c r="FA19" s="1115">
        <v>1194.1338894078301</v>
      </c>
      <c r="FB19" s="1114">
        <v>174662958.18137699</v>
      </c>
      <c r="FC19" s="1114">
        <v>246587392.40687701</v>
      </c>
      <c r="FD19" s="1114">
        <v>162354633405.19199</v>
      </c>
      <c r="FE19" s="1114">
        <v>72562465391.25</v>
      </c>
      <c r="FF19" s="1114">
        <v>198442.96508570801</v>
      </c>
      <c r="FG19" s="1114">
        <v>294458361973.76001</v>
      </c>
      <c r="FH19" s="1115">
        <v>1685.8661105921699</v>
      </c>
      <c r="FI19" s="1115">
        <v>1194.1338894078301</v>
      </c>
      <c r="FJ19" s="1114">
        <v>174662958.18137699</v>
      </c>
      <c r="FK19" s="1114">
        <v>246587392.40687701</v>
      </c>
      <c r="FL19" s="1114">
        <v>162354633405.19199</v>
      </c>
      <c r="FM19" s="1114">
        <v>72562465391.25</v>
      </c>
      <c r="FN19" s="1114">
        <v>446354.65161772299</v>
      </c>
      <c r="FO19" s="1114">
        <v>649687231067.52405</v>
      </c>
      <c r="FP19" s="1115">
        <v>691.19374362829603</v>
      </c>
      <c r="FQ19" s="1115">
        <v>2188.8062563716999</v>
      </c>
      <c r="FR19" s="1114">
        <v>939949525.088449</v>
      </c>
      <c r="FS19" s="1114">
        <v>296822630.68111098</v>
      </c>
      <c r="FT19" s="1114">
        <v>787298676537.979</v>
      </c>
      <c r="FU19" s="1114">
        <v>238639389909.97</v>
      </c>
      <c r="FV19" s="1114">
        <v>281080.19392971299</v>
      </c>
      <c r="FW19" s="1114">
        <v>482152011680.10199</v>
      </c>
      <c r="FX19" s="1115">
        <v>1159.35369240668</v>
      </c>
      <c r="FY19" s="1115">
        <v>1720.64630759332</v>
      </c>
      <c r="FZ19" s="1114">
        <v>415879998.34563899</v>
      </c>
      <c r="GA19" s="1114">
        <v>280215643.12917501</v>
      </c>
      <c r="GB19" s="1114">
        <v>370669314449.45398</v>
      </c>
      <c r="GC19" s="1114">
        <v>238639389909.97</v>
      </c>
      <c r="GD19" s="1114">
        <v>211526.913089746</v>
      </c>
      <c r="GE19" s="1114">
        <v>334483056239.52301</v>
      </c>
      <c r="GF19" s="1115">
        <v>1574.3491439427401</v>
      </c>
      <c r="GG19" s="1115">
        <v>1305.6508560572599</v>
      </c>
      <c r="GH19" s="1114">
        <v>212457990.99039501</v>
      </c>
      <c r="GI19" s="1114">
        <v>256181087.530229</v>
      </c>
      <c r="GJ19" s="1114">
        <v>787298676537.979</v>
      </c>
      <c r="GK19" s="1114">
        <v>238639389909.97</v>
      </c>
      <c r="GL19" s="1114">
        <v>202804.281087054</v>
      </c>
      <c r="GM19" s="1114">
        <v>308371923533.24597</v>
      </c>
      <c r="GN19" s="1115">
        <v>1647.0950031545799</v>
      </c>
      <c r="GO19" s="1115">
        <v>1232.9049968454201</v>
      </c>
      <c r="GP19" s="1114">
        <v>187221698.16716099</v>
      </c>
      <c r="GQ19" s="1114">
        <v>250118155.35038301</v>
      </c>
      <c r="GR19" s="1114">
        <v>370669314449.45398</v>
      </c>
      <c r="GS19" s="1114">
        <v>238639389909.97</v>
      </c>
      <c r="GU19" s="1171">
        <f t="shared" si="60"/>
        <v>0</v>
      </c>
      <c r="GV19" s="1171">
        <f t="shared" si="61"/>
        <v>0</v>
      </c>
      <c r="GW19" s="1171">
        <f t="shared" si="62"/>
        <v>-3.637978807091713E-12</v>
      </c>
      <c r="GX19" s="1171">
        <f t="shared" si="63"/>
        <v>3.637978807091713E-12</v>
      </c>
      <c r="GY19" s="1171">
        <f t="shared" si="64"/>
        <v>-2.384185791015625E-7</v>
      </c>
      <c r="GZ19" s="1171">
        <f t="shared" si="65"/>
        <v>0</v>
      </c>
      <c r="HA19" s="1171">
        <f t="shared" si="87"/>
        <v>0</v>
      </c>
      <c r="HB19" s="1171">
        <f t="shared" si="66"/>
        <v>0</v>
      </c>
      <c r="HC19" s="1171">
        <f t="shared" si="67"/>
        <v>0</v>
      </c>
      <c r="HD19" s="1171">
        <f t="shared" si="68"/>
        <v>0</v>
      </c>
      <c r="HE19" s="1171">
        <f t="shared" si="69"/>
        <v>-3.637978807091713E-12</v>
      </c>
      <c r="HF19" s="1171">
        <f t="shared" si="70"/>
        <v>3.637978807091713E-12</v>
      </c>
      <c r="HG19" s="1171">
        <f t="shared" si="89"/>
        <v>-2.384185791015625E-7</v>
      </c>
      <c r="HH19" s="1171">
        <f t="shared" si="90"/>
        <v>0</v>
      </c>
      <c r="HI19" s="1171">
        <f t="shared" si="91"/>
        <v>0</v>
      </c>
      <c r="HJ19" s="1171">
        <f t="shared" si="92"/>
        <v>0</v>
      </c>
      <c r="HK19" s="1171">
        <f t="shared" si="93"/>
        <v>0</v>
      </c>
      <c r="HL19" s="1171">
        <f t="shared" si="94"/>
        <v>0</v>
      </c>
      <c r="HM19" s="1171">
        <f t="shared" si="95"/>
        <v>-3.637978807091713E-12</v>
      </c>
      <c r="HN19" s="1171">
        <f t="shared" si="96"/>
        <v>3.637978807091713E-12</v>
      </c>
      <c r="HO19" s="1171">
        <f t="shared" si="97"/>
        <v>-2.384185791015625E-7</v>
      </c>
      <c r="HP19" s="1171">
        <f t="shared" si="98"/>
        <v>0</v>
      </c>
      <c r="HQ19" s="1171">
        <f t="shared" si="99"/>
        <v>0</v>
      </c>
      <c r="HR19" s="1171">
        <f t="shared" si="100"/>
        <v>0</v>
      </c>
      <c r="HS19" s="1171">
        <f t="shared" si="101"/>
        <v>-5.8207660913467407E-10</v>
      </c>
      <c r="HT19" s="1171">
        <f t="shared" si="102"/>
        <v>0</v>
      </c>
      <c r="HU19" s="1171">
        <f t="shared" si="103"/>
        <v>9.0949470177292824E-13</v>
      </c>
      <c r="HV19" s="1171">
        <f t="shared" si="104"/>
        <v>0</v>
      </c>
      <c r="HW19" s="1171">
        <f t="shared" si="105"/>
        <v>-1.1920928955078125E-6</v>
      </c>
      <c r="HX19" s="1171">
        <f t="shared" si="106"/>
        <v>0</v>
      </c>
      <c r="HY19" s="1171">
        <f t="shared" si="107"/>
        <v>0</v>
      </c>
      <c r="HZ19" s="1171">
        <f t="shared" si="108"/>
        <v>0</v>
      </c>
      <c r="IA19" s="1171">
        <f t="shared" si="109"/>
        <v>0</v>
      </c>
      <c r="IB19" s="1171">
        <f t="shared" si="110"/>
        <v>0</v>
      </c>
      <c r="IC19" s="1171">
        <f t="shared" si="111"/>
        <v>2.5011104298755527E-12</v>
      </c>
      <c r="ID19" s="1171">
        <f t="shared" si="112"/>
        <v>-2.5011104298755527E-12</v>
      </c>
      <c r="IE19" s="1171">
        <f t="shared" si="113"/>
        <v>0</v>
      </c>
      <c r="IF19" s="1171">
        <f t="shared" si="114"/>
        <v>0</v>
      </c>
      <c r="IG19" s="1171">
        <f t="shared" si="115"/>
        <v>0</v>
      </c>
      <c r="IH19" s="1171">
        <f t="shared" si="116"/>
        <v>0</v>
      </c>
      <c r="II19" s="1171">
        <f t="shared" si="117"/>
        <v>0</v>
      </c>
      <c r="IJ19" s="1171">
        <f t="shared" si="118"/>
        <v>0</v>
      </c>
      <c r="IK19" s="1171">
        <f t="shared" si="119"/>
        <v>2.2737367544323206E-12</v>
      </c>
      <c r="IL19" s="1171">
        <f t="shared" si="120"/>
        <v>-2.2737367544323206E-12</v>
      </c>
      <c r="IM19" s="1171">
        <f t="shared" si="121"/>
        <v>-3.8743019104003906E-7</v>
      </c>
      <c r="IN19" s="1171">
        <f t="shared" si="122"/>
        <v>0</v>
      </c>
      <c r="IO19" s="1171">
        <f t="shared" si="123"/>
        <v>0</v>
      </c>
      <c r="IP19" s="1171">
        <f t="shared" si="124"/>
        <v>0</v>
      </c>
      <c r="IQ19" s="1171">
        <f t="shared" si="125"/>
        <v>0</v>
      </c>
      <c r="IR19" s="1171">
        <f t="shared" si="126"/>
        <v>0</v>
      </c>
      <c r="IS19" s="1171">
        <f t="shared" si="127"/>
        <v>1.8189894035458565E-12</v>
      </c>
      <c r="IT19" s="1171">
        <f t="shared" si="128"/>
        <v>-1.8189894035458565E-12</v>
      </c>
      <c r="IU19" s="1171">
        <f t="shared" si="129"/>
        <v>-2.384185791015625E-7</v>
      </c>
      <c r="IV19" s="1171">
        <f t="shared" si="130"/>
        <v>0</v>
      </c>
      <c r="IW19" s="1171">
        <f t="shared" si="131"/>
        <v>0</v>
      </c>
      <c r="IX19" s="1171">
        <f t="shared" si="132"/>
        <v>0</v>
      </c>
    </row>
    <row r="20" spans="1:258">
      <c r="B20" s="136" t="str">
        <f t="shared" ref="B20" si="145">LEFT(B18,3)+1&amp;"j"</f>
        <v>109j</v>
      </c>
      <c r="C20">
        <v>36.9</v>
      </c>
      <c r="D20" s="136">
        <v>0</v>
      </c>
      <c r="E20" t="s">
        <v>2088</v>
      </c>
      <c r="F20" s="26">
        <v>2</v>
      </c>
      <c r="G20" s="136">
        <v>600</v>
      </c>
      <c r="H20" s="136">
        <v>40</v>
      </c>
      <c r="I20" s="28">
        <v>250</v>
      </c>
      <c r="J20" s="26">
        <v>1940</v>
      </c>
      <c r="K20" s="136">
        <v>40</v>
      </c>
      <c r="L20" s="28">
        <v>120</v>
      </c>
      <c r="M20" s="26">
        <v>2800</v>
      </c>
      <c r="N20" s="28">
        <v>12</v>
      </c>
      <c r="O20" s="26">
        <v>0</v>
      </c>
      <c r="P20" s="26">
        <v>290</v>
      </c>
      <c r="Q20" s="26">
        <f>+Section!L81</f>
        <v>5500</v>
      </c>
      <c r="R20" s="169">
        <v>0</v>
      </c>
      <c r="S20" s="210">
        <v>0</v>
      </c>
      <c r="T20" s="27">
        <v>1200</v>
      </c>
      <c r="U20" s="27">
        <v>2400</v>
      </c>
      <c r="V20" s="28">
        <v>3800</v>
      </c>
      <c r="W20" s="210">
        <v>19</v>
      </c>
      <c r="X20" s="210">
        <v>200</v>
      </c>
      <c r="Y20" s="169">
        <v>50</v>
      </c>
      <c r="Z20" s="210">
        <v>16</v>
      </c>
      <c r="AA20" s="210">
        <v>200</v>
      </c>
      <c r="AB20" s="28">
        <v>40</v>
      </c>
      <c r="AC20" s="210">
        <v>0</v>
      </c>
      <c r="AD20" s="26">
        <v>2</v>
      </c>
      <c r="AE20" s="169">
        <v>160</v>
      </c>
      <c r="AF20" s="169">
        <v>16</v>
      </c>
      <c r="AG20" s="26">
        <v>0</v>
      </c>
      <c r="AH20" s="169">
        <v>0</v>
      </c>
      <c r="AI20" s="169">
        <v>0</v>
      </c>
      <c r="AJ20" s="397">
        <v>2</v>
      </c>
      <c r="AK20" s="210">
        <v>2500</v>
      </c>
      <c r="AL20" s="210">
        <v>5000</v>
      </c>
      <c r="AM20" s="210" t="s">
        <v>2316</v>
      </c>
      <c r="AN20" s="210">
        <v>2500</v>
      </c>
      <c r="AO20" s="1143" t="s">
        <v>2320</v>
      </c>
      <c r="AP20" s="1143" t="s">
        <v>2321</v>
      </c>
      <c r="AQ20" s="136">
        <v>150</v>
      </c>
      <c r="AR20" s="136">
        <v>14</v>
      </c>
      <c r="AS20" s="1143" t="s">
        <v>2448</v>
      </c>
      <c r="AT20" s="136">
        <v>120</v>
      </c>
      <c r="AU20" s="136">
        <v>12</v>
      </c>
      <c r="AV20" s="1109" t="s">
        <v>2157</v>
      </c>
      <c r="AW20" s="1109">
        <v>12</v>
      </c>
      <c r="AX20" s="1109">
        <v>400</v>
      </c>
      <c r="AY20" s="1109">
        <v>1000</v>
      </c>
      <c r="AZ20" s="1108">
        <v>8</v>
      </c>
      <c r="BA20" s="1108">
        <v>6</v>
      </c>
      <c r="BC20" s="1168"/>
      <c r="BD20" s="210">
        <f>INDEX(Spec!$B$12:$P$58,MATCH(AO20,Spec!$A$12:$A$58,0),6)*100</f>
        <v>5021</v>
      </c>
      <c r="BE20" s="210">
        <f>INDEX(Spec!$B$12:$P$58,MATCH(AP20,Spec!$A$12:$A$58,0),6)*100</f>
        <v>1900</v>
      </c>
      <c r="BF20" s="881">
        <f t="shared" si="0"/>
        <v>1.8117883028477031</v>
      </c>
      <c r="BG20" s="881">
        <f t="shared" si="1"/>
        <v>47.243485714285718</v>
      </c>
      <c r="BH20" s="881"/>
      <c r="BI20" s="13" cm="1">
        <f t="array" ref="BI20">INDEX(Info!$AD$4:$AH$15,MATCH(Info!$I$13,Info!$AC$4:$AC$15,0),IF(H20&lt;=16,1,IF(H20&lt;=40,2,IF(H20&lt;=75,3,IF(H20&lt;=100,4,5)))))</f>
        <v>380</v>
      </c>
      <c r="BJ20" s="13" cm="1">
        <f t="array" ref="BJ20">INDEX(Info!$AD$4:$AH$15,MATCH(Info!$I$13,Info!$AC$4:$AC$15,0),IF(K20&lt;=16,1,IF(K20&lt;=40,2,IF(K20&lt;=75,3,IF(K20&lt;=100,4,5)))))</f>
        <v>380</v>
      </c>
      <c r="BK20" s="13" cm="1">
        <f t="array" ref="BK20">INDEX(Info!$AD$4:$AH$15,MATCH(Info!$I$14,Info!$AC$4:$AC$15,0),IF(N20&lt;=16,1,IF(N20&lt;=40,2,IF(N20&lt;=75,3,IF(N20&lt;=100,4,5)))))</f>
        <v>355</v>
      </c>
      <c r="BL20" s="13">
        <f>IF(Stress!C849="Positive",MAX(MIN(0.7*BI20,BK20),0.5*BI20),MAX(MIN(0.7*BJ20,BK20),0.5*BJ20))</f>
        <v>266</v>
      </c>
      <c r="BM20" s="13" cm="1">
        <f t="array" ref="BM20">INDEX(Info!$AD$4:$AH$15,MATCH(Info!$I$13,Info!$AC$4:$AC$15,0),IF(AI20&lt;=16,1,IF(AI20&lt;=40,2,IF(AI20&lt;=75,3,IF(AI20&lt;=100,4,5)))))</f>
        <v>380</v>
      </c>
      <c r="BN20" s="13" cm="1">
        <f t="array" ref="BN20">INDEX(Info!$AD$4:$AH$15,MATCH(Info!$I$13,Info!$AC$4:$AC$15,0),IF(AF20&lt;=16,1,IF(AF20&lt;=40,2,IF(AF20&lt;=75,3,IF(AF20&lt;=100,4,5)))))</f>
        <v>380</v>
      </c>
      <c r="BO20" s="13"/>
      <c r="BP20" s="13">
        <f t="shared" si="2"/>
        <v>0.125</v>
      </c>
      <c r="BQ20" s="13">
        <f t="shared" si="3"/>
        <v>2821.7902119044925</v>
      </c>
      <c r="BR20" s="13">
        <f t="shared" si="72"/>
        <v>3130</v>
      </c>
      <c r="BS20" s="13"/>
      <c r="BT20" s="136">
        <f t="shared" si="4"/>
        <v>0</v>
      </c>
      <c r="BU20" s="136">
        <f t="shared" si="5"/>
        <v>0</v>
      </c>
      <c r="BV20" s="136">
        <f t="shared" si="6"/>
        <v>1595000</v>
      </c>
      <c r="BW20" s="136">
        <f t="shared" si="7"/>
        <v>11178291666.666666</v>
      </c>
      <c r="BX20" s="136">
        <f t="shared" si="8"/>
        <v>0</v>
      </c>
      <c r="BY20" s="136">
        <f t="shared" si="9"/>
        <v>0</v>
      </c>
      <c r="BZ20" s="136">
        <f t="shared" si="10"/>
        <v>7655.2758986349281</v>
      </c>
      <c r="CA20" s="136">
        <f t="shared" si="11"/>
        <v>172722.16246295057</v>
      </c>
      <c r="CB20" s="136">
        <f t="shared" si="12"/>
        <v>5428.6721054031623</v>
      </c>
      <c r="CC20" s="136">
        <f t="shared" si="13"/>
        <v>86858.753686450596</v>
      </c>
      <c r="CE20" s="1137">
        <f t="shared" si="14"/>
        <v>346081987.77679139</v>
      </c>
      <c r="CF20" s="1136">
        <f t="shared" si="15"/>
        <v>411131448.88888884</v>
      </c>
      <c r="CG20" s="1136">
        <f t="shared" si="16"/>
        <v>0</v>
      </c>
      <c r="CH20" s="172">
        <f t="shared" si="17"/>
        <v>4020729166666.6665</v>
      </c>
      <c r="CJ20" s="136">
        <f t="shared" si="18"/>
        <v>198442.96508570784</v>
      </c>
      <c r="CK20" s="7">
        <f t="shared" si="19"/>
        <v>294458361973.75983</v>
      </c>
      <c r="CL20" s="6">
        <f t="shared" si="20"/>
        <v>1685.8661105921663</v>
      </c>
      <c r="CM20" s="6">
        <f t="shared" si="21"/>
        <v>1194.1338894078337</v>
      </c>
      <c r="CN20" s="164">
        <f t="shared" si="73"/>
        <v>174662958.18137676</v>
      </c>
      <c r="CO20" s="164">
        <f t="shared" si="74"/>
        <v>246587392.40687704</v>
      </c>
      <c r="CP20" s="1137">
        <f t="shared" si="22"/>
        <v>162354633405.19186</v>
      </c>
      <c r="CQ20" s="1136">
        <f t="shared" si="23"/>
        <v>72562465391.25</v>
      </c>
      <c r="CR20" s="22">
        <f t="shared" si="24"/>
        <v>198442.96508570784</v>
      </c>
      <c r="CS20" s="7">
        <f t="shared" si="25"/>
        <v>294458361973.75983</v>
      </c>
      <c r="CT20" s="6">
        <f t="shared" si="26"/>
        <v>1685.8661105921663</v>
      </c>
      <c r="CU20" s="12">
        <f t="shared" si="27"/>
        <v>1194.1338894078337</v>
      </c>
      <c r="CV20" s="164">
        <f t="shared" si="28"/>
        <v>174662958.18137676</v>
      </c>
      <c r="CW20" s="164">
        <f t="shared" si="29"/>
        <v>246587392.40687704</v>
      </c>
      <c r="CX20" s="1136">
        <f t="shared" si="30"/>
        <v>162354633405.19186</v>
      </c>
      <c r="CY20" s="1136">
        <f t="shared" si="31"/>
        <v>72562465391.25</v>
      </c>
      <c r="CZ20" s="22">
        <f t="shared" si="32"/>
        <v>198442.96508570784</v>
      </c>
      <c r="DA20" s="7">
        <f t="shared" si="33"/>
        <v>294458361973.75983</v>
      </c>
      <c r="DB20" s="6">
        <f t="shared" si="34"/>
        <v>1685.8661105921663</v>
      </c>
      <c r="DC20" s="12">
        <f t="shared" si="35"/>
        <v>1194.1338894078337</v>
      </c>
      <c r="DD20" s="164">
        <f t="shared" si="75"/>
        <v>174662958.18137676</v>
      </c>
      <c r="DE20" s="164">
        <f t="shared" si="76"/>
        <v>246587392.40687704</v>
      </c>
      <c r="DF20" s="1136">
        <f t="shared" si="36"/>
        <v>162354633405.19186</v>
      </c>
      <c r="DG20" s="1136">
        <f t="shared" si="37"/>
        <v>72562465391.25</v>
      </c>
      <c r="DH20" s="22">
        <f t="shared" si="38"/>
        <v>446354.65161772241</v>
      </c>
      <c r="DI20" s="172">
        <f t="shared" si="39"/>
        <v>649687231067.52405</v>
      </c>
      <c r="DJ20" s="12">
        <f t="shared" si="40"/>
        <v>691.19374362829694</v>
      </c>
      <c r="DK20" s="22">
        <f t="shared" si="41"/>
        <v>2188.8062563717031</v>
      </c>
      <c r="DL20" s="164">
        <f t="shared" si="77"/>
        <v>939949525.08844781</v>
      </c>
      <c r="DM20" s="164">
        <f t="shared" si="78"/>
        <v>296822630.6811114</v>
      </c>
      <c r="DN20" s="7">
        <f t="shared" si="42"/>
        <v>787298676537.97864</v>
      </c>
      <c r="DO20" s="1136">
        <f t="shared" si="43"/>
        <v>238639389909.96988</v>
      </c>
      <c r="DP20" s="22">
        <f t="shared" si="44"/>
        <v>281080.1939297127</v>
      </c>
      <c r="DQ20" s="172">
        <f t="shared" si="45"/>
        <v>482152011680.10175</v>
      </c>
      <c r="DR20" s="22">
        <f t="shared" si="46"/>
        <v>1159.3536924066825</v>
      </c>
      <c r="DS20" s="22">
        <f t="shared" si="47"/>
        <v>1720.6463075933175</v>
      </c>
      <c r="DT20" s="164">
        <f t="shared" si="79"/>
        <v>415879998.34563911</v>
      </c>
      <c r="DU20" s="164">
        <f t="shared" si="80"/>
        <v>280215643.12917501</v>
      </c>
      <c r="DV20" s="1136">
        <f t="shared" si="48"/>
        <v>370669314449.4541</v>
      </c>
      <c r="DW20" s="1136">
        <f t="shared" si="49"/>
        <v>238639389909.96988</v>
      </c>
      <c r="DX20" s="763">
        <f t="shared" si="50"/>
        <v>211526.91308974594</v>
      </c>
      <c r="DY20" s="7">
        <f t="shared" si="51"/>
        <v>334483056239.52264</v>
      </c>
      <c r="DZ20" s="13">
        <f t="shared" si="52"/>
        <v>1574.3491439427423</v>
      </c>
      <c r="EA20" s="763">
        <f t="shared" si="53"/>
        <v>1305.6508560572577</v>
      </c>
      <c r="EB20" s="164">
        <f t="shared" si="81"/>
        <v>212457990.99039462</v>
      </c>
      <c r="EC20" s="164">
        <f t="shared" si="82"/>
        <v>256181087.53022891</v>
      </c>
      <c r="ED20" s="1136">
        <f t="shared" si="54"/>
        <v>787298676537.97864</v>
      </c>
      <c r="EE20" s="1136">
        <f t="shared" si="55"/>
        <v>238639389909.96988</v>
      </c>
      <c r="EF20" s="763">
        <f t="shared" si="56"/>
        <v>202804.28108705388</v>
      </c>
      <c r="EG20" s="7">
        <f t="shared" si="57"/>
        <v>308371923533.24579</v>
      </c>
      <c r="EH20" s="13">
        <f t="shared" si="58"/>
        <v>1647.0950031545817</v>
      </c>
      <c r="EI20" s="763">
        <f t="shared" si="59"/>
        <v>1232.9049968454183</v>
      </c>
      <c r="EJ20" s="164">
        <f t="shared" si="83"/>
        <v>187221698.16716075</v>
      </c>
      <c r="EK20" s="164">
        <f t="shared" si="84"/>
        <v>250118155.35038298</v>
      </c>
      <c r="EL20" s="1136">
        <f t="shared" si="85"/>
        <v>370669314449.4541</v>
      </c>
      <c r="EM20" s="1136">
        <f t="shared" si="86"/>
        <v>238639389909.96988</v>
      </c>
      <c r="EN20" s="763"/>
      <c r="EO20" s="1113" t="s">
        <v>2178</v>
      </c>
      <c r="EP20" s="1114">
        <v>198442.96508570801</v>
      </c>
      <c r="EQ20" s="1114">
        <v>294458361973.76001</v>
      </c>
      <c r="ER20" s="1115">
        <v>1685.8661105921699</v>
      </c>
      <c r="ES20" s="1115">
        <v>1194.1338894078301</v>
      </c>
      <c r="ET20" s="1114">
        <v>174662958.18137699</v>
      </c>
      <c r="EU20" s="1114">
        <v>246587392.40687701</v>
      </c>
      <c r="EV20" s="1114">
        <v>162354633405.19199</v>
      </c>
      <c r="EW20" s="1114">
        <v>72562465391.25</v>
      </c>
      <c r="EX20" s="1114">
        <v>198442.96508570801</v>
      </c>
      <c r="EY20" s="1114">
        <v>294458361973.76001</v>
      </c>
      <c r="EZ20" s="1115">
        <v>1685.8661105921699</v>
      </c>
      <c r="FA20" s="1115">
        <v>1194.1338894078301</v>
      </c>
      <c r="FB20" s="1114">
        <v>174662958.18137699</v>
      </c>
      <c r="FC20" s="1114">
        <v>246587392.40687701</v>
      </c>
      <c r="FD20" s="1114">
        <v>162354633405.19199</v>
      </c>
      <c r="FE20" s="1114">
        <v>72562465391.25</v>
      </c>
      <c r="FF20" s="1114">
        <v>198442.96508570801</v>
      </c>
      <c r="FG20" s="1114">
        <v>294458361973.76001</v>
      </c>
      <c r="FH20" s="1115">
        <v>1685.8661105921699</v>
      </c>
      <c r="FI20" s="1115">
        <v>1194.1338894078301</v>
      </c>
      <c r="FJ20" s="1114">
        <v>174662958.18137699</v>
      </c>
      <c r="FK20" s="1114">
        <v>246587392.40687701</v>
      </c>
      <c r="FL20" s="1114">
        <v>162354633405.19199</v>
      </c>
      <c r="FM20" s="1114">
        <v>72562465391.25</v>
      </c>
      <c r="FN20" s="1114">
        <v>446354.65161772299</v>
      </c>
      <c r="FO20" s="1114">
        <v>649687231067.52405</v>
      </c>
      <c r="FP20" s="1115">
        <v>691.19374362829603</v>
      </c>
      <c r="FQ20" s="1115">
        <v>2188.8062563716999</v>
      </c>
      <c r="FR20" s="1114">
        <v>939949525.088449</v>
      </c>
      <c r="FS20" s="1114">
        <v>296822630.68111098</v>
      </c>
      <c r="FT20" s="1114">
        <v>787298676537.979</v>
      </c>
      <c r="FU20" s="1114">
        <v>238639389909.97</v>
      </c>
      <c r="FV20" s="1114">
        <v>281080.19392971299</v>
      </c>
      <c r="FW20" s="1114">
        <v>482152011680.10199</v>
      </c>
      <c r="FX20" s="1115">
        <v>1159.35369240668</v>
      </c>
      <c r="FY20" s="1115">
        <v>1720.64630759332</v>
      </c>
      <c r="FZ20" s="1114">
        <v>415879998.34563899</v>
      </c>
      <c r="GA20" s="1114">
        <v>280215643.12917501</v>
      </c>
      <c r="GB20" s="1114">
        <v>370669314449.45398</v>
      </c>
      <c r="GC20" s="1114">
        <v>238639389909.97</v>
      </c>
      <c r="GD20" s="1114">
        <v>211526.913089746</v>
      </c>
      <c r="GE20" s="1114">
        <v>334483056239.52301</v>
      </c>
      <c r="GF20" s="1115">
        <v>1574.3491439427401</v>
      </c>
      <c r="GG20" s="1115">
        <v>1305.6508560572599</v>
      </c>
      <c r="GH20" s="1114">
        <v>212457990.99039501</v>
      </c>
      <c r="GI20" s="1114">
        <v>256181087.530229</v>
      </c>
      <c r="GJ20" s="1114">
        <v>787298676537.979</v>
      </c>
      <c r="GK20" s="1114">
        <v>238639389909.97</v>
      </c>
      <c r="GL20" s="1114">
        <v>202804.281087054</v>
      </c>
      <c r="GM20" s="1114">
        <v>308371923533.24597</v>
      </c>
      <c r="GN20" s="1115">
        <v>1647.0950031545799</v>
      </c>
      <c r="GO20" s="1115">
        <v>1232.9049968454201</v>
      </c>
      <c r="GP20" s="1114">
        <v>187221698.16716099</v>
      </c>
      <c r="GQ20" s="1114">
        <v>250118155.35038301</v>
      </c>
      <c r="GR20" s="1114">
        <v>370669314449.45398</v>
      </c>
      <c r="GS20" s="1114">
        <v>238639389909.97</v>
      </c>
      <c r="GU20" s="1171">
        <f t="shared" si="60"/>
        <v>0</v>
      </c>
      <c r="GV20" s="1171">
        <f t="shared" si="61"/>
        <v>0</v>
      </c>
      <c r="GW20" s="1171">
        <f t="shared" si="62"/>
        <v>-3.637978807091713E-12</v>
      </c>
      <c r="GX20" s="1171">
        <f t="shared" si="63"/>
        <v>3.637978807091713E-12</v>
      </c>
      <c r="GY20" s="1171">
        <f t="shared" si="64"/>
        <v>-2.384185791015625E-7</v>
      </c>
      <c r="GZ20" s="1171">
        <f t="shared" si="65"/>
        <v>0</v>
      </c>
      <c r="HA20" s="1171">
        <f t="shared" si="87"/>
        <v>0</v>
      </c>
      <c r="HB20" s="1171">
        <f t="shared" si="66"/>
        <v>0</v>
      </c>
      <c r="HC20" s="1171">
        <f t="shared" si="67"/>
        <v>0</v>
      </c>
      <c r="HD20" s="1171">
        <f t="shared" si="68"/>
        <v>0</v>
      </c>
      <c r="HE20" s="1171">
        <f t="shared" si="69"/>
        <v>-3.637978807091713E-12</v>
      </c>
      <c r="HF20" s="1171">
        <f t="shared" si="70"/>
        <v>3.637978807091713E-12</v>
      </c>
      <c r="HG20" s="1171">
        <f t="shared" si="89"/>
        <v>-2.384185791015625E-7</v>
      </c>
      <c r="HH20" s="1171">
        <f t="shared" si="90"/>
        <v>0</v>
      </c>
      <c r="HI20" s="1171">
        <f t="shared" si="91"/>
        <v>0</v>
      </c>
      <c r="HJ20" s="1171">
        <f t="shared" si="92"/>
        <v>0</v>
      </c>
      <c r="HK20" s="1171">
        <f t="shared" si="93"/>
        <v>0</v>
      </c>
      <c r="HL20" s="1171">
        <f t="shared" si="94"/>
        <v>0</v>
      </c>
      <c r="HM20" s="1171">
        <f t="shared" si="95"/>
        <v>-3.637978807091713E-12</v>
      </c>
      <c r="HN20" s="1171">
        <f t="shared" si="96"/>
        <v>3.637978807091713E-12</v>
      </c>
      <c r="HO20" s="1171">
        <f t="shared" si="97"/>
        <v>-2.384185791015625E-7</v>
      </c>
      <c r="HP20" s="1171">
        <f t="shared" si="98"/>
        <v>0</v>
      </c>
      <c r="HQ20" s="1171">
        <f t="shared" si="99"/>
        <v>0</v>
      </c>
      <c r="HR20" s="1171">
        <f t="shared" si="100"/>
        <v>0</v>
      </c>
      <c r="HS20" s="1171">
        <f t="shared" si="101"/>
        <v>-5.8207660913467407E-10</v>
      </c>
      <c r="HT20" s="1171">
        <f t="shared" si="102"/>
        <v>0</v>
      </c>
      <c r="HU20" s="1171">
        <f t="shared" si="103"/>
        <v>9.0949470177292824E-13</v>
      </c>
      <c r="HV20" s="1171">
        <f t="shared" si="104"/>
        <v>0</v>
      </c>
      <c r="HW20" s="1171">
        <f t="shared" si="105"/>
        <v>-1.1920928955078125E-6</v>
      </c>
      <c r="HX20" s="1171">
        <f t="shared" si="106"/>
        <v>0</v>
      </c>
      <c r="HY20" s="1171">
        <f t="shared" si="107"/>
        <v>0</v>
      </c>
      <c r="HZ20" s="1171">
        <f t="shared" si="108"/>
        <v>0</v>
      </c>
      <c r="IA20" s="1171">
        <f t="shared" si="109"/>
        <v>0</v>
      </c>
      <c r="IB20" s="1171">
        <f t="shared" si="110"/>
        <v>0</v>
      </c>
      <c r="IC20" s="1171">
        <f t="shared" si="111"/>
        <v>2.5011104298755527E-12</v>
      </c>
      <c r="ID20" s="1171">
        <f t="shared" si="112"/>
        <v>-2.5011104298755527E-12</v>
      </c>
      <c r="IE20" s="1171">
        <f t="shared" si="113"/>
        <v>0</v>
      </c>
      <c r="IF20" s="1171">
        <f t="shared" si="114"/>
        <v>0</v>
      </c>
      <c r="IG20" s="1171">
        <f t="shared" si="115"/>
        <v>0</v>
      </c>
      <c r="IH20" s="1171">
        <f t="shared" si="116"/>
        <v>0</v>
      </c>
      <c r="II20" s="1171">
        <f t="shared" si="117"/>
        <v>0</v>
      </c>
      <c r="IJ20" s="1171">
        <f t="shared" si="118"/>
        <v>0</v>
      </c>
      <c r="IK20" s="1171">
        <f t="shared" si="119"/>
        <v>2.2737367544323206E-12</v>
      </c>
      <c r="IL20" s="1171">
        <f t="shared" si="120"/>
        <v>-2.2737367544323206E-12</v>
      </c>
      <c r="IM20" s="1171">
        <f t="shared" si="121"/>
        <v>-3.8743019104003906E-7</v>
      </c>
      <c r="IN20" s="1171">
        <f t="shared" si="122"/>
        <v>0</v>
      </c>
      <c r="IO20" s="1171">
        <f t="shared" si="123"/>
        <v>0</v>
      </c>
      <c r="IP20" s="1171">
        <f t="shared" si="124"/>
        <v>0</v>
      </c>
      <c r="IQ20" s="1171">
        <f t="shared" si="125"/>
        <v>0</v>
      </c>
      <c r="IR20" s="1171">
        <f t="shared" si="126"/>
        <v>0</v>
      </c>
      <c r="IS20" s="1171">
        <f t="shared" si="127"/>
        <v>1.8189894035458565E-12</v>
      </c>
      <c r="IT20" s="1171">
        <f t="shared" si="128"/>
        <v>-1.8189894035458565E-12</v>
      </c>
      <c r="IU20" s="1171">
        <f t="shared" si="129"/>
        <v>-2.384185791015625E-7</v>
      </c>
      <c r="IV20" s="1171">
        <f t="shared" si="130"/>
        <v>0</v>
      </c>
      <c r="IW20" s="1171">
        <f t="shared" si="131"/>
        <v>0</v>
      </c>
      <c r="IX20" s="1171">
        <f t="shared" si="132"/>
        <v>0</v>
      </c>
    </row>
    <row r="21" spans="1:258">
      <c r="A21">
        <v>110</v>
      </c>
      <c r="B21" s="136" t="str">
        <f t="shared" ref="B21" si="146">LEFT(B19,3)+1&amp;"i"</f>
        <v>110i</v>
      </c>
      <c r="C21">
        <v>36.9</v>
      </c>
      <c r="D21" s="136">
        <v>0</v>
      </c>
      <c r="E21" t="s">
        <v>2088</v>
      </c>
      <c r="F21" s="26">
        <v>2</v>
      </c>
      <c r="G21" s="136">
        <v>600</v>
      </c>
      <c r="H21" s="136">
        <v>40</v>
      </c>
      <c r="I21" s="28">
        <v>250</v>
      </c>
      <c r="J21" s="26">
        <v>1940</v>
      </c>
      <c r="K21" s="136">
        <v>40</v>
      </c>
      <c r="L21" s="28">
        <v>120</v>
      </c>
      <c r="M21" s="26">
        <v>2800</v>
      </c>
      <c r="N21" s="28">
        <v>12</v>
      </c>
      <c r="O21" s="26">
        <v>0</v>
      </c>
      <c r="P21" s="26">
        <v>290</v>
      </c>
      <c r="Q21" s="26">
        <f>+Section!L82</f>
        <v>5500</v>
      </c>
      <c r="R21" s="169">
        <v>0</v>
      </c>
      <c r="S21" s="210">
        <v>0</v>
      </c>
      <c r="T21" s="27">
        <v>1200</v>
      </c>
      <c r="U21" s="27">
        <v>2400</v>
      </c>
      <c r="V21" s="28">
        <v>3800</v>
      </c>
      <c r="W21" s="210">
        <v>19</v>
      </c>
      <c r="X21" s="210">
        <v>200</v>
      </c>
      <c r="Y21" s="169">
        <v>50</v>
      </c>
      <c r="Z21" s="210">
        <v>16</v>
      </c>
      <c r="AA21" s="210">
        <v>200</v>
      </c>
      <c r="AB21" s="28">
        <v>40</v>
      </c>
      <c r="AC21" s="210">
        <v>0</v>
      </c>
      <c r="AD21" s="26">
        <v>2</v>
      </c>
      <c r="AE21" s="169">
        <v>160</v>
      </c>
      <c r="AF21" s="169">
        <v>16</v>
      </c>
      <c r="AG21" s="26">
        <v>0</v>
      </c>
      <c r="AH21" s="169">
        <v>0</v>
      </c>
      <c r="AI21" s="169">
        <v>0</v>
      </c>
      <c r="AJ21" s="397">
        <v>2</v>
      </c>
      <c r="AK21" s="210">
        <v>2500</v>
      </c>
      <c r="AL21" s="210">
        <v>5000</v>
      </c>
      <c r="AM21" s="210" t="s">
        <v>2316</v>
      </c>
      <c r="AN21" s="210">
        <v>2500</v>
      </c>
      <c r="AO21" s="1143" t="s">
        <v>2320</v>
      </c>
      <c r="AP21" s="1143" t="s">
        <v>2321</v>
      </c>
      <c r="AQ21" s="136">
        <v>150</v>
      </c>
      <c r="AR21" s="136">
        <v>14</v>
      </c>
      <c r="AS21" s="1143" t="s">
        <v>2448</v>
      </c>
      <c r="AT21" s="136">
        <v>120</v>
      </c>
      <c r="AU21" s="136">
        <v>12</v>
      </c>
      <c r="AV21" s="1109" t="s">
        <v>2157</v>
      </c>
      <c r="AW21" s="1109">
        <v>12</v>
      </c>
      <c r="AX21" s="1109">
        <v>400</v>
      </c>
      <c r="AY21" s="1109">
        <v>1000</v>
      </c>
      <c r="AZ21" s="1108">
        <v>8</v>
      </c>
      <c r="BA21" s="1108">
        <v>6</v>
      </c>
      <c r="BC21" s="1168"/>
      <c r="BD21" s="210">
        <f>INDEX(Spec!$B$12:$P$58,MATCH(AO21,Spec!$A$12:$A$58,0),6)*100</f>
        <v>5021</v>
      </c>
      <c r="BE21" s="210">
        <f>INDEX(Spec!$B$12:$P$58,MATCH(AP21,Spec!$A$12:$A$58,0),6)*100</f>
        <v>1900</v>
      </c>
      <c r="BF21" s="881">
        <f t="shared" si="0"/>
        <v>1.8117883028477031</v>
      </c>
      <c r="BG21" s="881">
        <f t="shared" si="1"/>
        <v>47.243485714285718</v>
      </c>
      <c r="BH21" s="881"/>
      <c r="BI21" s="13" cm="1">
        <f t="array" ref="BI21">INDEX(Info!$AD$4:$AH$15,MATCH(Info!$I$13,Info!$AC$4:$AC$15,0),IF(H21&lt;=16,1,IF(H21&lt;=40,2,IF(H21&lt;=75,3,IF(H21&lt;=100,4,5)))))</f>
        <v>380</v>
      </c>
      <c r="BJ21" s="13" cm="1">
        <f t="array" ref="BJ21">INDEX(Info!$AD$4:$AH$15,MATCH(Info!$I$13,Info!$AC$4:$AC$15,0),IF(K21&lt;=16,1,IF(K21&lt;=40,2,IF(K21&lt;=75,3,IF(K21&lt;=100,4,5)))))</f>
        <v>380</v>
      </c>
      <c r="BK21" s="13" cm="1">
        <f t="array" ref="BK21">INDEX(Info!$AD$4:$AH$15,MATCH(Info!$I$14,Info!$AC$4:$AC$15,0),IF(N21&lt;=16,1,IF(N21&lt;=40,2,IF(N21&lt;=75,3,IF(N21&lt;=100,4,5)))))</f>
        <v>355</v>
      </c>
      <c r="BL21" s="13">
        <f>IF(Stress!C850="Positive",MAX(MIN(0.7*BI21,BK21),0.5*BI21),MAX(MIN(0.7*BJ21,BK21),0.5*BJ21))</f>
        <v>266</v>
      </c>
      <c r="BM21" s="13" cm="1">
        <f t="array" ref="BM21">INDEX(Info!$AD$4:$AH$15,MATCH(Info!$I$13,Info!$AC$4:$AC$15,0),IF(AI21&lt;=16,1,IF(AI21&lt;=40,2,IF(AI21&lt;=75,3,IF(AI21&lt;=100,4,5)))))</f>
        <v>380</v>
      </c>
      <c r="BN21" s="13" cm="1">
        <f t="array" ref="BN21">INDEX(Info!$AD$4:$AH$15,MATCH(Info!$I$13,Info!$AC$4:$AC$15,0),IF(AF21&lt;=16,1,IF(AF21&lt;=40,2,IF(AF21&lt;=75,3,IF(AF21&lt;=100,4,5)))))</f>
        <v>380</v>
      </c>
      <c r="BO21" s="13"/>
      <c r="BP21" s="13">
        <f t="shared" si="2"/>
        <v>0.125</v>
      </c>
      <c r="BQ21" s="13">
        <f t="shared" si="3"/>
        <v>2821.7902119044925</v>
      </c>
      <c r="BR21" s="13">
        <f t="shared" si="72"/>
        <v>3130</v>
      </c>
      <c r="BS21" s="13"/>
      <c r="BT21" s="136">
        <f t="shared" si="4"/>
        <v>0</v>
      </c>
      <c r="BU21" s="136">
        <f t="shared" si="5"/>
        <v>0</v>
      </c>
      <c r="BV21" s="136">
        <f t="shared" si="6"/>
        <v>1595000</v>
      </c>
      <c r="BW21" s="136">
        <f t="shared" si="7"/>
        <v>11178291666.666666</v>
      </c>
      <c r="BX21" s="136">
        <f t="shared" si="8"/>
        <v>0</v>
      </c>
      <c r="BY21" s="136">
        <f t="shared" si="9"/>
        <v>0</v>
      </c>
      <c r="BZ21" s="136">
        <f t="shared" si="10"/>
        <v>7655.2758986349281</v>
      </c>
      <c r="CA21" s="136">
        <f t="shared" si="11"/>
        <v>172722.16246295057</v>
      </c>
      <c r="CB21" s="136">
        <f t="shared" si="12"/>
        <v>5428.6721054031623</v>
      </c>
      <c r="CC21" s="136">
        <f t="shared" si="13"/>
        <v>86858.753686450596</v>
      </c>
      <c r="CE21" s="1137">
        <f t="shared" si="14"/>
        <v>346081987.77679139</v>
      </c>
      <c r="CF21" s="1136">
        <f t="shared" si="15"/>
        <v>411131448.88888884</v>
      </c>
      <c r="CG21" s="1136">
        <f t="shared" si="16"/>
        <v>0</v>
      </c>
      <c r="CH21" s="172">
        <f t="shared" si="17"/>
        <v>4020729166666.6665</v>
      </c>
      <c r="CJ21" s="136">
        <f t="shared" si="18"/>
        <v>198442.96508570784</v>
      </c>
      <c r="CK21" s="7">
        <f t="shared" si="19"/>
        <v>294458361973.75983</v>
      </c>
      <c r="CL21" s="6">
        <f t="shared" si="20"/>
        <v>1685.8661105921663</v>
      </c>
      <c r="CM21" s="6">
        <f t="shared" si="21"/>
        <v>1194.1338894078337</v>
      </c>
      <c r="CN21" s="164">
        <f t="shared" si="73"/>
        <v>174662958.18137676</v>
      </c>
      <c r="CO21" s="164">
        <f t="shared" si="74"/>
        <v>246587392.40687704</v>
      </c>
      <c r="CP21" s="1137">
        <f t="shared" si="22"/>
        <v>162354633405.19186</v>
      </c>
      <c r="CQ21" s="1136">
        <f t="shared" si="23"/>
        <v>72562465391.25</v>
      </c>
      <c r="CR21" s="22">
        <f t="shared" si="24"/>
        <v>198442.96508570784</v>
      </c>
      <c r="CS21" s="7">
        <f t="shared" si="25"/>
        <v>294458361973.75983</v>
      </c>
      <c r="CT21" s="6">
        <f t="shared" si="26"/>
        <v>1685.8661105921663</v>
      </c>
      <c r="CU21" s="12">
        <f t="shared" si="27"/>
        <v>1194.1338894078337</v>
      </c>
      <c r="CV21" s="164">
        <f t="shared" si="28"/>
        <v>174662958.18137676</v>
      </c>
      <c r="CW21" s="164">
        <f t="shared" si="29"/>
        <v>246587392.40687704</v>
      </c>
      <c r="CX21" s="1136">
        <f t="shared" si="30"/>
        <v>162354633405.19186</v>
      </c>
      <c r="CY21" s="1136">
        <f t="shared" si="31"/>
        <v>72562465391.25</v>
      </c>
      <c r="CZ21" s="22">
        <f t="shared" si="32"/>
        <v>198442.96508570784</v>
      </c>
      <c r="DA21" s="7">
        <f t="shared" si="33"/>
        <v>294458361973.75983</v>
      </c>
      <c r="DB21" s="6">
        <f t="shared" si="34"/>
        <v>1685.8661105921663</v>
      </c>
      <c r="DC21" s="12">
        <f t="shared" si="35"/>
        <v>1194.1338894078337</v>
      </c>
      <c r="DD21" s="164">
        <f t="shared" si="75"/>
        <v>174662958.18137676</v>
      </c>
      <c r="DE21" s="164">
        <f t="shared" si="76"/>
        <v>246587392.40687704</v>
      </c>
      <c r="DF21" s="1136">
        <f t="shared" si="36"/>
        <v>162354633405.19186</v>
      </c>
      <c r="DG21" s="1136">
        <f t="shared" si="37"/>
        <v>72562465391.25</v>
      </c>
      <c r="DH21" s="22">
        <f t="shared" si="38"/>
        <v>446354.65161772241</v>
      </c>
      <c r="DI21" s="172">
        <f t="shared" si="39"/>
        <v>649687231067.52405</v>
      </c>
      <c r="DJ21" s="12">
        <f t="shared" si="40"/>
        <v>691.19374362829694</v>
      </c>
      <c r="DK21" s="22">
        <f t="shared" si="41"/>
        <v>2188.8062563717031</v>
      </c>
      <c r="DL21" s="164">
        <f t="shared" si="77"/>
        <v>939949525.08844781</v>
      </c>
      <c r="DM21" s="164">
        <f t="shared" si="78"/>
        <v>296822630.6811114</v>
      </c>
      <c r="DN21" s="7">
        <f t="shared" si="42"/>
        <v>787298676537.97864</v>
      </c>
      <c r="DO21" s="1136">
        <f t="shared" si="43"/>
        <v>238639389909.96988</v>
      </c>
      <c r="DP21" s="22">
        <f t="shared" si="44"/>
        <v>281080.1939297127</v>
      </c>
      <c r="DQ21" s="172">
        <f t="shared" si="45"/>
        <v>482152011680.10175</v>
      </c>
      <c r="DR21" s="22">
        <f t="shared" si="46"/>
        <v>1159.3536924066825</v>
      </c>
      <c r="DS21" s="22">
        <f t="shared" si="47"/>
        <v>1720.6463075933175</v>
      </c>
      <c r="DT21" s="164">
        <f t="shared" si="79"/>
        <v>415879998.34563911</v>
      </c>
      <c r="DU21" s="164">
        <f t="shared" si="80"/>
        <v>280215643.12917501</v>
      </c>
      <c r="DV21" s="1136">
        <f t="shared" si="48"/>
        <v>370669314449.4541</v>
      </c>
      <c r="DW21" s="1136">
        <f t="shared" si="49"/>
        <v>238639389909.96988</v>
      </c>
      <c r="DX21" s="763">
        <f t="shared" si="50"/>
        <v>211526.91308974594</v>
      </c>
      <c r="DY21" s="7">
        <f t="shared" si="51"/>
        <v>334483056239.52264</v>
      </c>
      <c r="DZ21" s="13">
        <f t="shared" si="52"/>
        <v>1574.3491439427423</v>
      </c>
      <c r="EA21" s="763">
        <f t="shared" si="53"/>
        <v>1305.6508560572577</v>
      </c>
      <c r="EB21" s="164">
        <f t="shared" si="81"/>
        <v>212457990.99039462</v>
      </c>
      <c r="EC21" s="164">
        <f t="shared" si="82"/>
        <v>256181087.53022891</v>
      </c>
      <c r="ED21" s="1136">
        <f t="shared" si="54"/>
        <v>787298676537.97864</v>
      </c>
      <c r="EE21" s="1136">
        <f t="shared" si="55"/>
        <v>238639389909.96988</v>
      </c>
      <c r="EF21" s="763">
        <f t="shared" si="56"/>
        <v>202804.28108705388</v>
      </c>
      <c r="EG21" s="7">
        <f t="shared" si="57"/>
        <v>308371923533.24579</v>
      </c>
      <c r="EH21" s="13">
        <f t="shared" si="58"/>
        <v>1647.0950031545817</v>
      </c>
      <c r="EI21" s="763">
        <f t="shared" si="59"/>
        <v>1232.9049968454183</v>
      </c>
      <c r="EJ21" s="164">
        <f t="shared" si="83"/>
        <v>187221698.16716075</v>
      </c>
      <c r="EK21" s="164">
        <f t="shared" si="84"/>
        <v>250118155.35038298</v>
      </c>
      <c r="EL21" s="1136">
        <f t="shared" si="85"/>
        <v>370669314449.4541</v>
      </c>
      <c r="EM21" s="1136">
        <f t="shared" si="86"/>
        <v>238639389909.96988</v>
      </c>
      <c r="EN21" s="164"/>
      <c r="EO21" s="1113" t="s">
        <v>2179</v>
      </c>
      <c r="EP21" s="1114">
        <v>198442.96508570801</v>
      </c>
      <c r="EQ21" s="1114">
        <v>294458361973.76001</v>
      </c>
      <c r="ER21" s="1115">
        <v>1685.8661105921699</v>
      </c>
      <c r="ES21" s="1115">
        <v>1194.1338894078301</v>
      </c>
      <c r="ET21" s="1114">
        <v>174662958.18137699</v>
      </c>
      <c r="EU21" s="1114">
        <v>246587392.40687701</v>
      </c>
      <c r="EV21" s="1114">
        <v>162354633405.19199</v>
      </c>
      <c r="EW21" s="1114">
        <v>72562465391.25</v>
      </c>
      <c r="EX21" s="1114">
        <v>198442.96508570801</v>
      </c>
      <c r="EY21" s="1114">
        <v>294458361973.76001</v>
      </c>
      <c r="EZ21" s="1115">
        <v>1685.8661105921699</v>
      </c>
      <c r="FA21" s="1115">
        <v>1194.1338894078301</v>
      </c>
      <c r="FB21" s="1114">
        <v>174662958.18137699</v>
      </c>
      <c r="FC21" s="1114">
        <v>246587392.40687701</v>
      </c>
      <c r="FD21" s="1114">
        <v>162354633405.19199</v>
      </c>
      <c r="FE21" s="1114">
        <v>72562465391.25</v>
      </c>
      <c r="FF21" s="1114">
        <v>198442.96508570801</v>
      </c>
      <c r="FG21" s="1114">
        <v>294458361973.76001</v>
      </c>
      <c r="FH21" s="1115">
        <v>1685.8661105921699</v>
      </c>
      <c r="FI21" s="1115">
        <v>1194.1338894078301</v>
      </c>
      <c r="FJ21" s="1114">
        <v>174662958.18137699</v>
      </c>
      <c r="FK21" s="1114">
        <v>246587392.40687701</v>
      </c>
      <c r="FL21" s="1114">
        <v>162354633405.19199</v>
      </c>
      <c r="FM21" s="1114">
        <v>72562465391.25</v>
      </c>
      <c r="FN21" s="1114">
        <v>446354.65161772299</v>
      </c>
      <c r="FO21" s="1114">
        <v>649687231067.52405</v>
      </c>
      <c r="FP21" s="1115">
        <v>691.19374362829603</v>
      </c>
      <c r="FQ21" s="1115">
        <v>2188.8062563716999</v>
      </c>
      <c r="FR21" s="1114">
        <v>939949525.088449</v>
      </c>
      <c r="FS21" s="1114">
        <v>296822630.68111098</v>
      </c>
      <c r="FT21" s="1114">
        <v>787298676537.979</v>
      </c>
      <c r="FU21" s="1114">
        <v>238639389909.97</v>
      </c>
      <c r="FV21" s="1114">
        <v>281080.19392971299</v>
      </c>
      <c r="FW21" s="1114">
        <v>482152011680.10199</v>
      </c>
      <c r="FX21" s="1115">
        <v>1159.35369240668</v>
      </c>
      <c r="FY21" s="1115">
        <v>1720.64630759332</v>
      </c>
      <c r="FZ21" s="1114">
        <v>415879998.34563899</v>
      </c>
      <c r="GA21" s="1114">
        <v>280215643.12917501</v>
      </c>
      <c r="GB21" s="1114">
        <v>370669314449.45398</v>
      </c>
      <c r="GC21" s="1114">
        <v>238639389909.97</v>
      </c>
      <c r="GD21" s="1114">
        <v>211526.913089746</v>
      </c>
      <c r="GE21" s="1114">
        <v>334483056239.52301</v>
      </c>
      <c r="GF21" s="1115">
        <v>1574.3491439427401</v>
      </c>
      <c r="GG21" s="1115">
        <v>1305.6508560572599</v>
      </c>
      <c r="GH21" s="1114">
        <v>212457990.99039501</v>
      </c>
      <c r="GI21" s="1114">
        <v>256181087.530229</v>
      </c>
      <c r="GJ21" s="1114">
        <v>787298676537.979</v>
      </c>
      <c r="GK21" s="1114">
        <v>238639389909.97</v>
      </c>
      <c r="GL21" s="1114">
        <v>202804.281087054</v>
      </c>
      <c r="GM21" s="1114">
        <v>308371923533.24597</v>
      </c>
      <c r="GN21" s="1115">
        <v>1647.0950031545799</v>
      </c>
      <c r="GO21" s="1115">
        <v>1232.9049968454201</v>
      </c>
      <c r="GP21" s="1114">
        <v>187221698.16716099</v>
      </c>
      <c r="GQ21" s="1114">
        <v>250118155.35038301</v>
      </c>
      <c r="GR21" s="1114">
        <v>370669314449.45398</v>
      </c>
      <c r="GS21" s="1114">
        <v>238639389909.97</v>
      </c>
      <c r="GU21" s="1171">
        <f t="shared" si="60"/>
        <v>0</v>
      </c>
      <c r="GV21" s="1171">
        <f t="shared" si="61"/>
        <v>0</v>
      </c>
      <c r="GW21" s="1171">
        <f t="shared" si="62"/>
        <v>-3.637978807091713E-12</v>
      </c>
      <c r="GX21" s="1171">
        <f t="shared" si="63"/>
        <v>3.637978807091713E-12</v>
      </c>
      <c r="GY21" s="1171">
        <f t="shared" si="64"/>
        <v>-2.384185791015625E-7</v>
      </c>
      <c r="GZ21" s="1171">
        <f t="shared" si="65"/>
        <v>0</v>
      </c>
      <c r="HA21" s="1171">
        <f t="shared" si="87"/>
        <v>0</v>
      </c>
      <c r="HB21" s="1171">
        <f t="shared" si="66"/>
        <v>0</v>
      </c>
      <c r="HC21" s="1171">
        <f t="shared" si="67"/>
        <v>0</v>
      </c>
      <c r="HD21" s="1171">
        <f t="shared" si="68"/>
        <v>0</v>
      </c>
      <c r="HE21" s="1171">
        <f t="shared" si="69"/>
        <v>-3.637978807091713E-12</v>
      </c>
      <c r="HF21" s="1171">
        <f t="shared" si="70"/>
        <v>3.637978807091713E-12</v>
      </c>
      <c r="HG21" s="1171">
        <f t="shared" si="89"/>
        <v>-2.384185791015625E-7</v>
      </c>
      <c r="HH21" s="1171">
        <f t="shared" si="90"/>
        <v>0</v>
      </c>
      <c r="HI21" s="1171">
        <f t="shared" si="91"/>
        <v>0</v>
      </c>
      <c r="HJ21" s="1171">
        <f t="shared" si="92"/>
        <v>0</v>
      </c>
      <c r="HK21" s="1171">
        <f t="shared" si="93"/>
        <v>0</v>
      </c>
      <c r="HL21" s="1171">
        <f t="shared" si="94"/>
        <v>0</v>
      </c>
      <c r="HM21" s="1171">
        <f t="shared" si="95"/>
        <v>-3.637978807091713E-12</v>
      </c>
      <c r="HN21" s="1171">
        <f t="shared" si="96"/>
        <v>3.637978807091713E-12</v>
      </c>
      <c r="HO21" s="1171">
        <f t="shared" si="97"/>
        <v>-2.384185791015625E-7</v>
      </c>
      <c r="HP21" s="1171">
        <f t="shared" si="98"/>
        <v>0</v>
      </c>
      <c r="HQ21" s="1171">
        <f t="shared" si="99"/>
        <v>0</v>
      </c>
      <c r="HR21" s="1171">
        <f t="shared" si="100"/>
        <v>0</v>
      </c>
      <c r="HS21" s="1171">
        <f t="shared" si="101"/>
        <v>-5.8207660913467407E-10</v>
      </c>
      <c r="HT21" s="1171">
        <f t="shared" si="102"/>
        <v>0</v>
      </c>
      <c r="HU21" s="1171">
        <f t="shared" si="103"/>
        <v>9.0949470177292824E-13</v>
      </c>
      <c r="HV21" s="1171">
        <f t="shared" si="104"/>
        <v>0</v>
      </c>
      <c r="HW21" s="1171">
        <f t="shared" si="105"/>
        <v>-1.1920928955078125E-6</v>
      </c>
      <c r="HX21" s="1171">
        <f t="shared" si="106"/>
        <v>0</v>
      </c>
      <c r="HY21" s="1171">
        <f t="shared" si="107"/>
        <v>0</v>
      </c>
      <c r="HZ21" s="1171">
        <f t="shared" si="108"/>
        <v>0</v>
      </c>
      <c r="IA21" s="1171">
        <f t="shared" si="109"/>
        <v>0</v>
      </c>
      <c r="IB21" s="1171">
        <f t="shared" si="110"/>
        <v>0</v>
      </c>
      <c r="IC21" s="1171">
        <f t="shared" si="111"/>
        <v>2.5011104298755527E-12</v>
      </c>
      <c r="ID21" s="1171">
        <f t="shared" si="112"/>
        <v>-2.5011104298755527E-12</v>
      </c>
      <c r="IE21" s="1171">
        <f t="shared" si="113"/>
        <v>0</v>
      </c>
      <c r="IF21" s="1171">
        <f t="shared" si="114"/>
        <v>0</v>
      </c>
      <c r="IG21" s="1171">
        <f t="shared" si="115"/>
        <v>0</v>
      </c>
      <c r="IH21" s="1171">
        <f t="shared" si="116"/>
        <v>0</v>
      </c>
      <c r="II21" s="1171">
        <f t="shared" si="117"/>
        <v>0</v>
      </c>
      <c r="IJ21" s="1171">
        <f t="shared" si="118"/>
        <v>0</v>
      </c>
      <c r="IK21" s="1171">
        <f t="shared" si="119"/>
        <v>2.2737367544323206E-12</v>
      </c>
      <c r="IL21" s="1171">
        <f t="shared" si="120"/>
        <v>-2.2737367544323206E-12</v>
      </c>
      <c r="IM21" s="1171">
        <f t="shared" si="121"/>
        <v>-3.8743019104003906E-7</v>
      </c>
      <c r="IN21" s="1171">
        <f t="shared" si="122"/>
        <v>0</v>
      </c>
      <c r="IO21" s="1171">
        <f t="shared" si="123"/>
        <v>0</v>
      </c>
      <c r="IP21" s="1171">
        <f t="shared" si="124"/>
        <v>0</v>
      </c>
      <c r="IQ21" s="1171">
        <f t="shared" si="125"/>
        <v>0</v>
      </c>
      <c r="IR21" s="1171">
        <f t="shared" si="126"/>
        <v>0</v>
      </c>
      <c r="IS21" s="1171">
        <f t="shared" si="127"/>
        <v>1.8189894035458565E-12</v>
      </c>
      <c r="IT21" s="1171">
        <f t="shared" si="128"/>
        <v>-1.8189894035458565E-12</v>
      </c>
      <c r="IU21" s="1171">
        <f t="shared" si="129"/>
        <v>-2.384185791015625E-7</v>
      </c>
      <c r="IV21" s="1171">
        <f t="shared" si="130"/>
        <v>0</v>
      </c>
      <c r="IW21" s="1171">
        <f t="shared" si="131"/>
        <v>0</v>
      </c>
      <c r="IX21" s="1171">
        <f t="shared" si="132"/>
        <v>0</v>
      </c>
    </row>
    <row r="22" spans="1:258">
      <c r="B22" s="136" t="str">
        <f t="shared" ref="B22" si="147">LEFT(B20,3)+1&amp;"j"</f>
        <v>110j</v>
      </c>
      <c r="C22">
        <v>41.9</v>
      </c>
      <c r="D22" s="136">
        <v>0</v>
      </c>
      <c r="E22" t="s">
        <v>2088</v>
      </c>
      <c r="F22" s="26">
        <v>2</v>
      </c>
      <c r="G22" s="136">
        <v>600</v>
      </c>
      <c r="H22" s="136">
        <v>40</v>
      </c>
      <c r="I22" s="28">
        <v>250</v>
      </c>
      <c r="J22" s="26">
        <v>1940</v>
      </c>
      <c r="K22" s="136">
        <v>40</v>
      </c>
      <c r="L22" s="28">
        <v>120</v>
      </c>
      <c r="M22" s="26">
        <v>2800</v>
      </c>
      <c r="N22" s="28">
        <v>12</v>
      </c>
      <c r="O22" s="26">
        <v>0</v>
      </c>
      <c r="P22" s="26">
        <v>290</v>
      </c>
      <c r="Q22" s="26">
        <f>+Section!L83</f>
        <v>5500</v>
      </c>
      <c r="R22" s="169">
        <v>0</v>
      </c>
      <c r="S22" s="210">
        <v>0</v>
      </c>
      <c r="T22" s="27">
        <v>1200</v>
      </c>
      <c r="U22" s="27">
        <v>2400</v>
      </c>
      <c r="V22" s="28">
        <v>3800</v>
      </c>
      <c r="W22" s="210">
        <v>19</v>
      </c>
      <c r="X22" s="210">
        <v>200</v>
      </c>
      <c r="Y22" s="169">
        <v>50</v>
      </c>
      <c r="Z22" s="210">
        <v>16</v>
      </c>
      <c r="AA22" s="210">
        <v>200</v>
      </c>
      <c r="AB22" s="28">
        <v>40</v>
      </c>
      <c r="AC22" s="210">
        <v>0</v>
      </c>
      <c r="AD22" s="26">
        <v>2</v>
      </c>
      <c r="AE22" s="169">
        <v>160</v>
      </c>
      <c r="AF22" s="169">
        <v>16</v>
      </c>
      <c r="AG22" s="26">
        <v>0</v>
      </c>
      <c r="AH22" s="169">
        <v>0</v>
      </c>
      <c r="AI22" s="169">
        <v>0</v>
      </c>
      <c r="AJ22" s="397">
        <v>2</v>
      </c>
      <c r="AK22" s="210">
        <v>2500</v>
      </c>
      <c r="AL22" s="210">
        <v>5000</v>
      </c>
      <c r="AM22" s="210" t="s">
        <v>2316</v>
      </c>
      <c r="AN22" s="210">
        <v>2500</v>
      </c>
      <c r="AO22" s="1143" t="s">
        <v>2320</v>
      </c>
      <c r="AP22" s="1143" t="s">
        <v>2321</v>
      </c>
      <c r="AQ22" s="136">
        <v>150</v>
      </c>
      <c r="AR22" s="136">
        <v>14</v>
      </c>
      <c r="AS22" s="1143" t="s">
        <v>2448</v>
      </c>
      <c r="AT22" s="136">
        <v>120</v>
      </c>
      <c r="AU22" s="136">
        <v>12</v>
      </c>
      <c r="AV22" s="1109" t="s">
        <v>2157</v>
      </c>
      <c r="AW22" s="1109">
        <v>12</v>
      </c>
      <c r="AX22" s="1109">
        <v>400</v>
      </c>
      <c r="AY22" s="1109">
        <v>1000</v>
      </c>
      <c r="AZ22" s="1108">
        <v>8</v>
      </c>
      <c r="BA22" s="1108">
        <v>6</v>
      </c>
      <c r="BC22" s="1168"/>
      <c r="BD22" s="210">
        <f>INDEX(Spec!$B$12:$P$58,MATCH(AO22,Spec!$A$12:$A$58,0),6)*100</f>
        <v>5021</v>
      </c>
      <c r="BE22" s="210">
        <f>INDEX(Spec!$B$12:$P$58,MATCH(AP22,Spec!$A$12:$A$58,0),6)*100</f>
        <v>1900</v>
      </c>
      <c r="BF22" s="881">
        <f t="shared" si="0"/>
        <v>1.8117883028477031</v>
      </c>
      <c r="BG22" s="881">
        <f t="shared" si="1"/>
        <v>47.243485714285718</v>
      </c>
      <c r="BH22" s="881"/>
      <c r="BI22" s="13" cm="1">
        <f t="array" ref="BI22">INDEX(Info!$AD$4:$AH$15,MATCH(Info!$I$13,Info!$AC$4:$AC$15,0),IF(H22&lt;=16,1,IF(H22&lt;=40,2,IF(H22&lt;=75,3,IF(H22&lt;=100,4,5)))))</f>
        <v>380</v>
      </c>
      <c r="BJ22" s="13" cm="1">
        <f t="array" ref="BJ22">INDEX(Info!$AD$4:$AH$15,MATCH(Info!$I$13,Info!$AC$4:$AC$15,0),IF(K22&lt;=16,1,IF(K22&lt;=40,2,IF(K22&lt;=75,3,IF(K22&lt;=100,4,5)))))</f>
        <v>380</v>
      </c>
      <c r="BK22" s="13" cm="1">
        <f t="array" ref="BK22">INDEX(Info!$AD$4:$AH$15,MATCH(Info!$I$14,Info!$AC$4:$AC$15,0),IF(N22&lt;=16,1,IF(N22&lt;=40,2,IF(N22&lt;=75,3,IF(N22&lt;=100,4,5)))))</f>
        <v>355</v>
      </c>
      <c r="BL22" s="13">
        <f>IF(Stress!C851="Positive",MAX(MIN(0.7*BI22,BK22),0.5*BI22),MAX(MIN(0.7*BJ22,BK22),0.5*BJ22))</f>
        <v>266</v>
      </c>
      <c r="BM22" s="13" cm="1">
        <f t="array" ref="BM22">INDEX(Info!$AD$4:$AH$15,MATCH(Info!$I$13,Info!$AC$4:$AC$15,0),IF(AI22&lt;=16,1,IF(AI22&lt;=40,2,IF(AI22&lt;=75,3,IF(AI22&lt;=100,4,5)))))</f>
        <v>380</v>
      </c>
      <c r="BN22" s="13" cm="1">
        <f t="array" ref="BN22">INDEX(Info!$AD$4:$AH$15,MATCH(Info!$I$13,Info!$AC$4:$AC$15,0),IF(AF22&lt;=16,1,IF(AF22&lt;=40,2,IF(AF22&lt;=75,3,IF(AF22&lt;=100,4,5)))))</f>
        <v>380</v>
      </c>
      <c r="BO22" s="13"/>
      <c r="BP22" s="13">
        <f t="shared" si="2"/>
        <v>0.125</v>
      </c>
      <c r="BQ22" s="13">
        <f t="shared" si="3"/>
        <v>2821.7902119044925</v>
      </c>
      <c r="BR22" s="13">
        <f t="shared" si="72"/>
        <v>3130</v>
      </c>
      <c r="BS22" s="13"/>
      <c r="BT22" s="136">
        <f t="shared" si="4"/>
        <v>0</v>
      </c>
      <c r="BU22" s="136">
        <f t="shared" si="5"/>
        <v>0</v>
      </c>
      <c r="BV22" s="136">
        <f t="shared" si="6"/>
        <v>1595000</v>
      </c>
      <c r="BW22" s="136">
        <f t="shared" si="7"/>
        <v>11178291666.666666</v>
      </c>
      <c r="BX22" s="136">
        <f t="shared" si="8"/>
        <v>0</v>
      </c>
      <c r="BY22" s="136">
        <f t="shared" si="9"/>
        <v>0</v>
      </c>
      <c r="BZ22" s="136">
        <f t="shared" si="10"/>
        <v>7655.2758986349281</v>
      </c>
      <c r="CA22" s="136">
        <f t="shared" si="11"/>
        <v>172722.16246295057</v>
      </c>
      <c r="CB22" s="136">
        <f t="shared" si="12"/>
        <v>5428.6721054031623</v>
      </c>
      <c r="CC22" s="136">
        <f t="shared" si="13"/>
        <v>86858.753686450596</v>
      </c>
      <c r="CE22" s="1137">
        <f t="shared" si="14"/>
        <v>346081987.77679139</v>
      </c>
      <c r="CF22" s="1136">
        <f t="shared" si="15"/>
        <v>411131448.88888884</v>
      </c>
      <c r="CG22" s="1136">
        <f t="shared" si="16"/>
        <v>0</v>
      </c>
      <c r="CH22" s="172">
        <f t="shared" si="17"/>
        <v>4020729166666.6665</v>
      </c>
      <c r="CJ22" s="136">
        <f t="shared" si="18"/>
        <v>198442.96508570784</v>
      </c>
      <c r="CK22" s="7">
        <f t="shared" si="19"/>
        <v>294458361973.75983</v>
      </c>
      <c r="CL22" s="6">
        <f t="shared" si="20"/>
        <v>1685.8661105921663</v>
      </c>
      <c r="CM22" s="6">
        <f t="shared" si="21"/>
        <v>1194.1338894078337</v>
      </c>
      <c r="CN22" s="164">
        <f t="shared" si="73"/>
        <v>174662958.18137676</v>
      </c>
      <c r="CO22" s="164">
        <f t="shared" si="74"/>
        <v>246587392.40687704</v>
      </c>
      <c r="CP22" s="1137">
        <f t="shared" si="22"/>
        <v>162354633405.19186</v>
      </c>
      <c r="CQ22" s="1136">
        <f t="shared" si="23"/>
        <v>72562465391.25</v>
      </c>
      <c r="CR22" s="22">
        <f t="shared" si="24"/>
        <v>198442.96508570784</v>
      </c>
      <c r="CS22" s="7">
        <f t="shared" si="25"/>
        <v>294458361973.75983</v>
      </c>
      <c r="CT22" s="6">
        <f t="shared" si="26"/>
        <v>1685.8661105921663</v>
      </c>
      <c r="CU22" s="12">
        <f t="shared" si="27"/>
        <v>1194.1338894078337</v>
      </c>
      <c r="CV22" s="164">
        <f t="shared" si="28"/>
        <v>174662958.18137676</v>
      </c>
      <c r="CW22" s="164">
        <f t="shared" si="29"/>
        <v>246587392.40687704</v>
      </c>
      <c r="CX22" s="1136">
        <f t="shared" si="30"/>
        <v>162354633405.19186</v>
      </c>
      <c r="CY22" s="1136">
        <f t="shared" si="31"/>
        <v>72562465391.25</v>
      </c>
      <c r="CZ22" s="22">
        <f t="shared" si="32"/>
        <v>198442.96508570784</v>
      </c>
      <c r="DA22" s="7">
        <f t="shared" si="33"/>
        <v>294458361973.75983</v>
      </c>
      <c r="DB22" s="6">
        <f t="shared" si="34"/>
        <v>1685.8661105921663</v>
      </c>
      <c r="DC22" s="12">
        <f t="shared" si="35"/>
        <v>1194.1338894078337</v>
      </c>
      <c r="DD22" s="164">
        <f t="shared" si="75"/>
        <v>174662958.18137676</v>
      </c>
      <c r="DE22" s="164">
        <f t="shared" si="76"/>
        <v>246587392.40687704</v>
      </c>
      <c r="DF22" s="1136">
        <f t="shared" si="36"/>
        <v>162354633405.19186</v>
      </c>
      <c r="DG22" s="1136">
        <f t="shared" si="37"/>
        <v>72562465391.25</v>
      </c>
      <c r="DH22" s="22">
        <f t="shared" si="38"/>
        <v>446354.65161772241</v>
      </c>
      <c r="DI22" s="172">
        <f t="shared" si="39"/>
        <v>649687231067.52405</v>
      </c>
      <c r="DJ22" s="12">
        <f t="shared" si="40"/>
        <v>691.19374362829694</v>
      </c>
      <c r="DK22" s="22">
        <f t="shared" si="41"/>
        <v>2188.8062563717031</v>
      </c>
      <c r="DL22" s="164">
        <f t="shared" si="77"/>
        <v>939949525.08844781</v>
      </c>
      <c r="DM22" s="164">
        <f t="shared" si="78"/>
        <v>296822630.6811114</v>
      </c>
      <c r="DN22" s="7">
        <f t="shared" si="42"/>
        <v>787298676537.97864</v>
      </c>
      <c r="DO22" s="1136">
        <f t="shared" si="43"/>
        <v>238639389909.96988</v>
      </c>
      <c r="DP22" s="22">
        <f t="shared" si="44"/>
        <v>281080.1939297127</v>
      </c>
      <c r="DQ22" s="172">
        <f t="shared" si="45"/>
        <v>482152011680.10175</v>
      </c>
      <c r="DR22" s="22">
        <f t="shared" si="46"/>
        <v>1159.3536924066825</v>
      </c>
      <c r="DS22" s="22">
        <f t="shared" si="47"/>
        <v>1720.6463075933175</v>
      </c>
      <c r="DT22" s="164">
        <f t="shared" si="79"/>
        <v>415879998.34563911</v>
      </c>
      <c r="DU22" s="164">
        <f t="shared" si="80"/>
        <v>280215643.12917501</v>
      </c>
      <c r="DV22" s="1136">
        <f t="shared" si="48"/>
        <v>370669314449.4541</v>
      </c>
      <c r="DW22" s="1136">
        <f t="shared" si="49"/>
        <v>238639389909.96988</v>
      </c>
      <c r="DX22" s="763">
        <f t="shared" si="50"/>
        <v>211526.91308974594</v>
      </c>
      <c r="DY22" s="7">
        <f t="shared" si="51"/>
        <v>334483056239.52264</v>
      </c>
      <c r="DZ22" s="13">
        <f t="shared" si="52"/>
        <v>1574.3491439427423</v>
      </c>
      <c r="EA22" s="763">
        <f t="shared" si="53"/>
        <v>1305.6508560572577</v>
      </c>
      <c r="EB22" s="164">
        <f t="shared" si="81"/>
        <v>212457990.99039462</v>
      </c>
      <c r="EC22" s="164">
        <f t="shared" si="82"/>
        <v>256181087.53022891</v>
      </c>
      <c r="ED22" s="1136">
        <f t="shared" si="54"/>
        <v>787298676537.97864</v>
      </c>
      <c r="EE22" s="1136">
        <f t="shared" si="55"/>
        <v>238639389909.96988</v>
      </c>
      <c r="EF22" s="763">
        <f t="shared" si="56"/>
        <v>202804.28108705388</v>
      </c>
      <c r="EG22" s="7">
        <f t="shared" si="57"/>
        <v>308371923533.24579</v>
      </c>
      <c r="EH22" s="13">
        <f t="shared" si="58"/>
        <v>1647.0950031545817</v>
      </c>
      <c r="EI22" s="763">
        <f t="shared" si="59"/>
        <v>1232.9049968454183</v>
      </c>
      <c r="EJ22" s="164">
        <f t="shared" si="83"/>
        <v>187221698.16716075</v>
      </c>
      <c r="EK22" s="164">
        <f t="shared" si="84"/>
        <v>250118155.35038298</v>
      </c>
      <c r="EL22" s="1136">
        <f t="shared" si="85"/>
        <v>370669314449.4541</v>
      </c>
      <c r="EM22" s="1136">
        <f t="shared" si="86"/>
        <v>238639389909.96988</v>
      </c>
      <c r="EN22" s="1116"/>
      <c r="EO22" s="1113" t="s">
        <v>2180</v>
      </c>
      <c r="EP22" s="1114">
        <v>198442.96508570801</v>
      </c>
      <c r="EQ22" s="1114">
        <v>294458361973.76001</v>
      </c>
      <c r="ER22" s="1115">
        <v>1685.8661105921699</v>
      </c>
      <c r="ES22" s="1115">
        <v>1194.1338894078301</v>
      </c>
      <c r="ET22" s="1114">
        <v>174662958.18137699</v>
      </c>
      <c r="EU22" s="1114">
        <v>246587392.40687701</v>
      </c>
      <c r="EV22" s="1114">
        <v>162354633405.19199</v>
      </c>
      <c r="EW22" s="1114">
        <v>72562465391.25</v>
      </c>
      <c r="EX22" s="1114">
        <v>198442.96508570801</v>
      </c>
      <c r="EY22" s="1114">
        <v>294458361973.76001</v>
      </c>
      <c r="EZ22" s="1115">
        <v>1685.8661105921699</v>
      </c>
      <c r="FA22" s="1115">
        <v>1194.1338894078301</v>
      </c>
      <c r="FB22" s="1114">
        <v>174662958.18137699</v>
      </c>
      <c r="FC22" s="1114">
        <v>246587392.40687701</v>
      </c>
      <c r="FD22" s="1114">
        <v>162354633405.19199</v>
      </c>
      <c r="FE22" s="1114">
        <v>72562465391.25</v>
      </c>
      <c r="FF22" s="1114">
        <v>198442.96508570801</v>
      </c>
      <c r="FG22" s="1114">
        <v>294458361973.76001</v>
      </c>
      <c r="FH22" s="1115">
        <v>1685.8661105921699</v>
      </c>
      <c r="FI22" s="1115">
        <v>1194.1338894078301</v>
      </c>
      <c r="FJ22" s="1114">
        <v>174662958.18137699</v>
      </c>
      <c r="FK22" s="1114">
        <v>246587392.40687701</v>
      </c>
      <c r="FL22" s="1114">
        <v>162354633405.19199</v>
      </c>
      <c r="FM22" s="1114">
        <v>72562465391.25</v>
      </c>
      <c r="FN22" s="1114">
        <v>446354.65161772299</v>
      </c>
      <c r="FO22" s="1114">
        <v>649687231067.52405</v>
      </c>
      <c r="FP22" s="1115">
        <v>691.19374362829603</v>
      </c>
      <c r="FQ22" s="1115">
        <v>2188.8062563716999</v>
      </c>
      <c r="FR22" s="1114">
        <v>939949525.088449</v>
      </c>
      <c r="FS22" s="1114">
        <v>296822630.68111098</v>
      </c>
      <c r="FT22" s="1114">
        <v>787298676537.979</v>
      </c>
      <c r="FU22" s="1114">
        <v>238639389909.97</v>
      </c>
      <c r="FV22" s="1114">
        <v>281080.19392971299</v>
      </c>
      <c r="FW22" s="1114">
        <v>482152011680.10199</v>
      </c>
      <c r="FX22" s="1115">
        <v>1159.35369240668</v>
      </c>
      <c r="FY22" s="1115">
        <v>1720.64630759332</v>
      </c>
      <c r="FZ22" s="1114">
        <v>415879998.34563899</v>
      </c>
      <c r="GA22" s="1114">
        <v>280215643.12917501</v>
      </c>
      <c r="GB22" s="1114">
        <v>370669314449.45398</v>
      </c>
      <c r="GC22" s="1114">
        <v>238639389909.97</v>
      </c>
      <c r="GD22" s="1114">
        <v>211526.913089746</v>
      </c>
      <c r="GE22" s="1114">
        <v>334483056239.52301</v>
      </c>
      <c r="GF22" s="1115">
        <v>1574.3491439427401</v>
      </c>
      <c r="GG22" s="1115">
        <v>1305.6508560572599</v>
      </c>
      <c r="GH22" s="1114">
        <v>212457990.99039501</v>
      </c>
      <c r="GI22" s="1114">
        <v>256181087.530229</v>
      </c>
      <c r="GJ22" s="1114">
        <v>787298676537.979</v>
      </c>
      <c r="GK22" s="1114">
        <v>238639389909.97</v>
      </c>
      <c r="GL22" s="1114">
        <v>202804.281087054</v>
      </c>
      <c r="GM22" s="1114">
        <v>308371923533.24597</v>
      </c>
      <c r="GN22" s="1115">
        <v>1647.0950031545799</v>
      </c>
      <c r="GO22" s="1115">
        <v>1232.9049968454201</v>
      </c>
      <c r="GP22" s="1114">
        <v>187221698.16716099</v>
      </c>
      <c r="GQ22" s="1114">
        <v>250118155.35038301</v>
      </c>
      <c r="GR22" s="1114">
        <v>370669314449.45398</v>
      </c>
      <c r="GS22" s="1114">
        <v>238639389909.97</v>
      </c>
      <c r="GU22" s="1171">
        <f t="shared" si="60"/>
        <v>0</v>
      </c>
      <c r="GV22" s="1171">
        <f t="shared" si="61"/>
        <v>0</v>
      </c>
      <c r="GW22" s="1171">
        <f t="shared" si="62"/>
        <v>-3.637978807091713E-12</v>
      </c>
      <c r="GX22" s="1171">
        <f t="shared" si="63"/>
        <v>3.637978807091713E-12</v>
      </c>
      <c r="GY22" s="1171">
        <f t="shared" si="64"/>
        <v>-2.384185791015625E-7</v>
      </c>
      <c r="GZ22" s="1171">
        <f t="shared" si="65"/>
        <v>0</v>
      </c>
      <c r="HA22" s="1171">
        <f t="shared" si="87"/>
        <v>0</v>
      </c>
      <c r="HB22" s="1171">
        <f t="shared" si="66"/>
        <v>0</v>
      </c>
      <c r="HC22" s="1171">
        <f t="shared" si="67"/>
        <v>0</v>
      </c>
      <c r="HD22" s="1171">
        <f t="shared" si="68"/>
        <v>0</v>
      </c>
      <c r="HE22" s="1171">
        <f t="shared" si="69"/>
        <v>-3.637978807091713E-12</v>
      </c>
      <c r="HF22" s="1171">
        <f t="shared" si="70"/>
        <v>3.637978807091713E-12</v>
      </c>
      <c r="HG22" s="1171">
        <f t="shared" si="89"/>
        <v>-2.384185791015625E-7</v>
      </c>
      <c r="HH22" s="1171">
        <f t="shared" si="90"/>
        <v>0</v>
      </c>
      <c r="HI22" s="1171">
        <f t="shared" si="91"/>
        <v>0</v>
      </c>
      <c r="HJ22" s="1171">
        <f t="shared" si="92"/>
        <v>0</v>
      </c>
      <c r="HK22" s="1171">
        <f t="shared" si="93"/>
        <v>0</v>
      </c>
      <c r="HL22" s="1171">
        <f t="shared" si="94"/>
        <v>0</v>
      </c>
      <c r="HM22" s="1171">
        <f t="shared" si="95"/>
        <v>-3.637978807091713E-12</v>
      </c>
      <c r="HN22" s="1171">
        <f t="shared" si="96"/>
        <v>3.637978807091713E-12</v>
      </c>
      <c r="HO22" s="1171">
        <f t="shared" si="97"/>
        <v>-2.384185791015625E-7</v>
      </c>
      <c r="HP22" s="1171">
        <f t="shared" si="98"/>
        <v>0</v>
      </c>
      <c r="HQ22" s="1171">
        <f t="shared" si="99"/>
        <v>0</v>
      </c>
      <c r="HR22" s="1171">
        <f t="shared" si="100"/>
        <v>0</v>
      </c>
      <c r="HS22" s="1171">
        <f t="shared" si="101"/>
        <v>-5.8207660913467407E-10</v>
      </c>
      <c r="HT22" s="1171">
        <f t="shared" si="102"/>
        <v>0</v>
      </c>
      <c r="HU22" s="1171">
        <f t="shared" si="103"/>
        <v>9.0949470177292824E-13</v>
      </c>
      <c r="HV22" s="1171">
        <f t="shared" si="104"/>
        <v>0</v>
      </c>
      <c r="HW22" s="1171">
        <f t="shared" si="105"/>
        <v>-1.1920928955078125E-6</v>
      </c>
      <c r="HX22" s="1171">
        <f t="shared" si="106"/>
        <v>0</v>
      </c>
      <c r="HY22" s="1171">
        <f t="shared" si="107"/>
        <v>0</v>
      </c>
      <c r="HZ22" s="1171">
        <f t="shared" si="108"/>
        <v>0</v>
      </c>
      <c r="IA22" s="1171">
        <f t="shared" si="109"/>
        <v>0</v>
      </c>
      <c r="IB22" s="1171">
        <f t="shared" si="110"/>
        <v>0</v>
      </c>
      <c r="IC22" s="1171">
        <f t="shared" si="111"/>
        <v>2.5011104298755527E-12</v>
      </c>
      <c r="ID22" s="1171">
        <f t="shared" si="112"/>
        <v>-2.5011104298755527E-12</v>
      </c>
      <c r="IE22" s="1171">
        <f t="shared" si="113"/>
        <v>0</v>
      </c>
      <c r="IF22" s="1171">
        <f t="shared" si="114"/>
        <v>0</v>
      </c>
      <c r="IG22" s="1171">
        <f t="shared" si="115"/>
        <v>0</v>
      </c>
      <c r="IH22" s="1171">
        <f t="shared" si="116"/>
        <v>0</v>
      </c>
      <c r="II22" s="1171">
        <f t="shared" si="117"/>
        <v>0</v>
      </c>
      <c r="IJ22" s="1171">
        <f t="shared" si="118"/>
        <v>0</v>
      </c>
      <c r="IK22" s="1171">
        <f t="shared" si="119"/>
        <v>2.2737367544323206E-12</v>
      </c>
      <c r="IL22" s="1171">
        <f t="shared" si="120"/>
        <v>-2.2737367544323206E-12</v>
      </c>
      <c r="IM22" s="1171">
        <f t="shared" si="121"/>
        <v>-3.8743019104003906E-7</v>
      </c>
      <c r="IN22" s="1171">
        <f t="shared" si="122"/>
        <v>0</v>
      </c>
      <c r="IO22" s="1171">
        <f t="shared" si="123"/>
        <v>0</v>
      </c>
      <c r="IP22" s="1171">
        <f t="shared" si="124"/>
        <v>0</v>
      </c>
      <c r="IQ22" s="1171">
        <f t="shared" si="125"/>
        <v>0</v>
      </c>
      <c r="IR22" s="1171">
        <f t="shared" si="126"/>
        <v>0</v>
      </c>
      <c r="IS22" s="1171">
        <f t="shared" si="127"/>
        <v>1.8189894035458565E-12</v>
      </c>
      <c r="IT22" s="1171">
        <f t="shared" si="128"/>
        <v>-1.8189894035458565E-12</v>
      </c>
      <c r="IU22" s="1171">
        <f t="shared" si="129"/>
        <v>-2.384185791015625E-7</v>
      </c>
      <c r="IV22" s="1171">
        <f t="shared" si="130"/>
        <v>0</v>
      </c>
      <c r="IW22" s="1171">
        <f t="shared" si="131"/>
        <v>0</v>
      </c>
      <c r="IX22" s="1171">
        <f t="shared" si="132"/>
        <v>0</v>
      </c>
    </row>
    <row r="23" spans="1:258">
      <c r="A23">
        <v>111</v>
      </c>
      <c r="B23" s="136" t="str">
        <f t="shared" ref="B23" si="148">LEFT(B21,3)+1&amp;"i"</f>
        <v>111i</v>
      </c>
      <c r="C23">
        <v>41.9</v>
      </c>
      <c r="D23" s="136">
        <v>0</v>
      </c>
      <c r="E23" t="s">
        <v>2088</v>
      </c>
      <c r="F23" s="26">
        <v>2</v>
      </c>
      <c r="G23" s="136">
        <v>600</v>
      </c>
      <c r="H23" s="136">
        <v>40</v>
      </c>
      <c r="I23" s="28">
        <v>250</v>
      </c>
      <c r="J23" s="26">
        <v>1940</v>
      </c>
      <c r="K23" s="136">
        <v>40</v>
      </c>
      <c r="L23" s="28">
        <v>120</v>
      </c>
      <c r="M23" s="26">
        <v>2800</v>
      </c>
      <c r="N23" s="28">
        <v>12</v>
      </c>
      <c r="O23" s="26">
        <v>0</v>
      </c>
      <c r="P23" s="26">
        <v>290</v>
      </c>
      <c r="Q23" s="26">
        <f>+Section!L84</f>
        <v>5500</v>
      </c>
      <c r="R23" s="169">
        <v>0</v>
      </c>
      <c r="S23" s="210">
        <v>0</v>
      </c>
      <c r="T23" s="27">
        <v>1200</v>
      </c>
      <c r="U23" s="27">
        <v>2400</v>
      </c>
      <c r="V23" s="28">
        <v>3800</v>
      </c>
      <c r="W23" s="210">
        <v>19</v>
      </c>
      <c r="X23" s="210">
        <v>200</v>
      </c>
      <c r="Y23" s="169">
        <v>50</v>
      </c>
      <c r="Z23" s="210">
        <v>16</v>
      </c>
      <c r="AA23" s="210">
        <v>200</v>
      </c>
      <c r="AB23" s="28">
        <v>40</v>
      </c>
      <c r="AC23" s="210">
        <v>0</v>
      </c>
      <c r="AD23" s="26">
        <v>2</v>
      </c>
      <c r="AE23" s="169">
        <v>160</v>
      </c>
      <c r="AF23" s="169">
        <v>16</v>
      </c>
      <c r="AG23" s="26">
        <v>0</v>
      </c>
      <c r="AH23" s="169">
        <v>0</v>
      </c>
      <c r="AI23" s="169">
        <v>0</v>
      </c>
      <c r="AJ23" s="397">
        <v>2</v>
      </c>
      <c r="AK23" s="210">
        <v>2500</v>
      </c>
      <c r="AL23" s="210">
        <v>5000</v>
      </c>
      <c r="AM23" s="210" t="s">
        <v>2316</v>
      </c>
      <c r="AN23" s="210">
        <v>2500</v>
      </c>
      <c r="AO23" s="1143" t="s">
        <v>2320</v>
      </c>
      <c r="AP23" s="1143" t="s">
        <v>2321</v>
      </c>
      <c r="AQ23" s="136">
        <v>150</v>
      </c>
      <c r="AR23" s="136">
        <v>14</v>
      </c>
      <c r="AS23" s="1143" t="s">
        <v>2448</v>
      </c>
      <c r="AT23" s="136">
        <v>120</v>
      </c>
      <c r="AU23" s="136">
        <v>12</v>
      </c>
      <c r="AV23" s="1109" t="s">
        <v>2157</v>
      </c>
      <c r="AW23" s="1109">
        <v>12</v>
      </c>
      <c r="AX23" s="1109">
        <v>400</v>
      </c>
      <c r="AY23" s="1109">
        <v>1000</v>
      </c>
      <c r="AZ23" s="1108">
        <v>8</v>
      </c>
      <c r="BA23" s="1108">
        <v>6</v>
      </c>
      <c r="BC23" s="1168"/>
      <c r="BD23" s="210">
        <f>INDEX(Spec!$B$12:$P$58,MATCH(AO23,Spec!$A$12:$A$58,0),6)*100</f>
        <v>5021</v>
      </c>
      <c r="BE23" s="210">
        <f>INDEX(Spec!$B$12:$P$58,MATCH(AP23,Spec!$A$12:$A$58,0),6)*100</f>
        <v>1900</v>
      </c>
      <c r="BF23" s="881">
        <f t="shared" si="0"/>
        <v>1.8117883028477031</v>
      </c>
      <c r="BG23" s="881">
        <f t="shared" si="1"/>
        <v>47.243485714285718</v>
      </c>
      <c r="BH23" s="881"/>
      <c r="BI23" s="13" cm="1">
        <f t="array" ref="BI23">INDEX(Info!$AD$4:$AH$15,MATCH(Info!$I$13,Info!$AC$4:$AC$15,0),IF(H23&lt;=16,1,IF(H23&lt;=40,2,IF(H23&lt;=75,3,IF(H23&lt;=100,4,5)))))</f>
        <v>380</v>
      </c>
      <c r="BJ23" s="13" cm="1">
        <f t="array" ref="BJ23">INDEX(Info!$AD$4:$AH$15,MATCH(Info!$I$13,Info!$AC$4:$AC$15,0),IF(K23&lt;=16,1,IF(K23&lt;=40,2,IF(K23&lt;=75,3,IF(K23&lt;=100,4,5)))))</f>
        <v>380</v>
      </c>
      <c r="BK23" s="13" cm="1">
        <f t="array" ref="BK23">INDEX(Info!$AD$4:$AH$15,MATCH(Info!$I$14,Info!$AC$4:$AC$15,0),IF(N23&lt;=16,1,IF(N23&lt;=40,2,IF(N23&lt;=75,3,IF(N23&lt;=100,4,5)))))</f>
        <v>355</v>
      </c>
      <c r="BL23" s="13">
        <f>IF(Stress!C852="Positive",MAX(MIN(0.7*BI23,BK23),0.5*BI23),MAX(MIN(0.7*BJ23,BK23),0.5*BJ23))</f>
        <v>266</v>
      </c>
      <c r="BM23" s="13" cm="1">
        <f t="array" ref="BM23">INDEX(Info!$AD$4:$AH$15,MATCH(Info!$I$13,Info!$AC$4:$AC$15,0),IF(AI23&lt;=16,1,IF(AI23&lt;=40,2,IF(AI23&lt;=75,3,IF(AI23&lt;=100,4,5)))))</f>
        <v>380</v>
      </c>
      <c r="BN23" s="13" cm="1">
        <f t="array" ref="BN23">INDEX(Info!$AD$4:$AH$15,MATCH(Info!$I$13,Info!$AC$4:$AC$15,0),IF(AF23&lt;=16,1,IF(AF23&lt;=40,2,IF(AF23&lt;=75,3,IF(AF23&lt;=100,4,5)))))</f>
        <v>380</v>
      </c>
      <c r="BO23" s="13"/>
      <c r="BP23" s="13">
        <f t="shared" si="2"/>
        <v>0.125</v>
      </c>
      <c r="BQ23" s="13">
        <f t="shared" si="3"/>
        <v>2821.7902119044925</v>
      </c>
      <c r="BR23" s="13">
        <f t="shared" si="72"/>
        <v>3130</v>
      </c>
      <c r="BS23" s="13"/>
      <c r="BT23" s="136">
        <f t="shared" si="4"/>
        <v>0</v>
      </c>
      <c r="BU23" s="136">
        <f t="shared" si="5"/>
        <v>0</v>
      </c>
      <c r="BV23" s="136">
        <f t="shared" si="6"/>
        <v>1595000</v>
      </c>
      <c r="BW23" s="136">
        <f t="shared" si="7"/>
        <v>11178291666.666666</v>
      </c>
      <c r="BX23" s="136">
        <f t="shared" si="8"/>
        <v>0</v>
      </c>
      <c r="BY23" s="136">
        <f t="shared" si="9"/>
        <v>0</v>
      </c>
      <c r="BZ23" s="136">
        <f t="shared" si="10"/>
        <v>7655.2758986349281</v>
      </c>
      <c r="CA23" s="136">
        <f t="shared" si="11"/>
        <v>172722.16246295057</v>
      </c>
      <c r="CB23" s="136">
        <f t="shared" si="12"/>
        <v>5428.6721054031623</v>
      </c>
      <c r="CC23" s="136">
        <f t="shared" si="13"/>
        <v>86858.753686450596</v>
      </c>
      <c r="CE23" s="1137">
        <f t="shared" si="14"/>
        <v>346081987.77679139</v>
      </c>
      <c r="CF23" s="1136">
        <f t="shared" si="15"/>
        <v>411131448.88888884</v>
      </c>
      <c r="CG23" s="1136">
        <f t="shared" si="16"/>
        <v>0</v>
      </c>
      <c r="CH23" s="172">
        <f t="shared" si="17"/>
        <v>4020729166666.6665</v>
      </c>
      <c r="CJ23" s="136">
        <f t="shared" si="18"/>
        <v>198442.96508570784</v>
      </c>
      <c r="CK23" s="7">
        <f t="shared" si="19"/>
        <v>294458361973.75983</v>
      </c>
      <c r="CL23" s="6">
        <f t="shared" si="20"/>
        <v>1685.8661105921663</v>
      </c>
      <c r="CM23" s="6">
        <f t="shared" si="21"/>
        <v>1194.1338894078337</v>
      </c>
      <c r="CN23" s="164">
        <f t="shared" si="73"/>
        <v>174662958.18137676</v>
      </c>
      <c r="CO23" s="164">
        <f t="shared" si="74"/>
        <v>246587392.40687704</v>
      </c>
      <c r="CP23" s="1137">
        <f t="shared" si="22"/>
        <v>162354633405.19186</v>
      </c>
      <c r="CQ23" s="1136">
        <f t="shared" si="23"/>
        <v>72562465391.25</v>
      </c>
      <c r="CR23" s="22">
        <f t="shared" si="24"/>
        <v>198442.96508570784</v>
      </c>
      <c r="CS23" s="7">
        <f t="shared" si="25"/>
        <v>294458361973.75983</v>
      </c>
      <c r="CT23" s="6">
        <f t="shared" si="26"/>
        <v>1685.8661105921663</v>
      </c>
      <c r="CU23" s="12">
        <f t="shared" si="27"/>
        <v>1194.1338894078337</v>
      </c>
      <c r="CV23" s="164">
        <f t="shared" si="28"/>
        <v>174662958.18137676</v>
      </c>
      <c r="CW23" s="164">
        <f t="shared" si="29"/>
        <v>246587392.40687704</v>
      </c>
      <c r="CX23" s="1136">
        <f t="shared" si="30"/>
        <v>162354633405.19186</v>
      </c>
      <c r="CY23" s="1136">
        <f t="shared" si="31"/>
        <v>72562465391.25</v>
      </c>
      <c r="CZ23" s="22">
        <f t="shared" si="32"/>
        <v>198442.96508570784</v>
      </c>
      <c r="DA23" s="7">
        <f t="shared" si="33"/>
        <v>294458361973.75983</v>
      </c>
      <c r="DB23" s="6">
        <f t="shared" si="34"/>
        <v>1685.8661105921663</v>
      </c>
      <c r="DC23" s="12">
        <f t="shared" si="35"/>
        <v>1194.1338894078337</v>
      </c>
      <c r="DD23" s="164">
        <f t="shared" si="75"/>
        <v>174662958.18137676</v>
      </c>
      <c r="DE23" s="164">
        <f t="shared" si="76"/>
        <v>246587392.40687704</v>
      </c>
      <c r="DF23" s="1136">
        <f t="shared" si="36"/>
        <v>162354633405.19186</v>
      </c>
      <c r="DG23" s="1136">
        <f t="shared" si="37"/>
        <v>72562465391.25</v>
      </c>
      <c r="DH23" s="22">
        <f t="shared" si="38"/>
        <v>446354.65161772241</v>
      </c>
      <c r="DI23" s="172">
        <f t="shared" si="39"/>
        <v>649687231067.52405</v>
      </c>
      <c r="DJ23" s="12">
        <f t="shared" si="40"/>
        <v>691.19374362829694</v>
      </c>
      <c r="DK23" s="22">
        <f t="shared" si="41"/>
        <v>2188.8062563717031</v>
      </c>
      <c r="DL23" s="164">
        <f t="shared" si="77"/>
        <v>939949525.08844781</v>
      </c>
      <c r="DM23" s="164">
        <f t="shared" si="78"/>
        <v>296822630.6811114</v>
      </c>
      <c r="DN23" s="7">
        <f t="shared" si="42"/>
        <v>787298676537.97864</v>
      </c>
      <c r="DO23" s="1136">
        <f t="shared" si="43"/>
        <v>238639389909.96988</v>
      </c>
      <c r="DP23" s="22">
        <f t="shared" si="44"/>
        <v>281080.1939297127</v>
      </c>
      <c r="DQ23" s="172">
        <f t="shared" si="45"/>
        <v>482152011680.10175</v>
      </c>
      <c r="DR23" s="22">
        <f t="shared" si="46"/>
        <v>1159.3536924066825</v>
      </c>
      <c r="DS23" s="22">
        <f t="shared" si="47"/>
        <v>1720.6463075933175</v>
      </c>
      <c r="DT23" s="164">
        <f t="shared" si="79"/>
        <v>415879998.34563911</v>
      </c>
      <c r="DU23" s="164">
        <f t="shared" si="80"/>
        <v>280215643.12917501</v>
      </c>
      <c r="DV23" s="1136">
        <f t="shared" si="48"/>
        <v>370669314449.4541</v>
      </c>
      <c r="DW23" s="1136">
        <f t="shared" si="49"/>
        <v>238639389909.96988</v>
      </c>
      <c r="DX23" s="763">
        <f t="shared" si="50"/>
        <v>211526.91308974594</v>
      </c>
      <c r="DY23" s="7">
        <f t="shared" si="51"/>
        <v>334483056239.52264</v>
      </c>
      <c r="DZ23" s="13">
        <f t="shared" si="52"/>
        <v>1574.3491439427423</v>
      </c>
      <c r="EA23" s="763">
        <f t="shared" si="53"/>
        <v>1305.6508560572577</v>
      </c>
      <c r="EB23" s="164">
        <f t="shared" si="81"/>
        <v>212457990.99039462</v>
      </c>
      <c r="EC23" s="164">
        <f t="shared" si="82"/>
        <v>256181087.53022891</v>
      </c>
      <c r="ED23" s="1136">
        <f t="shared" si="54"/>
        <v>787298676537.97864</v>
      </c>
      <c r="EE23" s="1136">
        <f t="shared" si="55"/>
        <v>238639389909.96988</v>
      </c>
      <c r="EF23" s="763">
        <f t="shared" si="56"/>
        <v>202804.28108705388</v>
      </c>
      <c r="EG23" s="7">
        <f t="shared" si="57"/>
        <v>308371923533.24579</v>
      </c>
      <c r="EH23" s="13">
        <f t="shared" si="58"/>
        <v>1647.0950031545817</v>
      </c>
      <c r="EI23" s="763">
        <f t="shared" si="59"/>
        <v>1232.9049968454183</v>
      </c>
      <c r="EJ23" s="164">
        <f t="shared" si="83"/>
        <v>187221698.16716075</v>
      </c>
      <c r="EK23" s="164">
        <f t="shared" si="84"/>
        <v>250118155.35038298</v>
      </c>
      <c r="EL23" s="1136">
        <f t="shared" si="85"/>
        <v>370669314449.4541</v>
      </c>
      <c r="EM23" s="1136">
        <f t="shared" si="86"/>
        <v>238639389909.96988</v>
      </c>
      <c r="EN23" s="1116"/>
      <c r="EO23" s="1113" t="s">
        <v>2181</v>
      </c>
      <c r="EP23" s="1114">
        <v>198442.96508570801</v>
      </c>
      <c r="EQ23" s="1114">
        <v>294458361973.76001</v>
      </c>
      <c r="ER23" s="1115">
        <v>1685.8661105921699</v>
      </c>
      <c r="ES23" s="1115">
        <v>1194.1338894078301</v>
      </c>
      <c r="ET23" s="1114">
        <v>174662958.18137699</v>
      </c>
      <c r="EU23" s="1114">
        <v>246587392.40687701</v>
      </c>
      <c r="EV23" s="1114">
        <v>162354633405.19199</v>
      </c>
      <c r="EW23" s="1114">
        <v>72562465391.25</v>
      </c>
      <c r="EX23" s="1114">
        <v>198442.96508570801</v>
      </c>
      <c r="EY23" s="1114">
        <v>294458361973.76001</v>
      </c>
      <c r="EZ23" s="1115">
        <v>1685.8661105921699</v>
      </c>
      <c r="FA23" s="1115">
        <v>1194.1338894078301</v>
      </c>
      <c r="FB23" s="1114">
        <v>174662958.18137699</v>
      </c>
      <c r="FC23" s="1114">
        <v>246587392.40687701</v>
      </c>
      <c r="FD23" s="1114">
        <v>162354633405.19199</v>
      </c>
      <c r="FE23" s="1114">
        <v>72562465391.25</v>
      </c>
      <c r="FF23" s="1114">
        <v>198442.96508570801</v>
      </c>
      <c r="FG23" s="1114">
        <v>294458361973.76001</v>
      </c>
      <c r="FH23" s="1115">
        <v>1685.8661105921699</v>
      </c>
      <c r="FI23" s="1115">
        <v>1194.1338894078301</v>
      </c>
      <c r="FJ23" s="1114">
        <v>174662958.18137699</v>
      </c>
      <c r="FK23" s="1114">
        <v>246587392.40687701</v>
      </c>
      <c r="FL23" s="1114">
        <v>162354633405.19199</v>
      </c>
      <c r="FM23" s="1114">
        <v>72562465391.25</v>
      </c>
      <c r="FN23" s="1114">
        <v>446354.65161772299</v>
      </c>
      <c r="FO23" s="1114">
        <v>649687231067.52405</v>
      </c>
      <c r="FP23" s="1115">
        <v>691.19374362829603</v>
      </c>
      <c r="FQ23" s="1115">
        <v>2188.8062563716999</v>
      </c>
      <c r="FR23" s="1114">
        <v>939949525.088449</v>
      </c>
      <c r="FS23" s="1114">
        <v>296822630.68111098</v>
      </c>
      <c r="FT23" s="1114">
        <v>787298676537.979</v>
      </c>
      <c r="FU23" s="1114">
        <v>238639389909.97</v>
      </c>
      <c r="FV23" s="1114">
        <v>281080.19392971299</v>
      </c>
      <c r="FW23" s="1114">
        <v>482152011680.10199</v>
      </c>
      <c r="FX23" s="1115">
        <v>1159.35369240668</v>
      </c>
      <c r="FY23" s="1115">
        <v>1720.64630759332</v>
      </c>
      <c r="FZ23" s="1114">
        <v>415879998.34563899</v>
      </c>
      <c r="GA23" s="1114">
        <v>280215643.12917501</v>
      </c>
      <c r="GB23" s="1114">
        <v>370669314449.45398</v>
      </c>
      <c r="GC23" s="1114">
        <v>238639389909.97</v>
      </c>
      <c r="GD23" s="1114">
        <v>211526.913089746</v>
      </c>
      <c r="GE23" s="1114">
        <v>334483056239.52301</v>
      </c>
      <c r="GF23" s="1115">
        <v>1574.3491439427401</v>
      </c>
      <c r="GG23" s="1115">
        <v>1305.6508560572599</v>
      </c>
      <c r="GH23" s="1114">
        <v>212457990.99039501</v>
      </c>
      <c r="GI23" s="1114">
        <v>256181087.530229</v>
      </c>
      <c r="GJ23" s="1114">
        <v>787298676537.979</v>
      </c>
      <c r="GK23" s="1114">
        <v>238639389909.97</v>
      </c>
      <c r="GL23" s="1114">
        <v>202804.281087054</v>
      </c>
      <c r="GM23" s="1114">
        <v>308371923533.24597</v>
      </c>
      <c r="GN23" s="1115">
        <v>1647.0950031545799</v>
      </c>
      <c r="GO23" s="1115">
        <v>1232.9049968454201</v>
      </c>
      <c r="GP23" s="1114">
        <v>187221698.16716099</v>
      </c>
      <c r="GQ23" s="1114">
        <v>250118155.35038301</v>
      </c>
      <c r="GR23" s="1114">
        <v>370669314449.45398</v>
      </c>
      <c r="GS23" s="1114">
        <v>238639389909.97</v>
      </c>
      <c r="GU23" s="1171">
        <f t="shared" si="60"/>
        <v>0</v>
      </c>
      <c r="GV23" s="1171">
        <f t="shared" si="61"/>
        <v>0</v>
      </c>
      <c r="GW23" s="1171">
        <f t="shared" si="62"/>
        <v>-3.637978807091713E-12</v>
      </c>
      <c r="GX23" s="1171">
        <f t="shared" si="63"/>
        <v>3.637978807091713E-12</v>
      </c>
      <c r="GY23" s="1171">
        <f t="shared" si="64"/>
        <v>-2.384185791015625E-7</v>
      </c>
      <c r="GZ23" s="1171">
        <f t="shared" si="65"/>
        <v>0</v>
      </c>
      <c r="HA23" s="1171">
        <f t="shared" si="87"/>
        <v>0</v>
      </c>
      <c r="HB23" s="1171">
        <f t="shared" si="66"/>
        <v>0</v>
      </c>
      <c r="HC23" s="1171">
        <f t="shared" si="67"/>
        <v>0</v>
      </c>
      <c r="HD23" s="1171">
        <f t="shared" si="68"/>
        <v>0</v>
      </c>
      <c r="HE23" s="1171">
        <f t="shared" si="69"/>
        <v>-3.637978807091713E-12</v>
      </c>
      <c r="HF23" s="1171">
        <f t="shared" si="70"/>
        <v>3.637978807091713E-12</v>
      </c>
      <c r="HG23" s="1171">
        <f t="shared" si="89"/>
        <v>-2.384185791015625E-7</v>
      </c>
      <c r="HH23" s="1171">
        <f t="shared" si="90"/>
        <v>0</v>
      </c>
      <c r="HI23" s="1171">
        <f t="shared" si="91"/>
        <v>0</v>
      </c>
      <c r="HJ23" s="1171">
        <f t="shared" si="92"/>
        <v>0</v>
      </c>
      <c r="HK23" s="1171">
        <f t="shared" si="93"/>
        <v>0</v>
      </c>
      <c r="HL23" s="1171">
        <f t="shared" si="94"/>
        <v>0</v>
      </c>
      <c r="HM23" s="1171">
        <f t="shared" si="95"/>
        <v>-3.637978807091713E-12</v>
      </c>
      <c r="HN23" s="1171">
        <f t="shared" si="96"/>
        <v>3.637978807091713E-12</v>
      </c>
      <c r="HO23" s="1171">
        <f t="shared" si="97"/>
        <v>-2.384185791015625E-7</v>
      </c>
      <c r="HP23" s="1171">
        <f t="shared" si="98"/>
        <v>0</v>
      </c>
      <c r="HQ23" s="1171">
        <f t="shared" si="99"/>
        <v>0</v>
      </c>
      <c r="HR23" s="1171">
        <f t="shared" si="100"/>
        <v>0</v>
      </c>
      <c r="HS23" s="1171">
        <f t="shared" si="101"/>
        <v>-5.8207660913467407E-10</v>
      </c>
      <c r="HT23" s="1171">
        <f t="shared" si="102"/>
        <v>0</v>
      </c>
      <c r="HU23" s="1171">
        <f t="shared" si="103"/>
        <v>9.0949470177292824E-13</v>
      </c>
      <c r="HV23" s="1171">
        <f t="shared" si="104"/>
        <v>0</v>
      </c>
      <c r="HW23" s="1171">
        <f t="shared" si="105"/>
        <v>-1.1920928955078125E-6</v>
      </c>
      <c r="HX23" s="1171">
        <f t="shared" si="106"/>
        <v>0</v>
      </c>
      <c r="HY23" s="1171">
        <f t="shared" si="107"/>
        <v>0</v>
      </c>
      <c r="HZ23" s="1171">
        <f t="shared" si="108"/>
        <v>0</v>
      </c>
      <c r="IA23" s="1171">
        <f t="shared" si="109"/>
        <v>0</v>
      </c>
      <c r="IB23" s="1171">
        <f t="shared" si="110"/>
        <v>0</v>
      </c>
      <c r="IC23" s="1171">
        <f t="shared" si="111"/>
        <v>2.5011104298755527E-12</v>
      </c>
      <c r="ID23" s="1171">
        <f t="shared" si="112"/>
        <v>-2.5011104298755527E-12</v>
      </c>
      <c r="IE23" s="1171">
        <f t="shared" si="113"/>
        <v>0</v>
      </c>
      <c r="IF23" s="1171">
        <f t="shared" si="114"/>
        <v>0</v>
      </c>
      <c r="IG23" s="1171">
        <f t="shared" si="115"/>
        <v>0</v>
      </c>
      <c r="IH23" s="1171">
        <f t="shared" si="116"/>
        <v>0</v>
      </c>
      <c r="II23" s="1171">
        <f t="shared" si="117"/>
        <v>0</v>
      </c>
      <c r="IJ23" s="1171">
        <f t="shared" si="118"/>
        <v>0</v>
      </c>
      <c r="IK23" s="1171">
        <f t="shared" si="119"/>
        <v>2.2737367544323206E-12</v>
      </c>
      <c r="IL23" s="1171">
        <f t="shared" si="120"/>
        <v>-2.2737367544323206E-12</v>
      </c>
      <c r="IM23" s="1171">
        <f t="shared" si="121"/>
        <v>-3.8743019104003906E-7</v>
      </c>
      <c r="IN23" s="1171">
        <f t="shared" si="122"/>
        <v>0</v>
      </c>
      <c r="IO23" s="1171">
        <f t="shared" si="123"/>
        <v>0</v>
      </c>
      <c r="IP23" s="1171">
        <f t="shared" si="124"/>
        <v>0</v>
      </c>
      <c r="IQ23" s="1171">
        <f t="shared" si="125"/>
        <v>0</v>
      </c>
      <c r="IR23" s="1171">
        <f t="shared" si="126"/>
        <v>0</v>
      </c>
      <c r="IS23" s="1171">
        <f t="shared" si="127"/>
        <v>1.8189894035458565E-12</v>
      </c>
      <c r="IT23" s="1171">
        <f t="shared" si="128"/>
        <v>-1.8189894035458565E-12</v>
      </c>
      <c r="IU23" s="1171">
        <f t="shared" si="129"/>
        <v>-2.384185791015625E-7</v>
      </c>
      <c r="IV23" s="1171">
        <f t="shared" si="130"/>
        <v>0</v>
      </c>
      <c r="IW23" s="1171">
        <f t="shared" si="131"/>
        <v>0</v>
      </c>
      <c r="IX23" s="1171">
        <f t="shared" si="132"/>
        <v>0</v>
      </c>
    </row>
    <row r="24" spans="1:258">
      <c r="B24" s="136" t="str">
        <f t="shared" ref="B24" si="149">LEFT(B22,3)+1&amp;"j"</f>
        <v>111j</v>
      </c>
      <c r="C24">
        <v>46.9</v>
      </c>
      <c r="D24" s="136">
        <v>0</v>
      </c>
      <c r="E24" t="s">
        <v>2088</v>
      </c>
      <c r="F24" s="26">
        <v>2</v>
      </c>
      <c r="G24" s="136">
        <v>600</v>
      </c>
      <c r="H24" s="136">
        <v>40</v>
      </c>
      <c r="I24" s="28">
        <v>250</v>
      </c>
      <c r="J24" s="26">
        <v>1940</v>
      </c>
      <c r="K24" s="136">
        <v>40</v>
      </c>
      <c r="L24" s="28">
        <v>120</v>
      </c>
      <c r="M24" s="26">
        <v>2800</v>
      </c>
      <c r="N24" s="28">
        <v>12</v>
      </c>
      <c r="O24" s="26">
        <v>0</v>
      </c>
      <c r="P24" s="26">
        <v>290</v>
      </c>
      <c r="Q24" s="26">
        <f>+Section!L85</f>
        <v>5500</v>
      </c>
      <c r="R24" s="169">
        <v>0</v>
      </c>
      <c r="S24" s="210">
        <v>0</v>
      </c>
      <c r="T24" s="27">
        <v>1200</v>
      </c>
      <c r="U24" s="27">
        <v>2400</v>
      </c>
      <c r="V24" s="28">
        <v>3800</v>
      </c>
      <c r="W24" s="210">
        <v>19</v>
      </c>
      <c r="X24" s="210">
        <v>200</v>
      </c>
      <c r="Y24" s="169">
        <v>50</v>
      </c>
      <c r="Z24" s="210">
        <v>16</v>
      </c>
      <c r="AA24" s="210">
        <v>200</v>
      </c>
      <c r="AB24" s="28">
        <v>40</v>
      </c>
      <c r="AC24" s="210">
        <v>0</v>
      </c>
      <c r="AD24" s="26">
        <v>2</v>
      </c>
      <c r="AE24" s="169">
        <v>160</v>
      </c>
      <c r="AF24" s="169">
        <v>16</v>
      </c>
      <c r="AG24" s="26">
        <v>0</v>
      </c>
      <c r="AH24" s="169">
        <v>0</v>
      </c>
      <c r="AI24" s="169">
        <v>0</v>
      </c>
      <c r="AJ24" s="397">
        <v>2</v>
      </c>
      <c r="AK24" s="210">
        <v>2500</v>
      </c>
      <c r="AL24" s="210">
        <v>5000</v>
      </c>
      <c r="AM24" s="210" t="s">
        <v>2316</v>
      </c>
      <c r="AN24" s="210">
        <v>2500</v>
      </c>
      <c r="AO24" s="1143" t="s">
        <v>2320</v>
      </c>
      <c r="AP24" s="1143" t="s">
        <v>2321</v>
      </c>
      <c r="AQ24" s="136">
        <v>150</v>
      </c>
      <c r="AR24" s="136">
        <v>14</v>
      </c>
      <c r="AS24" s="1143" t="s">
        <v>2448</v>
      </c>
      <c r="AT24" s="136">
        <v>120</v>
      </c>
      <c r="AU24" s="136">
        <v>12</v>
      </c>
      <c r="AZ24" s="1108">
        <v>8</v>
      </c>
      <c r="BA24" s="1108">
        <v>6</v>
      </c>
      <c r="BC24" s="1168"/>
      <c r="BD24" s="210">
        <f>INDEX(Spec!$B$12:$P$58,MATCH(AO24,Spec!$A$12:$A$58,0),6)*100</f>
        <v>5021</v>
      </c>
      <c r="BE24" s="210">
        <f>INDEX(Spec!$B$12:$P$58,MATCH(AP24,Spec!$A$12:$A$58,0),6)*100</f>
        <v>1900</v>
      </c>
      <c r="BF24" s="881">
        <f t="shared" si="0"/>
        <v>1.8117883028477031</v>
      </c>
      <c r="BG24" s="881">
        <f t="shared" si="1"/>
        <v>47.243485714285718</v>
      </c>
      <c r="BH24" s="881"/>
      <c r="BI24" s="13" cm="1">
        <f t="array" ref="BI24">INDEX(Info!$AD$4:$AH$15,MATCH(Info!$I$13,Info!$AC$4:$AC$15,0),IF(H24&lt;=16,1,IF(H24&lt;=40,2,IF(H24&lt;=75,3,IF(H24&lt;=100,4,5)))))</f>
        <v>380</v>
      </c>
      <c r="BJ24" s="13" cm="1">
        <f t="array" ref="BJ24">INDEX(Info!$AD$4:$AH$15,MATCH(Info!$I$13,Info!$AC$4:$AC$15,0),IF(K24&lt;=16,1,IF(K24&lt;=40,2,IF(K24&lt;=75,3,IF(K24&lt;=100,4,5)))))</f>
        <v>380</v>
      </c>
      <c r="BK24" s="13" cm="1">
        <f t="array" ref="BK24">INDEX(Info!$AD$4:$AH$15,MATCH(Info!$I$14,Info!$AC$4:$AC$15,0),IF(N24&lt;=16,1,IF(N24&lt;=40,2,IF(N24&lt;=75,3,IF(N24&lt;=100,4,5)))))</f>
        <v>355</v>
      </c>
      <c r="BL24" s="13">
        <f>IF(Stress!C853="Positive",MAX(MIN(0.7*BI24,BK24),0.5*BI24),MAX(MIN(0.7*BJ24,BK24),0.5*BJ24))</f>
        <v>266</v>
      </c>
      <c r="BM24" s="13" cm="1">
        <f t="array" ref="BM24">INDEX(Info!$AD$4:$AH$15,MATCH(Info!$I$13,Info!$AC$4:$AC$15,0),IF(AI24&lt;=16,1,IF(AI24&lt;=40,2,IF(AI24&lt;=75,3,IF(AI24&lt;=100,4,5)))))</f>
        <v>380</v>
      </c>
      <c r="BN24" s="13" cm="1">
        <f t="array" ref="BN24">INDEX(Info!$AD$4:$AH$15,MATCH(Info!$I$13,Info!$AC$4:$AC$15,0),IF(AF24&lt;=16,1,IF(AF24&lt;=40,2,IF(AF24&lt;=75,3,IF(AF24&lt;=100,4,5)))))</f>
        <v>380</v>
      </c>
      <c r="BO24" s="13"/>
      <c r="BP24" s="13">
        <f t="shared" si="2"/>
        <v>0.125</v>
      </c>
      <c r="BQ24" s="13">
        <f t="shared" si="3"/>
        <v>2821.7902119044925</v>
      </c>
      <c r="BR24" s="13">
        <f t="shared" si="72"/>
        <v>3130</v>
      </c>
      <c r="BS24" s="13"/>
      <c r="BT24" s="136">
        <f t="shared" si="4"/>
        <v>0</v>
      </c>
      <c r="BU24" s="136">
        <f t="shared" si="5"/>
        <v>0</v>
      </c>
      <c r="BV24" s="136">
        <f t="shared" si="6"/>
        <v>1595000</v>
      </c>
      <c r="BW24" s="136">
        <f t="shared" si="7"/>
        <v>11178291666.666666</v>
      </c>
      <c r="BX24" s="136">
        <f t="shared" si="8"/>
        <v>0</v>
      </c>
      <c r="BY24" s="136">
        <f t="shared" si="9"/>
        <v>0</v>
      </c>
      <c r="BZ24" s="136">
        <f t="shared" si="10"/>
        <v>7655.2758986349281</v>
      </c>
      <c r="CA24" s="136">
        <f t="shared" si="11"/>
        <v>172722.16246295057</v>
      </c>
      <c r="CB24" s="136">
        <f t="shared" si="12"/>
        <v>5428.6721054031623</v>
      </c>
      <c r="CC24" s="136">
        <f t="shared" si="13"/>
        <v>86858.753686450596</v>
      </c>
      <c r="CE24" s="1137">
        <f t="shared" si="14"/>
        <v>346081987.77679139</v>
      </c>
      <c r="CF24" s="1136">
        <f t="shared" si="15"/>
        <v>411131448.88888884</v>
      </c>
      <c r="CG24" s="1136">
        <f t="shared" si="16"/>
        <v>0</v>
      </c>
      <c r="CH24" s="172">
        <f t="shared" si="17"/>
        <v>4020729166666.6665</v>
      </c>
      <c r="CJ24" s="136">
        <f t="shared" si="18"/>
        <v>198442.96508570784</v>
      </c>
      <c r="CK24" s="7">
        <f t="shared" si="19"/>
        <v>294458361973.75983</v>
      </c>
      <c r="CL24" s="6">
        <f t="shared" si="20"/>
        <v>1685.8661105921663</v>
      </c>
      <c r="CM24" s="6">
        <f t="shared" si="21"/>
        <v>1194.1338894078337</v>
      </c>
      <c r="CN24" s="164">
        <f t="shared" si="73"/>
        <v>174662958.18137676</v>
      </c>
      <c r="CO24" s="164">
        <f t="shared" si="74"/>
        <v>246587392.40687704</v>
      </c>
      <c r="CP24" s="1137">
        <f t="shared" si="22"/>
        <v>162354633405.19186</v>
      </c>
      <c r="CQ24" s="1136">
        <f t="shared" si="23"/>
        <v>72562465391.25</v>
      </c>
      <c r="CR24" s="22">
        <f t="shared" si="24"/>
        <v>198442.96508570784</v>
      </c>
      <c r="CS24" s="7">
        <f t="shared" si="25"/>
        <v>294458361973.75983</v>
      </c>
      <c r="CT24" s="6">
        <f t="shared" si="26"/>
        <v>1685.8661105921663</v>
      </c>
      <c r="CU24" s="12">
        <f t="shared" si="27"/>
        <v>1194.1338894078337</v>
      </c>
      <c r="CV24" s="164">
        <f t="shared" si="28"/>
        <v>174662958.18137676</v>
      </c>
      <c r="CW24" s="164">
        <f t="shared" si="29"/>
        <v>246587392.40687704</v>
      </c>
      <c r="CX24" s="1136">
        <f t="shared" si="30"/>
        <v>162354633405.19186</v>
      </c>
      <c r="CY24" s="1136">
        <f t="shared" si="31"/>
        <v>72562465391.25</v>
      </c>
      <c r="CZ24" s="22">
        <f t="shared" si="32"/>
        <v>198442.96508570784</v>
      </c>
      <c r="DA24" s="7">
        <f t="shared" si="33"/>
        <v>294458361973.75983</v>
      </c>
      <c r="DB24" s="6">
        <f t="shared" si="34"/>
        <v>1685.8661105921663</v>
      </c>
      <c r="DC24" s="12">
        <f t="shared" si="35"/>
        <v>1194.1338894078337</v>
      </c>
      <c r="DD24" s="164">
        <f t="shared" si="75"/>
        <v>174662958.18137676</v>
      </c>
      <c r="DE24" s="164">
        <f t="shared" si="76"/>
        <v>246587392.40687704</v>
      </c>
      <c r="DF24" s="1136">
        <f t="shared" si="36"/>
        <v>162354633405.19186</v>
      </c>
      <c r="DG24" s="1136">
        <f t="shared" si="37"/>
        <v>72562465391.25</v>
      </c>
      <c r="DH24" s="22">
        <f t="shared" si="38"/>
        <v>446354.65161772241</v>
      </c>
      <c r="DI24" s="172">
        <f t="shared" si="39"/>
        <v>649687231067.52405</v>
      </c>
      <c r="DJ24" s="12">
        <f t="shared" si="40"/>
        <v>691.19374362829694</v>
      </c>
      <c r="DK24" s="22">
        <f t="shared" si="41"/>
        <v>2188.8062563717031</v>
      </c>
      <c r="DL24" s="164">
        <f t="shared" si="77"/>
        <v>939949525.08844781</v>
      </c>
      <c r="DM24" s="164">
        <f t="shared" si="78"/>
        <v>296822630.6811114</v>
      </c>
      <c r="DN24" s="7">
        <f t="shared" si="42"/>
        <v>787298676537.97864</v>
      </c>
      <c r="DO24" s="1136">
        <f t="shared" si="43"/>
        <v>238639389909.96988</v>
      </c>
      <c r="DP24" s="22">
        <f t="shared" si="44"/>
        <v>281080.1939297127</v>
      </c>
      <c r="DQ24" s="172">
        <f t="shared" si="45"/>
        <v>482152011680.10175</v>
      </c>
      <c r="DR24" s="22">
        <f t="shared" si="46"/>
        <v>1159.3536924066825</v>
      </c>
      <c r="DS24" s="22">
        <f t="shared" si="47"/>
        <v>1720.6463075933175</v>
      </c>
      <c r="DT24" s="164">
        <f t="shared" si="79"/>
        <v>415879998.34563911</v>
      </c>
      <c r="DU24" s="164">
        <f t="shared" si="80"/>
        <v>280215643.12917501</v>
      </c>
      <c r="DV24" s="1136">
        <f t="shared" si="48"/>
        <v>370669314449.4541</v>
      </c>
      <c r="DW24" s="1136">
        <f t="shared" si="49"/>
        <v>238639389909.96988</v>
      </c>
      <c r="DX24" s="763">
        <f t="shared" si="50"/>
        <v>211526.91308974594</v>
      </c>
      <c r="DY24" s="7">
        <f t="shared" si="51"/>
        <v>334483056239.52264</v>
      </c>
      <c r="DZ24" s="13">
        <f t="shared" si="52"/>
        <v>1574.3491439427423</v>
      </c>
      <c r="EA24" s="763">
        <f t="shared" si="53"/>
        <v>1305.6508560572577</v>
      </c>
      <c r="EB24" s="164">
        <f t="shared" si="81"/>
        <v>212457990.99039462</v>
      </c>
      <c r="EC24" s="164">
        <f t="shared" si="82"/>
        <v>256181087.53022891</v>
      </c>
      <c r="ED24" s="1136">
        <f t="shared" si="54"/>
        <v>787298676537.97864</v>
      </c>
      <c r="EE24" s="1136">
        <f t="shared" si="55"/>
        <v>238639389909.96988</v>
      </c>
      <c r="EF24" s="763">
        <f t="shared" si="56"/>
        <v>202804.28108705388</v>
      </c>
      <c r="EG24" s="7">
        <f t="shared" si="57"/>
        <v>308371923533.24579</v>
      </c>
      <c r="EH24" s="13">
        <f t="shared" si="58"/>
        <v>1647.0950031545817</v>
      </c>
      <c r="EI24" s="763">
        <f t="shared" si="59"/>
        <v>1232.9049968454183</v>
      </c>
      <c r="EJ24" s="164">
        <f t="shared" si="83"/>
        <v>187221698.16716075</v>
      </c>
      <c r="EK24" s="164">
        <f t="shared" si="84"/>
        <v>250118155.35038298</v>
      </c>
      <c r="EL24" s="1136">
        <f t="shared" si="85"/>
        <v>370669314449.4541</v>
      </c>
      <c r="EM24" s="1136">
        <f t="shared" si="86"/>
        <v>238639389909.96988</v>
      </c>
      <c r="EN24" s="164"/>
      <c r="EO24" s="1113" t="s">
        <v>2182</v>
      </c>
      <c r="EP24" s="1114">
        <v>198442.96508570801</v>
      </c>
      <c r="EQ24" s="1114">
        <v>294458361973.76001</v>
      </c>
      <c r="ER24" s="1115">
        <v>1685.8661105921699</v>
      </c>
      <c r="ES24" s="1115">
        <v>1194.1338894078301</v>
      </c>
      <c r="ET24" s="1114">
        <v>174662958.18137699</v>
      </c>
      <c r="EU24" s="1114">
        <v>246587392.40687701</v>
      </c>
      <c r="EV24" s="1114">
        <v>162354633405.19199</v>
      </c>
      <c r="EW24" s="1114">
        <v>72562465391.25</v>
      </c>
      <c r="EX24" s="1114">
        <v>198442.96508570801</v>
      </c>
      <c r="EY24" s="1114">
        <v>294458361973.76001</v>
      </c>
      <c r="EZ24" s="1115">
        <v>1685.8661105921699</v>
      </c>
      <c r="FA24" s="1115">
        <v>1194.1338894078301</v>
      </c>
      <c r="FB24" s="1114">
        <v>174662958.18137699</v>
      </c>
      <c r="FC24" s="1114">
        <v>246587392.40687701</v>
      </c>
      <c r="FD24" s="1114">
        <v>162354633405.19199</v>
      </c>
      <c r="FE24" s="1114">
        <v>72562465391.25</v>
      </c>
      <c r="FF24" s="1114">
        <v>198442.96508570801</v>
      </c>
      <c r="FG24" s="1114">
        <v>294458361973.76001</v>
      </c>
      <c r="FH24" s="1115">
        <v>1685.8661105921699</v>
      </c>
      <c r="FI24" s="1115">
        <v>1194.1338894078301</v>
      </c>
      <c r="FJ24" s="1114">
        <v>174662958.18137699</v>
      </c>
      <c r="FK24" s="1114">
        <v>246587392.40687701</v>
      </c>
      <c r="FL24" s="1114">
        <v>162354633405.19199</v>
      </c>
      <c r="FM24" s="1114">
        <v>72562465391.25</v>
      </c>
      <c r="FN24" s="1114">
        <v>446354.65161772299</v>
      </c>
      <c r="FO24" s="1114">
        <v>649687231067.52405</v>
      </c>
      <c r="FP24" s="1115">
        <v>691.19374362829603</v>
      </c>
      <c r="FQ24" s="1115">
        <v>2188.8062563716999</v>
      </c>
      <c r="FR24" s="1114">
        <v>939949525.088449</v>
      </c>
      <c r="FS24" s="1114">
        <v>296822630.68111098</v>
      </c>
      <c r="FT24" s="1114">
        <v>787298676537.979</v>
      </c>
      <c r="FU24" s="1114">
        <v>238639389909.97</v>
      </c>
      <c r="FV24" s="1114">
        <v>281080.19392971299</v>
      </c>
      <c r="FW24" s="1114">
        <v>482152011680.10199</v>
      </c>
      <c r="FX24" s="1115">
        <v>1159.35369240668</v>
      </c>
      <c r="FY24" s="1115">
        <v>1720.64630759332</v>
      </c>
      <c r="FZ24" s="1114">
        <v>415879998.34563899</v>
      </c>
      <c r="GA24" s="1114">
        <v>280215643.12917501</v>
      </c>
      <c r="GB24" s="1114">
        <v>370669314449.45398</v>
      </c>
      <c r="GC24" s="1114">
        <v>238639389909.97</v>
      </c>
      <c r="GD24" s="1114">
        <v>211526.913089746</v>
      </c>
      <c r="GE24" s="1114">
        <v>334483056239.52301</v>
      </c>
      <c r="GF24" s="1115">
        <v>1574.3491439427401</v>
      </c>
      <c r="GG24" s="1115">
        <v>1305.6508560572599</v>
      </c>
      <c r="GH24" s="1114">
        <v>212457990.99039501</v>
      </c>
      <c r="GI24" s="1114">
        <v>256181087.530229</v>
      </c>
      <c r="GJ24" s="1114">
        <v>787298676537.979</v>
      </c>
      <c r="GK24" s="1114">
        <v>238639389909.97</v>
      </c>
      <c r="GL24" s="1114">
        <v>202804.281087054</v>
      </c>
      <c r="GM24" s="1114">
        <v>308371923533.24597</v>
      </c>
      <c r="GN24" s="1115">
        <v>1647.0950031545799</v>
      </c>
      <c r="GO24" s="1115">
        <v>1232.9049968454201</v>
      </c>
      <c r="GP24" s="1114">
        <v>187221698.16716099</v>
      </c>
      <c r="GQ24" s="1114">
        <v>250118155.35038301</v>
      </c>
      <c r="GR24" s="1114">
        <v>370669314449.45398</v>
      </c>
      <c r="GS24" s="1114">
        <v>238639389909.97</v>
      </c>
      <c r="GU24" s="1171">
        <f t="shared" si="60"/>
        <v>0</v>
      </c>
      <c r="GV24" s="1171">
        <f t="shared" si="61"/>
        <v>0</v>
      </c>
      <c r="GW24" s="1171">
        <f t="shared" si="62"/>
        <v>-3.637978807091713E-12</v>
      </c>
      <c r="GX24" s="1171">
        <f t="shared" si="63"/>
        <v>3.637978807091713E-12</v>
      </c>
      <c r="GY24" s="1171">
        <f t="shared" si="64"/>
        <v>-2.384185791015625E-7</v>
      </c>
      <c r="GZ24" s="1171">
        <f t="shared" si="65"/>
        <v>0</v>
      </c>
      <c r="HA24" s="1171">
        <f t="shared" si="87"/>
        <v>0</v>
      </c>
      <c r="HB24" s="1171">
        <f t="shared" si="66"/>
        <v>0</v>
      </c>
      <c r="HC24" s="1171">
        <f t="shared" si="67"/>
        <v>0</v>
      </c>
      <c r="HD24" s="1171">
        <f t="shared" si="68"/>
        <v>0</v>
      </c>
      <c r="HE24" s="1171">
        <f t="shared" si="69"/>
        <v>-3.637978807091713E-12</v>
      </c>
      <c r="HF24" s="1171">
        <f t="shared" si="70"/>
        <v>3.637978807091713E-12</v>
      </c>
      <c r="HG24" s="1171">
        <f t="shared" si="89"/>
        <v>-2.384185791015625E-7</v>
      </c>
      <c r="HH24" s="1171">
        <f t="shared" si="90"/>
        <v>0</v>
      </c>
      <c r="HI24" s="1171">
        <f t="shared" si="91"/>
        <v>0</v>
      </c>
      <c r="HJ24" s="1171">
        <f t="shared" si="92"/>
        <v>0</v>
      </c>
      <c r="HK24" s="1171">
        <f t="shared" si="93"/>
        <v>0</v>
      </c>
      <c r="HL24" s="1171">
        <f t="shared" si="94"/>
        <v>0</v>
      </c>
      <c r="HM24" s="1171">
        <f t="shared" si="95"/>
        <v>-3.637978807091713E-12</v>
      </c>
      <c r="HN24" s="1171">
        <f t="shared" si="96"/>
        <v>3.637978807091713E-12</v>
      </c>
      <c r="HO24" s="1171">
        <f t="shared" si="97"/>
        <v>-2.384185791015625E-7</v>
      </c>
      <c r="HP24" s="1171">
        <f t="shared" si="98"/>
        <v>0</v>
      </c>
      <c r="HQ24" s="1171">
        <f t="shared" si="99"/>
        <v>0</v>
      </c>
      <c r="HR24" s="1171">
        <f t="shared" si="100"/>
        <v>0</v>
      </c>
      <c r="HS24" s="1171">
        <f t="shared" si="101"/>
        <v>-5.8207660913467407E-10</v>
      </c>
      <c r="HT24" s="1171">
        <f t="shared" si="102"/>
        <v>0</v>
      </c>
      <c r="HU24" s="1171">
        <f t="shared" si="103"/>
        <v>9.0949470177292824E-13</v>
      </c>
      <c r="HV24" s="1171">
        <f t="shared" si="104"/>
        <v>0</v>
      </c>
      <c r="HW24" s="1171">
        <f t="shared" si="105"/>
        <v>-1.1920928955078125E-6</v>
      </c>
      <c r="HX24" s="1171">
        <f t="shared" si="106"/>
        <v>0</v>
      </c>
      <c r="HY24" s="1171">
        <f t="shared" si="107"/>
        <v>0</v>
      </c>
      <c r="HZ24" s="1171">
        <f t="shared" si="108"/>
        <v>0</v>
      </c>
      <c r="IA24" s="1171">
        <f t="shared" si="109"/>
        <v>0</v>
      </c>
      <c r="IB24" s="1171">
        <f t="shared" si="110"/>
        <v>0</v>
      </c>
      <c r="IC24" s="1171">
        <f t="shared" si="111"/>
        <v>2.5011104298755527E-12</v>
      </c>
      <c r="ID24" s="1171">
        <f t="shared" si="112"/>
        <v>-2.5011104298755527E-12</v>
      </c>
      <c r="IE24" s="1171">
        <f t="shared" si="113"/>
        <v>0</v>
      </c>
      <c r="IF24" s="1171">
        <f t="shared" si="114"/>
        <v>0</v>
      </c>
      <c r="IG24" s="1171">
        <f t="shared" si="115"/>
        <v>0</v>
      </c>
      <c r="IH24" s="1171">
        <f t="shared" si="116"/>
        <v>0</v>
      </c>
      <c r="II24" s="1171">
        <f t="shared" si="117"/>
        <v>0</v>
      </c>
      <c r="IJ24" s="1171">
        <f t="shared" si="118"/>
        <v>0</v>
      </c>
      <c r="IK24" s="1171">
        <f t="shared" si="119"/>
        <v>2.2737367544323206E-12</v>
      </c>
      <c r="IL24" s="1171">
        <f t="shared" si="120"/>
        <v>-2.2737367544323206E-12</v>
      </c>
      <c r="IM24" s="1171">
        <f t="shared" si="121"/>
        <v>-3.8743019104003906E-7</v>
      </c>
      <c r="IN24" s="1171">
        <f t="shared" si="122"/>
        <v>0</v>
      </c>
      <c r="IO24" s="1171">
        <f t="shared" si="123"/>
        <v>0</v>
      </c>
      <c r="IP24" s="1171">
        <f t="shared" si="124"/>
        <v>0</v>
      </c>
      <c r="IQ24" s="1171">
        <f t="shared" si="125"/>
        <v>0</v>
      </c>
      <c r="IR24" s="1171">
        <f t="shared" si="126"/>
        <v>0</v>
      </c>
      <c r="IS24" s="1171">
        <f t="shared" si="127"/>
        <v>1.8189894035458565E-12</v>
      </c>
      <c r="IT24" s="1171">
        <f t="shared" si="128"/>
        <v>-1.8189894035458565E-12</v>
      </c>
      <c r="IU24" s="1171">
        <f t="shared" si="129"/>
        <v>-2.384185791015625E-7</v>
      </c>
      <c r="IV24" s="1171">
        <f t="shared" si="130"/>
        <v>0</v>
      </c>
      <c r="IW24" s="1171">
        <f t="shared" si="131"/>
        <v>0</v>
      </c>
      <c r="IX24" s="1171">
        <f t="shared" si="132"/>
        <v>0</v>
      </c>
    </row>
    <row r="25" spans="1:258">
      <c r="A25">
        <v>112</v>
      </c>
      <c r="B25" s="136" t="str">
        <f t="shared" ref="B25" si="150">LEFT(B23,3)+1&amp;"i"</f>
        <v>112i</v>
      </c>
      <c r="C25">
        <v>46.9</v>
      </c>
      <c r="D25" s="136">
        <v>0</v>
      </c>
      <c r="E25" t="s">
        <v>2089</v>
      </c>
      <c r="F25" s="26">
        <v>2</v>
      </c>
      <c r="G25" s="136">
        <v>500</v>
      </c>
      <c r="H25" s="136">
        <v>36</v>
      </c>
      <c r="I25" s="28">
        <v>250</v>
      </c>
      <c r="J25" s="26">
        <v>1940</v>
      </c>
      <c r="K25" s="136">
        <v>32</v>
      </c>
      <c r="L25" s="28">
        <v>120</v>
      </c>
      <c r="M25" s="26">
        <v>2800</v>
      </c>
      <c r="N25" s="28">
        <v>12</v>
      </c>
      <c r="O25" s="26">
        <v>0</v>
      </c>
      <c r="P25" s="26">
        <v>290</v>
      </c>
      <c r="Q25" s="26">
        <f>+Section!L86</f>
        <v>5500</v>
      </c>
      <c r="R25" s="169">
        <v>0</v>
      </c>
      <c r="S25" s="210">
        <v>0</v>
      </c>
      <c r="T25" s="27">
        <v>1200</v>
      </c>
      <c r="U25" s="27">
        <v>2400</v>
      </c>
      <c r="V25" s="28">
        <v>3800</v>
      </c>
      <c r="W25" s="210">
        <v>19</v>
      </c>
      <c r="X25" s="210">
        <v>200</v>
      </c>
      <c r="Y25" s="169">
        <v>50</v>
      </c>
      <c r="Z25" s="210">
        <v>16</v>
      </c>
      <c r="AA25" s="210">
        <v>200</v>
      </c>
      <c r="AB25" s="28">
        <v>40</v>
      </c>
      <c r="AC25" s="210">
        <v>0</v>
      </c>
      <c r="AD25" s="26">
        <v>2</v>
      </c>
      <c r="AE25" s="169">
        <v>160</v>
      </c>
      <c r="AF25" s="169">
        <v>16</v>
      </c>
      <c r="AG25" s="26">
        <v>0</v>
      </c>
      <c r="AH25" s="169">
        <v>0</v>
      </c>
      <c r="AI25" s="169">
        <v>0</v>
      </c>
      <c r="AJ25" s="397">
        <v>2</v>
      </c>
      <c r="AK25" s="210">
        <v>2500</v>
      </c>
      <c r="AL25" s="210">
        <v>5000</v>
      </c>
      <c r="AM25" s="210" t="s">
        <v>2316</v>
      </c>
      <c r="AN25" s="210">
        <v>2500</v>
      </c>
      <c r="AO25" s="1143" t="s">
        <v>2322</v>
      </c>
      <c r="AP25" s="1143" t="s">
        <v>2321</v>
      </c>
      <c r="AQ25" s="136">
        <v>150</v>
      </c>
      <c r="AR25" s="136">
        <v>14</v>
      </c>
      <c r="AS25" s="1143" t="s">
        <v>2448</v>
      </c>
      <c r="AT25" s="136">
        <v>120</v>
      </c>
      <c r="AU25" s="136">
        <v>12</v>
      </c>
      <c r="AZ25" s="1108">
        <v>8</v>
      </c>
      <c r="BA25" s="1108">
        <v>6</v>
      </c>
      <c r="BC25" s="1168"/>
      <c r="BD25" s="210">
        <f>INDEX(Spec!$B$12:$P$58,MATCH(AO25,Spec!$A$12:$A$58,0),6)*100</f>
        <v>2921</v>
      </c>
      <c r="BE25" s="210">
        <f>INDEX(Spec!$B$12:$P$58,MATCH(AP25,Spec!$A$12:$A$58,0),6)*100</f>
        <v>1900</v>
      </c>
      <c r="BF25" s="881">
        <f t="shared" si="0"/>
        <v>1.0653882658952631</v>
      </c>
      <c r="BG25" s="881">
        <f t="shared" si="1"/>
        <v>47.243485714285718</v>
      </c>
      <c r="BH25" s="881"/>
      <c r="BI25" s="13" cm="1">
        <f t="array" ref="BI25">INDEX(Info!$AD$4:$AH$15,MATCH(Info!$I$13,Info!$AC$4:$AC$15,0),IF(H25&lt;=16,1,IF(H25&lt;=40,2,IF(H25&lt;=75,3,IF(H25&lt;=100,4,5)))))</f>
        <v>380</v>
      </c>
      <c r="BJ25" s="13" cm="1">
        <f t="array" ref="BJ25">INDEX(Info!$AD$4:$AH$15,MATCH(Info!$I$13,Info!$AC$4:$AC$15,0),IF(K25&lt;=16,1,IF(K25&lt;=40,2,IF(K25&lt;=75,3,IF(K25&lt;=100,4,5)))))</f>
        <v>380</v>
      </c>
      <c r="BK25" s="13" cm="1">
        <f t="array" ref="BK25">INDEX(Info!$AD$4:$AH$15,MATCH(Info!$I$14,Info!$AC$4:$AC$15,0),IF(N25&lt;=16,1,IF(N25&lt;=40,2,IF(N25&lt;=75,3,IF(N25&lt;=100,4,5)))))</f>
        <v>355</v>
      </c>
      <c r="BL25" s="13">
        <f>IF(Stress!C854="Positive",MAX(MIN(0.7*BI25,BK25),0.5*BI25),MAX(MIN(0.7*BJ25,BK25),0.5*BJ25))</f>
        <v>266</v>
      </c>
      <c r="BM25" s="13" cm="1">
        <f t="array" ref="BM25">INDEX(Info!$AD$4:$AH$15,MATCH(Info!$I$13,Info!$AC$4:$AC$15,0),IF(AI25&lt;=16,1,IF(AI25&lt;=40,2,IF(AI25&lt;=75,3,IF(AI25&lt;=100,4,5)))))</f>
        <v>380</v>
      </c>
      <c r="BN25" s="13" cm="1">
        <f t="array" ref="BN25">INDEX(Info!$AD$4:$AH$15,MATCH(Info!$I$13,Info!$AC$4:$AC$15,0),IF(AF25&lt;=16,1,IF(AF25&lt;=40,2,IF(AF25&lt;=75,3,IF(AF25&lt;=100,4,5)))))</f>
        <v>380</v>
      </c>
      <c r="BO25" s="13"/>
      <c r="BP25" s="13">
        <f t="shared" si="2"/>
        <v>0.125</v>
      </c>
      <c r="BQ25" s="13">
        <f t="shared" si="3"/>
        <v>2821.7902119044925</v>
      </c>
      <c r="BR25" s="13">
        <f t="shared" si="72"/>
        <v>3122</v>
      </c>
      <c r="BS25" s="13"/>
      <c r="BT25" s="136">
        <f t="shared" si="4"/>
        <v>0</v>
      </c>
      <c r="BU25" s="136">
        <f t="shared" si="5"/>
        <v>0</v>
      </c>
      <c r="BV25" s="136">
        <f t="shared" si="6"/>
        <v>1595000</v>
      </c>
      <c r="BW25" s="136">
        <f t="shared" si="7"/>
        <v>11178291666.666666</v>
      </c>
      <c r="BX25" s="136">
        <f t="shared" si="8"/>
        <v>0</v>
      </c>
      <c r="BY25" s="136">
        <f t="shared" si="9"/>
        <v>0</v>
      </c>
      <c r="BZ25" s="136">
        <f t="shared" si="10"/>
        <v>7655.2758986349281</v>
      </c>
      <c r="CA25" s="136">
        <f t="shared" si="11"/>
        <v>172722.16246295057</v>
      </c>
      <c r="CB25" s="136">
        <f t="shared" si="12"/>
        <v>5428.6721054031623</v>
      </c>
      <c r="CC25" s="136">
        <f t="shared" si="13"/>
        <v>86858.753686450596</v>
      </c>
      <c r="CE25" s="1137">
        <f t="shared" si="14"/>
        <v>346081987.77679139</v>
      </c>
      <c r="CF25" s="1136">
        <f t="shared" si="15"/>
        <v>411131448.88888884</v>
      </c>
      <c r="CG25" s="1136">
        <f t="shared" si="16"/>
        <v>0</v>
      </c>
      <c r="CH25" s="172">
        <f t="shared" si="17"/>
        <v>4020729166666.6665</v>
      </c>
      <c r="CJ25" s="136">
        <f t="shared" si="18"/>
        <v>170922.96508570784</v>
      </c>
      <c r="CK25" s="7">
        <f t="shared" si="19"/>
        <v>238917070787.51535</v>
      </c>
      <c r="CL25" s="6">
        <f t="shared" si="20"/>
        <v>1691.1774126907367</v>
      </c>
      <c r="CM25" s="6">
        <f t="shared" si="21"/>
        <v>1176.8225873092633</v>
      </c>
      <c r="CN25" s="164">
        <f t="shared" si="73"/>
        <v>141272624.0278883</v>
      </c>
      <c r="CO25" s="164">
        <f t="shared" si="74"/>
        <v>203018767.1140689</v>
      </c>
      <c r="CP25" s="1137">
        <f t="shared" si="22"/>
        <v>145157044071.85852</v>
      </c>
      <c r="CQ25" s="1136">
        <f t="shared" si="23"/>
        <v>47905662980.39016</v>
      </c>
      <c r="CR25" s="22">
        <f t="shared" si="24"/>
        <v>170922.96508570784</v>
      </c>
      <c r="CS25" s="7">
        <f t="shared" si="25"/>
        <v>238917070787.51535</v>
      </c>
      <c r="CT25" s="6">
        <f t="shared" si="26"/>
        <v>1691.1774126907367</v>
      </c>
      <c r="CU25" s="12">
        <f t="shared" si="27"/>
        <v>1176.8225873092633</v>
      </c>
      <c r="CV25" s="164">
        <f t="shared" si="28"/>
        <v>141272624.0278883</v>
      </c>
      <c r="CW25" s="164">
        <f t="shared" si="29"/>
        <v>203018767.1140689</v>
      </c>
      <c r="CX25" s="1136">
        <f t="shared" si="30"/>
        <v>145157044071.85852</v>
      </c>
      <c r="CY25" s="1136">
        <f t="shared" si="31"/>
        <v>47905662980.39016</v>
      </c>
      <c r="CZ25" s="22">
        <f t="shared" si="32"/>
        <v>170922.96508570784</v>
      </c>
      <c r="DA25" s="7">
        <f t="shared" si="33"/>
        <v>238917070787.51535</v>
      </c>
      <c r="DB25" s="6">
        <f t="shared" si="34"/>
        <v>1691.1774126907367</v>
      </c>
      <c r="DC25" s="12">
        <f t="shared" si="35"/>
        <v>1176.8225873092633</v>
      </c>
      <c r="DD25" s="164">
        <f t="shared" si="75"/>
        <v>141272624.0278883</v>
      </c>
      <c r="DE25" s="164">
        <f t="shared" si="76"/>
        <v>203018767.1140689</v>
      </c>
      <c r="DF25" s="1136">
        <f t="shared" si="36"/>
        <v>145157044071.85852</v>
      </c>
      <c r="DG25" s="1136">
        <f t="shared" si="37"/>
        <v>47905662980.39016</v>
      </c>
      <c r="DH25" s="22">
        <f t="shared" si="38"/>
        <v>418834.65161772241</v>
      </c>
      <c r="DI25" s="172">
        <f t="shared" si="39"/>
        <v>568512249725.37402</v>
      </c>
      <c r="DJ25" s="12">
        <f t="shared" si="40"/>
        <v>625.63754698657112</v>
      </c>
      <c r="DK25" s="22">
        <f t="shared" si="41"/>
        <v>2242.3624530134289</v>
      </c>
      <c r="DL25" s="164">
        <f t="shared" si="77"/>
        <v>908692664.72841144</v>
      </c>
      <c r="DM25" s="164">
        <f t="shared" si="78"/>
        <v>253532719.01309764</v>
      </c>
      <c r="DN25" s="7">
        <f t="shared" si="42"/>
        <v>770101087204.64526</v>
      </c>
      <c r="DO25" s="1136">
        <f t="shared" si="43"/>
        <v>233008465685.25287</v>
      </c>
      <c r="DP25" s="22">
        <f t="shared" si="44"/>
        <v>253560.1939297127</v>
      </c>
      <c r="DQ25" s="172">
        <f t="shared" si="45"/>
        <v>420016377790.86359</v>
      </c>
      <c r="DR25" s="22">
        <f t="shared" si="46"/>
        <v>1104.4856670077768</v>
      </c>
      <c r="DS25" s="22">
        <f t="shared" si="47"/>
        <v>1763.5143329922232</v>
      </c>
      <c r="DT25" s="164">
        <f t="shared" si="79"/>
        <v>380282325.37299752</v>
      </c>
      <c r="DU25" s="164">
        <f t="shared" si="80"/>
        <v>238170095.88927212</v>
      </c>
      <c r="DV25" s="1136">
        <f t="shared" si="48"/>
        <v>353471725116.12073</v>
      </c>
      <c r="DW25" s="1136">
        <f t="shared" si="49"/>
        <v>233008465685.25287</v>
      </c>
      <c r="DX25" s="763">
        <f t="shared" si="50"/>
        <v>184006.91308974594</v>
      </c>
      <c r="DY25" s="7">
        <f t="shared" si="51"/>
        <v>278957443793.89447</v>
      </c>
      <c r="DZ25" s="13">
        <f t="shared" si="52"/>
        <v>1562.3199262688654</v>
      </c>
      <c r="EA25" s="763">
        <f t="shared" si="53"/>
        <v>1305.6800737311346</v>
      </c>
      <c r="EB25" s="164">
        <f t="shared" si="81"/>
        <v>178553341.79862958</v>
      </c>
      <c r="EC25" s="164">
        <f t="shared" si="82"/>
        <v>213649154.49520549</v>
      </c>
      <c r="ED25" s="1136">
        <f t="shared" si="54"/>
        <v>770101087204.64526</v>
      </c>
      <c r="EE25" s="1136">
        <f t="shared" si="55"/>
        <v>233008465685.25287</v>
      </c>
      <c r="EF25" s="763">
        <f t="shared" si="56"/>
        <v>175284.28108705388</v>
      </c>
      <c r="EG25" s="7">
        <f t="shared" si="57"/>
        <v>252925923365.1283</v>
      </c>
      <c r="EH25" s="13">
        <f t="shared" si="58"/>
        <v>1646.0874819071607</v>
      </c>
      <c r="EI25" s="763">
        <f t="shared" si="59"/>
        <v>1221.9125180928393</v>
      </c>
      <c r="EJ25" s="164">
        <f t="shared" si="83"/>
        <v>153652783.43049407</v>
      </c>
      <c r="EK25" s="164">
        <f t="shared" si="84"/>
        <v>206991842.39465442</v>
      </c>
      <c r="EL25" s="1136">
        <f t="shared" si="85"/>
        <v>353471725116.12073</v>
      </c>
      <c r="EM25" s="1136">
        <f t="shared" si="86"/>
        <v>233008465685.25287</v>
      </c>
      <c r="EN25" s="1138"/>
      <c r="EO25" s="1113" t="s">
        <v>2183</v>
      </c>
      <c r="EP25" s="1114">
        <v>170922.96508570801</v>
      </c>
      <c r="EQ25" s="1114">
        <v>238917070787.51501</v>
      </c>
      <c r="ER25" s="1115">
        <v>1691.1774126907401</v>
      </c>
      <c r="ES25" s="1115">
        <v>1176.8225873092599</v>
      </c>
      <c r="ET25" s="1114">
        <v>141272624.027888</v>
      </c>
      <c r="EU25" s="1114">
        <v>203018767.11406901</v>
      </c>
      <c r="EV25" s="1114">
        <v>145157044071.85901</v>
      </c>
      <c r="EW25" s="1114">
        <v>47905662980.390198</v>
      </c>
      <c r="EX25" s="1114">
        <v>170922.96508570801</v>
      </c>
      <c r="EY25" s="1114">
        <v>238917070787.51501</v>
      </c>
      <c r="EZ25" s="1115">
        <v>1691.1774126907401</v>
      </c>
      <c r="FA25" s="1115">
        <v>1176.8225873092599</v>
      </c>
      <c r="FB25" s="1114">
        <v>141272624.027888</v>
      </c>
      <c r="FC25" s="1114">
        <v>203018767.11406901</v>
      </c>
      <c r="FD25" s="1114">
        <v>145157044071.85901</v>
      </c>
      <c r="FE25" s="1114">
        <v>47905662980.390198</v>
      </c>
      <c r="FF25" s="1114">
        <v>170922.96508570801</v>
      </c>
      <c r="FG25" s="1114">
        <v>238917070787.51501</v>
      </c>
      <c r="FH25" s="1115">
        <v>1691.1774126907401</v>
      </c>
      <c r="FI25" s="1115">
        <v>1176.8225873092599</v>
      </c>
      <c r="FJ25" s="1114">
        <v>141272624.027888</v>
      </c>
      <c r="FK25" s="1114">
        <v>203018767.11406901</v>
      </c>
      <c r="FL25" s="1114">
        <v>145157044071.85901</v>
      </c>
      <c r="FM25" s="1114">
        <v>47905662980.390198</v>
      </c>
      <c r="FN25" s="1114">
        <v>418834.65161772299</v>
      </c>
      <c r="FO25" s="1114">
        <v>568512249725.37402</v>
      </c>
      <c r="FP25" s="1115">
        <v>625.63754698657101</v>
      </c>
      <c r="FQ25" s="1115">
        <v>2242.3624530134298</v>
      </c>
      <c r="FR25" s="1114">
        <v>908692664.72841203</v>
      </c>
      <c r="FS25" s="1114">
        <v>253532719.013098</v>
      </c>
      <c r="FT25" s="1114">
        <v>770101087204.646</v>
      </c>
      <c r="FU25" s="1114">
        <v>233008465685.25299</v>
      </c>
      <c r="FV25" s="1114">
        <v>253560.19392971299</v>
      </c>
      <c r="FW25" s="1114">
        <v>420016377790.86401</v>
      </c>
      <c r="FX25" s="1115">
        <v>1104.48566700778</v>
      </c>
      <c r="FY25" s="1115">
        <v>1763.51433299222</v>
      </c>
      <c r="FZ25" s="1114">
        <v>380282325.372998</v>
      </c>
      <c r="GA25" s="1114">
        <v>238170095.889272</v>
      </c>
      <c r="GB25" s="1114">
        <v>353471725116.12097</v>
      </c>
      <c r="GC25" s="1114">
        <v>233008465685.25299</v>
      </c>
      <c r="GD25" s="1114">
        <v>184006.913089746</v>
      </c>
      <c r="GE25" s="1114">
        <v>278957443793.89398</v>
      </c>
      <c r="GF25" s="1115">
        <v>1562.3199262688699</v>
      </c>
      <c r="GG25" s="1115">
        <v>1305.6800737311301</v>
      </c>
      <c r="GH25" s="1114">
        <v>178553341.79863</v>
      </c>
      <c r="GI25" s="1114">
        <v>213649154.49520499</v>
      </c>
      <c r="GJ25" s="1114">
        <v>770101087204.646</v>
      </c>
      <c r="GK25" s="1114">
        <v>233008465685.25299</v>
      </c>
      <c r="GL25" s="1114">
        <v>175284.281087054</v>
      </c>
      <c r="GM25" s="1114">
        <v>252925923365.12799</v>
      </c>
      <c r="GN25" s="1115">
        <v>1646.0874819071601</v>
      </c>
      <c r="GO25" s="1115">
        <v>1221.9125180928399</v>
      </c>
      <c r="GP25" s="1114">
        <v>153652783.43049401</v>
      </c>
      <c r="GQ25" s="1114">
        <v>206991842.39465401</v>
      </c>
      <c r="GR25" s="1114">
        <v>353471725116.12097</v>
      </c>
      <c r="GS25" s="1114">
        <v>233008465685.25299</v>
      </c>
      <c r="GU25" s="1171">
        <f t="shared" si="60"/>
        <v>0</v>
      </c>
      <c r="GV25" s="1171">
        <f t="shared" si="61"/>
        <v>3.35693359375E-4</v>
      </c>
      <c r="GW25" s="1171">
        <f t="shared" si="62"/>
        <v>-3.4106051316484809E-12</v>
      </c>
      <c r="GX25" s="1171">
        <f t="shared" si="63"/>
        <v>3.4106051316484809E-12</v>
      </c>
      <c r="GY25" s="1171">
        <f t="shared" si="64"/>
        <v>2.9802322387695313E-7</v>
      </c>
      <c r="GZ25" s="1171">
        <f t="shared" si="65"/>
        <v>0</v>
      </c>
      <c r="HA25" s="1171">
        <f t="shared" si="87"/>
        <v>-4.8828125E-4</v>
      </c>
      <c r="HB25" s="1171">
        <f t="shared" si="66"/>
        <v>0</v>
      </c>
      <c r="HC25" s="1171">
        <f t="shared" si="67"/>
        <v>0</v>
      </c>
      <c r="HD25" s="1171">
        <f t="shared" si="68"/>
        <v>3.35693359375E-4</v>
      </c>
      <c r="HE25" s="1171">
        <f t="shared" si="69"/>
        <v>-3.4106051316484809E-12</v>
      </c>
      <c r="HF25" s="1171">
        <f t="shared" si="70"/>
        <v>3.4106051316484809E-12</v>
      </c>
      <c r="HG25" s="1171">
        <f t="shared" si="89"/>
        <v>2.9802322387695313E-7</v>
      </c>
      <c r="HH25" s="1171">
        <f t="shared" si="90"/>
        <v>0</v>
      </c>
      <c r="HI25" s="1171">
        <f t="shared" si="91"/>
        <v>-4.8828125E-4</v>
      </c>
      <c r="HJ25" s="1171">
        <f t="shared" si="92"/>
        <v>0</v>
      </c>
      <c r="HK25" s="1171">
        <f t="shared" si="93"/>
        <v>0</v>
      </c>
      <c r="HL25" s="1171">
        <f t="shared" si="94"/>
        <v>3.35693359375E-4</v>
      </c>
      <c r="HM25" s="1171">
        <f t="shared" si="95"/>
        <v>-3.4106051316484809E-12</v>
      </c>
      <c r="HN25" s="1171">
        <f t="shared" si="96"/>
        <v>3.4106051316484809E-12</v>
      </c>
      <c r="HO25" s="1171">
        <f t="shared" si="97"/>
        <v>2.9802322387695313E-7</v>
      </c>
      <c r="HP25" s="1171">
        <f t="shared" si="98"/>
        <v>0</v>
      </c>
      <c r="HQ25" s="1171">
        <f t="shared" si="99"/>
        <v>-4.8828125E-4</v>
      </c>
      <c r="HR25" s="1171">
        <f t="shared" si="100"/>
        <v>0</v>
      </c>
      <c r="HS25" s="1171">
        <f t="shared" si="101"/>
        <v>-5.8207660913467407E-10</v>
      </c>
      <c r="HT25" s="1171">
        <f t="shared" si="102"/>
        <v>0</v>
      </c>
      <c r="HU25" s="1171">
        <f t="shared" si="103"/>
        <v>0</v>
      </c>
      <c r="HV25" s="1171">
        <f t="shared" si="104"/>
        <v>0</v>
      </c>
      <c r="HW25" s="1171">
        <f t="shared" si="105"/>
        <v>0</v>
      </c>
      <c r="HX25" s="1171">
        <f t="shared" si="106"/>
        <v>-3.5762786865234375E-7</v>
      </c>
      <c r="HY25" s="1171">
        <f t="shared" si="107"/>
        <v>0</v>
      </c>
      <c r="HZ25" s="1171">
        <f t="shared" si="108"/>
        <v>0</v>
      </c>
      <c r="IA25" s="1171">
        <f t="shared" si="109"/>
        <v>-2.9103830456733704E-10</v>
      </c>
      <c r="IB25" s="1171">
        <f t="shared" si="110"/>
        <v>0</v>
      </c>
      <c r="IC25" s="1171">
        <f t="shared" si="111"/>
        <v>-3.1832314562052488E-12</v>
      </c>
      <c r="ID25" s="1171">
        <f t="shared" si="112"/>
        <v>3.1832314562052488E-12</v>
      </c>
      <c r="IE25" s="1171">
        <f t="shared" si="113"/>
        <v>-4.76837158203125E-7</v>
      </c>
      <c r="IF25" s="1171">
        <f t="shared" si="114"/>
        <v>0</v>
      </c>
      <c r="IG25" s="1171">
        <f t="shared" si="115"/>
        <v>0</v>
      </c>
      <c r="IH25" s="1171">
        <f t="shared" si="116"/>
        <v>0</v>
      </c>
      <c r="II25" s="1171">
        <f t="shared" si="117"/>
        <v>0</v>
      </c>
      <c r="IJ25" s="1171">
        <f t="shared" si="118"/>
        <v>4.8828125E-4</v>
      </c>
      <c r="IK25" s="1171">
        <f t="shared" si="119"/>
        <v>-4.5474735088646412E-12</v>
      </c>
      <c r="IL25" s="1171">
        <f t="shared" si="120"/>
        <v>4.5474735088646412E-12</v>
      </c>
      <c r="IM25" s="1171">
        <f t="shared" si="121"/>
        <v>-4.1723251342773438E-7</v>
      </c>
      <c r="IN25" s="1171">
        <f t="shared" si="122"/>
        <v>5.0663948059082031E-7</v>
      </c>
      <c r="IO25" s="1171">
        <f t="shared" si="123"/>
        <v>0</v>
      </c>
      <c r="IP25" s="1171">
        <f t="shared" si="124"/>
        <v>0</v>
      </c>
      <c r="IQ25" s="1171">
        <f t="shared" si="125"/>
        <v>0</v>
      </c>
      <c r="IR25" s="1171">
        <f t="shared" si="126"/>
        <v>3.0517578125E-4</v>
      </c>
      <c r="IS25" s="1171">
        <f t="shared" si="127"/>
        <v>0</v>
      </c>
      <c r="IT25" s="1171">
        <f t="shared" si="128"/>
        <v>0</v>
      </c>
      <c r="IU25" s="1171">
        <f t="shared" si="129"/>
        <v>0</v>
      </c>
      <c r="IV25" s="1171">
        <f t="shared" si="130"/>
        <v>4.1723251342773438E-7</v>
      </c>
      <c r="IW25" s="1171">
        <f t="shared" si="131"/>
        <v>0</v>
      </c>
      <c r="IX25" s="1171">
        <f t="shared" si="132"/>
        <v>0</v>
      </c>
    </row>
    <row r="26" spans="1:258">
      <c r="B26" s="136" t="str">
        <f t="shared" ref="B26" si="151">LEFT(B24,3)+1&amp;"j"</f>
        <v>112j</v>
      </c>
      <c r="C26">
        <v>51.9</v>
      </c>
      <c r="D26" s="136">
        <v>0</v>
      </c>
      <c r="E26" t="s">
        <v>2089</v>
      </c>
      <c r="F26" s="26">
        <v>2</v>
      </c>
      <c r="G26" s="136">
        <v>500</v>
      </c>
      <c r="H26" s="136">
        <v>36</v>
      </c>
      <c r="I26" s="28">
        <v>250</v>
      </c>
      <c r="J26" s="26">
        <v>1940</v>
      </c>
      <c r="K26" s="136">
        <v>32</v>
      </c>
      <c r="L26" s="28">
        <v>120</v>
      </c>
      <c r="M26" s="26">
        <v>2800</v>
      </c>
      <c r="N26" s="28">
        <v>12</v>
      </c>
      <c r="O26" s="26">
        <v>0</v>
      </c>
      <c r="P26" s="26">
        <v>290</v>
      </c>
      <c r="Q26" s="26">
        <f>+Section!L87</f>
        <v>5500</v>
      </c>
      <c r="R26" s="169">
        <v>0</v>
      </c>
      <c r="S26" s="210">
        <v>0</v>
      </c>
      <c r="T26" s="27">
        <v>1200</v>
      </c>
      <c r="U26" s="27">
        <v>2400</v>
      </c>
      <c r="V26" s="28">
        <v>3800</v>
      </c>
      <c r="W26" s="210">
        <v>19</v>
      </c>
      <c r="X26" s="210">
        <v>200</v>
      </c>
      <c r="Y26" s="169">
        <v>50</v>
      </c>
      <c r="Z26" s="210">
        <v>16</v>
      </c>
      <c r="AA26" s="210">
        <v>200</v>
      </c>
      <c r="AB26" s="28">
        <v>40</v>
      </c>
      <c r="AC26" s="210">
        <v>0</v>
      </c>
      <c r="AD26" s="26">
        <v>2</v>
      </c>
      <c r="AE26" s="169">
        <v>160</v>
      </c>
      <c r="AF26" s="169">
        <v>16</v>
      </c>
      <c r="AG26" s="26">
        <v>0</v>
      </c>
      <c r="AH26" s="169">
        <v>0</v>
      </c>
      <c r="AI26" s="169">
        <v>0</v>
      </c>
      <c r="AJ26" s="397">
        <v>2</v>
      </c>
      <c r="AK26" s="210">
        <v>2500</v>
      </c>
      <c r="AL26" s="210">
        <v>5000</v>
      </c>
      <c r="AM26" s="210" t="s">
        <v>2316</v>
      </c>
      <c r="AN26" s="210">
        <v>2500</v>
      </c>
      <c r="AO26" s="1143" t="s">
        <v>2322</v>
      </c>
      <c r="AP26" s="1143" t="s">
        <v>2321</v>
      </c>
      <c r="AQ26" s="136">
        <v>150</v>
      </c>
      <c r="AR26" s="136">
        <v>14</v>
      </c>
      <c r="AS26" s="1143" t="s">
        <v>2448</v>
      </c>
      <c r="AT26" s="136">
        <v>120</v>
      </c>
      <c r="AU26" s="136">
        <v>12</v>
      </c>
      <c r="AV26" s="1109" t="s">
        <v>2157</v>
      </c>
      <c r="AW26" s="1109">
        <v>12</v>
      </c>
      <c r="AX26" s="1109">
        <v>400</v>
      </c>
      <c r="AY26" s="1109">
        <v>1000</v>
      </c>
      <c r="AZ26" s="1108">
        <v>8</v>
      </c>
      <c r="BA26" s="1108">
        <v>6</v>
      </c>
      <c r="BC26" s="1168"/>
      <c r="BD26" s="210">
        <f>INDEX(Spec!$B$12:$P$58,MATCH(AO26,Spec!$A$12:$A$58,0),6)*100</f>
        <v>2921</v>
      </c>
      <c r="BE26" s="210">
        <f>INDEX(Spec!$B$12:$P$58,MATCH(AP26,Spec!$A$12:$A$58,0),6)*100</f>
        <v>1900</v>
      </c>
      <c r="BF26" s="881">
        <f t="shared" si="0"/>
        <v>1.0653882658952631</v>
      </c>
      <c r="BG26" s="881">
        <f t="shared" si="1"/>
        <v>47.243485714285718</v>
      </c>
      <c r="BH26" s="881"/>
      <c r="BI26" s="13" cm="1">
        <f t="array" ref="BI26">INDEX(Info!$AD$4:$AH$15,MATCH(Info!$I$13,Info!$AC$4:$AC$15,0),IF(H26&lt;=16,1,IF(H26&lt;=40,2,IF(H26&lt;=75,3,IF(H26&lt;=100,4,5)))))</f>
        <v>380</v>
      </c>
      <c r="BJ26" s="13" cm="1">
        <f t="array" ref="BJ26">INDEX(Info!$AD$4:$AH$15,MATCH(Info!$I$13,Info!$AC$4:$AC$15,0),IF(K26&lt;=16,1,IF(K26&lt;=40,2,IF(K26&lt;=75,3,IF(K26&lt;=100,4,5)))))</f>
        <v>380</v>
      </c>
      <c r="BK26" s="13" cm="1">
        <f t="array" ref="BK26">INDEX(Info!$AD$4:$AH$15,MATCH(Info!$I$14,Info!$AC$4:$AC$15,0),IF(N26&lt;=16,1,IF(N26&lt;=40,2,IF(N26&lt;=75,3,IF(N26&lt;=100,4,5)))))</f>
        <v>355</v>
      </c>
      <c r="BL26" s="13">
        <f>IF(Stress!C855="Positive",MAX(MIN(0.7*BI26,BK26),0.5*BI26),MAX(MIN(0.7*BJ26,BK26),0.5*BJ26))</f>
        <v>266</v>
      </c>
      <c r="BM26" s="13" cm="1">
        <f t="array" ref="BM26">INDEX(Info!$AD$4:$AH$15,MATCH(Info!$I$13,Info!$AC$4:$AC$15,0),IF(AI26&lt;=16,1,IF(AI26&lt;=40,2,IF(AI26&lt;=75,3,IF(AI26&lt;=100,4,5)))))</f>
        <v>380</v>
      </c>
      <c r="BN26" s="13" cm="1">
        <f t="array" ref="BN26">INDEX(Info!$AD$4:$AH$15,MATCH(Info!$I$13,Info!$AC$4:$AC$15,0),IF(AF26&lt;=16,1,IF(AF26&lt;=40,2,IF(AF26&lt;=75,3,IF(AF26&lt;=100,4,5)))))</f>
        <v>380</v>
      </c>
      <c r="BO26" s="13"/>
      <c r="BP26" s="13">
        <f t="shared" si="2"/>
        <v>0.125</v>
      </c>
      <c r="BQ26" s="13">
        <f t="shared" si="3"/>
        <v>2821.7902119044925</v>
      </c>
      <c r="BR26" s="13">
        <f t="shared" si="72"/>
        <v>3122</v>
      </c>
      <c r="BS26" s="13"/>
      <c r="BT26" s="136">
        <f t="shared" si="4"/>
        <v>0</v>
      </c>
      <c r="BU26" s="136">
        <f t="shared" si="5"/>
        <v>0</v>
      </c>
      <c r="BV26" s="136">
        <f t="shared" si="6"/>
        <v>1595000</v>
      </c>
      <c r="BW26" s="136">
        <f t="shared" si="7"/>
        <v>11178291666.666666</v>
      </c>
      <c r="BX26" s="136">
        <f t="shared" si="8"/>
        <v>0</v>
      </c>
      <c r="BY26" s="136">
        <f t="shared" si="9"/>
        <v>0</v>
      </c>
      <c r="BZ26" s="136">
        <f t="shared" si="10"/>
        <v>7655.2758986349281</v>
      </c>
      <c r="CA26" s="136">
        <f t="shared" si="11"/>
        <v>172722.16246295057</v>
      </c>
      <c r="CB26" s="136">
        <f t="shared" si="12"/>
        <v>5428.6721054031623</v>
      </c>
      <c r="CC26" s="136">
        <f t="shared" si="13"/>
        <v>86858.753686450596</v>
      </c>
      <c r="CE26" s="1137">
        <f t="shared" si="14"/>
        <v>346081987.77679139</v>
      </c>
      <c r="CF26" s="1136">
        <f t="shared" si="15"/>
        <v>411131448.88888884</v>
      </c>
      <c r="CG26" s="1136">
        <f t="shared" si="16"/>
        <v>0</v>
      </c>
      <c r="CH26" s="172">
        <f t="shared" si="17"/>
        <v>4020729166666.6665</v>
      </c>
      <c r="CJ26" s="136">
        <f t="shared" si="18"/>
        <v>170922.96508570784</v>
      </c>
      <c r="CK26" s="7">
        <f t="shared" si="19"/>
        <v>238917070787.51535</v>
      </c>
      <c r="CL26" s="6">
        <f t="shared" si="20"/>
        <v>1691.1774126907367</v>
      </c>
      <c r="CM26" s="6">
        <f t="shared" si="21"/>
        <v>1176.8225873092633</v>
      </c>
      <c r="CN26" s="164">
        <f t="shared" si="73"/>
        <v>141272624.0278883</v>
      </c>
      <c r="CO26" s="164">
        <f t="shared" si="74"/>
        <v>203018767.1140689</v>
      </c>
      <c r="CP26" s="1137">
        <f t="shared" si="22"/>
        <v>145157044071.85852</v>
      </c>
      <c r="CQ26" s="1136">
        <f t="shared" si="23"/>
        <v>47905662980.39016</v>
      </c>
      <c r="CR26" s="22">
        <f t="shared" si="24"/>
        <v>170922.96508570784</v>
      </c>
      <c r="CS26" s="7">
        <f t="shared" si="25"/>
        <v>238917070787.51535</v>
      </c>
      <c r="CT26" s="6">
        <f t="shared" si="26"/>
        <v>1691.1774126907367</v>
      </c>
      <c r="CU26" s="12">
        <f t="shared" si="27"/>
        <v>1176.8225873092633</v>
      </c>
      <c r="CV26" s="164">
        <f t="shared" si="28"/>
        <v>141272624.0278883</v>
      </c>
      <c r="CW26" s="164">
        <f t="shared" si="29"/>
        <v>203018767.1140689</v>
      </c>
      <c r="CX26" s="1136">
        <f t="shared" si="30"/>
        <v>145157044071.85852</v>
      </c>
      <c r="CY26" s="1136">
        <f t="shared" si="31"/>
        <v>47905662980.39016</v>
      </c>
      <c r="CZ26" s="22">
        <f t="shared" si="32"/>
        <v>170922.96508570784</v>
      </c>
      <c r="DA26" s="7">
        <f t="shared" si="33"/>
        <v>238917070787.51535</v>
      </c>
      <c r="DB26" s="6">
        <f t="shared" si="34"/>
        <v>1691.1774126907367</v>
      </c>
      <c r="DC26" s="12">
        <f t="shared" si="35"/>
        <v>1176.8225873092633</v>
      </c>
      <c r="DD26" s="164">
        <f t="shared" si="75"/>
        <v>141272624.0278883</v>
      </c>
      <c r="DE26" s="164">
        <f t="shared" si="76"/>
        <v>203018767.1140689</v>
      </c>
      <c r="DF26" s="1136">
        <f t="shared" si="36"/>
        <v>145157044071.85852</v>
      </c>
      <c r="DG26" s="1136">
        <f t="shared" si="37"/>
        <v>47905662980.39016</v>
      </c>
      <c r="DH26" s="22">
        <f t="shared" si="38"/>
        <v>418834.65161772241</v>
      </c>
      <c r="DI26" s="172">
        <f t="shared" si="39"/>
        <v>568512249725.37402</v>
      </c>
      <c r="DJ26" s="12">
        <f t="shared" si="40"/>
        <v>625.63754698657112</v>
      </c>
      <c r="DK26" s="22">
        <f t="shared" si="41"/>
        <v>2242.3624530134289</v>
      </c>
      <c r="DL26" s="164">
        <f t="shared" si="77"/>
        <v>908692664.72841144</v>
      </c>
      <c r="DM26" s="164">
        <f t="shared" si="78"/>
        <v>253532719.01309764</v>
      </c>
      <c r="DN26" s="7">
        <f t="shared" si="42"/>
        <v>770101087204.64526</v>
      </c>
      <c r="DO26" s="1136">
        <f t="shared" si="43"/>
        <v>233008465685.25287</v>
      </c>
      <c r="DP26" s="22">
        <f t="shared" si="44"/>
        <v>253560.1939297127</v>
      </c>
      <c r="DQ26" s="172">
        <f t="shared" si="45"/>
        <v>420016377790.86359</v>
      </c>
      <c r="DR26" s="22">
        <f t="shared" si="46"/>
        <v>1104.4856670077768</v>
      </c>
      <c r="DS26" s="22">
        <f t="shared" si="47"/>
        <v>1763.5143329922232</v>
      </c>
      <c r="DT26" s="164">
        <f t="shared" si="79"/>
        <v>380282325.37299752</v>
      </c>
      <c r="DU26" s="164">
        <f t="shared" si="80"/>
        <v>238170095.88927212</v>
      </c>
      <c r="DV26" s="1136">
        <f t="shared" si="48"/>
        <v>353471725116.12073</v>
      </c>
      <c r="DW26" s="1136">
        <f t="shared" si="49"/>
        <v>233008465685.25287</v>
      </c>
      <c r="DX26" s="763">
        <f t="shared" si="50"/>
        <v>184006.91308974594</v>
      </c>
      <c r="DY26" s="7">
        <f t="shared" si="51"/>
        <v>278957443793.89447</v>
      </c>
      <c r="DZ26" s="13">
        <f t="shared" si="52"/>
        <v>1562.3199262688654</v>
      </c>
      <c r="EA26" s="763">
        <f t="shared" si="53"/>
        <v>1305.6800737311346</v>
      </c>
      <c r="EB26" s="164">
        <f t="shared" si="81"/>
        <v>178553341.79862958</v>
      </c>
      <c r="EC26" s="164">
        <f t="shared" si="82"/>
        <v>213649154.49520549</v>
      </c>
      <c r="ED26" s="1136">
        <f t="shared" si="54"/>
        <v>770101087204.64526</v>
      </c>
      <c r="EE26" s="1136">
        <f t="shared" si="55"/>
        <v>233008465685.25287</v>
      </c>
      <c r="EF26" s="763">
        <f t="shared" si="56"/>
        <v>175284.28108705388</v>
      </c>
      <c r="EG26" s="7">
        <f t="shared" si="57"/>
        <v>252925923365.1283</v>
      </c>
      <c r="EH26" s="13">
        <f t="shared" si="58"/>
        <v>1646.0874819071607</v>
      </c>
      <c r="EI26" s="763">
        <f t="shared" si="59"/>
        <v>1221.9125180928393</v>
      </c>
      <c r="EJ26" s="164">
        <f t="shared" si="83"/>
        <v>153652783.43049407</v>
      </c>
      <c r="EK26" s="164">
        <f t="shared" si="84"/>
        <v>206991842.39465442</v>
      </c>
      <c r="EL26" s="1136">
        <f t="shared" si="85"/>
        <v>353471725116.12073</v>
      </c>
      <c r="EM26" s="1136">
        <f t="shared" si="86"/>
        <v>233008465685.25287</v>
      </c>
      <c r="EN26" s="1139"/>
      <c r="EO26" s="1113" t="s">
        <v>2184</v>
      </c>
      <c r="EP26" s="1114">
        <v>170922.96508570801</v>
      </c>
      <c r="EQ26" s="1114">
        <v>238917070787.51501</v>
      </c>
      <c r="ER26" s="1115">
        <v>1691.1774126907401</v>
      </c>
      <c r="ES26" s="1115">
        <v>1176.8225873092599</v>
      </c>
      <c r="ET26" s="1114">
        <v>141272624.027888</v>
      </c>
      <c r="EU26" s="1114">
        <v>203018767.11406901</v>
      </c>
      <c r="EV26" s="1114">
        <v>145157044071.85901</v>
      </c>
      <c r="EW26" s="1114">
        <v>47905662980.390198</v>
      </c>
      <c r="EX26" s="1114">
        <v>170922.96508570801</v>
      </c>
      <c r="EY26" s="1114">
        <v>238917070787.51501</v>
      </c>
      <c r="EZ26" s="1115">
        <v>1691.1774126907401</v>
      </c>
      <c r="FA26" s="1115">
        <v>1176.8225873092599</v>
      </c>
      <c r="FB26" s="1114">
        <v>141272624.027888</v>
      </c>
      <c r="FC26" s="1114">
        <v>203018767.11406901</v>
      </c>
      <c r="FD26" s="1114">
        <v>145157044071.85901</v>
      </c>
      <c r="FE26" s="1114">
        <v>47905662980.390198</v>
      </c>
      <c r="FF26" s="1114">
        <v>170922.96508570801</v>
      </c>
      <c r="FG26" s="1114">
        <v>238917070787.51501</v>
      </c>
      <c r="FH26" s="1115">
        <v>1691.1774126907401</v>
      </c>
      <c r="FI26" s="1115">
        <v>1176.8225873092599</v>
      </c>
      <c r="FJ26" s="1114">
        <v>141272624.027888</v>
      </c>
      <c r="FK26" s="1114">
        <v>203018767.11406901</v>
      </c>
      <c r="FL26" s="1114">
        <v>145157044071.85901</v>
      </c>
      <c r="FM26" s="1114">
        <v>47905662980.390198</v>
      </c>
      <c r="FN26" s="1114">
        <v>418834.65161772299</v>
      </c>
      <c r="FO26" s="1114">
        <v>568512249725.37402</v>
      </c>
      <c r="FP26" s="1115">
        <v>625.63754698657101</v>
      </c>
      <c r="FQ26" s="1115">
        <v>2242.3624530134298</v>
      </c>
      <c r="FR26" s="1114">
        <v>908692664.72841203</v>
      </c>
      <c r="FS26" s="1114">
        <v>253532719.013098</v>
      </c>
      <c r="FT26" s="1114">
        <v>770101087204.646</v>
      </c>
      <c r="FU26" s="1114">
        <v>233008465685.25299</v>
      </c>
      <c r="FV26" s="1114">
        <v>253560.19392971299</v>
      </c>
      <c r="FW26" s="1114">
        <v>420016377790.86401</v>
      </c>
      <c r="FX26" s="1115">
        <v>1104.48566700778</v>
      </c>
      <c r="FY26" s="1115">
        <v>1763.51433299222</v>
      </c>
      <c r="FZ26" s="1114">
        <v>380282325.372998</v>
      </c>
      <c r="GA26" s="1114">
        <v>238170095.889272</v>
      </c>
      <c r="GB26" s="1114">
        <v>353471725116.12097</v>
      </c>
      <c r="GC26" s="1114">
        <v>233008465685.25299</v>
      </c>
      <c r="GD26" s="1114">
        <v>184006.913089746</v>
      </c>
      <c r="GE26" s="1114">
        <v>278957443793.89398</v>
      </c>
      <c r="GF26" s="1115">
        <v>1562.3199262688699</v>
      </c>
      <c r="GG26" s="1115">
        <v>1305.6800737311301</v>
      </c>
      <c r="GH26" s="1114">
        <v>178553341.79863</v>
      </c>
      <c r="GI26" s="1114">
        <v>213649154.49520499</v>
      </c>
      <c r="GJ26" s="1114">
        <v>770101087204.646</v>
      </c>
      <c r="GK26" s="1114">
        <v>233008465685.25299</v>
      </c>
      <c r="GL26" s="1114">
        <v>175284.281087054</v>
      </c>
      <c r="GM26" s="1114">
        <v>252925923365.12799</v>
      </c>
      <c r="GN26" s="1115">
        <v>1646.0874819071601</v>
      </c>
      <c r="GO26" s="1115">
        <v>1221.9125180928399</v>
      </c>
      <c r="GP26" s="1114">
        <v>153652783.43049401</v>
      </c>
      <c r="GQ26" s="1114">
        <v>206991842.39465401</v>
      </c>
      <c r="GR26" s="1114">
        <v>353471725116.12097</v>
      </c>
      <c r="GS26" s="1114">
        <v>233008465685.25299</v>
      </c>
      <c r="GU26" s="1171">
        <f t="shared" si="60"/>
        <v>0</v>
      </c>
      <c r="GV26" s="1171">
        <f t="shared" si="61"/>
        <v>3.35693359375E-4</v>
      </c>
      <c r="GW26" s="1171">
        <f t="shared" si="62"/>
        <v>-3.4106051316484809E-12</v>
      </c>
      <c r="GX26" s="1171">
        <f t="shared" si="63"/>
        <v>3.4106051316484809E-12</v>
      </c>
      <c r="GY26" s="1171">
        <f t="shared" si="64"/>
        <v>2.9802322387695313E-7</v>
      </c>
      <c r="GZ26" s="1171">
        <f t="shared" si="65"/>
        <v>0</v>
      </c>
      <c r="HA26" s="1171">
        <f t="shared" si="87"/>
        <v>-4.8828125E-4</v>
      </c>
      <c r="HB26" s="1171">
        <f t="shared" si="66"/>
        <v>0</v>
      </c>
      <c r="HC26" s="1171">
        <f t="shared" si="67"/>
        <v>0</v>
      </c>
      <c r="HD26" s="1171">
        <f t="shared" si="68"/>
        <v>3.35693359375E-4</v>
      </c>
      <c r="HE26" s="1171">
        <f t="shared" si="69"/>
        <v>-3.4106051316484809E-12</v>
      </c>
      <c r="HF26" s="1171">
        <f t="shared" si="70"/>
        <v>3.4106051316484809E-12</v>
      </c>
      <c r="HG26" s="1171">
        <f t="shared" si="89"/>
        <v>2.9802322387695313E-7</v>
      </c>
      <c r="HH26" s="1171">
        <f t="shared" si="90"/>
        <v>0</v>
      </c>
      <c r="HI26" s="1171">
        <f t="shared" si="91"/>
        <v>-4.8828125E-4</v>
      </c>
      <c r="HJ26" s="1171">
        <f t="shared" si="92"/>
        <v>0</v>
      </c>
      <c r="HK26" s="1171">
        <f t="shared" si="93"/>
        <v>0</v>
      </c>
      <c r="HL26" s="1171">
        <f t="shared" si="94"/>
        <v>3.35693359375E-4</v>
      </c>
      <c r="HM26" s="1171">
        <f t="shared" si="95"/>
        <v>-3.4106051316484809E-12</v>
      </c>
      <c r="HN26" s="1171">
        <f t="shared" si="96"/>
        <v>3.4106051316484809E-12</v>
      </c>
      <c r="HO26" s="1171">
        <f t="shared" si="97"/>
        <v>2.9802322387695313E-7</v>
      </c>
      <c r="HP26" s="1171">
        <f t="shared" si="98"/>
        <v>0</v>
      </c>
      <c r="HQ26" s="1171">
        <f t="shared" si="99"/>
        <v>-4.8828125E-4</v>
      </c>
      <c r="HR26" s="1171">
        <f t="shared" si="100"/>
        <v>0</v>
      </c>
      <c r="HS26" s="1171">
        <f t="shared" si="101"/>
        <v>-5.8207660913467407E-10</v>
      </c>
      <c r="HT26" s="1171">
        <f t="shared" si="102"/>
        <v>0</v>
      </c>
      <c r="HU26" s="1171">
        <f t="shared" si="103"/>
        <v>0</v>
      </c>
      <c r="HV26" s="1171">
        <f t="shared" si="104"/>
        <v>0</v>
      </c>
      <c r="HW26" s="1171">
        <f t="shared" si="105"/>
        <v>0</v>
      </c>
      <c r="HX26" s="1171">
        <f t="shared" si="106"/>
        <v>-3.5762786865234375E-7</v>
      </c>
      <c r="HY26" s="1171">
        <f t="shared" si="107"/>
        <v>0</v>
      </c>
      <c r="HZ26" s="1171">
        <f t="shared" si="108"/>
        <v>0</v>
      </c>
      <c r="IA26" s="1171">
        <f t="shared" si="109"/>
        <v>-2.9103830456733704E-10</v>
      </c>
      <c r="IB26" s="1171">
        <f t="shared" si="110"/>
        <v>0</v>
      </c>
      <c r="IC26" s="1171">
        <f t="shared" si="111"/>
        <v>-3.1832314562052488E-12</v>
      </c>
      <c r="ID26" s="1171">
        <f t="shared" si="112"/>
        <v>3.1832314562052488E-12</v>
      </c>
      <c r="IE26" s="1171">
        <f t="shared" si="113"/>
        <v>-4.76837158203125E-7</v>
      </c>
      <c r="IF26" s="1171">
        <f t="shared" si="114"/>
        <v>0</v>
      </c>
      <c r="IG26" s="1171">
        <f t="shared" si="115"/>
        <v>0</v>
      </c>
      <c r="IH26" s="1171">
        <f t="shared" si="116"/>
        <v>0</v>
      </c>
      <c r="II26" s="1171">
        <f t="shared" si="117"/>
        <v>0</v>
      </c>
      <c r="IJ26" s="1171">
        <f t="shared" si="118"/>
        <v>4.8828125E-4</v>
      </c>
      <c r="IK26" s="1171">
        <f t="shared" si="119"/>
        <v>-4.5474735088646412E-12</v>
      </c>
      <c r="IL26" s="1171">
        <f t="shared" si="120"/>
        <v>4.5474735088646412E-12</v>
      </c>
      <c r="IM26" s="1171">
        <f t="shared" si="121"/>
        <v>-4.1723251342773438E-7</v>
      </c>
      <c r="IN26" s="1171">
        <f t="shared" si="122"/>
        <v>5.0663948059082031E-7</v>
      </c>
      <c r="IO26" s="1171">
        <f t="shared" si="123"/>
        <v>0</v>
      </c>
      <c r="IP26" s="1171">
        <f t="shared" si="124"/>
        <v>0</v>
      </c>
      <c r="IQ26" s="1171">
        <f t="shared" si="125"/>
        <v>0</v>
      </c>
      <c r="IR26" s="1171">
        <f t="shared" si="126"/>
        <v>3.0517578125E-4</v>
      </c>
      <c r="IS26" s="1171">
        <f t="shared" si="127"/>
        <v>0</v>
      </c>
      <c r="IT26" s="1171">
        <f t="shared" si="128"/>
        <v>0</v>
      </c>
      <c r="IU26" s="1171">
        <f t="shared" si="129"/>
        <v>0</v>
      </c>
      <c r="IV26" s="1171">
        <f t="shared" si="130"/>
        <v>4.1723251342773438E-7</v>
      </c>
      <c r="IW26" s="1171">
        <f t="shared" si="131"/>
        <v>0</v>
      </c>
      <c r="IX26" s="1171">
        <f t="shared" si="132"/>
        <v>0</v>
      </c>
    </row>
    <row r="27" spans="1:258">
      <c r="A27">
        <v>113</v>
      </c>
      <c r="B27" s="136" t="str">
        <f t="shared" ref="B27" si="152">LEFT(B25,3)+1&amp;"i"</f>
        <v>113i</v>
      </c>
      <c r="C27">
        <v>51.9</v>
      </c>
      <c r="D27" s="136">
        <v>0</v>
      </c>
      <c r="E27" t="s">
        <v>2090</v>
      </c>
      <c r="F27" s="26">
        <v>2</v>
      </c>
      <c r="G27" s="136">
        <v>500</v>
      </c>
      <c r="H27" s="136">
        <v>30</v>
      </c>
      <c r="I27" s="28">
        <v>250</v>
      </c>
      <c r="J27" s="26">
        <v>1940</v>
      </c>
      <c r="K27" s="136">
        <v>32</v>
      </c>
      <c r="L27" s="28">
        <v>120</v>
      </c>
      <c r="M27" s="26">
        <v>2800</v>
      </c>
      <c r="N27" s="28">
        <v>12</v>
      </c>
      <c r="O27" s="26">
        <v>0</v>
      </c>
      <c r="P27" s="26">
        <v>290</v>
      </c>
      <c r="Q27" s="26">
        <f>+Section!L88</f>
        <v>5500</v>
      </c>
      <c r="R27" s="169">
        <v>0</v>
      </c>
      <c r="S27" s="210">
        <v>0</v>
      </c>
      <c r="T27" s="27">
        <v>1200</v>
      </c>
      <c r="U27" s="27">
        <v>2400</v>
      </c>
      <c r="V27" s="28">
        <v>3800</v>
      </c>
      <c r="W27" s="210">
        <v>19</v>
      </c>
      <c r="X27" s="210">
        <v>200</v>
      </c>
      <c r="Y27" s="169">
        <v>50</v>
      </c>
      <c r="Z27" s="210">
        <v>16</v>
      </c>
      <c r="AA27" s="210">
        <v>200</v>
      </c>
      <c r="AB27" s="28">
        <v>40</v>
      </c>
      <c r="AC27" s="210">
        <v>0</v>
      </c>
      <c r="AD27" s="26">
        <v>2</v>
      </c>
      <c r="AE27" s="169">
        <v>160</v>
      </c>
      <c r="AF27" s="169">
        <v>16</v>
      </c>
      <c r="AG27" s="26">
        <v>0</v>
      </c>
      <c r="AH27" s="169">
        <v>0</v>
      </c>
      <c r="AI27" s="169">
        <v>0</v>
      </c>
      <c r="AJ27" s="397">
        <v>2</v>
      </c>
      <c r="AK27" s="210">
        <v>2500</v>
      </c>
      <c r="AL27" s="210">
        <v>5000</v>
      </c>
      <c r="AM27" s="210" t="s">
        <v>2316</v>
      </c>
      <c r="AN27" s="210">
        <v>2500</v>
      </c>
      <c r="AO27" s="1143" t="s">
        <v>2322</v>
      </c>
      <c r="AP27" s="1143" t="s">
        <v>2321</v>
      </c>
      <c r="AQ27" s="136">
        <v>150</v>
      </c>
      <c r="AR27" s="136">
        <v>14</v>
      </c>
      <c r="AS27" s="1143" t="s">
        <v>2448</v>
      </c>
      <c r="AT27" s="136">
        <v>120</v>
      </c>
      <c r="AU27" s="136">
        <v>12</v>
      </c>
      <c r="AV27" s="1109" t="s">
        <v>2157</v>
      </c>
      <c r="AW27" s="1109">
        <v>12</v>
      </c>
      <c r="AX27" s="1109">
        <v>400</v>
      </c>
      <c r="AY27" s="1109">
        <v>1000</v>
      </c>
      <c r="AZ27" s="1108">
        <v>8</v>
      </c>
      <c r="BA27" s="1108">
        <v>6</v>
      </c>
      <c r="BC27" s="1168"/>
      <c r="BD27" s="210">
        <f>INDEX(Spec!$B$12:$P$58,MATCH(AO27,Spec!$A$12:$A$58,0),6)*100</f>
        <v>2921</v>
      </c>
      <c r="BE27" s="210">
        <f>INDEX(Spec!$B$12:$P$58,MATCH(AP27,Spec!$A$12:$A$58,0),6)*100</f>
        <v>1900</v>
      </c>
      <c r="BF27" s="881">
        <f t="shared" si="0"/>
        <v>1.0617395007654364</v>
      </c>
      <c r="BG27" s="881">
        <f t="shared" si="1"/>
        <v>47.243485714285718</v>
      </c>
      <c r="BH27" s="881"/>
      <c r="BI27" s="13" cm="1">
        <f t="array" ref="BI27">INDEX(Info!$AD$4:$AH$15,MATCH(Info!$I$13,Info!$AC$4:$AC$15,0),IF(H27&lt;=16,1,IF(H27&lt;=40,2,IF(H27&lt;=75,3,IF(H27&lt;=100,4,5)))))</f>
        <v>380</v>
      </c>
      <c r="BJ27" s="13" cm="1">
        <f t="array" ref="BJ27">INDEX(Info!$AD$4:$AH$15,MATCH(Info!$I$13,Info!$AC$4:$AC$15,0),IF(K27&lt;=16,1,IF(K27&lt;=40,2,IF(K27&lt;=75,3,IF(K27&lt;=100,4,5)))))</f>
        <v>380</v>
      </c>
      <c r="BK27" s="13" cm="1">
        <f t="array" ref="BK27">INDEX(Info!$AD$4:$AH$15,MATCH(Info!$I$14,Info!$AC$4:$AC$15,0),IF(N27&lt;=16,1,IF(N27&lt;=40,2,IF(N27&lt;=75,3,IF(N27&lt;=100,4,5)))))</f>
        <v>355</v>
      </c>
      <c r="BL27" s="13">
        <f>IF(Stress!C856="Positive",MAX(MIN(0.7*BI27,BK27),0.5*BI27),MAX(MIN(0.7*BJ27,BK27),0.5*BJ27))</f>
        <v>266</v>
      </c>
      <c r="BM27" s="13" cm="1">
        <f t="array" ref="BM27">INDEX(Info!$AD$4:$AH$15,MATCH(Info!$I$13,Info!$AC$4:$AC$15,0),IF(AI27&lt;=16,1,IF(AI27&lt;=40,2,IF(AI27&lt;=75,3,IF(AI27&lt;=100,4,5)))))</f>
        <v>380</v>
      </c>
      <c r="BN27" s="13" cm="1">
        <f t="array" ref="BN27">INDEX(Info!$AD$4:$AH$15,MATCH(Info!$I$13,Info!$AC$4:$AC$15,0),IF(AF27&lt;=16,1,IF(AF27&lt;=40,2,IF(AF27&lt;=75,3,IF(AF27&lt;=100,4,5)))))</f>
        <v>380</v>
      </c>
      <c r="BO27" s="13"/>
      <c r="BP27" s="13">
        <f t="shared" si="2"/>
        <v>0.125</v>
      </c>
      <c r="BQ27" s="13">
        <f t="shared" si="3"/>
        <v>2821.7902119044925</v>
      </c>
      <c r="BR27" s="13">
        <f t="shared" si="72"/>
        <v>3122</v>
      </c>
      <c r="BS27" s="13"/>
      <c r="BT27" s="136">
        <f t="shared" si="4"/>
        <v>0</v>
      </c>
      <c r="BU27" s="136">
        <f t="shared" si="5"/>
        <v>0</v>
      </c>
      <c r="BV27" s="136">
        <f t="shared" si="6"/>
        <v>1595000</v>
      </c>
      <c r="BW27" s="136">
        <f t="shared" si="7"/>
        <v>11178291666.666666</v>
      </c>
      <c r="BX27" s="136">
        <f t="shared" si="8"/>
        <v>0</v>
      </c>
      <c r="BY27" s="136">
        <f t="shared" si="9"/>
        <v>0</v>
      </c>
      <c r="BZ27" s="136">
        <f t="shared" si="10"/>
        <v>7655.2758986349281</v>
      </c>
      <c r="CA27" s="136">
        <f t="shared" si="11"/>
        <v>172722.16246295057</v>
      </c>
      <c r="CB27" s="136">
        <f t="shared" si="12"/>
        <v>5428.6721054031623</v>
      </c>
      <c r="CC27" s="136">
        <f t="shared" si="13"/>
        <v>86858.753686450596</v>
      </c>
      <c r="CE27" s="1137">
        <f t="shared" si="14"/>
        <v>346081987.77679139</v>
      </c>
      <c r="CF27" s="1136">
        <f t="shared" si="15"/>
        <v>411131448.88888884</v>
      </c>
      <c r="CG27" s="1136">
        <f t="shared" si="16"/>
        <v>0</v>
      </c>
      <c r="CH27" s="172">
        <f t="shared" si="17"/>
        <v>4020729166666.6665</v>
      </c>
      <c r="CJ27" s="136">
        <f t="shared" si="18"/>
        <v>164922.96508570784</v>
      </c>
      <c r="CK27" s="7">
        <f t="shared" si="19"/>
        <v>221195298743.63608</v>
      </c>
      <c r="CL27" s="6">
        <f t="shared" si="20"/>
        <v>1746.5943564794959</v>
      </c>
      <c r="CM27" s="6">
        <f t="shared" si="21"/>
        <v>1115.4056435205041</v>
      </c>
      <c r="CN27" s="164">
        <f t="shared" si="73"/>
        <v>126643772.73580913</v>
      </c>
      <c r="CO27" s="164">
        <f t="shared" si="74"/>
        <v>198309287.77219328</v>
      </c>
      <c r="CP27" s="1137">
        <f t="shared" si="22"/>
        <v>136392044071.85852</v>
      </c>
      <c r="CQ27" s="1136">
        <f t="shared" si="23"/>
        <v>47772738867.848671</v>
      </c>
      <c r="CR27" s="22">
        <f t="shared" si="24"/>
        <v>164922.96508570784</v>
      </c>
      <c r="CS27" s="7">
        <f t="shared" si="25"/>
        <v>221195298743.63608</v>
      </c>
      <c r="CT27" s="6">
        <f t="shared" si="26"/>
        <v>1746.5943564794959</v>
      </c>
      <c r="CU27" s="12">
        <f t="shared" si="27"/>
        <v>1115.4056435205041</v>
      </c>
      <c r="CV27" s="164">
        <f t="shared" si="28"/>
        <v>126643772.73580913</v>
      </c>
      <c r="CW27" s="164">
        <f t="shared" si="29"/>
        <v>198309287.77219328</v>
      </c>
      <c r="CX27" s="1136">
        <f t="shared" si="30"/>
        <v>136392044071.85852</v>
      </c>
      <c r="CY27" s="1136">
        <f t="shared" si="31"/>
        <v>47772738867.848671</v>
      </c>
      <c r="CZ27" s="22">
        <f t="shared" si="32"/>
        <v>164922.96508570784</v>
      </c>
      <c r="DA27" s="7">
        <f t="shared" si="33"/>
        <v>221195298743.63608</v>
      </c>
      <c r="DB27" s="6">
        <f t="shared" si="34"/>
        <v>1746.5943564794959</v>
      </c>
      <c r="DC27" s="12">
        <f t="shared" si="35"/>
        <v>1115.4056435205041</v>
      </c>
      <c r="DD27" s="164">
        <f t="shared" si="75"/>
        <v>126643772.73580913</v>
      </c>
      <c r="DE27" s="164">
        <f t="shared" si="76"/>
        <v>198309287.77219328</v>
      </c>
      <c r="DF27" s="1136">
        <f t="shared" si="36"/>
        <v>136392044071.85852</v>
      </c>
      <c r="DG27" s="1136">
        <f t="shared" si="37"/>
        <v>47772738867.848671</v>
      </c>
      <c r="DH27" s="22">
        <f t="shared" si="38"/>
        <v>412834.65161772241</v>
      </c>
      <c r="DI27" s="172">
        <f t="shared" si="39"/>
        <v>566152360388.05957</v>
      </c>
      <c r="DJ27" s="12">
        <f t="shared" si="40"/>
        <v>628.6867517160681</v>
      </c>
      <c r="DK27" s="22">
        <f t="shared" si="41"/>
        <v>2233.3132482839319</v>
      </c>
      <c r="DL27" s="164">
        <f t="shared" si="77"/>
        <v>900531717.65221047</v>
      </c>
      <c r="DM27" s="164">
        <f t="shared" si="78"/>
        <v>253503336.72317958</v>
      </c>
      <c r="DN27" s="7">
        <f t="shared" si="42"/>
        <v>761336087204.64526</v>
      </c>
      <c r="DO27" s="1136">
        <f t="shared" si="43"/>
        <v>233008465685.25287</v>
      </c>
      <c r="DP27" s="22">
        <f t="shared" si="44"/>
        <v>247560.1939297127</v>
      </c>
      <c r="DQ27" s="172">
        <f t="shared" si="45"/>
        <v>412560302918.47009</v>
      </c>
      <c r="DR27" s="22">
        <f t="shared" si="46"/>
        <v>1125.1818571227475</v>
      </c>
      <c r="DS27" s="22">
        <f t="shared" si="47"/>
        <v>1736.8181428772525</v>
      </c>
      <c r="DT27" s="164">
        <f t="shared" si="79"/>
        <v>366660998.2260524</v>
      </c>
      <c r="DU27" s="164">
        <f t="shared" si="80"/>
        <v>237537997.06111619</v>
      </c>
      <c r="DV27" s="1136">
        <f t="shared" si="48"/>
        <v>344706725116.12073</v>
      </c>
      <c r="DW27" s="1136">
        <f t="shared" si="49"/>
        <v>233008465685.25287</v>
      </c>
      <c r="DX27" s="763">
        <f t="shared" si="50"/>
        <v>178006.91308974594</v>
      </c>
      <c r="DY27" s="7">
        <f t="shared" si="51"/>
        <v>263876813373.73816</v>
      </c>
      <c r="DZ27" s="13">
        <f t="shared" si="52"/>
        <v>1608.8792308218083</v>
      </c>
      <c r="EA27" s="763">
        <f t="shared" si="53"/>
        <v>1253.1207691781917</v>
      </c>
      <c r="EB27" s="164">
        <f t="shared" si="81"/>
        <v>164012816.07628876</v>
      </c>
      <c r="EC27" s="164">
        <f t="shared" si="82"/>
        <v>210575724.11539474</v>
      </c>
      <c r="ED27" s="1136">
        <f t="shared" si="54"/>
        <v>761336087204.64526</v>
      </c>
      <c r="EE27" s="1136">
        <f t="shared" si="55"/>
        <v>233008465685.25287</v>
      </c>
      <c r="EF27" s="763">
        <f t="shared" si="56"/>
        <v>169284.28108705388</v>
      </c>
      <c r="EG27" s="7">
        <f t="shared" si="57"/>
        <v>236153360491.24203</v>
      </c>
      <c r="EH27" s="13">
        <f t="shared" si="58"/>
        <v>1698.3239869632519</v>
      </c>
      <c r="EI27" s="763">
        <f t="shared" si="59"/>
        <v>1163.6760130367481</v>
      </c>
      <c r="EJ27" s="164">
        <f t="shared" si="83"/>
        <v>139050830.29151839</v>
      </c>
      <c r="EK27" s="164">
        <f t="shared" si="84"/>
        <v>202937379.34407732</v>
      </c>
      <c r="EL27" s="1136">
        <f t="shared" si="85"/>
        <v>344706725116.12073</v>
      </c>
      <c r="EM27" s="1136">
        <f t="shared" si="86"/>
        <v>233008465685.25287</v>
      </c>
      <c r="EN27" s="164"/>
      <c r="EO27" s="1113" t="s">
        <v>2185</v>
      </c>
      <c r="EP27" s="1114">
        <v>164922.96508570801</v>
      </c>
      <c r="EQ27" s="1114">
        <v>221195298743.63599</v>
      </c>
      <c r="ER27" s="1115">
        <v>1746.5943564795</v>
      </c>
      <c r="ES27" s="1115">
        <v>1115.4056435205</v>
      </c>
      <c r="ET27" s="1114">
        <v>126643772.735809</v>
      </c>
      <c r="EU27" s="1114">
        <v>198309287.77219301</v>
      </c>
      <c r="EV27" s="1114">
        <v>136392044071.85899</v>
      </c>
      <c r="EW27" s="1114">
        <v>47772738867.848701</v>
      </c>
      <c r="EX27" s="1114">
        <v>164922.96508570801</v>
      </c>
      <c r="EY27" s="1114">
        <v>221195298743.63599</v>
      </c>
      <c r="EZ27" s="1115">
        <v>1746.5943564795</v>
      </c>
      <c r="FA27" s="1115">
        <v>1115.4056435205</v>
      </c>
      <c r="FB27" s="1114">
        <v>126643772.735809</v>
      </c>
      <c r="FC27" s="1114">
        <v>198309287.77219301</v>
      </c>
      <c r="FD27" s="1114">
        <v>136392044071.85899</v>
      </c>
      <c r="FE27" s="1114">
        <v>47772738867.848701</v>
      </c>
      <c r="FF27" s="1114">
        <v>164922.96508570801</v>
      </c>
      <c r="FG27" s="1114">
        <v>221195298743.63599</v>
      </c>
      <c r="FH27" s="1115">
        <v>1746.5943564795</v>
      </c>
      <c r="FI27" s="1115">
        <v>1115.4056435205</v>
      </c>
      <c r="FJ27" s="1114">
        <v>126643772.735809</v>
      </c>
      <c r="FK27" s="1114">
        <v>198309287.77219301</v>
      </c>
      <c r="FL27" s="1114">
        <v>136392044071.85899</v>
      </c>
      <c r="FM27" s="1114">
        <v>47772738867.848701</v>
      </c>
      <c r="FN27" s="1114">
        <v>412834.65161772299</v>
      </c>
      <c r="FO27" s="1114">
        <v>566152360388.06006</v>
      </c>
      <c r="FP27" s="1115">
        <v>628.68675171606799</v>
      </c>
      <c r="FQ27" s="1115">
        <v>2233.3132482839301</v>
      </c>
      <c r="FR27" s="1114">
        <v>900531717.65221095</v>
      </c>
      <c r="FS27" s="1114">
        <v>253503336.72318</v>
      </c>
      <c r="FT27" s="1114">
        <v>761336087204.646</v>
      </c>
      <c r="FU27" s="1114">
        <v>233008465685.25299</v>
      </c>
      <c r="FV27" s="1114">
        <v>247560.19392971299</v>
      </c>
      <c r="FW27" s="1114">
        <v>412560302918.46997</v>
      </c>
      <c r="FX27" s="1115">
        <v>1125.18185712275</v>
      </c>
      <c r="FY27" s="1115">
        <v>1736.81814287725</v>
      </c>
      <c r="FZ27" s="1114">
        <v>366660998.226053</v>
      </c>
      <c r="GA27" s="1114">
        <v>237537997.06111601</v>
      </c>
      <c r="GB27" s="1114">
        <v>344706725116.12097</v>
      </c>
      <c r="GC27" s="1114">
        <v>233008465685.25299</v>
      </c>
      <c r="GD27" s="1114">
        <v>178006.913089746</v>
      </c>
      <c r="GE27" s="1114">
        <v>263876813373.73801</v>
      </c>
      <c r="GF27" s="1115">
        <v>1608.8792308218101</v>
      </c>
      <c r="GG27" s="1115">
        <v>1253.1207691781899</v>
      </c>
      <c r="GH27" s="1114">
        <v>164012816.076289</v>
      </c>
      <c r="GI27" s="1114">
        <v>210575724.11539501</v>
      </c>
      <c r="GJ27" s="1114">
        <v>761336087204.646</v>
      </c>
      <c r="GK27" s="1114">
        <v>233008465685.25299</v>
      </c>
      <c r="GL27" s="1114">
        <v>169284.281087054</v>
      </c>
      <c r="GM27" s="1114">
        <v>236153360491.242</v>
      </c>
      <c r="GN27" s="1115">
        <v>1698.32398696325</v>
      </c>
      <c r="GO27" s="1115">
        <v>1163.67601303675</v>
      </c>
      <c r="GP27" s="1114">
        <v>139050830.291518</v>
      </c>
      <c r="GQ27" s="1114">
        <v>202937379.34407699</v>
      </c>
      <c r="GR27" s="1114">
        <v>344706725116.12097</v>
      </c>
      <c r="GS27" s="1114">
        <v>233008465685.25299</v>
      </c>
      <c r="GU27" s="1171">
        <f t="shared" si="60"/>
        <v>0</v>
      </c>
      <c r="GV27" s="1171">
        <f t="shared" si="61"/>
        <v>0</v>
      </c>
      <c r="GW27" s="1171">
        <f t="shared" si="62"/>
        <v>-4.0927261579781771E-12</v>
      </c>
      <c r="GX27" s="1171">
        <f t="shared" si="63"/>
        <v>4.0927261579781771E-12</v>
      </c>
      <c r="GY27" s="1171">
        <f t="shared" si="64"/>
        <v>1.3411045074462891E-7</v>
      </c>
      <c r="GZ27" s="1171">
        <f t="shared" si="65"/>
        <v>2.6822090148925781E-7</v>
      </c>
      <c r="HA27" s="1171">
        <f t="shared" si="87"/>
        <v>-4.730224609375E-4</v>
      </c>
      <c r="HB27" s="1171">
        <f t="shared" si="66"/>
        <v>0</v>
      </c>
      <c r="HC27" s="1171">
        <f t="shared" si="67"/>
        <v>0</v>
      </c>
      <c r="HD27" s="1171">
        <f t="shared" si="68"/>
        <v>0</v>
      </c>
      <c r="HE27" s="1171">
        <f t="shared" si="69"/>
        <v>-4.0927261579781771E-12</v>
      </c>
      <c r="HF27" s="1171">
        <f t="shared" si="70"/>
        <v>4.0927261579781771E-12</v>
      </c>
      <c r="HG27" s="1171">
        <f t="shared" si="89"/>
        <v>1.3411045074462891E-7</v>
      </c>
      <c r="HH27" s="1171">
        <f t="shared" si="90"/>
        <v>2.6822090148925781E-7</v>
      </c>
      <c r="HI27" s="1171">
        <f t="shared" si="91"/>
        <v>-4.730224609375E-4</v>
      </c>
      <c r="HJ27" s="1171">
        <f t="shared" si="92"/>
        <v>0</v>
      </c>
      <c r="HK27" s="1171">
        <f t="shared" si="93"/>
        <v>0</v>
      </c>
      <c r="HL27" s="1171">
        <f t="shared" si="94"/>
        <v>0</v>
      </c>
      <c r="HM27" s="1171">
        <f t="shared" si="95"/>
        <v>-4.0927261579781771E-12</v>
      </c>
      <c r="HN27" s="1171">
        <f t="shared" si="96"/>
        <v>4.0927261579781771E-12</v>
      </c>
      <c r="HO27" s="1171">
        <f t="shared" si="97"/>
        <v>1.3411045074462891E-7</v>
      </c>
      <c r="HP27" s="1171">
        <f t="shared" si="98"/>
        <v>2.6822090148925781E-7</v>
      </c>
      <c r="HQ27" s="1171">
        <f t="shared" si="99"/>
        <v>-4.730224609375E-4</v>
      </c>
      <c r="HR27" s="1171">
        <f t="shared" si="100"/>
        <v>0</v>
      </c>
      <c r="HS27" s="1171">
        <f t="shared" si="101"/>
        <v>-5.8207660913467407E-10</v>
      </c>
      <c r="HT27" s="1171">
        <f t="shared" si="102"/>
        <v>0</v>
      </c>
      <c r="HU27" s="1171">
        <f t="shared" si="103"/>
        <v>0</v>
      </c>
      <c r="HV27" s="1171">
        <f t="shared" si="104"/>
        <v>0</v>
      </c>
      <c r="HW27" s="1171">
        <f t="shared" si="105"/>
        <v>0</v>
      </c>
      <c r="HX27" s="1171">
        <f t="shared" si="106"/>
        <v>-4.1723251342773438E-7</v>
      </c>
      <c r="HY27" s="1171">
        <f t="shared" si="107"/>
        <v>0</v>
      </c>
      <c r="HZ27" s="1171">
        <f t="shared" si="108"/>
        <v>0</v>
      </c>
      <c r="IA27" s="1171">
        <f t="shared" si="109"/>
        <v>-2.9103830456733704E-10</v>
      </c>
      <c r="IB27" s="1171">
        <f t="shared" si="110"/>
        <v>0</v>
      </c>
      <c r="IC27" s="1171">
        <f t="shared" si="111"/>
        <v>-2.5011104298755527E-12</v>
      </c>
      <c r="ID27" s="1171">
        <f t="shared" si="112"/>
        <v>2.5011104298755527E-12</v>
      </c>
      <c r="IE27" s="1171">
        <f t="shared" si="113"/>
        <v>-5.9604644775390625E-7</v>
      </c>
      <c r="IF27" s="1171">
        <f t="shared" si="114"/>
        <v>0</v>
      </c>
      <c r="IG27" s="1171">
        <f t="shared" si="115"/>
        <v>0</v>
      </c>
      <c r="IH27" s="1171">
        <f t="shared" si="116"/>
        <v>0</v>
      </c>
      <c r="II27" s="1171">
        <f t="shared" si="117"/>
        <v>0</v>
      </c>
      <c r="IJ27" s="1171">
        <f t="shared" si="118"/>
        <v>0</v>
      </c>
      <c r="IK27" s="1171">
        <f t="shared" si="119"/>
        <v>-1.8189894035458565E-12</v>
      </c>
      <c r="IL27" s="1171">
        <f t="shared" si="120"/>
        <v>1.8189894035458565E-12</v>
      </c>
      <c r="IM27" s="1171">
        <f t="shared" si="121"/>
        <v>-2.384185791015625E-7</v>
      </c>
      <c r="IN27" s="1171">
        <f t="shared" si="122"/>
        <v>-2.6822090148925781E-7</v>
      </c>
      <c r="IO27" s="1171">
        <f t="shared" si="123"/>
        <v>0</v>
      </c>
      <c r="IP27" s="1171">
        <f t="shared" si="124"/>
        <v>0</v>
      </c>
      <c r="IQ27" s="1171">
        <f t="shared" si="125"/>
        <v>0</v>
      </c>
      <c r="IR27" s="1171">
        <f t="shared" si="126"/>
        <v>0</v>
      </c>
      <c r="IS27" s="1171">
        <f t="shared" si="127"/>
        <v>1.8189894035458565E-12</v>
      </c>
      <c r="IT27" s="1171">
        <f t="shared" si="128"/>
        <v>-1.8189894035458565E-12</v>
      </c>
      <c r="IU27" s="1171">
        <f t="shared" si="129"/>
        <v>3.8743019104003906E-7</v>
      </c>
      <c r="IV27" s="1171">
        <f t="shared" si="130"/>
        <v>3.2782554626464844E-7</v>
      </c>
      <c r="IW27" s="1171">
        <f t="shared" si="131"/>
        <v>0</v>
      </c>
      <c r="IX27" s="1171">
        <f t="shared" si="132"/>
        <v>0</v>
      </c>
    </row>
    <row r="28" spans="1:258">
      <c r="B28" s="136" t="str">
        <f t="shared" ref="B28" si="153">LEFT(B26,3)+1&amp;"j"</f>
        <v>113j</v>
      </c>
      <c r="C28">
        <v>56.9</v>
      </c>
      <c r="D28" s="136">
        <v>0</v>
      </c>
      <c r="E28" t="s">
        <v>2090</v>
      </c>
      <c r="F28" s="26">
        <v>2</v>
      </c>
      <c r="G28" s="136">
        <v>500</v>
      </c>
      <c r="H28" s="136">
        <v>30</v>
      </c>
      <c r="I28" s="28">
        <v>250</v>
      </c>
      <c r="J28" s="26">
        <v>1940</v>
      </c>
      <c r="K28" s="136">
        <v>32</v>
      </c>
      <c r="L28" s="28">
        <v>120</v>
      </c>
      <c r="M28" s="26">
        <v>2800</v>
      </c>
      <c r="N28" s="28">
        <v>12</v>
      </c>
      <c r="O28" s="26">
        <v>0</v>
      </c>
      <c r="P28" s="26">
        <v>290</v>
      </c>
      <c r="Q28" s="26">
        <f>+Section!L89</f>
        <v>5500</v>
      </c>
      <c r="R28" s="169">
        <v>0</v>
      </c>
      <c r="S28" s="210">
        <v>0</v>
      </c>
      <c r="T28" s="27">
        <v>1200</v>
      </c>
      <c r="U28" s="27">
        <v>2400</v>
      </c>
      <c r="V28" s="28">
        <v>3800</v>
      </c>
      <c r="W28" s="210">
        <v>19</v>
      </c>
      <c r="X28" s="210">
        <v>200</v>
      </c>
      <c r="Y28" s="169">
        <v>50</v>
      </c>
      <c r="Z28" s="210">
        <v>16</v>
      </c>
      <c r="AA28" s="210">
        <v>200</v>
      </c>
      <c r="AB28" s="28">
        <v>40</v>
      </c>
      <c r="AC28" s="210">
        <v>0</v>
      </c>
      <c r="AD28" s="26">
        <v>2</v>
      </c>
      <c r="AE28" s="169">
        <v>160</v>
      </c>
      <c r="AF28" s="169">
        <v>16</v>
      </c>
      <c r="AG28" s="26">
        <v>0</v>
      </c>
      <c r="AH28" s="169">
        <v>0</v>
      </c>
      <c r="AI28" s="169">
        <v>0</v>
      </c>
      <c r="AJ28" s="397">
        <v>2</v>
      </c>
      <c r="AK28" s="210">
        <v>2500</v>
      </c>
      <c r="AL28" s="210">
        <v>5000</v>
      </c>
      <c r="AM28" s="210" t="s">
        <v>2316</v>
      </c>
      <c r="AN28" s="210">
        <v>2500</v>
      </c>
      <c r="AO28" s="1143" t="s">
        <v>2322</v>
      </c>
      <c r="AP28" s="1143" t="s">
        <v>2321</v>
      </c>
      <c r="AQ28" s="136">
        <v>150</v>
      </c>
      <c r="AR28" s="136">
        <v>14</v>
      </c>
      <c r="AS28" s="1143" t="s">
        <v>2448</v>
      </c>
      <c r="AT28" s="136">
        <v>120</v>
      </c>
      <c r="AU28" s="136">
        <v>12</v>
      </c>
      <c r="AZ28" s="1108">
        <v>8</v>
      </c>
      <c r="BA28" s="1108">
        <v>6</v>
      </c>
      <c r="BC28" s="1168"/>
      <c r="BD28" s="210">
        <f>INDEX(Spec!$B$12:$P$58,MATCH(AO28,Spec!$A$12:$A$58,0),6)*100</f>
        <v>2921</v>
      </c>
      <c r="BE28" s="210">
        <f>INDEX(Spec!$B$12:$P$58,MATCH(AP28,Spec!$A$12:$A$58,0),6)*100</f>
        <v>1900</v>
      </c>
      <c r="BF28" s="881">
        <f t="shared" si="0"/>
        <v>1.0617395007654364</v>
      </c>
      <c r="BG28" s="881">
        <f t="shared" si="1"/>
        <v>47.243485714285718</v>
      </c>
      <c r="BH28" s="881"/>
      <c r="BI28" s="13" cm="1">
        <f t="array" ref="BI28">INDEX(Info!$AD$4:$AH$15,MATCH(Info!$I$13,Info!$AC$4:$AC$15,0),IF(H28&lt;=16,1,IF(H28&lt;=40,2,IF(H28&lt;=75,3,IF(H28&lt;=100,4,5)))))</f>
        <v>380</v>
      </c>
      <c r="BJ28" s="13" cm="1">
        <f t="array" ref="BJ28">INDEX(Info!$AD$4:$AH$15,MATCH(Info!$I$13,Info!$AC$4:$AC$15,0),IF(K28&lt;=16,1,IF(K28&lt;=40,2,IF(K28&lt;=75,3,IF(K28&lt;=100,4,5)))))</f>
        <v>380</v>
      </c>
      <c r="BK28" s="13" cm="1">
        <f t="array" ref="BK28">INDEX(Info!$AD$4:$AH$15,MATCH(Info!$I$14,Info!$AC$4:$AC$15,0),IF(N28&lt;=16,1,IF(N28&lt;=40,2,IF(N28&lt;=75,3,IF(N28&lt;=100,4,5)))))</f>
        <v>355</v>
      </c>
      <c r="BL28" s="13">
        <f>IF(Stress!C857="Positive",MAX(MIN(0.7*BI28,BK28),0.5*BI28),MAX(MIN(0.7*BJ28,BK28),0.5*BJ28))</f>
        <v>266</v>
      </c>
      <c r="BM28" s="13" cm="1">
        <f t="array" ref="BM28">INDEX(Info!$AD$4:$AH$15,MATCH(Info!$I$13,Info!$AC$4:$AC$15,0),IF(AI28&lt;=16,1,IF(AI28&lt;=40,2,IF(AI28&lt;=75,3,IF(AI28&lt;=100,4,5)))))</f>
        <v>380</v>
      </c>
      <c r="BN28" s="13" cm="1">
        <f t="array" ref="BN28">INDEX(Info!$AD$4:$AH$15,MATCH(Info!$I$13,Info!$AC$4:$AC$15,0),IF(AF28&lt;=16,1,IF(AF28&lt;=40,2,IF(AF28&lt;=75,3,IF(AF28&lt;=100,4,5)))))</f>
        <v>380</v>
      </c>
      <c r="BO28" s="13"/>
      <c r="BP28" s="13">
        <f t="shared" si="2"/>
        <v>0.125</v>
      </c>
      <c r="BQ28" s="13">
        <f t="shared" si="3"/>
        <v>2821.7902119044925</v>
      </c>
      <c r="BR28" s="13">
        <f t="shared" si="72"/>
        <v>3122</v>
      </c>
      <c r="BS28" s="13"/>
      <c r="BT28" s="136">
        <f t="shared" si="4"/>
        <v>0</v>
      </c>
      <c r="BU28" s="136">
        <f t="shared" si="5"/>
        <v>0</v>
      </c>
      <c r="BV28" s="136">
        <f t="shared" si="6"/>
        <v>1595000</v>
      </c>
      <c r="BW28" s="136">
        <f t="shared" si="7"/>
        <v>11178291666.666666</v>
      </c>
      <c r="BX28" s="136">
        <f t="shared" si="8"/>
        <v>0</v>
      </c>
      <c r="BY28" s="136">
        <f t="shared" si="9"/>
        <v>0</v>
      </c>
      <c r="BZ28" s="136">
        <f t="shared" si="10"/>
        <v>7655.2758986349281</v>
      </c>
      <c r="CA28" s="136">
        <f t="shared" si="11"/>
        <v>172722.16246295057</v>
      </c>
      <c r="CB28" s="136">
        <f t="shared" si="12"/>
        <v>5428.6721054031623</v>
      </c>
      <c r="CC28" s="136">
        <f t="shared" si="13"/>
        <v>86858.753686450596</v>
      </c>
      <c r="CE28" s="1137">
        <f t="shared" si="14"/>
        <v>346081987.77679139</v>
      </c>
      <c r="CF28" s="1136">
        <f t="shared" si="15"/>
        <v>411131448.88888884</v>
      </c>
      <c r="CG28" s="1136">
        <f t="shared" si="16"/>
        <v>0</v>
      </c>
      <c r="CH28" s="172">
        <f t="shared" si="17"/>
        <v>4020729166666.6665</v>
      </c>
      <c r="CJ28" s="136">
        <f t="shared" si="18"/>
        <v>164922.96508570784</v>
      </c>
      <c r="CK28" s="7">
        <f t="shared" si="19"/>
        <v>221195298743.63608</v>
      </c>
      <c r="CL28" s="6">
        <f t="shared" si="20"/>
        <v>1746.5943564794959</v>
      </c>
      <c r="CM28" s="6">
        <f t="shared" si="21"/>
        <v>1115.4056435205041</v>
      </c>
      <c r="CN28" s="164">
        <f t="shared" si="73"/>
        <v>126643772.73580913</v>
      </c>
      <c r="CO28" s="164">
        <f t="shared" si="74"/>
        <v>198309287.77219328</v>
      </c>
      <c r="CP28" s="1137">
        <f t="shared" si="22"/>
        <v>136392044071.85852</v>
      </c>
      <c r="CQ28" s="1136">
        <f t="shared" si="23"/>
        <v>47772738867.848671</v>
      </c>
      <c r="CR28" s="22">
        <f t="shared" si="24"/>
        <v>164922.96508570784</v>
      </c>
      <c r="CS28" s="7">
        <f t="shared" si="25"/>
        <v>221195298743.63608</v>
      </c>
      <c r="CT28" s="6">
        <f t="shared" si="26"/>
        <v>1746.5943564794959</v>
      </c>
      <c r="CU28" s="12">
        <f t="shared" si="27"/>
        <v>1115.4056435205041</v>
      </c>
      <c r="CV28" s="164">
        <f t="shared" si="28"/>
        <v>126643772.73580913</v>
      </c>
      <c r="CW28" s="164">
        <f t="shared" si="29"/>
        <v>198309287.77219328</v>
      </c>
      <c r="CX28" s="1136">
        <f t="shared" si="30"/>
        <v>136392044071.85852</v>
      </c>
      <c r="CY28" s="1136">
        <f t="shared" si="31"/>
        <v>47772738867.848671</v>
      </c>
      <c r="CZ28" s="22">
        <f t="shared" si="32"/>
        <v>164922.96508570784</v>
      </c>
      <c r="DA28" s="7">
        <f t="shared" si="33"/>
        <v>221195298743.63608</v>
      </c>
      <c r="DB28" s="6">
        <f t="shared" si="34"/>
        <v>1746.5943564794959</v>
      </c>
      <c r="DC28" s="12">
        <f t="shared" si="35"/>
        <v>1115.4056435205041</v>
      </c>
      <c r="DD28" s="164">
        <f t="shared" si="75"/>
        <v>126643772.73580913</v>
      </c>
      <c r="DE28" s="164">
        <f t="shared" si="76"/>
        <v>198309287.77219328</v>
      </c>
      <c r="DF28" s="1136">
        <f t="shared" si="36"/>
        <v>136392044071.85852</v>
      </c>
      <c r="DG28" s="1136">
        <f t="shared" si="37"/>
        <v>47772738867.848671</v>
      </c>
      <c r="DH28" s="22">
        <f t="shared" si="38"/>
        <v>412834.65161772241</v>
      </c>
      <c r="DI28" s="172">
        <f t="shared" si="39"/>
        <v>566152360388.05957</v>
      </c>
      <c r="DJ28" s="12">
        <f t="shared" si="40"/>
        <v>628.6867517160681</v>
      </c>
      <c r="DK28" s="22">
        <f t="shared" si="41"/>
        <v>2233.3132482839319</v>
      </c>
      <c r="DL28" s="164">
        <f t="shared" si="77"/>
        <v>900531717.65221047</v>
      </c>
      <c r="DM28" s="164">
        <f t="shared" si="78"/>
        <v>253503336.72317958</v>
      </c>
      <c r="DN28" s="7">
        <f t="shared" si="42"/>
        <v>761336087204.64526</v>
      </c>
      <c r="DO28" s="1136">
        <f t="shared" si="43"/>
        <v>233008465685.25287</v>
      </c>
      <c r="DP28" s="22">
        <f t="shared" si="44"/>
        <v>247560.1939297127</v>
      </c>
      <c r="DQ28" s="172">
        <f t="shared" si="45"/>
        <v>412560302918.47009</v>
      </c>
      <c r="DR28" s="22">
        <f t="shared" si="46"/>
        <v>1125.1818571227475</v>
      </c>
      <c r="DS28" s="22">
        <f t="shared" si="47"/>
        <v>1736.8181428772525</v>
      </c>
      <c r="DT28" s="164">
        <f t="shared" si="79"/>
        <v>366660998.2260524</v>
      </c>
      <c r="DU28" s="164">
        <f t="shared" si="80"/>
        <v>237537997.06111619</v>
      </c>
      <c r="DV28" s="1136">
        <f t="shared" si="48"/>
        <v>344706725116.12073</v>
      </c>
      <c r="DW28" s="1136">
        <f t="shared" si="49"/>
        <v>233008465685.25287</v>
      </c>
      <c r="DX28" s="763">
        <f t="shared" si="50"/>
        <v>178006.91308974594</v>
      </c>
      <c r="DY28" s="7">
        <f t="shared" si="51"/>
        <v>263876813373.73816</v>
      </c>
      <c r="DZ28" s="13">
        <f t="shared" si="52"/>
        <v>1608.8792308218083</v>
      </c>
      <c r="EA28" s="763">
        <f t="shared" si="53"/>
        <v>1253.1207691781917</v>
      </c>
      <c r="EB28" s="164">
        <f t="shared" si="81"/>
        <v>164012816.07628876</v>
      </c>
      <c r="EC28" s="164">
        <f t="shared" si="82"/>
        <v>210575724.11539474</v>
      </c>
      <c r="ED28" s="1136">
        <f t="shared" si="54"/>
        <v>761336087204.64526</v>
      </c>
      <c r="EE28" s="1136">
        <f t="shared" si="55"/>
        <v>233008465685.25287</v>
      </c>
      <c r="EF28" s="763">
        <f t="shared" si="56"/>
        <v>169284.28108705388</v>
      </c>
      <c r="EG28" s="7">
        <f t="shared" si="57"/>
        <v>236153360491.24203</v>
      </c>
      <c r="EH28" s="13">
        <f t="shared" si="58"/>
        <v>1698.3239869632519</v>
      </c>
      <c r="EI28" s="763">
        <f t="shared" si="59"/>
        <v>1163.6760130367481</v>
      </c>
      <c r="EJ28" s="164">
        <f t="shared" si="83"/>
        <v>139050830.29151839</v>
      </c>
      <c r="EK28" s="164">
        <f t="shared" si="84"/>
        <v>202937379.34407732</v>
      </c>
      <c r="EL28" s="1136">
        <f t="shared" si="85"/>
        <v>344706725116.12073</v>
      </c>
      <c r="EM28" s="1136">
        <f t="shared" si="86"/>
        <v>233008465685.25287</v>
      </c>
      <c r="EN28" s="164"/>
      <c r="EO28" s="1113" t="s">
        <v>2186</v>
      </c>
      <c r="EP28" s="1114">
        <v>164922.96508570801</v>
      </c>
      <c r="EQ28" s="1114">
        <v>221195298743.63599</v>
      </c>
      <c r="ER28" s="1115">
        <v>1746.5943564795</v>
      </c>
      <c r="ES28" s="1115">
        <v>1115.4056435205</v>
      </c>
      <c r="ET28" s="1114">
        <v>126643772.735809</v>
      </c>
      <c r="EU28" s="1114">
        <v>198309287.77219301</v>
      </c>
      <c r="EV28" s="1114">
        <v>136392044071.85899</v>
      </c>
      <c r="EW28" s="1114">
        <v>47772738867.848701</v>
      </c>
      <c r="EX28" s="1114">
        <v>164922.96508570801</v>
      </c>
      <c r="EY28" s="1114">
        <v>221195298743.63599</v>
      </c>
      <c r="EZ28" s="1115">
        <v>1746.5943564795</v>
      </c>
      <c r="FA28" s="1115">
        <v>1115.4056435205</v>
      </c>
      <c r="FB28" s="1114">
        <v>126643772.735809</v>
      </c>
      <c r="FC28" s="1114">
        <v>198309287.77219301</v>
      </c>
      <c r="FD28" s="1114">
        <v>136392044071.85899</v>
      </c>
      <c r="FE28" s="1114">
        <v>47772738867.848701</v>
      </c>
      <c r="FF28" s="1114">
        <v>164922.96508570801</v>
      </c>
      <c r="FG28" s="1114">
        <v>221195298743.63599</v>
      </c>
      <c r="FH28" s="1115">
        <v>1746.5943564795</v>
      </c>
      <c r="FI28" s="1115">
        <v>1115.4056435205</v>
      </c>
      <c r="FJ28" s="1114">
        <v>126643772.735809</v>
      </c>
      <c r="FK28" s="1114">
        <v>198309287.77219301</v>
      </c>
      <c r="FL28" s="1114">
        <v>136392044071.85899</v>
      </c>
      <c r="FM28" s="1114">
        <v>47772738867.848701</v>
      </c>
      <c r="FN28" s="1114">
        <v>412834.65161772299</v>
      </c>
      <c r="FO28" s="1114">
        <v>566152360388.06006</v>
      </c>
      <c r="FP28" s="1115">
        <v>628.68675171606799</v>
      </c>
      <c r="FQ28" s="1115">
        <v>2233.3132482839301</v>
      </c>
      <c r="FR28" s="1114">
        <v>900531717.65221095</v>
      </c>
      <c r="FS28" s="1114">
        <v>253503336.72318</v>
      </c>
      <c r="FT28" s="1114">
        <v>761336087204.646</v>
      </c>
      <c r="FU28" s="1114">
        <v>233008465685.25299</v>
      </c>
      <c r="FV28" s="1114">
        <v>247560.19392971299</v>
      </c>
      <c r="FW28" s="1114">
        <v>412560302918.46997</v>
      </c>
      <c r="FX28" s="1115">
        <v>1125.18185712275</v>
      </c>
      <c r="FY28" s="1115">
        <v>1736.81814287725</v>
      </c>
      <c r="FZ28" s="1114">
        <v>366660998.226053</v>
      </c>
      <c r="GA28" s="1114">
        <v>237537997.06111601</v>
      </c>
      <c r="GB28" s="1114">
        <v>344706725116.12097</v>
      </c>
      <c r="GC28" s="1114">
        <v>233008465685.25299</v>
      </c>
      <c r="GD28" s="1114">
        <v>178006.913089746</v>
      </c>
      <c r="GE28" s="1114">
        <v>263876813373.73801</v>
      </c>
      <c r="GF28" s="1115">
        <v>1608.8792308218101</v>
      </c>
      <c r="GG28" s="1115">
        <v>1253.1207691781899</v>
      </c>
      <c r="GH28" s="1114">
        <v>164012816.076289</v>
      </c>
      <c r="GI28" s="1114">
        <v>210575724.11539501</v>
      </c>
      <c r="GJ28" s="1114">
        <v>761336087204.646</v>
      </c>
      <c r="GK28" s="1114">
        <v>233008465685.25299</v>
      </c>
      <c r="GL28" s="1114">
        <v>169284.281087054</v>
      </c>
      <c r="GM28" s="1114">
        <v>236153360491.242</v>
      </c>
      <c r="GN28" s="1115">
        <v>1698.32398696325</v>
      </c>
      <c r="GO28" s="1115">
        <v>1163.67601303675</v>
      </c>
      <c r="GP28" s="1114">
        <v>139050830.291518</v>
      </c>
      <c r="GQ28" s="1114">
        <v>202937379.34407699</v>
      </c>
      <c r="GR28" s="1114">
        <v>344706725116.12097</v>
      </c>
      <c r="GS28" s="1114">
        <v>233008465685.25299</v>
      </c>
      <c r="GU28" s="1171">
        <f t="shared" si="60"/>
        <v>0</v>
      </c>
      <c r="GV28" s="1171">
        <f t="shared" si="61"/>
        <v>0</v>
      </c>
      <c r="GW28" s="1171">
        <f t="shared" si="62"/>
        <v>-4.0927261579781771E-12</v>
      </c>
      <c r="GX28" s="1171">
        <f t="shared" si="63"/>
        <v>4.0927261579781771E-12</v>
      </c>
      <c r="GY28" s="1171">
        <f t="shared" si="64"/>
        <v>1.3411045074462891E-7</v>
      </c>
      <c r="GZ28" s="1171">
        <f t="shared" si="65"/>
        <v>2.6822090148925781E-7</v>
      </c>
      <c r="HA28" s="1171">
        <f t="shared" si="87"/>
        <v>-4.730224609375E-4</v>
      </c>
      <c r="HB28" s="1171">
        <f t="shared" si="66"/>
        <v>0</v>
      </c>
      <c r="HC28" s="1171">
        <f t="shared" si="67"/>
        <v>0</v>
      </c>
      <c r="HD28" s="1171">
        <f t="shared" si="68"/>
        <v>0</v>
      </c>
      <c r="HE28" s="1171">
        <f t="shared" si="69"/>
        <v>-4.0927261579781771E-12</v>
      </c>
      <c r="HF28" s="1171">
        <f t="shared" si="70"/>
        <v>4.0927261579781771E-12</v>
      </c>
      <c r="HG28" s="1171">
        <f t="shared" si="89"/>
        <v>1.3411045074462891E-7</v>
      </c>
      <c r="HH28" s="1171">
        <f t="shared" si="90"/>
        <v>2.6822090148925781E-7</v>
      </c>
      <c r="HI28" s="1171">
        <f t="shared" si="91"/>
        <v>-4.730224609375E-4</v>
      </c>
      <c r="HJ28" s="1171">
        <f t="shared" si="92"/>
        <v>0</v>
      </c>
      <c r="HK28" s="1171">
        <f t="shared" si="93"/>
        <v>0</v>
      </c>
      <c r="HL28" s="1171">
        <f t="shared" si="94"/>
        <v>0</v>
      </c>
      <c r="HM28" s="1171">
        <f t="shared" si="95"/>
        <v>-4.0927261579781771E-12</v>
      </c>
      <c r="HN28" s="1171">
        <f t="shared" si="96"/>
        <v>4.0927261579781771E-12</v>
      </c>
      <c r="HO28" s="1171">
        <f t="shared" si="97"/>
        <v>1.3411045074462891E-7</v>
      </c>
      <c r="HP28" s="1171">
        <f t="shared" si="98"/>
        <v>2.6822090148925781E-7</v>
      </c>
      <c r="HQ28" s="1171">
        <f t="shared" si="99"/>
        <v>-4.730224609375E-4</v>
      </c>
      <c r="HR28" s="1171">
        <f t="shared" si="100"/>
        <v>0</v>
      </c>
      <c r="HS28" s="1171">
        <f t="shared" si="101"/>
        <v>-5.8207660913467407E-10</v>
      </c>
      <c r="HT28" s="1171">
        <f t="shared" si="102"/>
        <v>0</v>
      </c>
      <c r="HU28" s="1171">
        <f t="shared" si="103"/>
        <v>0</v>
      </c>
      <c r="HV28" s="1171">
        <f t="shared" si="104"/>
        <v>0</v>
      </c>
      <c r="HW28" s="1171">
        <f t="shared" si="105"/>
        <v>0</v>
      </c>
      <c r="HX28" s="1171">
        <f t="shared" si="106"/>
        <v>-4.1723251342773438E-7</v>
      </c>
      <c r="HY28" s="1171">
        <f t="shared" si="107"/>
        <v>0</v>
      </c>
      <c r="HZ28" s="1171">
        <f t="shared" si="108"/>
        <v>0</v>
      </c>
      <c r="IA28" s="1171">
        <f t="shared" si="109"/>
        <v>-2.9103830456733704E-10</v>
      </c>
      <c r="IB28" s="1171">
        <f t="shared" si="110"/>
        <v>0</v>
      </c>
      <c r="IC28" s="1171">
        <f t="shared" si="111"/>
        <v>-2.5011104298755527E-12</v>
      </c>
      <c r="ID28" s="1171">
        <f t="shared" si="112"/>
        <v>2.5011104298755527E-12</v>
      </c>
      <c r="IE28" s="1171">
        <f t="shared" si="113"/>
        <v>-5.9604644775390625E-7</v>
      </c>
      <c r="IF28" s="1171">
        <f t="shared" si="114"/>
        <v>0</v>
      </c>
      <c r="IG28" s="1171">
        <f t="shared" si="115"/>
        <v>0</v>
      </c>
      <c r="IH28" s="1171">
        <f t="shared" si="116"/>
        <v>0</v>
      </c>
      <c r="II28" s="1171">
        <f t="shared" si="117"/>
        <v>0</v>
      </c>
      <c r="IJ28" s="1171">
        <f t="shared" si="118"/>
        <v>0</v>
      </c>
      <c r="IK28" s="1171">
        <f t="shared" si="119"/>
        <v>-1.8189894035458565E-12</v>
      </c>
      <c r="IL28" s="1171">
        <f t="shared" si="120"/>
        <v>1.8189894035458565E-12</v>
      </c>
      <c r="IM28" s="1171">
        <f t="shared" si="121"/>
        <v>-2.384185791015625E-7</v>
      </c>
      <c r="IN28" s="1171">
        <f t="shared" si="122"/>
        <v>-2.6822090148925781E-7</v>
      </c>
      <c r="IO28" s="1171">
        <f t="shared" si="123"/>
        <v>0</v>
      </c>
      <c r="IP28" s="1171">
        <f t="shared" si="124"/>
        <v>0</v>
      </c>
      <c r="IQ28" s="1171">
        <f t="shared" si="125"/>
        <v>0</v>
      </c>
      <c r="IR28" s="1171">
        <f t="shared" si="126"/>
        <v>0</v>
      </c>
      <c r="IS28" s="1171">
        <f t="shared" si="127"/>
        <v>1.8189894035458565E-12</v>
      </c>
      <c r="IT28" s="1171">
        <f t="shared" si="128"/>
        <v>-1.8189894035458565E-12</v>
      </c>
      <c r="IU28" s="1171">
        <f t="shared" si="129"/>
        <v>3.8743019104003906E-7</v>
      </c>
      <c r="IV28" s="1171">
        <f t="shared" si="130"/>
        <v>3.2782554626464844E-7</v>
      </c>
      <c r="IW28" s="1171">
        <f t="shared" si="131"/>
        <v>0</v>
      </c>
      <c r="IX28" s="1171">
        <f t="shared" si="132"/>
        <v>0</v>
      </c>
    </row>
    <row r="29" spans="1:258">
      <c r="A29">
        <v>114</v>
      </c>
      <c r="B29" s="136" t="str">
        <f t="shared" ref="B29" si="154">LEFT(B27,3)+1&amp;"i"</f>
        <v>114i</v>
      </c>
      <c r="C29">
        <v>56.9</v>
      </c>
      <c r="D29" s="136">
        <v>0</v>
      </c>
      <c r="E29" t="s">
        <v>2090</v>
      </c>
      <c r="F29" s="26">
        <v>2</v>
      </c>
      <c r="G29" s="136">
        <v>500</v>
      </c>
      <c r="H29" s="136">
        <v>30</v>
      </c>
      <c r="I29" s="28">
        <v>250</v>
      </c>
      <c r="J29" s="26">
        <v>1940</v>
      </c>
      <c r="K29" s="136">
        <v>32</v>
      </c>
      <c r="L29" s="28">
        <v>120</v>
      </c>
      <c r="M29" s="26">
        <v>2800</v>
      </c>
      <c r="N29" s="28">
        <v>12</v>
      </c>
      <c r="O29" s="26">
        <v>0</v>
      </c>
      <c r="P29" s="26">
        <v>290</v>
      </c>
      <c r="Q29" s="26">
        <f>+Section!L90</f>
        <v>5500</v>
      </c>
      <c r="R29" s="169">
        <v>0</v>
      </c>
      <c r="S29" s="210">
        <v>0</v>
      </c>
      <c r="T29" s="27">
        <v>1200</v>
      </c>
      <c r="U29" s="27">
        <v>2400</v>
      </c>
      <c r="V29" s="28">
        <v>3800</v>
      </c>
      <c r="W29" s="210">
        <v>19</v>
      </c>
      <c r="X29" s="210">
        <v>200</v>
      </c>
      <c r="Y29" s="169">
        <v>50</v>
      </c>
      <c r="Z29" s="210">
        <v>16</v>
      </c>
      <c r="AA29" s="210">
        <v>200</v>
      </c>
      <c r="AB29" s="28">
        <v>40</v>
      </c>
      <c r="AC29" s="210">
        <v>0</v>
      </c>
      <c r="AD29" s="26">
        <v>2</v>
      </c>
      <c r="AE29" s="169">
        <v>160</v>
      </c>
      <c r="AF29" s="169">
        <v>16</v>
      </c>
      <c r="AG29" s="26">
        <v>0</v>
      </c>
      <c r="AH29" s="169">
        <v>0</v>
      </c>
      <c r="AI29" s="169">
        <v>0</v>
      </c>
      <c r="AJ29" s="397">
        <v>2</v>
      </c>
      <c r="AK29" s="210">
        <v>2500</v>
      </c>
      <c r="AL29" s="210">
        <v>5000</v>
      </c>
      <c r="AM29" s="210" t="s">
        <v>2316</v>
      </c>
      <c r="AN29" s="210">
        <v>2500</v>
      </c>
      <c r="AO29" s="1143" t="s">
        <v>2321</v>
      </c>
      <c r="AP29" s="1143" t="s">
        <v>2321</v>
      </c>
      <c r="AQ29" s="136">
        <v>150</v>
      </c>
      <c r="AR29" s="136">
        <v>14</v>
      </c>
      <c r="AS29" s="1143" t="s">
        <v>2448</v>
      </c>
      <c r="AT29" s="136">
        <v>120</v>
      </c>
      <c r="AU29" s="136">
        <v>12</v>
      </c>
      <c r="AZ29" s="1108">
        <v>8</v>
      </c>
      <c r="BA29" s="1108">
        <v>6</v>
      </c>
      <c r="BC29" s="1168"/>
      <c r="BD29" s="210">
        <f>INDEX(Spec!$B$12:$P$58,MATCH(AO29,Spec!$A$12:$A$58,0),6)*100</f>
        <v>1900</v>
      </c>
      <c r="BE29" s="210">
        <f>INDEX(Spec!$B$12:$P$58,MATCH(AP29,Spec!$A$12:$A$58,0),6)*100</f>
        <v>1900</v>
      </c>
      <c r="BF29" s="881">
        <f t="shared" si="0"/>
        <v>0.69799260626361248</v>
      </c>
      <c r="BG29" s="881">
        <f t="shared" si="1"/>
        <v>47.243485714285718</v>
      </c>
      <c r="BH29" s="881"/>
      <c r="BI29" s="13" cm="1">
        <f t="array" ref="BI29">INDEX(Info!$AD$4:$AH$15,MATCH(Info!$I$13,Info!$AC$4:$AC$15,0),IF(H29&lt;=16,1,IF(H29&lt;=40,2,IF(H29&lt;=75,3,IF(H29&lt;=100,4,5)))))</f>
        <v>380</v>
      </c>
      <c r="BJ29" s="13" cm="1">
        <f t="array" ref="BJ29">INDEX(Info!$AD$4:$AH$15,MATCH(Info!$I$13,Info!$AC$4:$AC$15,0),IF(K29&lt;=16,1,IF(K29&lt;=40,2,IF(K29&lt;=75,3,IF(K29&lt;=100,4,5)))))</f>
        <v>380</v>
      </c>
      <c r="BK29" s="13" cm="1">
        <f t="array" ref="BK29">INDEX(Info!$AD$4:$AH$15,MATCH(Info!$I$14,Info!$AC$4:$AC$15,0),IF(N29&lt;=16,1,IF(N29&lt;=40,2,IF(N29&lt;=75,3,IF(N29&lt;=100,4,5)))))</f>
        <v>355</v>
      </c>
      <c r="BL29" s="13">
        <f>IF(Stress!C858="Positive",MAX(MIN(0.7*BI29,BK29),0.5*BI29),MAX(MIN(0.7*BJ29,BK29),0.5*BJ29))</f>
        <v>266</v>
      </c>
      <c r="BM29" s="13" cm="1">
        <f t="array" ref="BM29">INDEX(Info!$AD$4:$AH$15,MATCH(Info!$I$13,Info!$AC$4:$AC$15,0),IF(AI29&lt;=16,1,IF(AI29&lt;=40,2,IF(AI29&lt;=75,3,IF(AI29&lt;=100,4,5)))))</f>
        <v>380</v>
      </c>
      <c r="BN29" s="13" cm="1">
        <f t="array" ref="BN29">INDEX(Info!$AD$4:$AH$15,MATCH(Info!$I$13,Info!$AC$4:$AC$15,0),IF(AF29&lt;=16,1,IF(AF29&lt;=40,2,IF(AF29&lt;=75,3,IF(AF29&lt;=100,4,5)))))</f>
        <v>380</v>
      </c>
      <c r="BO29" s="13"/>
      <c r="BP29" s="13">
        <f t="shared" si="2"/>
        <v>0.125</v>
      </c>
      <c r="BQ29" s="13">
        <f t="shared" si="3"/>
        <v>2821.7902119044925</v>
      </c>
      <c r="BR29" s="13">
        <f t="shared" si="72"/>
        <v>3122</v>
      </c>
      <c r="BS29" s="13"/>
      <c r="BT29" s="136">
        <f t="shared" si="4"/>
        <v>0</v>
      </c>
      <c r="BU29" s="136">
        <f t="shared" si="5"/>
        <v>0</v>
      </c>
      <c r="BV29" s="136">
        <f t="shared" si="6"/>
        <v>1595000</v>
      </c>
      <c r="BW29" s="136">
        <f t="shared" si="7"/>
        <v>11178291666.666666</v>
      </c>
      <c r="BX29" s="136">
        <f t="shared" si="8"/>
        <v>0</v>
      </c>
      <c r="BY29" s="136">
        <f t="shared" si="9"/>
        <v>0</v>
      </c>
      <c r="BZ29" s="136">
        <f t="shared" si="10"/>
        <v>7655.2758986349281</v>
      </c>
      <c r="CA29" s="136">
        <f t="shared" si="11"/>
        <v>172722.16246295057</v>
      </c>
      <c r="CB29" s="136">
        <f t="shared" si="12"/>
        <v>5428.6721054031623</v>
      </c>
      <c r="CC29" s="136">
        <f t="shared" si="13"/>
        <v>86858.753686450596</v>
      </c>
      <c r="CE29" s="1137">
        <f t="shared" si="14"/>
        <v>346081987.77679139</v>
      </c>
      <c r="CF29" s="1136">
        <f t="shared" si="15"/>
        <v>411131448.88888884</v>
      </c>
      <c r="CG29" s="1136">
        <f t="shared" si="16"/>
        <v>0</v>
      </c>
      <c r="CH29" s="172">
        <f t="shared" si="17"/>
        <v>4020729166666.6665</v>
      </c>
      <c r="CJ29" s="136">
        <f t="shared" si="18"/>
        <v>164922.96508570784</v>
      </c>
      <c r="CK29" s="7">
        <f t="shared" si="19"/>
        <v>221195298743.63608</v>
      </c>
      <c r="CL29" s="6">
        <f t="shared" si="20"/>
        <v>1746.5943564794959</v>
      </c>
      <c r="CM29" s="6">
        <f t="shared" si="21"/>
        <v>1115.4056435205041</v>
      </c>
      <c r="CN29" s="164">
        <f t="shared" si="73"/>
        <v>126643772.73580913</v>
      </c>
      <c r="CO29" s="164">
        <f t="shared" si="74"/>
        <v>198309287.77219328</v>
      </c>
      <c r="CP29" s="1137">
        <f t="shared" si="22"/>
        <v>136392044071.85852</v>
      </c>
      <c r="CQ29" s="1136">
        <f t="shared" si="23"/>
        <v>33590826549.172981</v>
      </c>
      <c r="CR29" s="22">
        <f t="shared" si="24"/>
        <v>164922.96508570784</v>
      </c>
      <c r="CS29" s="7">
        <f t="shared" si="25"/>
        <v>221195298743.63608</v>
      </c>
      <c r="CT29" s="6">
        <f t="shared" si="26"/>
        <v>1746.5943564794959</v>
      </c>
      <c r="CU29" s="12">
        <f t="shared" si="27"/>
        <v>1115.4056435205041</v>
      </c>
      <c r="CV29" s="164">
        <f t="shared" si="28"/>
        <v>126643772.73580913</v>
      </c>
      <c r="CW29" s="164">
        <f t="shared" si="29"/>
        <v>198309287.77219328</v>
      </c>
      <c r="CX29" s="1136">
        <f t="shared" si="30"/>
        <v>136392044071.85852</v>
      </c>
      <c r="CY29" s="1136">
        <f t="shared" si="31"/>
        <v>33590826549.172981</v>
      </c>
      <c r="CZ29" s="22">
        <f t="shared" si="32"/>
        <v>164922.96508570784</v>
      </c>
      <c r="DA29" s="7">
        <f t="shared" si="33"/>
        <v>221195298743.63608</v>
      </c>
      <c r="DB29" s="6">
        <f t="shared" si="34"/>
        <v>1746.5943564794959</v>
      </c>
      <c r="DC29" s="12">
        <f t="shared" si="35"/>
        <v>1115.4056435205041</v>
      </c>
      <c r="DD29" s="164">
        <f t="shared" si="75"/>
        <v>126643772.73580913</v>
      </c>
      <c r="DE29" s="164">
        <f t="shared" si="76"/>
        <v>198309287.77219328</v>
      </c>
      <c r="DF29" s="1136">
        <f t="shared" si="36"/>
        <v>136392044071.85852</v>
      </c>
      <c r="DG29" s="1136">
        <f t="shared" si="37"/>
        <v>33590826549.172981</v>
      </c>
      <c r="DH29" s="22">
        <f t="shared" si="38"/>
        <v>412834.65161772241</v>
      </c>
      <c r="DI29" s="172">
        <f t="shared" si="39"/>
        <v>566152360388.05957</v>
      </c>
      <c r="DJ29" s="12">
        <f t="shared" si="40"/>
        <v>628.6867517160681</v>
      </c>
      <c r="DK29" s="22">
        <f t="shared" si="41"/>
        <v>2233.3132482839319</v>
      </c>
      <c r="DL29" s="164">
        <f t="shared" si="77"/>
        <v>900531717.65221047</v>
      </c>
      <c r="DM29" s="164">
        <f t="shared" si="78"/>
        <v>253503336.72317958</v>
      </c>
      <c r="DN29" s="7">
        <f t="shared" si="42"/>
        <v>761336087204.64526</v>
      </c>
      <c r="DO29" s="1136">
        <f t="shared" si="43"/>
        <v>233008465685.25287</v>
      </c>
      <c r="DP29" s="22">
        <f t="shared" si="44"/>
        <v>247560.1939297127</v>
      </c>
      <c r="DQ29" s="172">
        <f t="shared" si="45"/>
        <v>412560302918.47009</v>
      </c>
      <c r="DR29" s="22">
        <f t="shared" si="46"/>
        <v>1125.1818571227475</v>
      </c>
      <c r="DS29" s="22">
        <f t="shared" si="47"/>
        <v>1736.8181428772525</v>
      </c>
      <c r="DT29" s="164">
        <f t="shared" si="79"/>
        <v>366660998.2260524</v>
      </c>
      <c r="DU29" s="164">
        <f t="shared" si="80"/>
        <v>237537997.06111619</v>
      </c>
      <c r="DV29" s="1136">
        <f t="shared" si="48"/>
        <v>344706725116.12073</v>
      </c>
      <c r="DW29" s="1136">
        <f t="shared" si="49"/>
        <v>233008465685.25287</v>
      </c>
      <c r="DX29" s="763">
        <f t="shared" si="50"/>
        <v>178006.91308974594</v>
      </c>
      <c r="DY29" s="7">
        <f t="shared" si="51"/>
        <v>263876813373.73816</v>
      </c>
      <c r="DZ29" s="13">
        <f t="shared" si="52"/>
        <v>1608.8792308218083</v>
      </c>
      <c r="EA29" s="763">
        <f t="shared" si="53"/>
        <v>1253.1207691781917</v>
      </c>
      <c r="EB29" s="164">
        <f t="shared" si="81"/>
        <v>164012816.07628876</v>
      </c>
      <c r="EC29" s="164">
        <f t="shared" si="82"/>
        <v>210575724.11539474</v>
      </c>
      <c r="ED29" s="1136">
        <f t="shared" si="54"/>
        <v>761336087204.64526</v>
      </c>
      <c r="EE29" s="1136">
        <f t="shared" si="55"/>
        <v>233008465685.25287</v>
      </c>
      <c r="EF29" s="763">
        <f t="shared" si="56"/>
        <v>169284.28108705388</v>
      </c>
      <c r="EG29" s="7">
        <f t="shared" si="57"/>
        <v>236153360491.24203</v>
      </c>
      <c r="EH29" s="13">
        <f t="shared" si="58"/>
        <v>1698.3239869632519</v>
      </c>
      <c r="EI29" s="763">
        <f t="shared" si="59"/>
        <v>1163.6760130367481</v>
      </c>
      <c r="EJ29" s="164">
        <f t="shared" si="83"/>
        <v>139050830.29151839</v>
      </c>
      <c r="EK29" s="164">
        <f t="shared" si="84"/>
        <v>202937379.34407732</v>
      </c>
      <c r="EL29" s="1136">
        <f t="shared" si="85"/>
        <v>344706725116.12073</v>
      </c>
      <c r="EM29" s="1136">
        <f t="shared" si="86"/>
        <v>233008465685.25287</v>
      </c>
      <c r="EN29" s="164"/>
      <c r="EO29" s="1113" t="s">
        <v>2187</v>
      </c>
      <c r="EP29" s="1114">
        <v>164922.96508570801</v>
      </c>
      <c r="EQ29" s="1114">
        <v>221195298743.63599</v>
      </c>
      <c r="ER29" s="1115">
        <v>1746.5943564795</v>
      </c>
      <c r="ES29" s="1115">
        <v>1115.4056435205</v>
      </c>
      <c r="ET29" s="1114">
        <v>126643772.735809</v>
      </c>
      <c r="EU29" s="1114">
        <v>198309287.77219301</v>
      </c>
      <c r="EV29" s="1114">
        <v>136392044071.85899</v>
      </c>
      <c r="EW29" s="1114">
        <v>33590826549.173</v>
      </c>
      <c r="EX29" s="1114">
        <v>164922.96508570801</v>
      </c>
      <c r="EY29" s="1114">
        <v>221195298743.63599</v>
      </c>
      <c r="EZ29" s="1115">
        <v>1746.5943564795</v>
      </c>
      <c r="FA29" s="1115">
        <v>1115.4056435205</v>
      </c>
      <c r="FB29" s="1114">
        <v>126643772.735809</v>
      </c>
      <c r="FC29" s="1114">
        <v>198309287.77219301</v>
      </c>
      <c r="FD29" s="1114">
        <v>136392044071.85899</v>
      </c>
      <c r="FE29" s="1114">
        <v>33590826549.173</v>
      </c>
      <c r="FF29" s="1114">
        <v>164922.96508570801</v>
      </c>
      <c r="FG29" s="1114">
        <v>221195298743.63599</v>
      </c>
      <c r="FH29" s="1115">
        <v>1746.5943564795</v>
      </c>
      <c r="FI29" s="1115">
        <v>1115.4056435205</v>
      </c>
      <c r="FJ29" s="1114">
        <v>126643772.735809</v>
      </c>
      <c r="FK29" s="1114">
        <v>198309287.77219301</v>
      </c>
      <c r="FL29" s="1114">
        <v>136392044071.85899</v>
      </c>
      <c r="FM29" s="1114">
        <v>33590826549.173</v>
      </c>
      <c r="FN29" s="1114">
        <v>412834.65161772299</v>
      </c>
      <c r="FO29" s="1114">
        <v>566152360388.06006</v>
      </c>
      <c r="FP29" s="1115">
        <v>628.68675171606799</v>
      </c>
      <c r="FQ29" s="1115">
        <v>2233.3132482839301</v>
      </c>
      <c r="FR29" s="1114">
        <v>900531717.65221095</v>
      </c>
      <c r="FS29" s="1114">
        <v>253503336.72318</v>
      </c>
      <c r="FT29" s="1114">
        <v>761336087204.646</v>
      </c>
      <c r="FU29" s="1114">
        <v>233008465685.25299</v>
      </c>
      <c r="FV29" s="1114">
        <v>247560.19392971299</v>
      </c>
      <c r="FW29" s="1114">
        <v>412560302918.46997</v>
      </c>
      <c r="FX29" s="1115">
        <v>1125.18185712275</v>
      </c>
      <c r="FY29" s="1115">
        <v>1736.81814287725</v>
      </c>
      <c r="FZ29" s="1114">
        <v>366660998.226053</v>
      </c>
      <c r="GA29" s="1114">
        <v>237537997.06111601</v>
      </c>
      <c r="GB29" s="1114">
        <v>344706725116.12097</v>
      </c>
      <c r="GC29" s="1114">
        <v>233008465685.25299</v>
      </c>
      <c r="GD29" s="1114">
        <v>178006.913089746</v>
      </c>
      <c r="GE29" s="1114">
        <v>263876813373.73801</v>
      </c>
      <c r="GF29" s="1115">
        <v>1608.8792308218101</v>
      </c>
      <c r="GG29" s="1115">
        <v>1253.1207691781899</v>
      </c>
      <c r="GH29" s="1114">
        <v>164012816.076289</v>
      </c>
      <c r="GI29" s="1114">
        <v>210575724.11539501</v>
      </c>
      <c r="GJ29" s="1114">
        <v>761336087204.646</v>
      </c>
      <c r="GK29" s="1114">
        <v>233008465685.25299</v>
      </c>
      <c r="GL29" s="1114">
        <v>169284.281087054</v>
      </c>
      <c r="GM29" s="1114">
        <v>236153360491.242</v>
      </c>
      <c r="GN29" s="1115">
        <v>1698.32398696325</v>
      </c>
      <c r="GO29" s="1115">
        <v>1163.67601303675</v>
      </c>
      <c r="GP29" s="1114">
        <v>139050830.291518</v>
      </c>
      <c r="GQ29" s="1114">
        <v>202937379.34407699</v>
      </c>
      <c r="GR29" s="1114">
        <v>344706725116.12097</v>
      </c>
      <c r="GS29" s="1114">
        <v>233008465685.25299</v>
      </c>
      <c r="GU29" s="1171">
        <f t="shared" si="60"/>
        <v>0</v>
      </c>
      <c r="GV29" s="1171">
        <f t="shared" si="61"/>
        <v>0</v>
      </c>
      <c r="GW29" s="1171">
        <f t="shared" si="62"/>
        <v>-4.0927261579781771E-12</v>
      </c>
      <c r="GX29" s="1171">
        <f t="shared" si="63"/>
        <v>4.0927261579781771E-12</v>
      </c>
      <c r="GY29" s="1171">
        <f t="shared" si="64"/>
        <v>1.3411045074462891E-7</v>
      </c>
      <c r="GZ29" s="1171">
        <f t="shared" si="65"/>
        <v>2.6822090148925781E-7</v>
      </c>
      <c r="HA29" s="1171">
        <f t="shared" si="87"/>
        <v>-4.730224609375E-4</v>
      </c>
      <c r="HB29" s="1171">
        <f t="shared" si="66"/>
        <v>0</v>
      </c>
      <c r="HC29" s="1171">
        <f t="shared" si="67"/>
        <v>0</v>
      </c>
      <c r="HD29" s="1171">
        <f t="shared" si="68"/>
        <v>0</v>
      </c>
      <c r="HE29" s="1171">
        <f t="shared" si="69"/>
        <v>-4.0927261579781771E-12</v>
      </c>
      <c r="HF29" s="1171">
        <f t="shared" si="70"/>
        <v>4.0927261579781771E-12</v>
      </c>
      <c r="HG29" s="1171">
        <f t="shared" si="89"/>
        <v>1.3411045074462891E-7</v>
      </c>
      <c r="HH29" s="1171">
        <f t="shared" si="90"/>
        <v>2.6822090148925781E-7</v>
      </c>
      <c r="HI29" s="1171">
        <f t="shared" si="91"/>
        <v>-4.730224609375E-4</v>
      </c>
      <c r="HJ29" s="1171">
        <f t="shared" si="92"/>
        <v>0</v>
      </c>
      <c r="HK29" s="1171">
        <f t="shared" si="93"/>
        <v>0</v>
      </c>
      <c r="HL29" s="1171">
        <f t="shared" si="94"/>
        <v>0</v>
      </c>
      <c r="HM29" s="1171">
        <f t="shared" si="95"/>
        <v>-4.0927261579781771E-12</v>
      </c>
      <c r="HN29" s="1171">
        <f t="shared" si="96"/>
        <v>4.0927261579781771E-12</v>
      </c>
      <c r="HO29" s="1171">
        <f t="shared" si="97"/>
        <v>1.3411045074462891E-7</v>
      </c>
      <c r="HP29" s="1171">
        <f t="shared" si="98"/>
        <v>2.6822090148925781E-7</v>
      </c>
      <c r="HQ29" s="1171">
        <f t="shared" si="99"/>
        <v>-4.730224609375E-4</v>
      </c>
      <c r="HR29" s="1171">
        <f t="shared" si="100"/>
        <v>0</v>
      </c>
      <c r="HS29" s="1171">
        <f t="shared" si="101"/>
        <v>-5.8207660913467407E-10</v>
      </c>
      <c r="HT29" s="1171">
        <f t="shared" si="102"/>
        <v>0</v>
      </c>
      <c r="HU29" s="1171">
        <f t="shared" si="103"/>
        <v>0</v>
      </c>
      <c r="HV29" s="1171">
        <f t="shared" si="104"/>
        <v>0</v>
      </c>
      <c r="HW29" s="1171">
        <f t="shared" si="105"/>
        <v>0</v>
      </c>
      <c r="HX29" s="1171">
        <f t="shared" si="106"/>
        <v>-4.1723251342773438E-7</v>
      </c>
      <c r="HY29" s="1171">
        <f t="shared" si="107"/>
        <v>0</v>
      </c>
      <c r="HZ29" s="1171">
        <f t="shared" si="108"/>
        <v>0</v>
      </c>
      <c r="IA29" s="1171">
        <f t="shared" si="109"/>
        <v>-2.9103830456733704E-10</v>
      </c>
      <c r="IB29" s="1171">
        <f t="shared" si="110"/>
        <v>0</v>
      </c>
      <c r="IC29" s="1171">
        <f t="shared" si="111"/>
        <v>-2.5011104298755527E-12</v>
      </c>
      <c r="ID29" s="1171">
        <f t="shared" si="112"/>
        <v>2.5011104298755527E-12</v>
      </c>
      <c r="IE29" s="1171">
        <f t="shared" si="113"/>
        <v>-5.9604644775390625E-7</v>
      </c>
      <c r="IF29" s="1171">
        <f t="shared" si="114"/>
        <v>0</v>
      </c>
      <c r="IG29" s="1171">
        <f t="shared" si="115"/>
        <v>0</v>
      </c>
      <c r="IH29" s="1171">
        <f t="shared" si="116"/>
        <v>0</v>
      </c>
      <c r="II29" s="1171">
        <f t="shared" si="117"/>
        <v>0</v>
      </c>
      <c r="IJ29" s="1171">
        <f t="shared" si="118"/>
        <v>0</v>
      </c>
      <c r="IK29" s="1171">
        <f t="shared" si="119"/>
        <v>-1.8189894035458565E-12</v>
      </c>
      <c r="IL29" s="1171">
        <f t="shared" si="120"/>
        <v>1.8189894035458565E-12</v>
      </c>
      <c r="IM29" s="1171">
        <f t="shared" si="121"/>
        <v>-2.384185791015625E-7</v>
      </c>
      <c r="IN29" s="1171">
        <f t="shared" si="122"/>
        <v>-2.6822090148925781E-7</v>
      </c>
      <c r="IO29" s="1171">
        <f t="shared" si="123"/>
        <v>0</v>
      </c>
      <c r="IP29" s="1171">
        <f t="shared" si="124"/>
        <v>0</v>
      </c>
      <c r="IQ29" s="1171">
        <f t="shared" si="125"/>
        <v>0</v>
      </c>
      <c r="IR29" s="1171">
        <f t="shared" si="126"/>
        <v>0</v>
      </c>
      <c r="IS29" s="1171">
        <f t="shared" si="127"/>
        <v>1.8189894035458565E-12</v>
      </c>
      <c r="IT29" s="1171">
        <f t="shared" si="128"/>
        <v>-1.8189894035458565E-12</v>
      </c>
      <c r="IU29" s="1171">
        <f t="shared" si="129"/>
        <v>3.8743019104003906E-7</v>
      </c>
      <c r="IV29" s="1171">
        <f t="shared" si="130"/>
        <v>3.2782554626464844E-7</v>
      </c>
      <c r="IW29" s="1171">
        <f t="shared" si="131"/>
        <v>0</v>
      </c>
      <c r="IX29" s="1171">
        <f t="shared" si="132"/>
        <v>0</v>
      </c>
    </row>
    <row r="30" spans="1:258">
      <c r="B30" s="136" t="str">
        <f t="shared" ref="B30" si="155">LEFT(B28,3)+1&amp;"j"</f>
        <v>114j</v>
      </c>
      <c r="C30">
        <v>61.9</v>
      </c>
      <c r="D30" s="136">
        <v>0</v>
      </c>
      <c r="E30" t="s">
        <v>2090</v>
      </c>
      <c r="F30" s="26">
        <v>2</v>
      </c>
      <c r="G30" s="136">
        <v>500</v>
      </c>
      <c r="H30" s="136">
        <v>30</v>
      </c>
      <c r="I30" s="28">
        <v>250</v>
      </c>
      <c r="J30" s="26">
        <v>1940</v>
      </c>
      <c r="K30" s="136">
        <v>32</v>
      </c>
      <c r="L30" s="28">
        <v>120</v>
      </c>
      <c r="M30" s="26">
        <v>2800</v>
      </c>
      <c r="N30" s="28">
        <v>12</v>
      </c>
      <c r="O30" s="26">
        <v>0</v>
      </c>
      <c r="P30" s="26">
        <v>290</v>
      </c>
      <c r="Q30" s="26">
        <f>+Section!L91</f>
        <v>5500</v>
      </c>
      <c r="R30" s="169">
        <v>0</v>
      </c>
      <c r="S30" s="210">
        <v>0</v>
      </c>
      <c r="T30" s="27">
        <v>1200</v>
      </c>
      <c r="U30" s="27">
        <v>2400</v>
      </c>
      <c r="V30" s="28">
        <v>3800</v>
      </c>
      <c r="W30" s="210">
        <v>19</v>
      </c>
      <c r="X30" s="210">
        <v>200</v>
      </c>
      <c r="Y30" s="169">
        <v>50</v>
      </c>
      <c r="Z30" s="210">
        <v>16</v>
      </c>
      <c r="AA30" s="210">
        <v>200</v>
      </c>
      <c r="AB30" s="28">
        <v>40</v>
      </c>
      <c r="AC30" s="210">
        <v>0</v>
      </c>
      <c r="AD30" s="26">
        <v>2</v>
      </c>
      <c r="AE30" s="169">
        <v>160</v>
      </c>
      <c r="AF30" s="169">
        <v>16</v>
      </c>
      <c r="AG30" s="26">
        <v>0</v>
      </c>
      <c r="AH30" s="169">
        <v>0</v>
      </c>
      <c r="AI30" s="169">
        <v>0</v>
      </c>
      <c r="AJ30" s="397">
        <v>2</v>
      </c>
      <c r="AK30" s="210">
        <v>2500</v>
      </c>
      <c r="AL30" s="210">
        <v>5000</v>
      </c>
      <c r="AM30" s="210" t="s">
        <v>2316</v>
      </c>
      <c r="AN30" s="210">
        <v>2500</v>
      </c>
      <c r="AO30" s="1143" t="s">
        <v>2321</v>
      </c>
      <c r="AP30" s="1143" t="s">
        <v>2321</v>
      </c>
      <c r="AQ30" s="136">
        <v>150</v>
      </c>
      <c r="AR30" s="136">
        <v>14</v>
      </c>
      <c r="AS30" s="1143" t="s">
        <v>2448</v>
      </c>
      <c r="AT30" s="136">
        <v>120</v>
      </c>
      <c r="AU30" s="136">
        <v>12</v>
      </c>
      <c r="AV30" s="1109" t="s">
        <v>2157</v>
      </c>
      <c r="AW30" s="1109">
        <v>12</v>
      </c>
      <c r="AX30" s="1109">
        <v>400</v>
      </c>
      <c r="AY30" s="1109">
        <v>1000</v>
      </c>
      <c r="AZ30" s="1108">
        <v>8</v>
      </c>
      <c r="BA30" s="1108">
        <v>6</v>
      </c>
      <c r="BC30" s="1168"/>
      <c r="BD30" s="210">
        <f>INDEX(Spec!$B$12:$P$58,MATCH(AO30,Spec!$A$12:$A$58,0),6)*100</f>
        <v>1900</v>
      </c>
      <c r="BE30" s="210">
        <f>INDEX(Spec!$B$12:$P$58,MATCH(AP30,Spec!$A$12:$A$58,0),6)*100</f>
        <v>1900</v>
      </c>
      <c r="BF30" s="881">
        <f t="shared" si="0"/>
        <v>0.69799260626361248</v>
      </c>
      <c r="BG30" s="881">
        <f t="shared" si="1"/>
        <v>47.243485714285718</v>
      </c>
      <c r="BH30" s="881"/>
      <c r="BI30" s="13" cm="1">
        <f t="array" ref="BI30">INDEX(Info!$AD$4:$AH$15,MATCH(Info!$I$13,Info!$AC$4:$AC$15,0),IF(H30&lt;=16,1,IF(H30&lt;=40,2,IF(H30&lt;=75,3,IF(H30&lt;=100,4,5)))))</f>
        <v>380</v>
      </c>
      <c r="BJ30" s="13" cm="1">
        <f t="array" ref="BJ30">INDEX(Info!$AD$4:$AH$15,MATCH(Info!$I$13,Info!$AC$4:$AC$15,0),IF(K30&lt;=16,1,IF(K30&lt;=40,2,IF(K30&lt;=75,3,IF(K30&lt;=100,4,5)))))</f>
        <v>380</v>
      </c>
      <c r="BK30" s="13" cm="1">
        <f t="array" ref="BK30">INDEX(Info!$AD$4:$AH$15,MATCH(Info!$I$14,Info!$AC$4:$AC$15,0),IF(N30&lt;=16,1,IF(N30&lt;=40,2,IF(N30&lt;=75,3,IF(N30&lt;=100,4,5)))))</f>
        <v>355</v>
      </c>
      <c r="BL30" s="13">
        <f>IF(Stress!C859="Positive",MAX(MIN(0.7*BI30,BK30),0.5*BI30),MAX(MIN(0.7*BJ30,BK30),0.5*BJ30))</f>
        <v>266</v>
      </c>
      <c r="BM30" s="13" cm="1">
        <f t="array" ref="BM30">INDEX(Info!$AD$4:$AH$15,MATCH(Info!$I$13,Info!$AC$4:$AC$15,0),IF(AI30&lt;=16,1,IF(AI30&lt;=40,2,IF(AI30&lt;=75,3,IF(AI30&lt;=100,4,5)))))</f>
        <v>380</v>
      </c>
      <c r="BN30" s="13" cm="1">
        <f t="array" ref="BN30">INDEX(Info!$AD$4:$AH$15,MATCH(Info!$I$13,Info!$AC$4:$AC$15,0),IF(AF30&lt;=16,1,IF(AF30&lt;=40,2,IF(AF30&lt;=75,3,IF(AF30&lt;=100,4,5)))))</f>
        <v>380</v>
      </c>
      <c r="BO30" s="13"/>
      <c r="BP30" s="13">
        <f t="shared" si="2"/>
        <v>0.125</v>
      </c>
      <c r="BQ30" s="13">
        <f t="shared" si="3"/>
        <v>2821.7902119044925</v>
      </c>
      <c r="BR30" s="13">
        <f t="shared" si="72"/>
        <v>3122</v>
      </c>
      <c r="BS30" s="13"/>
      <c r="BT30" s="136">
        <f t="shared" si="4"/>
        <v>0</v>
      </c>
      <c r="BU30" s="136">
        <f t="shared" si="5"/>
        <v>0</v>
      </c>
      <c r="BV30" s="136">
        <f t="shared" si="6"/>
        <v>1595000</v>
      </c>
      <c r="BW30" s="136">
        <f t="shared" si="7"/>
        <v>11178291666.666666</v>
      </c>
      <c r="BX30" s="136">
        <f t="shared" si="8"/>
        <v>0</v>
      </c>
      <c r="BY30" s="136">
        <f t="shared" si="9"/>
        <v>0</v>
      </c>
      <c r="BZ30" s="136">
        <f t="shared" si="10"/>
        <v>7655.2758986349281</v>
      </c>
      <c r="CA30" s="136">
        <f t="shared" si="11"/>
        <v>172722.16246295057</v>
      </c>
      <c r="CB30" s="136">
        <f t="shared" si="12"/>
        <v>5428.6721054031623</v>
      </c>
      <c r="CC30" s="136">
        <f t="shared" si="13"/>
        <v>86858.753686450596</v>
      </c>
      <c r="CE30" s="1137">
        <f t="shared" si="14"/>
        <v>346081987.77679139</v>
      </c>
      <c r="CF30" s="1136">
        <f t="shared" si="15"/>
        <v>411131448.88888884</v>
      </c>
      <c r="CG30" s="1136">
        <f t="shared" si="16"/>
        <v>0</v>
      </c>
      <c r="CH30" s="172">
        <f t="shared" si="17"/>
        <v>4020729166666.6665</v>
      </c>
      <c r="CJ30" s="136">
        <f t="shared" si="18"/>
        <v>164922.96508570784</v>
      </c>
      <c r="CK30" s="7">
        <f t="shared" si="19"/>
        <v>221195298743.63608</v>
      </c>
      <c r="CL30" s="6">
        <f t="shared" si="20"/>
        <v>1746.5943564794959</v>
      </c>
      <c r="CM30" s="6">
        <f t="shared" si="21"/>
        <v>1115.4056435205041</v>
      </c>
      <c r="CN30" s="164">
        <f t="shared" si="73"/>
        <v>126643772.73580913</v>
      </c>
      <c r="CO30" s="164">
        <f t="shared" si="74"/>
        <v>198309287.77219328</v>
      </c>
      <c r="CP30" s="1137">
        <f t="shared" si="22"/>
        <v>136392044071.85852</v>
      </c>
      <c r="CQ30" s="1136">
        <f t="shared" si="23"/>
        <v>33590826549.172981</v>
      </c>
      <c r="CR30" s="22">
        <f t="shared" si="24"/>
        <v>164922.96508570784</v>
      </c>
      <c r="CS30" s="7">
        <f t="shared" si="25"/>
        <v>221195298743.63608</v>
      </c>
      <c r="CT30" s="6">
        <f t="shared" si="26"/>
        <v>1746.5943564794959</v>
      </c>
      <c r="CU30" s="12">
        <f t="shared" si="27"/>
        <v>1115.4056435205041</v>
      </c>
      <c r="CV30" s="164">
        <f t="shared" si="28"/>
        <v>126643772.73580913</v>
      </c>
      <c r="CW30" s="164">
        <f t="shared" si="29"/>
        <v>198309287.77219328</v>
      </c>
      <c r="CX30" s="1136">
        <f t="shared" si="30"/>
        <v>136392044071.85852</v>
      </c>
      <c r="CY30" s="1136">
        <f t="shared" si="31"/>
        <v>33590826549.172981</v>
      </c>
      <c r="CZ30" s="22">
        <f t="shared" si="32"/>
        <v>164922.96508570784</v>
      </c>
      <c r="DA30" s="7">
        <f t="shared" si="33"/>
        <v>221195298743.63608</v>
      </c>
      <c r="DB30" s="6">
        <f t="shared" si="34"/>
        <v>1746.5943564794959</v>
      </c>
      <c r="DC30" s="12">
        <f t="shared" si="35"/>
        <v>1115.4056435205041</v>
      </c>
      <c r="DD30" s="164">
        <f t="shared" si="75"/>
        <v>126643772.73580913</v>
      </c>
      <c r="DE30" s="164">
        <f t="shared" si="76"/>
        <v>198309287.77219328</v>
      </c>
      <c r="DF30" s="1136">
        <f t="shared" si="36"/>
        <v>136392044071.85852</v>
      </c>
      <c r="DG30" s="1136">
        <f t="shared" si="37"/>
        <v>33590826549.172981</v>
      </c>
      <c r="DH30" s="22">
        <f t="shared" si="38"/>
        <v>412834.65161772241</v>
      </c>
      <c r="DI30" s="172">
        <f t="shared" si="39"/>
        <v>566152360388.05957</v>
      </c>
      <c r="DJ30" s="12">
        <f t="shared" si="40"/>
        <v>628.6867517160681</v>
      </c>
      <c r="DK30" s="22">
        <f t="shared" si="41"/>
        <v>2233.3132482839319</v>
      </c>
      <c r="DL30" s="164">
        <f t="shared" si="77"/>
        <v>900531717.65221047</v>
      </c>
      <c r="DM30" s="164">
        <f t="shared" si="78"/>
        <v>253503336.72317958</v>
      </c>
      <c r="DN30" s="7">
        <f t="shared" si="42"/>
        <v>761336087204.64526</v>
      </c>
      <c r="DO30" s="1136">
        <f t="shared" si="43"/>
        <v>233008465685.25287</v>
      </c>
      <c r="DP30" s="22">
        <f t="shared" si="44"/>
        <v>247560.1939297127</v>
      </c>
      <c r="DQ30" s="172">
        <f t="shared" si="45"/>
        <v>412560302918.47009</v>
      </c>
      <c r="DR30" s="22">
        <f t="shared" si="46"/>
        <v>1125.1818571227475</v>
      </c>
      <c r="DS30" s="22">
        <f t="shared" si="47"/>
        <v>1736.8181428772525</v>
      </c>
      <c r="DT30" s="164">
        <f t="shared" si="79"/>
        <v>366660998.2260524</v>
      </c>
      <c r="DU30" s="164">
        <f t="shared" si="80"/>
        <v>237537997.06111619</v>
      </c>
      <c r="DV30" s="1136">
        <f t="shared" si="48"/>
        <v>344706725116.12073</v>
      </c>
      <c r="DW30" s="1136">
        <f t="shared" si="49"/>
        <v>233008465685.25287</v>
      </c>
      <c r="DX30" s="763">
        <f t="shared" si="50"/>
        <v>178006.91308974594</v>
      </c>
      <c r="DY30" s="7">
        <f t="shared" si="51"/>
        <v>263876813373.73816</v>
      </c>
      <c r="DZ30" s="13">
        <f t="shared" si="52"/>
        <v>1608.8792308218083</v>
      </c>
      <c r="EA30" s="763">
        <f t="shared" si="53"/>
        <v>1253.1207691781917</v>
      </c>
      <c r="EB30" s="164">
        <f t="shared" si="81"/>
        <v>164012816.07628876</v>
      </c>
      <c r="EC30" s="164">
        <f t="shared" si="82"/>
        <v>210575724.11539474</v>
      </c>
      <c r="ED30" s="1136">
        <f t="shared" si="54"/>
        <v>761336087204.64526</v>
      </c>
      <c r="EE30" s="1136">
        <f t="shared" si="55"/>
        <v>233008465685.25287</v>
      </c>
      <c r="EF30" s="763">
        <f t="shared" si="56"/>
        <v>169284.28108705388</v>
      </c>
      <c r="EG30" s="7">
        <f t="shared" si="57"/>
        <v>236153360491.24203</v>
      </c>
      <c r="EH30" s="13">
        <f t="shared" si="58"/>
        <v>1698.3239869632519</v>
      </c>
      <c r="EI30" s="763">
        <f t="shared" si="59"/>
        <v>1163.6760130367481</v>
      </c>
      <c r="EJ30" s="164">
        <f t="shared" si="83"/>
        <v>139050830.29151839</v>
      </c>
      <c r="EK30" s="164">
        <f t="shared" si="84"/>
        <v>202937379.34407732</v>
      </c>
      <c r="EL30" s="1136">
        <f t="shared" si="85"/>
        <v>344706725116.12073</v>
      </c>
      <c r="EM30" s="1136">
        <f t="shared" si="86"/>
        <v>233008465685.25287</v>
      </c>
      <c r="EN30" s="164"/>
      <c r="EO30" s="1113" t="s">
        <v>2188</v>
      </c>
      <c r="EP30" s="1114">
        <v>164922.96508570801</v>
      </c>
      <c r="EQ30" s="1114">
        <v>221195298743.63599</v>
      </c>
      <c r="ER30" s="1115">
        <v>1746.5943564795</v>
      </c>
      <c r="ES30" s="1115">
        <v>1115.4056435205</v>
      </c>
      <c r="ET30" s="1114">
        <v>126643772.735809</v>
      </c>
      <c r="EU30" s="1114">
        <v>198309287.77219301</v>
      </c>
      <c r="EV30" s="1114">
        <v>136392044071.85899</v>
      </c>
      <c r="EW30" s="1114">
        <v>33590826549.173</v>
      </c>
      <c r="EX30" s="1114">
        <v>164922.96508570801</v>
      </c>
      <c r="EY30" s="1114">
        <v>221195298743.63599</v>
      </c>
      <c r="EZ30" s="1115">
        <v>1746.5943564795</v>
      </c>
      <c r="FA30" s="1115">
        <v>1115.4056435205</v>
      </c>
      <c r="FB30" s="1114">
        <v>126643772.735809</v>
      </c>
      <c r="FC30" s="1114">
        <v>198309287.77219301</v>
      </c>
      <c r="FD30" s="1114">
        <v>136392044071.85899</v>
      </c>
      <c r="FE30" s="1114">
        <v>33590826549.173</v>
      </c>
      <c r="FF30" s="1114">
        <v>164922.96508570801</v>
      </c>
      <c r="FG30" s="1114">
        <v>221195298743.63599</v>
      </c>
      <c r="FH30" s="1115">
        <v>1746.5943564795</v>
      </c>
      <c r="FI30" s="1115">
        <v>1115.4056435205</v>
      </c>
      <c r="FJ30" s="1114">
        <v>126643772.735809</v>
      </c>
      <c r="FK30" s="1114">
        <v>198309287.77219301</v>
      </c>
      <c r="FL30" s="1114">
        <v>136392044071.85899</v>
      </c>
      <c r="FM30" s="1114">
        <v>33590826549.173</v>
      </c>
      <c r="FN30" s="1114">
        <v>412834.65161772299</v>
      </c>
      <c r="FO30" s="1114">
        <v>566152360388.06006</v>
      </c>
      <c r="FP30" s="1115">
        <v>628.68675171606799</v>
      </c>
      <c r="FQ30" s="1115">
        <v>2233.3132482839301</v>
      </c>
      <c r="FR30" s="1114">
        <v>900531717.65221095</v>
      </c>
      <c r="FS30" s="1114">
        <v>253503336.72318</v>
      </c>
      <c r="FT30" s="1114">
        <v>761336087204.646</v>
      </c>
      <c r="FU30" s="1114">
        <v>233008465685.25299</v>
      </c>
      <c r="FV30" s="1114">
        <v>247560.19392971299</v>
      </c>
      <c r="FW30" s="1114">
        <v>412560302918.46997</v>
      </c>
      <c r="FX30" s="1115">
        <v>1125.18185712275</v>
      </c>
      <c r="FY30" s="1115">
        <v>1736.81814287725</v>
      </c>
      <c r="FZ30" s="1114">
        <v>366660998.226053</v>
      </c>
      <c r="GA30" s="1114">
        <v>237537997.06111601</v>
      </c>
      <c r="GB30" s="1114">
        <v>344706725116.12097</v>
      </c>
      <c r="GC30" s="1114">
        <v>233008465685.25299</v>
      </c>
      <c r="GD30" s="1114">
        <v>178006.913089746</v>
      </c>
      <c r="GE30" s="1114">
        <v>263876813373.73801</v>
      </c>
      <c r="GF30" s="1115">
        <v>1608.8792308218101</v>
      </c>
      <c r="GG30" s="1115">
        <v>1253.1207691781899</v>
      </c>
      <c r="GH30" s="1114">
        <v>164012816.076289</v>
      </c>
      <c r="GI30" s="1114">
        <v>210575724.11539501</v>
      </c>
      <c r="GJ30" s="1114">
        <v>761336087204.646</v>
      </c>
      <c r="GK30" s="1114">
        <v>233008465685.25299</v>
      </c>
      <c r="GL30" s="1114">
        <v>169284.281087054</v>
      </c>
      <c r="GM30" s="1114">
        <v>236153360491.242</v>
      </c>
      <c r="GN30" s="1115">
        <v>1698.32398696325</v>
      </c>
      <c r="GO30" s="1115">
        <v>1163.67601303675</v>
      </c>
      <c r="GP30" s="1114">
        <v>139050830.291518</v>
      </c>
      <c r="GQ30" s="1114">
        <v>202937379.34407699</v>
      </c>
      <c r="GR30" s="1114">
        <v>344706725116.12097</v>
      </c>
      <c r="GS30" s="1114">
        <v>233008465685.25299</v>
      </c>
      <c r="GU30" s="1171">
        <f t="shared" si="60"/>
        <v>0</v>
      </c>
      <c r="GV30" s="1171">
        <f t="shared" si="61"/>
        <v>0</v>
      </c>
      <c r="GW30" s="1171">
        <f t="shared" si="62"/>
        <v>-4.0927261579781771E-12</v>
      </c>
      <c r="GX30" s="1171">
        <f t="shared" si="63"/>
        <v>4.0927261579781771E-12</v>
      </c>
      <c r="GY30" s="1171">
        <f t="shared" si="64"/>
        <v>1.3411045074462891E-7</v>
      </c>
      <c r="GZ30" s="1171">
        <f t="shared" si="65"/>
        <v>2.6822090148925781E-7</v>
      </c>
      <c r="HA30" s="1171">
        <f t="shared" si="87"/>
        <v>-4.730224609375E-4</v>
      </c>
      <c r="HB30" s="1171">
        <f t="shared" si="66"/>
        <v>0</v>
      </c>
      <c r="HC30" s="1171">
        <f t="shared" si="67"/>
        <v>0</v>
      </c>
      <c r="HD30" s="1171">
        <f t="shared" si="68"/>
        <v>0</v>
      </c>
      <c r="HE30" s="1171">
        <f t="shared" si="69"/>
        <v>-4.0927261579781771E-12</v>
      </c>
      <c r="HF30" s="1171">
        <f t="shared" si="70"/>
        <v>4.0927261579781771E-12</v>
      </c>
      <c r="HG30" s="1171">
        <f t="shared" si="89"/>
        <v>1.3411045074462891E-7</v>
      </c>
      <c r="HH30" s="1171">
        <f t="shared" si="90"/>
        <v>2.6822090148925781E-7</v>
      </c>
      <c r="HI30" s="1171">
        <f t="shared" si="91"/>
        <v>-4.730224609375E-4</v>
      </c>
      <c r="HJ30" s="1171">
        <f t="shared" si="92"/>
        <v>0</v>
      </c>
      <c r="HK30" s="1171">
        <f t="shared" si="93"/>
        <v>0</v>
      </c>
      <c r="HL30" s="1171">
        <f t="shared" si="94"/>
        <v>0</v>
      </c>
      <c r="HM30" s="1171">
        <f t="shared" si="95"/>
        <v>-4.0927261579781771E-12</v>
      </c>
      <c r="HN30" s="1171">
        <f t="shared" si="96"/>
        <v>4.0927261579781771E-12</v>
      </c>
      <c r="HO30" s="1171">
        <f t="shared" si="97"/>
        <v>1.3411045074462891E-7</v>
      </c>
      <c r="HP30" s="1171">
        <f t="shared" si="98"/>
        <v>2.6822090148925781E-7</v>
      </c>
      <c r="HQ30" s="1171">
        <f t="shared" si="99"/>
        <v>-4.730224609375E-4</v>
      </c>
      <c r="HR30" s="1171">
        <f t="shared" si="100"/>
        <v>0</v>
      </c>
      <c r="HS30" s="1171">
        <f t="shared" si="101"/>
        <v>-5.8207660913467407E-10</v>
      </c>
      <c r="HT30" s="1171">
        <f t="shared" si="102"/>
        <v>0</v>
      </c>
      <c r="HU30" s="1171">
        <f t="shared" si="103"/>
        <v>0</v>
      </c>
      <c r="HV30" s="1171">
        <f t="shared" si="104"/>
        <v>0</v>
      </c>
      <c r="HW30" s="1171">
        <f t="shared" si="105"/>
        <v>0</v>
      </c>
      <c r="HX30" s="1171">
        <f t="shared" si="106"/>
        <v>-4.1723251342773438E-7</v>
      </c>
      <c r="HY30" s="1171">
        <f t="shared" si="107"/>
        <v>0</v>
      </c>
      <c r="HZ30" s="1171">
        <f t="shared" si="108"/>
        <v>0</v>
      </c>
      <c r="IA30" s="1171">
        <f t="shared" si="109"/>
        <v>-2.9103830456733704E-10</v>
      </c>
      <c r="IB30" s="1171">
        <f t="shared" si="110"/>
        <v>0</v>
      </c>
      <c r="IC30" s="1171">
        <f t="shared" si="111"/>
        <v>-2.5011104298755527E-12</v>
      </c>
      <c r="ID30" s="1171">
        <f t="shared" si="112"/>
        <v>2.5011104298755527E-12</v>
      </c>
      <c r="IE30" s="1171">
        <f t="shared" si="113"/>
        <v>-5.9604644775390625E-7</v>
      </c>
      <c r="IF30" s="1171">
        <f t="shared" si="114"/>
        <v>0</v>
      </c>
      <c r="IG30" s="1171">
        <f t="shared" si="115"/>
        <v>0</v>
      </c>
      <c r="IH30" s="1171">
        <f t="shared" si="116"/>
        <v>0</v>
      </c>
      <c r="II30" s="1171">
        <f t="shared" si="117"/>
        <v>0</v>
      </c>
      <c r="IJ30" s="1171">
        <f t="shared" si="118"/>
        <v>0</v>
      </c>
      <c r="IK30" s="1171">
        <f t="shared" si="119"/>
        <v>-1.8189894035458565E-12</v>
      </c>
      <c r="IL30" s="1171">
        <f t="shared" si="120"/>
        <v>1.8189894035458565E-12</v>
      </c>
      <c r="IM30" s="1171">
        <f t="shared" si="121"/>
        <v>-2.384185791015625E-7</v>
      </c>
      <c r="IN30" s="1171">
        <f t="shared" si="122"/>
        <v>-2.6822090148925781E-7</v>
      </c>
      <c r="IO30" s="1171">
        <f t="shared" si="123"/>
        <v>0</v>
      </c>
      <c r="IP30" s="1171">
        <f t="shared" si="124"/>
        <v>0</v>
      </c>
      <c r="IQ30" s="1171">
        <f t="shared" si="125"/>
        <v>0</v>
      </c>
      <c r="IR30" s="1171">
        <f t="shared" si="126"/>
        <v>0</v>
      </c>
      <c r="IS30" s="1171">
        <f t="shared" si="127"/>
        <v>1.8189894035458565E-12</v>
      </c>
      <c r="IT30" s="1171">
        <f t="shared" si="128"/>
        <v>-1.8189894035458565E-12</v>
      </c>
      <c r="IU30" s="1171">
        <f t="shared" si="129"/>
        <v>3.8743019104003906E-7</v>
      </c>
      <c r="IV30" s="1171">
        <f t="shared" si="130"/>
        <v>3.2782554626464844E-7</v>
      </c>
      <c r="IW30" s="1171">
        <f t="shared" si="131"/>
        <v>0</v>
      </c>
      <c r="IX30" s="1171">
        <f t="shared" si="132"/>
        <v>0</v>
      </c>
    </row>
    <row r="31" spans="1:258" s="871" customFormat="1">
      <c r="A31" s="871">
        <v>115</v>
      </c>
      <c r="B31" s="871" t="str">
        <f t="shared" ref="B31" si="156">LEFT(B29,3)+1&amp;"i"</f>
        <v>115i</v>
      </c>
      <c r="C31" s="871">
        <v>61.9</v>
      </c>
      <c r="D31" s="871">
        <v>0</v>
      </c>
      <c r="E31" s="871" t="s">
        <v>2091</v>
      </c>
      <c r="F31" s="26">
        <v>2</v>
      </c>
      <c r="G31" s="136">
        <v>500</v>
      </c>
      <c r="H31" s="136">
        <v>22</v>
      </c>
      <c r="I31" s="28">
        <v>250</v>
      </c>
      <c r="J31" s="26">
        <v>1940</v>
      </c>
      <c r="K31" s="136">
        <v>18</v>
      </c>
      <c r="L31" s="28">
        <v>120</v>
      </c>
      <c r="M31" s="26">
        <v>2800</v>
      </c>
      <c r="N31" s="28">
        <v>12</v>
      </c>
      <c r="O31" s="397">
        <v>0</v>
      </c>
      <c r="P31" s="26">
        <v>290</v>
      </c>
      <c r="Q31" s="397">
        <f>+Section!L92</f>
        <v>5500</v>
      </c>
      <c r="R31" s="169">
        <v>0</v>
      </c>
      <c r="S31" s="210">
        <v>0</v>
      </c>
      <c r="T31" s="210">
        <v>1200</v>
      </c>
      <c r="U31" s="210">
        <v>2400</v>
      </c>
      <c r="V31" s="872">
        <v>3800</v>
      </c>
      <c r="W31" s="210">
        <v>19</v>
      </c>
      <c r="X31" s="210">
        <v>200</v>
      </c>
      <c r="Y31" s="210">
        <v>50</v>
      </c>
      <c r="Z31" s="210">
        <v>16</v>
      </c>
      <c r="AA31" s="210">
        <v>200</v>
      </c>
      <c r="AB31" s="872">
        <v>40</v>
      </c>
      <c r="AC31" s="210">
        <v>0</v>
      </c>
      <c r="AD31" s="397">
        <v>2</v>
      </c>
      <c r="AE31" s="210">
        <v>160</v>
      </c>
      <c r="AF31" s="210">
        <v>16</v>
      </c>
      <c r="AG31" s="397">
        <v>0</v>
      </c>
      <c r="AH31" s="210">
        <v>0</v>
      </c>
      <c r="AI31" s="210">
        <v>0</v>
      </c>
      <c r="AJ31" s="397">
        <v>2</v>
      </c>
      <c r="AK31" s="210">
        <v>2500</v>
      </c>
      <c r="AL31" s="210">
        <v>5000</v>
      </c>
      <c r="AM31" s="210" t="s">
        <v>2316</v>
      </c>
      <c r="AN31" s="210">
        <v>2500</v>
      </c>
      <c r="AO31" s="1143" t="s">
        <v>2321</v>
      </c>
      <c r="AP31" s="1143" t="s">
        <v>2321</v>
      </c>
      <c r="AQ31" s="136">
        <v>150</v>
      </c>
      <c r="AR31" s="136">
        <v>14</v>
      </c>
      <c r="AS31" s="1143" t="s">
        <v>2448</v>
      </c>
      <c r="AT31" s="136">
        <v>120</v>
      </c>
      <c r="AU31" s="136">
        <v>12</v>
      </c>
      <c r="AV31" s="1109" t="s">
        <v>2157</v>
      </c>
      <c r="AW31" s="1109">
        <v>12</v>
      </c>
      <c r="AX31" s="1109">
        <v>400</v>
      </c>
      <c r="AY31" s="1109">
        <v>1000</v>
      </c>
      <c r="AZ31" s="1108">
        <v>8</v>
      </c>
      <c r="BA31" s="1108">
        <v>6</v>
      </c>
      <c r="BB31" s="1109"/>
      <c r="BC31" s="1168"/>
      <c r="BD31" s="210">
        <f>INDEX(Spec!$B$12:$P$58,MATCH(AO31,Spec!$A$12:$A$58,0),6)*100</f>
        <v>1900</v>
      </c>
      <c r="BE31" s="210">
        <f>INDEX(Spec!$B$12:$P$58,MATCH(AP31,Spec!$A$12:$A$58,0),6)*100</f>
        <v>1900</v>
      </c>
      <c r="BF31" s="881">
        <f t="shared" si="0"/>
        <v>0.69515529669535348</v>
      </c>
      <c r="BG31" s="881">
        <f t="shared" si="1"/>
        <v>47.243485714285718</v>
      </c>
      <c r="BH31" s="881"/>
      <c r="BI31" s="13" cm="1">
        <f t="array" ref="BI31">INDEX(Info!$AD$4:$AH$15,MATCH(Info!$I$13,Info!$AC$4:$AC$15,0),IF(H31&lt;=16,1,IF(H31&lt;=40,2,IF(H31&lt;=75,3,IF(H31&lt;=100,4,5)))))</f>
        <v>380</v>
      </c>
      <c r="BJ31" s="13" cm="1">
        <f t="array" ref="BJ31">INDEX(Info!$AD$4:$AH$15,MATCH(Info!$I$13,Info!$AC$4:$AC$15,0),IF(K31&lt;=16,1,IF(K31&lt;=40,2,IF(K31&lt;=75,3,IF(K31&lt;=100,4,5)))))</f>
        <v>380</v>
      </c>
      <c r="BK31" s="13" cm="1">
        <f t="array" ref="BK31">INDEX(Info!$AD$4:$AH$15,MATCH(Info!$I$14,Info!$AC$4:$AC$15,0),IF(N31&lt;=16,1,IF(N31&lt;=40,2,IF(N31&lt;=75,3,IF(N31&lt;=100,4,5)))))</f>
        <v>355</v>
      </c>
      <c r="BL31" s="13">
        <f>IF(Stress!C860="Positive",MAX(MIN(0.7*BI31,BK31),0.5*BI31),MAX(MIN(0.7*BJ31,BK31),0.5*BJ31))</f>
        <v>266</v>
      </c>
      <c r="BM31" s="13" cm="1">
        <f t="array" ref="BM31">INDEX(Info!$AD$4:$AH$15,MATCH(Info!$I$13,Info!$AC$4:$AC$15,0),IF(AI31&lt;=16,1,IF(AI31&lt;=40,2,IF(AI31&lt;=75,3,IF(AI31&lt;=100,4,5)))))</f>
        <v>380</v>
      </c>
      <c r="BN31" s="13" cm="1">
        <f t="array" ref="BN31">INDEX(Info!$AD$4:$AH$15,MATCH(Info!$I$13,Info!$AC$4:$AC$15,0),IF(AF31&lt;=16,1,IF(AF31&lt;=40,2,IF(AF31&lt;=75,3,IF(AF31&lt;=100,4,5)))))</f>
        <v>380</v>
      </c>
      <c r="BO31" s="13"/>
      <c r="BP31" s="873">
        <f t="shared" si="2"/>
        <v>0.125</v>
      </c>
      <c r="BQ31" s="873">
        <f t="shared" si="3"/>
        <v>2821.7902119044925</v>
      </c>
      <c r="BR31" s="873">
        <f t="shared" si="72"/>
        <v>3108</v>
      </c>
      <c r="BS31" s="873"/>
      <c r="BT31" s="871">
        <f t="shared" si="4"/>
        <v>0</v>
      </c>
      <c r="BU31" s="136">
        <f t="shared" si="5"/>
        <v>0</v>
      </c>
      <c r="BV31" s="871">
        <f t="shared" si="6"/>
        <v>1595000</v>
      </c>
      <c r="BW31" s="871">
        <f t="shared" si="7"/>
        <v>11178291666.666666</v>
      </c>
      <c r="BX31" s="871">
        <f t="shared" si="8"/>
        <v>0</v>
      </c>
      <c r="BY31" s="871">
        <f t="shared" si="9"/>
        <v>0</v>
      </c>
      <c r="BZ31" s="871">
        <f t="shared" si="10"/>
        <v>7655.2758986349281</v>
      </c>
      <c r="CA31" s="871">
        <f t="shared" si="11"/>
        <v>172722.16246295057</v>
      </c>
      <c r="CB31" s="871">
        <f t="shared" si="12"/>
        <v>5428.6721054031623</v>
      </c>
      <c r="CC31" s="871">
        <f t="shared" si="13"/>
        <v>86858.753686450596</v>
      </c>
      <c r="CE31" s="1137">
        <f t="shared" si="14"/>
        <v>346081987.77679139</v>
      </c>
      <c r="CF31" s="1136">
        <f t="shared" si="15"/>
        <v>411131448.88888884</v>
      </c>
      <c r="CG31" s="1136">
        <f t="shared" si="16"/>
        <v>0</v>
      </c>
      <c r="CH31" s="172">
        <f t="shared" si="17"/>
        <v>4020729166666.6665</v>
      </c>
      <c r="CJ31" s="136">
        <f t="shared" si="18"/>
        <v>129762.96508570782</v>
      </c>
      <c r="CK31" s="7">
        <f t="shared" si="19"/>
        <v>161520594572.24292</v>
      </c>
      <c r="CL31" s="875">
        <f t="shared" si="20"/>
        <v>1614.0322950661719</v>
      </c>
      <c r="CM31" s="6">
        <f t="shared" si="21"/>
        <v>1225.9677049338281</v>
      </c>
      <c r="CN31" s="876">
        <f t="shared" si="73"/>
        <v>100072715.43821304</v>
      </c>
      <c r="CO31" s="876">
        <f t="shared" si="74"/>
        <v>131749469.3556883</v>
      </c>
      <c r="CP31" s="1137">
        <f t="shared" si="22"/>
        <v>116187096071.85852</v>
      </c>
      <c r="CQ31" s="1136">
        <f t="shared" si="23"/>
        <v>32916617372.582115</v>
      </c>
      <c r="CR31" s="877">
        <f t="shared" si="24"/>
        <v>129762.96508570782</v>
      </c>
      <c r="CS31" s="874">
        <f t="shared" si="25"/>
        <v>161520594572.24292</v>
      </c>
      <c r="CT31" s="875">
        <f t="shared" si="26"/>
        <v>1614.0322950661719</v>
      </c>
      <c r="CU31" s="878">
        <f t="shared" si="27"/>
        <v>1225.9677049338281</v>
      </c>
      <c r="CV31" s="876">
        <f t="shared" si="28"/>
        <v>100072715.43821304</v>
      </c>
      <c r="CW31" s="876">
        <f t="shared" si="29"/>
        <v>131749469.3556883</v>
      </c>
      <c r="CX31" s="1136">
        <f t="shared" si="30"/>
        <v>116187096071.85852</v>
      </c>
      <c r="CY31" s="1136">
        <f t="shared" si="31"/>
        <v>32916617372.582115</v>
      </c>
      <c r="CZ31" s="877">
        <f t="shared" si="32"/>
        <v>129762.96508570782</v>
      </c>
      <c r="DA31" s="874">
        <f t="shared" si="33"/>
        <v>161520594572.24292</v>
      </c>
      <c r="DB31" s="875">
        <f t="shared" si="34"/>
        <v>1614.0322950661719</v>
      </c>
      <c r="DC31" s="878">
        <f t="shared" si="35"/>
        <v>1225.9677049338281</v>
      </c>
      <c r="DD31" s="876">
        <f t="shared" si="75"/>
        <v>100072715.43821304</v>
      </c>
      <c r="DE31" s="876">
        <f t="shared" si="76"/>
        <v>131749469.3556883</v>
      </c>
      <c r="DF31" s="1136">
        <f t="shared" si="36"/>
        <v>116187096071.85852</v>
      </c>
      <c r="DG31" s="1136">
        <f t="shared" si="37"/>
        <v>32916617372.582115</v>
      </c>
      <c r="DH31" s="877">
        <f t="shared" si="38"/>
        <v>377674.65161772241</v>
      </c>
      <c r="DI31" s="879">
        <f t="shared" si="39"/>
        <v>420265490240.5509</v>
      </c>
      <c r="DJ31" s="878">
        <f t="shared" si="40"/>
        <v>473.81649295745774</v>
      </c>
      <c r="DK31" s="877">
        <f t="shared" si="41"/>
        <v>2366.1835070425423</v>
      </c>
      <c r="DL31" s="876">
        <f t="shared" si="77"/>
        <v>886979445.60212898</v>
      </c>
      <c r="DM31" s="876">
        <f t="shared" si="78"/>
        <v>177613227.7947599</v>
      </c>
      <c r="DN31" s="7">
        <f t="shared" si="42"/>
        <v>741131139204.64526</v>
      </c>
      <c r="DO31" s="1136">
        <f t="shared" si="43"/>
        <v>214476299647.88208</v>
      </c>
      <c r="DP31" s="877">
        <f t="shared" si="44"/>
        <v>212400.1939297127</v>
      </c>
      <c r="DQ31" s="879">
        <f t="shared" si="45"/>
        <v>314430424509.01593</v>
      </c>
      <c r="DR31" s="877">
        <f t="shared" si="46"/>
        <v>938.2158910363737</v>
      </c>
      <c r="DS31" s="877">
        <f t="shared" si="47"/>
        <v>1901.7841089636263</v>
      </c>
      <c r="DT31" s="876">
        <f t="shared" si="79"/>
        <v>335136536.81743681</v>
      </c>
      <c r="DU31" s="876">
        <f t="shared" si="80"/>
        <v>165334447.28401071</v>
      </c>
      <c r="DV31" s="1136">
        <f t="shared" si="48"/>
        <v>324501777116.12073</v>
      </c>
      <c r="DW31" s="1136">
        <f t="shared" si="49"/>
        <v>214476299647.88208</v>
      </c>
      <c r="DX31" s="880">
        <f t="shared" si="50"/>
        <v>142846.91308974591</v>
      </c>
      <c r="DY31" s="874">
        <f t="shared" si="51"/>
        <v>198007849742.18506</v>
      </c>
      <c r="DZ31" s="873">
        <f t="shared" si="52"/>
        <v>1453.8294571168058</v>
      </c>
      <c r="EA31" s="880">
        <f t="shared" si="53"/>
        <v>1386.1705428831942</v>
      </c>
      <c r="EB31" s="876">
        <f t="shared" si="81"/>
        <v>136197439.64664793</v>
      </c>
      <c r="EC31" s="876">
        <f t="shared" si="82"/>
        <v>142845229.80147487</v>
      </c>
      <c r="ED31" s="1136">
        <f t="shared" si="54"/>
        <v>741131139204.64526</v>
      </c>
      <c r="EE31" s="1136">
        <f t="shared" si="55"/>
        <v>214476299647.88208</v>
      </c>
      <c r="EF31" s="880">
        <f t="shared" si="56"/>
        <v>134124.28108705385</v>
      </c>
      <c r="EG31" s="874">
        <f t="shared" si="57"/>
        <v>174471223269.76736</v>
      </c>
      <c r="EH31" s="873">
        <f t="shared" si="58"/>
        <v>1557.158474547349</v>
      </c>
      <c r="EI31" s="880">
        <f t="shared" si="59"/>
        <v>1282.841525452651</v>
      </c>
      <c r="EJ31" s="876">
        <f t="shared" si="83"/>
        <v>112044615.96016069</v>
      </c>
      <c r="EK31" s="876">
        <f t="shared" si="84"/>
        <v>136003722.8356832</v>
      </c>
      <c r="EL31" s="1136">
        <f t="shared" si="85"/>
        <v>324501777116.12073</v>
      </c>
      <c r="EM31" s="1136">
        <f t="shared" si="86"/>
        <v>214476299647.88208</v>
      </c>
      <c r="EN31" s="876"/>
      <c r="EO31" s="1113" t="s">
        <v>2189</v>
      </c>
      <c r="EP31" s="1114">
        <v>129762.965085708</v>
      </c>
      <c r="EQ31" s="1114">
        <v>161520594572.24301</v>
      </c>
      <c r="ER31" s="1115">
        <v>1614.03229506617</v>
      </c>
      <c r="ES31" s="1115">
        <v>1225.96770493383</v>
      </c>
      <c r="ET31" s="1114">
        <v>100072715.43821301</v>
      </c>
      <c r="EU31" s="1114">
        <v>131749469.35568801</v>
      </c>
      <c r="EV31" s="1114">
        <v>116187096071.85899</v>
      </c>
      <c r="EW31" s="1114">
        <v>32916617372.5821</v>
      </c>
      <c r="EX31" s="1114">
        <v>129762.965085708</v>
      </c>
      <c r="EY31" s="1114">
        <v>161520594572.24301</v>
      </c>
      <c r="EZ31" s="1115">
        <v>1614.03229506617</v>
      </c>
      <c r="FA31" s="1115">
        <v>1225.96770493383</v>
      </c>
      <c r="FB31" s="1114">
        <v>100072715.43821301</v>
      </c>
      <c r="FC31" s="1114">
        <v>131749469.35568801</v>
      </c>
      <c r="FD31" s="1114">
        <v>116187096071.85899</v>
      </c>
      <c r="FE31" s="1114">
        <v>32916617372.5821</v>
      </c>
      <c r="FF31" s="1114">
        <v>129762.965085708</v>
      </c>
      <c r="FG31" s="1114">
        <v>161520594572.24301</v>
      </c>
      <c r="FH31" s="1115">
        <v>1614.03229506617</v>
      </c>
      <c r="FI31" s="1115">
        <v>1225.96770493383</v>
      </c>
      <c r="FJ31" s="1114">
        <v>100072715.43821301</v>
      </c>
      <c r="FK31" s="1114">
        <v>131749469.35568801</v>
      </c>
      <c r="FL31" s="1114">
        <v>116187096071.85899</v>
      </c>
      <c r="FM31" s="1114">
        <v>32916617372.5821</v>
      </c>
      <c r="FN31" s="1114">
        <v>377674.65161772299</v>
      </c>
      <c r="FO31" s="1114">
        <v>420265490240.55103</v>
      </c>
      <c r="FP31" s="1115">
        <v>473.816492957457</v>
      </c>
      <c r="FQ31" s="1115">
        <v>2366.18350704254</v>
      </c>
      <c r="FR31" s="1114">
        <v>886979445.60213101</v>
      </c>
      <c r="FS31" s="1114">
        <v>177613227.79475999</v>
      </c>
      <c r="FT31" s="1114">
        <v>741131139204.646</v>
      </c>
      <c r="FU31" s="1114">
        <v>214476299647.88199</v>
      </c>
      <c r="FV31" s="1114">
        <v>212400.19392971299</v>
      </c>
      <c r="FW31" s="1114">
        <v>314430424509.01599</v>
      </c>
      <c r="FX31" s="1115">
        <v>938.21589103637302</v>
      </c>
      <c r="FY31" s="1115">
        <v>1901.7841089636299</v>
      </c>
      <c r="FZ31" s="1114">
        <v>335136536.81743699</v>
      </c>
      <c r="GA31" s="1114">
        <v>165334447.28401101</v>
      </c>
      <c r="GB31" s="1114">
        <v>324501777116.12097</v>
      </c>
      <c r="GC31" s="1114">
        <v>214476299647.88199</v>
      </c>
      <c r="GD31" s="1114">
        <v>142846.913089746</v>
      </c>
      <c r="GE31" s="1114">
        <v>198007849742.185</v>
      </c>
      <c r="GF31" s="1115">
        <v>1453.8294571168101</v>
      </c>
      <c r="GG31" s="1115">
        <v>1386.1705428831899</v>
      </c>
      <c r="GH31" s="1114">
        <v>136197439.64664799</v>
      </c>
      <c r="GI31" s="1114">
        <v>142845229.80147499</v>
      </c>
      <c r="GJ31" s="1114">
        <v>741131139204.646</v>
      </c>
      <c r="GK31" s="1114">
        <v>214476299647.88199</v>
      </c>
      <c r="GL31" s="1114">
        <v>134124.281087054</v>
      </c>
      <c r="GM31" s="1114">
        <v>174471223269.767</v>
      </c>
      <c r="GN31" s="1115">
        <v>1557.1584745473499</v>
      </c>
      <c r="GO31" s="1115">
        <v>1282.8415254526501</v>
      </c>
      <c r="GP31" s="1114">
        <v>112044615.960161</v>
      </c>
      <c r="GQ31" s="1114">
        <v>136003722.83568299</v>
      </c>
      <c r="GR31" s="1114">
        <v>324501777116.12097</v>
      </c>
      <c r="GS31" s="1114">
        <v>214476299647.88199</v>
      </c>
      <c r="GU31" s="1171">
        <f t="shared" si="60"/>
        <v>-1.7462298274040222E-10</v>
      </c>
      <c r="GV31" s="1171">
        <f t="shared" si="61"/>
        <v>0</v>
      </c>
      <c r="GW31" s="1171">
        <f t="shared" si="62"/>
        <v>1.8189894035458565E-12</v>
      </c>
      <c r="GX31" s="1171">
        <f t="shared" si="63"/>
        <v>-1.8189894035458565E-12</v>
      </c>
      <c r="GY31" s="1171">
        <f t="shared" si="64"/>
        <v>0</v>
      </c>
      <c r="GZ31" s="1171">
        <f t="shared" si="65"/>
        <v>2.9802322387695313E-7</v>
      </c>
      <c r="HA31" s="1171">
        <f t="shared" si="87"/>
        <v>-4.730224609375E-4</v>
      </c>
      <c r="HB31" s="1171">
        <f t="shared" si="66"/>
        <v>0</v>
      </c>
      <c r="HC31" s="1171">
        <f t="shared" si="67"/>
        <v>-1.7462298274040222E-10</v>
      </c>
      <c r="HD31" s="1171">
        <f t="shared" si="68"/>
        <v>0</v>
      </c>
      <c r="HE31" s="1171">
        <f t="shared" si="69"/>
        <v>1.8189894035458565E-12</v>
      </c>
      <c r="HF31" s="1171">
        <f t="shared" si="70"/>
        <v>-1.8189894035458565E-12</v>
      </c>
      <c r="HG31" s="1171">
        <f t="shared" si="89"/>
        <v>0</v>
      </c>
      <c r="HH31" s="1171">
        <f t="shared" si="90"/>
        <v>2.9802322387695313E-7</v>
      </c>
      <c r="HI31" s="1171">
        <f t="shared" si="91"/>
        <v>-4.730224609375E-4</v>
      </c>
      <c r="HJ31" s="1171">
        <f t="shared" si="92"/>
        <v>0</v>
      </c>
      <c r="HK31" s="1171">
        <f t="shared" si="93"/>
        <v>-1.7462298274040222E-10</v>
      </c>
      <c r="HL31" s="1171">
        <f t="shared" si="94"/>
        <v>0</v>
      </c>
      <c r="HM31" s="1171">
        <f t="shared" si="95"/>
        <v>1.8189894035458565E-12</v>
      </c>
      <c r="HN31" s="1171">
        <f t="shared" si="96"/>
        <v>-1.8189894035458565E-12</v>
      </c>
      <c r="HO31" s="1171">
        <f t="shared" si="97"/>
        <v>0</v>
      </c>
      <c r="HP31" s="1171">
        <f t="shared" si="98"/>
        <v>2.9802322387695313E-7</v>
      </c>
      <c r="HQ31" s="1171">
        <f t="shared" si="99"/>
        <v>-4.730224609375E-4</v>
      </c>
      <c r="HR31" s="1171">
        <f t="shared" si="100"/>
        <v>0</v>
      </c>
      <c r="HS31" s="1171">
        <f t="shared" si="101"/>
        <v>-5.8207660913467407E-10</v>
      </c>
      <c r="HT31" s="1171">
        <f t="shared" si="102"/>
        <v>0</v>
      </c>
      <c r="HU31" s="1171">
        <f t="shared" si="103"/>
        <v>7.3896444519050419E-13</v>
      </c>
      <c r="HV31" s="1171">
        <f t="shared" si="104"/>
        <v>0</v>
      </c>
      <c r="HW31" s="1171">
        <f t="shared" si="105"/>
        <v>-2.0265579223632813E-6</v>
      </c>
      <c r="HX31" s="1171">
        <f t="shared" si="106"/>
        <v>0</v>
      </c>
      <c r="HY31" s="1171">
        <f t="shared" si="107"/>
        <v>0</v>
      </c>
      <c r="HZ31" s="1171">
        <f t="shared" si="108"/>
        <v>0</v>
      </c>
      <c r="IA31" s="1171">
        <f t="shared" si="109"/>
        <v>-2.9103830456733704E-10</v>
      </c>
      <c r="IB31" s="1171">
        <f t="shared" si="110"/>
        <v>0</v>
      </c>
      <c r="IC31" s="1171">
        <f t="shared" si="111"/>
        <v>0</v>
      </c>
      <c r="ID31" s="1171">
        <f t="shared" si="112"/>
        <v>-3.637978807091713E-12</v>
      </c>
      <c r="IE31" s="1171">
        <f t="shared" si="113"/>
        <v>0</v>
      </c>
      <c r="IF31" s="1171">
        <f t="shared" si="114"/>
        <v>-2.9802322387695313E-7</v>
      </c>
      <c r="IG31" s="1171">
        <f t="shared" si="115"/>
        <v>0</v>
      </c>
      <c r="IH31" s="1171">
        <f t="shared" si="116"/>
        <v>0</v>
      </c>
      <c r="II31" s="1171">
        <f t="shared" si="117"/>
        <v>0</v>
      </c>
      <c r="IJ31" s="1171">
        <f t="shared" si="118"/>
        <v>0</v>
      </c>
      <c r="IK31" s="1171">
        <f t="shared" si="119"/>
        <v>-4.3200998334214091E-12</v>
      </c>
      <c r="IL31" s="1171">
        <f t="shared" si="120"/>
        <v>4.3200998334214091E-12</v>
      </c>
      <c r="IM31" s="1171">
        <f t="shared" si="121"/>
        <v>0</v>
      </c>
      <c r="IN31" s="1171">
        <f t="shared" si="122"/>
        <v>0</v>
      </c>
      <c r="IO31" s="1171">
        <f t="shared" si="123"/>
        <v>0</v>
      </c>
      <c r="IP31" s="1171">
        <f t="shared" si="124"/>
        <v>0</v>
      </c>
      <c r="IQ31" s="1171">
        <f t="shared" si="125"/>
        <v>0</v>
      </c>
      <c r="IR31" s="1171">
        <f t="shared" si="126"/>
        <v>3.662109375E-4</v>
      </c>
      <c r="IS31" s="1171">
        <f t="shared" si="127"/>
        <v>0</v>
      </c>
      <c r="IT31" s="1171">
        <f t="shared" si="128"/>
        <v>0</v>
      </c>
      <c r="IU31" s="1171">
        <f t="shared" si="129"/>
        <v>-3.1292438507080078E-7</v>
      </c>
      <c r="IV31" s="1171">
        <f t="shared" si="130"/>
        <v>0</v>
      </c>
      <c r="IW31" s="1171">
        <f t="shared" si="131"/>
        <v>0</v>
      </c>
      <c r="IX31" s="1171">
        <f t="shared" si="132"/>
        <v>0</v>
      </c>
    </row>
    <row r="32" spans="1:258" s="871" customFormat="1">
      <c r="B32" s="871" t="str">
        <f t="shared" ref="B32" si="157">LEFT(B30,3)+1&amp;"j"</f>
        <v>115j</v>
      </c>
      <c r="C32" s="871">
        <v>66.900000000000006</v>
      </c>
      <c r="D32" s="871">
        <v>0</v>
      </c>
      <c r="E32" s="871" t="s">
        <v>2091</v>
      </c>
      <c r="F32" s="26">
        <v>2</v>
      </c>
      <c r="G32" s="136">
        <v>500</v>
      </c>
      <c r="H32" s="136">
        <v>22</v>
      </c>
      <c r="I32" s="28">
        <v>250</v>
      </c>
      <c r="J32" s="26">
        <v>1940</v>
      </c>
      <c r="K32" s="136">
        <v>18</v>
      </c>
      <c r="L32" s="28">
        <v>120</v>
      </c>
      <c r="M32" s="26">
        <v>2800</v>
      </c>
      <c r="N32" s="28">
        <v>12</v>
      </c>
      <c r="O32" s="397">
        <v>0</v>
      </c>
      <c r="P32" s="26">
        <v>290</v>
      </c>
      <c r="Q32" s="397">
        <f>+Section!L93</f>
        <v>5500</v>
      </c>
      <c r="R32" s="169">
        <v>0</v>
      </c>
      <c r="S32" s="210">
        <v>0</v>
      </c>
      <c r="T32" s="210">
        <v>1200</v>
      </c>
      <c r="U32" s="210">
        <v>2400</v>
      </c>
      <c r="V32" s="872">
        <v>3800</v>
      </c>
      <c r="W32" s="210">
        <v>19</v>
      </c>
      <c r="X32" s="210">
        <v>200</v>
      </c>
      <c r="Y32" s="210">
        <v>50</v>
      </c>
      <c r="Z32" s="210">
        <v>16</v>
      </c>
      <c r="AA32" s="210">
        <v>200</v>
      </c>
      <c r="AB32" s="872">
        <v>40</v>
      </c>
      <c r="AC32" s="210">
        <v>0</v>
      </c>
      <c r="AD32" s="397">
        <v>2</v>
      </c>
      <c r="AE32" s="210">
        <v>160</v>
      </c>
      <c r="AF32" s="210">
        <v>16</v>
      </c>
      <c r="AG32" s="397">
        <v>0</v>
      </c>
      <c r="AH32" s="210">
        <v>0</v>
      </c>
      <c r="AI32" s="210">
        <v>0</v>
      </c>
      <c r="AJ32" s="397">
        <v>2</v>
      </c>
      <c r="AK32" s="210">
        <v>2500</v>
      </c>
      <c r="AL32" s="210">
        <v>5000</v>
      </c>
      <c r="AM32" s="210" t="s">
        <v>2316</v>
      </c>
      <c r="AN32" s="210">
        <v>2500</v>
      </c>
      <c r="AO32" s="1143" t="s">
        <v>2321</v>
      </c>
      <c r="AP32" s="1143" t="s">
        <v>2321</v>
      </c>
      <c r="AQ32" s="136">
        <v>150</v>
      </c>
      <c r="AR32" s="136">
        <v>14</v>
      </c>
      <c r="AS32" s="1143" t="s">
        <v>2448</v>
      </c>
      <c r="AT32" s="136">
        <v>120</v>
      </c>
      <c r="AU32" s="136">
        <v>12</v>
      </c>
      <c r="AV32" s="1111"/>
      <c r="AW32" s="1111"/>
      <c r="AX32" s="1111"/>
      <c r="AY32" s="1111"/>
      <c r="AZ32" s="1108">
        <v>8</v>
      </c>
      <c r="BA32" s="1108">
        <v>6</v>
      </c>
      <c r="BB32" s="1111"/>
      <c r="BC32" s="1168"/>
      <c r="BD32" s="210">
        <f>INDEX(Spec!$B$12:$P$58,MATCH(AO32,Spec!$A$12:$A$58,0),6)*100</f>
        <v>1900</v>
      </c>
      <c r="BE32" s="210">
        <f>INDEX(Spec!$B$12:$P$58,MATCH(AP32,Spec!$A$12:$A$58,0),6)*100</f>
        <v>1900</v>
      </c>
      <c r="BF32" s="881">
        <f t="shared" si="0"/>
        <v>0.69515529669535348</v>
      </c>
      <c r="BG32" s="881">
        <f t="shared" si="1"/>
        <v>47.243485714285718</v>
      </c>
      <c r="BH32" s="881"/>
      <c r="BI32" s="13" cm="1">
        <f t="array" ref="BI32">INDEX(Info!$AD$4:$AH$15,MATCH(Info!$I$13,Info!$AC$4:$AC$15,0),IF(H32&lt;=16,1,IF(H32&lt;=40,2,IF(H32&lt;=75,3,IF(H32&lt;=100,4,5)))))</f>
        <v>380</v>
      </c>
      <c r="BJ32" s="13" cm="1">
        <f t="array" ref="BJ32">INDEX(Info!$AD$4:$AH$15,MATCH(Info!$I$13,Info!$AC$4:$AC$15,0),IF(K32&lt;=16,1,IF(K32&lt;=40,2,IF(K32&lt;=75,3,IF(K32&lt;=100,4,5)))))</f>
        <v>380</v>
      </c>
      <c r="BK32" s="13" cm="1">
        <f t="array" ref="BK32">INDEX(Info!$AD$4:$AH$15,MATCH(Info!$I$14,Info!$AC$4:$AC$15,0),IF(N32&lt;=16,1,IF(N32&lt;=40,2,IF(N32&lt;=75,3,IF(N32&lt;=100,4,5)))))</f>
        <v>355</v>
      </c>
      <c r="BL32" s="13">
        <f>IF(Stress!C861="Positive",MAX(MIN(0.7*BI32,BK32),0.5*BI32),MAX(MIN(0.7*BJ32,BK32),0.5*BJ32))</f>
        <v>266</v>
      </c>
      <c r="BM32" s="13" cm="1">
        <f t="array" ref="BM32">INDEX(Info!$AD$4:$AH$15,MATCH(Info!$I$13,Info!$AC$4:$AC$15,0),IF(AI32&lt;=16,1,IF(AI32&lt;=40,2,IF(AI32&lt;=75,3,IF(AI32&lt;=100,4,5)))))</f>
        <v>380</v>
      </c>
      <c r="BN32" s="13" cm="1">
        <f t="array" ref="BN32">INDEX(Info!$AD$4:$AH$15,MATCH(Info!$I$13,Info!$AC$4:$AC$15,0),IF(AF32&lt;=16,1,IF(AF32&lt;=40,2,IF(AF32&lt;=75,3,IF(AF32&lt;=100,4,5)))))</f>
        <v>380</v>
      </c>
      <c r="BO32" s="13"/>
      <c r="BP32" s="873">
        <f t="shared" si="2"/>
        <v>0.125</v>
      </c>
      <c r="BQ32" s="873">
        <f t="shared" si="3"/>
        <v>2821.7902119044925</v>
      </c>
      <c r="BR32" s="873">
        <f t="shared" si="72"/>
        <v>3108</v>
      </c>
      <c r="BS32" s="873"/>
      <c r="BT32" s="871">
        <f t="shared" si="4"/>
        <v>0</v>
      </c>
      <c r="BU32" s="136">
        <f t="shared" si="5"/>
        <v>0</v>
      </c>
      <c r="BV32" s="871">
        <f t="shared" si="6"/>
        <v>1595000</v>
      </c>
      <c r="BW32" s="871">
        <f t="shared" si="7"/>
        <v>11178291666.666666</v>
      </c>
      <c r="BX32" s="871">
        <f t="shared" si="8"/>
        <v>0</v>
      </c>
      <c r="BY32" s="871">
        <f t="shared" si="9"/>
        <v>0</v>
      </c>
      <c r="BZ32" s="871">
        <f t="shared" si="10"/>
        <v>7655.2758986349281</v>
      </c>
      <c r="CA32" s="871">
        <f t="shared" si="11"/>
        <v>172722.16246295057</v>
      </c>
      <c r="CB32" s="871">
        <f t="shared" si="12"/>
        <v>5428.6721054031623</v>
      </c>
      <c r="CC32" s="871">
        <f t="shared" si="13"/>
        <v>86858.753686450596</v>
      </c>
      <c r="CE32" s="1137">
        <f t="shared" si="14"/>
        <v>346081987.77679139</v>
      </c>
      <c r="CF32" s="1136">
        <f t="shared" si="15"/>
        <v>411131448.88888884</v>
      </c>
      <c r="CG32" s="1136">
        <f t="shared" si="16"/>
        <v>0</v>
      </c>
      <c r="CH32" s="172">
        <f t="shared" si="17"/>
        <v>4020729166666.6665</v>
      </c>
      <c r="CJ32" s="136">
        <f t="shared" si="18"/>
        <v>129762.96508570782</v>
      </c>
      <c r="CK32" s="7">
        <f t="shared" si="19"/>
        <v>161520594572.24292</v>
      </c>
      <c r="CL32" s="875">
        <f t="shared" si="20"/>
        <v>1614.0322950661719</v>
      </c>
      <c r="CM32" s="6">
        <f t="shared" si="21"/>
        <v>1225.9677049338281</v>
      </c>
      <c r="CN32" s="876">
        <f t="shared" si="73"/>
        <v>100072715.43821304</v>
      </c>
      <c r="CO32" s="876">
        <f t="shared" si="74"/>
        <v>131749469.3556883</v>
      </c>
      <c r="CP32" s="1137">
        <f t="shared" si="22"/>
        <v>116187096071.85852</v>
      </c>
      <c r="CQ32" s="1136">
        <f t="shared" si="23"/>
        <v>32916617372.582115</v>
      </c>
      <c r="CR32" s="877">
        <f t="shared" si="24"/>
        <v>129762.96508570782</v>
      </c>
      <c r="CS32" s="874">
        <f t="shared" si="25"/>
        <v>161520594572.24292</v>
      </c>
      <c r="CT32" s="875">
        <f t="shared" si="26"/>
        <v>1614.0322950661719</v>
      </c>
      <c r="CU32" s="878">
        <f t="shared" si="27"/>
        <v>1225.9677049338281</v>
      </c>
      <c r="CV32" s="876">
        <f t="shared" si="28"/>
        <v>100072715.43821304</v>
      </c>
      <c r="CW32" s="876">
        <f t="shared" si="29"/>
        <v>131749469.3556883</v>
      </c>
      <c r="CX32" s="1136">
        <f t="shared" si="30"/>
        <v>116187096071.85852</v>
      </c>
      <c r="CY32" s="1136">
        <f t="shared" si="31"/>
        <v>32916617372.582115</v>
      </c>
      <c r="CZ32" s="877">
        <f t="shared" si="32"/>
        <v>129762.96508570782</v>
      </c>
      <c r="DA32" s="874">
        <f t="shared" si="33"/>
        <v>161520594572.24292</v>
      </c>
      <c r="DB32" s="875">
        <f t="shared" si="34"/>
        <v>1614.0322950661719</v>
      </c>
      <c r="DC32" s="878">
        <f t="shared" si="35"/>
        <v>1225.9677049338281</v>
      </c>
      <c r="DD32" s="876">
        <f t="shared" si="75"/>
        <v>100072715.43821304</v>
      </c>
      <c r="DE32" s="876">
        <f t="shared" si="76"/>
        <v>131749469.3556883</v>
      </c>
      <c r="DF32" s="1136">
        <f t="shared" si="36"/>
        <v>116187096071.85852</v>
      </c>
      <c r="DG32" s="1136">
        <f t="shared" si="37"/>
        <v>32916617372.582115</v>
      </c>
      <c r="DH32" s="877">
        <f t="shared" si="38"/>
        <v>377674.65161772241</v>
      </c>
      <c r="DI32" s="879">
        <f t="shared" si="39"/>
        <v>420265490240.5509</v>
      </c>
      <c r="DJ32" s="878">
        <f t="shared" si="40"/>
        <v>473.81649295745774</v>
      </c>
      <c r="DK32" s="877">
        <f t="shared" si="41"/>
        <v>2366.1835070425423</v>
      </c>
      <c r="DL32" s="876">
        <f t="shared" si="77"/>
        <v>886979445.60212898</v>
      </c>
      <c r="DM32" s="876">
        <f t="shared" si="78"/>
        <v>177613227.7947599</v>
      </c>
      <c r="DN32" s="7">
        <f t="shared" si="42"/>
        <v>741131139204.64526</v>
      </c>
      <c r="DO32" s="1136">
        <f t="shared" si="43"/>
        <v>214476299647.88208</v>
      </c>
      <c r="DP32" s="877">
        <f t="shared" si="44"/>
        <v>212400.1939297127</v>
      </c>
      <c r="DQ32" s="879">
        <f t="shared" si="45"/>
        <v>314430424509.01593</v>
      </c>
      <c r="DR32" s="877">
        <f t="shared" si="46"/>
        <v>938.2158910363737</v>
      </c>
      <c r="DS32" s="877">
        <f t="shared" si="47"/>
        <v>1901.7841089636263</v>
      </c>
      <c r="DT32" s="876">
        <f t="shared" si="79"/>
        <v>335136536.81743681</v>
      </c>
      <c r="DU32" s="876">
        <f t="shared" si="80"/>
        <v>165334447.28401071</v>
      </c>
      <c r="DV32" s="1136">
        <f t="shared" si="48"/>
        <v>324501777116.12073</v>
      </c>
      <c r="DW32" s="1136">
        <f t="shared" si="49"/>
        <v>214476299647.88208</v>
      </c>
      <c r="DX32" s="880">
        <f t="shared" si="50"/>
        <v>142846.91308974591</v>
      </c>
      <c r="DY32" s="874">
        <f t="shared" si="51"/>
        <v>198007849742.18506</v>
      </c>
      <c r="DZ32" s="873">
        <f t="shared" si="52"/>
        <v>1453.8294571168058</v>
      </c>
      <c r="EA32" s="880">
        <f t="shared" si="53"/>
        <v>1386.1705428831942</v>
      </c>
      <c r="EB32" s="876">
        <f t="shared" si="81"/>
        <v>136197439.64664793</v>
      </c>
      <c r="EC32" s="876">
        <f t="shared" si="82"/>
        <v>142845229.80147487</v>
      </c>
      <c r="ED32" s="1136">
        <f t="shared" si="54"/>
        <v>741131139204.64526</v>
      </c>
      <c r="EE32" s="1136">
        <f t="shared" si="55"/>
        <v>214476299647.88208</v>
      </c>
      <c r="EF32" s="880">
        <f t="shared" si="56"/>
        <v>134124.28108705385</v>
      </c>
      <c r="EG32" s="874">
        <f t="shared" si="57"/>
        <v>174471223269.76736</v>
      </c>
      <c r="EH32" s="873">
        <f t="shared" si="58"/>
        <v>1557.158474547349</v>
      </c>
      <c r="EI32" s="880">
        <f t="shared" si="59"/>
        <v>1282.841525452651</v>
      </c>
      <c r="EJ32" s="876">
        <f t="shared" si="83"/>
        <v>112044615.96016069</v>
      </c>
      <c r="EK32" s="876">
        <f t="shared" si="84"/>
        <v>136003722.8356832</v>
      </c>
      <c r="EL32" s="1136">
        <f t="shared" si="85"/>
        <v>324501777116.12073</v>
      </c>
      <c r="EM32" s="1136">
        <f t="shared" si="86"/>
        <v>214476299647.88208</v>
      </c>
      <c r="EN32" s="876"/>
      <c r="EO32" s="1113" t="s">
        <v>2190</v>
      </c>
      <c r="EP32" s="1114">
        <v>129762.965085708</v>
      </c>
      <c r="EQ32" s="1114">
        <v>161520594572.24301</v>
      </c>
      <c r="ER32" s="1115">
        <v>1614.03229506617</v>
      </c>
      <c r="ES32" s="1115">
        <v>1225.96770493383</v>
      </c>
      <c r="ET32" s="1114">
        <v>100072715.43821301</v>
      </c>
      <c r="EU32" s="1114">
        <v>131749469.35568801</v>
      </c>
      <c r="EV32" s="1114">
        <v>116187096071.85899</v>
      </c>
      <c r="EW32" s="1114">
        <v>32916617372.5821</v>
      </c>
      <c r="EX32" s="1114">
        <v>129762.965085708</v>
      </c>
      <c r="EY32" s="1114">
        <v>161520594572.24301</v>
      </c>
      <c r="EZ32" s="1115">
        <v>1614.03229506617</v>
      </c>
      <c r="FA32" s="1115">
        <v>1225.96770493383</v>
      </c>
      <c r="FB32" s="1114">
        <v>100072715.43821301</v>
      </c>
      <c r="FC32" s="1114">
        <v>131749469.35568801</v>
      </c>
      <c r="FD32" s="1114">
        <v>116187096071.85899</v>
      </c>
      <c r="FE32" s="1114">
        <v>32916617372.5821</v>
      </c>
      <c r="FF32" s="1114">
        <v>129762.965085708</v>
      </c>
      <c r="FG32" s="1114">
        <v>161520594572.24301</v>
      </c>
      <c r="FH32" s="1115">
        <v>1614.03229506617</v>
      </c>
      <c r="FI32" s="1115">
        <v>1225.96770493383</v>
      </c>
      <c r="FJ32" s="1114">
        <v>100072715.43821301</v>
      </c>
      <c r="FK32" s="1114">
        <v>131749469.35568801</v>
      </c>
      <c r="FL32" s="1114">
        <v>116187096071.85899</v>
      </c>
      <c r="FM32" s="1114">
        <v>32916617372.5821</v>
      </c>
      <c r="FN32" s="1114">
        <v>377674.65161772299</v>
      </c>
      <c r="FO32" s="1114">
        <v>420265490240.55103</v>
      </c>
      <c r="FP32" s="1115">
        <v>473.816492957457</v>
      </c>
      <c r="FQ32" s="1115">
        <v>2366.18350704254</v>
      </c>
      <c r="FR32" s="1114">
        <v>886979445.60213101</v>
      </c>
      <c r="FS32" s="1114">
        <v>177613227.79475999</v>
      </c>
      <c r="FT32" s="1114">
        <v>741131139204.646</v>
      </c>
      <c r="FU32" s="1114">
        <v>214476299647.88199</v>
      </c>
      <c r="FV32" s="1114">
        <v>212400.19392971299</v>
      </c>
      <c r="FW32" s="1114">
        <v>314430424509.01599</v>
      </c>
      <c r="FX32" s="1115">
        <v>938.21589103637302</v>
      </c>
      <c r="FY32" s="1115">
        <v>1901.7841089636299</v>
      </c>
      <c r="FZ32" s="1114">
        <v>335136536.81743699</v>
      </c>
      <c r="GA32" s="1114">
        <v>165334447.28401101</v>
      </c>
      <c r="GB32" s="1114">
        <v>324501777116.12097</v>
      </c>
      <c r="GC32" s="1114">
        <v>214476299647.88199</v>
      </c>
      <c r="GD32" s="1114">
        <v>142846.913089746</v>
      </c>
      <c r="GE32" s="1114">
        <v>198007849742.185</v>
      </c>
      <c r="GF32" s="1115">
        <v>1453.8294571168101</v>
      </c>
      <c r="GG32" s="1115">
        <v>1386.1705428831899</v>
      </c>
      <c r="GH32" s="1114">
        <v>136197439.64664799</v>
      </c>
      <c r="GI32" s="1114">
        <v>142845229.80147499</v>
      </c>
      <c r="GJ32" s="1114">
        <v>741131139204.646</v>
      </c>
      <c r="GK32" s="1114">
        <v>214476299647.88199</v>
      </c>
      <c r="GL32" s="1114">
        <v>134124.281087054</v>
      </c>
      <c r="GM32" s="1114">
        <v>174471223269.767</v>
      </c>
      <c r="GN32" s="1115">
        <v>1557.1584745473499</v>
      </c>
      <c r="GO32" s="1115">
        <v>1282.8415254526501</v>
      </c>
      <c r="GP32" s="1114">
        <v>112044615.960161</v>
      </c>
      <c r="GQ32" s="1114">
        <v>136003722.83568299</v>
      </c>
      <c r="GR32" s="1114">
        <v>324501777116.12097</v>
      </c>
      <c r="GS32" s="1114">
        <v>214476299647.88199</v>
      </c>
      <c r="GU32" s="1171">
        <f t="shared" si="60"/>
        <v>-1.7462298274040222E-10</v>
      </c>
      <c r="GV32" s="1171">
        <f t="shared" si="61"/>
        <v>0</v>
      </c>
      <c r="GW32" s="1171">
        <f t="shared" si="62"/>
        <v>1.8189894035458565E-12</v>
      </c>
      <c r="GX32" s="1171">
        <f t="shared" si="63"/>
        <v>-1.8189894035458565E-12</v>
      </c>
      <c r="GY32" s="1171">
        <f t="shared" si="64"/>
        <v>0</v>
      </c>
      <c r="GZ32" s="1171">
        <f t="shared" si="65"/>
        <v>2.9802322387695313E-7</v>
      </c>
      <c r="HA32" s="1171">
        <f t="shared" si="87"/>
        <v>-4.730224609375E-4</v>
      </c>
      <c r="HB32" s="1171">
        <f t="shared" si="66"/>
        <v>0</v>
      </c>
      <c r="HC32" s="1171">
        <f t="shared" si="67"/>
        <v>-1.7462298274040222E-10</v>
      </c>
      <c r="HD32" s="1171">
        <f t="shared" si="68"/>
        <v>0</v>
      </c>
      <c r="HE32" s="1171">
        <f t="shared" si="69"/>
        <v>1.8189894035458565E-12</v>
      </c>
      <c r="HF32" s="1171">
        <f t="shared" si="70"/>
        <v>-1.8189894035458565E-12</v>
      </c>
      <c r="HG32" s="1171">
        <f t="shared" si="89"/>
        <v>0</v>
      </c>
      <c r="HH32" s="1171">
        <f t="shared" si="90"/>
        <v>2.9802322387695313E-7</v>
      </c>
      <c r="HI32" s="1171">
        <f t="shared" si="91"/>
        <v>-4.730224609375E-4</v>
      </c>
      <c r="HJ32" s="1171">
        <f t="shared" si="92"/>
        <v>0</v>
      </c>
      <c r="HK32" s="1171">
        <f t="shared" si="93"/>
        <v>-1.7462298274040222E-10</v>
      </c>
      <c r="HL32" s="1171">
        <f t="shared" si="94"/>
        <v>0</v>
      </c>
      <c r="HM32" s="1171">
        <f t="shared" si="95"/>
        <v>1.8189894035458565E-12</v>
      </c>
      <c r="HN32" s="1171">
        <f t="shared" si="96"/>
        <v>-1.8189894035458565E-12</v>
      </c>
      <c r="HO32" s="1171">
        <f t="shared" si="97"/>
        <v>0</v>
      </c>
      <c r="HP32" s="1171">
        <f t="shared" si="98"/>
        <v>2.9802322387695313E-7</v>
      </c>
      <c r="HQ32" s="1171">
        <f t="shared" si="99"/>
        <v>-4.730224609375E-4</v>
      </c>
      <c r="HR32" s="1171">
        <f t="shared" si="100"/>
        <v>0</v>
      </c>
      <c r="HS32" s="1171">
        <f t="shared" si="101"/>
        <v>-5.8207660913467407E-10</v>
      </c>
      <c r="HT32" s="1171">
        <f t="shared" si="102"/>
        <v>0</v>
      </c>
      <c r="HU32" s="1171">
        <f t="shared" si="103"/>
        <v>7.3896444519050419E-13</v>
      </c>
      <c r="HV32" s="1171">
        <f t="shared" si="104"/>
        <v>0</v>
      </c>
      <c r="HW32" s="1171">
        <f t="shared" si="105"/>
        <v>-2.0265579223632813E-6</v>
      </c>
      <c r="HX32" s="1171">
        <f t="shared" si="106"/>
        <v>0</v>
      </c>
      <c r="HY32" s="1171">
        <f t="shared" si="107"/>
        <v>0</v>
      </c>
      <c r="HZ32" s="1171">
        <f t="shared" si="108"/>
        <v>0</v>
      </c>
      <c r="IA32" s="1171">
        <f t="shared" si="109"/>
        <v>-2.9103830456733704E-10</v>
      </c>
      <c r="IB32" s="1171">
        <f t="shared" si="110"/>
        <v>0</v>
      </c>
      <c r="IC32" s="1171">
        <f t="shared" si="111"/>
        <v>0</v>
      </c>
      <c r="ID32" s="1171">
        <f t="shared" si="112"/>
        <v>-3.637978807091713E-12</v>
      </c>
      <c r="IE32" s="1171">
        <f t="shared" si="113"/>
        <v>0</v>
      </c>
      <c r="IF32" s="1171">
        <f t="shared" si="114"/>
        <v>-2.9802322387695313E-7</v>
      </c>
      <c r="IG32" s="1171">
        <f t="shared" si="115"/>
        <v>0</v>
      </c>
      <c r="IH32" s="1171">
        <f t="shared" si="116"/>
        <v>0</v>
      </c>
      <c r="II32" s="1171">
        <f t="shared" si="117"/>
        <v>0</v>
      </c>
      <c r="IJ32" s="1171">
        <f t="shared" si="118"/>
        <v>0</v>
      </c>
      <c r="IK32" s="1171">
        <f t="shared" si="119"/>
        <v>-4.3200998334214091E-12</v>
      </c>
      <c r="IL32" s="1171">
        <f t="shared" si="120"/>
        <v>4.3200998334214091E-12</v>
      </c>
      <c r="IM32" s="1171">
        <f t="shared" si="121"/>
        <v>0</v>
      </c>
      <c r="IN32" s="1171">
        <f t="shared" si="122"/>
        <v>0</v>
      </c>
      <c r="IO32" s="1171">
        <f t="shared" si="123"/>
        <v>0</v>
      </c>
      <c r="IP32" s="1171">
        <f t="shared" si="124"/>
        <v>0</v>
      </c>
      <c r="IQ32" s="1171">
        <f t="shared" si="125"/>
        <v>0</v>
      </c>
      <c r="IR32" s="1171">
        <f t="shared" si="126"/>
        <v>3.662109375E-4</v>
      </c>
      <c r="IS32" s="1171">
        <f t="shared" si="127"/>
        <v>0</v>
      </c>
      <c r="IT32" s="1171">
        <f t="shared" si="128"/>
        <v>0</v>
      </c>
      <c r="IU32" s="1171">
        <f t="shared" si="129"/>
        <v>-3.1292438507080078E-7</v>
      </c>
      <c r="IV32" s="1171">
        <f t="shared" si="130"/>
        <v>0</v>
      </c>
      <c r="IW32" s="1171">
        <f t="shared" si="131"/>
        <v>0</v>
      </c>
      <c r="IX32" s="1171">
        <f t="shared" si="132"/>
        <v>0</v>
      </c>
    </row>
    <row r="33" spans="1:258" s="871" customFormat="1">
      <c r="A33" s="871">
        <v>116</v>
      </c>
      <c r="B33" s="871" t="str">
        <f t="shared" ref="B33" si="158">LEFT(B31,3)+1&amp;"i"</f>
        <v>116i</v>
      </c>
      <c r="C33" s="871">
        <v>66.900000000000006</v>
      </c>
      <c r="D33" s="871">
        <v>0</v>
      </c>
      <c r="E33" s="871" t="s">
        <v>2092</v>
      </c>
      <c r="F33" s="26">
        <v>2</v>
      </c>
      <c r="G33" s="136">
        <v>600</v>
      </c>
      <c r="H33" s="136">
        <v>26</v>
      </c>
      <c r="I33" s="28">
        <v>250</v>
      </c>
      <c r="J33" s="26">
        <v>1937</v>
      </c>
      <c r="K33" s="136">
        <v>24</v>
      </c>
      <c r="L33" s="28">
        <v>120</v>
      </c>
      <c r="M33" s="26">
        <v>2814</v>
      </c>
      <c r="N33" s="28">
        <v>12</v>
      </c>
      <c r="O33" s="397">
        <v>0</v>
      </c>
      <c r="P33" s="26">
        <v>290</v>
      </c>
      <c r="Q33" s="397">
        <f>+Section!L94</f>
        <v>5500</v>
      </c>
      <c r="R33" s="169">
        <v>0</v>
      </c>
      <c r="S33" s="210">
        <v>0</v>
      </c>
      <c r="T33" s="210">
        <v>1200</v>
      </c>
      <c r="U33" s="210">
        <v>2400</v>
      </c>
      <c r="V33" s="872">
        <v>3800</v>
      </c>
      <c r="W33" s="210">
        <v>19</v>
      </c>
      <c r="X33" s="210">
        <v>200</v>
      </c>
      <c r="Y33" s="210">
        <v>50</v>
      </c>
      <c r="Z33" s="210">
        <v>16</v>
      </c>
      <c r="AA33" s="210">
        <v>200</v>
      </c>
      <c r="AB33" s="872">
        <v>40</v>
      </c>
      <c r="AC33" s="210">
        <v>0</v>
      </c>
      <c r="AD33" s="397">
        <v>2</v>
      </c>
      <c r="AE33" s="210">
        <v>160</v>
      </c>
      <c r="AF33" s="210">
        <v>16</v>
      </c>
      <c r="AG33" s="397">
        <v>0</v>
      </c>
      <c r="AH33" s="210">
        <v>0</v>
      </c>
      <c r="AI33" s="210">
        <v>0</v>
      </c>
      <c r="AJ33" s="397">
        <v>2</v>
      </c>
      <c r="AK33" s="210">
        <v>2500</v>
      </c>
      <c r="AL33" s="210">
        <v>5000</v>
      </c>
      <c r="AM33" s="210" t="s">
        <v>2316</v>
      </c>
      <c r="AN33" s="210">
        <v>2500</v>
      </c>
      <c r="AO33" s="1143" t="s">
        <v>2321</v>
      </c>
      <c r="AP33" s="1143" t="s">
        <v>2321</v>
      </c>
      <c r="AQ33" s="136">
        <v>180</v>
      </c>
      <c r="AR33" s="136">
        <v>16</v>
      </c>
      <c r="AS33" s="1143" t="s">
        <v>2448</v>
      </c>
      <c r="AT33" s="136">
        <v>120</v>
      </c>
      <c r="AU33" s="136">
        <v>12</v>
      </c>
      <c r="AV33" s="1111"/>
      <c r="AW33" s="1111"/>
      <c r="AX33" s="1111"/>
      <c r="AY33" s="1111"/>
      <c r="AZ33" s="1108">
        <v>8</v>
      </c>
      <c r="BA33" s="1108">
        <v>6</v>
      </c>
      <c r="BB33" s="1111"/>
      <c r="BC33" s="1168"/>
      <c r="BD33" s="210">
        <f>INDEX(Spec!$B$12:$P$58,MATCH(AO33,Spec!$A$12:$A$58,0),6)*100</f>
        <v>1900</v>
      </c>
      <c r="BE33" s="210">
        <f>INDEX(Spec!$B$12:$P$58,MATCH(AP33,Spec!$A$12:$A$58,0),6)*100</f>
        <v>1900</v>
      </c>
      <c r="BF33" s="881">
        <f t="shared" si="0"/>
        <v>0.6983621343021752</v>
      </c>
      <c r="BG33" s="881">
        <f t="shared" si="1"/>
        <v>47.243485714285718</v>
      </c>
      <c r="BH33" s="881"/>
      <c r="BI33" s="13" cm="1">
        <f t="array" ref="BI33">INDEX(Info!$AD$4:$AH$15,MATCH(Info!$I$13,Info!$AC$4:$AC$15,0),IF(H33&lt;=16,1,IF(H33&lt;=40,2,IF(H33&lt;=75,3,IF(H33&lt;=100,4,5)))))</f>
        <v>380</v>
      </c>
      <c r="BJ33" s="13" cm="1">
        <f t="array" ref="BJ33">INDEX(Info!$AD$4:$AH$15,MATCH(Info!$I$13,Info!$AC$4:$AC$15,0),IF(K33&lt;=16,1,IF(K33&lt;=40,2,IF(K33&lt;=75,3,IF(K33&lt;=100,4,5)))))</f>
        <v>380</v>
      </c>
      <c r="BK33" s="13" cm="1">
        <f t="array" ref="BK33">INDEX(Info!$AD$4:$AH$15,MATCH(Info!$I$14,Info!$AC$4:$AC$15,0),IF(N33&lt;=16,1,IF(N33&lt;=40,2,IF(N33&lt;=75,3,IF(N33&lt;=100,4,5)))))</f>
        <v>355</v>
      </c>
      <c r="BL33" s="13">
        <f>IF(Stress!C862="Positive",MAX(MIN(0.7*BI33,BK33),0.5*BI33),MAX(MIN(0.7*BJ33,BK33),0.5*BJ33))</f>
        <v>266</v>
      </c>
      <c r="BM33" s="13" cm="1">
        <f t="array" ref="BM33">INDEX(Info!$AD$4:$AH$15,MATCH(Info!$I$13,Info!$AC$4:$AC$15,0),IF(AI33&lt;=16,1,IF(AI33&lt;=40,2,IF(AI33&lt;=75,3,IF(AI33&lt;=100,4,5)))))</f>
        <v>380</v>
      </c>
      <c r="BN33" s="13" cm="1">
        <f t="array" ref="BN33">INDEX(Info!$AD$4:$AH$15,MATCH(Info!$I$13,Info!$AC$4:$AC$15,0),IF(AF33&lt;=16,1,IF(AF33&lt;=40,2,IF(AF33&lt;=75,3,IF(AF33&lt;=100,4,5)))))</f>
        <v>380</v>
      </c>
      <c r="BO33" s="13"/>
      <c r="BP33" s="873">
        <f t="shared" si="2"/>
        <v>0.12491115849324805</v>
      </c>
      <c r="BQ33" s="873">
        <f t="shared" si="3"/>
        <v>2835.8681651303891</v>
      </c>
      <c r="BR33" s="873">
        <f t="shared" si="72"/>
        <v>3128</v>
      </c>
      <c r="BS33" s="873"/>
      <c r="BT33" s="871">
        <f t="shared" si="4"/>
        <v>0</v>
      </c>
      <c r="BU33" s="136">
        <f t="shared" si="5"/>
        <v>0</v>
      </c>
      <c r="BV33" s="871">
        <f t="shared" si="6"/>
        <v>1595000</v>
      </c>
      <c r="BW33" s="871">
        <f t="shared" si="7"/>
        <v>11178291666.666666</v>
      </c>
      <c r="BX33" s="871">
        <f t="shared" si="8"/>
        <v>0</v>
      </c>
      <c r="BY33" s="871">
        <f t="shared" si="9"/>
        <v>0</v>
      </c>
      <c r="BZ33" s="871">
        <f t="shared" si="10"/>
        <v>7655.2758986349281</v>
      </c>
      <c r="CA33" s="871">
        <f t="shared" si="11"/>
        <v>172722.16246295057</v>
      </c>
      <c r="CB33" s="871">
        <f t="shared" si="12"/>
        <v>5428.6721054031623</v>
      </c>
      <c r="CC33" s="871">
        <f t="shared" si="13"/>
        <v>86858.753686450596</v>
      </c>
      <c r="CE33" s="1137">
        <f t="shared" si="14"/>
        <v>350792629.15766376</v>
      </c>
      <c r="CF33" s="1136">
        <f t="shared" si="15"/>
        <v>409682062.22222221</v>
      </c>
      <c r="CG33" s="1136">
        <f t="shared" si="16"/>
        <v>0</v>
      </c>
      <c r="CH33" s="172">
        <f t="shared" si="17"/>
        <v>4020729166666.6665</v>
      </c>
      <c r="CJ33" s="136">
        <f t="shared" si="18"/>
        <v>150868.83596312936</v>
      </c>
      <c r="CK33" s="7">
        <f t="shared" si="19"/>
        <v>205093687196.7587</v>
      </c>
      <c r="CL33" s="875">
        <f t="shared" si="20"/>
        <v>1621.6188875146788</v>
      </c>
      <c r="CM33" s="6">
        <f t="shared" si="21"/>
        <v>1242.3811124853212</v>
      </c>
      <c r="CN33" s="876">
        <f t="shared" si="73"/>
        <v>126474653.67839223</v>
      </c>
      <c r="CO33" s="876">
        <f t="shared" si="74"/>
        <v>165081137.45103469</v>
      </c>
      <c r="CP33" s="1137">
        <f t="shared" si="22"/>
        <v>130091730802.94354</v>
      </c>
      <c r="CQ33" s="1136">
        <f t="shared" si="23"/>
        <v>33605814213.029976</v>
      </c>
      <c r="CR33" s="877">
        <f t="shared" si="24"/>
        <v>150868.83596312936</v>
      </c>
      <c r="CS33" s="874">
        <f t="shared" si="25"/>
        <v>205093687196.7587</v>
      </c>
      <c r="CT33" s="875">
        <f t="shared" si="26"/>
        <v>1621.6188875146788</v>
      </c>
      <c r="CU33" s="878">
        <f t="shared" si="27"/>
        <v>1242.3811124853212</v>
      </c>
      <c r="CV33" s="876">
        <f t="shared" si="28"/>
        <v>126474653.67839223</v>
      </c>
      <c r="CW33" s="876">
        <f t="shared" si="29"/>
        <v>165081137.45103469</v>
      </c>
      <c r="CX33" s="1136">
        <f t="shared" si="30"/>
        <v>130091730802.94354</v>
      </c>
      <c r="CY33" s="1136">
        <f t="shared" si="31"/>
        <v>33605814213.029976</v>
      </c>
      <c r="CZ33" s="877">
        <f t="shared" si="32"/>
        <v>150868.83596312936</v>
      </c>
      <c r="DA33" s="874">
        <f t="shared" si="33"/>
        <v>205093687196.7587</v>
      </c>
      <c r="DB33" s="875">
        <f t="shared" si="34"/>
        <v>1621.6188875146788</v>
      </c>
      <c r="DC33" s="878">
        <f t="shared" si="35"/>
        <v>1242.3811124853212</v>
      </c>
      <c r="DD33" s="876">
        <f t="shared" si="75"/>
        <v>126474653.67839223</v>
      </c>
      <c r="DE33" s="876">
        <f t="shared" si="76"/>
        <v>165081137.45103469</v>
      </c>
      <c r="DF33" s="1136">
        <f t="shared" si="36"/>
        <v>130091730802.94354</v>
      </c>
      <c r="DG33" s="1136">
        <f t="shared" si="37"/>
        <v>33605814213.029976</v>
      </c>
      <c r="DH33" s="877">
        <f t="shared" si="38"/>
        <v>398780.52249514393</v>
      </c>
      <c r="DI33" s="879">
        <f t="shared" si="39"/>
        <v>490995741742.52405</v>
      </c>
      <c r="DJ33" s="878">
        <f t="shared" si="40"/>
        <v>539.52049084963664</v>
      </c>
      <c r="DK33" s="877">
        <f t="shared" si="41"/>
        <v>2324.4795091503634</v>
      </c>
      <c r="DL33" s="876">
        <f t="shared" si="77"/>
        <v>910059488.13789105</v>
      </c>
      <c r="DM33" s="876">
        <f t="shared" si="78"/>
        <v>211228251.2320323</v>
      </c>
      <c r="DN33" s="7">
        <f t="shared" si="42"/>
        <v>755035773935.73022</v>
      </c>
      <c r="DO33" s="1136">
        <f t="shared" si="43"/>
        <v>225610305113.07498</v>
      </c>
      <c r="DP33" s="877">
        <f t="shared" si="44"/>
        <v>233506.06480713421</v>
      </c>
      <c r="DQ33" s="879">
        <f t="shared" si="45"/>
        <v>367437814540.55322</v>
      </c>
      <c r="DR33" s="877">
        <f t="shared" si="46"/>
        <v>1005.6180934601296</v>
      </c>
      <c r="DS33" s="877">
        <f t="shared" si="47"/>
        <v>1858.3819065398704</v>
      </c>
      <c r="DT33" s="876">
        <f t="shared" si="79"/>
        <v>365385047.1964696</v>
      </c>
      <c r="DU33" s="876">
        <f t="shared" si="80"/>
        <v>197719216.51168427</v>
      </c>
      <c r="DV33" s="1136">
        <f t="shared" si="48"/>
        <v>338406411847.20581</v>
      </c>
      <c r="DW33" s="1136">
        <f t="shared" si="49"/>
        <v>225610305113.07498</v>
      </c>
      <c r="DX33" s="880">
        <f t="shared" si="50"/>
        <v>163952.78396716746</v>
      </c>
      <c r="DY33" s="874">
        <f t="shared" si="51"/>
        <v>242204101540.91312</v>
      </c>
      <c r="DZ33" s="873">
        <f t="shared" si="52"/>
        <v>1481.7529632923504</v>
      </c>
      <c r="EA33" s="880">
        <f t="shared" si="53"/>
        <v>1382.2470367076496</v>
      </c>
      <c r="EB33" s="876">
        <f t="shared" si="81"/>
        <v>163457814.85920078</v>
      </c>
      <c r="EC33" s="876">
        <f t="shared" si="82"/>
        <v>175224901.9956772</v>
      </c>
      <c r="ED33" s="1136">
        <f t="shared" si="54"/>
        <v>755035773935.73022</v>
      </c>
      <c r="EE33" s="1136">
        <f t="shared" si="55"/>
        <v>225610305113.07498</v>
      </c>
      <c r="EF33" s="880">
        <f t="shared" si="56"/>
        <v>155230.1519644754</v>
      </c>
      <c r="EG33" s="874">
        <f t="shared" si="57"/>
        <v>218156538693.52585</v>
      </c>
      <c r="EH33" s="873">
        <f t="shared" si="58"/>
        <v>1572.3771489989135</v>
      </c>
      <c r="EI33" s="880">
        <f t="shared" si="59"/>
        <v>1291.6228510010865</v>
      </c>
      <c r="EJ33" s="876">
        <f t="shared" si="83"/>
        <v>138743137.31436488</v>
      </c>
      <c r="EK33" s="876">
        <f t="shared" si="84"/>
        <v>168901114.22575191</v>
      </c>
      <c r="EL33" s="1136">
        <f t="shared" si="85"/>
        <v>338406411847.20581</v>
      </c>
      <c r="EM33" s="1136">
        <f t="shared" si="86"/>
        <v>225610305113.07498</v>
      </c>
      <c r="EN33" s="876"/>
      <c r="EO33" s="1113" t="s">
        <v>2191</v>
      </c>
      <c r="EP33" s="1114">
        <v>150868.83596312901</v>
      </c>
      <c r="EQ33" s="1114">
        <v>205093687196.759</v>
      </c>
      <c r="ER33" s="1115">
        <v>1621.61888751468</v>
      </c>
      <c r="ES33" s="1115">
        <v>1242.38111248532</v>
      </c>
      <c r="ET33" s="1114">
        <v>126474653.67839199</v>
      </c>
      <c r="EU33" s="1114">
        <v>165081137.45103499</v>
      </c>
      <c r="EV33" s="1114">
        <v>130091730802.944</v>
      </c>
      <c r="EW33" s="1114">
        <v>33605814213.029999</v>
      </c>
      <c r="EX33" s="1114">
        <v>150868.83596312901</v>
      </c>
      <c r="EY33" s="1114">
        <v>205093687196.759</v>
      </c>
      <c r="EZ33" s="1115">
        <v>1621.61888751468</v>
      </c>
      <c r="FA33" s="1115">
        <v>1242.38111248532</v>
      </c>
      <c r="FB33" s="1114">
        <v>126474653.67839199</v>
      </c>
      <c r="FC33" s="1114">
        <v>165081137.45103499</v>
      </c>
      <c r="FD33" s="1114">
        <v>130091730802.944</v>
      </c>
      <c r="FE33" s="1114">
        <v>33605814213.029999</v>
      </c>
      <c r="FF33" s="1114">
        <v>150868.83596312901</v>
      </c>
      <c r="FG33" s="1114">
        <v>205093687196.759</v>
      </c>
      <c r="FH33" s="1115">
        <v>1621.61888751468</v>
      </c>
      <c r="FI33" s="1115">
        <v>1242.38111248532</v>
      </c>
      <c r="FJ33" s="1114">
        <v>126474653.67839199</v>
      </c>
      <c r="FK33" s="1114">
        <v>165081137.45103499</v>
      </c>
      <c r="FL33" s="1114">
        <v>130091730802.944</v>
      </c>
      <c r="FM33" s="1114">
        <v>33605814213.029999</v>
      </c>
      <c r="FN33" s="1114">
        <v>398780.52249514399</v>
      </c>
      <c r="FO33" s="1114">
        <v>490995741742.52399</v>
      </c>
      <c r="FP33" s="1115">
        <v>539.52049084963596</v>
      </c>
      <c r="FQ33" s="1115">
        <v>2324.4795091503602</v>
      </c>
      <c r="FR33" s="1114">
        <v>910059488.13789201</v>
      </c>
      <c r="FS33" s="1114">
        <v>211228251.232032</v>
      </c>
      <c r="FT33" s="1114">
        <v>755035773935.73096</v>
      </c>
      <c r="FU33" s="1114">
        <v>225610305113.07501</v>
      </c>
      <c r="FV33" s="1114">
        <v>233506.06480713401</v>
      </c>
      <c r="FW33" s="1114">
        <v>367437814540.55298</v>
      </c>
      <c r="FX33" s="1115">
        <v>1005.61809346013</v>
      </c>
      <c r="FY33" s="1115">
        <v>1858.38190653987</v>
      </c>
      <c r="FZ33" s="1114">
        <v>365385047.19647002</v>
      </c>
      <c r="GA33" s="1114">
        <v>197719216.511684</v>
      </c>
      <c r="GB33" s="1114">
        <v>338406411847.20599</v>
      </c>
      <c r="GC33" s="1114">
        <v>225610305113.07501</v>
      </c>
      <c r="GD33" s="1114">
        <v>163952.78396716699</v>
      </c>
      <c r="GE33" s="1114">
        <v>242204101540.91299</v>
      </c>
      <c r="GF33" s="1115">
        <v>1481.7529632923499</v>
      </c>
      <c r="GG33" s="1115">
        <v>1382.2470367076501</v>
      </c>
      <c r="GH33" s="1114">
        <v>163457814.85920101</v>
      </c>
      <c r="GI33" s="1114">
        <v>175224901.99567699</v>
      </c>
      <c r="GJ33" s="1114">
        <v>755035773935.73096</v>
      </c>
      <c r="GK33" s="1114">
        <v>225610305113.07501</v>
      </c>
      <c r="GL33" s="1114">
        <v>155230.15196447499</v>
      </c>
      <c r="GM33" s="1114">
        <v>218156538693.526</v>
      </c>
      <c r="GN33" s="1115">
        <v>1572.3771489989099</v>
      </c>
      <c r="GO33" s="1115">
        <v>1291.6228510010901</v>
      </c>
      <c r="GP33" s="1114">
        <v>138743137.314365</v>
      </c>
      <c r="GQ33" s="1114">
        <v>168901114.225752</v>
      </c>
      <c r="GR33" s="1114">
        <v>338406411847.20599</v>
      </c>
      <c r="GS33" s="1114">
        <v>225610305113.07501</v>
      </c>
      <c r="GU33" s="1171">
        <f t="shared" si="60"/>
        <v>3.4924596548080444E-10</v>
      </c>
      <c r="GV33" s="1171">
        <f t="shared" si="61"/>
        <v>-3.0517578125E-4</v>
      </c>
      <c r="GW33" s="1171">
        <f t="shared" si="62"/>
        <v>0</v>
      </c>
      <c r="GX33" s="1171">
        <f t="shared" si="63"/>
        <v>0</v>
      </c>
      <c r="GY33" s="1171">
        <f t="shared" si="64"/>
        <v>2.384185791015625E-7</v>
      </c>
      <c r="GZ33" s="1171">
        <f t="shared" si="65"/>
        <v>-2.9802322387695313E-7</v>
      </c>
      <c r="HA33" s="1171">
        <f t="shared" si="87"/>
        <v>-4.57763671875E-4</v>
      </c>
      <c r="HB33" s="1171">
        <f t="shared" si="66"/>
        <v>0</v>
      </c>
      <c r="HC33" s="1171">
        <f t="shared" si="67"/>
        <v>3.4924596548080444E-10</v>
      </c>
      <c r="HD33" s="1171">
        <f t="shared" si="68"/>
        <v>-3.0517578125E-4</v>
      </c>
      <c r="HE33" s="1171">
        <f t="shared" si="69"/>
        <v>0</v>
      </c>
      <c r="HF33" s="1171">
        <f t="shared" si="70"/>
        <v>0</v>
      </c>
      <c r="HG33" s="1171">
        <f t="shared" si="89"/>
        <v>2.384185791015625E-7</v>
      </c>
      <c r="HH33" s="1171">
        <f t="shared" si="90"/>
        <v>-2.9802322387695313E-7</v>
      </c>
      <c r="HI33" s="1171">
        <f t="shared" si="91"/>
        <v>-4.57763671875E-4</v>
      </c>
      <c r="HJ33" s="1171">
        <f t="shared" si="92"/>
        <v>0</v>
      </c>
      <c r="HK33" s="1171">
        <f t="shared" si="93"/>
        <v>3.4924596548080444E-10</v>
      </c>
      <c r="HL33" s="1171">
        <f t="shared" si="94"/>
        <v>-3.0517578125E-4</v>
      </c>
      <c r="HM33" s="1171">
        <f t="shared" si="95"/>
        <v>0</v>
      </c>
      <c r="HN33" s="1171">
        <f t="shared" si="96"/>
        <v>0</v>
      </c>
      <c r="HO33" s="1171">
        <f t="shared" si="97"/>
        <v>2.384185791015625E-7</v>
      </c>
      <c r="HP33" s="1171">
        <f t="shared" si="98"/>
        <v>-2.9802322387695313E-7</v>
      </c>
      <c r="HQ33" s="1171">
        <f t="shared" si="99"/>
        <v>-4.57763671875E-4</v>
      </c>
      <c r="HR33" s="1171">
        <f t="shared" si="100"/>
        <v>0</v>
      </c>
      <c r="HS33" s="1171">
        <f t="shared" si="101"/>
        <v>0</v>
      </c>
      <c r="HT33" s="1171">
        <f t="shared" si="102"/>
        <v>0</v>
      </c>
      <c r="HU33" s="1171">
        <f t="shared" si="103"/>
        <v>0</v>
      </c>
      <c r="HV33" s="1171">
        <f t="shared" si="104"/>
        <v>0</v>
      </c>
      <c r="HW33" s="1171">
        <f t="shared" si="105"/>
        <v>-9.5367431640625E-7</v>
      </c>
      <c r="HX33" s="1171">
        <f t="shared" si="106"/>
        <v>2.9802322387695313E-7</v>
      </c>
      <c r="HY33" s="1171">
        <f t="shared" si="107"/>
        <v>0</v>
      </c>
      <c r="HZ33" s="1171">
        <f t="shared" si="108"/>
        <v>0</v>
      </c>
      <c r="IA33" s="1171">
        <f t="shared" si="109"/>
        <v>0</v>
      </c>
      <c r="IB33" s="1171">
        <f t="shared" si="110"/>
        <v>0</v>
      </c>
      <c r="IC33" s="1171">
        <f t="shared" si="111"/>
        <v>0</v>
      </c>
      <c r="ID33" s="1171">
        <f t="shared" si="112"/>
        <v>0</v>
      </c>
      <c r="IE33" s="1171">
        <f t="shared" si="113"/>
        <v>0</v>
      </c>
      <c r="IF33" s="1171">
        <f t="shared" si="114"/>
        <v>2.6822090148925781E-7</v>
      </c>
      <c r="IG33" s="1171">
        <f t="shared" si="115"/>
        <v>0</v>
      </c>
      <c r="IH33" s="1171">
        <f t="shared" si="116"/>
        <v>0</v>
      </c>
      <c r="II33" s="1171">
        <f t="shared" si="117"/>
        <v>4.6566128730773926E-10</v>
      </c>
      <c r="IJ33" s="1171">
        <f t="shared" si="118"/>
        <v>0</v>
      </c>
      <c r="IK33" s="1171">
        <f t="shared" si="119"/>
        <v>0</v>
      </c>
      <c r="IL33" s="1171">
        <f t="shared" si="120"/>
        <v>0</v>
      </c>
      <c r="IM33" s="1171">
        <f t="shared" si="121"/>
        <v>-2.384185791015625E-7</v>
      </c>
      <c r="IN33" s="1171">
        <f t="shared" si="122"/>
        <v>0</v>
      </c>
      <c r="IO33" s="1171">
        <f t="shared" si="123"/>
        <v>0</v>
      </c>
      <c r="IP33" s="1171">
        <f t="shared" si="124"/>
        <v>0</v>
      </c>
      <c r="IQ33" s="1171">
        <f t="shared" si="125"/>
        <v>4.0745362639427185E-10</v>
      </c>
      <c r="IR33" s="1171">
        <f t="shared" si="126"/>
        <v>0</v>
      </c>
      <c r="IS33" s="1171">
        <f t="shared" si="127"/>
        <v>3.637978807091713E-12</v>
      </c>
      <c r="IT33" s="1171">
        <f t="shared" si="128"/>
        <v>-3.637978807091713E-12</v>
      </c>
      <c r="IU33" s="1171">
        <f t="shared" si="129"/>
        <v>0</v>
      </c>
      <c r="IV33" s="1171">
        <f t="shared" si="130"/>
        <v>0</v>
      </c>
      <c r="IW33" s="1171">
        <f t="shared" si="131"/>
        <v>0</v>
      </c>
      <c r="IX33" s="1171">
        <f t="shared" si="132"/>
        <v>0</v>
      </c>
    </row>
    <row r="34" spans="1:258" s="871" customFormat="1">
      <c r="B34" s="871" t="str">
        <f t="shared" ref="B34" si="159">LEFT(B32,3)+1&amp;"j"</f>
        <v>116j</v>
      </c>
      <c r="C34" s="871">
        <v>71.900000000000006</v>
      </c>
      <c r="D34" s="871">
        <v>0</v>
      </c>
      <c r="E34" s="871" t="s">
        <v>2092</v>
      </c>
      <c r="F34" s="26">
        <v>2</v>
      </c>
      <c r="G34" s="136">
        <v>600</v>
      </c>
      <c r="H34" s="136">
        <v>26</v>
      </c>
      <c r="I34" s="28">
        <v>250</v>
      </c>
      <c r="J34" s="26">
        <v>1937</v>
      </c>
      <c r="K34" s="136">
        <v>24</v>
      </c>
      <c r="L34" s="28">
        <v>120</v>
      </c>
      <c r="M34" s="26">
        <v>2814</v>
      </c>
      <c r="N34" s="28">
        <v>12</v>
      </c>
      <c r="O34" s="397">
        <v>0</v>
      </c>
      <c r="P34" s="26">
        <v>290</v>
      </c>
      <c r="Q34" s="397">
        <f>+Section!L95</f>
        <v>5500</v>
      </c>
      <c r="R34" s="169">
        <v>0</v>
      </c>
      <c r="S34" s="210">
        <v>0</v>
      </c>
      <c r="T34" s="210">
        <v>1200</v>
      </c>
      <c r="U34" s="210">
        <v>2400</v>
      </c>
      <c r="V34" s="872">
        <v>3800</v>
      </c>
      <c r="W34" s="210">
        <v>19</v>
      </c>
      <c r="X34" s="210">
        <v>200</v>
      </c>
      <c r="Y34" s="210">
        <v>50</v>
      </c>
      <c r="Z34" s="210">
        <v>16</v>
      </c>
      <c r="AA34" s="210">
        <v>200</v>
      </c>
      <c r="AB34" s="872">
        <v>40</v>
      </c>
      <c r="AC34" s="210">
        <v>0</v>
      </c>
      <c r="AD34" s="397">
        <v>2</v>
      </c>
      <c r="AE34" s="210">
        <v>160</v>
      </c>
      <c r="AF34" s="210">
        <v>16</v>
      </c>
      <c r="AG34" s="397">
        <v>0</v>
      </c>
      <c r="AH34" s="210">
        <v>0</v>
      </c>
      <c r="AI34" s="210">
        <v>0</v>
      </c>
      <c r="AJ34" s="397">
        <v>2</v>
      </c>
      <c r="AK34" s="210">
        <v>2500</v>
      </c>
      <c r="AL34" s="210">
        <v>5000</v>
      </c>
      <c r="AM34" s="210" t="s">
        <v>2316</v>
      </c>
      <c r="AN34" s="210">
        <v>2500</v>
      </c>
      <c r="AO34" s="1143" t="s">
        <v>2321</v>
      </c>
      <c r="AP34" s="1143" t="s">
        <v>2321</v>
      </c>
      <c r="AQ34" s="136">
        <v>180</v>
      </c>
      <c r="AR34" s="136">
        <v>16</v>
      </c>
      <c r="AS34" s="1143" t="s">
        <v>2448</v>
      </c>
      <c r="AT34" s="136">
        <v>120</v>
      </c>
      <c r="AU34" s="136">
        <v>12</v>
      </c>
      <c r="AV34" s="1109" t="s">
        <v>2157</v>
      </c>
      <c r="AW34" s="1109">
        <v>12</v>
      </c>
      <c r="AX34" s="1109">
        <v>400</v>
      </c>
      <c r="AY34" s="1109">
        <v>1000</v>
      </c>
      <c r="AZ34" s="1108">
        <v>8</v>
      </c>
      <c r="BA34" s="1108">
        <v>6</v>
      </c>
      <c r="BB34" s="1109"/>
      <c r="BC34" s="1168"/>
      <c r="BD34" s="210">
        <f>INDEX(Spec!$B$12:$P$58,MATCH(AO34,Spec!$A$12:$A$58,0),6)*100</f>
        <v>1900</v>
      </c>
      <c r="BE34" s="210">
        <f>INDEX(Spec!$B$12:$P$58,MATCH(AP34,Spec!$A$12:$A$58,0),6)*100</f>
        <v>1900</v>
      </c>
      <c r="BF34" s="881">
        <f t="shared" si="0"/>
        <v>0.6983621343021752</v>
      </c>
      <c r="BG34" s="881">
        <f t="shared" si="1"/>
        <v>47.243485714285718</v>
      </c>
      <c r="BH34" s="881"/>
      <c r="BI34" s="13" cm="1">
        <f t="array" ref="BI34">INDEX(Info!$AD$4:$AH$15,MATCH(Info!$I$13,Info!$AC$4:$AC$15,0),IF(H34&lt;=16,1,IF(H34&lt;=40,2,IF(H34&lt;=75,3,IF(H34&lt;=100,4,5)))))</f>
        <v>380</v>
      </c>
      <c r="BJ34" s="13" cm="1">
        <f t="array" ref="BJ34">INDEX(Info!$AD$4:$AH$15,MATCH(Info!$I$13,Info!$AC$4:$AC$15,0),IF(K34&lt;=16,1,IF(K34&lt;=40,2,IF(K34&lt;=75,3,IF(K34&lt;=100,4,5)))))</f>
        <v>380</v>
      </c>
      <c r="BK34" s="13" cm="1">
        <f t="array" ref="BK34">INDEX(Info!$AD$4:$AH$15,MATCH(Info!$I$14,Info!$AC$4:$AC$15,0),IF(N34&lt;=16,1,IF(N34&lt;=40,2,IF(N34&lt;=75,3,IF(N34&lt;=100,4,5)))))</f>
        <v>355</v>
      </c>
      <c r="BL34" s="13">
        <f>IF(Stress!C863="Positive",MAX(MIN(0.7*BI34,BK34),0.5*BI34),MAX(MIN(0.7*BJ34,BK34),0.5*BJ34))</f>
        <v>266</v>
      </c>
      <c r="BM34" s="13" cm="1">
        <f t="array" ref="BM34">INDEX(Info!$AD$4:$AH$15,MATCH(Info!$I$13,Info!$AC$4:$AC$15,0),IF(AI34&lt;=16,1,IF(AI34&lt;=40,2,IF(AI34&lt;=75,3,IF(AI34&lt;=100,4,5)))))</f>
        <v>380</v>
      </c>
      <c r="BN34" s="13" cm="1">
        <f t="array" ref="BN34">INDEX(Info!$AD$4:$AH$15,MATCH(Info!$I$13,Info!$AC$4:$AC$15,0),IF(AF34&lt;=16,1,IF(AF34&lt;=40,2,IF(AF34&lt;=75,3,IF(AF34&lt;=100,4,5)))))</f>
        <v>380</v>
      </c>
      <c r="BO34" s="13"/>
      <c r="BP34" s="873">
        <f t="shared" si="2"/>
        <v>0.12491115849324805</v>
      </c>
      <c r="BQ34" s="873">
        <f t="shared" si="3"/>
        <v>2835.8681651303891</v>
      </c>
      <c r="BR34" s="873">
        <f t="shared" si="72"/>
        <v>3128</v>
      </c>
      <c r="BS34" s="873"/>
      <c r="BT34" s="871">
        <f t="shared" si="4"/>
        <v>0</v>
      </c>
      <c r="BU34" s="136">
        <f t="shared" si="5"/>
        <v>0</v>
      </c>
      <c r="BV34" s="871">
        <f t="shared" si="6"/>
        <v>1595000</v>
      </c>
      <c r="BW34" s="871">
        <f t="shared" si="7"/>
        <v>11178291666.666666</v>
      </c>
      <c r="BX34" s="871">
        <f t="shared" si="8"/>
        <v>0</v>
      </c>
      <c r="BY34" s="871">
        <f t="shared" si="9"/>
        <v>0</v>
      </c>
      <c r="BZ34" s="871">
        <f t="shared" si="10"/>
        <v>7655.2758986349281</v>
      </c>
      <c r="CA34" s="871">
        <f t="shared" si="11"/>
        <v>172722.16246295057</v>
      </c>
      <c r="CB34" s="871">
        <f t="shared" si="12"/>
        <v>5428.6721054031623</v>
      </c>
      <c r="CC34" s="871">
        <f t="shared" si="13"/>
        <v>86858.753686450596</v>
      </c>
      <c r="CE34" s="1137">
        <f t="shared" si="14"/>
        <v>350792629.15766376</v>
      </c>
      <c r="CF34" s="1136">
        <f t="shared" si="15"/>
        <v>409682062.22222221</v>
      </c>
      <c r="CG34" s="1136">
        <f t="shared" si="16"/>
        <v>0</v>
      </c>
      <c r="CH34" s="172">
        <f t="shared" si="17"/>
        <v>4020729166666.6665</v>
      </c>
      <c r="CJ34" s="136">
        <f t="shared" si="18"/>
        <v>150868.83596312936</v>
      </c>
      <c r="CK34" s="7">
        <f t="shared" si="19"/>
        <v>205093687196.7587</v>
      </c>
      <c r="CL34" s="875">
        <f t="shared" si="20"/>
        <v>1621.6188875146788</v>
      </c>
      <c r="CM34" s="6">
        <f t="shared" si="21"/>
        <v>1242.3811124853212</v>
      </c>
      <c r="CN34" s="876">
        <f t="shared" si="73"/>
        <v>126474653.67839223</v>
      </c>
      <c r="CO34" s="876">
        <f t="shared" si="74"/>
        <v>165081137.45103469</v>
      </c>
      <c r="CP34" s="1137">
        <f t="shared" si="22"/>
        <v>130091730802.94354</v>
      </c>
      <c r="CQ34" s="1136">
        <f t="shared" si="23"/>
        <v>33605814213.029976</v>
      </c>
      <c r="CR34" s="877">
        <f t="shared" si="24"/>
        <v>150868.83596312936</v>
      </c>
      <c r="CS34" s="874">
        <f t="shared" si="25"/>
        <v>205093687196.7587</v>
      </c>
      <c r="CT34" s="875">
        <f t="shared" si="26"/>
        <v>1621.6188875146788</v>
      </c>
      <c r="CU34" s="878">
        <f t="shared" si="27"/>
        <v>1242.3811124853212</v>
      </c>
      <c r="CV34" s="876">
        <f t="shared" si="28"/>
        <v>126474653.67839223</v>
      </c>
      <c r="CW34" s="876">
        <f t="shared" si="29"/>
        <v>165081137.45103469</v>
      </c>
      <c r="CX34" s="1136">
        <f t="shared" si="30"/>
        <v>130091730802.94354</v>
      </c>
      <c r="CY34" s="1136">
        <f t="shared" si="31"/>
        <v>33605814213.029976</v>
      </c>
      <c r="CZ34" s="877">
        <f t="shared" si="32"/>
        <v>150868.83596312936</v>
      </c>
      <c r="DA34" s="874">
        <f t="shared" si="33"/>
        <v>205093687196.7587</v>
      </c>
      <c r="DB34" s="875">
        <f t="shared" si="34"/>
        <v>1621.6188875146788</v>
      </c>
      <c r="DC34" s="878">
        <f t="shared" si="35"/>
        <v>1242.3811124853212</v>
      </c>
      <c r="DD34" s="876">
        <f t="shared" si="75"/>
        <v>126474653.67839223</v>
      </c>
      <c r="DE34" s="876">
        <f t="shared" si="76"/>
        <v>165081137.45103469</v>
      </c>
      <c r="DF34" s="1136">
        <f t="shared" si="36"/>
        <v>130091730802.94354</v>
      </c>
      <c r="DG34" s="1136">
        <f t="shared" si="37"/>
        <v>33605814213.029976</v>
      </c>
      <c r="DH34" s="877">
        <f t="shared" si="38"/>
        <v>398780.52249514393</v>
      </c>
      <c r="DI34" s="879">
        <f t="shared" si="39"/>
        <v>490995741742.52405</v>
      </c>
      <c r="DJ34" s="878">
        <f t="shared" si="40"/>
        <v>539.52049084963664</v>
      </c>
      <c r="DK34" s="877">
        <f t="shared" si="41"/>
        <v>2324.4795091503634</v>
      </c>
      <c r="DL34" s="876">
        <f t="shared" si="77"/>
        <v>910059488.13789105</v>
      </c>
      <c r="DM34" s="876">
        <f t="shared" si="78"/>
        <v>211228251.2320323</v>
      </c>
      <c r="DN34" s="7">
        <f t="shared" si="42"/>
        <v>755035773935.73022</v>
      </c>
      <c r="DO34" s="1136">
        <f t="shared" si="43"/>
        <v>225610305113.07498</v>
      </c>
      <c r="DP34" s="877">
        <f t="shared" si="44"/>
        <v>233506.06480713421</v>
      </c>
      <c r="DQ34" s="879">
        <f t="shared" si="45"/>
        <v>367437814540.55322</v>
      </c>
      <c r="DR34" s="877">
        <f t="shared" si="46"/>
        <v>1005.6180934601296</v>
      </c>
      <c r="DS34" s="877">
        <f t="shared" si="47"/>
        <v>1858.3819065398704</v>
      </c>
      <c r="DT34" s="876">
        <f t="shared" si="79"/>
        <v>365385047.1964696</v>
      </c>
      <c r="DU34" s="876">
        <f t="shared" si="80"/>
        <v>197719216.51168427</v>
      </c>
      <c r="DV34" s="1136">
        <f t="shared" si="48"/>
        <v>338406411847.20581</v>
      </c>
      <c r="DW34" s="1136">
        <f t="shared" si="49"/>
        <v>225610305113.07498</v>
      </c>
      <c r="DX34" s="880">
        <f t="shared" si="50"/>
        <v>163952.78396716746</v>
      </c>
      <c r="DY34" s="874">
        <f t="shared" si="51"/>
        <v>242204101540.91312</v>
      </c>
      <c r="DZ34" s="873">
        <f t="shared" si="52"/>
        <v>1481.7529632923504</v>
      </c>
      <c r="EA34" s="880">
        <f t="shared" si="53"/>
        <v>1382.2470367076496</v>
      </c>
      <c r="EB34" s="876">
        <f t="shared" si="81"/>
        <v>163457814.85920078</v>
      </c>
      <c r="EC34" s="876">
        <f t="shared" si="82"/>
        <v>175224901.9956772</v>
      </c>
      <c r="ED34" s="1136">
        <f t="shared" si="54"/>
        <v>755035773935.73022</v>
      </c>
      <c r="EE34" s="1136">
        <f t="shared" si="55"/>
        <v>225610305113.07498</v>
      </c>
      <c r="EF34" s="880">
        <f t="shared" si="56"/>
        <v>155230.1519644754</v>
      </c>
      <c r="EG34" s="874">
        <f t="shared" si="57"/>
        <v>218156538693.52585</v>
      </c>
      <c r="EH34" s="873">
        <f t="shared" si="58"/>
        <v>1572.3771489989135</v>
      </c>
      <c r="EI34" s="880">
        <f t="shared" si="59"/>
        <v>1291.6228510010865</v>
      </c>
      <c r="EJ34" s="876">
        <f t="shared" si="83"/>
        <v>138743137.31436488</v>
      </c>
      <c r="EK34" s="876">
        <f t="shared" si="84"/>
        <v>168901114.22575191</v>
      </c>
      <c r="EL34" s="1136">
        <f t="shared" si="85"/>
        <v>338406411847.20581</v>
      </c>
      <c r="EM34" s="1136">
        <f t="shared" si="86"/>
        <v>225610305113.07498</v>
      </c>
      <c r="EN34" s="876"/>
      <c r="EO34" s="1113" t="s">
        <v>2192</v>
      </c>
      <c r="EP34" s="1114">
        <v>150868.83596312901</v>
      </c>
      <c r="EQ34" s="1114">
        <v>205093687196.759</v>
      </c>
      <c r="ER34" s="1115">
        <v>1621.61888751468</v>
      </c>
      <c r="ES34" s="1115">
        <v>1242.38111248532</v>
      </c>
      <c r="ET34" s="1114">
        <v>126474653.67839199</v>
      </c>
      <c r="EU34" s="1114">
        <v>165081137.45103499</v>
      </c>
      <c r="EV34" s="1114">
        <v>130091730802.944</v>
      </c>
      <c r="EW34" s="1114">
        <v>33605814213.029999</v>
      </c>
      <c r="EX34" s="1114">
        <v>150868.83596312901</v>
      </c>
      <c r="EY34" s="1114">
        <v>205093687196.759</v>
      </c>
      <c r="EZ34" s="1115">
        <v>1621.61888751468</v>
      </c>
      <c r="FA34" s="1115">
        <v>1242.38111248532</v>
      </c>
      <c r="FB34" s="1114">
        <v>126474653.67839199</v>
      </c>
      <c r="FC34" s="1114">
        <v>165081137.45103499</v>
      </c>
      <c r="FD34" s="1114">
        <v>130091730802.944</v>
      </c>
      <c r="FE34" s="1114">
        <v>33605814213.029999</v>
      </c>
      <c r="FF34" s="1114">
        <v>150868.83596312901</v>
      </c>
      <c r="FG34" s="1114">
        <v>205093687196.759</v>
      </c>
      <c r="FH34" s="1115">
        <v>1621.61888751468</v>
      </c>
      <c r="FI34" s="1115">
        <v>1242.38111248532</v>
      </c>
      <c r="FJ34" s="1114">
        <v>126474653.67839199</v>
      </c>
      <c r="FK34" s="1114">
        <v>165081137.45103499</v>
      </c>
      <c r="FL34" s="1114">
        <v>130091730802.944</v>
      </c>
      <c r="FM34" s="1114">
        <v>33605814213.029999</v>
      </c>
      <c r="FN34" s="1114">
        <v>398780.52249514399</v>
      </c>
      <c r="FO34" s="1114">
        <v>490995741742.52399</v>
      </c>
      <c r="FP34" s="1115">
        <v>539.52049084963596</v>
      </c>
      <c r="FQ34" s="1115">
        <v>2324.4795091503602</v>
      </c>
      <c r="FR34" s="1114">
        <v>910059488.13789201</v>
      </c>
      <c r="FS34" s="1114">
        <v>211228251.232032</v>
      </c>
      <c r="FT34" s="1114">
        <v>755035773935.73096</v>
      </c>
      <c r="FU34" s="1114">
        <v>225610305113.07501</v>
      </c>
      <c r="FV34" s="1114">
        <v>233506.06480713401</v>
      </c>
      <c r="FW34" s="1114">
        <v>367437814540.55298</v>
      </c>
      <c r="FX34" s="1115">
        <v>1005.61809346013</v>
      </c>
      <c r="FY34" s="1115">
        <v>1858.38190653987</v>
      </c>
      <c r="FZ34" s="1114">
        <v>365385047.19647002</v>
      </c>
      <c r="GA34" s="1114">
        <v>197719216.511684</v>
      </c>
      <c r="GB34" s="1114">
        <v>338406411847.20599</v>
      </c>
      <c r="GC34" s="1114">
        <v>225610305113.07501</v>
      </c>
      <c r="GD34" s="1114">
        <v>163952.78396716699</v>
      </c>
      <c r="GE34" s="1114">
        <v>242204101540.91299</v>
      </c>
      <c r="GF34" s="1115">
        <v>1481.7529632923499</v>
      </c>
      <c r="GG34" s="1115">
        <v>1382.2470367076501</v>
      </c>
      <c r="GH34" s="1114">
        <v>163457814.85920101</v>
      </c>
      <c r="GI34" s="1114">
        <v>175224901.99567699</v>
      </c>
      <c r="GJ34" s="1114">
        <v>755035773935.73096</v>
      </c>
      <c r="GK34" s="1114">
        <v>225610305113.07501</v>
      </c>
      <c r="GL34" s="1114">
        <v>155230.15196447499</v>
      </c>
      <c r="GM34" s="1114">
        <v>218156538693.526</v>
      </c>
      <c r="GN34" s="1115">
        <v>1572.3771489989099</v>
      </c>
      <c r="GO34" s="1115">
        <v>1291.6228510010901</v>
      </c>
      <c r="GP34" s="1114">
        <v>138743137.314365</v>
      </c>
      <c r="GQ34" s="1114">
        <v>168901114.225752</v>
      </c>
      <c r="GR34" s="1114">
        <v>338406411847.20599</v>
      </c>
      <c r="GS34" s="1114">
        <v>225610305113.07501</v>
      </c>
      <c r="GU34" s="1171">
        <f t="shared" si="60"/>
        <v>3.4924596548080444E-10</v>
      </c>
      <c r="GV34" s="1171">
        <f t="shared" si="61"/>
        <v>-3.0517578125E-4</v>
      </c>
      <c r="GW34" s="1171">
        <f t="shared" si="62"/>
        <v>0</v>
      </c>
      <c r="GX34" s="1171">
        <f t="shared" si="63"/>
        <v>0</v>
      </c>
      <c r="GY34" s="1171">
        <f t="shared" si="64"/>
        <v>2.384185791015625E-7</v>
      </c>
      <c r="GZ34" s="1171">
        <f t="shared" si="65"/>
        <v>-2.9802322387695313E-7</v>
      </c>
      <c r="HA34" s="1171">
        <f t="shared" si="87"/>
        <v>-4.57763671875E-4</v>
      </c>
      <c r="HB34" s="1171">
        <f t="shared" si="66"/>
        <v>0</v>
      </c>
      <c r="HC34" s="1171">
        <f t="shared" si="67"/>
        <v>3.4924596548080444E-10</v>
      </c>
      <c r="HD34" s="1171">
        <f t="shared" si="68"/>
        <v>-3.0517578125E-4</v>
      </c>
      <c r="HE34" s="1171">
        <f t="shared" si="69"/>
        <v>0</v>
      </c>
      <c r="HF34" s="1171">
        <f t="shared" si="70"/>
        <v>0</v>
      </c>
      <c r="HG34" s="1171">
        <f t="shared" si="89"/>
        <v>2.384185791015625E-7</v>
      </c>
      <c r="HH34" s="1171">
        <f t="shared" si="90"/>
        <v>-2.9802322387695313E-7</v>
      </c>
      <c r="HI34" s="1171">
        <f t="shared" si="91"/>
        <v>-4.57763671875E-4</v>
      </c>
      <c r="HJ34" s="1171">
        <f t="shared" si="92"/>
        <v>0</v>
      </c>
      <c r="HK34" s="1171">
        <f t="shared" si="93"/>
        <v>3.4924596548080444E-10</v>
      </c>
      <c r="HL34" s="1171">
        <f t="shared" si="94"/>
        <v>-3.0517578125E-4</v>
      </c>
      <c r="HM34" s="1171">
        <f t="shared" si="95"/>
        <v>0</v>
      </c>
      <c r="HN34" s="1171">
        <f t="shared" si="96"/>
        <v>0</v>
      </c>
      <c r="HO34" s="1171">
        <f t="shared" si="97"/>
        <v>2.384185791015625E-7</v>
      </c>
      <c r="HP34" s="1171">
        <f t="shared" si="98"/>
        <v>-2.9802322387695313E-7</v>
      </c>
      <c r="HQ34" s="1171">
        <f t="shared" si="99"/>
        <v>-4.57763671875E-4</v>
      </c>
      <c r="HR34" s="1171">
        <f t="shared" si="100"/>
        <v>0</v>
      </c>
      <c r="HS34" s="1171">
        <f t="shared" si="101"/>
        <v>0</v>
      </c>
      <c r="HT34" s="1171">
        <f t="shared" si="102"/>
        <v>0</v>
      </c>
      <c r="HU34" s="1171">
        <f t="shared" si="103"/>
        <v>0</v>
      </c>
      <c r="HV34" s="1171">
        <f t="shared" si="104"/>
        <v>0</v>
      </c>
      <c r="HW34" s="1171">
        <f t="shared" si="105"/>
        <v>-9.5367431640625E-7</v>
      </c>
      <c r="HX34" s="1171">
        <f t="shared" si="106"/>
        <v>2.9802322387695313E-7</v>
      </c>
      <c r="HY34" s="1171">
        <f t="shared" si="107"/>
        <v>0</v>
      </c>
      <c r="HZ34" s="1171">
        <f t="shared" si="108"/>
        <v>0</v>
      </c>
      <c r="IA34" s="1171">
        <f t="shared" si="109"/>
        <v>0</v>
      </c>
      <c r="IB34" s="1171">
        <f t="shared" si="110"/>
        <v>0</v>
      </c>
      <c r="IC34" s="1171">
        <f t="shared" si="111"/>
        <v>0</v>
      </c>
      <c r="ID34" s="1171">
        <f t="shared" si="112"/>
        <v>0</v>
      </c>
      <c r="IE34" s="1171">
        <f t="shared" si="113"/>
        <v>0</v>
      </c>
      <c r="IF34" s="1171">
        <f t="shared" si="114"/>
        <v>2.6822090148925781E-7</v>
      </c>
      <c r="IG34" s="1171">
        <f t="shared" si="115"/>
        <v>0</v>
      </c>
      <c r="IH34" s="1171">
        <f t="shared" si="116"/>
        <v>0</v>
      </c>
      <c r="II34" s="1171">
        <f t="shared" si="117"/>
        <v>4.6566128730773926E-10</v>
      </c>
      <c r="IJ34" s="1171">
        <f t="shared" si="118"/>
        <v>0</v>
      </c>
      <c r="IK34" s="1171">
        <f t="shared" si="119"/>
        <v>0</v>
      </c>
      <c r="IL34" s="1171">
        <f t="shared" si="120"/>
        <v>0</v>
      </c>
      <c r="IM34" s="1171">
        <f t="shared" si="121"/>
        <v>-2.384185791015625E-7</v>
      </c>
      <c r="IN34" s="1171">
        <f t="shared" si="122"/>
        <v>0</v>
      </c>
      <c r="IO34" s="1171">
        <f t="shared" si="123"/>
        <v>0</v>
      </c>
      <c r="IP34" s="1171">
        <f t="shared" si="124"/>
        <v>0</v>
      </c>
      <c r="IQ34" s="1171">
        <f t="shared" si="125"/>
        <v>4.0745362639427185E-10</v>
      </c>
      <c r="IR34" s="1171">
        <f t="shared" si="126"/>
        <v>0</v>
      </c>
      <c r="IS34" s="1171">
        <f t="shared" si="127"/>
        <v>3.637978807091713E-12</v>
      </c>
      <c r="IT34" s="1171">
        <f t="shared" si="128"/>
        <v>-3.637978807091713E-12</v>
      </c>
      <c r="IU34" s="1171">
        <f t="shared" si="129"/>
        <v>0</v>
      </c>
      <c r="IV34" s="1171">
        <f t="shared" si="130"/>
        <v>0</v>
      </c>
      <c r="IW34" s="1171">
        <f t="shared" si="131"/>
        <v>0</v>
      </c>
      <c r="IX34" s="1171">
        <f t="shared" si="132"/>
        <v>0</v>
      </c>
    </row>
    <row r="35" spans="1:258" s="871" customFormat="1">
      <c r="A35" s="871">
        <v>117</v>
      </c>
      <c r="B35" s="871" t="str">
        <f t="shared" ref="B35" si="160">LEFT(B33,3)+1&amp;"i"</f>
        <v>117i</v>
      </c>
      <c r="C35" s="871">
        <v>71.900000000000006</v>
      </c>
      <c r="D35" s="871">
        <v>0</v>
      </c>
      <c r="E35" s="871" t="s">
        <v>2093</v>
      </c>
      <c r="F35" s="26">
        <v>2</v>
      </c>
      <c r="G35" s="136">
        <v>800</v>
      </c>
      <c r="H35" s="136">
        <v>36</v>
      </c>
      <c r="I35" s="28">
        <v>250</v>
      </c>
      <c r="J35" s="26">
        <v>1909</v>
      </c>
      <c r="K35" s="136">
        <v>28</v>
      </c>
      <c r="L35" s="28">
        <v>120</v>
      </c>
      <c r="M35" s="26">
        <v>2924</v>
      </c>
      <c r="N35" s="28">
        <v>12</v>
      </c>
      <c r="O35" s="397">
        <v>356</v>
      </c>
      <c r="P35" s="26">
        <v>290</v>
      </c>
      <c r="Q35" s="397">
        <f>+Section!L96</f>
        <v>5500</v>
      </c>
      <c r="R35" s="169">
        <v>0</v>
      </c>
      <c r="S35" s="210">
        <v>0</v>
      </c>
      <c r="T35" s="210">
        <v>1200</v>
      </c>
      <c r="U35" s="210">
        <v>2400</v>
      </c>
      <c r="V35" s="872">
        <v>3800</v>
      </c>
      <c r="W35" s="210">
        <v>19</v>
      </c>
      <c r="X35" s="210">
        <v>200</v>
      </c>
      <c r="Y35" s="210">
        <v>50</v>
      </c>
      <c r="Z35" s="210">
        <v>16</v>
      </c>
      <c r="AA35" s="210">
        <v>200</v>
      </c>
      <c r="AB35" s="872">
        <v>40</v>
      </c>
      <c r="AC35" s="881">
        <f>10*3*0.25*PI()*16^2</f>
        <v>6031.8578948924023</v>
      </c>
      <c r="AD35" s="397">
        <v>2</v>
      </c>
      <c r="AE35" s="210">
        <v>160</v>
      </c>
      <c r="AF35" s="210">
        <v>16</v>
      </c>
      <c r="AG35" s="397">
        <v>0</v>
      </c>
      <c r="AH35" s="210">
        <v>0</v>
      </c>
      <c r="AI35" s="210">
        <v>0</v>
      </c>
      <c r="AJ35" s="397">
        <v>2</v>
      </c>
      <c r="AK35" s="210">
        <v>2500</v>
      </c>
      <c r="AL35" s="210">
        <v>5000</v>
      </c>
      <c r="AM35" s="210" t="s">
        <v>2316</v>
      </c>
      <c r="AN35" s="210">
        <v>2500</v>
      </c>
      <c r="AO35" s="1143" t="s">
        <v>2321</v>
      </c>
      <c r="AP35" s="1143" t="s">
        <v>2321</v>
      </c>
      <c r="AQ35" s="136">
        <v>200</v>
      </c>
      <c r="AR35" s="136">
        <v>14</v>
      </c>
      <c r="AS35" s="1143" t="s">
        <v>2448</v>
      </c>
      <c r="AT35" s="136">
        <v>120</v>
      </c>
      <c r="AU35" s="136">
        <v>12</v>
      </c>
      <c r="AV35" s="1109" t="s">
        <v>2157</v>
      </c>
      <c r="AW35" s="1109">
        <v>12</v>
      </c>
      <c r="AX35" s="1109">
        <v>400</v>
      </c>
      <c r="AY35" s="1109">
        <v>1000</v>
      </c>
      <c r="AZ35" s="1108">
        <v>8</v>
      </c>
      <c r="BA35" s="1108">
        <v>6</v>
      </c>
      <c r="BB35" s="1109"/>
      <c r="BC35" s="1168"/>
      <c r="BD35" s="210">
        <f>INDEX(Spec!$B$12:$P$58,MATCH(AO35,Spec!$A$12:$A$58,0),6)*100</f>
        <v>1900</v>
      </c>
      <c r="BE35" s="210">
        <f>INDEX(Spec!$B$12:$P$58,MATCH(AP35,Spec!$A$12:$A$58,0),6)*100</f>
        <v>1900</v>
      </c>
      <c r="BF35" s="881">
        <f t="shared" ref="BF35:BF66" si="161">IF(AM35="W",2.6*AN35*U35/((SQRT(AN35^2+U35^2))^3/BD35+AN35^3/3*2/(G35*H35+N35*BQ35/4)),0)</f>
        <v>0.7032528545897504</v>
      </c>
      <c r="BG35" s="881">
        <f t="shared" ref="BG35:BG66" si="162">P35*(30702/(2*(1+1/6)))/(210000/(2*(1+0.3)))</f>
        <v>47.243485714285718</v>
      </c>
      <c r="BH35" s="881"/>
      <c r="BI35" s="13" cm="1">
        <f t="array" ref="BI35">INDEX(Info!$AD$4:$AH$15,MATCH(Info!$I$13,Info!$AC$4:$AC$15,0),IF(H35&lt;=16,1,IF(H35&lt;=40,2,IF(H35&lt;=75,3,IF(H35&lt;=100,4,5)))))</f>
        <v>380</v>
      </c>
      <c r="BJ35" s="13" cm="1">
        <f t="array" ref="BJ35">INDEX(Info!$AD$4:$AH$15,MATCH(Info!$I$13,Info!$AC$4:$AC$15,0),IF(K35&lt;=16,1,IF(K35&lt;=40,2,IF(K35&lt;=75,3,IF(K35&lt;=100,4,5)))))</f>
        <v>380</v>
      </c>
      <c r="BK35" s="13" cm="1">
        <f t="array" ref="BK35">INDEX(Info!$AD$4:$AH$15,MATCH(Info!$I$14,Info!$AC$4:$AC$15,0),IF(N35&lt;=16,1,IF(N35&lt;=40,2,IF(N35&lt;=75,3,IF(N35&lt;=100,4,5)))))</f>
        <v>355</v>
      </c>
      <c r="BL35" s="13">
        <f>IF(Stress!C864="Positive",MAX(MIN(0.7*BI35,BK35),0.5*BI35),MAX(MIN(0.7*BJ35,BK35),0.5*BJ35))</f>
        <v>266</v>
      </c>
      <c r="BM35" s="13" cm="1">
        <f t="array" ref="BM35">INDEX(Info!$AD$4:$AH$15,MATCH(Info!$I$13,Info!$AC$4:$AC$15,0),IF(AI35&lt;=16,1,IF(AI35&lt;=40,2,IF(AI35&lt;=75,3,IF(AI35&lt;=100,4,5)))))</f>
        <v>380</v>
      </c>
      <c r="BN35" s="13" cm="1">
        <f t="array" ref="BN35">INDEX(Info!$AD$4:$AH$15,MATCH(Info!$I$13,Info!$AC$4:$AC$15,0),IF(AF35&lt;=16,1,IF(AF35&lt;=40,2,IF(AF35&lt;=75,3,IF(AF35&lt;=100,4,5)))))</f>
        <v>380</v>
      </c>
      <c r="BO35" s="13"/>
      <c r="BP35" s="873">
        <f t="shared" ref="BP35:BP66" si="163">+(U35/2-0.5*(J35-2*L35))/M35</f>
        <v>0.125</v>
      </c>
      <c r="BQ35" s="873">
        <f t="shared" ref="BQ35:BQ66" si="164">+SQRT(M35^2+(M35*BP35)^2)</f>
        <v>2946.7552070031197</v>
      </c>
      <c r="BR35" s="873">
        <f t="shared" ref="BR35:BR66" si="165">+K35+R35+P35+M35</f>
        <v>3242</v>
      </c>
      <c r="BS35" s="873"/>
      <c r="BT35" s="871">
        <f t="shared" ref="BT35:BT66" si="166">(J35-2*L35)*O35+O35*O35*BP35</f>
        <v>610006</v>
      </c>
      <c r="BU35" s="136">
        <f t="shared" ref="BU35:BU66" si="167">((J35-2*L35)^2+4*(J35-2*L35)*((J35-2*L35)+2*O35*BP35)+((J35-2*L35)+2*O35*BP35)^2)/36/((J35-2*L35)+((J35-2*L35)+2*O35*BP35))*O35^3</f>
        <v>6441028318.3747358</v>
      </c>
      <c r="BV35" s="871">
        <f t="shared" ref="BV35:BV66" si="168">P35*Q35</f>
        <v>1595000</v>
      </c>
      <c r="BW35" s="871">
        <f t="shared" ref="BW35:BW66" si="169">Q35/12*P35^3</f>
        <v>11178291666.666666</v>
      </c>
      <c r="BX35" s="871">
        <f t="shared" ref="BX35:BX66" si="170">R35*S35*2</f>
        <v>0</v>
      </c>
      <c r="BY35" s="871">
        <f t="shared" ref="BY35:BY66" si="171">4/36*S35*R35^3</f>
        <v>0</v>
      </c>
      <c r="BZ35" s="871">
        <f t="shared" ref="BZ35:BZ66" si="172">ROUNDDOWN(Q35/X35,0)*0.25*PI()*W35^2</f>
        <v>7655.2758986349281</v>
      </c>
      <c r="CA35" s="871">
        <f t="shared" ref="CA35:CA66" si="173">ROUNDDOWN(Q35/X35,0)*1/64*PI()*W35^4</f>
        <v>172722.16246295057</v>
      </c>
      <c r="CB35" s="871">
        <f t="shared" ref="CB35:CB66" si="174">ROUNDDOWN(Q35/AA35,0)*0.25*PI()*Z35^2</f>
        <v>5428.6721054031623</v>
      </c>
      <c r="CC35" s="871">
        <f t="shared" ref="CC35:CC66" si="175">ROUNDDOWN(Q35/AA35,0)*1/64*PI()*Z35^4</f>
        <v>86858.753686450596</v>
      </c>
      <c r="CE35" s="1137">
        <f t="shared" ref="CE35:CE66" si="176">(M35/COS(ATAN(BP35))*N35/COS(ATAN(BP35))*COS(ATAN(BP35))*((N35/COS(ATAN(BP35)))^2+(M35/COS(ATAN(BP35)))^2*(SIN(ATAN(BP35)))^2))/12</f>
        <v>394088727.74137288</v>
      </c>
      <c r="CF35" s="1136">
        <f t="shared" ref="CF35:CF66" si="177">AG35*1/12*AH35*AI35^3+AD35*1/12*AE35*AF35^3+IF(AD35=1,0,IF(AD35=2,2*AE35*AF35*((J35-2*L35)/6)^2,IF(AD35=3,2*AE35*AF35*((J35-2*L35)/4)^2,IF(AD35=4,2*AE35*AF35*((J35-2*L35)/10)^2+2*AE35*AF35*((J35-2*L35)*3/10)^2,0))))</f>
        <v>396277902.22222227</v>
      </c>
      <c r="CG35" s="1136">
        <f t="shared" ref="CG35:CG66" si="178">(O35*((J35-2*L35)+(J35-2*L35)+2*O35*BP35)*((J35-2*L35)^2+((J35-2*L35)+2*O35*BP35)^2))/48</f>
        <v>149352979447.91666</v>
      </c>
      <c r="CH35" s="172">
        <f t="shared" ref="CH35:CH66" si="179">1/12*P35*Q35^3</f>
        <v>4020729166666.6665</v>
      </c>
      <c r="CJ35" s="136">
        <f t="shared" ref="CJ35:CJ66" si="180">+F35*G35*H35+J35*K35+BQ35*N35*2+AD35*AE35*AF35+AG35*AH35*AI35</f>
        <v>186894.12496807487</v>
      </c>
      <c r="CK35" s="7">
        <f t="shared" ref="CK35:CK66" si="181">1/12*F35*G35*(H35^3)+F35*G35*H35*(CL35-0.5*H35)^2+1/12*J35*K35^3+J35*K35*(CM35-0.5*K35)^2+1/6*N35*BQ35^3*(1/(1+BP35^2))+2*BQ35*N35*(CM35-K35-0.5*M35)^2+1/12*AD35*AF35*AE35^3+AD35*AE35*AF35*(CM35-K35-0.5*AE35)^2+1/12*AG35*AI35*AH35^3+AG35*AH35*AI35*(CL35-H35-AH35/2)^2</f>
        <v>302801127925.51624</v>
      </c>
      <c r="CL35" s="875">
        <f t="shared" ref="CL35:CL66" si="182">+H35+K35+M35-CM35</f>
        <v>1501.8684576100159</v>
      </c>
      <c r="CM35" s="6">
        <f t="shared" ref="CM35:CM66" si="183">+(F35*G35*H35*(0.5*H35+M35+K35)+2*BQ35*N35*(0.5*M35+K35)+J35*K35*0.5*K35+AD35*AE35*AF35*(0.5*AE35+K35) + AG35*AH35*AI35*(M35-0.5*AH35+K35))/CJ35</f>
        <v>1486.1315423899841</v>
      </c>
      <c r="CN35" s="876">
        <f t="shared" si="73"/>
        <v>201616277.6381734</v>
      </c>
      <c r="CO35" s="876">
        <f t="shared" si="74"/>
        <v>203751228.80344361</v>
      </c>
      <c r="CP35" s="1137">
        <f t="shared" ref="CP35:CP66" si="184">1/12*K35*J35^3+IF(F35=1,1/12*H35*G35^3,2*1/12*H35*G35^3+2*H35*G35*(U35/2+I35-G35/2)^2)+2*CE35+2*M35*N35/COS(ATAN(BP35))*(J35/2-L35+N35/COS(ATAN(BP35))/2+M35/2*BP35)^2+CF35</f>
        <v>158048989409.01672</v>
      </c>
      <c r="CQ35" s="1136">
        <f t="shared" ref="CQ35:CQ66" si="185">IF(F35=1,4*((J35-2*L35+M35*BP35)*(K35/2+M35+H35/2))^2/(U35/H35+J35/K35+2*BQ35/N35),4*((J35-2*L35+M35*BP35)*(K35/2+M35+BF35/2))^2/(U35/BF35+J35/K35+2*BQ35/N35))</f>
        <v>35989166548.324066</v>
      </c>
      <c r="CR35" s="877">
        <f t="shared" ref="CR35:CR66" si="186">BT35/$CU$1+CJ35</f>
        <v>293859.9123835814</v>
      </c>
      <c r="CS35" s="874">
        <f t="shared" ref="CS35:CS66" si="187">+CK35+CJ35*(CM35-CU35)^2+BU35/$CU$1+BT35/$CU$1*(CU35-K35-O35/2)^2</f>
        <v>415413767204.64978</v>
      </c>
      <c r="CT35" s="875">
        <f t="shared" ref="CT35:CT66" si="188">+H35+K35+M35-CU35</f>
        <v>1967.839733911336</v>
      </c>
      <c r="CU35" s="878">
        <f t="shared" ref="CU35:CU66" si="189">+(BT35/$CU$1*(O35/2+K35)+CJ35*CM35)/CR35</f>
        <v>1020.160266088664</v>
      </c>
      <c r="CV35" s="876">
        <f t="shared" ref="CV35:CV66" si="190">+CS35/CT35</f>
        <v>211101422.56298545</v>
      </c>
      <c r="CW35" s="876">
        <f t="shared" ref="CW35:CW66" si="191">+CS35/CU35</f>
        <v>407204417.78953326</v>
      </c>
      <c r="CX35" s="1136">
        <f t="shared" ref="CX35:CX66" si="192">+CP35+CG35/$CU$1</f>
        <v>184238336808.05603</v>
      </c>
      <c r="CY35" s="1136">
        <f t="shared" ref="CY35:CY66" si="193">+CQ35</f>
        <v>35989166548.324066</v>
      </c>
      <c r="CZ35" s="877">
        <f t="shared" ref="CZ35:CZ66" si="194">BT35/$DC$1+CJ35</f>
        <v>222549.38743991038</v>
      </c>
      <c r="DA35" s="874">
        <f t="shared" ref="DA35:DA66" si="195">+CK35+CJ35*(CM35-DC35)^2+BU35/$DC$1+BT35/$DC$1*(DC35-K35-O35/2)^2</f>
        <v>352246031230.67206</v>
      </c>
      <c r="DB35" s="875">
        <f t="shared" ref="DB35:DB66" si="196">+H35+K35+M35-DC35</f>
        <v>1706.9619277266859</v>
      </c>
      <c r="DC35" s="878">
        <f t="shared" ref="DC35:DC66" si="197">+(BT35/$DC$1*(O35/2+K35)+CJ35*CM35)/CZ35</f>
        <v>1281.0380722733141</v>
      </c>
      <c r="DD35" s="876">
        <f t="shared" si="75"/>
        <v>206358457.97673392</v>
      </c>
      <c r="DE35" s="876">
        <f t="shared" si="76"/>
        <v>274969213.52663678</v>
      </c>
      <c r="DF35" s="1136">
        <f t="shared" ref="DF35:DF66" si="198">+CP35+CG35/$DC$1</f>
        <v>166778771875.36316</v>
      </c>
      <c r="DG35" s="1136">
        <f t="shared" ref="DG35:DG66" si="199">CQ35</f>
        <v>35989166548.324066</v>
      </c>
      <c r="DH35" s="877">
        <f t="shared" ref="DH35:DH66" si="200">+(BV35+BX35)/$DJ$1+CJ35</f>
        <v>434805.81150008948</v>
      </c>
      <c r="DI35" s="879">
        <f t="shared" ref="DI35:DI66" si="201">BW35/$DJ$1+BV35/$DJ$1*(K35+M35+R35+P35/2-DK35)^2+BY35/$DJ$1+BX35/$DJ$1*(K35+M35+2*R35/3-DK35)^2+CK35+CJ35*(CM35-DK35)^2</f>
        <v>581052792095.00635</v>
      </c>
      <c r="DJ35" s="878">
        <f t="shared" ref="DJ35:DJ66" si="202">+H35+K35+M35-DK35</f>
        <v>583.40530568123404</v>
      </c>
      <c r="DK35" s="877">
        <f t="shared" ref="DK35:DK66" si="203">+(BV35/$DJ$1*(K35+M35+R35+P35/2)+BX35/$DJ$1*(K35+M35+2*R35/3)+CJ35*CM35)/DH35</f>
        <v>2404.594694318766</v>
      </c>
      <c r="DL35" s="876">
        <f t="shared" si="77"/>
        <v>995967617.0865798</v>
      </c>
      <c r="DM35" s="876">
        <f t="shared" si="78"/>
        <v>241642715.70083523</v>
      </c>
      <c r="DN35" s="7">
        <f t="shared" ref="DN35:DN66" si="204">+CP35+CH35/$DJ$1</f>
        <v>782993032541.80347</v>
      </c>
      <c r="DO35" s="1136">
        <f t="shared" ref="DO35:DO66" si="205">4*((J35-2*L35+M35*BP35)*(K35/2+M35+BG35/2))^2/(U35/BG35+J35/K35+2*BQ35/N35)</f>
        <v>238029019871.50217</v>
      </c>
      <c r="DP35" s="877">
        <f t="shared" ref="DP35:DP66" si="206">+(BV35+BX35)/$DR$1+CJ35</f>
        <v>269531.35381207976</v>
      </c>
      <c r="DQ35" s="879">
        <f t="shared" ref="DQ35:DQ66" si="207">BW35/$DR$1+BV35/$DR$1*(K35+M35+R35+P35/2-DS35)^2+BY35/$DR$1+BX35/$DR$1*(K35+M35+2*R35/3-DS35)^2+CK35+CJ35*(CM35-DS35)^2</f>
        <v>452070446937.92261</v>
      </c>
      <c r="DR35" s="877">
        <f t="shared" ref="DR35:DR66" si="208">+H35+K35+M35-DS35</f>
        <v>1007.9826684935513</v>
      </c>
      <c r="DS35" s="877">
        <f t="shared" ref="DS35:DS66" si="209">+(BV35/$DR$1*(K35+M35+R35+P35/2)+BX35/$DR$1*(K35+M35+2*R35/3)+CJ35*CM35)/DP35</f>
        <v>1980.0173315064487</v>
      </c>
      <c r="DT35" s="876">
        <f t="shared" si="79"/>
        <v>448490297.56984836</v>
      </c>
      <c r="DU35" s="876">
        <f t="shared" si="80"/>
        <v>228316409.02555922</v>
      </c>
      <c r="DV35" s="1136">
        <f t="shared" ref="DV35:DV66" si="210">+CP35+CH35/$DR$1</f>
        <v>366363670453.27893</v>
      </c>
      <c r="DW35" s="1136">
        <f t="shared" ref="DW35:DW66" si="211">DO35</f>
        <v>238029019871.50217</v>
      </c>
      <c r="DX35" s="880">
        <f t="shared" ref="DX35:DX66" si="212">BZ35+CB35+CR35</f>
        <v>306943.86038761947</v>
      </c>
      <c r="DY35" s="874">
        <f t="shared" ref="DY35:DY66" si="213">+CS35+CR35*(CU35-EA35)^2+CA35+BZ35*(DZ35-H35+R35+P35-Y35)^2+CC35+CB35*(DZ35-H35+R35+AB35)^2</f>
        <v>470197078608.39197</v>
      </c>
      <c r="DZ35" s="873">
        <f t="shared" ref="DZ35:DZ66" si="214">+M35+H35+K35-EA35</f>
        <v>1878.7990093436404</v>
      </c>
      <c r="EA35" s="880">
        <f t="shared" ref="EA35:EA66" si="215">(BZ35*(K35+M35+R35+P35-Y35)+CB35*(K35+M35+R35+AB35)+CR35*CU35)/DX35</f>
        <v>1109.2009906563596</v>
      </c>
      <c r="EB35" s="876">
        <f t="shared" si="81"/>
        <v>250264704.3510288</v>
      </c>
      <c r="EC35" s="876">
        <f t="shared" si="82"/>
        <v>423906111.30824643</v>
      </c>
      <c r="ED35" s="1136">
        <f t="shared" ref="ED35:ED66" si="216">DN35</f>
        <v>782993032541.80347</v>
      </c>
      <c r="EE35" s="1136">
        <f t="shared" ref="EE35:EE66" si="217">DO35</f>
        <v>238029019871.50217</v>
      </c>
      <c r="EF35" s="880">
        <f t="shared" ref="EF35:EF66" si="218">BZ35/3+CB35/3+CZ35</f>
        <v>226910.70344125642</v>
      </c>
      <c r="EG35" s="874">
        <f t="shared" ref="EG35:EG66" si="219">+DA35+CZ35*(DC35-EI35)^2+CA35/3+BZ35/3*(EH35-H35+R35+P35-Y35)^2+CC35/3+CB35/3*(EH35-H35+R35+AB35)^2</f>
        <v>366581742522.76697</v>
      </c>
      <c r="EH35" s="873">
        <f t="shared" ref="EH35:EH66" si="220">+M35+H35+K35-EI35</f>
        <v>1671.8274134056028</v>
      </c>
      <c r="EI35" s="880">
        <f t="shared" ref="EI35:EI66" si="221">(BZ35/3*(K35+M35+R35+P35-Y35)+CB35/3*(K35+M35+R35+AB35)+CZ35*DC35)/EF35</f>
        <v>1316.1725865943972</v>
      </c>
      <c r="EJ35" s="876">
        <f t="shared" si="83"/>
        <v>219270087.08154878</v>
      </c>
      <c r="EK35" s="876">
        <f t="shared" si="84"/>
        <v>278521028.51594788</v>
      </c>
      <c r="EL35" s="1136">
        <f t="shared" si="85"/>
        <v>366363670453.27893</v>
      </c>
      <c r="EM35" s="1136">
        <f t="shared" si="86"/>
        <v>238029019871.50217</v>
      </c>
      <c r="EN35" s="876"/>
      <c r="EO35" s="1113" t="s">
        <v>2193</v>
      </c>
      <c r="EP35" s="1114">
        <v>186894.12496807499</v>
      </c>
      <c r="EQ35" s="1114">
        <v>302801127925.51599</v>
      </c>
      <c r="ER35" s="1115">
        <v>1501.86845761002</v>
      </c>
      <c r="ES35" s="1115">
        <v>1486.13154238998</v>
      </c>
      <c r="ET35" s="1114">
        <v>201616277.63817301</v>
      </c>
      <c r="EU35" s="1114">
        <v>203751228.803444</v>
      </c>
      <c r="EV35" s="1114">
        <v>158048989409.017</v>
      </c>
      <c r="EW35" s="1114">
        <v>35989166548.324097</v>
      </c>
      <c r="EX35" s="1114">
        <v>293859.91238358198</v>
      </c>
      <c r="EY35" s="1114">
        <v>415413767204.65002</v>
      </c>
      <c r="EZ35" s="1115">
        <v>1967.8397339113401</v>
      </c>
      <c r="FA35" s="1115">
        <v>1020.16026608866</v>
      </c>
      <c r="FB35" s="1114">
        <v>211101422.562985</v>
      </c>
      <c r="FC35" s="1114">
        <v>407204417.78953397</v>
      </c>
      <c r="FD35" s="1114">
        <v>184238336808.056</v>
      </c>
      <c r="FE35" s="1114">
        <v>35989166548.324097</v>
      </c>
      <c r="FF35" s="1114">
        <v>222549.38743991</v>
      </c>
      <c r="FG35" s="1114">
        <v>352246031230.672</v>
      </c>
      <c r="FH35" s="1115">
        <v>1706.96192772669</v>
      </c>
      <c r="FI35" s="1115">
        <v>1281.03807227331</v>
      </c>
      <c r="FJ35" s="1114">
        <v>206358457.97673401</v>
      </c>
      <c r="FK35" s="1114">
        <v>274969213.52663702</v>
      </c>
      <c r="FL35" s="1114">
        <v>166778771875.36301</v>
      </c>
      <c r="FM35" s="1114">
        <v>35989166548.324097</v>
      </c>
      <c r="FN35" s="1114">
        <v>434805.81150009</v>
      </c>
      <c r="FO35" s="1114">
        <v>581052792095.00598</v>
      </c>
      <c r="FP35" s="1115">
        <v>583.40530568123302</v>
      </c>
      <c r="FQ35" s="1115">
        <v>2404.5946943187701</v>
      </c>
      <c r="FR35" s="1114">
        <v>995967617.08658195</v>
      </c>
      <c r="FS35" s="1114">
        <v>241642715.70083499</v>
      </c>
      <c r="FT35" s="1114">
        <v>782993032541.80396</v>
      </c>
      <c r="FU35" s="1114">
        <v>238029019871.50201</v>
      </c>
      <c r="FV35" s="1114">
        <v>269531.35381207999</v>
      </c>
      <c r="FW35" s="1114">
        <v>452070446937.92297</v>
      </c>
      <c r="FX35" s="1115">
        <v>1007.98266849355</v>
      </c>
      <c r="FY35" s="1115">
        <v>1980.0173315064501</v>
      </c>
      <c r="FZ35" s="1114">
        <v>448490297.56984901</v>
      </c>
      <c r="GA35" s="1114">
        <v>228316409.02555901</v>
      </c>
      <c r="GB35" s="1114">
        <v>366363670453.27899</v>
      </c>
      <c r="GC35" s="1114">
        <v>238029019871.50201</v>
      </c>
      <c r="GD35" s="1114">
        <v>306943.86038761999</v>
      </c>
      <c r="GE35" s="1114">
        <v>470197078608.39203</v>
      </c>
      <c r="GF35" s="1115">
        <v>1878.7990093436399</v>
      </c>
      <c r="GG35" s="1115">
        <v>1109.2009906563601</v>
      </c>
      <c r="GH35" s="1114">
        <v>250264704.35102901</v>
      </c>
      <c r="GI35" s="1114">
        <v>423906111.30824703</v>
      </c>
      <c r="GJ35" s="1114">
        <v>782993032541.80396</v>
      </c>
      <c r="GK35" s="1114">
        <v>238029019871.50201</v>
      </c>
      <c r="GL35" s="1114">
        <v>226910.70344125599</v>
      </c>
      <c r="GM35" s="1114">
        <v>366581742522.76703</v>
      </c>
      <c r="GN35" s="1115">
        <v>1671.8274134056001</v>
      </c>
      <c r="GO35" s="1115">
        <v>1316.1725865943999</v>
      </c>
      <c r="GP35" s="1114">
        <v>219270087.08154899</v>
      </c>
      <c r="GQ35" s="1114">
        <v>278521028.515948</v>
      </c>
      <c r="GR35" s="1114">
        <v>366363670453.27899</v>
      </c>
      <c r="GS35" s="1114">
        <v>238029019871.50201</v>
      </c>
      <c r="GU35" s="1171">
        <f t="shared" ref="GU35:GU64" si="222">CJ35-EP35</f>
        <v>0</v>
      </c>
      <c r="GV35" s="1171">
        <f t="shared" ref="GV35:GV64" si="223">CK35-EQ35</f>
        <v>0</v>
      </c>
      <c r="GW35" s="1171">
        <f t="shared" ref="GW35:GW64" si="224">CL35-ER35</f>
        <v>-4.0927261579781771E-12</v>
      </c>
      <c r="GX35" s="1171">
        <f t="shared" ref="GX35:GX64" si="225">CM35-ES35</f>
        <v>4.0927261579781771E-12</v>
      </c>
      <c r="GY35" s="1171">
        <f t="shared" ref="GY35:GY64" si="226">CN35-ET35</f>
        <v>3.8743019104003906E-7</v>
      </c>
      <c r="GZ35" s="1171">
        <f t="shared" ref="GZ35:GZ64" si="227">CO35-EU35</f>
        <v>-3.8743019104003906E-7</v>
      </c>
      <c r="HA35" s="1171">
        <f t="shared" si="87"/>
        <v>-2.74658203125E-4</v>
      </c>
      <c r="HB35" s="1171">
        <f t="shared" ref="HB35:HB64" si="228">CQ35-EW35</f>
        <v>0</v>
      </c>
      <c r="HC35" s="1171">
        <f t="shared" ref="HC35:HC64" si="229">CR35-EX35</f>
        <v>-5.8207660913467407E-10</v>
      </c>
      <c r="HD35" s="1171">
        <f t="shared" ref="HD35:HD64" si="230">CS35-EY35</f>
        <v>0</v>
      </c>
      <c r="HE35" s="1171">
        <f t="shared" ref="HE35:HE64" si="231">CT35-EZ35</f>
        <v>-4.0927261579781771E-12</v>
      </c>
      <c r="HF35" s="1171">
        <f t="shared" ref="HF35:HF64" si="232">CU35-FA35</f>
        <v>3.979039320256561E-12</v>
      </c>
      <c r="HG35" s="1171">
        <f t="shared" si="89"/>
        <v>4.4703483581542969E-7</v>
      </c>
      <c r="HH35" s="1171">
        <f t="shared" si="90"/>
        <v>-7.152557373046875E-7</v>
      </c>
      <c r="HI35" s="1171">
        <f t="shared" si="91"/>
        <v>0</v>
      </c>
      <c r="HJ35" s="1171">
        <f t="shared" si="92"/>
        <v>0</v>
      </c>
      <c r="HK35" s="1171">
        <f t="shared" si="93"/>
        <v>3.7834979593753815E-10</v>
      </c>
      <c r="HL35" s="1171">
        <f t="shared" si="94"/>
        <v>0</v>
      </c>
      <c r="HM35" s="1171">
        <f t="shared" si="95"/>
        <v>-4.0927261579781771E-12</v>
      </c>
      <c r="HN35" s="1171">
        <f t="shared" si="96"/>
        <v>4.0927261579781771E-12</v>
      </c>
      <c r="HO35" s="1171">
        <f t="shared" si="97"/>
        <v>0</v>
      </c>
      <c r="HP35" s="1171">
        <f t="shared" si="98"/>
        <v>0</v>
      </c>
      <c r="HQ35" s="1171">
        <f t="shared" si="99"/>
        <v>0</v>
      </c>
      <c r="HR35" s="1171">
        <f t="shared" si="100"/>
        <v>0</v>
      </c>
      <c r="HS35" s="1171">
        <f t="shared" si="101"/>
        <v>-5.2386894822120667E-10</v>
      </c>
      <c r="HT35" s="1171">
        <f t="shared" si="102"/>
        <v>0</v>
      </c>
      <c r="HU35" s="1171">
        <f t="shared" si="103"/>
        <v>1.0231815394945443E-12</v>
      </c>
      <c r="HV35" s="1171">
        <f t="shared" si="104"/>
        <v>-4.0927261579781771E-12</v>
      </c>
      <c r="HW35" s="1171">
        <f t="shared" si="105"/>
        <v>-2.1457672119140625E-6</v>
      </c>
      <c r="HX35" s="1171">
        <f t="shared" si="106"/>
        <v>2.384185791015625E-7</v>
      </c>
      <c r="HY35" s="1171">
        <f t="shared" si="107"/>
        <v>0</v>
      </c>
      <c r="HZ35" s="1171">
        <f t="shared" si="108"/>
        <v>0</v>
      </c>
      <c r="IA35" s="1171">
        <f t="shared" si="109"/>
        <v>0</v>
      </c>
      <c r="IB35" s="1171">
        <f t="shared" si="110"/>
        <v>0</v>
      </c>
      <c r="IC35" s="1171">
        <f t="shared" si="111"/>
        <v>1.2505552149377763E-12</v>
      </c>
      <c r="ID35" s="1171">
        <f t="shared" si="112"/>
        <v>0</v>
      </c>
      <c r="IE35" s="1171">
        <f t="shared" si="113"/>
        <v>-6.5565109252929688E-7</v>
      </c>
      <c r="IF35" s="1171">
        <f t="shared" si="114"/>
        <v>0</v>
      </c>
      <c r="IG35" s="1171">
        <f t="shared" si="115"/>
        <v>0</v>
      </c>
      <c r="IH35" s="1171">
        <f t="shared" si="116"/>
        <v>0</v>
      </c>
      <c r="II35" s="1171">
        <f t="shared" si="117"/>
        <v>-5.2386894822120667E-10</v>
      </c>
      <c r="IJ35" s="1171">
        <f t="shared" si="118"/>
        <v>0</v>
      </c>
      <c r="IK35" s="1171">
        <f t="shared" si="119"/>
        <v>0</v>
      </c>
      <c r="IL35" s="1171">
        <f t="shared" si="120"/>
        <v>0</v>
      </c>
      <c r="IM35" s="1171">
        <f t="shared" si="121"/>
        <v>0</v>
      </c>
      <c r="IN35" s="1171">
        <f t="shared" si="122"/>
        <v>-5.9604644775390625E-7</v>
      </c>
      <c r="IO35" s="1171">
        <f t="shared" si="123"/>
        <v>0</v>
      </c>
      <c r="IP35" s="1171">
        <f t="shared" si="124"/>
        <v>0</v>
      </c>
      <c r="IQ35" s="1171">
        <f t="shared" si="125"/>
        <v>4.3655745685100555E-10</v>
      </c>
      <c r="IR35" s="1171">
        <f t="shared" si="126"/>
        <v>0</v>
      </c>
      <c r="IS35" s="1171">
        <f t="shared" si="127"/>
        <v>2.7284841053187847E-12</v>
      </c>
      <c r="IT35" s="1171">
        <f t="shared" si="128"/>
        <v>-2.7284841053187847E-12</v>
      </c>
      <c r="IU35" s="1171">
        <f t="shared" si="129"/>
        <v>0</v>
      </c>
      <c r="IV35" s="1171">
        <f t="shared" si="130"/>
        <v>0</v>
      </c>
      <c r="IW35" s="1171">
        <f t="shared" si="131"/>
        <v>0</v>
      </c>
      <c r="IX35" s="1171">
        <f t="shared" si="132"/>
        <v>0</v>
      </c>
    </row>
    <row r="36" spans="1:258" s="871" customFormat="1">
      <c r="B36" s="871" t="str">
        <f t="shared" ref="B36" si="233">LEFT(B34,3)+1&amp;"j"</f>
        <v>117j</v>
      </c>
      <c r="C36" s="871">
        <v>76.900000000000006</v>
      </c>
      <c r="D36" s="871">
        <v>0</v>
      </c>
      <c r="E36" s="871" t="s">
        <v>2093</v>
      </c>
      <c r="F36" s="26">
        <v>2</v>
      </c>
      <c r="G36" s="136">
        <v>800</v>
      </c>
      <c r="H36" s="136">
        <v>36</v>
      </c>
      <c r="I36" s="28">
        <v>250</v>
      </c>
      <c r="J36" s="26">
        <v>1909</v>
      </c>
      <c r="K36" s="136">
        <v>28</v>
      </c>
      <c r="L36" s="28">
        <v>120</v>
      </c>
      <c r="M36" s="26">
        <v>2924</v>
      </c>
      <c r="N36" s="28">
        <v>12</v>
      </c>
      <c r="O36" s="397">
        <v>356</v>
      </c>
      <c r="P36" s="26">
        <v>290</v>
      </c>
      <c r="Q36" s="397">
        <f>+Section!L97</f>
        <v>5500</v>
      </c>
      <c r="R36" s="169">
        <v>0</v>
      </c>
      <c r="S36" s="210">
        <v>0</v>
      </c>
      <c r="T36" s="210">
        <v>1200</v>
      </c>
      <c r="U36" s="210">
        <v>2400</v>
      </c>
      <c r="V36" s="872">
        <v>3800</v>
      </c>
      <c r="W36" s="210">
        <v>19</v>
      </c>
      <c r="X36" s="210">
        <v>200</v>
      </c>
      <c r="Y36" s="210">
        <v>50</v>
      </c>
      <c r="Z36" s="210">
        <v>16</v>
      </c>
      <c r="AA36" s="210">
        <v>200</v>
      </c>
      <c r="AB36" s="872">
        <v>40</v>
      </c>
      <c r="AC36" s="881">
        <f t="shared" ref="AC36:AC46" si="234">10*3*0.25*PI()*16^2</f>
        <v>6031.8578948924023</v>
      </c>
      <c r="AD36" s="397">
        <v>2</v>
      </c>
      <c r="AE36" s="210">
        <v>160</v>
      </c>
      <c r="AF36" s="210">
        <v>16</v>
      </c>
      <c r="AG36" s="397">
        <v>0</v>
      </c>
      <c r="AH36" s="210">
        <v>0</v>
      </c>
      <c r="AI36" s="210">
        <v>0</v>
      </c>
      <c r="AJ36" s="397">
        <v>2</v>
      </c>
      <c r="AK36" s="210">
        <v>2500</v>
      </c>
      <c r="AL36" s="210">
        <v>5000</v>
      </c>
      <c r="AM36" s="210" t="s">
        <v>2316</v>
      </c>
      <c r="AN36" s="210">
        <v>2500</v>
      </c>
      <c r="AO36" s="1143" t="s">
        <v>2321</v>
      </c>
      <c r="AP36" s="1143" t="s">
        <v>2321</v>
      </c>
      <c r="AQ36" s="136">
        <v>200</v>
      </c>
      <c r="AR36" s="136">
        <v>14</v>
      </c>
      <c r="AS36" s="1143" t="s">
        <v>2448</v>
      </c>
      <c r="AT36" s="136">
        <v>120</v>
      </c>
      <c r="AU36" s="136">
        <v>12</v>
      </c>
      <c r="AV36" s="1111"/>
      <c r="AW36" s="1111"/>
      <c r="AX36" s="1111"/>
      <c r="AY36" s="1111"/>
      <c r="AZ36" s="1108">
        <v>8</v>
      </c>
      <c r="BA36" s="1108">
        <v>6</v>
      </c>
      <c r="BB36" s="1111"/>
      <c r="BC36" s="1168"/>
      <c r="BD36" s="210">
        <f>INDEX(Spec!$B$12:$P$58,MATCH(AO36,Spec!$A$12:$A$58,0),6)*100</f>
        <v>1900</v>
      </c>
      <c r="BE36" s="210">
        <f>INDEX(Spec!$B$12:$P$58,MATCH(AP36,Spec!$A$12:$A$58,0),6)*100</f>
        <v>1900</v>
      </c>
      <c r="BF36" s="881">
        <f t="shared" si="161"/>
        <v>0.7032528545897504</v>
      </c>
      <c r="BG36" s="881">
        <f t="shared" si="162"/>
        <v>47.243485714285718</v>
      </c>
      <c r="BH36" s="881"/>
      <c r="BI36" s="13" cm="1">
        <f t="array" ref="BI36">INDEX(Info!$AD$4:$AH$15,MATCH(Info!$I$13,Info!$AC$4:$AC$15,0),IF(H36&lt;=16,1,IF(H36&lt;=40,2,IF(H36&lt;=75,3,IF(H36&lt;=100,4,5)))))</f>
        <v>380</v>
      </c>
      <c r="BJ36" s="13" cm="1">
        <f t="array" ref="BJ36">INDEX(Info!$AD$4:$AH$15,MATCH(Info!$I$13,Info!$AC$4:$AC$15,0),IF(K36&lt;=16,1,IF(K36&lt;=40,2,IF(K36&lt;=75,3,IF(K36&lt;=100,4,5)))))</f>
        <v>380</v>
      </c>
      <c r="BK36" s="13" cm="1">
        <f t="array" ref="BK36">INDEX(Info!$AD$4:$AH$15,MATCH(Info!$I$14,Info!$AC$4:$AC$15,0),IF(N36&lt;=16,1,IF(N36&lt;=40,2,IF(N36&lt;=75,3,IF(N36&lt;=100,4,5)))))</f>
        <v>355</v>
      </c>
      <c r="BL36" s="13">
        <f>IF(Stress!C865="Positive",MAX(MIN(0.7*BI36,BK36),0.5*BI36),MAX(MIN(0.7*BJ36,BK36),0.5*BJ36))</f>
        <v>266</v>
      </c>
      <c r="BM36" s="13" cm="1">
        <f t="array" ref="BM36">INDEX(Info!$AD$4:$AH$15,MATCH(Info!$I$13,Info!$AC$4:$AC$15,0),IF(AI36&lt;=16,1,IF(AI36&lt;=40,2,IF(AI36&lt;=75,3,IF(AI36&lt;=100,4,5)))))</f>
        <v>380</v>
      </c>
      <c r="BN36" s="13" cm="1">
        <f t="array" ref="BN36">INDEX(Info!$AD$4:$AH$15,MATCH(Info!$I$13,Info!$AC$4:$AC$15,0),IF(AF36&lt;=16,1,IF(AF36&lt;=40,2,IF(AF36&lt;=75,3,IF(AF36&lt;=100,4,5)))))</f>
        <v>380</v>
      </c>
      <c r="BO36" s="13"/>
      <c r="BP36" s="873">
        <f t="shared" si="163"/>
        <v>0.125</v>
      </c>
      <c r="BQ36" s="873">
        <f t="shared" si="164"/>
        <v>2946.7552070031197</v>
      </c>
      <c r="BR36" s="873">
        <f t="shared" si="165"/>
        <v>3242</v>
      </c>
      <c r="BS36" s="873"/>
      <c r="BT36" s="871">
        <f t="shared" si="166"/>
        <v>610006</v>
      </c>
      <c r="BU36" s="136">
        <f t="shared" si="167"/>
        <v>6441028318.3747358</v>
      </c>
      <c r="BV36" s="871">
        <f t="shared" si="168"/>
        <v>1595000</v>
      </c>
      <c r="BW36" s="871">
        <f t="shared" si="169"/>
        <v>11178291666.666666</v>
      </c>
      <c r="BX36" s="871">
        <f t="shared" si="170"/>
        <v>0</v>
      </c>
      <c r="BY36" s="871">
        <f t="shared" si="171"/>
        <v>0</v>
      </c>
      <c r="BZ36" s="871">
        <f t="shared" si="172"/>
        <v>7655.2758986349281</v>
      </c>
      <c r="CA36" s="871">
        <f t="shared" si="173"/>
        <v>172722.16246295057</v>
      </c>
      <c r="CB36" s="871">
        <f t="shared" si="174"/>
        <v>5428.6721054031623</v>
      </c>
      <c r="CC36" s="871">
        <f t="shared" si="175"/>
        <v>86858.753686450596</v>
      </c>
      <c r="CE36" s="1137">
        <f t="shared" si="176"/>
        <v>394088727.74137288</v>
      </c>
      <c r="CF36" s="1136">
        <f t="shared" si="177"/>
        <v>396277902.22222227</v>
      </c>
      <c r="CG36" s="1136">
        <f t="shared" si="178"/>
        <v>149352979447.91666</v>
      </c>
      <c r="CH36" s="172">
        <f t="shared" si="179"/>
        <v>4020729166666.6665</v>
      </c>
      <c r="CJ36" s="136">
        <f t="shared" si="180"/>
        <v>186894.12496807487</v>
      </c>
      <c r="CK36" s="7">
        <f t="shared" si="181"/>
        <v>302801127925.51624</v>
      </c>
      <c r="CL36" s="875">
        <f t="shared" si="182"/>
        <v>1501.8684576100159</v>
      </c>
      <c r="CM36" s="6">
        <f t="shared" si="183"/>
        <v>1486.1315423899841</v>
      </c>
      <c r="CN36" s="876">
        <f t="shared" si="73"/>
        <v>201616277.6381734</v>
      </c>
      <c r="CO36" s="876">
        <f t="shared" si="74"/>
        <v>203751228.80344361</v>
      </c>
      <c r="CP36" s="1137">
        <f t="shared" si="184"/>
        <v>158048989409.01672</v>
      </c>
      <c r="CQ36" s="1136">
        <f t="shared" si="185"/>
        <v>35989166548.324066</v>
      </c>
      <c r="CR36" s="877">
        <f t="shared" si="186"/>
        <v>293859.9123835814</v>
      </c>
      <c r="CS36" s="874">
        <f t="shared" si="187"/>
        <v>415413767204.64978</v>
      </c>
      <c r="CT36" s="875">
        <f t="shared" si="188"/>
        <v>1967.839733911336</v>
      </c>
      <c r="CU36" s="878">
        <f t="shared" si="189"/>
        <v>1020.160266088664</v>
      </c>
      <c r="CV36" s="876">
        <f t="shared" si="190"/>
        <v>211101422.56298545</v>
      </c>
      <c r="CW36" s="876">
        <f t="shared" si="191"/>
        <v>407204417.78953326</v>
      </c>
      <c r="CX36" s="1136">
        <f t="shared" si="192"/>
        <v>184238336808.05603</v>
      </c>
      <c r="CY36" s="1136">
        <f t="shared" si="193"/>
        <v>35989166548.324066</v>
      </c>
      <c r="CZ36" s="877">
        <f t="shared" si="194"/>
        <v>222549.38743991038</v>
      </c>
      <c r="DA36" s="874">
        <f t="shared" si="195"/>
        <v>352246031230.67206</v>
      </c>
      <c r="DB36" s="875">
        <f t="shared" si="196"/>
        <v>1706.9619277266859</v>
      </c>
      <c r="DC36" s="878">
        <f t="shared" si="197"/>
        <v>1281.0380722733141</v>
      </c>
      <c r="DD36" s="876">
        <f t="shared" si="75"/>
        <v>206358457.97673392</v>
      </c>
      <c r="DE36" s="876">
        <f t="shared" si="76"/>
        <v>274969213.52663678</v>
      </c>
      <c r="DF36" s="1136">
        <f t="shared" si="198"/>
        <v>166778771875.36316</v>
      </c>
      <c r="DG36" s="1136">
        <f t="shared" si="199"/>
        <v>35989166548.324066</v>
      </c>
      <c r="DH36" s="877">
        <f t="shared" si="200"/>
        <v>434805.81150008948</v>
      </c>
      <c r="DI36" s="879">
        <f t="shared" si="201"/>
        <v>581052792095.00635</v>
      </c>
      <c r="DJ36" s="878">
        <f t="shared" si="202"/>
        <v>583.40530568123404</v>
      </c>
      <c r="DK36" s="877">
        <f t="shared" si="203"/>
        <v>2404.594694318766</v>
      </c>
      <c r="DL36" s="876">
        <f t="shared" si="77"/>
        <v>995967617.0865798</v>
      </c>
      <c r="DM36" s="876">
        <f t="shared" si="78"/>
        <v>241642715.70083523</v>
      </c>
      <c r="DN36" s="7">
        <f t="shared" si="204"/>
        <v>782993032541.80347</v>
      </c>
      <c r="DO36" s="1136">
        <f t="shared" si="205"/>
        <v>238029019871.50217</v>
      </c>
      <c r="DP36" s="877">
        <f t="shared" si="206"/>
        <v>269531.35381207976</v>
      </c>
      <c r="DQ36" s="879">
        <f t="shared" si="207"/>
        <v>452070446937.92261</v>
      </c>
      <c r="DR36" s="877">
        <f t="shared" si="208"/>
        <v>1007.9826684935513</v>
      </c>
      <c r="DS36" s="877">
        <f t="shared" si="209"/>
        <v>1980.0173315064487</v>
      </c>
      <c r="DT36" s="876">
        <f t="shared" si="79"/>
        <v>448490297.56984836</v>
      </c>
      <c r="DU36" s="876">
        <f t="shared" si="80"/>
        <v>228316409.02555922</v>
      </c>
      <c r="DV36" s="1136">
        <f t="shared" si="210"/>
        <v>366363670453.27893</v>
      </c>
      <c r="DW36" s="1136">
        <f t="shared" si="211"/>
        <v>238029019871.50217</v>
      </c>
      <c r="DX36" s="880">
        <f t="shared" si="212"/>
        <v>306943.86038761947</v>
      </c>
      <c r="DY36" s="874">
        <f t="shared" si="213"/>
        <v>470197078608.39197</v>
      </c>
      <c r="DZ36" s="873">
        <f t="shared" si="214"/>
        <v>1878.7990093436404</v>
      </c>
      <c r="EA36" s="880">
        <f t="shared" si="215"/>
        <v>1109.2009906563596</v>
      </c>
      <c r="EB36" s="876">
        <f t="shared" si="81"/>
        <v>250264704.3510288</v>
      </c>
      <c r="EC36" s="876">
        <f t="shared" si="82"/>
        <v>423906111.30824643</v>
      </c>
      <c r="ED36" s="1136">
        <f t="shared" si="216"/>
        <v>782993032541.80347</v>
      </c>
      <c r="EE36" s="1136">
        <f t="shared" si="217"/>
        <v>238029019871.50217</v>
      </c>
      <c r="EF36" s="880">
        <f t="shared" si="218"/>
        <v>226910.70344125642</v>
      </c>
      <c r="EG36" s="874">
        <f t="shared" si="219"/>
        <v>366581742522.76697</v>
      </c>
      <c r="EH36" s="873">
        <f t="shared" si="220"/>
        <v>1671.8274134056028</v>
      </c>
      <c r="EI36" s="880">
        <f t="shared" si="221"/>
        <v>1316.1725865943972</v>
      </c>
      <c r="EJ36" s="876">
        <f t="shared" si="83"/>
        <v>219270087.08154878</v>
      </c>
      <c r="EK36" s="876">
        <f t="shared" si="84"/>
        <v>278521028.51594788</v>
      </c>
      <c r="EL36" s="1136">
        <f t="shared" si="85"/>
        <v>366363670453.27893</v>
      </c>
      <c r="EM36" s="1136">
        <f t="shared" si="86"/>
        <v>238029019871.50217</v>
      </c>
      <c r="EN36" s="876"/>
      <c r="EO36" s="1113" t="s">
        <v>2194</v>
      </c>
      <c r="EP36" s="1114">
        <v>186894.12496807499</v>
      </c>
      <c r="EQ36" s="1114">
        <v>302801127925.51599</v>
      </c>
      <c r="ER36" s="1115">
        <v>1501.86845761002</v>
      </c>
      <c r="ES36" s="1115">
        <v>1486.13154238998</v>
      </c>
      <c r="ET36" s="1114">
        <v>201616277.63817301</v>
      </c>
      <c r="EU36" s="1114">
        <v>203751228.803444</v>
      </c>
      <c r="EV36" s="1114">
        <v>158048989409.017</v>
      </c>
      <c r="EW36" s="1114">
        <v>35989166548.324097</v>
      </c>
      <c r="EX36" s="1114">
        <v>293859.91238358198</v>
      </c>
      <c r="EY36" s="1114">
        <v>415413767204.65002</v>
      </c>
      <c r="EZ36" s="1115">
        <v>1967.8397339113401</v>
      </c>
      <c r="FA36" s="1115">
        <v>1020.16026608866</v>
      </c>
      <c r="FB36" s="1114">
        <v>211101422.562985</v>
      </c>
      <c r="FC36" s="1114">
        <v>407204417.78953397</v>
      </c>
      <c r="FD36" s="1114">
        <v>184238336808.056</v>
      </c>
      <c r="FE36" s="1114">
        <v>35989166548.324097</v>
      </c>
      <c r="FF36" s="1114">
        <v>222549.38743991</v>
      </c>
      <c r="FG36" s="1114">
        <v>352246031230.672</v>
      </c>
      <c r="FH36" s="1115">
        <v>1706.96192772669</v>
      </c>
      <c r="FI36" s="1115">
        <v>1281.03807227331</v>
      </c>
      <c r="FJ36" s="1114">
        <v>206358457.97673401</v>
      </c>
      <c r="FK36" s="1114">
        <v>274969213.52663702</v>
      </c>
      <c r="FL36" s="1114">
        <v>166778771875.36301</v>
      </c>
      <c r="FM36" s="1114">
        <v>35989166548.324097</v>
      </c>
      <c r="FN36" s="1114">
        <v>434805.81150009</v>
      </c>
      <c r="FO36" s="1114">
        <v>581052792095.00598</v>
      </c>
      <c r="FP36" s="1115">
        <v>583.40530568123302</v>
      </c>
      <c r="FQ36" s="1115">
        <v>2404.5946943187701</v>
      </c>
      <c r="FR36" s="1114">
        <v>995967617.08658195</v>
      </c>
      <c r="FS36" s="1114">
        <v>241642715.70083499</v>
      </c>
      <c r="FT36" s="1114">
        <v>782993032541.80396</v>
      </c>
      <c r="FU36" s="1114">
        <v>238029019871.50201</v>
      </c>
      <c r="FV36" s="1114">
        <v>269531.35381207999</v>
      </c>
      <c r="FW36" s="1114">
        <v>452070446937.92297</v>
      </c>
      <c r="FX36" s="1115">
        <v>1007.98266849355</v>
      </c>
      <c r="FY36" s="1115">
        <v>1980.0173315064501</v>
      </c>
      <c r="FZ36" s="1114">
        <v>448490297.56984901</v>
      </c>
      <c r="GA36" s="1114">
        <v>228316409.02555901</v>
      </c>
      <c r="GB36" s="1114">
        <v>366363670453.27899</v>
      </c>
      <c r="GC36" s="1114">
        <v>238029019871.50201</v>
      </c>
      <c r="GD36" s="1114">
        <v>306943.86038761999</v>
      </c>
      <c r="GE36" s="1114">
        <v>470197078608.39203</v>
      </c>
      <c r="GF36" s="1115">
        <v>1878.7990093436399</v>
      </c>
      <c r="GG36" s="1115">
        <v>1109.2009906563601</v>
      </c>
      <c r="GH36" s="1114">
        <v>250264704.35102901</v>
      </c>
      <c r="GI36" s="1114">
        <v>423906111.30824703</v>
      </c>
      <c r="GJ36" s="1114">
        <v>782993032541.80396</v>
      </c>
      <c r="GK36" s="1114">
        <v>238029019871.50201</v>
      </c>
      <c r="GL36" s="1114">
        <v>226910.70344125599</v>
      </c>
      <c r="GM36" s="1114">
        <v>366581742522.76703</v>
      </c>
      <c r="GN36" s="1115">
        <v>1671.8274134056001</v>
      </c>
      <c r="GO36" s="1115">
        <v>1316.1725865943999</v>
      </c>
      <c r="GP36" s="1114">
        <v>219270087.08154899</v>
      </c>
      <c r="GQ36" s="1114">
        <v>278521028.515948</v>
      </c>
      <c r="GR36" s="1114">
        <v>366363670453.27899</v>
      </c>
      <c r="GS36" s="1114">
        <v>238029019871.50201</v>
      </c>
      <c r="GU36" s="1171">
        <f t="shared" si="222"/>
        <v>0</v>
      </c>
      <c r="GV36" s="1171">
        <f t="shared" si="223"/>
        <v>0</v>
      </c>
      <c r="GW36" s="1171">
        <f t="shared" si="224"/>
        <v>-4.0927261579781771E-12</v>
      </c>
      <c r="GX36" s="1171">
        <f t="shared" si="225"/>
        <v>4.0927261579781771E-12</v>
      </c>
      <c r="GY36" s="1171">
        <f t="shared" si="226"/>
        <v>3.8743019104003906E-7</v>
      </c>
      <c r="GZ36" s="1171">
        <f t="shared" si="227"/>
        <v>-3.8743019104003906E-7</v>
      </c>
      <c r="HA36" s="1171">
        <f t="shared" ref="HA36:HA64" si="235">CP36-EV36</f>
        <v>-2.74658203125E-4</v>
      </c>
      <c r="HB36" s="1171">
        <f t="shared" si="228"/>
        <v>0</v>
      </c>
      <c r="HC36" s="1171">
        <f t="shared" si="229"/>
        <v>-5.8207660913467407E-10</v>
      </c>
      <c r="HD36" s="1171">
        <f t="shared" si="230"/>
        <v>0</v>
      </c>
      <c r="HE36" s="1171">
        <f t="shared" si="231"/>
        <v>-4.0927261579781771E-12</v>
      </c>
      <c r="HF36" s="1171">
        <f t="shared" si="232"/>
        <v>3.979039320256561E-12</v>
      </c>
      <c r="HG36" s="1171">
        <f t="shared" si="89"/>
        <v>4.4703483581542969E-7</v>
      </c>
      <c r="HH36" s="1171">
        <f t="shared" si="90"/>
        <v>-7.152557373046875E-7</v>
      </c>
      <c r="HI36" s="1171">
        <f t="shared" si="91"/>
        <v>0</v>
      </c>
      <c r="HJ36" s="1171">
        <f t="shared" si="92"/>
        <v>0</v>
      </c>
      <c r="HK36" s="1171">
        <f t="shared" si="93"/>
        <v>3.7834979593753815E-10</v>
      </c>
      <c r="HL36" s="1171">
        <f t="shared" si="94"/>
        <v>0</v>
      </c>
      <c r="HM36" s="1171">
        <f t="shared" si="95"/>
        <v>-4.0927261579781771E-12</v>
      </c>
      <c r="HN36" s="1171">
        <f t="shared" si="96"/>
        <v>4.0927261579781771E-12</v>
      </c>
      <c r="HO36" s="1171">
        <f t="shared" si="97"/>
        <v>0</v>
      </c>
      <c r="HP36" s="1171">
        <f t="shared" si="98"/>
        <v>0</v>
      </c>
      <c r="HQ36" s="1171">
        <f t="shared" si="99"/>
        <v>0</v>
      </c>
      <c r="HR36" s="1171">
        <f t="shared" si="100"/>
        <v>0</v>
      </c>
      <c r="HS36" s="1171">
        <f t="shared" si="101"/>
        <v>-5.2386894822120667E-10</v>
      </c>
      <c r="HT36" s="1171">
        <f t="shared" si="102"/>
        <v>0</v>
      </c>
      <c r="HU36" s="1171">
        <f t="shared" si="103"/>
        <v>1.0231815394945443E-12</v>
      </c>
      <c r="HV36" s="1171">
        <f t="shared" si="104"/>
        <v>-4.0927261579781771E-12</v>
      </c>
      <c r="HW36" s="1171">
        <f t="shared" si="105"/>
        <v>-2.1457672119140625E-6</v>
      </c>
      <c r="HX36" s="1171">
        <f t="shared" si="106"/>
        <v>2.384185791015625E-7</v>
      </c>
      <c r="HY36" s="1171">
        <f t="shared" si="107"/>
        <v>0</v>
      </c>
      <c r="HZ36" s="1171">
        <f t="shared" si="108"/>
        <v>0</v>
      </c>
      <c r="IA36" s="1171">
        <f t="shared" si="109"/>
        <v>0</v>
      </c>
      <c r="IB36" s="1171">
        <f t="shared" si="110"/>
        <v>0</v>
      </c>
      <c r="IC36" s="1171">
        <f t="shared" si="111"/>
        <v>1.2505552149377763E-12</v>
      </c>
      <c r="ID36" s="1171">
        <f t="shared" si="112"/>
        <v>0</v>
      </c>
      <c r="IE36" s="1171">
        <f t="shared" si="113"/>
        <v>-6.5565109252929688E-7</v>
      </c>
      <c r="IF36" s="1171">
        <f t="shared" si="114"/>
        <v>0</v>
      </c>
      <c r="IG36" s="1171">
        <f t="shared" si="115"/>
        <v>0</v>
      </c>
      <c r="IH36" s="1171">
        <f t="shared" si="116"/>
        <v>0</v>
      </c>
      <c r="II36" s="1171">
        <f t="shared" si="117"/>
        <v>-5.2386894822120667E-10</v>
      </c>
      <c r="IJ36" s="1171">
        <f t="shared" si="118"/>
        <v>0</v>
      </c>
      <c r="IK36" s="1171">
        <f t="shared" si="119"/>
        <v>0</v>
      </c>
      <c r="IL36" s="1171">
        <f t="shared" si="120"/>
        <v>0</v>
      </c>
      <c r="IM36" s="1171">
        <f t="shared" si="121"/>
        <v>0</v>
      </c>
      <c r="IN36" s="1171">
        <f t="shared" si="122"/>
        <v>-5.9604644775390625E-7</v>
      </c>
      <c r="IO36" s="1171">
        <f t="shared" si="123"/>
        <v>0</v>
      </c>
      <c r="IP36" s="1171">
        <f t="shared" si="124"/>
        <v>0</v>
      </c>
      <c r="IQ36" s="1171">
        <f t="shared" si="125"/>
        <v>4.3655745685100555E-10</v>
      </c>
      <c r="IR36" s="1171">
        <f t="shared" si="126"/>
        <v>0</v>
      </c>
      <c r="IS36" s="1171">
        <f t="shared" si="127"/>
        <v>2.7284841053187847E-12</v>
      </c>
      <c r="IT36" s="1171">
        <f t="shared" si="128"/>
        <v>-2.7284841053187847E-12</v>
      </c>
      <c r="IU36" s="1171">
        <f t="shared" si="129"/>
        <v>0</v>
      </c>
      <c r="IV36" s="1171">
        <f t="shared" si="130"/>
        <v>0</v>
      </c>
      <c r="IW36" s="1171">
        <f t="shared" si="131"/>
        <v>0</v>
      </c>
      <c r="IX36" s="1171">
        <f t="shared" si="132"/>
        <v>0</v>
      </c>
    </row>
    <row r="37" spans="1:258" s="871" customFormat="1">
      <c r="A37" s="871">
        <v>118</v>
      </c>
      <c r="B37" s="871" t="str">
        <f t="shared" ref="B37" si="236">LEFT(B35,3)+1&amp;"i"</f>
        <v>118i</v>
      </c>
      <c r="C37" s="871">
        <v>76.900000000000006</v>
      </c>
      <c r="D37" s="871">
        <v>0</v>
      </c>
      <c r="E37" s="871" t="s">
        <v>2094</v>
      </c>
      <c r="F37" s="397">
        <v>1</v>
      </c>
      <c r="G37" s="871">
        <v>2900</v>
      </c>
      <c r="H37" s="871">
        <v>40</v>
      </c>
      <c r="I37" s="872">
        <v>250</v>
      </c>
      <c r="J37" s="397">
        <v>1864</v>
      </c>
      <c r="K37" s="871">
        <v>30</v>
      </c>
      <c r="L37" s="872">
        <v>120</v>
      </c>
      <c r="M37" s="397">
        <v>3103</v>
      </c>
      <c r="N37" s="872">
        <v>14</v>
      </c>
      <c r="O37" s="397">
        <v>512</v>
      </c>
      <c r="P37" s="397">
        <v>290</v>
      </c>
      <c r="Q37" s="397">
        <f>+Section!L98</f>
        <v>5450</v>
      </c>
      <c r="R37" s="210">
        <v>0</v>
      </c>
      <c r="S37" s="210">
        <v>0</v>
      </c>
      <c r="T37" s="210">
        <v>1150</v>
      </c>
      <c r="U37" s="210">
        <v>2400</v>
      </c>
      <c r="V37" s="872">
        <v>3800</v>
      </c>
      <c r="W37" s="210">
        <v>19</v>
      </c>
      <c r="X37" s="210">
        <v>200</v>
      </c>
      <c r="Y37" s="210">
        <v>50</v>
      </c>
      <c r="Z37" s="210">
        <v>16</v>
      </c>
      <c r="AA37" s="210">
        <v>200</v>
      </c>
      <c r="AB37" s="872">
        <v>40</v>
      </c>
      <c r="AC37" s="881">
        <f t="shared" si="234"/>
        <v>6031.8578948924023</v>
      </c>
      <c r="AD37" s="397">
        <v>2</v>
      </c>
      <c r="AE37" s="210">
        <v>160</v>
      </c>
      <c r="AF37" s="210">
        <v>16</v>
      </c>
      <c r="AG37" s="397">
        <v>0</v>
      </c>
      <c r="AH37" s="210">
        <v>0</v>
      </c>
      <c r="AI37" s="210">
        <v>0</v>
      </c>
      <c r="AJ37" s="397">
        <v>2</v>
      </c>
      <c r="AK37" s="210">
        <v>2500</v>
      </c>
      <c r="AL37" s="210">
        <v>5000</v>
      </c>
      <c r="AM37" s="1143" t="s">
        <v>2323</v>
      </c>
      <c r="AN37" s="210">
        <v>0</v>
      </c>
      <c r="AO37" s="1143" t="s">
        <v>2323</v>
      </c>
      <c r="AP37" s="1143" t="s">
        <v>2323</v>
      </c>
      <c r="AQ37" s="136">
        <v>180</v>
      </c>
      <c r="AR37" s="136">
        <v>16</v>
      </c>
      <c r="AS37" s="1143" t="s">
        <v>2448</v>
      </c>
      <c r="AT37" s="136">
        <v>120</v>
      </c>
      <c r="AU37" s="136">
        <v>12</v>
      </c>
      <c r="AV37" s="1111"/>
      <c r="AW37" s="1111"/>
      <c r="AX37" s="1111"/>
      <c r="AY37" s="1111"/>
      <c r="AZ37" s="1108">
        <v>8</v>
      </c>
      <c r="BA37" s="1108">
        <v>6</v>
      </c>
      <c r="BB37" s="1111"/>
      <c r="BC37" s="1168"/>
      <c r="BD37" s="210">
        <f>INDEX(Spec!$B$12:$P$58,MATCH(AO37,Spec!$A$12:$A$58,0),6)*100</f>
        <v>0</v>
      </c>
      <c r="BE37" s="210">
        <f>INDEX(Spec!$B$12:$P$58,MATCH(AP37,Spec!$A$12:$A$58,0),6)*100</f>
        <v>0</v>
      </c>
      <c r="BF37" s="881">
        <f t="shared" si="161"/>
        <v>0</v>
      </c>
      <c r="BG37" s="881">
        <f t="shared" si="162"/>
        <v>47.243485714285718</v>
      </c>
      <c r="BH37" s="881"/>
      <c r="BI37" s="873" cm="1">
        <f t="array" ref="BI37">INDEX(Info!$AD$4:$AH$15,MATCH(Info!$I$13,Info!$AC$4:$AC$15,0),IF(H37&lt;=16,1,IF(H37&lt;=40,2,IF(H37&lt;=75,3,IF(H37&lt;=100,4,5)))))</f>
        <v>380</v>
      </c>
      <c r="BJ37" s="873" cm="1">
        <f t="array" ref="BJ37">INDEX(Info!$AD$4:$AH$15,MATCH(Info!$I$13,Info!$AC$4:$AC$15,0),IF(K37&lt;=16,1,IF(K37&lt;=40,2,IF(K37&lt;=75,3,IF(K37&lt;=100,4,5)))))</f>
        <v>380</v>
      </c>
      <c r="BK37" s="873" cm="1">
        <f t="array" ref="BK37">INDEX(Info!$AD$4:$AH$15,MATCH(Info!$I$14,Info!$AC$4:$AC$15,0),IF(N37&lt;=16,1,IF(N37&lt;=40,2,IF(N37&lt;=75,3,IF(N37&lt;=100,4,5)))))</f>
        <v>355</v>
      </c>
      <c r="BL37" s="873">
        <f>IF(Stress!C866="Positive",MAX(MIN(0.7*BI37,BK37),0.5*BI37),MAX(MIN(0.7*BJ37,BK37),0.5*BJ37))</f>
        <v>266</v>
      </c>
      <c r="BM37" s="873" cm="1">
        <f t="array" ref="BM37">INDEX(Info!$AD$4:$AH$15,MATCH(Info!$I$13,Info!$AC$4:$AC$15,0),IF(AI37&lt;=16,1,IF(AI37&lt;=40,2,IF(AI37&lt;=75,3,IF(AI37&lt;=100,4,5)))))</f>
        <v>380</v>
      </c>
      <c r="BN37" s="873" cm="1">
        <f t="array" ref="BN37">INDEX(Info!$AD$4:$AH$15,MATCH(Info!$I$13,Info!$AC$4:$AC$15,0),IF(AF37&lt;=16,1,IF(AF37&lt;=40,2,IF(AF37&lt;=75,3,IF(AF37&lt;=100,4,5)))))</f>
        <v>380</v>
      </c>
      <c r="BO37" s="873"/>
      <c r="BP37" s="873">
        <f t="shared" si="163"/>
        <v>0.1250402835965195</v>
      </c>
      <c r="BQ37" s="873">
        <f t="shared" si="164"/>
        <v>3127.1637309229591</v>
      </c>
      <c r="BR37" s="873">
        <f t="shared" si="165"/>
        <v>3423</v>
      </c>
      <c r="BS37" s="873"/>
      <c r="BT37" s="871">
        <f t="shared" si="166"/>
        <v>864266.56010312599</v>
      </c>
      <c r="BU37" s="871">
        <f t="shared" si="167"/>
        <v>18871138575.090694</v>
      </c>
      <c r="BV37" s="871">
        <f t="shared" si="168"/>
        <v>1580500</v>
      </c>
      <c r="BW37" s="871">
        <f t="shared" si="169"/>
        <v>11076670833.333334</v>
      </c>
      <c r="BX37" s="871">
        <f t="shared" si="170"/>
        <v>0</v>
      </c>
      <c r="BY37" s="871">
        <f t="shared" si="171"/>
        <v>0</v>
      </c>
      <c r="BZ37" s="871">
        <f t="shared" si="172"/>
        <v>7655.2758986349281</v>
      </c>
      <c r="CA37" s="871">
        <f t="shared" si="173"/>
        <v>172722.16246295057</v>
      </c>
      <c r="CB37" s="871">
        <f t="shared" si="174"/>
        <v>5428.6721054031623</v>
      </c>
      <c r="CC37" s="871">
        <f t="shared" si="175"/>
        <v>86858.753686450596</v>
      </c>
      <c r="CE37" s="1141">
        <f t="shared" si="176"/>
        <v>549964617.89726794</v>
      </c>
      <c r="CF37" s="1142">
        <f t="shared" si="177"/>
        <v>375202702.22222227</v>
      </c>
      <c r="CG37" s="1142">
        <f t="shared" si="178"/>
        <v>205516269595.85425</v>
      </c>
      <c r="CH37" s="879">
        <f t="shared" si="179"/>
        <v>3912066770833.333</v>
      </c>
      <c r="CJ37" s="871">
        <f t="shared" si="180"/>
        <v>264600.58446584287</v>
      </c>
      <c r="CK37" s="874">
        <f t="shared" si="181"/>
        <v>476361046724.83496</v>
      </c>
      <c r="CL37" s="875">
        <f t="shared" si="182"/>
        <v>1262.0931690364366</v>
      </c>
      <c r="CM37" s="875">
        <f t="shared" si="183"/>
        <v>1910.9068309635634</v>
      </c>
      <c r="CN37" s="876">
        <f t="shared" si="73"/>
        <v>377437306.85787624</v>
      </c>
      <c r="CO37" s="876">
        <f t="shared" si="74"/>
        <v>249285333.54220769</v>
      </c>
      <c r="CP37" s="1137">
        <f t="shared" si="184"/>
        <v>188824577667.32001</v>
      </c>
      <c r="CQ37" s="1136">
        <f t="shared" si="185"/>
        <v>280290269274.4538</v>
      </c>
      <c r="CR37" s="877">
        <f t="shared" si="186"/>
        <v>416151.47599530662</v>
      </c>
      <c r="CS37" s="874">
        <f t="shared" si="187"/>
        <v>734092210525.72168</v>
      </c>
      <c r="CT37" s="875">
        <f t="shared" si="188"/>
        <v>1853.8394275253072</v>
      </c>
      <c r="CU37" s="878">
        <f t="shared" si="189"/>
        <v>1319.1605724746928</v>
      </c>
      <c r="CV37" s="876">
        <f t="shared" si="190"/>
        <v>395984786.83003438</v>
      </c>
      <c r="CW37" s="876">
        <f t="shared" si="191"/>
        <v>556484347.57915318</v>
      </c>
      <c r="CX37" s="1142">
        <f t="shared" si="192"/>
        <v>224862271729.37524</v>
      </c>
      <c r="CY37" s="1136">
        <f t="shared" si="193"/>
        <v>280290269274.4538</v>
      </c>
      <c r="CZ37" s="877">
        <f t="shared" si="194"/>
        <v>315117.54830899747</v>
      </c>
      <c r="DA37" s="874">
        <f t="shared" si="195"/>
        <v>589462622312.31006</v>
      </c>
      <c r="DB37" s="875">
        <f t="shared" si="196"/>
        <v>1522.5844049856012</v>
      </c>
      <c r="DC37" s="878">
        <f t="shared" si="197"/>
        <v>1650.4155950143988</v>
      </c>
      <c r="DD37" s="876">
        <f t="shared" si="75"/>
        <v>387146105.25508732</v>
      </c>
      <c r="DE37" s="876">
        <f t="shared" si="76"/>
        <v>357160114.15122831</v>
      </c>
      <c r="DF37" s="1142">
        <f t="shared" si="198"/>
        <v>200837142354.67175</v>
      </c>
      <c r="DG37" s="1136">
        <f t="shared" si="199"/>
        <v>280290269274.4538</v>
      </c>
      <c r="DH37" s="877">
        <f t="shared" si="200"/>
        <v>510258.52839302097</v>
      </c>
      <c r="DI37" s="879">
        <f t="shared" si="201"/>
        <v>716165249859.62256</v>
      </c>
      <c r="DJ37" s="878">
        <f t="shared" si="202"/>
        <v>603.92230392606234</v>
      </c>
      <c r="DK37" s="877">
        <f t="shared" si="203"/>
        <v>2569.0776960739377</v>
      </c>
      <c r="DL37" s="876">
        <f t="shared" si="77"/>
        <v>1185856599.7709899</v>
      </c>
      <c r="DM37" s="876">
        <f t="shared" si="78"/>
        <v>278763562.09625953</v>
      </c>
      <c r="DN37" s="874">
        <f t="shared" si="204"/>
        <v>796879167625.40381</v>
      </c>
      <c r="DO37" s="1136">
        <f t="shared" si="205"/>
        <v>285555423439.00122</v>
      </c>
      <c r="DP37" s="877">
        <f t="shared" si="206"/>
        <v>346486.56577490224</v>
      </c>
      <c r="DQ37" s="879">
        <f t="shared" si="207"/>
        <v>593806852134.37146</v>
      </c>
      <c r="DR37" s="877">
        <f t="shared" si="208"/>
        <v>939.00483966037973</v>
      </c>
      <c r="DS37" s="877">
        <f t="shared" si="209"/>
        <v>2233.9951603396203</v>
      </c>
      <c r="DT37" s="876">
        <f t="shared" si="79"/>
        <v>632378904.82986236</v>
      </c>
      <c r="DU37" s="876">
        <f t="shared" si="80"/>
        <v>265804896.39203101</v>
      </c>
      <c r="DV37" s="1142">
        <f t="shared" si="210"/>
        <v>391509440986.68127</v>
      </c>
      <c r="DW37" s="1136">
        <f t="shared" si="211"/>
        <v>285555423439.00122</v>
      </c>
      <c r="DX37" s="880">
        <f t="shared" si="212"/>
        <v>429235.4239993447</v>
      </c>
      <c r="DY37" s="874">
        <f t="shared" si="213"/>
        <v>783492069802.26025</v>
      </c>
      <c r="DZ37" s="873">
        <f t="shared" si="214"/>
        <v>1793.7637850793956</v>
      </c>
      <c r="EA37" s="880">
        <f t="shared" si="215"/>
        <v>1379.2362149206044</v>
      </c>
      <c r="EB37" s="876">
        <f t="shared" si="81"/>
        <v>436786647.33861893</v>
      </c>
      <c r="EC37" s="876">
        <f t="shared" si="82"/>
        <v>568062280.6495564</v>
      </c>
      <c r="ED37" s="1136">
        <f t="shared" si="216"/>
        <v>796879167625.40381</v>
      </c>
      <c r="EE37" s="1136">
        <f t="shared" si="217"/>
        <v>285555423439.00122</v>
      </c>
      <c r="EF37" s="880">
        <f t="shared" si="218"/>
        <v>319478.86431034352</v>
      </c>
      <c r="EG37" s="874">
        <f t="shared" si="219"/>
        <v>601069509769.9563</v>
      </c>
      <c r="EH37" s="873">
        <f t="shared" si="220"/>
        <v>1500.201630241251</v>
      </c>
      <c r="EI37" s="880">
        <f t="shared" si="221"/>
        <v>1672.798369758749</v>
      </c>
      <c r="EJ37" s="876">
        <f t="shared" si="83"/>
        <v>400659149.84594232</v>
      </c>
      <c r="EK37" s="876">
        <f t="shared" si="84"/>
        <v>359319760.60966784</v>
      </c>
      <c r="EL37" s="1136">
        <f t="shared" si="85"/>
        <v>391509440986.68127</v>
      </c>
      <c r="EM37" s="1136">
        <f t="shared" si="86"/>
        <v>285555423439.00122</v>
      </c>
      <c r="EN37" s="876"/>
      <c r="EO37" s="1113" t="s">
        <v>2195</v>
      </c>
      <c r="EP37" s="1114">
        <v>264600.58446584299</v>
      </c>
      <c r="EQ37" s="1114">
        <v>476361046724.83502</v>
      </c>
      <c r="ER37" s="1115">
        <v>1262.09316903644</v>
      </c>
      <c r="ES37" s="1115">
        <v>1910.90683096356</v>
      </c>
      <c r="ET37" s="1114">
        <v>377437306.857876</v>
      </c>
      <c r="EU37" s="1114">
        <v>249285333.54220799</v>
      </c>
      <c r="EV37" s="1114">
        <v>188824577667.32001</v>
      </c>
      <c r="EW37" s="1114">
        <v>280290269274.45398</v>
      </c>
      <c r="EX37" s="1114">
        <v>416151.47599530697</v>
      </c>
      <c r="EY37" s="1114">
        <v>734092210525.72205</v>
      </c>
      <c r="EZ37" s="1115">
        <v>1853.8394275253099</v>
      </c>
      <c r="FA37" s="1115">
        <v>1319.1605724746901</v>
      </c>
      <c r="FB37" s="1114">
        <v>395984786.83003402</v>
      </c>
      <c r="FC37" s="1114">
        <v>556484347.57915294</v>
      </c>
      <c r="FD37" s="1114">
        <v>224862271729.375</v>
      </c>
      <c r="FE37" s="1114">
        <v>280290269274.45398</v>
      </c>
      <c r="FF37" s="1114">
        <v>315117.54830899701</v>
      </c>
      <c r="FG37" s="1114">
        <v>589462622312.31006</v>
      </c>
      <c r="FH37" s="1115">
        <v>1522.5844049856</v>
      </c>
      <c r="FI37" s="1115">
        <v>1650.4155950144</v>
      </c>
      <c r="FJ37" s="1114">
        <v>387146105.25508702</v>
      </c>
      <c r="FK37" s="1114">
        <v>357160114.15122801</v>
      </c>
      <c r="FL37" s="1114">
        <v>200837142354.672</v>
      </c>
      <c r="FM37" s="1114">
        <v>280290269274.45398</v>
      </c>
      <c r="FN37" s="1114">
        <v>510258.52839302103</v>
      </c>
      <c r="FO37" s="1114">
        <v>716165249859.62305</v>
      </c>
      <c r="FP37" s="1115">
        <v>603.922303926062</v>
      </c>
      <c r="FQ37" s="1115">
        <v>2569.0776960739399</v>
      </c>
      <c r="FR37" s="1114">
        <v>1185856599.7709899</v>
      </c>
      <c r="FS37" s="1114">
        <v>278763562.09626001</v>
      </c>
      <c r="FT37" s="1114">
        <v>796879167625.40405</v>
      </c>
      <c r="FU37" s="1114">
        <v>285555423439.00098</v>
      </c>
      <c r="FV37" s="1114">
        <v>346486.565774902</v>
      </c>
      <c r="FW37" s="1114">
        <v>593806852134.37195</v>
      </c>
      <c r="FX37" s="1115">
        <v>939.00483966037996</v>
      </c>
      <c r="FY37" s="1115">
        <v>2233.9951603396198</v>
      </c>
      <c r="FZ37" s="1114">
        <v>632378904.829862</v>
      </c>
      <c r="GA37" s="1114">
        <v>265804896.39203101</v>
      </c>
      <c r="GB37" s="1114">
        <v>391509440986.68103</v>
      </c>
      <c r="GC37" s="1114">
        <v>285555423439.00098</v>
      </c>
      <c r="GD37" s="1114">
        <v>429235.42399934499</v>
      </c>
      <c r="GE37" s="1114">
        <v>783492069802.26099</v>
      </c>
      <c r="GF37" s="1115">
        <v>1793.7637850793999</v>
      </c>
      <c r="GG37" s="1115">
        <v>1379.2362149206001</v>
      </c>
      <c r="GH37" s="1114">
        <v>436786647.33861899</v>
      </c>
      <c r="GI37" s="1114">
        <v>568062280.64955699</v>
      </c>
      <c r="GJ37" s="1114">
        <v>796879167625.40405</v>
      </c>
      <c r="GK37" s="1114">
        <v>285555423439.00098</v>
      </c>
      <c r="GL37" s="1114">
        <v>319478.86431034398</v>
      </c>
      <c r="GM37" s="1114">
        <v>601069509769.95605</v>
      </c>
      <c r="GN37" s="1115">
        <v>1500.2016302412501</v>
      </c>
      <c r="GO37" s="1115">
        <v>1672.7983697587499</v>
      </c>
      <c r="GP37" s="1114">
        <v>400659149.84594202</v>
      </c>
      <c r="GQ37" s="1114">
        <v>359319760.60966802</v>
      </c>
      <c r="GR37" s="1114">
        <v>391509440986.68103</v>
      </c>
      <c r="GS37" s="1114">
        <v>285555423439.00098</v>
      </c>
      <c r="GU37" s="1171">
        <f t="shared" si="222"/>
        <v>0</v>
      </c>
      <c r="GV37" s="1171">
        <f t="shared" si="223"/>
        <v>0</v>
      </c>
      <c r="GW37" s="1171">
        <f t="shared" si="224"/>
        <v>-3.4106051316484809E-12</v>
      </c>
      <c r="GX37" s="1171">
        <f t="shared" si="225"/>
        <v>3.4106051316484809E-12</v>
      </c>
      <c r="GY37" s="1171">
        <f t="shared" si="226"/>
        <v>0</v>
      </c>
      <c r="GZ37" s="1171">
        <f t="shared" si="227"/>
        <v>-2.9802322387695313E-7</v>
      </c>
      <c r="HA37" s="1171">
        <f t="shared" si="235"/>
        <v>0</v>
      </c>
      <c r="HB37" s="1171">
        <f t="shared" si="228"/>
        <v>0</v>
      </c>
      <c r="HC37" s="1171">
        <f t="shared" si="229"/>
        <v>0</v>
      </c>
      <c r="HD37" s="1171">
        <f t="shared" si="230"/>
        <v>0</v>
      </c>
      <c r="HE37" s="1171">
        <f t="shared" si="231"/>
        <v>-2.7284841053187847E-12</v>
      </c>
      <c r="HF37" s="1171">
        <f t="shared" si="232"/>
        <v>2.7284841053187847E-12</v>
      </c>
      <c r="HG37" s="1171">
        <f t="shared" si="89"/>
        <v>0</v>
      </c>
      <c r="HH37" s="1171">
        <f t="shared" si="90"/>
        <v>0</v>
      </c>
      <c r="HI37" s="1171">
        <f t="shared" si="91"/>
        <v>2.44140625E-4</v>
      </c>
      <c r="HJ37" s="1171">
        <f t="shared" si="92"/>
        <v>0</v>
      </c>
      <c r="HK37" s="1171">
        <f t="shared" si="93"/>
        <v>4.6566128730773926E-10</v>
      </c>
      <c r="HL37" s="1171">
        <f t="shared" si="94"/>
        <v>0</v>
      </c>
      <c r="HM37" s="1171">
        <f t="shared" si="95"/>
        <v>0</v>
      </c>
      <c r="HN37" s="1171">
        <f t="shared" si="96"/>
        <v>0</v>
      </c>
      <c r="HO37" s="1171">
        <f t="shared" si="97"/>
        <v>0</v>
      </c>
      <c r="HP37" s="1171">
        <f t="shared" si="98"/>
        <v>0</v>
      </c>
      <c r="HQ37" s="1171">
        <f t="shared" si="99"/>
        <v>-2.44140625E-4</v>
      </c>
      <c r="HR37" s="1171">
        <f t="shared" si="100"/>
        <v>0</v>
      </c>
      <c r="HS37" s="1171">
        <f t="shared" si="101"/>
        <v>0</v>
      </c>
      <c r="HT37" s="1171">
        <f t="shared" si="102"/>
        <v>0</v>
      </c>
      <c r="HU37" s="1171">
        <f t="shared" si="103"/>
        <v>0</v>
      </c>
      <c r="HV37" s="1171">
        <f t="shared" si="104"/>
        <v>0</v>
      </c>
      <c r="HW37" s="1171">
        <f t="shared" si="105"/>
        <v>0</v>
      </c>
      <c r="HX37" s="1171">
        <f t="shared" si="106"/>
        <v>-4.76837158203125E-7</v>
      </c>
      <c r="HY37" s="1171">
        <f t="shared" si="107"/>
        <v>0</v>
      </c>
      <c r="HZ37" s="1171">
        <f t="shared" si="108"/>
        <v>0</v>
      </c>
      <c r="IA37" s="1171">
        <f t="shared" si="109"/>
        <v>0</v>
      </c>
      <c r="IB37" s="1171">
        <f t="shared" si="110"/>
        <v>0</v>
      </c>
      <c r="IC37" s="1171">
        <f t="shared" si="111"/>
        <v>0</v>
      </c>
      <c r="ID37" s="1171">
        <f t="shared" si="112"/>
        <v>0</v>
      </c>
      <c r="IE37" s="1171">
        <f t="shared" si="113"/>
        <v>0</v>
      </c>
      <c r="IF37" s="1171">
        <f t="shared" si="114"/>
        <v>0</v>
      </c>
      <c r="IG37" s="1171">
        <f t="shared" si="115"/>
        <v>0</v>
      </c>
      <c r="IH37" s="1171">
        <f t="shared" si="116"/>
        <v>0</v>
      </c>
      <c r="II37" s="1171">
        <f t="shared" si="117"/>
        <v>0</v>
      </c>
      <c r="IJ37" s="1171">
        <f t="shared" si="118"/>
        <v>0</v>
      </c>
      <c r="IK37" s="1171">
        <f t="shared" si="119"/>
        <v>-4.3200998334214091E-12</v>
      </c>
      <c r="IL37" s="1171">
        <f t="shared" si="120"/>
        <v>4.3200998334214091E-12</v>
      </c>
      <c r="IM37" s="1171">
        <f t="shared" si="121"/>
        <v>0</v>
      </c>
      <c r="IN37" s="1171">
        <f t="shared" si="122"/>
        <v>0</v>
      </c>
      <c r="IO37" s="1171">
        <f t="shared" si="123"/>
        <v>0</v>
      </c>
      <c r="IP37" s="1171">
        <f t="shared" si="124"/>
        <v>0</v>
      </c>
      <c r="IQ37" s="1171">
        <f t="shared" si="125"/>
        <v>-4.6566128730773926E-10</v>
      </c>
      <c r="IR37" s="1171">
        <f t="shared" si="126"/>
        <v>0</v>
      </c>
      <c r="IS37" s="1171">
        <f t="shared" si="127"/>
        <v>0</v>
      </c>
      <c r="IT37" s="1171">
        <f t="shared" si="128"/>
        <v>0</v>
      </c>
      <c r="IU37" s="1171">
        <f t="shared" si="129"/>
        <v>0</v>
      </c>
      <c r="IV37" s="1171">
        <f t="shared" si="130"/>
        <v>0</v>
      </c>
      <c r="IW37" s="1171">
        <f t="shared" si="131"/>
        <v>0</v>
      </c>
      <c r="IX37" s="1171">
        <f t="shared" si="132"/>
        <v>0</v>
      </c>
    </row>
    <row r="38" spans="1:258" s="871" customFormat="1">
      <c r="B38" s="871" t="str">
        <f t="shared" ref="B38" si="237">LEFT(B36,3)+1&amp;"j"</f>
        <v>118j</v>
      </c>
      <c r="C38" s="871">
        <v>80.400000000000006</v>
      </c>
      <c r="D38" s="871">
        <v>0</v>
      </c>
      <c r="E38" s="871" t="s">
        <v>2094</v>
      </c>
      <c r="F38" s="26">
        <v>1</v>
      </c>
      <c r="G38" s="136">
        <v>2900</v>
      </c>
      <c r="H38" s="136">
        <v>40</v>
      </c>
      <c r="I38" s="28">
        <v>250</v>
      </c>
      <c r="J38" s="26">
        <v>1864</v>
      </c>
      <c r="K38" s="136">
        <v>30</v>
      </c>
      <c r="L38" s="28">
        <v>120</v>
      </c>
      <c r="M38" s="26">
        <v>3103</v>
      </c>
      <c r="N38" s="28">
        <v>14</v>
      </c>
      <c r="O38" s="397">
        <v>512</v>
      </c>
      <c r="P38" s="26">
        <v>290</v>
      </c>
      <c r="Q38" s="397">
        <f>+Section!L99</f>
        <v>5450</v>
      </c>
      <c r="R38" s="169">
        <v>0</v>
      </c>
      <c r="S38" s="210">
        <v>0</v>
      </c>
      <c r="T38" s="210">
        <v>1150</v>
      </c>
      <c r="U38" s="210">
        <v>2400</v>
      </c>
      <c r="V38" s="872">
        <v>3800</v>
      </c>
      <c r="W38" s="210">
        <v>19</v>
      </c>
      <c r="X38" s="210">
        <v>200</v>
      </c>
      <c r="Y38" s="210">
        <v>50</v>
      </c>
      <c r="Z38" s="210">
        <v>16</v>
      </c>
      <c r="AA38" s="210">
        <v>200</v>
      </c>
      <c r="AB38" s="872">
        <v>40</v>
      </c>
      <c r="AC38" s="881">
        <f t="shared" si="234"/>
        <v>6031.8578948924023</v>
      </c>
      <c r="AD38" s="397">
        <v>2</v>
      </c>
      <c r="AE38" s="210">
        <v>160</v>
      </c>
      <c r="AF38" s="210">
        <v>16</v>
      </c>
      <c r="AG38" s="397">
        <v>0</v>
      </c>
      <c r="AH38" s="210">
        <v>0</v>
      </c>
      <c r="AI38" s="210">
        <v>0</v>
      </c>
      <c r="AJ38" s="397">
        <v>2</v>
      </c>
      <c r="AK38" s="210">
        <v>2500</v>
      </c>
      <c r="AL38" s="210">
        <v>5000</v>
      </c>
      <c r="AM38" s="1143" t="s">
        <v>2323</v>
      </c>
      <c r="AN38" s="210">
        <v>0</v>
      </c>
      <c r="AO38" s="1143" t="s">
        <v>2323</v>
      </c>
      <c r="AP38" s="1143" t="s">
        <v>2323</v>
      </c>
      <c r="AQ38" s="136">
        <v>180</v>
      </c>
      <c r="AR38" s="136">
        <v>16</v>
      </c>
      <c r="AS38" s="1143" t="s">
        <v>2448</v>
      </c>
      <c r="AT38" s="136">
        <v>120</v>
      </c>
      <c r="AU38" s="136">
        <v>12</v>
      </c>
      <c r="AV38" s="1111"/>
      <c r="AW38" s="1111"/>
      <c r="AX38" s="1111"/>
      <c r="AY38" s="1111"/>
      <c r="AZ38" s="1108">
        <v>8</v>
      </c>
      <c r="BA38" s="1108">
        <v>6</v>
      </c>
      <c r="BB38" s="1111"/>
      <c r="BC38" s="1168"/>
      <c r="BD38" s="210">
        <f>INDEX(Spec!$B$12:$P$58,MATCH(AO38,Spec!$A$12:$A$58,0),6)*100</f>
        <v>0</v>
      </c>
      <c r="BE38" s="210">
        <f>INDEX(Spec!$B$12:$P$58,MATCH(AP38,Spec!$A$12:$A$58,0),6)*100</f>
        <v>0</v>
      </c>
      <c r="BF38" s="881">
        <f t="shared" si="161"/>
        <v>0</v>
      </c>
      <c r="BG38" s="881">
        <f t="shared" si="162"/>
        <v>47.243485714285718</v>
      </c>
      <c r="BH38" s="881"/>
      <c r="BI38" s="13" cm="1">
        <f t="array" ref="BI38">INDEX(Info!$AD$4:$AH$15,MATCH(Info!$I$13,Info!$AC$4:$AC$15,0),IF(H38&lt;=16,1,IF(H38&lt;=40,2,IF(H38&lt;=75,3,IF(H38&lt;=100,4,5)))))</f>
        <v>380</v>
      </c>
      <c r="BJ38" s="13" cm="1">
        <f t="array" ref="BJ38">INDEX(Info!$AD$4:$AH$15,MATCH(Info!$I$13,Info!$AC$4:$AC$15,0),IF(K38&lt;=16,1,IF(K38&lt;=40,2,IF(K38&lt;=75,3,IF(K38&lt;=100,4,5)))))</f>
        <v>380</v>
      </c>
      <c r="BK38" s="13" cm="1">
        <f t="array" ref="BK38">INDEX(Info!$AD$4:$AH$15,MATCH(Info!$I$14,Info!$AC$4:$AC$15,0),IF(N38&lt;=16,1,IF(N38&lt;=40,2,IF(N38&lt;=75,3,IF(N38&lt;=100,4,5)))))</f>
        <v>355</v>
      </c>
      <c r="BL38" s="13">
        <f>IF(Stress!C867="Positive",MAX(MIN(0.7*BI38,BK38),0.5*BI38),MAX(MIN(0.7*BJ38,BK38),0.5*BJ38))</f>
        <v>266</v>
      </c>
      <c r="BM38" s="13" cm="1">
        <f t="array" ref="BM38">INDEX(Info!$AD$4:$AH$15,MATCH(Info!$I$13,Info!$AC$4:$AC$15,0),IF(AI38&lt;=16,1,IF(AI38&lt;=40,2,IF(AI38&lt;=75,3,IF(AI38&lt;=100,4,5)))))</f>
        <v>380</v>
      </c>
      <c r="BN38" s="13" cm="1">
        <f t="array" ref="BN38">INDEX(Info!$AD$4:$AH$15,MATCH(Info!$I$13,Info!$AC$4:$AC$15,0),IF(AF38&lt;=16,1,IF(AF38&lt;=40,2,IF(AF38&lt;=75,3,IF(AF38&lt;=100,4,5)))))</f>
        <v>380</v>
      </c>
      <c r="BO38" s="13"/>
      <c r="BP38" s="873">
        <f t="shared" si="163"/>
        <v>0.1250402835965195</v>
      </c>
      <c r="BQ38" s="873">
        <f t="shared" si="164"/>
        <v>3127.1637309229591</v>
      </c>
      <c r="BR38" s="873">
        <f t="shared" si="165"/>
        <v>3423</v>
      </c>
      <c r="BS38" s="873"/>
      <c r="BT38" s="871">
        <f t="shared" si="166"/>
        <v>864266.56010312599</v>
      </c>
      <c r="BU38" s="136">
        <f t="shared" si="167"/>
        <v>18871138575.090694</v>
      </c>
      <c r="BV38" s="871">
        <f t="shared" si="168"/>
        <v>1580500</v>
      </c>
      <c r="BW38" s="871">
        <f t="shared" si="169"/>
        <v>11076670833.333334</v>
      </c>
      <c r="BX38" s="871">
        <f t="shared" si="170"/>
        <v>0</v>
      </c>
      <c r="BY38" s="871">
        <f t="shared" si="171"/>
        <v>0</v>
      </c>
      <c r="BZ38" s="871">
        <f t="shared" si="172"/>
        <v>7655.2758986349281</v>
      </c>
      <c r="CA38" s="871">
        <f t="shared" si="173"/>
        <v>172722.16246295057</v>
      </c>
      <c r="CB38" s="871">
        <f t="shared" si="174"/>
        <v>5428.6721054031623</v>
      </c>
      <c r="CC38" s="871">
        <f t="shared" si="175"/>
        <v>86858.753686450596</v>
      </c>
      <c r="CE38" s="1137">
        <f t="shared" si="176"/>
        <v>549964617.89726794</v>
      </c>
      <c r="CF38" s="1136">
        <f t="shared" si="177"/>
        <v>375202702.22222227</v>
      </c>
      <c r="CG38" s="1136">
        <f t="shared" si="178"/>
        <v>205516269595.85425</v>
      </c>
      <c r="CH38" s="172">
        <f t="shared" si="179"/>
        <v>3912066770833.333</v>
      </c>
      <c r="CJ38" s="136">
        <f t="shared" si="180"/>
        <v>264600.58446584287</v>
      </c>
      <c r="CK38" s="7">
        <f t="shared" si="181"/>
        <v>476361046724.83496</v>
      </c>
      <c r="CL38" s="875">
        <f t="shared" si="182"/>
        <v>1262.0931690364366</v>
      </c>
      <c r="CM38" s="6">
        <f t="shared" si="183"/>
        <v>1910.9068309635634</v>
      </c>
      <c r="CN38" s="876">
        <f t="shared" si="73"/>
        <v>377437306.85787624</v>
      </c>
      <c r="CO38" s="876">
        <f t="shared" si="74"/>
        <v>249285333.54220769</v>
      </c>
      <c r="CP38" s="1137">
        <f t="shared" si="184"/>
        <v>188824577667.32001</v>
      </c>
      <c r="CQ38" s="1136">
        <f t="shared" si="185"/>
        <v>280290269274.4538</v>
      </c>
      <c r="CR38" s="877">
        <f t="shared" si="186"/>
        <v>416151.47599530662</v>
      </c>
      <c r="CS38" s="874">
        <f t="shared" si="187"/>
        <v>734092210525.72168</v>
      </c>
      <c r="CT38" s="875">
        <f t="shared" si="188"/>
        <v>1853.8394275253072</v>
      </c>
      <c r="CU38" s="878">
        <f t="shared" si="189"/>
        <v>1319.1605724746928</v>
      </c>
      <c r="CV38" s="876">
        <f t="shared" si="190"/>
        <v>395984786.83003438</v>
      </c>
      <c r="CW38" s="876">
        <f t="shared" si="191"/>
        <v>556484347.57915318</v>
      </c>
      <c r="CX38" s="1136">
        <f t="shared" si="192"/>
        <v>224862271729.37524</v>
      </c>
      <c r="CY38" s="1136">
        <f t="shared" si="193"/>
        <v>280290269274.4538</v>
      </c>
      <c r="CZ38" s="877">
        <f t="shared" si="194"/>
        <v>315117.54830899747</v>
      </c>
      <c r="DA38" s="874">
        <f t="shared" si="195"/>
        <v>589462622312.31006</v>
      </c>
      <c r="DB38" s="875">
        <f t="shared" si="196"/>
        <v>1522.5844049856012</v>
      </c>
      <c r="DC38" s="878">
        <f t="shared" si="197"/>
        <v>1650.4155950143988</v>
      </c>
      <c r="DD38" s="876">
        <f t="shared" si="75"/>
        <v>387146105.25508732</v>
      </c>
      <c r="DE38" s="876">
        <f t="shared" si="76"/>
        <v>357160114.15122831</v>
      </c>
      <c r="DF38" s="1136">
        <f t="shared" si="198"/>
        <v>200837142354.67175</v>
      </c>
      <c r="DG38" s="1136">
        <f t="shared" si="199"/>
        <v>280290269274.4538</v>
      </c>
      <c r="DH38" s="877">
        <f t="shared" si="200"/>
        <v>510258.52839302097</v>
      </c>
      <c r="DI38" s="879">
        <f t="shared" si="201"/>
        <v>716165249859.62256</v>
      </c>
      <c r="DJ38" s="878">
        <f t="shared" si="202"/>
        <v>603.92230392606234</v>
      </c>
      <c r="DK38" s="877">
        <f t="shared" si="203"/>
        <v>2569.0776960739377</v>
      </c>
      <c r="DL38" s="876">
        <f t="shared" si="77"/>
        <v>1185856599.7709899</v>
      </c>
      <c r="DM38" s="876">
        <f t="shared" si="78"/>
        <v>278763562.09625953</v>
      </c>
      <c r="DN38" s="7">
        <f t="shared" si="204"/>
        <v>796879167625.40381</v>
      </c>
      <c r="DO38" s="1136">
        <f t="shared" si="205"/>
        <v>285555423439.00122</v>
      </c>
      <c r="DP38" s="877">
        <f t="shared" si="206"/>
        <v>346486.56577490224</v>
      </c>
      <c r="DQ38" s="879">
        <f t="shared" si="207"/>
        <v>593806852134.37146</v>
      </c>
      <c r="DR38" s="877">
        <f t="shared" si="208"/>
        <v>939.00483966037973</v>
      </c>
      <c r="DS38" s="877">
        <f t="shared" si="209"/>
        <v>2233.9951603396203</v>
      </c>
      <c r="DT38" s="876">
        <f t="shared" si="79"/>
        <v>632378904.82986236</v>
      </c>
      <c r="DU38" s="876">
        <f t="shared" si="80"/>
        <v>265804896.39203101</v>
      </c>
      <c r="DV38" s="1136">
        <f t="shared" si="210"/>
        <v>391509440986.68127</v>
      </c>
      <c r="DW38" s="1136">
        <f t="shared" si="211"/>
        <v>285555423439.00122</v>
      </c>
      <c r="DX38" s="880">
        <f t="shared" si="212"/>
        <v>429235.4239993447</v>
      </c>
      <c r="DY38" s="874">
        <f t="shared" si="213"/>
        <v>783492069802.26025</v>
      </c>
      <c r="DZ38" s="873">
        <f t="shared" si="214"/>
        <v>1793.7637850793956</v>
      </c>
      <c r="EA38" s="880">
        <f t="shared" si="215"/>
        <v>1379.2362149206044</v>
      </c>
      <c r="EB38" s="876">
        <f t="shared" si="81"/>
        <v>436786647.33861893</v>
      </c>
      <c r="EC38" s="876">
        <f t="shared" si="82"/>
        <v>568062280.6495564</v>
      </c>
      <c r="ED38" s="1136">
        <f t="shared" si="216"/>
        <v>796879167625.40381</v>
      </c>
      <c r="EE38" s="1136">
        <f t="shared" si="217"/>
        <v>285555423439.00122</v>
      </c>
      <c r="EF38" s="880">
        <f t="shared" si="218"/>
        <v>319478.86431034352</v>
      </c>
      <c r="EG38" s="874">
        <f t="shared" si="219"/>
        <v>601069509769.9563</v>
      </c>
      <c r="EH38" s="873">
        <f t="shared" si="220"/>
        <v>1500.201630241251</v>
      </c>
      <c r="EI38" s="880">
        <f t="shared" si="221"/>
        <v>1672.798369758749</v>
      </c>
      <c r="EJ38" s="876">
        <f t="shared" si="83"/>
        <v>400659149.84594232</v>
      </c>
      <c r="EK38" s="876">
        <f t="shared" si="84"/>
        <v>359319760.60966784</v>
      </c>
      <c r="EL38" s="1136">
        <f t="shared" si="85"/>
        <v>391509440986.68127</v>
      </c>
      <c r="EM38" s="1136">
        <f t="shared" si="86"/>
        <v>285555423439.00122</v>
      </c>
      <c r="EN38" s="876"/>
      <c r="EO38" s="1113" t="s">
        <v>2196</v>
      </c>
      <c r="EP38" s="1114">
        <v>264600.58446584299</v>
      </c>
      <c r="EQ38" s="1114">
        <v>476361046724.83502</v>
      </c>
      <c r="ER38" s="1115">
        <v>1262.09316903644</v>
      </c>
      <c r="ES38" s="1115">
        <v>1910.90683096356</v>
      </c>
      <c r="ET38" s="1114">
        <v>377437306.857876</v>
      </c>
      <c r="EU38" s="1114">
        <v>249285333.54220799</v>
      </c>
      <c r="EV38" s="1114">
        <v>188824577667.32001</v>
      </c>
      <c r="EW38" s="1114">
        <v>280290269274.45398</v>
      </c>
      <c r="EX38" s="1114">
        <v>416151.47599530697</v>
      </c>
      <c r="EY38" s="1114">
        <v>734092210525.72205</v>
      </c>
      <c r="EZ38" s="1115">
        <v>1853.8394275253099</v>
      </c>
      <c r="FA38" s="1115">
        <v>1319.1605724746901</v>
      </c>
      <c r="FB38" s="1114">
        <v>395984786.83003402</v>
      </c>
      <c r="FC38" s="1114">
        <v>556484347.57915294</v>
      </c>
      <c r="FD38" s="1114">
        <v>224862271729.375</v>
      </c>
      <c r="FE38" s="1114">
        <v>280290269274.45398</v>
      </c>
      <c r="FF38" s="1114">
        <v>315117.54830899701</v>
      </c>
      <c r="FG38" s="1114">
        <v>589462622312.31006</v>
      </c>
      <c r="FH38" s="1115">
        <v>1522.5844049856</v>
      </c>
      <c r="FI38" s="1115">
        <v>1650.4155950144</v>
      </c>
      <c r="FJ38" s="1114">
        <v>387146105.25508702</v>
      </c>
      <c r="FK38" s="1114">
        <v>357160114.15122801</v>
      </c>
      <c r="FL38" s="1114">
        <v>200837142354.672</v>
      </c>
      <c r="FM38" s="1114">
        <v>280290269274.45398</v>
      </c>
      <c r="FN38" s="1114">
        <v>510258.52839302103</v>
      </c>
      <c r="FO38" s="1114">
        <v>716165249859.62305</v>
      </c>
      <c r="FP38" s="1115">
        <v>603.922303926062</v>
      </c>
      <c r="FQ38" s="1115">
        <v>2569.0776960739399</v>
      </c>
      <c r="FR38" s="1114">
        <v>1185856599.7709899</v>
      </c>
      <c r="FS38" s="1114">
        <v>278763562.09626001</v>
      </c>
      <c r="FT38" s="1114">
        <v>796879167625.40405</v>
      </c>
      <c r="FU38" s="1114">
        <v>285555423439.00098</v>
      </c>
      <c r="FV38" s="1114">
        <v>346486.565774902</v>
      </c>
      <c r="FW38" s="1114">
        <v>593806852134.37195</v>
      </c>
      <c r="FX38" s="1115">
        <v>939.00483966037996</v>
      </c>
      <c r="FY38" s="1115">
        <v>2233.9951603396198</v>
      </c>
      <c r="FZ38" s="1114">
        <v>632378904.829862</v>
      </c>
      <c r="GA38" s="1114">
        <v>265804896.39203101</v>
      </c>
      <c r="GB38" s="1114">
        <v>391509440986.68103</v>
      </c>
      <c r="GC38" s="1114">
        <v>285555423439.00098</v>
      </c>
      <c r="GD38" s="1114">
        <v>429235.42399934499</v>
      </c>
      <c r="GE38" s="1114">
        <v>783492069802.26099</v>
      </c>
      <c r="GF38" s="1115">
        <v>1793.7637850793999</v>
      </c>
      <c r="GG38" s="1115">
        <v>1379.2362149206001</v>
      </c>
      <c r="GH38" s="1114">
        <v>436786647.33861899</v>
      </c>
      <c r="GI38" s="1114">
        <v>568062280.64955699</v>
      </c>
      <c r="GJ38" s="1114">
        <v>796879167625.40405</v>
      </c>
      <c r="GK38" s="1114">
        <v>285555423439.00098</v>
      </c>
      <c r="GL38" s="1114">
        <v>319478.86431034398</v>
      </c>
      <c r="GM38" s="1114">
        <v>601069509769.95605</v>
      </c>
      <c r="GN38" s="1115">
        <v>1500.2016302412501</v>
      </c>
      <c r="GO38" s="1115">
        <v>1672.7983697587499</v>
      </c>
      <c r="GP38" s="1114">
        <v>400659149.84594202</v>
      </c>
      <c r="GQ38" s="1114">
        <v>359319760.60966802</v>
      </c>
      <c r="GR38" s="1114">
        <v>391509440986.68103</v>
      </c>
      <c r="GS38" s="1114">
        <v>285555423439.00098</v>
      </c>
      <c r="GU38" s="1171">
        <f t="shared" si="222"/>
        <v>0</v>
      </c>
      <c r="GV38" s="1171">
        <f t="shared" si="223"/>
        <v>0</v>
      </c>
      <c r="GW38" s="1171">
        <f t="shared" si="224"/>
        <v>-3.4106051316484809E-12</v>
      </c>
      <c r="GX38" s="1171">
        <f t="shared" si="225"/>
        <v>3.4106051316484809E-12</v>
      </c>
      <c r="GY38" s="1171">
        <f t="shared" si="226"/>
        <v>0</v>
      </c>
      <c r="GZ38" s="1171">
        <f t="shared" si="227"/>
        <v>-2.9802322387695313E-7</v>
      </c>
      <c r="HA38" s="1171">
        <f t="shared" si="235"/>
        <v>0</v>
      </c>
      <c r="HB38" s="1171">
        <f t="shared" si="228"/>
        <v>0</v>
      </c>
      <c r="HC38" s="1171">
        <f t="shared" si="229"/>
        <v>0</v>
      </c>
      <c r="HD38" s="1171">
        <f t="shared" si="230"/>
        <v>0</v>
      </c>
      <c r="HE38" s="1171">
        <f t="shared" si="231"/>
        <v>-2.7284841053187847E-12</v>
      </c>
      <c r="HF38" s="1171">
        <f t="shared" si="232"/>
        <v>2.7284841053187847E-12</v>
      </c>
      <c r="HG38" s="1171">
        <f t="shared" si="89"/>
        <v>0</v>
      </c>
      <c r="HH38" s="1171">
        <f t="shared" si="90"/>
        <v>0</v>
      </c>
      <c r="HI38" s="1171">
        <f t="shared" si="91"/>
        <v>2.44140625E-4</v>
      </c>
      <c r="HJ38" s="1171">
        <f t="shared" si="92"/>
        <v>0</v>
      </c>
      <c r="HK38" s="1171">
        <f t="shared" si="93"/>
        <v>4.6566128730773926E-10</v>
      </c>
      <c r="HL38" s="1171">
        <f t="shared" si="94"/>
        <v>0</v>
      </c>
      <c r="HM38" s="1171">
        <f t="shared" si="95"/>
        <v>0</v>
      </c>
      <c r="HN38" s="1171">
        <f t="shared" si="96"/>
        <v>0</v>
      </c>
      <c r="HO38" s="1171">
        <f t="shared" si="97"/>
        <v>0</v>
      </c>
      <c r="HP38" s="1171">
        <f t="shared" si="98"/>
        <v>0</v>
      </c>
      <c r="HQ38" s="1171">
        <f t="shared" si="99"/>
        <v>-2.44140625E-4</v>
      </c>
      <c r="HR38" s="1171">
        <f t="shared" si="100"/>
        <v>0</v>
      </c>
      <c r="HS38" s="1171">
        <f t="shared" si="101"/>
        <v>0</v>
      </c>
      <c r="HT38" s="1171">
        <f t="shared" si="102"/>
        <v>0</v>
      </c>
      <c r="HU38" s="1171">
        <f t="shared" si="103"/>
        <v>0</v>
      </c>
      <c r="HV38" s="1171">
        <f t="shared" si="104"/>
        <v>0</v>
      </c>
      <c r="HW38" s="1171">
        <f t="shared" si="105"/>
        <v>0</v>
      </c>
      <c r="HX38" s="1171">
        <f t="shared" si="106"/>
        <v>-4.76837158203125E-7</v>
      </c>
      <c r="HY38" s="1171">
        <f t="shared" si="107"/>
        <v>0</v>
      </c>
      <c r="HZ38" s="1171">
        <f t="shared" si="108"/>
        <v>0</v>
      </c>
      <c r="IA38" s="1171">
        <f t="shared" si="109"/>
        <v>0</v>
      </c>
      <c r="IB38" s="1171">
        <f t="shared" si="110"/>
        <v>0</v>
      </c>
      <c r="IC38" s="1171">
        <f t="shared" si="111"/>
        <v>0</v>
      </c>
      <c r="ID38" s="1171">
        <f t="shared" si="112"/>
        <v>0</v>
      </c>
      <c r="IE38" s="1171">
        <f t="shared" si="113"/>
        <v>0</v>
      </c>
      <c r="IF38" s="1171">
        <f t="shared" si="114"/>
        <v>0</v>
      </c>
      <c r="IG38" s="1171">
        <f t="shared" si="115"/>
        <v>0</v>
      </c>
      <c r="IH38" s="1171">
        <f t="shared" si="116"/>
        <v>0</v>
      </c>
      <c r="II38" s="1171">
        <f t="shared" si="117"/>
        <v>0</v>
      </c>
      <c r="IJ38" s="1171">
        <f t="shared" si="118"/>
        <v>0</v>
      </c>
      <c r="IK38" s="1171">
        <f t="shared" si="119"/>
        <v>-4.3200998334214091E-12</v>
      </c>
      <c r="IL38" s="1171">
        <f t="shared" si="120"/>
        <v>4.3200998334214091E-12</v>
      </c>
      <c r="IM38" s="1171">
        <f t="shared" si="121"/>
        <v>0</v>
      </c>
      <c r="IN38" s="1171">
        <f t="shared" si="122"/>
        <v>0</v>
      </c>
      <c r="IO38" s="1171">
        <f t="shared" si="123"/>
        <v>0</v>
      </c>
      <c r="IP38" s="1171">
        <f t="shared" si="124"/>
        <v>0</v>
      </c>
      <c r="IQ38" s="1171">
        <f t="shared" si="125"/>
        <v>-4.6566128730773926E-10</v>
      </c>
      <c r="IR38" s="1171">
        <f t="shared" si="126"/>
        <v>0</v>
      </c>
      <c r="IS38" s="1171">
        <f t="shared" si="127"/>
        <v>0</v>
      </c>
      <c r="IT38" s="1171">
        <f t="shared" si="128"/>
        <v>0</v>
      </c>
      <c r="IU38" s="1171">
        <f t="shared" si="129"/>
        <v>0</v>
      </c>
      <c r="IV38" s="1171">
        <f t="shared" si="130"/>
        <v>0</v>
      </c>
      <c r="IW38" s="1171">
        <f t="shared" si="131"/>
        <v>0</v>
      </c>
      <c r="IX38" s="1171">
        <f t="shared" si="132"/>
        <v>0</v>
      </c>
    </row>
    <row r="39" spans="1:258" s="871" customFormat="1">
      <c r="A39" s="871">
        <v>119</v>
      </c>
      <c r="B39" s="871" t="str">
        <f t="shared" ref="B39" si="238">LEFT(B37,3)+1&amp;"i"</f>
        <v>119i</v>
      </c>
      <c r="C39" s="871">
        <v>80.400000000000006</v>
      </c>
      <c r="D39" s="871">
        <v>0</v>
      </c>
      <c r="E39" s="871" t="s">
        <v>2095</v>
      </c>
      <c r="F39" s="26">
        <v>1</v>
      </c>
      <c r="G39" s="136">
        <v>2900</v>
      </c>
      <c r="H39" s="136">
        <v>40</v>
      </c>
      <c r="I39" s="28">
        <v>250</v>
      </c>
      <c r="J39" s="26">
        <v>1840</v>
      </c>
      <c r="K39" s="136">
        <v>30</v>
      </c>
      <c r="L39" s="28">
        <v>120</v>
      </c>
      <c r="M39" s="26">
        <v>3200</v>
      </c>
      <c r="N39" s="28">
        <v>14</v>
      </c>
      <c r="O39" s="397">
        <v>600</v>
      </c>
      <c r="P39" s="26">
        <v>290</v>
      </c>
      <c r="Q39" s="397">
        <f>+Section!L100</f>
        <v>5450</v>
      </c>
      <c r="R39" s="169">
        <v>0</v>
      </c>
      <c r="S39" s="210">
        <v>0</v>
      </c>
      <c r="T39" s="210">
        <v>1150</v>
      </c>
      <c r="U39" s="210">
        <v>2400</v>
      </c>
      <c r="V39" s="872">
        <v>3800</v>
      </c>
      <c r="W39" s="210">
        <v>19</v>
      </c>
      <c r="X39" s="210">
        <v>200</v>
      </c>
      <c r="Y39" s="210">
        <v>50</v>
      </c>
      <c r="Z39" s="210">
        <v>16</v>
      </c>
      <c r="AA39" s="210">
        <v>200</v>
      </c>
      <c r="AB39" s="872">
        <v>40</v>
      </c>
      <c r="AC39" s="881">
        <f t="shared" si="234"/>
        <v>6031.8578948924023</v>
      </c>
      <c r="AD39" s="397">
        <v>2</v>
      </c>
      <c r="AE39" s="210">
        <v>160</v>
      </c>
      <c r="AF39" s="210">
        <v>16</v>
      </c>
      <c r="AG39" s="397">
        <v>0</v>
      </c>
      <c r="AH39" s="210">
        <v>0</v>
      </c>
      <c r="AI39" s="210">
        <v>0</v>
      </c>
      <c r="AJ39" s="397">
        <v>2</v>
      </c>
      <c r="AK39" s="210">
        <v>2500</v>
      </c>
      <c r="AL39" s="210">
        <v>5000</v>
      </c>
      <c r="AM39" s="1143" t="s">
        <v>2323</v>
      </c>
      <c r="AN39" s="210">
        <v>0</v>
      </c>
      <c r="AO39" s="1143" t="s">
        <v>2323</v>
      </c>
      <c r="AP39" s="1143" t="s">
        <v>2323</v>
      </c>
      <c r="AQ39" s="136">
        <v>180</v>
      </c>
      <c r="AR39" s="136">
        <v>16</v>
      </c>
      <c r="AS39" s="1143" t="s">
        <v>2448</v>
      </c>
      <c r="AT39" s="136">
        <v>120</v>
      </c>
      <c r="AU39" s="136">
        <v>12</v>
      </c>
      <c r="AV39" s="1111"/>
      <c r="AW39" s="1111"/>
      <c r="AX39" s="1111"/>
      <c r="AY39" s="1111"/>
      <c r="AZ39" s="1108">
        <v>8</v>
      </c>
      <c r="BA39" s="1108">
        <v>6</v>
      </c>
      <c r="BB39" s="1111"/>
      <c r="BC39" s="1168"/>
      <c r="BD39" s="210">
        <f>INDEX(Spec!$B$12:$P$58,MATCH(AO39,Spec!$A$12:$A$58,0),6)*100</f>
        <v>0</v>
      </c>
      <c r="BE39" s="210">
        <f>INDEX(Spec!$B$12:$P$58,MATCH(AP39,Spec!$A$12:$A$58,0),6)*100</f>
        <v>0</v>
      </c>
      <c r="BF39" s="881">
        <f t="shared" si="161"/>
        <v>0</v>
      </c>
      <c r="BG39" s="881">
        <f t="shared" si="162"/>
        <v>47.243485714285718</v>
      </c>
      <c r="BH39" s="881"/>
      <c r="BI39" s="13" cm="1">
        <f t="array" ref="BI39">INDEX(Info!$AD$4:$AH$15,MATCH(Info!$I$13,Info!$AC$4:$AC$15,0),IF(H39&lt;=16,1,IF(H39&lt;=40,2,IF(H39&lt;=75,3,IF(H39&lt;=100,4,5)))))</f>
        <v>380</v>
      </c>
      <c r="BJ39" s="13" cm="1">
        <f t="array" ref="BJ39">INDEX(Info!$AD$4:$AH$15,MATCH(Info!$I$13,Info!$AC$4:$AC$15,0),IF(K39&lt;=16,1,IF(K39&lt;=40,2,IF(K39&lt;=75,3,IF(K39&lt;=100,4,5)))))</f>
        <v>380</v>
      </c>
      <c r="BK39" s="13" cm="1">
        <f t="array" ref="BK39">INDEX(Info!$AD$4:$AH$15,MATCH(Info!$I$14,Info!$AC$4:$AC$15,0),IF(N39&lt;=16,1,IF(N39&lt;=40,2,IF(N39&lt;=75,3,IF(N39&lt;=100,4,5)))))</f>
        <v>355</v>
      </c>
      <c r="BL39" s="13">
        <f>IF(Stress!C868="Positive",MAX(MIN(0.7*BI39,BK39),0.5*BI39),MAX(MIN(0.7*BJ39,BK39),0.5*BJ39))</f>
        <v>266</v>
      </c>
      <c r="BM39" s="13" cm="1">
        <f t="array" ref="BM39">INDEX(Info!$AD$4:$AH$15,MATCH(Info!$I$13,Info!$AC$4:$AC$15,0),IF(AI39&lt;=16,1,IF(AI39&lt;=40,2,IF(AI39&lt;=75,3,IF(AI39&lt;=100,4,5)))))</f>
        <v>380</v>
      </c>
      <c r="BN39" s="13" cm="1">
        <f t="array" ref="BN39">INDEX(Info!$AD$4:$AH$15,MATCH(Info!$I$13,Info!$AC$4:$AC$15,0),IF(AF39&lt;=16,1,IF(AF39&lt;=40,2,IF(AF39&lt;=75,3,IF(AF39&lt;=100,4,5)))))</f>
        <v>380</v>
      </c>
      <c r="BO39" s="13"/>
      <c r="BP39" s="873">
        <f t="shared" si="163"/>
        <v>0.125</v>
      </c>
      <c r="BQ39" s="873">
        <f t="shared" si="164"/>
        <v>3224.9030993194197</v>
      </c>
      <c r="BR39" s="873">
        <f t="shared" si="165"/>
        <v>3520</v>
      </c>
      <c r="BS39" s="873"/>
      <c r="BT39" s="871">
        <f t="shared" si="166"/>
        <v>1005000</v>
      </c>
      <c r="BU39" s="136">
        <f t="shared" si="167"/>
        <v>30129850746.268658</v>
      </c>
      <c r="BV39" s="871">
        <f t="shared" si="168"/>
        <v>1580500</v>
      </c>
      <c r="BW39" s="871">
        <f t="shared" si="169"/>
        <v>11076670833.333334</v>
      </c>
      <c r="BX39" s="871">
        <f t="shared" si="170"/>
        <v>0</v>
      </c>
      <c r="BY39" s="871">
        <f t="shared" si="171"/>
        <v>0</v>
      </c>
      <c r="BZ39" s="871">
        <f t="shared" si="172"/>
        <v>7655.2758986349281</v>
      </c>
      <c r="CA39" s="871">
        <f t="shared" si="173"/>
        <v>172722.16246295057</v>
      </c>
      <c r="CB39" s="871">
        <f t="shared" si="174"/>
        <v>5428.6721054031623</v>
      </c>
      <c r="CC39" s="871">
        <f t="shared" si="175"/>
        <v>86858.753686450596</v>
      </c>
      <c r="CE39" s="1137">
        <f t="shared" si="176"/>
        <v>602730862.02503479</v>
      </c>
      <c r="CF39" s="1136">
        <f t="shared" si="177"/>
        <v>364198115.55555564</v>
      </c>
      <c r="CG39" s="1136">
        <f t="shared" si="178"/>
        <v>235442187500</v>
      </c>
      <c r="CH39" s="172">
        <f t="shared" si="179"/>
        <v>3912066770833.333</v>
      </c>
      <c r="CJ39" s="136">
        <f t="shared" si="180"/>
        <v>266617.28678094374</v>
      </c>
      <c r="CK39" s="7">
        <f t="shared" si="181"/>
        <v>506265479532.14233</v>
      </c>
      <c r="CL39" s="875">
        <f t="shared" si="182"/>
        <v>1298.725804697134</v>
      </c>
      <c r="CM39" s="6">
        <f t="shared" si="183"/>
        <v>1971.274195302866</v>
      </c>
      <c r="CN39" s="876">
        <f t="shared" si="73"/>
        <v>389817063.54114115</v>
      </c>
      <c r="CO39" s="876">
        <f t="shared" si="74"/>
        <v>256821441.04481611</v>
      </c>
      <c r="CP39" s="1137">
        <f t="shared" si="184"/>
        <v>190015866988.12848</v>
      </c>
      <c r="CQ39" s="1136">
        <f t="shared" si="185"/>
        <v>287687084285.59143</v>
      </c>
      <c r="CR39" s="877">
        <f t="shared" si="186"/>
        <v>442846.07199384994</v>
      </c>
      <c r="CS39" s="874">
        <f t="shared" si="187"/>
        <v>797356979103.35107</v>
      </c>
      <c r="CT39" s="875">
        <f t="shared" si="188"/>
        <v>1951.8641657020185</v>
      </c>
      <c r="CU39" s="878">
        <f t="shared" si="189"/>
        <v>1318.1358342979815</v>
      </c>
      <c r="CV39" s="876">
        <f t="shared" si="190"/>
        <v>408510486.08526975</v>
      </c>
      <c r="CW39" s="876">
        <f t="shared" si="191"/>
        <v>604912603.35700595</v>
      </c>
      <c r="CX39" s="1136">
        <f t="shared" si="192"/>
        <v>231301131357.27704</v>
      </c>
      <c r="CY39" s="1136">
        <f t="shared" si="193"/>
        <v>287687084285.59143</v>
      </c>
      <c r="CZ39" s="877">
        <f t="shared" si="194"/>
        <v>325360.21518524585</v>
      </c>
      <c r="DA39" s="874">
        <f t="shared" si="195"/>
        <v>637697253297.72803</v>
      </c>
      <c r="DB39" s="875">
        <f t="shared" si="196"/>
        <v>1595.0535302354619</v>
      </c>
      <c r="DC39" s="878">
        <f t="shared" si="197"/>
        <v>1674.9464697645381</v>
      </c>
      <c r="DD39" s="876">
        <f t="shared" si="75"/>
        <v>399796772.46543008</v>
      </c>
      <c r="DE39" s="876">
        <f t="shared" si="76"/>
        <v>380726945.4929952</v>
      </c>
      <c r="DF39" s="1136">
        <f t="shared" si="198"/>
        <v>203777621777.84467</v>
      </c>
      <c r="DG39" s="1136">
        <f t="shared" si="199"/>
        <v>287687084285.59143</v>
      </c>
      <c r="DH39" s="877">
        <f t="shared" si="200"/>
        <v>512275.23070812179</v>
      </c>
      <c r="DI39" s="879">
        <f t="shared" si="201"/>
        <v>759917387621.1991</v>
      </c>
      <c r="DJ39" s="878">
        <f t="shared" si="202"/>
        <v>625.57907741392819</v>
      </c>
      <c r="DK39" s="877">
        <f t="shared" si="203"/>
        <v>2644.4209225860718</v>
      </c>
      <c r="DL39" s="876">
        <f t="shared" si="77"/>
        <v>1214742332.4363885</v>
      </c>
      <c r="DM39" s="876">
        <f t="shared" si="78"/>
        <v>287366274.07941139</v>
      </c>
      <c r="DN39" s="7">
        <f t="shared" si="204"/>
        <v>798070456946.2124</v>
      </c>
      <c r="DO39" s="1136">
        <f t="shared" si="205"/>
        <v>292962021310.45001</v>
      </c>
      <c r="DP39" s="877">
        <f t="shared" si="206"/>
        <v>348503.26809000311</v>
      </c>
      <c r="DQ39" s="879">
        <f t="shared" si="207"/>
        <v>630279267595.50842</v>
      </c>
      <c r="DR39" s="877">
        <f t="shared" si="208"/>
        <v>968.89972978988681</v>
      </c>
      <c r="DS39" s="877">
        <f t="shared" si="209"/>
        <v>2301.1002702101132</v>
      </c>
      <c r="DT39" s="876">
        <f t="shared" si="79"/>
        <v>650510314.13971937</v>
      </c>
      <c r="DU39" s="876">
        <f t="shared" si="80"/>
        <v>273903434.698201</v>
      </c>
      <c r="DV39" s="1136">
        <f t="shared" si="210"/>
        <v>392700730307.48975</v>
      </c>
      <c r="DW39" s="1136">
        <f t="shared" si="211"/>
        <v>292962021310.45001</v>
      </c>
      <c r="DX39" s="880">
        <f t="shared" si="212"/>
        <v>455930.01999788801</v>
      </c>
      <c r="DY39" s="874">
        <f t="shared" si="213"/>
        <v>851880024989.76282</v>
      </c>
      <c r="DZ39" s="873">
        <f t="shared" si="214"/>
        <v>1892.4928954468974</v>
      </c>
      <c r="EA39" s="880">
        <f t="shared" si="215"/>
        <v>1377.5071045531026</v>
      </c>
      <c r="EB39" s="876">
        <f t="shared" si="81"/>
        <v>450136445.44678622</v>
      </c>
      <c r="EC39" s="876">
        <f t="shared" si="82"/>
        <v>618421510.98460853</v>
      </c>
      <c r="ED39" s="1136">
        <f t="shared" si="216"/>
        <v>798070456946.2124</v>
      </c>
      <c r="EE39" s="1136">
        <f t="shared" si="217"/>
        <v>292962021310.45001</v>
      </c>
      <c r="EF39" s="880">
        <f t="shared" si="218"/>
        <v>329721.53118659189</v>
      </c>
      <c r="EG39" s="874">
        <f t="shared" si="219"/>
        <v>650354433218.04102</v>
      </c>
      <c r="EH39" s="873">
        <f t="shared" si="220"/>
        <v>1572.4074986459461</v>
      </c>
      <c r="EI39" s="880">
        <f t="shared" si="221"/>
        <v>1697.5925013540539</v>
      </c>
      <c r="EJ39" s="876">
        <f t="shared" si="83"/>
        <v>413604255.7530942</v>
      </c>
      <c r="EK39" s="876">
        <f t="shared" si="84"/>
        <v>383103973.83311814</v>
      </c>
      <c r="EL39" s="1136">
        <f t="shared" si="85"/>
        <v>392700730307.48975</v>
      </c>
      <c r="EM39" s="1136">
        <f t="shared" si="86"/>
        <v>292962021310.45001</v>
      </c>
      <c r="EN39" s="876"/>
      <c r="EO39" s="1113" t="s">
        <v>2197</v>
      </c>
      <c r="EP39" s="1114">
        <v>266617.28678094398</v>
      </c>
      <c r="EQ39" s="1114">
        <v>506265479532.14203</v>
      </c>
      <c r="ER39" s="1115">
        <v>1298.7258046971299</v>
      </c>
      <c r="ES39" s="1115">
        <v>1971.2741953028701</v>
      </c>
      <c r="ET39" s="1114">
        <v>389817063.54114097</v>
      </c>
      <c r="EU39" s="1114">
        <v>256821441.04481599</v>
      </c>
      <c r="EV39" s="1114">
        <v>190015866988.12799</v>
      </c>
      <c r="EW39" s="1114">
        <v>287687084285.591</v>
      </c>
      <c r="EX39" s="1114">
        <v>442846.07199385</v>
      </c>
      <c r="EY39" s="1114">
        <v>797356979103.35095</v>
      </c>
      <c r="EZ39" s="1115">
        <v>1951.86416570202</v>
      </c>
      <c r="FA39" s="1115">
        <v>1318.13583429798</v>
      </c>
      <c r="FB39" s="1114">
        <v>408510486.08526999</v>
      </c>
      <c r="FC39" s="1114">
        <v>604912603.35700595</v>
      </c>
      <c r="FD39" s="1114">
        <v>231301131357.27701</v>
      </c>
      <c r="FE39" s="1114">
        <v>287687084285.591</v>
      </c>
      <c r="FF39" s="1114">
        <v>325360.21518524602</v>
      </c>
      <c r="FG39" s="1114">
        <v>637697253297.72803</v>
      </c>
      <c r="FH39" s="1115">
        <v>1595.0535302354599</v>
      </c>
      <c r="FI39" s="1115">
        <v>1674.9464697645401</v>
      </c>
      <c r="FJ39" s="1114">
        <v>399796772.46543002</v>
      </c>
      <c r="FK39" s="1114">
        <v>380726945.49299502</v>
      </c>
      <c r="FL39" s="1114">
        <v>203777621777.845</v>
      </c>
      <c r="FM39" s="1114">
        <v>287687084285.591</v>
      </c>
      <c r="FN39" s="1114">
        <v>512275.23070812202</v>
      </c>
      <c r="FO39" s="1114">
        <v>759917387621.19897</v>
      </c>
      <c r="FP39" s="1115">
        <v>625.57907741392796</v>
      </c>
      <c r="FQ39" s="1115">
        <v>2644.42092258607</v>
      </c>
      <c r="FR39" s="1114">
        <v>1214742332.4363899</v>
      </c>
      <c r="FS39" s="1114">
        <v>287366274.07941103</v>
      </c>
      <c r="FT39" s="1114">
        <v>798070456946.21301</v>
      </c>
      <c r="FU39" s="1114">
        <v>292962021310.45001</v>
      </c>
      <c r="FV39" s="1114">
        <v>348503.268090003</v>
      </c>
      <c r="FW39" s="1114">
        <v>630279267595.50903</v>
      </c>
      <c r="FX39" s="1115">
        <v>968.89972978988703</v>
      </c>
      <c r="FY39" s="1115">
        <v>2301.10027021011</v>
      </c>
      <c r="FZ39" s="1114">
        <v>650510314.13971996</v>
      </c>
      <c r="GA39" s="1114">
        <v>273903434.698201</v>
      </c>
      <c r="GB39" s="1114">
        <v>392700730307.48999</v>
      </c>
      <c r="GC39" s="1114">
        <v>292962021310.45001</v>
      </c>
      <c r="GD39" s="1114">
        <v>455930.01999788801</v>
      </c>
      <c r="GE39" s="1114">
        <v>851880024989.76294</v>
      </c>
      <c r="GF39" s="1115">
        <v>1892.4928954469001</v>
      </c>
      <c r="GG39" s="1115">
        <v>1377.5071045530999</v>
      </c>
      <c r="GH39" s="1114">
        <v>450136445.44678599</v>
      </c>
      <c r="GI39" s="1114">
        <v>618421510.98460901</v>
      </c>
      <c r="GJ39" s="1114">
        <v>798070456946.21301</v>
      </c>
      <c r="GK39" s="1114">
        <v>292962021310.45001</v>
      </c>
      <c r="GL39" s="1114">
        <v>329721.53118659201</v>
      </c>
      <c r="GM39" s="1114">
        <v>650354433218.04102</v>
      </c>
      <c r="GN39" s="1115">
        <v>1572.40749864595</v>
      </c>
      <c r="GO39" s="1115">
        <v>1697.59250135405</v>
      </c>
      <c r="GP39" s="1114">
        <v>413604255.75309402</v>
      </c>
      <c r="GQ39" s="1114">
        <v>383103973.83311802</v>
      </c>
      <c r="GR39" s="1114">
        <v>392700730307.48999</v>
      </c>
      <c r="GS39" s="1114">
        <v>292962021310.45001</v>
      </c>
      <c r="GU39" s="1171">
        <f t="shared" si="222"/>
        <v>0</v>
      </c>
      <c r="GV39" s="1171">
        <f t="shared" si="223"/>
        <v>0</v>
      </c>
      <c r="GW39" s="1171">
        <f t="shared" si="224"/>
        <v>4.0927261579781771E-12</v>
      </c>
      <c r="GX39" s="1171">
        <f t="shared" si="225"/>
        <v>-4.0927261579781771E-12</v>
      </c>
      <c r="GY39" s="1171">
        <f t="shared" si="226"/>
        <v>0</v>
      </c>
      <c r="GZ39" s="1171">
        <f t="shared" si="227"/>
        <v>0</v>
      </c>
      <c r="HA39" s="1171">
        <f t="shared" si="235"/>
        <v>4.8828125E-4</v>
      </c>
      <c r="HB39" s="1171">
        <f t="shared" si="228"/>
        <v>0</v>
      </c>
      <c r="HC39" s="1171">
        <f t="shared" si="229"/>
        <v>0</v>
      </c>
      <c r="HD39" s="1171">
        <f t="shared" si="230"/>
        <v>0</v>
      </c>
      <c r="HE39" s="1171">
        <f t="shared" si="231"/>
        <v>0</v>
      </c>
      <c r="HF39" s="1171">
        <f t="shared" si="232"/>
        <v>0</v>
      </c>
      <c r="HG39" s="1171">
        <f t="shared" si="89"/>
        <v>0</v>
      </c>
      <c r="HH39" s="1171">
        <f t="shared" si="90"/>
        <v>0</v>
      </c>
      <c r="HI39" s="1171">
        <f t="shared" si="91"/>
        <v>0</v>
      </c>
      <c r="HJ39" s="1171">
        <f t="shared" si="92"/>
        <v>0</v>
      </c>
      <c r="HK39" s="1171">
        <f t="shared" si="93"/>
        <v>0</v>
      </c>
      <c r="HL39" s="1171">
        <f t="shared" si="94"/>
        <v>0</v>
      </c>
      <c r="HM39" s="1171">
        <f t="shared" si="95"/>
        <v>2.0463630789890885E-12</v>
      </c>
      <c r="HN39" s="1171">
        <f t="shared" si="96"/>
        <v>-2.0463630789890885E-12</v>
      </c>
      <c r="HO39" s="1171">
        <f t="shared" si="97"/>
        <v>0</v>
      </c>
      <c r="HP39" s="1171">
        <f t="shared" si="98"/>
        <v>0</v>
      </c>
      <c r="HQ39" s="1171">
        <f t="shared" si="99"/>
        <v>-3.35693359375E-4</v>
      </c>
      <c r="HR39" s="1171">
        <f t="shared" si="100"/>
        <v>0</v>
      </c>
      <c r="HS39" s="1171">
        <f t="shared" si="101"/>
        <v>0</v>
      </c>
      <c r="HT39" s="1171">
        <f t="shared" si="102"/>
        <v>0</v>
      </c>
      <c r="HU39" s="1171">
        <f t="shared" si="103"/>
        <v>0</v>
      </c>
      <c r="HV39" s="1171">
        <f t="shared" si="104"/>
        <v>0</v>
      </c>
      <c r="HW39" s="1171">
        <f t="shared" si="105"/>
        <v>0</v>
      </c>
      <c r="HX39" s="1171">
        <f t="shared" si="106"/>
        <v>0</v>
      </c>
      <c r="HY39" s="1171">
        <f t="shared" si="107"/>
        <v>0</v>
      </c>
      <c r="HZ39" s="1171">
        <f t="shared" si="108"/>
        <v>0</v>
      </c>
      <c r="IA39" s="1171">
        <f t="shared" si="109"/>
        <v>0</v>
      </c>
      <c r="IB39" s="1171">
        <f t="shared" si="110"/>
        <v>0</v>
      </c>
      <c r="IC39" s="1171">
        <f t="shared" si="111"/>
        <v>0</v>
      </c>
      <c r="ID39" s="1171">
        <f t="shared" si="112"/>
        <v>0</v>
      </c>
      <c r="IE39" s="1171">
        <f t="shared" si="113"/>
        <v>0</v>
      </c>
      <c r="IF39" s="1171">
        <f t="shared" si="114"/>
        <v>0</v>
      </c>
      <c r="IG39" s="1171">
        <f t="shared" si="115"/>
        <v>0</v>
      </c>
      <c r="IH39" s="1171">
        <f t="shared" si="116"/>
        <v>0</v>
      </c>
      <c r="II39" s="1171">
        <f t="shared" si="117"/>
        <v>0</v>
      </c>
      <c r="IJ39" s="1171">
        <f t="shared" si="118"/>
        <v>0</v>
      </c>
      <c r="IK39" s="1171">
        <f t="shared" si="119"/>
        <v>-2.7284841053187847E-12</v>
      </c>
      <c r="IL39" s="1171">
        <f t="shared" si="120"/>
        <v>2.7284841053187847E-12</v>
      </c>
      <c r="IM39" s="1171">
        <f t="shared" si="121"/>
        <v>0</v>
      </c>
      <c r="IN39" s="1171">
        <f t="shared" si="122"/>
        <v>0</v>
      </c>
      <c r="IO39" s="1171">
        <f t="shared" si="123"/>
        <v>0</v>
      </c>
      <c r="IP39" s="1171">
        <f t="shared" si="124"/>
        <v>0</v>
      </c>
      <c r="IQ39" s="1171">
        <f t="shared" si="125"/>
        <v>0</v>
      </c>
      <c r="IR39" s="1171">
        <f t="shared" si="126"/>
        <v>0</v>
      </c>
      <c r="IS39" s="1171">
        <f t="shared" si="127"/>
        <v>-3.865352482534945E-12</v>
      </c>
      <c r="IT39" s="1171">
        <f t="shared" si="128"/>
        <v>3.865352482534945E-12</v>
      </c>
      <c r="IU39" s="1171">
        <f t="shared" si="129"/>
        <v>0</v>
      </c>
      <c r="IV39" s="1171">
        <f t="shared" si="130"/>
        <v>0</v>
      </c>
      <c r="IW39" s="1171">
        <f t="shared" si="131"/>
        <v>0</v>
      </c>
      <c r="IX39" s="1171">
        <f t="shared" si="132"/>
        <v>0</v>
      </c>
    </row>
    <row r="40" spans="1:258" s="871" customFormat="1">
      <c r="B40" s="871" t="str">
        <f t="shared" ref="B40" si="239">LEFT(B38,3)+1&amp;"j"</f>
        <v>119j</v>
      </c>
      <c r="C40" s="871">
        <v>81.900000000000006</v>
      </c>
      <c r="D40" s="871">
        <v>0</v>
      </c>
      <c r="E40" s="871" t="s">
        <v>2095</v>
      </c>
      <c r="F40" s="26">
        <v>1</v>
      </c>
      <c r="G40" s="136">
        <v>2900</v>
      </c>
      <c r="H40" s="136">
        <v>40</v>
      </c>
      <c r="I40" s="28">
        <v>250</v>
      </c>
      <c r="J40" s="26">
        <v>1840</v>
      </c>
      <c r="K40" s="136">
        <v>30</v>
      </c>
      <c r="L40" s="28">
        <v>120</v>
      </c>
      <c r="M40" s="26">
        <v>3200</v>
      </c>
      <c r="N40" s="28">
        <v>14</v>
      </c>
      <c r="O40" s="397">
        <v>600</v>
      </c>
      <c r="P40" s="26">
        <v>290</v>
      </c>
      <c r="Q40" s="397">
        <f>+Section!L101</f>
        <v>5450</v>
      </c>
      <c r="R40" s="169">
        <v>0</v>
      </c>
      <c r="S40" s="210">
        <v>0</v>
      </c>
      <c r="T40" s="210">
        <v>1150</v>
      </c>
      <c r="U40" s="210">
        <v>2400</v>
      </c>
      <c r="V40" s="872">
        <v>3800</v>
      </c>
      <c r="W40" s="210">
        <v>19</v>
      </c>
      <c r="X40" s="210">
        <v>200</v>
      </c>
      <c r="Y40" s="210">
        <v>50</v>
      </c>
      <c r="Z40" s="210">
        <v>16</v>
      </c>
      <c r="AA40" s="210">
        <v>200</v>
      </c>
      <c r="AB40" s="872">
        <v>40</v>
      </c>
      <c r="AC40" s="881">
        <f t="shared" si="234"/>
        <v>6031.8578948924023</v>
      </c>
      <c r="AD40" s="397">
        <v>2</v>
      </c>
      <c r="AE40" s="210">
        <v>160</v>
      </c>
      <c r="AF40" s="210">
        <v>16</v>
      </c>
      <c r="AG40" s="397">
        <v>0</v>
      </c>
      <c r="AH40" s="210">
        <v>0</v>
      </c>
      <c r="AI40" s="210">
        <v>0</v>
      </c>
      <c r="AJ40" s="397">
        <v>2</v>
      </c>
      <c r="AK40" s="210">
        <v>2500</v>
      </c>
      <c r="AL40" s="210">
        <v>5000</v>
      </c>
      <c r="AM40" s="1143" t="s">
        <v>2323</v>
      </c>
      <c r="AN40" s="210">
        <v>0</v>
      </c>
      <c r="AO40" s="1143" t="s">
        <v>2323</v>
      </c>
      <c r="AP40" s="1143" t="s">
        <v>2323</v>
      </c>
      <c r="AQ40" s="136">
        <v>180</v>
      </c>
      <c r="AR40" s="136">
        <v>16</v>
      </c>
      <c r="AS40" s="1143" t="s">
        <v>2448</v>
      </c>
      <c r="AT40" s="136">
        <v>120</v>
      </c>
      <c r="AU40" s="136">
        <v>12</v>
      </c>
      <c r="AV40" s="1111" t="s">
        <v>2158</v>
      </c>
      <c r="AW40" s="1111">
        <v>20</v>
      </c>
      <c r="AX40" s="1111">
        <v>1000</v>
      </c>
      <c r="AY40" s="1109">
        <v>700</v>
      </c>
      <c r="AZ40" s="1108">
        <v>8</v>
      </c>
      <c r="BA40" s="1108">
        <v>6</v>
      </c>
      <c r="BB40" s="1111"/>
      <c r="BC40" s="1168"/>
      <c r="BD40" s="210">
        <f>INDEX(Spec!$B$12:$P$58,MATCH(AO40,Spec!$A$12:$A$58,0),6)*100</f>
        <v>0</v>
      </c>
      <c r="BE40" s="210">
        <f>INDEX(Spec!$B$12:$P$58,MATCH(AP40,Spec!$A$12:$A$58,0),6)*100</f>
        <v>0</v>
      </c>
      <c r="BF40" s="881">
        <f t="shared" si="161"/>
        <v>0</v>
      </c>
      <c r="BG40" s="881">
        <f t="shared" si="162"/>
        <v>47.243485714285718</v>
      </c>
      <c r="BH40" s="881"/>
      <c r="BI40" s="13" cm="1">
        <f t="array" ref="BI40">INDEX(Info!$AD$4:$AH$15,MATCH(Info!$I$13,Info!$AC$4:$AC$15,0),IF(H40&lt;=16,1,IF(H40&lt;=40,2,IF(H40&lt;=75,3,IF(H40&lt;=100,4,5)))))</f>
        <v>380</v>
      </c>
      <c r="BJ40" s="13" cm="1">
        <f t="array" ref="BJ40">INDEX(Info!$AD$4:$AH$15,MATCH(Info!$I$13,Info!$AC$4:$AC$15,0),IF(K40&lt;=16,1,IF(K40&lt;=40,2,IF(K40&lt;=75,3,IF(K40&lt;=100,4,5)))))</f>
        <v>380</v>
      </c>
      <c r="BK40" s="13" cm="1">
        <f t="array" ref="BK40">INDEX(Info!$AD$4:$AH$15,MATCH(Info!$I$14,Info!$AC$4:$AC$15,0),IF(N40&lt;=16,1,IF(N40&lt;=40,2,IF(N40&lt;=75,3,IF(N40&lt;=100,4,5)))))</f>
        <v>355</v>
      </c>
      <c r="BL40" s="13">
        <f>IF(Stress!C869="Positive",MAX(MIN(0.7*BI40,BK40),0.5*BI40),MAX(MIN(0.7*BJ40,BK40),0.5*BJ40))</f>
        <v>266</v>
      </c>
      <c r="BM40" s="13" cm="1">
        <f t="array" ref="BM40">INDEX(Info!$AD$4:$AH$15,MATCH(Info!$I$13,Info!$AC$4:$AC$15,0),IF(AI40&lt;=16,1,IF(AI40&lt;=40,2,IF(AI40&lt;=75,3,IF(AI40&lt;=100,4,5)))))</f>
        <v>380</v>
      </c>
      <c r="BN40" s="13" cm="1">
        <f t="array" ref="BN40">INDEX(Info!$AD$4:$AH$15,MATCH(Info!$I$13,Info!$AC$4:$AC$15,0),IF(AF40&lt;=16,1,IF(AF40&lt;=40,2,IF(AF40&lt;=75,3,IF(AF40&lt;=100,4,5)))))</f>
        <v>380</v>
      </c>
      <c r="BO40" s="13"/>
      <c r="BP40" s="873">
        <f t="shared" si="163"/>
        <v>0.125</v>
      </c>
      <c r="BQ40" s="873">
        <f t="shared" si="164"/>
        <v>3224.9030993194197</v>
      </c>
      <c r="BR40" s="873">
        <f t="shared" si="165"/>
        <v>3520</v>
      </c>
      <c r="BS40" s="873"/>
      <c r="BT40" s="871">
        <f t="shared" si="166"/>
        <v>1005000</v>
      </c>
      <c r="BU40" s="136">
        <f t="shared" si="167"/>
        <v>30129850746.268658</v>
      </c>
      <c r="BV40" s="871">
        <f t="shared" si="168"/>
        <v>1580500</v>
      </c>
      <c r="BW40" s="871">
        <f t="shared" si="169"/>
        <v>11076670833.333334</v>
      </c>
      <c r="BX40" s="871">
        <f t="shared" si="170"/>
        <v>0</v>
      </c>
      <c r="BY40" s="871">
        <f t="shared" si="171"/>
        <v>0</v>
      </c>
      <c r="BZ40" s="871">
        <f t="shared" si="172"/>
        <v>7655.2758986349281</v>
      </c>
      <c r="CA40" s="871">
        <f t="shared" si="173"/>
        <v>172722.16246295057</v>
      </c>
      <c r="CB40" s="871">
        <f t="shared" si="174"/>
        <v>5428.6721054031623</v>
      </c>
      <c r="CC40" s="871">
        <f t="shared" si="175"/>
        <v>86858.753686450596</v>
      </c>
      <c r="CE40" s="1137">
        <f t="shared" si="176"/>
        <v>602730862.02503479</v>
      </c>
      <c r="CF40" s="1136">
        <f t="shared" si="177"/>
        <v>364198115.55555564</v>
      </c>
      <c r="CG40" s="1136">
        <f t="shared" si="178"/>
        <v>235442187500</v>
      </c>
      <c r="CH40" s="172">
        <f t="shared" si="179"/>
        <v>3912066770833.333</v>
      </c>
      <c r="CJ40" s="136">
        <f t="shared" si="180"/>
        <v>266617.28678094374</v>
      </c>
      <c r="CK40" s="7">
        <f t="shared" si="181"/>
        <v>506265479532.14233</v>
      </c>
      <c r="CL40" s="875">
        <f t="shared" si="182"/>
        <v>1298.725804697134</v>
      </c>
      <c r="CM40" s="6">
        <f t="shared" si="183"/>
        <v>1971.274195302866</v>
      </c>
      <c r="CN40" s="876">
        <f t="shared" si="73"/>
        <v>389817063.54114115</v>
      </c>
      <c r="CO40" s="876">
        <f t="shared" si="74"/>
        <v>256821441.04481611</v>
      </c>
      <c r="CP40" s="1137">
        <f t="shared" si="184"/>
        <v>190015866988.12848</v>
      </c>
      <c r="CQ40" s="1136">
        <f t="shared" si="185"/>
        <v>287687084285.59143</v>
      </c>
      <c r="CR40" s="877">
        <f t="shared" si="186"/>
        <v>442846.07199384994</v>
      </c>
      <c r="CS40" s="874">
        <f t="shared" si="187"/>
        <v>797356979103.35107</v>
      </c>
      <c r="CT40" s="875">
        <f t="shared" si="188"/>
        <v>1951.8641657020185</v>
      </c>
      <c r="CU40" s="878">
        <f t="shared" si="189"/>
        <v>1318.1358342979815</v>
      </c>
      <c r="CV40" s="876">
        <f t="shared" si="190"/>
        <v>408510486.08526975</v>
      </c>
      <c r="CW40" s="876">
        <f t="shared" si="191"/>
        <v>604912603.35700595</v>
      </c>
      <c r="CX40" s="1136">
        <f t="shared" si="192"/>
        <v>231301131357.27704</v>
      </c>
      <c r="CY40" s="1136">
        <f t="shared" si="193"/>
        <v>287687084285.59143</v>
      </c>
      <c r="CZ40" s="877">
        <f t="shared" si="194"/>
        <v>325360.21518524585</v>
      </c>
      <c r="DA40" s="874">
        <f t="shared" si="195"/>
        <v>637697253297.72803</v>
      </c>
      <c r="DB40" s="875">
        <f t="shared" si="196"/>
        <v>1595.0535302354619</v>
      </c>
      <c r="DC40" s="878">
        <f t="shared" si="197"/>
        <v>1674.9464697645381</v>
      </c>
      <c r="DD40" s="876">
        <f t="shared" si="75"/>
        <v>399796772.46543008</v>
      </c>
      <c r="DE40" s="876">
        <f t="shared" si="76"/>
        <v>380726945.4929952</v>
      </c>
      <c r="DF40" s="1136">
        <f t="shared" si="198"/>
        <v>203777621777.84467</v>
      </c>
      <c r="DG40" s="1136">
        <f t="shared" si="199"/>
        <v>287687084285.59143</v>
      </c>
      <c r="DH40" s="877">
        <f t="shared" si="200"/>
        <v>512275.23070812179</v>
      </c>
      <c r="DI40" s="879">
        <f t="shared" si="201"/>
        <v>759917387621.1991</v>
      </c>
      <c r="DJ40" s="878">
        <f t="shared" si="202"/>
        <v>625.57907741392819</v>
      </c>
      <c r="DK40" s="877">
        <f t="shared" si="203"/>
        <v>2644.4209225860718</v>
      </c>
      <c r="DL40" s="876">
        <f t="shared" si="77"/>
        <v>1214742332.4363885</v>
      </c>
      <c r="DM40" s="876">
        <f t="shared" si="78"/>
        <v>287366274.07941139</v>
      </c>
      <c r="DN40" s="7">
        <f t="shared" si="204"/>
        <v>798070456946.2124</v>
      </c>
      <c r="DO40" s="1136">
        <f t="shared" si="205"/>
        <v>292962021310.45001</v>
      </c>
      <c r="DP40" s="877">
        <f t="shared" si="206"/>
        <v>348503.26809000311</v>
      </c>
      <c r="DQ40" s="879">
        <f t="shared" si="207"/>
        <v>630279267595.50842</v>
      </c>
      <c r="DR40" s="877">
        <f t="shared" si="208"/>
        <v>968.89972978988681</v>
      </c>
      <c r="DS40" s="877">
        <f t="shared" si="209"/>
        <v>2301.1002702101132</v>
      </c>
      <c r="DT40" s="876">
        <f t="shared" si="79"/>
        <v>650510314.13971937</v>
      </c>
      <c r="DU40" s="876">
        <f t="shared" si="80"/>
        <v>273903434.698201</v>
      </c>
      <c r="DV40" s="1136">
        <f t="shared" si="210"/>
        <v>392700730307.48975</v>
      </c>
      <c r="DW40" s="1136">
        <f t="shared" si="211"/>
        <v>292962021310.45001</v>
      </c>
      <c r="DX40" s="880">
        <f t="shared" si="212"/>
        <v>455930.01999788801</v>
      </c>
      <c r="DY40" s="874">
        <f t="shared" si="213"/>
        <v>851880024989.76282</v>
      </c>
      <c r="DZ40" s="873">
        <f t="shared" si="214"/>
        <v>1892.4928954468974</v>
      </c>
      <c r="EA40" s="880">
        <f t="shared" si="215"/>
        <v>1377.5071045531026</v>
      </c>
      <c r="EB40" s="876">
        <f t="shared" si="81"/>
        <v>450136445.44678622</v>
      </c>
      <c r="EC40" s="876">
        <f t="shared" si="82"/>
        <v>618421510.98460853</v>
      </c>
      <c r="ED40" s="1136">
        <f t="shared" si="216"/>
        <v>798070456946.2124</v>
      </c>
      <c r="EE40" s="1136">
        <f t="shared" si="217"/>
        <v>292962021310.45001</v>
      </c>
      <c r="EF40" s="880">
        <f t="shared" si="218"/>
        <v>329721.53118659189</v>
      </c>
      <c r="EG40" s="874">
        <f t="shared" si="219"/>
        <v>650354433218.04102</v>
      </c>
      <c r="EH40" s="873">
        <f t="shared" si="220"/>
        <v>1572.4074986459461</v>
      </c>
      <c r="EI40" s="880">
        <f t="shared" si="221"/>
        <v>1697.5925013540539</v>
      </c>
      <c r="EJ40" s="876">
        <f t="shared" si="83"/>
        <v>413604255.7530942</v>
      </c>
      <c r="EK40" s="876">
        <f t="shared" si="84"/>
        <v>383103973.83311814</v>
      </c>
      <c r="EL40" s="1136">
        <f t="shared" si="85"/>
        <v>392700730307.48975</v>
      </c>
      <c r="EM40" s="1136">
        <f t="shared" si="86"/>
        <v>292962021310.45001</v>
      </c>
      <c r="EN40" s="876"/>
      <c r="EO40" s="1113" t="s">
        <v>2198</v>
      </c>
      <c r="EP40" s="1114">
        <v>266617.28678094398</v>
      </c>
      <c r="EQ40" s="1114">
        <v>506265479532.14203</v>
      </c>
      <c r="ER40" s="1115">
        <v>1298.7258046971299</v>
      </c>
      <c r="ES40" s="1115">
        <v>1971.2741953028701</v>
      </c>
      <c r="ET40" s="1114">
        <v>389817063.54114097</v>
      </c>
      <c r="EU40" s="1114">
        <v>256821441.04481599</v>
      </c>
      <c r="EV40" s="1114">
        <v>190015866988.12799</v>
      </c>
      <c r="EW40" s="1114">
        <v>287687084285.591</v>
      </c>
      <c r="EX40" s="1114">
        <v>442846.07199385</v>
      </c>
      <c r="EY40" s="1114">
        <v>797356979103.35095</v>
      </c>
      <c r="EZ40" s="1115">
        <v>1951.86416570202</v>
      </c>
      <c r="FA40" s="1115">
        <v>1318.13583429798</v>
      </c>
      <c r="FB40" s="1114">
        <v>408510486.08526999</v>
      </c>
      <c r="FC40" s="1114">
        <v>604912603.35700595</v>
      </c>
      <c r="FD40" s="1114">
        <v>231301131357.27701</v>
      </c>
      <c r="FE40" s="1114">
        <v>287687084285.591</v>
      </c>
      <c r="FF40" s="1114">
        <v>325360.21518524602</v>
      </c>
      <c r="FG40" s="1114">
        <v>637697253297.72803</v>
      </c>
      <c r="FH40" s="1115">
        <v>1595.0535302354599</v>
      </c>
      <c r="FI40" s="1115">
        <v>1674.9464697645401</v>
      </c>
      <c r="FJ40" s="1114">
        <v>399796772.46543002</v>
      </c>
      <c r="FK40" s="1114">
        <v>380726945.49299502</v>
      </c>
      <c r="FL40" s="1114">
        <v>203777621777.845</v>
      </c>
      <c r="FM40" s="1114">
        <v>287687084285.591</v>
      </c>
      <c r="FN40" s="1114">
        <v>512275.23070812202</v>
      </c>
      <c r="FO40" s="1114">
        <v>759917387621.19897</v>
      </c>
      <c r="FP40" s="1115">
        <v>625.57907741392796</v>
      </c>
      <c r="FQ40" s="1115">
        <v>2644.42092258607</v>
      </c>
      <c r="FR40" s="1114">
        <v>1214742332.4363899</v>
      </c>
      <c r="FS40" s="1114">
        <v>287366274.07941103</v>
      </c>
      <c r="FT40" s="1114">
        <v>798070456946.21301</v>
      </c>
      <c r="FU40" s="1114">
        <v>292962021310.45001</v>
      </c>
      <c r="FV40" s="1114">
        <v>348503.268090003</v>
      </c>
      <c r="FW40" s="1114">
        <v>630279267595.50903</v>
      </c>
      <c r="FX40" s="1115">
        <v>968.89972978988703</v>
      </c>
      <c r="FY40" s="1115">
        <v>2301.10027021011</v>
      </c>
      <c r="FZ40" s="1114">
        <v>650510314.13971996</v>
      </c>
      <c r="GA40" s="1114">
        <v>273903434.698201</v>
      </c>
      <c r="GB40" s="1114">
        <v>392700730307.48999</v>
      </c>
      <c r="GC40" s="1114">
        <v>292962021310.45001</v>
      </c>
      <c r="GD40" s="1114">
        <v>455930.01999788801</v>
      </c>
      <c r="GE40" s="1114">
        <v>851880024989.76294</v>
      </c>
      <c r="GF40" s="1115">
        <v>1892.4928954469001</v>
      </c>
      <c r="GG40" s="1115">
        <v>1377.5071045530999</v>
      </c>
      <c r="GH40" s="1114">
        <v>450136445.44678599</v>
      </c>
      <c r="GI40" s="1114">
        <v>618421510.98460901</v>
      </c>
      <c r="GJ40" s="1114">
        <v>798070456946.21301</v>
      </c>
      <c r="GK40" s="1114">
        <v>292962021310.45001</v>
      </c>
      <c r="GL40" s="1114">
        <v>329721.53118659201</v>
      </c>
      <c r="GM40" s="1114">
        <v>650354433218.04102</v>
      </c>
      <c r="GN40" s="1115">
        <v>1572.40749864595</v>
      </c>
      <c r="GO40" s="1115">
        <v>1697.59250135405</v>
      </c>
      <c r="GP40" s="1114">
        <v>413604255.75309402</v>
      </c>
      <c r="GQ40" s="1114">
        <v>383103973.83311802</v>
      </c>
      <c r="GR40" s="1114">
        <v>392700730307.48999</v>
      </c>
      <c r="GS40" s="1114">
        <v>292962021310.45001</v>
      </c>
      <c r="GU40" s="1171">
        <f t="shared" si="222"/>
        <v>0</v>
      </c>
      <c r="GV40" s="1171">
        <f t="shared" si="223"/>
        <v>0</v>
      </c>
      <c r="GW40" s="1171">
        <f t="shared" si="224"/>
        <v>4.0927261579781771E-12</v>
      </c>
      <c r="GX40" s="1171">
        <f t="shared" si="225"/>
        <v>-4.0927261579781771E-12</v>
      </c>
      <c r="GY40" s="1171">
        <f t="shared" si="226"/>
        <v>0</v>
      </c>
      <c r="GZ40" s="1171">
        <f t="shared" si="227"/>
        <v>0</v>
      </c>
      <c r="HA40" s="1171">
        <f t="shared" si="235"/>
        <v>4.8828125E-4</v>
      </c>
      <c r="HB40" s="1171">
        <f t="shared" si="228"/>
        <v>0</v>
      </c>
      <c r="HC40" s="1171">
        <f t="shared" si="229"/>
        <v>0</v>
      </c>
      <c r="HD40" s="1171">
        <f t="shared" si="230"/>
        <v>0</v>
      </c>
      <c r="HE40" s="1171">
        <f t="shared" si="231"/>
        <v>0</v>
      </c>
      <c r="HF40" s="1171">
        <f t="shared" si="232"/>
        <v>0</v>
      </c>
      <c r="HG40" s="1171">
        <f t="shared" si="89"/>
        <v>0</v>
      </c>
      <c r="HH40" s="1171">
        <f t="shared" si="90"/>
        <v>0</v>
      </c>
      <c r="HI40" s="1171">
        <f t="shared" si="91"/>
        <v>0</v>
      </c>
      <c r="HJ40" s="1171">
        <f t="shared" si="92"/>
        <v>0</v>
      </c>
      <c r="HK40" s="1171">
        <f t="shared" si="93"/>
        <v>0</v>
      </c>
      <c r="HL40" s="1171">
        <f t="shared" si="94"/>
        <v>0</v>
      </c>
      <c r="HM40" s="1171">
        <f t="shared" si="95"/>
        <v>2.0463630789890885E-12</v>
      </c>
      <c r="HN40" s="1171">
        <f t="shared" si="96"/>
        <v>-2.0463630789890885E-12</v>
      </c>
      <c r="HO40" s="1171">
        <f t="shared" si="97"/>
        <v>0</v>
      </c>
      <c r="HP40" s="1171">
        <f t="shared" si="98"/>
        <v>0</v>
      </c>
      <c r="HQ40" s="1171">
        <f t="shared" si="99"/>
        <v>-3.35693359375E-4</v>
      </c>
      <c r="HR40" s="1171">
        <f t="shared" si="100"/>
        <v>0</v>
      </c>
      <c r="HS40" s="1171">
        <f t="shared" si="101"/>
        <v>0</v>
      </c>
      <c r="HT40" s="1171">
        <f t="shared" si="102"/>
        <v>0</v>
      </c>
      <c r="HU40" s="1171">
        <f t="shared" si="103"/>
        <v>0</v>
      </c>
      <c r="HV40" s="1171">
        <f t="shared" si="104"/>
        <v>0</v>
      </c>
      <c r="HW40" s="1171">
        <f t="shared" si="105"/>
        <v>0</v>
      </c>
      <c r="HX40" s="1171">
        <f t="shared" si="106"/>
        <v>0</v>
      </c>
      <c r="HY40" s="1171">
        <f t="shared" si="107"/>
        <v>0</v>
      </c>
      <c r="HZ40" s="1171">
        <f t="shared" si="108"/>
        <v>0</v>
      </c>
      <c r="IA40" s="1171">
        <f t="shared" si="109"/>
        <v>0</v>
      </c>
      <c r="IB40" s="1171">
        <f t="shared" si="110"/>
        <v>0</v>
      </c>
      <c r="IC40" s="1171">
        <f t="shared" si="111"/>
        <v>0</v>
      </c>
      <c r="ID40" s="1171">
        <f t="shared" si="112"/>
        <v>0</v>
      </c>
      <c r="IE40" s="1171">
        <f t="shared" si="113"/>
        <v>0</v>
      </c>
      <c r="IF40" s="1171">
        <f t="shared" si="114"/>
        <v>0</v>
      </c>
      <c r="IG40" s="1171">
        <f t="shared" si="115"/>
        <v>0</v>
      </c>
      <c r="IH40" s="1171">
        <f t="shared" si="116"/>
        <v>0</v>
      </c>
      <c r="II40" s="1171">
        <f t="shared" si="117"/>
        <v>0</v>
      </c>
      <c r="IJ40" s="1171">
        <f t="shared" si="118"/>
        <v>0</v>
      </c>
      <c r="IK40" s="1171">
        <f t="shared" si="119"/>
        <v>-2.7284841053187847E-12</v>
      </c>
      <c r="IL40" s="1171">
        <f t="shared" si="120"/>
        <v>2.7284841053187847E-12</v>
      </c>
      <c r="IM40" s="1171">
        <f t="shared" si="121"/>
        <v>0</v>
      </c>
      <c r="IN40" s="1171">
        <f t="shared" si="122"/>
        <v>0</v>
      </c>
      <c r="IO40" s="1171">
        <f t="shared" si="123"/>
        <v>0</v>
      </c>
      <c r="IP40" s="1171">
        <f t="shared" si="124"/>
        <v>0</v>
      </c>
      <c r="IQ40" s="1171">
        <f t="shared" si="125"/>
        <v>0</v>
      </c>
      <c r="IR40" s="1171">
        <f t="shared" si="126"/>
        <v>0</v>
      </c>
      <c r="IS40" s="1171">
        <f t="shared" si="127"/>
        <v>-3.865352482534945E-12</v>
      </c>
      <c r="IT40" s="1171">
        <f t="shared" si="128"/>
        <v>3.865352482534945E-12</v>
      </c>
      <c r="IU40" s="1171">
        <f t="shared" si="129"/>
        <v>0</v>
      </c>
      <c r="IV40" s="1171">
        <f t="shared" si="130"/>
        <v>0</v>
      </c>
      <c r="IW40" s="1171">
        <f t="shared" si="131"/>
        <v>0</v>
      </c>
      <c r="IX40" s="1171">
        <f t="shared" si="132"/>
        <v>0</v>
      </c>
    </row>
    <row r="41" spans="1:258" s="871" customFormat="1">
      <c r="A41" s="871">
        <v>120</v>
      </c>
      <c r="B41" s="871" t="str">
        <f t="shared" ref="B41" si="240">LEFT(B39,3)+1&amp;"i"</f>
        <v>120i</v>
      </c>
      <c r="C41" s="871">
        <v>81.900000000000006</v>
      </c>
      <c r="D41" s="871">
        <v>0</v>
      </c>
      <c r="E41" s="871" t="s">
        <v>2095</v>
      </c>
      <c r="F41" s="26">
        <v>1</v>
      </c>
      <c r="G41" s="136">
        <v>2900</v>
      </c>
      <c r="H41" s="136">
        <v>40</v>
      </c>
      <c r="I41" s="28">
        <v>250</v>
      </c>
      <c r="J41" s="26">
        <v>1840</v>
      </c>
      <c r="K41" s="136">
        <v>30</v>
      </c>
      <c r="L41" s="28">
        <v>120</v>
      </c>
      <c r="M41" s="26">
        <v>3200</v>
      </c>
      <c r="N41" s="28">
        <v>14</v>
      </c>
      <c r="O41" s="397">
        <v>600</v>
      </c>
      <c r="P41" s="26">
        <v>290</v>
      </c>
      <c r="Q41" s="397">
        <f>+Section!L102</f>
        <v>5450</v>
      </c>
      <c r="R41" s="169">
        <v>0</v>
      </c>
      <c r="S41" s="210">
        <v>0</v>
      </c>
      <c r="T41" s="210">
        <v>1150</v>
      </c>
      <c r="U41" s="210">
        <v>2400</v>
      </c>
      <c r="V41" s="872">
        <v>3800</v>
      </c>
      <c r="W41" s="210">
        <v>19</v>
      </c>
      <c r="X41" s="210">
        <v>200</v>
      </c>
      <c r="Y41" s="210">
        <v>50</v>
      </c>
      <c r="Z41" s="210">
        <v>16</v>
      </c>
      <c r="AA41" s="210">
        <v>200</v>
      </c>
      <c r="AB41" s="872">
        <v>40</v>
      </c>
      <c r="AC41" s="881">
        <f t="shared" si="234"/>
        <v>6031.8578948924023</v>
      </c>
      <c r="AD41" s="397">
        <v>2</v>
      </c>
      <c r="AE41" s="210">
        <v>160</v>
      </c>
      <c r="AF41" s="210">
        <v>16</v>
      </c>
      <c r="AG41" s="397">
        <v>0</v>
      </c>
      <c r="AH41" s="210">
        <v>0</v>
      </c>
      <c r="AI41" s="210">
        <v>0</v>
      </c>
      <c r="AJ41" s="397">
        <v>2</v>
      </c>
      <c r="AK41" s="210">
        <v>2500</v>
      </c>
      <c r="AL41" s="210">
        <v>5000</v>
      </c>
      <c r="AM41" s="1143" t="s">
        <v>2323</v>
      </c>
      <c r="AN41" s="210">
        <v>0</v>
      </c>
      <c r="AO41" s="1143" t="s">
        <v>2323</v>
      </c>
      <c r="AP41" s="1143" t="s">
        <v>2323</v>
      </c>
      <c r="AQ41" s="136">
        <v>180</v>
      </c>
      <c r="AR41" s="136">
        <v>16</v>
      </c>
      <c r="AS41" s="1143" t="s">
        <v>2448</v>
      </c>
      <c r="AT41" s="136">
        <v>120</v>
      </c>
      <c r="AU41" s="136">
        <v>12</v>
      </c>
      <c r="AV41" s="1111" t="s">
        <v>2158</v>
      </c>
      <c r="AW41" s="1111">
        <v>20</v>
      </c>
      <c r="AX41" s="1111">
        <v>1000</v>
      </c>
      <c r="AY41" s="1109">
        <v>700</v>
      </c>
      <c r="AZ41" s="1108">
        <v>8</v>
      </c>
      <c r="BA41" s="1108">
        <v>6</v>
      </c>
      <c r="BB41" s="1111"/>
      <c r="BC41" s="1168"/>
      <c r="BD41" s="210">
        <f>INDEX(Spec!$B$12:$P$58,MATCH(AO41,Spec!$A$12:$A$58,0),6)*100</f>
        <v>0</v>
      </c>
      <c r="BE41" s="210">
        <f>INDEX(Spec!$B$12:$P$58,MATCH(AP41,Spec!$A$12:$A$58,0),6)*100</f>
        <v>0</v>
      </c>
      <c r="BF41" s="881">
        <f t="shared" si="161"/>
        <v>0</v>
      </c>
      <c r="BG41" s="881">
        <f t="shared" si="162"/>
        <v>47.243485714285718</v>
      </c>
      <c r="BH41" s="881"/>
      <c r="BI41" s="13" cm="1">
        <f t="array" ref="BI41">INDEX(Info!$AD$4:$AH$15,MATCH(Info!$I$13,Info!$AC$4:$AC$15,0),IF(H41&lt;=16,1,IF(H41&lt;=40,2,IF(H41&lt;=75,3,IF(H41&lt;=100,4,5)))))</f>
        <v>380</v>
      </c>
      <c r="BJ41" s="13" cm="1">
        <f t="array" ref="BJ41">INDEX(Info!$AD$4:$AH$15,MATCH(Info!$I$13,Info!$AC$4:$AC$15,0),IF(K41&lt;=16,1,IF(K41&lt;=40,2,IF(K41&lt;=75,3,IF(K41&lt;=100,4,5)))))</f>
        <v>380</v>
      </c>
      <c r="BK41" s="13" cm="1">
        <f t="array" ref="BK41">INDEX(Info!$AD$4:$AH$15,MATCH(Info!$I$14,Info!$AC$4:$AC$15,0),IF(N41&lt;=16,1,IF(N41&lt;=40,2,IF(N41&lt;=75,3,IF(N41&lt;=100,4,5)))))</f>
        <v>355</v>
      </c>
      <c r="BL41" s="13">
        <f>IF(Stress!C870="Positive",MAX(MIN(0.7*BI41,BK41),0.5*BI41),MAX(MIN(0.7*BJ41,BK41),0.5*BJ41))</f>
        <v>266</v>
      </c>
      <c r="BM41" s="13" cm="1">
        <f t="array" ref="BM41">INDEX(Info!$AD$4:$AH$15,MATCH(Info!$I$13,Info!$AC$4:$AC$15,0),IF(AI41&lt;=16,1,IF(AI41&lt;=40,2,IF(AI41&lt;=75,3,IF(AI41&lt;=100,4,5)))))</f>
        <v>380</v>
      </c>
      <c r="BN41" s="13" cm="1">
        <f t="array" ref="BN41">INDEX(Info!$AD$4:$AH$15,MATCH(Info!$I$13,Info!$AC$4:$AC$15,0),IF(AF41&lt;=16,1,IF(AF41&lt;=40,2,IF(AF41&lt;=75,3,IF(AF41&lt;=100,4,5)))))</f>
        <v>380</v>
      </c>
      <c r="BO41" s="13"/>
      <c r="BP41" s="873">
        <f t="shared" si="163"/>
        <v>0.125</v>
      </c>
      <c r="BQ41" s="873">
        <f t="shared" si="164"/>
        <v>3224.9030993194197</v>
      </c>
      <c r="BR41" s="873">
        <f t="shared" si="165"/>
        <v>3520</v>
      </c>
      <c r="BS41" s="873"/>
      <c r="BT41" s="871">
        <f t="shared" si="166"/>
        <v>1005000</v>
      </c>
      <c r="BU41" s="136">
        <f t="shared" si="167"/>
        <v>30129850746.268658</v>
      </c>
      <c r="BV41" s="871">
        <f t="shared" si="168"/>
        <v>1580500</v>
      </c>
      <c r="BW41" s="871">
        <f t="shared" si="169"/>
        <v>11076670833.333334</v>
      </c>
      <c r="BX41" s="871">
        <f t="shared" si="170"/>
        <v>0</v>
      </c>
      <c r="BY41" s="871">
        <f t="shared" si="171"/>
        <v>0</v>
      </c>
      <c r="BZ41" s="871">
        <f t="shared" si="172"/>
        <v>7655.2758986349281</v>
      </c>
      <c r="CA41" s="871">
        <f t="shared" si="173"/>
        <v>172722.16246295057</v>
      </c>
      <c r="CB41" s="871">
        <f t="shared" si="174"/>
        <v>5428.6721054031623</v>
      </c>
      <c r="CC41" s="871">
        <f t="shared" si="175"/>
        <v>86858.753686450596</v>
      </c>
      <c r="CE41" s="1137">
        <f t="shared" si="176"/>
        <v>602730862.02503479</v>
      </c>
      <c r="CF41" s="1136">
        <f t="shared" si="177"/>
        <v>364198115.55555564</v>
      </c>
      <c r="CG41" s="1136">
        <f t="shared" si="178"/>
        <v>235442187500</v>
      </c>
      <c r="CH41" s="172">
        <f t="shared" si="179"/>
        <v>3912066770833.333</v>
      </c>
      <c r="CJ41" s="136">
        <f t="shared" si="180"/>
        <v>266617.28678094374</v>
      </c>
      <c r="CK41" s="7">
        <f t="shared" si="181"/>
        <v>506265479532.14233</v>
      </c>
      <c r="CL41" s="875">
        <f t="shared" si="182"/>
        <v>1298.725804697134</v>
      </c>
      <c r="CM41" s="6">
        <f t="shared" si="183"/>
        <v>1971.274195302866</v>
      </c>
      <c r="CN41" s="876">
        <f t="shared" si="73"/>
        <v>389817063.54114115</v>
      </c>
      <c r="CO41" s="876">
        <f t="shared" si="74"/>
        <v>256821441.04481611</v>
      </c>
      <c r="CP41" s="1137">
        <f t="shared" si="184"/>
        <v>190015866988.12848</v>
      </c>
      <c r="CQ41" s="1136">
        <f t="shared" si="185"/>
        <v>287687084285.59143</v>
      </c>
      <c r="CR41" s="877">
        <f t="shared" si="186"/>
        <v>442846.07199384994</v>
      </c>
      <c r="CS41" s="874">
        <f t="shared" si="187"/>
        <v>797356979103.35107</v>
      </c>
      <c r="CT41" s="875">
        <f t="shared" si="188"/>
        <v>1951.8641657020185</v>
      </c>
      <c r="CU41" s="878">
        <f t="shared" si="189"/>
        <v>1318.1358342979815</v>
      </c>
      <c r="CV41" s="876">
        <f t="shared" si="190"/>
        <v>408510486.08526975</v>
      </c>
      <c r="CW41" s="876">
        <f t="shared" si="191"/>
        <v>604912603.35700595</v>
      </c>
      <c r="CX41" s="1136">
        <f t="shared" si="192"/>
        <v>231301131357.27704</v>
      </c>
      <c r="CY41" s="1136">
        <f t="shared" si="193"/>
        <v>287687084285.59143</v>
      </c>
      <c r="CZ41" s="877">
        <f t="shared" si="194"/>
        <v>325360.21518524585</v>
      </c>
      <c r="DA41" s="874">
        <f t="shared" si="195"/>
        <v>637697253297.72803</v>
      </c>
      <c r="DB41" s="875">
        <f t="shared" si="196"/>
        <v>1595.0535302354619</v>
      </c>
      <c r="DC41" s="878">
        <f t="shared" si="197"/>
        <v>1674.9464697645381</v>
      </c>
      <c r="DD41" s="876">
        <f t="shared" si="75"/>
        <v>399796772.46543008</v>
      </c>
      <c r="DE41" s="876">
        <f t="shared" si="76"/>
        <v>380726945.4929952</v>
      </c>
      <c r="DF41" s="1136">
        <f t="shared" si="198"/>
        <v>203777621777.84467</v>
      </c>
      <c r="DG41" s="1136">
        <f t="shared" si="199"/>
        <v>287687084285.59143</v>
      </c>
      <c r="DH41" s="877">
        <f t="shared" si="200"/>
        <v>512275.23070812179</v>
      </c>
      <c r="DI41" s="879">
        <f t="shared" si="201"/>
        <v>759917387621.1991</v>
      </c>
      <c r="DJ41" s="878">
        <f t="shared" si="202"/>
        <v>625.57907741392819</v>
      </c>
      <c r="DK41" s="877">
        <f t="shared" si="203"/>
        <v>2644.4209225860718</v>
      </c>
      <c r="DL41" s="876">
        <f t="shared" si="77"/>
        <v>1214742332.4363885</v>
      </c>
      <c r="DM41" s="876">
        <f t="shared" si="78"/>
        <v>287366274.07941139</v>
      </c>
      <c r="DN41" s="7">
        <f t="shared" si="204"/>
        <v>798070456946.2124</v>
      </c>
      <c r="DO41" s="1136">
        <f t="shared" si="205"/>
        <v>292962021310.45001</v>
      </c>
      <c r="DP41" s="877">
        <f t="shared" si="206"/>
        <v>348503.26809000311</v>
      </c>
      <c r="DQ41" s="879">
        <f t="shared" si="207"/>
        <v>630279267595.50842</v>
      </c>
      <c r="DR41" s="877">
        <f t="shared" si="208"/>
        <v>968.89972978988681</v>
      </c>
      <c r="DS41" s="877">
        <f t="shared" si="209"/>
        <v>2301.1002702101132</v>
      </c>
      <c r="DT41" s="876">
        <f t="shared" si="79"/>
        <v>650510314.13971937</v>
      </c>
      <c r="DU41" s="876">
        <f t="shared" si="80"/>
        <v>273903434.698201</v>
      </c>
      <c r="DV41" s="1136">
        <f t="shared" si="210"/>
        <v>392700730307.48975</v>
      </c>
      <c r="DW41" s="1136">
        <f t="shared" si="211"/>
        <v>292962021310.45001</v>
      </c>
      <c r="DX41" s="880">
        <f t="shared" si="212"/>
        <v>455930.01999788801</v>
      </c>
      <c r="DY41" s="874">
        <f t="shared" si="213"/>
        <v>851880024989.76282</v>
      </c>
      <c r="DZ41" s="873">
        <f t="shared" si="214"/>
        <v>1892.4928954468974</v>
      </c>
      <c r="EA41" s="880">
        <f t="shared" si="215"/>
        <v>1377.5071045531026</v>
      </c>
      <c r="EB41" s="876">
        <f t="shared" si="81"/>
        <v>450136445.44678622</v>
      </c>
      <c r="EC41" s="876">
        <f t="shared" si="82"/>
        <v>618421510.98460853</v>
      </c>
      <c r="ED41" s="1136">
        <f t="shared" si="216"/>
        <v>798070456946.2124</v>
      </c>
      <c r="EE41" s="1136">
        <f t="shared" si="217"/>
        <v>292962021310.45001</v>
      </c>
      <c r="EF41" s="880">
        <f t="shared" si="218"/>
        <v>329721.53118659189</v>
      </c>
      <c r="EG41" s="874">
        <f t="shared" si="219"/>
        <v>650354433218.04102</v>
      </c>
      <c r="EH41" s="873">
        <f t="shared" si="220"/>
        <v>1572.4074986459461</v>
      </c>
      <c r="EI41" s="880">
        <f t="shared" si="221"/>
        <v>1697.5925013540539</v>
      </c>
      <c r="EJ41" s="876">
        <f t="shared" si="83"/>
        <v>413604255.7530942</v>
      </c>
      <c r="EK41" s="876">
        <f t="shared" si="84"/>
        <v>383103973.83311814</v>
      </c>
      <c r="EL41" s="1136">
        <f t="shared" si="85"/>
        <v>392700730307.48975</v>
      </c>
      <c r="EM41" s="1136">
        <f t="shared" si="86"/>
        <v>292962021310.45001</v>
      </c>
      <c r="EN41" s="876"/>
      <c r="EO41" s="1113" t="s">
        <v>2199</v>
      </c>
      <c r="EP41" s="1114">
        <v>266617.28678094398</v>
      </c>
      <c r="EQ41" s="1114">
        <v>506265479532.14203</v>
      </c>
      <c r="ER41" s="1115">
        <v>1298.7258046971299</v>
      </c>
      <c r="ES41" s="1115">
        <v>1971.2741953028701</v>
      </c>
      <c r="ET41" s="1114">
        <v>389817063.54114097</v>
      </c>
      <c r="EU41" s="1114">
        <v>256821441.04481599</v>
      </c>
      <c r="EV41" s="1114">
        <v>190015866988.12799</v>
      </c>
      <c r="EW41" s="1114">
        <v>287687084285.591</v>
      </c>
      <c r="EX41" s="1114">
        <v>442846.07199385</v>
      </c>
      <c r="EY41" s="1114">
        <v>797356979103.35095</v>
      </c>
      <c r="EZ41" s="1115">
        <v>1951.86416570202</v>
      </c>
      <c r="FA41" s="1115">
        <v>1318.13583429798</v>
      </c>
      <c r="FB41" s="1114">
        <v>408510486.08526999</v>
      </c>
      <c r="FC41" s="1114">
        <v>604912603.35700595</v>
      </c>
      <c r="FD41" s="1114">
        <v>231301131357.27701</v>
      </c>
      <c r="FE41" s="1114">
        <v>287687084285.591</v>
      </c>
      <c r="FF41" s="1114">
        <v>325360.21518524602</v>
      </c>
      <c r="FG41" s="1114">
        <v>637697253297.72803</v>
      </c>
      <c r="FH41" s="1115">
        <v>1595.0535302354599</v>
      </c>
      <c r="FI41" s="1115">
        <v>1674.9464697645401</v>
      </c>
      <c r="FJ41" s="1114">
        <v>399796772.46543002</v>
      </c>
      <c r="FK41" s="1114">
        <v>380726945.49299502</v>
      </c>
      <c r="FL41" s="1114">
        <v>203777621777.845</v>
      </c>
      <c r="FM41" s="1114">
        <v>287687084285.591</v>
      </c>
      <c r="FN41" s="1114">
        <v>512275.23070812202</v>
      </c>
      <c r="FO41" s="1114">
        <v>759917387621.19897</v>
      </c>
      <c r="FP41" s="1115">
        <v>625.57907741392796</v>
      </c>
      <c r="FQ41" s="1115">
        <v>2644.42092258607</v>
      </c>
      <c r="FR41" s="1114">
        <v>1214742332.4363899</v>
      </c>
      <c r="FS41" s="1114">
        <v>287366274.07941103</v>
      </c>
      <c r="FT41" s="1114">
        <v>798070456946.21301</v>
      </c>
      <c r="FU41" s="1114">
        <v>292962021310.45001</v>
      </c>
      <c r="FV41" s="1114">
        <v>348503.268090003</v>
      </c>
      <c r="FW41" s="1114">
        <v>630279267595.50903</v>
      </c>
      <c r="FX41" s="1115">
        <v>968.89972978988703</v>
      </c>
      <c r="FY41" s="1115">
        <v>2301.10027021011</v>
      </c>
      <c r="FZ41" s="1114">
        <v>650510314.13971996</v>
      </c>
      <c r="GA41" s="1114">
        <v>273903434.698201</v>
      </c>
      <c r="GB41" s="1114">
        <v>392700730307.48999</v>
      </c>
      <c r="GC41" s="1114">
        <v>292962021310.45001</v>
      </c>
      <c r="GD41" s="1114">
        <v>455930.01999788801</v>
      </c>
      <c r="GE41" s="1114">
        <v>851880024989.76294</v>
      </c>
      <c r="GF41" s="1115">
        <v>1892.4928954469001</v>
      </c>
      <c r="GG41" s="1115">
        <v>1377.5071045530999</v>
      </c>
      <c r="GH41" s="1114">
        <v>450136445.44678599</v>
      </c>
      <c r="GI41" s="1114">
        <v>618421510.98460901</v>
      </c>
      <c r="GJ41" s="1114">
        <v>798070456946.21301</v>
      </c>
      <c r="GK41" s="1114">
        <v>292962021310.45001</v>
      </c>
      <c r="GL41" s="1114">
        <v>329721.53118659201</v>
      </c>
      <c r="GM41" s="1114">
        <v>650354433218.04102</v>
      </c>
      <c r="GN41" s="1115">
        <v>1572.40749864595</v>
      </c>
      <c r="GO41" s="1115">
        <v>1697.59250135405</v>
      </c>
      <c r="GP41" s="1114">
        <v>413604255.75309402</v>
      </c>
      <c r="GQ41" s="1114">
        <v>383103973.83311802</v>
      </c>
      <c r="GR41" s="1114">
        <v>392700730307.48999</v>
      </c>
      <c r="GS41" s="1114">
        <v>292962021310.45001</v>
      </c>
      <c r="GU41" s="1171">
        <f t="shared" si="222"/>
        <v>0</v>
      </c>
      <c r="GV41" s="1171">
        <f t="shared" si="223"/>
        <v>0</v>
      </c>
      <c r="GW41" s="1171">
        <f t="shared" si="224"/>
        <v>4.0927261579781771E-12</v>
      </c>
      <c r="GX41" s="1171">
        <f t="shared" si="225"/>
        <v>-4.0927261579781771E-12</v>
      </c>
      <c r="GY41" s="1171">
        <f t="shared" si="226"/>
        <v>0</v>
      </c>
      <c r="GZ41" s="1171">
        <f t="shared" si="227"/>
        <v>0</v>
      </c>
      <c r="HA41" s="1171">
        <f t="shared" si="235"/>
        <v>4.8828125E-4</v>
      </c>
      <c r="HB41" s="1171">
        <f t="shared" si="228"/>
        <v>0</v>
      </c>
      <c r="HC41" s="1171">
        <f t="shared" si="229"/>
        <v>0</v>
      </c>
      <c r="HD41" s="1171">
        <f t="shared" si="230"/>
        <v>0</v>
      </c>
      <c r="HE41" s="1171">
        <f t="shared" si="231"/>
        <v>0</v>
      </c>
      <c r="HF41" s="1171">
        <f t="shared" si="232"/>
        <v>0</v>
      </c>
      <c r="HG41" s="1171">
        <f t="shared" si="89"/>
        <v>0</v>
      </c>
      <c r="HH41" s="1171">
        <f t="shared" si="90"/>
        <v>0</v>
      </c>
      <c r="HI41" s="1171">
        <f t="shared" si="91"/>
        <v>0</v>
      </c>
      <c r="HJ41" s="1171">
        <f t="shared" si="92"/>
        <v>0</v>
      </c>
      <c r="HK41" s="1171">
        <f t="shared" si="93"/>
        <v>0</v>
      </c>
      <c r="HL41" s="1171">
        <f t="shared" si="94"/>
        <v>0</v>
      </c>
      <c r="HM41" s="1171">
        <f t="shared" si="95"/>
        <v>2.0463630789890885E-12</v>
      </c>
      <c r="HN41" s="1171">
        <f t="shared" si="96"/>
        <v>-2.0463630789890885E-12</v>
      </c>
      <c r="HO41" s="1171">
        <f t="shared" si="97"/>
        <v>0</v>
      </c>
      <c r="HP41" s="1171">
        <f t="shared" si="98"/>
        <v>0</v>
      </c>
      <c r="HQ41" s="1171">
        <f t="shared" si="99"/>
        <v>-3.35693359375E-4</v>
      </c>
      <c r="HR41" s="1171">
        <f t="shared" si="100"/>
        <v>0</v>
      </c>
      <c r="HS41" s="1171">
        <f t="shared" si="101"/>
        <v>0</v>
      </c>
      <c r="HT41" s="1171">
        <f t="shared" si="102"/>
        <v>0</v>
      </c>
      <c r="HU41" s="1171">
        <f t="shared" si="103"/>
        <v>0</v>
      </c>
      <c r="HV41" s="1171">
        <f t="shared" si="104"/>
        <v>0</v>
      </c>
      <c r="HW41" s="1171">
        <f t="shared" si="105"/>
        <v>0</v>
      </c>
      <c r="HX41" s="1171">
        <f t="shared" si="106"/>
        <v>0</v>
      </c>
      <c r="HY41" s="1171">
        <f t="shared" si="107"/>
        <v>0</v>
      </c>
      <c r="HZ41" s="1171">
        <f t="shared" si="108"/>
        <v>0</v>
      </c>
      <c r="IA41" s="1171">
        <f t="shared" si="109"/>
        <v>0</v>
      </c>
      <c r="IB41" s="1171">
        <f t="shared" si="110"/>
        <v>0</v>
      </c>
      <c r="IC41" s="1171">
        <f t="shared" si="111"/>
        <v>0</v>
      </c>
      <c r="ID41" s="1171">
        <f t="shared" si="112"/>
        <v>0</v>
      </c>
      <c r="IE41" s="1171">
        <f t="shared" si="113"/>
        <v>0</v>
      </c>
      <c r="IF41" s="1171">
        <f t="shared" si="114"/>
        <v>0</v>
      </c>
      <c r="IG41" s="1171">
        <f t="shared" si="115"/>
        <v>0</v>
      </c>
      <c r="IH41" s="1171">
        <f t="shared" si="116"/>
        <v>0</v>
      </c>
      <c r="II41" s="1171">
        <f t="shared" si="117"/>
        <v>0</v>
      </c>
      <c r="IJ41" s="1171">
        <f t="shared" si="118"/>
        <v>0</v>
      </c>
      <c r="IK41" s="1171">
        <f t="shared" si="119"/>
        <v>-2.7284841053187847E-12</v>
      </c>
      <c r="IL41" s="1171">
        <f t="shared" si="120"/>
        <v>2.7284841053187847E-12</v>
      </c>
      <c r="IM41" s="1171">
        <f t="shared" si="121"/>
        <v>0</v>
      </c>
      <c r="IN41" s="1171">
        <f t="shared" si="122"/>
        <v>0</v>
      </c>
      <c r="IO41" s="1171">
        <f t="shared" si="123"/>
        <v>0</v>
      </c>
      <c r="IP41" s="1171">
        <f t="shared" si="124"/>
        <v>0</v>
      </c>
      <c r="IQ41" s="1171">
        <f t="shared" si="125"/>
        <v>0</v>
      </c>
      <c r="IR41" s="1171">
        <f t="shared" si="126"/>
        <v>0</v>
      </c>
      <c r="IS41" s="1171">
        <f t="shared" si="127"/>
        <v>-3.865352482534945E-12</v>
      </c>
      <c r="IT41" s="1171">
        <f t="shared" si="128"/>
        <v>3.865352482534945E-12</v>
      </c>
      <c r="IU41" s="1171">
        <f t="shared" si="129"/>
        <v>0</v>
      </c>
      <c r="IV41" s="1171">
        <f t="shared" si="130"/>
        <v>0</v>
      </c>
      <c r="IW41" s="1171">
        <f t="shared" si="131"/>
        <v>0</v>
      </c>
      <c r="IX41" s="1171">
        <f t="shared" si="132"/>
        <v>0</v>
      </c>
    </row>
    <row r="42" spans="1:258" s="871" customFormat="1">
      <c r="B42" s="871" t="str">
        <f t="shared" ref="B42" si="241">LEFT(B40,3)+1&amp;"j"</f>
        <v>120j</v>
      </c>
      <c r="C42" s="871">
        <v>83.4</v>
      </c>
      <c r="D42" s="871">
        <v>0</v>
      </c>
      <c r="E42" s="871" t="s">
        <v>2095</v>
      </c>
      <c r="F42" s="26">
        <v>1</v>
      </c>
      <c r="G42" s="136">
        <v>2900</v>
      </c>
      <c r="H42" s="136">
        <v>40</v>
      </c>
      <c r="I42" s="28">
        <v>250</v>
      </c>
      <c r="J42" s="26">
        <v>1840</v>
      </c>
      <c r="K42" s="136">
        <v>30</v>
      </c>
      <c r="L42" s="28">
        <v>120</v>
      </c>
      <c r="M42" s="26">
        <v>3200</v>
      </c>
      <c r="N42" s="28">
        <v>14</v>
      </c>
      <c r="O42" s="397">
        <v>600</v>
      </c>
      <c r="P42" s="26">
        <v>290</v>
      </c>
      <c r="Q42" s="397">
        <f>+Section!L103</f>
        <v>5450</v>
      </c>
      <c r="R42" s="169">
        <v>0</v>
      </c>
      <c r="S42" s="210">
        <v>0</v>
      </c>
      <c r="T42" s="210">
        <v>1150</v>
      </c>
      <c r="U42" s="210">
        <v>2400</v>
      </c>
      <c r="V42" s="872">
        <v>3800</v>
      </c>
      <c r="W42" s="210">
        <v>19</v>
      </c>
      <c r="X42" s="210">
        <v>200</v>
      </c>
      <c r="Y42" s="210">
        <v>50</v>
      </c>
      <c r="Z42" s="210">
        <v>16</v>
      </c>
      <c r="AA42" s="210">
        <v>200</v>
      </c>
      <c r="AB42" s="872">
        <v>40</v>
      </c>
      <c r="AC42" s="881">
        <f t="shared" si="234"/>
        <v>6031.8578948924023</v>
      </c>
      <c r="AD42" s="397">
        <v>2</v>
      </c>
      <c r="AE42" s="210">
        <v>160</v>
      </c>
      <c r="AF42" s="210">
        <v>16</v>
      </c>
      <c r="AG42" s="397">
        <v>0</v>
      </c>
      <c r="AH42" s="210">
        <v>0</v>
      </c>
      <c r="AI42" s="210">
        <v>0</v>
      </c>
      <c r="AJ42" s="397">
        <v>2</v>
      </c>
      <c r="AK42" s="210">
        <v>2500</v>
      </c>
      <c r="AL42" s="210">
        <v>5000</v>
      </c>
      <c r="AM42" s="1143" t="s">
        <v>2323</v>
      </c>
      <c r="AN42" s="210">
        <v>0</v>
      </c>
      <c r="AO42" s="1143" t="s">
        <v>2323</v>
      </c>
      <c r="AP42" s="1143" t="s">
        <v>2323</v>
      </c>
      <c r="AQ42" s="136">
        <v>180</v>
      </c>
      <c r="AR42" s="136">
        <v>16</v>
      </c>
      <c r="AS42" s="1143" t="s">
        <v>2448</v>
      </c>
      <c r="AT42" s="136">
        <v>120</v>
      </c>
      <c r="AU42" s="136">
        <v>12</v>
      </c>
      <c r="AV42" s="1111"/>
      <c r="AW42" s="1111"/>
      <c r="AX42" s="1111"/>
      <c r="AY42" s="1111"/>
      <c r="AZ42" s="1108">
        <v>8</v>
      </c>
      <c r="BA42" s="1108">
        <v>6</v>
      </c>
      <c r="BB42" s="1111"/>
      <c r="BC42" s="1168"/>
      <c r="BD42" s="210">
        <f>INDEX(Spec!$B$12:$P$58,MATCH(AO42,Spec!$A$12:$A$58,0),6)*100</f>
        <v>0</v>
      </c>
      <c r="BE42" s="210">
        <f>INDEX(Spec!$B$12:$P$58,MATCH(AP42,Spec!$A$12:$A$58,0),6)*100</f>
        <v>0</v>
      </c>
      <c r="BF42" s="881">
        <f t="shared" si="161"/>
        <v>0</v>
      </c>
      <c r="BG42" s="881">
        <f t="shared" si="162"/>
        <v>47.243485714285718</v>
      </c>
      <c r="BH42" s="881"/>
      <c r="BI42" s="13" cm="1">
        <f t="array" ref="BI42">INDEX(Info!$AD$4:$AH$15,MATCH(Info!$I$13,Info!$AC$4:$AC$15,0),IF(H42&lt;=16,1,IF(H42&lt;=40,2,IF(H42&lt;=75,3,IF(H42&lt;=100,4,5)))))</f>
        <v>380</v>
      </c>
      <c r="BJ42" s="13" cm="1">
        <f t="array" ref="BJ42">INDEX(Info!$AD$4:$AH$15,MATCH(Info!$I$13,Info!$AC$4:$AC$15,0),IF(K42&lt;=16,1,IF(K42&lt;=40,2,IF(K42&lt;=75,3,IF(K42&lt;=100,4,5)))))</f>
        <v>380</v>
      </c>
      <c r="BK42" s="13" cm="1">
        <f t="array" ref="BK42">INDEX(Info!$AD$4:$AH$15,MATCH(Info!$I$14,Info!$AC$4:$AC$15,0),IF(N42&lt;=16,1,IF(N42&lt;=40,2,IF(N42&lt;=75,3,IF(N42&lt;=100,4,5)))))</f>
        <v>355</v>
      </c>
      <c r="BL42" s="13">
        <f>IF(Stress!C871="Positive",MAX(MIN(0.7*BI42,BK42),0.5*BI42),MAX(MIN(0.7*BJ42,BK42),0.5*BJ42))</f>
        <v>266</v>
      </c>
      <c r="BM42" s="13" cm="1">
        <f t="array" ref="BM42">INDEX(Info!$AD$4:$AH$15,MATCH(Info!$I$13,Info!$AC$4:$AC$15,0),IF(AI42&lt;=16,1,IF(AI42&lt;=40,2,IF(AI42&lt;=75,3,IF(AI42&lt;=100,4,5)))))</f>
        <v>380</v>
      </c>
      <c r="BN42" s="13" cm="1">
        <f t="array" ref="BN42">INDEX(Info!$AD$4:$AH$15,MATCH(Info!$I$13,Info!$AC$4:$AC$15,0),IF(AF42&lt;=16,1,IF(AF42&lt;=40,2,IF(AF42&lt;=75,3,IF(AF42&lt;=100,4,5)))))</f>
        <v>380</v>
      </c>
      <c r="BO42" s="13"/>
      <c r="BP42" s="873">
        <f t="shared" si="163"/>
        <v>0.125</v>
      </c>
      <c r="BQ42" s="873">
        <f t="shared" si="164"/>
        <v>3224.9030993194197</v>
      </c>
      <c r="BR42" s="873">
        <f t="shared" si="165"/>
        <v>3520</v>
      </c>
      <c r="BS42" s="873"/>
      <c r="BT42" s="871">
        <f t="shared" si="166"/>
        <v>1005000</v>
      </c>
      <c r="BU42" s="136">
        <f t="shared" si="167"/>
        <v>30129850746.268658</v>
      </c>
      <c r="BV42" s="871">
        <f t="shared" si="168"/>
        <v>1580500</v>
      </c>
      <c r="BW42" s="871">
        <f t="shared" si="169"/>
        <v>11076670833.333334</v>
      </c>
      <c r="BX42" s="871">
        <f t="shared" si="170"/>
        <v>0</v>
      </c>
      <c r="BY42" s="871">
        <f t="shared" si="171"/>
        <v>0</v>
      </c>
      <c r="BZ42" s="871">
        <f t="shared" si="172"/>
        <v>7655.2758986349281</v>
      </c>
      <c r="CA42" s="871">
        <f t="shared" si="173"/>
        <v>172722.16246295057</v>
      </c>
      <c r="CB42" s="871">
        <f t="shared" si="174"/>
        <v>5428.6721054031623</v>
      </c>
      <c r="CC42" s="871">
        <f t="shared" si="175"/>
        <v>86858.753686450596</v>
      </c>
      <c r="CE42" s="1137">
        <f t="shared" si="176"/>
        <v>602730862.02503479</v>
      </c>
      <c r="CF42" s="1136">
        <f t="shared" si="177"/>
        <v>364198115.55555564</v>
      </c>
      <c r="CG42" s="1136">
        <f t="shared" si="178"/>
        <v>235442187500</v>
      </c>
      <c r="CH42" s="172">
        <f t="shared" si="179"/>
        <v>3912066770833.333</v>
      </c>
      <c r="CJ42" s="136">
        <f t="shared" si="180"/>
        <v>266617.28678094374</v>
      </c>
      <c r="CK42" s="7">
        <f t="shared" si="181"/>
        <v>506265479532.14233</v>
      </c>
      <c r="CL42" s="875">
        <f t="shared" si="182"/>
        <v>1298.725804697134</v>
      </c>
      <c r="CM42" s="6">
        <f t="shared" si="183"/>
        <v>1971.274195302866</v>
      </c>
      <c r="CN42" s="876">
        <f t="shared" si="73"/>
        <v>389817063.54114115</v>
      </c>
      <c r="CO42" s="876">
        <f t="shared" si="74"/>
        <v>256821441.04481611</v>
      </c>
      <c r="CP42" s="1137">
        <f t="shared" si="184"/>
        <v>190015866988.12848</v>
      </c>
      <c r="CQ42" s="1136">
        <f t="shared" si="185"/>
        <v>287687084285.59143</v>
      </c>
      <c r="CR42" s="877">
        <f t="shared" si="186"/>
        <v>442846.07199384994</v>
      </c>
      <c r="CS42" s="874">
        <f t="shared" si="187"/>
        <v>797356979103.35107</v>
      </c>
      <c r="CT42" s="875">
        <f t="shared" si="188"/>
        <v>1951.8641657020185</v>
      </c>
      <c r="CU42" s="878">
        <f t="shared" si="189"/>
        <v>1318.1358342979815</v>
      </c>
      <c r="CV42" s="876">
        <f t="shared" si="190"/>
        <v>408510486.08526975</v>
      </c>
      <c r="CW42" s="876">
        <f t="shared" si="191"/>
        <v>604912603.35700595</v>
      </c>
      <c r="CX42" s="1136">
        <f t="shared" si="192"/>
        <v>231301131357.27704</v>
      </c>
      <c r="CY42" s="1136">
        <f t="shared" si="193"/>
        <v>287687084285.59143</v>
      </c>
      <c r="CZ42" s="877">
        <f t="shared" si="194"/>
        <v>325360.21518524585</v>
      </c>
      <c r="DA42" s="874">
        <f t="shared" si="195"/>
        <v>637697253297.72803</v>
      </c>
      <c r="DB42" s="875">
        <f t="shared" si="196"/>
        <v>1595.0535302354619</v>
      </c>
      <c r="DC42" s="878">
        <f t="shared" si="197"/>
        <v>1674.9464697645381</v>
      </c>
      <c r="DD42" s="876">
        <f t="shared" si="75"/>
        <v>399796772.46543008</v>
      </c>
      <c r="DE42" s="876">
        <f t="shared" si="76"/>
        <v>380726945.4929952</v>
      </c>
      <c r="DF42" s="1136">
        <f t="shared" si="198"/>
        <v>203777621777.84467</v>
      </c>
      <c r="DG42" s="1136">
        <f t="shared" si="199"/>
        <v>287687084285.59143</v>
      </c>
      <c r="DH42" s="877">
        <f t="shared" si="200"/>
        <v>512275.23070812179</v>
      </c>
      <c r="DI42" s="879">
        <f t="shared" si="201"/>
        <v>759917387621.1991</v>
      </c>
      <c r="DJ42" s="878">
        <f t="shared" si="202"/>
        <v>625.57907741392819</v>
      </c>
      <c r="DK42" s="877">
        <f t="shared" si="203"/>
        <v>2644.4209225860718</v>
      </c>
      <c r="DL42" s="876">
        <f t="shared" si="77"/>
        <v>1214742332.4363885</v>
      </c>
      <c r="DM42" s="876">
        <f t="shared" si="78"/>
        <v>287366274.07941139</v>
      </c>
      <c r="DN42" s="7">
        <f t="shared" si="204"/>
        <v>798070456946.2124</v>
      </c>
      <c r="DO42" s="1136">
        <f t="shared" si="205"/>
        <v>292962021310.45001</v>
      </c>
      <c r="DP42" s="877">
        <f t="shared" si="206"/>
        <v>348503.26809000311</v>
      </c>
      <c r="DQ42" s="879">
        <f t="shared" si="207"/>
        <v>630279267595.50842</v>
      </c>
      <c r="DR42" s="877">
        <f t="shared" si="208"/>
        <v>968.89972978988681</v>
      </c>
      <c r="DS42" s="877">
        <f t="shared" si="209"/>
        <v>2301.1002702101132</v>
      </c>
      <c r="DT42" s="876">
        <f t="shared" si="79"/>
        <v>650510314.13971937</v>
      </c>
      <c r="DU42" s="876">
        <f t="shared" si="80"/>
        <v>273903434.698201</v>
      </c>
      <c r="DV42" s="1136">
        <f t="shared" si="210"/>
        <v>392700730307.48975</v>
      </c>
      <c r="DW42" s="1136">
        <f t="shared" si="211"/>
        <v>292962021310.45001</v>
      </c>
      <c r="DX42" s="880">
        <f t="shared" si="212"/>
        <v>455930.01999788801</v>
      </c>
      <c r="DY42" s="874">
        <f t="shared" si="213"/>
        <v>851880024989.76282</v>
      </c>
      <c r="DZ42" s="873">
        <f t="shared" si="214"/>
        <v>1892.4928954468974</v>
      </c>
      <c r="EA42" s="880">
        <f t="shared" si="215"/>
        <v>1377.5071045531026</v>
      </c>
      <c r="EB42" s="876">
        <f t="shared" si="81"/>
        <v>450136445.44678622</v>
      </c>
      <c r="EC42" s="876">
        <f t="shared" si="82"/>
        <v>618421510.98460853</v>
      </c>
      <c r="ED42" s="1136">
        <f t="shared" si="216"/>
        <v>798070456946.2124</v>
      </c>
      <c r="EE42" s="1136">
        <f t="shared" si="217"/>
        <v>292962021310.45001</v>
      </c>
      <c r="EF42" s="880">
        <f t="shared" si="218"/>
        <v>329721.53118659189</v>
      </c>
      <c r="EG42" s="874">
        <f t="shared" si="219"/>
        <v>650354433218.04102</v>
      </c>
      <c r="EH42" s="873">
        <f t="shared" si="220"/>
        <v>1572.4074986459461</v>
      </c>
      <c r="EI42" s="880">
        <f t="shared" si="221"/>
        <v>1697.5925013540539</v>
      </c>
      <c r="EJ42" s="876">
        <f t="shared" si="83"/>
        <v>413604255.7530942</v>
      </c>
      <c r="EK42" s="876">
        <f t="shared" si="84"/>
        <v>383103973.83311814</v>
      </c>
      <c r="EL42" s="1136">
        <f t="shared" si="85"/>
        <v>392700730307.48975</v>
      </c>
      <c r="EM42" s="1136">
        <f t="shared" si="86"/>
        <v>292962021310.45001</v>
      </c>
      <c r="EN42" s="876"/>
      <c r="EO42" s="1113" t="s">
        <v>2200</v>
      </c>
      <c r="EP42" s="1114">
        <v>266617.28678094398</v>
      </c>
      <c r="EQ42" s="1114">
        <v>506265479532.14203</v>
      </c>
      <c r="ER42" s="1115">
        <v>1298.7258046971299</v>
      </c>
      <c r="ES42" s="1115">
        <v>1971.2741953028701</v>
      </c>
      <c r="ET42" s="1114">
        <v>389817063.54114097</v>
      </c>
      <c r="EU42" s="1114">
        <v>256821441.04481599</v>
      </c>
      <c r="EV42" s="1114">
        <v>190015866988.12799</v>
      </c>
      <c r="EW42" s="1114">
        <v>287687084285.591</v>
      </c>
      <c r="EX42" s="1114">
        <v>442846.07199385</v>
      </c>
      <c r="EY42" s="1114">
        <v>797356979103.35095</v>
      </c>
      <c r="EZ42" s="1115">
        <v>1951.86416570202</v>
      </c>
      <c r="FA42" s="1115">
        <v>1318.13583429798</v>
      </c>
      <c r="FB42" s="1114">
        <v>408510486.08526999</v>
      </c>
      <c r="FC42" s="1114">
        <v>604912603.35700595</v>
      </c>
      <c r="FD42" s="1114">
        <v>231301131357.27701</v>
      </c>
      <c r="FE42" s="1114">
        <v>287687084285.591</v>
      </c>
      <c r="FF42" s="1114">
        <v>325360.21518524602</v>
      </c>
      <c r="FG42" s="1114">
        <v>637697253297.72803</v>
      </c>
      <c r="FH42" s="1115">
        <v>1595.0535302354599</v>
      </c>
      <c r="FI42" s="1115">
        <v>1674.9464697645401</v>
      </c>
      <c r="FJ42" s="1114">
        <v>399796772.46543002</v>
      </c>
      <c r="FK42" s="1114">
        <v>380726945.49299502</v>
      </c>
      <c r="FL42" s="1114">
        <v>203777621777.845</v>
      </c>
      <c r="FM42" s="1114">
        <v>287687084285.591</v>
      </c>
      <c r="FN42" s="1114">
        <v>512275.23070812202</v>
      </c>
      <c r="FO42" s="1114">
        <v>759917387621.19897</v>
      </c>
      <c r="FP42" s="1115">
        <v>625.57907741392796</v>
      </c>
      <c r="FQ42" s="1115">
        <v>2644.42092258607</v>
      </c>
      <c r="FR42" s="1114">
        <v>1214742332.4363899</v>
      </c>
      <c r="FS42" s="1114">
        <v>287366274.07941103</v>
      </c>
      <c r="FT42" s="1114">
        <v>798070456946.21301</v>
      </c>
      <c r="FU42" s="1114">
        <v>292962021310.45001</v>
      </c>
      <c r="FV42" s="1114">
        <v>348503.268090003</v>
      </c>
      <c r="FW42" s="1114">
        <v>630279267595.50903</v>
      </c>
      <c r="FX42" s="1115">
        <v>968.89972978988703</v>
      </c>
      <c r="FY42" s="1115">
        <v>2301.10027021011</v>
      </c>
      <c r="FZ42" s="1114">
        <v>650510314.13971996</v>
      </c>
      <c r="GA42" s="1114">
        <v>273903434.698201</v>
      </c>
      <c r="GB42" s="1114">
        <v>392700730307.48999</v>
      </c>
      <c r="GC42" s="1114">
        <v>292962021310.45001</v>
      </c>
      <c r="GD42" s="1114">
        <v>455930.01999788801</v>
      </c>
      <c r="GE42" s="1114">
        <v>851880024989.76294</v>
      </c>
      <c r="GF42" s="1115">
        <v>1892.4928954469001</v>
      </c>
      <c r="GG42" s="1115">
        <v>1377.5071045530999</v>
      </c>
      <c r="GH42" s="1114">
        <v>450136445.44678599</v>
      </c>
      <c r="GI42" s="1114">
        <v>618421510.98460901</v>
      </c>
      <c r="GJ42" s="1114">
        <v>798070456946.21301</v>
      </c>
      <c r="GK42" s="1114">
        <v>292962021310.45001</v>
      </c>
      <c r="GL42" s="1114">
        <v>329721.53118659201</v>
      </c>
      <c r="GM42" s="1114">
        <v>650354433218.04102</v>
      </c>
      <c r="GN42" s="1115">
        <v>1572.40749864595</v>
      </c>
      <c r="GO42" s="1115">
        <v>1697.59250135405</v>
      </c>
      <c r="GP42" s="1114">
        <v>413604255.75309402</v>
      </c>
      <c r="GQ42" s="1114">
        <v>383103973.83311802</v>
      </c>
      <c r="GR42" s="1114">
        <v>392700730307.48999</v>
      </c>
      <c r="GS42" s="1114">
        <v>292962021310.45001</v>
      </c>
      <c r="GU42" s="1171">
        <f t="shared" si="222"/>
        <v>0</v>
      </c>
      <c r="GV42" s="1171">
        <f t="shared" si="223"/>
        <v>0</v>
      </c>
      <c r="GW42" s="1171">
        <f t="shared" si="224"/>
        <v>4.0927261579781771E-12</v>
      </c>
      <c r="GX42" s="1171">
        <f t="shared" si="225"/>
        <v>-4.0927261579781771E-12</v>
      </c>
      <c r="GY42" s="1171">
        <f t="shared" si="226"/>
        <v>0</v>
      </c>
      <c r="GZ42" s="1171">
        <f t="shared" si="227"/>
        <v>0</v>
      </c>
      <c r="HA42" s="1171">
        <f t="shared" si="235"/>
        <v>4.8828125E-4</v>
      </c>
      <c r="HB42" s="1171">
        <f t="shared" si="228"/>
        <v>0</v>
      </c>
      <c r="HC42" s="1171">
        <f t="shared" si="229"/>
        <v>0</v>
      </c>
      <c r="HD42" s="1171">
        <f t="shared" si="230"/>
        <v>0</v>
      </c>
      <c r="HE42" s="1171">
        <f t="shared" si="231"/>
        <v>0</v>
      </c>
      <c r="HF42" s="1171">
        <f t="shared" si="232"/>
        <v>0</v>
      </c>
      <c r="HG42" s="1171">
        <f t="shared" si="89"/>
        <v>0</v>
      </c>
      <c r="HH42" s="1171">
        <f t="shared" si="90"/>
        <v>0</v>
      </c>
      <c r="HI42" s="1171">
        <f t="shared" si="91"/>
        <v>0</v>
      </c>
      <c r="HJ42" s="1171">
        <f t="shared" si="92"/>
        <v>0</v>
      </c>
      <c r="HK42" s="1171">
        <f t="shared" si="93"/>
        <v>0</v>
      </c>
      <c r="HL42" s="1171">
        <f t="shared" si="94"/>
        <v>0</v>
      </c>
      <c r="HM42" s="1171">
        <f t="shared" si="95"/>
        <v>2.0463630789890885E-12</v>
      </c>
      <c r="HN42" s="1171">
        <f t="shared" si="96"/>
        <v>-2.0463630789890885E-12</v>
      </c>
      <c r="HO42" s="1171">
        <f t="shared" si="97"/>
        <v>0</v>
      </c>
      <c r="HP42" s="1171">
        <f t="shared" si="98"/>
        <v>0</v>
      </c>
      <c r="HQ42" s="1171">
        <f t="shared" si="99"/>
        <v>-3.35693359375E-4</v>
      </c>
      <c r="HR42" s="1171">
        <f t="shared" si="100"/>
        <v>0</v>
      </c>
      <c r="HS42" s="1171">
        <f t="shared" si="101"/>
        <v>0</v>
      </c>
      <c r="HT42" s="1171">
        <f t="shared" si="102"/>
        <v>0</v>
      </c>
      <c r="HU42" s="1171">
        <f t="shared" si="103"/>
        <v>0</v>
      </c>
      <c r="HV42" s="1171">
        <f t="shared" si="104"/>
        <v>0</v>
      </c>
      <c r="HW42" s="1171">
        <f t="shared" si="105"/>
        <v>0</v>
      </c>
      <c r="HX42" s="1171">
        <f t="shared" si="106"/>
        <v>0</v>
      </c>
      <c r="HY42" s="1171">
        <f t="shared" si="107"/>
        <v>0</v>
      </c>
      <c r="HZ42" s="1171">
        <f t="shared" si="108"/>
        <v>0</v>
      </c>
      <c r="IA42" s="1171">
        <f t="shared" si="109"/>
        <v>0</v>
      </c>
      <c r="IB42" s="1171">
        <f t="shared" si="110"/>
        <v>0</v>
      </c>
      <c r="IC42" s="1171">
        <f t="shared" si="111"/>
        <v>0</v>
      </c>
      <c r="ID42" s="1171">
        <f t="shared" si="112"/>
        <v>0</v>
      </c>
      <c r="IE42" s="1171">
        <f t="shared" si="113"/>
        <v>0</v>
      </c>
      <c r="IF42" s="1171">
        <f t="shared" si="114"/>
        <v>0</v>
      </c>
      <c r="IG42" s="1171">
        <f t="shared" si="115"/>
        <v>0</v>
      </c>
      <c r="IH42" s="1171">
        <f t="shared" si="116"/>
        <v>0</v>
      </c>
      <c r="II42" s="1171">
        <f t="shared" si="117"/>
        <v>0</v>
      </c>
      <c r="IJ42" s="1171">
        <f t="shared" si="118"/>
        <v>0</v>
      </c>
      <c r="IK42" s="1171">
        <f t="shared" si="119"/>
        <v>-2.7284841053187847E-12</v>
      </c>
      <c r="IL42" s="1171">
        <f t="shared" si="120"/>
        <v>2.7284841053187847E-12</v>
      </c>
      <c r="IM42" s="1171">
        <f t="shared" si="121"/>
        <v>0</v>
      </c>
      <c r="IN42" s="1171">
        <f t="shared" si="122"/>
        <v>0</v>
      </c>
      <c r="IO42" s="1171">
        <f t="shared" si="123"/>
        <v>0</v>
      </c>
      <c r="IP42" s="1171">
        <f t="shared" si="124"/>
        <v>0</v>
      </c>
      <c r="IQ42" s="1171">
        <f t="shared" si="125"/>
        <v>0</v>
      </c>
      <c r="IR42" s="1171">
        <f t="shared" si="126"/>
        <v>0</v>
      </c>
      <c r="IS42" s="1171">
        <f t="shared" si="127"/>
        <v>-3.865352482534945E-12</v>
      </c>
      <c r="IT42" s="1171">
        <f t="shared" si="128"/>
        <v>3.865352482534945E-12</v>
      </c>
      <c r="IU42" s="1171">
        <f t="shared" si="129"/>
        <v>0</v>
      </c>
      <c r="IV42" s="1171">
        <f t="shared" si="130"/>
        <v>0</v>
      </c>
      <c r="IW42" s="1171">
        <f t="shared" si="131"/>
        <v>0</v>
      </c>
      <c r="IX42" s="1171">
        <f t="shared" si="132"/>
        <v>0</v>
      </c>
    </row>
    <row r="43" spans="1:258" s="871" customFormat="1">
      <c r="A43" s="871">
        <v>121</v>
      </c>
      <c r="B43" s="871" t="str">
        <f t="shared" ref="B43" si="242">LEFT(B41,3)+1&amp;"i"</f>
        <v>121i</v>
      </c>
      <c r="C43" s="871">
        <v>83.4</v>
      </c>
      <c r="D43" s="871">
        <v>0</v>
      </c>
      <c r="E43" s="871" t="s">
        <v>2096</v>
      </c>
      <c r="F43" s="26">
        <v>1</v>
      </c>
      <c r="G43" s="136">
        <v>2900</v>
      </c>
      <c r="H43" s="136">
        <v>40</v>
      </c>
      <c r="I43" s="28">
        <v>250</v>
      </c>
      <c r="J43" s="26">
        <v>1864</v>
      </c>
      <c r="K43" s="136">
        <v>30</v>
      </c>
      <c r="L43" s="28">
        <v>120</v>
      </c>
      <c r="M43" s="26">
        <v>3103</v>
      </c>
      <c r="N43" s="28">
        <v>14</v>
      </c>
      <c r="O43" s="397">
        <v>512</v>
      </c>
      <c r="P43" s="26">
        <v>290</v>
      </c>
      <c r="Q43" s="397">
        <f>+Section!L104</f>
        <v>5450</v>
      </c>
      <c r="R43" s="169">
        <v>0</v>
      </c>
      <c r="S43" s="210">
        <v>0</v>
      </c>
      <c r="T43" s="210">
        <v>1150</v>
      </c>
      <c r="U43" s="210">
        <v>2400</v>
      </c>
      <c r="V43" s="872">
        <v>3800</v>
      </c>
      <c r="W43" s="210">
        <v>19</v>
      </c>
      <c r="X43" s="210">
        <v>200</v>
      </c>
      <c r="Y43" s="210">
        <v>50</v>
      </c>
      <c r="Z43" s="210">
        <v>16</v>
      </c>
      <c r="AA43" s="210">
        <v>200</v>
      </c>
      <c r="AB43" s="872">
        <v>40</v>
      </c>
      <c r="AC43" s="881">
        <f t="shared" si="234"/>
        <v>6031.8578948924023</v>
      </c>
      <c r="AD43" s="397">
        <v>2</v>
      </c>
      <c r="AE43" s="210">
        <v>160</v>
      </c>
      <c r="AF43" s="210">
        <v>16</v>
      </c>
      <c r="AG43" s="397">
        <v>0</v>
      </c>
      <c r="AH43" s="210">
        <v>0</v>
      </c>
      <c r="AI43" s="210">
        <v>0</v>
      </c>
      <c r="AJ43" s="397">
        <v>2</v>
      </c>
      <c r="AK43" s="210">
        <v>2500</v>
      </c>
      <c r="AL43" s="210">
        <v>5000</v>
      </c>
      <c r="AM43" s="1143" t="s">
        <v>2323</v>
      </c>
      <c r="AN43" s="210">
        <v>0</v>
      </c>
      <c r="AO43" s="1143" t="s">
        <v>2323</v>
      </c>
      <c r="AP43" s="1143" t="s">
        <v>2323</v>
      </c>
      <c r="AQ43" s="136">
        <v>180</v>
      </c>
      <c r="AR43" s="136">
        <v>16</v>
      </c>
      <c r="AS43" s="1143" t="s">
        <v>2448</v>
      </c>
      <c r="AT43" s="136">
        <v>120</v>
      </c>
      <c r="AU43" s="136">
        <v>12</v>
      </c>
      <c r="AV43" s="1111"/>
      <c r="AW43" s="1111"/>
      <c r="AX43" s="1111"/>
      <c r="AY43" s="1111"/>
      <c r="AZ43" s="1108">
        <v>8</v>
      </c>
      <c r="BA43" s="1108">
        <v>6</v>
      </c>
      <c r="BB43" s="1111"/>
      <c r="BC43" s="1168"/>
      <c r="BD43" s="210">
        <f>INDEX(Spec!$B$12:$P$58,MATCH(AO43,Spec!$A$12:$A$58,0),6)*100</f>
        <v>0</v>
      </c>
      <c r="BE43" s="210">
        <f>INDEX(Spec!$B$12:$P$58,MATCH(AP43,Spec!$A$12:$A$58,0),6)*100</f>
        <v>0</v>
      </c>
      <c r="BF43" s="881">
        <f t="shared" si="161"/>
        <v>0</v>
      </c>
      <c r="BG43" s="881">
        <f t="shared" si="162"/>
        <v>47.243485714285718</v>
      </c>
      <c r="BH43" s="881"/>
      <c r="BI43" s="13" cm="1">
        <f t="array" ref="BI43">INDEX(Info!$AD$4:$AH$15,MATCH(Info!$I$13,Info!$AC$4:$AC$15,0),IF(H43&lt;=16,1,IF(H43&lt;=40,2,IF(H43&lt;=75,3,IF(H43&lt;=100,4,5)))))</f>
        <v>380</v>
      </c>
      <c r="BJ43" s="13" cm="1">
        <f t="array" ref="BJ43">INDEX(Info!$AD$4:$AH$15,MATCH(Info!$I$13,Info!$AC$4:$AC$15,0),IF(K43&lt;=16,1,IF(K43&lt;=40,2,IF(K43&lt;=75,3,IF(K43&lt;=100,4,5)))))</f>
        <v>380</v>
      </c>
      <c r="BK43" s="13" cm="1">
        <f t="array" ref="BK43">INDEX(Info!$AD$4:$AH$15,MATCH(Info!$I$14,Info!$AC$4:$AC$15,0),IF(N43&lt;=16,1,IF(N43&lt;=40,2,IF(N43&lt;=75,3,IF(N43&lt;=100,4,5)))))</f>
        <v>355</v>
      </c>
      <c r="BL43" s="13">
        <f>IF(Stress!C872="Positive",MAX(MIN(0.7*BI43,BK43),0.5*BI43),MAX(MIN(0.7*BJ43,BK43),0.5*BJ43))</f>
        <v>266</v>
      </c>
      <c r="BM43" s="13" cm="1">
        <f t="array" ref="BM43">INDEX(Info!$AD$4:$AH$15,MATCH(Info!$I$13,Info!$AC$4:$AC$15,0),IF(AI43&lt;=16,1,IF(AI43&lt;=40,2,IF(AI43&lt;=75,3,IF(AI43&lt;=100,4,5)))))</f>
        <v>380</v>
      </c>
      <c r="BN43" s="13" cm="1">
        <f t="array" ref="BN43">INDEX(Info!$AD$4:$AH$15,MATCH(Info!$I$13,Info!$AC$4:$AC$15,0),IF(AF43&lt;=16,1,IF(AF43&lt;=40,2,IF(AF43&lt;=75,3,IF(AF43&lt;=100,4,5)))))</f>
        <v>380</v>
      </c>
      <c r="BO43" s="13"/>
      <c r="BP43" s="873">
        <f t="shared" si="163"/>
        <v>0.1250402835965195</v>
      </c>
      <c r="BQ43" s="873">
        <f t="shared" si="164"/>
        <v>3127.1637309229591</v>
      </c>
      <c r="BR43" s="873">
        <f t="shared" si="165"/>
        <v>3423</v>
      </c>
      <c r="BS43" s="873"/>
      <c r="BT43" s="871">
        <f t="shared" si="166"/>
        <v>864266.56010312599</v>
      </c>
      <c r="BU43" s="136">
        <f t="shared" si="167"/>
        <v>18871138575.090694</v>
      </c>
      <c r="BV43" s="871">
        <f t="shared" si="168"/>
        <v>1580500</v>
      </c>
      <c r="BW43" s="871">
        <f t="shared" si="169"/>
        <v>11076670833.333334</v>
      </c>
      <c r="BX43" s="871">
        <f t="shared" si="170"/>
        <v>0</v>
      </c>
      <c r="BY43" s="871">
        <f t="shared" si="171"/>
        <v>0</v>
      </c>
      <c r="BZ43" s="871">
        <f t="shared" si="172"/>
        <v>7655.2758986349281</v>
      </c>
      <c r="CA43" s="871">
        <f t="shared" si="173"/>
        <v>172722.16246295057</v>
      </c>
      <c r="CB43" s="871">
        <f t="shared" si="174"/>
        <v>5428.6721054031623</v>
      </c>
      <c r="CC43" s="871">
        <f t="shared" si="175"/>
        <v>86858.753686450596</v>
      </c>
      <c r="CE43" s="1137">
        <f t="shared" si="176"/>
        <v>549964617.89726794</v>
      </c>
      <c r="CF43" s="1136">
        <f t="shared" si="177"/>
        <v>375202702.22222227</v>
      </c>
      <c r="CG43" s="1136">
        <f t="shared" si="178"/>
        <v>205516269595.85425</v>
      </c>
      <c r="CH43" s="172">
        <f t="shared" si="179"/>
        <v>3912066770833.333</v>
      </c>
      <c r="CJ43" s="136">
        <f t="shared" si="180"/>
        <v>264600.58446584287</v>
      </c>
      <c r="CK43" s="7">
        <f t="shared" si="181"/>
        <v>476361046724.83496</v>
      </c>
      <c r="CL43" s="875">
        <f t="shared" si="182"/>
        <v>1262.0931690364366</v>
      </c>
      <c r="CM43" s="6">
        <f t="shared" si="183"/>
        <v>1910.9068309635634</v>
      </c>
      <c r="CN43" s="876">
        <f t="shared" si="73"/>
        <v>377437306.85787624</v>
      </c>
      <c r="CO43" s="876">
        <f t="shared" si="74"/>
        <v>249285333.54220769</v>
      </c>
      <c r="CP43" s="1137">
        <f t="shared" si="184"/>
        <v>188824577667.32001</v>
      </c>
      <c r="CQ43" s="1136">
        <f t="shared" si="185"/>
        <v>280290269274.4538</v>
      </c>
      <c r="CR43" s="877">
        <f t="shared" si="186"/>
        <v>416151.47599530662</v>
      </c>
      <c r="CS43" s="874">
        <f t="shared" si="187"/>
        <v>734092210525.72168</v>
      </c>
      <c r="CT43" s="875">
        <f t="shared" si="188"/>
        <v>1853.8394275253072</v>
      </c>
      <c r="CU43" s="878">
        <f t="shared" si="189"/>
        <v>1319.1605724746928</v>
      </c>
      <c r="CV43" s="876">
        <f t="shared" si="190"/>
        <v>395984786.83003438</v>
      </c>
      <c r="CW43" s="876">
        <f t="shared" si="191"/>
        <v>556484347.57915318</v>
      </c>
      <c r="CX43" s="1136">
        <f t="shared" si="192"/>
        <v>224862271729.37524</v>
      </c>
      <c r="CY43" s="1136">
        <f t="shared" si="193"/>
        <v>280290269274.4538</v>
      </c>
      <c r="CZ43" s="877">
        <f t="shared" si="194"/>
        <v>315117.54830899747</v>
      </c>
      <c r="DA43" s="874">
        <f t="shared" si="195"/>
        <v>589462622312.31006</v>
      </c>
      <c r="DB43" s="875">
        <f t="shared" si="196"/>
        <v>1522.5844049856012</v>
      </c>
      <c r="DC43" s="878">
        <f t="shared" si="197"/>
        <v>1650.4155950143988</v>
      </c>
      <c r="DD43" s="876">
        <f t="shared" si="75"/>
        <v>387146105.25508732</v>
      </c>
      <c r="DE43" s="876">
        <f t="shared" si="76"/>
        <v>357160114.15122831</v>
      </c>
      <c r="DF43" s="1136">
        <f t="shared" si="198"/>
        <v>200837142354.67175</v>
      </c>
      <c r="DG43" s="1136">
        <f t="shared" si="199"/>
        <v>280290269274.4538</v>
      </c>
      <c r="DH43" s="877">
        <f t="shared" si="200"/>
        <v>510258.52839302097</v>
      </c>
      <c r="DI43" s="879">
        <f t="shared" si="201"/>
        <v>716165249859.62256</v>
      </c>
      <c r="DJ43" s="878">
        <f t="shared" si="202"/>
        <v>603.92230392606234</v>
      </c>
      <c r="DK43" s="877">
        <f t="shared" si="203"/>
        <v>2569.0776960739377</v>
      </c>
      <c r="DL43" s="876">
        <f t="shared" si="77"/>
        <v>1185856599.7709899</v>
      </c>
      <c r="DM43" s="876">
        <f t="shared" si="78"/>
        <v>278763562.09625953</v>
      </c>
      <c r="DN43" s="7">
        <f t="shared" si="204"/>
        <v>796879167625.40381</v>
      </c>
      <c r="DO43" s="1136">
        <f t="shared" si="205"/>
        <v>285555423439.00122</v>
      </c>
      <c r="DP43" s="877">
        <f t="shared" si="206"/>
        <v>346486.56577490224</v>
      </c>
      <c r="DQ43" s="879">
        <f t="shared" si="207"/>
        <v>593806852134.37146</v>
      </c>
      <c r="DR43" s="877">
        <f t="shared" si="208"/>
        <v>939.00483966037973</v>
      </c>
      <c r="DS43" s="877">
        <f t="shared" si="209"/>
        <v>2233.9951603396203</v>
      </c>
      <c r="DT43" s="876">
        <f t="shared" si="79"/>
        <v>632378904.82986236</v>
      </c>
      <c r="DU43" s="876">
        <f t="shared" si="80"/>
        <v>265804896.39203101</v>
      </c>
      <c r="DV43" s="1136">
        <f t="shared" si="210"/>
        <v>391509440986.68127</v>
      </c>
      <c r="DW43" s="1136">
        <f t="shared" si="211"/>
        <v>285555423439.00122</v>
      </c>
      <c r="DX43" s="880">
        <f t="shared" si="212"/>
        <v>429235.4239993447</v>
      </c>
      <c r="DY43" s="874">
        <f t="shared" si="213"/>
        <v>783492069802.26025</v>
      </c>
      <c r="DZ43" s="873">
        <f t="shared" si="214"/>
        <v>1793.7637850793956</v>
      </c>
      <c r="EA43" s="880">
        <f t="shared" si="215"/>
        <v>1379.2362149206044</v>
      </c>
      <c r="EB43" s="876">
        <f t="shared" si="81"/>
        <v>436786647.33861893</v>
      </c>
      <c r="EC43" s="876">
        <f t="shared" si="82"/>
        <v>568062280.6495564</v>
      </c>
      <c r="ED43" s="1136">
        <f t="shared" si="216"/>
        <v>796879167625.40381</v>
      </c>
      <c r="EE43" s="1136">
        <f t="shared" si="217"/>
        <v>285555423439.00122</v>
      </c>
      <c r="EF43" s="880">
        <f t="shared" si="218"/>
        <v>319478.86431034352</v>
      </c>
      <c r="EG43" s="874">
        <f t="shared" si="219"/>
        <v>601069509769.9563</v>
      </c>
      <c r="EH43" s="873">
        <f t="shared" si="220"/>
        <v>1500.201630241251</v>
      </c>
      <c r="EI43" s="880">
        <f t="shared" si="221"/>
        <v>1672.798369758749</v>
      </c>
      <c r="EJ43" s="876">
        <f t="shared" si="83"/>
        <v>400659149.84594232</v>
      </c>
      <c r="EK43" s="876">
        <f t="shared" si="84"/>
        <v>359319760.60966784</v>
      </c>
      <c r="EL43" s="1136">
        <f t="shared" si="85"/>
        <v>391509440986.68127</v>
      </c>
      <c r="EM43" s="1136">
        <f t="shared" si="86"/>
        <v>285555423439.00122</v>
      </c>
      <c r="EN43" s="876"/>
      <c r="EO43" s="1113" t="s">
        <v>2201</v>
      </c>
      <c r="EP43" s="1114">
        <v>264600.58446584299</v>
      </c>
      <c r="EQ43" s="1114">
        <v>476361046724.83502</v>
      </c>
      <c r="ER43" s="1115">
        <v>1262.09316903644</v>
      </c>
      <c r="ES43" s="1115">
        <v>1910.90683096356</v>
      </c>
      <c r="ET43" s="1114">
        <v>377437306.857876</v>
      </c>
      <c r="EU43" s="1114">
        <v>249285333.54220799</v>
      </c>
      <c r="EV43" s="1114">
        <v>188824577667.32001</v>
      </c>
      <c r="EW43" s="1114">
        <v>280290269274.45398</v>
      </c>
      <c r="EX43" s="1114">
        <v>416151.47599530697</v>
      </c>
      <c r="EY43" s="1114">
        <v>734092210525.72205</v>
      </c>
      <c r="EZ43" s="1115">
        <v>1853.8394275253099</v>
      </c>
      <c r="FA43" s="1115">
        <v>1319.1605724746901</v>
      </c>
      <c r="FB43" s="1114">
        <v>395984786.83003402</v>
      </c>
      <c r="FC43" s="1114">
        <v>556484347.57915294</v>
      </c>
      <c r="FD43" s="1114">
        <v>224862271729.375</v>
      </c>
      <c r="FE43" s="1114">
        <v>280290269274.45398</v>
      </c>
      <c r="FF43" s="1114">
        <v>315117.54830899701</v>
      </c>
      <c r="FG43" s="1114">
        <v>589462622312.31006</v>
      </c>
      <c r="FH43" s="1115">
        <v>1522.5844049856</v>
      </c>
      <c r="FI43" s="1115">
        <v>1650.4155950144</v>
      </c>
      <c r="FJ43" s="1114">
        <v>387146105.25508702</v>
      </c>
      <c r="FK43" s="1114">
        <v>357160114.15122801</v>
      </c>
      <c r="FL43" s="1114">
        <v>200837142354.672</v>
      </c>
      <c r="FM43" s="1114">
        <v>280290269274.45398</v>
      </c>
      <c r="FN43" s="1114">
        <v>510258.52839302103</v>
      </c>
      <c r="FO43" s="1114">
        <v>716165249859.62305</v>
      </c>
      <c r="FP43" s="1115">
        <v>603.922303926062</v>
      </c>
      <c r="FQ43" s="1115">
        <v>2569.0776960739399</v>
      </c>
      <c r="FR43" s="1114">
        <v>1185856599.7709899</v>
      </c>
      <c r="FS43" s="1114">
        <v>278763562.09626001</v>
      </c>
      <c r="FT43" s="1114">
        <v>796879167625.40405</v>
      </c>
      <c r="FU43" s="1114">
        <v>285555423439.00098</v>
      </c>
      <c r="FV43" s="1114">
        <v>346486.565774902</v>
      </c>
      <c r="FW43" s="1114">
        <v>593806852134.37195</v>
      </c>
      <c r="FX43" s="1115">
        <v>939.00483966037996</v>
      </c>
      <c r="FY43" s="1115">
        <v>2233.9951603396198</v>
      </c>
      <c r="FZ43" s="1114">
        <v>632378904.829862</v>
      </c>
      <c r="GA43" s="1114">
        <v>265804896.39203101</v>
      </c>
      <c r="GB43" s="1114">
        <v>391509440986.68103</v>
      </c>
      <c r="GC43" s="1114">
        <v>285555423439.00098</v>
      </c>
      <c r="GD43" s="1114">
        <v>429235.42399934499</v>
      </c>
      <c r="GE43" s="1114">
        <v>783492069802.26099</v>
      </c>
      <c r="GF43" s="1115">
        <v>1793.7637850793999</v>
      </c>
      <c r="GG43" s="1115">
        <v>1379.2362149206001</v>
      </c>
      <c r="GH43" s="1114">
        <v>436786647.33861899</v>
      </c>
      <c r="GI43" s="1114">
        <v>568062280.64955699</v>
      </c>
      <c r="GJ43" s="1114">
        <v>796879167625.40405</v>
      </c>
      <c r="GK43" s="1114">
        <v>285555423439.00098</v>
      </c>
      <c r="GL43" s="1114">
        <v>319478.86431034398</v>
      </c>
      <c r="GM43" s="1114">
        <v>601069509769.95605</v>
      </c>
      <c r="GN43" s="1115">
        <v>1500.2016302412501</v>
      </c>
      <c r="GO43" s="1115">
        <v>1672.7983697587499</v>
      </c>
      <c r="GP43" s="1114">
        <v>400659149.84594202</v>
      </c>
      <c r="GQ43" s="1114">
        <v>359319760.60966802</v>
      </c>
      <c r="GR43" s="1114">
        <v>391509440986.68103</v>
      </c>
      <c r="GS43" s="1114">
        <v>285555423439.00098</v>
      </c>
      <c r="GU43" s="1171">
        <f t="shared" si="222"/>
        <v>0</v>
      </c>
      <c r="GV43" s="1171">
        <f t="shared" si="223"/>
        <v>0</v>
      </c>
      <c r="GW43" s="1171">
        <f t="shared" si="224"/>
        <v>-3.4106051316484809E-12</v>
      </c>
      <c r="GX43" s="1171">
        <f t="shared" si="225"/>
        <v>3.4106051316484809E-12</v>
      </c>
      <c r="GY43" s="1171">
        <f t="shared" si="226"/>
        <v>0</v>
      </c>
      <c r="GZ43" s="1171">
        <f t="shared" si="227"/>
        <v>-2.9802322387695313E-7</v>
      </c>
      <c r="HA43" s="1171">
        <f t="shared" si="235"/>
        <v>0</v>
      </c>
      <c r="HB43" s="1171">
        <f t="shared" si="228"/>
        <v>0</v>
      </c>
      <c r="HC43" s="1171">
        <f t="shared" si="229"/>
        <v>0</v>
      </c>
      <c r="HD43" s="1171">
        <f t="shared" si="230"/>
        <v>0</v>
      </c>
      <c r="HE43" s="1171">
        <f t="shared" si="231"/>
        <v>-2.7284841053187847E-12</v>
      </c>
      <c r="HF43" s="1171">
        <f t="shared" si="232"/>
        <v>2.7284841053187847E-12</v>
      </c>
      <c r="HG43" s="1171">
        <f t="shared" si="89"/>
        <v>0</v>
      </c>
      <c r="HH43" s="1171">
        <f t="shared" si="90"/>
        <v>0</v>
      </c>
      <c r="HI43" s="1171">
        <f t="shared" si="91"/>
        <v>2.44140625E-4</v>
      </c>
      <c r="HJ43" s="1171">
        <f t="shared" si="92"/>
        <v>0</v>
      </c>
      <c r="HK43" s="1171">
        <f t="shared" si="93"/>
        <v>4.6566128730773926E-10</v>
      </c>
      <c r="HL43" s="1171">
        <f t="shared" si="94"/>
        <v>0</v>
      </c>
      <c r="HM43" s="1171">
        <f t="shared" si="95"/>
        <v>0</v>
      </c>
      <c r="HN43" s="1171">
        <f t="shared" si="96"/>
        <v>0</v>
      </c>
      <c r="HO43" s="1171">
        <f t="shared" si="97"/>
        <v>0</v>
      </c>
      <c r="HP43" s="1171">
        <f t="shared" si="98"/>
        <v>0</v>
      </c>
      <c r="HQ43" s="1171">
        <f t="shared" si="99"/>
        <v>-2.44140625E-4</v>
      </c>
      <c r="HR43" s="1171">
        <f t="shared" si="100"/>
        <v>0</v>
      </c>
      <c r="HS43" s="1171">
        <f t="shared" si="101"/>
        <v>0</v>
      </c>
      <c r="HT43" s="1171">
        <f t="shared" si="102"/>
        <v>0</v>
      </c>
      <c r="HU43" s="1171">
        <f t="shared" si="103"/>
        <v>0</v>
      </c>
      <c r="HV43" s="1171">
        <f t="shared" si="104"/>
        <v>0</v>
      </c>
      <c r="HW43" s="1171">
        <f t="shared" si="105"/>
        <v>0</v>
      </c>
      <c r="HX43" s="1171">
        <f t="shared" si="106"/>
        <v>-4.76837158203125E-7</v>
      </c>
      <c r="HY43" s="1171">
        <f t="shared" si="107"/>
        <v>0</v>
      </c>
      <c r="HZ43" s="1171">
        <f t="shared" si="108"/>
        <v>0</v>
      </c>
      <c r="IA43" s="1171">
        <f t="shared" si="109"/>
        <v>0</v>
      </c>
      <c r="IB43" s="1171">
        <f t="shared" si="110"/>
        <v>0</v>
      </c>
      <c r="IC43" s="1171">
        <f t="shared" si="111"/>
        <v>0</v>
      </c>
      <c r="ID43" s="1171">
        <f t="shared" si="112"/>
        <v>0</v>
      </c>
      <c r="IE43" s="1171">
        <f t="shared" si="113"/>
        <v>0</v>
      </c>
      <c r="IF43" s="1171">
        <f t="shared" si="114"/>
        <v>0</v>
      </c>
      <c r="IG43" s="1171">
        <f t="shared" si="115"/>
        <v>0</v>
      </c>
      <c r="IH43" s="1171">
        <f t="shared" si="116"/>
        <v>0</v>
      </c>
      <c r="II43" s="1171">
        <f t="shared" si="117"/>
        <v>0</v>
      </c>
      <c r="IJ43" s="1171">
        <f t="shared" si="118"/>
        <v>0</v>
      </c>
      <c r="IK43" s="1171">
        <f t="shared" si="119"/>
        <v>-4.3200998334214091E-12</v>
      </c>
      <c r="IL43" s="1171">
        <f t="shared" si="120"/>
        <v>4.3200998334214091E-12</v>
      </c>
      <c r="IM43" s="1171">
        <f t="shared" si="121"/>
        <v>0</v>
      </c>
      <c r="IN43" s="1171">
        <f t="shared" si="122"/>
        <v>0</v>
      </c>
      <c r="IO43" s="1171">
        <f t="shared" si="123"/>
        <v>0</v>
      </c>
      <c r="IP43" s="1171">
        <f t="shared" si="124"/>
        <v>0</v>
      </c>
      <c r="IQ43" s="1171">
        <f t="shared" si="125"/>
        <v>-4.6566128730773926E-10</v>
      </c>
      <c r="IR43" s="1171">
        <f t="shared" si="126"/>
        <v>0</v>
      </c>
      <c r="IS43" s="1171">
        <f t="shared" si="127"/>
        <v>0</v>
      </c>
      <c r="IT43" s="1171">
        <f t="shared" si="128"/>
        <v>0</v>
      </c>
      <c r="IU43" s="1171">
        <f t="shared" si="129"/>
        <v>0</v>
      </c>
      <c r="IV43" s="1171">
        <f t="shared" si="130"/>
        <v>0</v>
      </c>
      <c r="IW43" s="1171">
        <f t="shared" si="131"/>
        <v>0</v>
      </c>
      <c r="IX43" s="1171">
        <f t="shared" si="132"/>
        <v>0</v>
      </c>
    </row>
    <row r="44" spans="1:258" s="871" customFormat="1">
      <c r="B44" s="871" t="str">
        <f t="shared" ref="B44" si="243">LEFT(B42,3)+1&amp;"j"</f>
        <v>121j</v>
      </c>
      <c r="C44" s="871">
        <v>86.9</v>
      </c>
      <c r="D44" s="871">
        <v>0</v>
      </c>
      <c r="E44" s="871" t="s">
        <v>2096</v>
      </c>
      <c r="F44" s="26">
        <v>1</v>
      </c>
      <c r="G44" s="136">
        <v>2900</v>
      </c>
      <c r="H44" s="136">
        <v>40</v>
      </c>
      <c r="I44" s="28">
        <v>250</v>
      </c>
      <c r="J44" s="26">
        <v>1864</v>
      </c>
      <c r="K44" s="136">
        <v>30</v>
      </c>
      <c r="L44" s="28">
        <v>120</v>
      </c>
      <c r="M44" s="26">
        <v>3103</v>
      </c>
      <c r="N44" s="28">
        <v>14</v>
      </c>
      <c r="O44" s="397">
        <v>512</v>
      </c>
      <c r="P44" s="26">
        <v>290</v>
      </c>
      <c r="Q44" s="397">
        <f>+Section!L105</f>
        <v>5450</v>
      </c>
      <c r="R44" s="169">
        <v>0</v>
      </c>
      <c r="S44" s="210">
        <v>0</v>
      </c>
      <c r="T44" s="210">
        <v>1150</v>
      </c>
      <c r="U44" s="210">
        <v>2400</v>
      </c>
      <c r="V44" s="872">
        <v>3800</v>
      </c>
      <c r="W44" s="210">
        <v>19</v>
      </c>
      <c r="X44" s="210">
        <v>200</v>
      </c>
      <c r="Y44" s="210">
        <v>50</v>
      </c>
      <c r="Z44" s="210">
        <v>16</v>
      </c>
      <c r="AA44" s="210">
        <v>200</v>
      </c>
      <c r="AB44" s="872">
        <v>40</v>
      </c>
      <c r="AC44" s="881">
        <f t="shared" si="234"/>
        <v>6031.8578948924023</v>
      </c>
      <c r="AD44" s="397">
        <v>2</v>
      </c>
      <c r="AE44" s="210">
        <v>160</v>
      </c>
      <c r="AF44" s="210">
        <v>16</v>
      </c>
      <c r="AG44" s="397">
        <v>0</v>
      </c>
      <c r="AH44" s="210">
        <v>0</v>
      </c>
      <c r="AI44" s="210">
        <v>0</v>
      </c>
      <c r="AJ44" s="397">
        <v>2</v>
      </c>
      <c r="AK44" s="210">
        <v>2500</v>
      </c>
      <c r="AL44" s="210">
        <v>5000</v>
      </c>
      <c r="AM44" s="1143" t="s">
        <v>2323</v>
      </c>
      <c r="AN44" s="210">
        <v>0</v>
      </c>
      <c r="AO44" s="1143" t="s">
        <v>2323</v>
      </c>
      <c r="AP44" s="1143" t="s">
        <v>2323</v>
      </c>
      <c r="AQ44" s="136">
        <v>180</v>
      </c>
      <c r="AR44" s="136">
        <v>16</v>
      </c>
      <c r="AS44" s="1143" t="s">
        <v>2448</v>
      </c>
      <c r="AT44" s="136">
        <v>120</v>
      </c>
      <c r="AU44" s="136">
        <v>12</v>
      </c>
      <c r="AV44" s="1111"/>
      <c r="AW44" s="1111"/>
      <c r="AX44" s="1111"/>
      <c r="AY44" s="1111"/>
      <c r="AZ44" s="1108">
        <v>8</v>
      </c>
      <c r="BA44" s="1108">
        <v>6</v>
      </c>
      <c r="BB44" s="1111"/>
      <c r="BC44" s="1168"/>
      <c r="BD44" s="210">
        <f>INDEX(Spec!$B$12:$P$58,MATCH(AO44,Spec!$A$12:$A$58,0),6)*100</f>
        <v>0</v>
      </c>
      <c r="BE44" s="210">
        <f>INDEX(Spec!$B$12:$P$58,MATCH(AP44,Spec!$A$12:$A$58,0),6)*100</f>
        <v>0</v>
      </c>
      <c r="BF44" s="881">
        <f t="shared" si="161"/>
        <v>0</v>
      </c>
      <c r="BG44" s="881">
        <f t="shared" si="162"/>
        <v>47.243485714285718</v>
      </c>
      <c r="BH44" s="881"/>
      <c r="BI44" s="13" cm="1">
        <f t="array" ref="BI44">INDEX(Info!$AD$4:$AH$15,MATCH(Info!$I$13,Info!$AC$4:$AC$15,0),IF(H44&lt;=16,1,IF(H44&lt;=40,2,IF(H44&lt;=75,3,IF(H44&lt;=100,4,5)))))</f>
        <v>380</v>
      </c>
      <c r="BJ44" s="13" cm="1">
        <f t="array" ref="BJ44">INDEX(Info!$AD$4:$AH$15,MATCH(Info!$I$13,Info!$AC$4:$AC$15,0),IF(K44&lt;=16,1,IF(K44&lt;=40,2,IF(K44&lt;=75,3,IF(K44&lt;=100,4,5)))))</f>
        <v>380</v>
      </c>
      <c r="BK44" s="13" cm="1">
        <f t="array" ref="BK44">INDEX(Info!$AD$4:$AH$15,MATCH(Info!$I$14,Info!$AC$4:$AC$15,0),IF(N44&lt;=16,1,IF(N44&lt;=40,2,IF(N44&lt;=75,3,IF(N44&lt;=100,4,5)))))</f>
        <v>355</v>
      </c>
      <c r="BL44" s="13">
        <f>IF(Stress!C873="Positive",MAX(MIN(0.7*BI44,BK44),0.5*BI44),MAX(MIN(0.7*BJ44,BK44),0.5*BJ44))</f>
        <v>266</v>
      </c>
      <c r="BM44" s="13" cm="1">
        <f t="array" ref="BM44">INDEX(Info!$AD$4:$AH$15,MATCH(Info!$I$13,Info!$AC$4:$AC$15,0),IF(AI44&lt;=16,1,IF(AI44&lt;=40,2,IF(AI44&lt;=75,3,IF(AI44&lt;=100,4,5)))))</f>
        <v>380</v>
      </c>
      <c r="BN44" s="13" cm="1">
        <f t="array" ref="BN44">INDEX(Info!$AD$4:$AH$15,MATCH(Info!$I$13,Info!$AC$4:$AC$15,0),IF(AF44&lt;=16,1,IF(AF44&lt;=40,2,IF(AF44&lt;=75,3,IF(AF44&lt;=100,4,5)))))</f>
        <v>380</v>
      </c>
      <c r="BO44" s="13"/>
      <c r="BP44" s="873">
        <f t="shared" si="163"/>
        <v>0.1250402835965195</v>
      </c>
      <c r="BQ44" s="873">
        <f t="shared" si="164"/>
        <v>3127.1637309229591</v>
      </c>
      <c r="BR44" s="873">
        <f t="shared" si="165"/>
        <v>3423</v>
      </c>
      <c r="BS44" s="873"/>
      <c r="BT44" s="871">
        <f t="shared" si="166"/>
        <v>864266.56010312599</v>
      </c>
      <c r="BU44" s="136">
        <f t="shared" si="167"/>
        <v>18871138575.090694</v>
      </c>
      <c r="BV44" s="871">
        <f t="shared" si="168"/>
        <v>1580500</v>
      </c>
      <c r="BW44" s="871">
        <f t="shared" si="169"/>
        <v>11076670833.333334</v>
      </c>
      <c r="BX44" s="871">
        <f t="shared" si="170"/>
        <v>0</v>
      </c>
      <c r="BY44" s="871">
        <f t="shared" si="171"/>
        <v>0</v>
      </c>
      <c r="BZ44" s="871">
        <f t="shared" si="172"/>
        <v>7655.2758986349281</v>
      </c>
      <c r="CA44" s="871">
        <f t="shared" si="173"/>
        <v>172722.16246295057</v>
      </c>
      <c r="CB44" s="871">
        <f t="shared" si="174"/>
        <v>5428.6721054031623</v>
      </c>
      <c r="CC44" s="871">
        <f t="shared" si="175"/>
        <v>86858.753686450596</v>
      </c>
      <c r="CE44" s="1137">
        <f t="shared" si="176"/>
        <v>549964617.89726794</v>
      </c>
      <c r="CF44" s="1136">
        <f t="shared" si="177"/>
        <v>375202702.22222227</v>
      </c>
      <c r="CG44" s="1136">
        <f t="shared" si="178"/>
        <v>205516269595.85425</v>
      </c>
      <c r="CH44" s="172">
        <f t="shared" si="179"/>
        <v>3912066770833.333</v>
      </c>
      <c r="CJ44" s="136">
        <f t="shared" si="180"/>
        <v>264600.58446584287</v>
      </c>
      <c r="CK44" s="7">
        <f t="shared" si="181"/>
        <v>476361046724.83496</v>
      </c>
      <c r="CL44" s="875">
        <f t="shared" si="182"/>
        <v>1262.0931690364366</v>
      </c>
      <c r="CM44" s="6">
        <f t="shared" si="183"/>
        <v>1910.9068309635634</v>
      </c>
      <c r="CN44" s="876">
        <f t="shared" si="73"/>
        <v>377437306.85787624</v>
      </c>
      <c r="CO44" s="876">
        <f t="shared" si="74"/>
        <v>249285333.54220769</v>
      </c>
      <c r="CP44" s="1137">
        <f t="shared" si="184"/>
        <v>188824577667.32001</v>
      </c>
      <c r="CQ44" s="1136">
        <f t="shared" si="185"/>
        <v>280290269274.4538</v>
      </c>
      <c r="CR44" s="877">
        <f t="shared" si="186"/>
        <v>416151.47599530662</v>
      </c>
      <c r="CS44" s="874">
        <f t="shared" si="187"/>
        <v>734092210525.72168</v>
      </c>
      <c r="CT44" s="875">
        <f t="shared" si="188"/>
        <v>1853.8394275253072</v>
      </c>
      <c r="CU44" s="878">
        <f t="shared" si="189"/>
        <v>1319.1605724746928</v>
      </c>
      <c r="CV44" s="876">
        <f t="shared" si="190"/>
        <v>395984786.83003438</v>
      </c>
      <c r="CW44" s="876">
        <f t="shared" si="191"/>
        <v>556484347.57915318</v>
      </c>
      <c r="CX44" s="1136">
        <f t="shared" si="192"/>
        <v>224862271729.37524</v>
      </c>
      <c r="CY44" s="1136">
        <f t="shared" si="193"/>
        <v>280290269274.4538</v>
      </c>
      <c r="CZ44" s="877">
        <f t="shared" si="194"/>
        <v>315117.54830899747</v>
      </c>
      <c r="DA44" s="874">
        <f t="shared" si="195"/>
        <v>589462622312.31006</v>
      </c>
      <c r="DB44" s="875">
        <f t="shared" si="196"/>
        <v>1522.5844049856012</v>
      </c>
      <c r="DC44" s="878">
        <f t="shared" si="197"/>
        <v>1650.4155950143988</v>
      </c>
      <c r="DD44" s="876">
        <f t="shared" si="75"/>
        <v>387146105.25508732</v>
      </c>
      <c r="DE44" s="876">
        <f t="shared" si="76"/>
        <v>357160114.15122831</v>
      </c>
      <c r="DF44" s="1136">
        <f t="shared" si="198"/>
        <v>200837142354.67175</v>
      </c>
      <c r="DG44" s="1136">
        <f t="shared" si="199"/>
        <v>280290269274.4538</v>
      </c>
      <c r="DH44" s="877">
        <f t="shared" si="200"/>
        <v>510258.52839302097</v>
      </c>
      <c r="DI44" s="879">
        <f t="shared" si="201"/>
        <v>716165249859.62256</v>
      </c>
      <c r="DJ44" s="878">
        <f t="shared" si="202"/>
        <v>603.92230392606234</v>
      </c>
      <c r="DK44" s="877">
        <f t="shared" si="203"/>
        <v>2569.0776960739377</v>
      </c>
      <c r="DL44" s="876">
        <f t="shared" si="77"/>
        <v>1185856599.7709899</v>
      </c>
      <c r="DM44" s="876">
        <f t="shared" si="78"/>
        <v>278763562.09625953</v>
      </c>
      <c r="DN44" s="7">
        <f t="shared" si="204"/>
        <v>796879167625.40381</v>
      </c>
      <c r="DO44" s="1136">
        <f t="shared" si="205"/>
        <v>285555423439.00122</v>
      </c>
      <c r="DP44" s="877">
        <f t="shared" si="206"/>
        <v>346486.56577490224</v>
      </c>
      <c r="DQ44" s="879">
        <f t="shared" si="207"/>
        <v>593806852134.37146</v>
      </c>
      <c r="DR44" s="877">
        <f t="shared" si="208"/>
        <v>939.00483966037973</v>
      </c>
      <c r="DS44" s="877">
        <f t="shared" si="209"/>
        <v>2233.9951603396203</v>
      </c>
      <c r="DT44" s="876">
        <f t="shared" si="79"/>
        <v>632378904.82986236</v>
      </c>
      <c r="DU44" s="876">
        <f t="shared" si="80"/>
        <v>265804896.39203101</v>
      </c>
      <c r="DV44" s="1136">
        <f t="shared" si="210"/>
        <v>391509440986.68127</v>
      </c>
      <c r="DW44" s="1136">
        <f t="shared" si="211"/>
        <v>285555423439.00122</v>
      </c>
      <c r="DX44" s="880">
        <f t="shared" si="212"/>
        <v>429235.4239993447</v>
      </c>
      <c r="DY44" s="874">
        <f t="shared" si="213"/>
        <v>783492069802.26025</v>
      </c>
      <c r="DZ44" s="873">
        <f t="shared" si="214"/>
        <v>1793.7637850793956</v>
      </c>
      <c r="EA44" s="880">
        <f t="shared" si="215"/>
        <v>1379.2362149206044</v>
      </c>
      <c r="EB44" s="876">
        <f t="shared" si="81"/>
        <v>436786647.33861893</v>
      </c>
      <c r="EC44" s="876">
        <f t="shared" si="82"/>
        <v>568062280.6495564</v>
      </c>
      <c r="ED44" s="1136">
        <f t="shared" si="216"/>
        <v>796879167625.40381</v>
      </c>
      <c r="EE44" s="1136">
        <f t="shared" si="217"/>
        <v>285555423439.00122</v>
      </c>
      <c r="EF44" s="880">
        <f t="shared" si="218"/>
        <v>319478.86431034352</v>
      </c>
      <c r="EG44" s="874">
        <f t="shared" si="219"/>
        <v>601069509769.9563</v>
      </c>
      <c r="EH44" s="873">
        <f t="shared" si="220"/>
        <v>1500.201630241251</v>
      </c>
      <c r="EI44" s="880">
        <f t="shared" si="221"/>
        <v>1672.798369758749</v>
      </c>
      <c r="EJ44" s="876">
        <f t="shared" si="83"/>
        <v>400659149.84594232</v>
      </c>
      <c r="EK44" s="876">
        <f t="shared" si="84"/>
        <v>359319760.60966784</v>
      </c>
      <c r="EL44" s="1136">
        <f t="shared" si="85"/>
        <v>391509440986.68127</v>
      </c>
      <c r="EM44" s="1136">
        <f t="shared" si="86"/>
        <v>285555423439.00122</v>
      </c>
      <c r="EN44" s="876"/>
      <c r="EO44" s="1113" t="s">
        <v>2202</v>
      </c>
      <c r="EP44" s="1114">
        <v>264600.58446584299</v>
      </c>
      <c r="EQ44" s="1114">
        <v>476361046724.83502</v>
      </c>
      <c r="ER44" s="1115">
        <v>1262.09316903644</v>
      </c>
      <c r="ES44" s="1115">
        <v>1910.90683096356</v>
      </c>
      <c r="ET44" s="1114">
        <v>377437306.857876</v>
      </c>
      <c r="EU44" s="1114">
        <v>249285333.54220799</v>
      </c>
      <c r="EV44" s="1114">
        <v>188824577667.32001</v>
      </c>
      <c r="EW44" s="1114">
        <v>280290269274.45398</v>
      </c>
      <c r="EX44" s="1114">
        <v>416151.47599530697</v>
      </c>
      <c r="EY44" s="1114">
        <v>734092210525.72205</v>
      </c>
      <c r="EZ44" s="1115">
        <v>1853.8394275253099</v>
      </c>
      <c r="FA44" s="1115">
        <v>1319.1605724746901</v>
      </c>
      <c r="FB44" s="1114">
        <v>395984786.83003402</v>
      </c>
      <c r="FC44" s="1114">
        <v>556484347.57915294</v>
      </c>
      <c r="FD44" s="1114">
        <v>224862271729.375</v>
      </c>
      <c r="FE44" s="1114">
        <v>280290269274.45398</v>
      </c>
      <c r="FF44" s="1114">
        <v>315117.54830899701</v>
      </c>
      <c r="FG44" s="1114">
        <v>589462622312.31006</v>
      </c>
      <c r="FH44" s="1115">
        <v>1522.5844049856</v>
      </c>
      <c r="FI44" s="1115">
        <v>1650.4155950144</v>
      </c>
      <c r="FJ44" s="1114">
        <v>387146105.25508702</v>
      </c>
      <c r="FK44" s="1114">
        <v>357160114.15122801</v>
      </c>
      <c r="FL44" s="1114">
        <v>200837142354.672</v>
      </c>
      <c r="FM44" s="1114">
        <v>280290269274.45398</v>
      </c>
      <c r="FN44" s="1114">
        <v>510258.52839302103</v>
      </c>
      <c r="FO44" s="1114">
        <v>716165249859.62305</v>
      </c>
      <c r="FP44" s="1115">
        <v>603.922303926062</v>
      </c>
      <c r="FQ44" s="1115">
        <v>2569.0776960739399</v>
      </c>
      <c r="FR44" s="1114">
        <v>1185856599.7709899</v>
      </c>
      <c r="FS44" s="1114">
        <v>278763562.09626001</v>
      </c>
      <c r="FT44" s="1114">
        <v>796879167625.40405</v>
      </c>
      <c r="FU44" s="1114">
        <v>285555423439.00098</v>
      </c>
      <c r="FV44" s="1114">
        <v>346486.565774902</v>
      </c>
      <c r="FW44" s="1114">
        <v>593806852134.37195</v>
      </c>
      <c r="FX44" s="1115">
        <v>939.00483966037996</v>
      </c>
      <c r="FY44" s="1115">
        <v>2233.9951603396198</v>
      </c>
      <c r="FZ44" s="1114">
        <v>632378904.829862</v>
      </c>
      <c r="GA44" s="1114">
        <v>265804896.39203101</v>
      </c>
      <c r="GB44" s="1114">
        <v>391509440986.68103</v>
      </c>
      <c r="GC44" s="1114">
        <v>285555423439.00098</v>
      </c>
      <c r="GD44" s="1114">
        <v>429235.42399934499</v>
      </c>
      <c r="GE44" s="1114">
        <v>783492069802.26099</v>
      </c>
      <c r="GF44" s="1115">
        <v>1793.7637850793999</v>
      </c>
      <c r="GG44" s="1115">
        <v>1379.2362149206001</v>
      </c>
      <c r="GH44" s="1114">
        <v>436786647.33861899</v>
      </c>
      <c r="GI44" s="1114">
        <v>568062280.64955699</v>
      </c>
      <c r="GJ44" s="1114">
        <v>796879167625.40405</v>
      </c>
      <c r="GK44" s="1114">
        <v>285555423439.00098</v>
      </c>
      <c r="GL44" s="1114">
        <v>319478.86431034398</v>
      </c>
      <c r="GM44" s="1114">
        <v>601069509769.95605</v>
      </c>
      <c r="GN44" s="1115">
        <v>1500.2016302412501</v>
      </c>
      <c r="GO44" s="1115">
        <v>1672.7983697587499</v>
      </c>
      <c r="GP44" s="1114">
        <v>400659149.84594202</v>
      </c>
      <c r="GQ44" s="1114">
        <v>359319760.60966802</v>
      </c>
      <c r="GR44" s="1114">
        <v>391509440986.68103</v>
      </c>
      <c r="GS44" s="1114">
        <v>285555423439.00098</v>
      </c>
      <c r="GU44" s="1171">
        <f t="shared" si="222"/>
        <v>0</v>
      </c>
      <c r="GV44" s="1171">
        <f t="shared" si="223"/>
        <v>0</v>
      </c>
      <c r="GW44" s="1171">
        <f t="shared" si="224"/>
        <v>-3.4106051316484809E-12</v>
      </c>
      <c r="GX44" s="1171">
        <f t="shared" si="225"/>
        <v>3.4106051316484809E-12</v>
      </c>
      <c r="GY44" s="1171">
        <f t="shared" si="226"/>
        <v>0</v>
      </c>
      <c r="GZ44" s="1171">
        <f t="shared" si="227"/>
        <v>-2.9802322387695313E-7</v>
      </c>
      <c r="HA44" s="1171">
        <f t="shared" si="235"/>
        <v>0</v>
      </c>
      <c r="HB44" s="1171">
        <f t="shared" si="228"/>
        <v>0</v>
      </c>
      <c r="HC44" s="1171">
        <f t="shared" si="229"/>
        <v>0</v>
      </c>
      <c r="HD44" s="1171">
        <f t="shared" si="230"/>
        <v>0</v>
      </c>
      <c r="HE44" s="1171">
        <f t="shared" si="231"/>
        <v>-2.7284841053187847E-12</v>
      </c>
      <c r="HF44" s="1171">
        <f t="shared" si="232"/>
        <v>2.7284841053187847E-12</v>
      </c>
      <c r="HG44" s="1171">
        <f t="shared" si="89"/>
        <v>0</v>
      </c>
      <c r="HH44" s="1171">
        <f t="shared" si="90"/>
        <v>0</v>
      </c>
      <c r="HI44" s="1171">
        <f t="shared" si="91"/>
        <v>2.44140625E-4</v>
      </c>
      <c r="HJ44" s="1171">
        <f t="shared" si="92"/>
        <v>0</v>
      </c>
      <c r="HK44" s="1171">
        <f t="shared" si="93"/>
        <v>4.6566128730773926E-10</v>
      </c>
      <c r="HL44" s="1171">
        <f t="shared" si="94"/>
        <v>0</v>
      </c>
      <c r="HM44" s="1171">
        <f t="shared" si="95"/>
        <v>0</v>
      </c>
      <c r="HN44" s="1171">
        <f t="shared" si="96"/>
        <v>0</v>
      </c>
      <c r="HO44" s="1171">
        <f t="shared" si="97"/>
        <v>0</v>
      </c>
      <c r="HP44" s="1171">
        <f t="shared" si="98"/>
        <v>0</v>
      </c>
      <c r="HQ44" s="1171">
        <f t="shared" si="99"/>
        <v>-2.44140625E-4</v>
      </c>
      <c r="HR44" s="1171">
        <f t="shared" si="100"/>
        <v>0</v>
      </c>
      <c r="HS44" s="1171">
        <f t="shared" si="101"/>
        <v>0</v>
      </c>
      <c r="HT44" s="1171">
        <f t="shared" si="102"/>
        <v>0</v>
      </c>
      <c r="HU44" s="1171">
        <f t="shared" si="103"/>
        <v>0</v>
      </c>
      <c r="HV44" s="1171">
        <f t="shared" si="104"/>
        <v>0</v>
      </c>
      <c r="HW44" s="1171">
        <f t="shared" si="105"/>
        <v>0</v>
      </c>
      <c r="HX44" s="1171">
        <f t="shared" si="106"/>
        <v>-4.76837158203125E-7</v>
      </c>
      <c r="HY44" s="1171">
        <f t="shared" si="107"/>
        <v>0</v>
      </c>
      <c r="HZ44" s="1171">
        <f t="shared" si="108"/>
        <v>0</v>
      </c>
      <c r="IA44" s="1171">
        <f t="shared" si="109"/>
        <v>0</v>
      </c>
      <c r="IB44" s="1171">
        <f t="shared" si="110"/>
        <v>0</v>
      </c>
      <c r="IC44" s="1171">
        <f t="shared" si="111"/>
        <v>0</v>
      </c>
      <c r="ID44" s="1171">
        <f t="shared" si="112"/>
        <v>0</v>
      </c>
      <c r="IE44" s="1171">
        <f t="shared" si="113"/>
        <v>0</v>
      </c>
      <c r="IF44" s="1171">
        <f t="shared" si="114"/>
        <v>0</v>
      </c>
      <c r="IG44" s="1171">
        <f t="shared" si="115"/>
        <v>0</v>
      </c>
      <c r="IH44" s="1171">
        <f t="shared" si="116"/>
        <v>0</v>
      </c>
      <c r="II44" s="1171">
        <f t="shared" si="117"/>
        <v>0</v>
      </c>
      <c r="IJ44" s="1171">
        <f t="shared" si="118"/>
        <v>0</v>
      </c>
      <c r="IK44" s="1171">
        <f t="shared" si="119"/>
        <v>-4.3200998334214091E-12</v>
      </c>
      <c r="IL44" s="1171">
        <f t="shared" si="120"/>
        <v>4.3200998334214091E-12</v>
      </c>
      <c r="IM44" s="1171">
        <f t="shared" si="121"/>
        <v>0</v>
      </c>
      <c r="IN44" s="1171">
        <f t="shared" si="122"/>
        <v>0</v>
      </c>
      <c r="IO44" s="1171">
        <f t="shared" si="123"/>
        <v>0</v>
      </c>
      <c r="IP44" s="1171">
        <f t="shared" si="124"/>
        <v>0</v>
      </c>
      <c r="IQ44" s="1171">
        <f t="shared" si="125"/>
        <v>-4.6566128730773926E-10</v>
      </c>
      <c r="IR44" s="1171">
        <f t="shared" si="126"/>
        <v>0</v>
      </c>
      <c r="IS44" s="1171">
        <f t="shared" si="127"/>
        <v>0</v>
      </c>
      <c r="IT44" s="1171">
        <f t="shared" si="128"/>
        <v>0</v>
      </c>
      <c r="IU44" s="1171">
        <f t="shared" si="129"/>
        <v>0</v>
      </c>
      <c r="IV44" s="1171">
        <f t="shared" si="130"/>
        <v>0</v>
      </c>
      <c r="IW44" s="1171">
        <f t="shared" si="131"/>
        <v>0</v>
      </c>
      <c r="IX44" s="1171">
        <f t="shared" si="132"/>
        <v>0</v>
      </c>
    </row>
    <row r="45" spans="1:258" s="871" customFormat="1">
      <c r="A45" s="871">
        <v>122</v>
      </c>
      <c r="B45" s="871" t="str">
        <f t="shared" ref="B45" si="244">LEFT(B43,3)+1&amp;"i"</f>
        <v>122i</v>
      </c>
      <c r="C45" s="871">
        <v>86.9</v>
      </c>
      <c r="D45" s="871">
        <v>0</v>
      </c>
      <c r="E45" s="871" t="s">
        <v>2097</v>
      </c>
      <c r="F45" s="26">
        <v>2</v>
      </c>
      <c r="G45" s="136">
        <v>800</v>
      </c>
      <c r="H45" s="136">
        <v>40</v>
      </c>
      <c r="I45" s="28">
        <v>250</v>
      </c>
      <c r="J45" s="26">
        <v>1909</v>
      </c>
      <c r="K45" s="136">
        <v>30</v>
      </c>
      <c r="L45" s="28">
        <v>120</v>
      </c>
      <c r="M45" s="26">
        <v>2924</v>
      </c>
      <c r="N45" s="28">
        <v>12</v>
      </c>
      <c r="O45" s="397">
        <v>356</v>
      </c>
      <c r="P45" s="26">
        <v>290</v>
      </c>
      <c r="Q45" s="397">
        <f>+Section!L106</f>
        <v>5500</v>
      </c>
      <c r="R45" s="169">
        <v>0</v>
      </c>
      <c r="S45" s="210">
        <v>0</v>
      </c>
      <c r="T45" s="210">
        <v>1200</v>
      </c>
      <c r="U45" s="210">
        <v>2400</v>
      </c>
      <c r="V45" s="872">
        <v>3800</v>
      </c>
      <c r="W45" s="210">
        <v>19</v>
      </c>
      <c r="X45" s="210">
        <v>200</v>
      </c>
      <c r="Y45" s="210">
        <v>50</v>
      </c>
      <c r="Z45" s="210">
        <v>16</v>
      </c>
      <c r="AA45" s="210">
        <v>200</v>
      </c>
      <c r="AB45" s="872">
        <v>40</v>
      </c>
      <c r="AC45" s="881">
        <f t="shared" si="234"/>
        <v>6031.8578948924023</v>
      </c>
      <c r="AD45" s="397">
        <v>2</v>
      </c>
      <c r="AE45" s="210">
        <v>160</v>
      </c>
      <c r="AF45" s="210">
        <v>16</v>
      </c>
      <c r="AG45" s="397">
        <v>0</v>
      </c>
      <c r="AH45" s="210">
        <v>0</v>
      </c>
      <c r="AI45" s="210">
        <v>0</v>
      </c>
      <c r="AJ45" s="397">
        <v>2</v>
      </c>
      <c r="AK45" s="210">
        <v>2500</v>
      </c>
      <c r="AL45" s="210">
        <v>5000</v>
      </c>
      <c r="AM45" s="210" t="s">
        <v>2316</v>
      </c>
      <c r="AN45" s="210">
        <v>2500</v>
      </c>
      <c r="AO45" s="1143" t="s">
        <v>2321</v>
      </c>
      <c r="AP45" s="1143" t="s">
        <v>2321</v>
      </c>
      <c r="AQ45" s="136">
        <v>200</v>
      </c>
      <c r="AR45" s="136">
        <v>14</v>
      </c>
      <c r="AS45" s="1143" t="s">
        <v>2448</v>
      </c>
      <c r="AT45" s="136">
        <v>120</v>
      </c>
      <c r="AU45" s="136">
        <v>12</v>
      </c>
      <c r="AV45" s="1111"/>
      <c r="AW45" s="1111"/>
      <c r="AX45" s="1111"/>
      <c r="AY45" s="1111"/>
      <c r="AZ45" s="1108">
        <v>8</v>
      </c>
      <c r="BA45" s="1108">
        <v>6</v>
      </c>
      <c r="BB45" s="1111"/>
      <c r="BC45" s="1168"/>
      <c r="BD45" s="210">
        <f>INDEX(Spec!$B$12:$P$58,MATCH(AO45,Spec!$A$12:$A$58,0),6)*100</f>
        <v>1900</v>
      </c>
      <c r="BE45" s="210">
        <f>INDEX(Spec!$B$12:$P$58,MATCH(AP45,Spec!$A$12:$A$58,0),6)*100</f>
        <v>1900</v>
      </c>
      <c r="BF45" s="881">
        <f t="shared" si="161"/>
        <v>0.70394096900309189</v>
      </c>
      <c r="BG45" s="881">
        <f t="shared" si="162"/>
        <v>47.243485714285718</v>
      </c>
      <c r="BH45" s="881"/>
      <c r="BI45" s="13" cm="1">
        <f t="array" ref="BI45">INDEX(Info!$AD$4:$AH$15,MATCH(Info!$I$13,Info!$AC$4:$AC$15,0),IF(H45&lt;=16,1,IF(H45&lt;=40,2,IF(H45&lt;=75,3,IF(H45&lt;=100,4,5)))))</f>
        <v>380</v>
      </c>
      <c r="BJ45" s="13" cm="1">
        <f t="array" ref="BJ45">INDEX(Info!$AD$4:$AH$15,MATCH(Info!$I$13,Info!$AC$4:$AC$15,0),IF(K45&lt;=16,1,IF(K45&lt;=40,2,IF(K45&lt;=75,3,IF(K45&lt;=100,4,5)))))</f>
        <v>380</v>
      </c>
      <c r="BK45" s="13" cm="1">
        <f t="array" ref="BK45">INDEX(Info!$AD$4:$AH$15,MATCH(Info!$I$14,Info!$AC$4:$AC$15,0),IF(N45&lt;=16,1,IF(N45&lt;=40,2,IF(N45&lt;=75,3,IF(N45&lt;=100,4,5)))))</f>
        <v>355</v>
      </c>
      <c r="BL45" s="13">
        <f>IF(Stress!C874="Positive",MAX(MIN(0.7*BI45,BK45),0.5*BI45),MAX(MIN(0.7*BJ45,BK45),0.5*BJ45))</f>
        <v>266</v>
      </c>
      <c r="BM45" s="13" cm="1">
        <f t="array" ref="BM45">INDEX(Info!$AD$4:$AH$15,MATCH(Info!$I$13,Info!$AC$4:$AC$15,0),IF(AI45&lt;=16,1,IF(AI45&lt;=40,2,IF(AI45&lt;=75,3,IF(AI45&lt;=100,4,5)))))</f>
        <v>380</v>
      </c>
      <c r="BN45" s="13" cm="1">
        <f t="array" ref="BN45">INDEX(Info!$AD$4:$AH$15,MATCH(Info!$I$13,Info!$AC$4:$AC$15,0),IF(AF45&lt;=16,1,IF(AF45&lt;=40,2,IF(AF45&lt;=75,3,IF(AF45&lt;=100,4,5)))))</f>
        <v>380</v>
      </c>
      <c r="BO45" s="13"/>
      <c r="BP45" s="873">
        <f t="shared" si="163"/>
        <v>0.125</v>
      </c>
      <c r="BQ45" s="873">
        <f t="shared" si="164"/>
        <v>2946.7552070031197</v>
      </c>
      <c r="BR45" s="873">
        <f t="shared" si="165"/>
        <v>3244</v>
      </c>
      <c r="BS45" s="873"/>
      <c r="BT45" s="871">
        <f t="shared" si="166"/>
        <v>610006</v>
      </c>
      <c r="BU45" s="136">
        <f t="shared" si="167"/>
        <v>6441028318.3747358</v>
      </c>
      <c r="BV45" s="871">
        <f t="shared" si="168"/>
        <v>1595000</v>
      </c>
      <c r="BW45" s="871">
        <f t="shared" si="169"/>
        <v>11178291666.666666</v>
      </c>
      <c r="BX45" s="871">
        <f t="shared" si="170"/>
        <v>0</v>
      </c>
      <c r="BY45" s="871">
        <f t="shared" si="171"/>
        <v>0</v>
      </c>
      <c r="BZ45" s="871">
        <f t="shared" si="172"/>
        <v>7655.2758986349281</v>
      </c>
      <c r="CA45" s="871">
        <f t="shared" si="173"/>
        <v>172722.16246295057</v>
      </c>
      <c r="CB45" s="871">
        <f t="shared" si="174"/>
        <v>5428.6721054031623</v>
      </c>
      <c r="CC45" s="871">
        <f t="shared" si="175"/>
        <v>86858.753686450596</v>
      </c>
      <c r="CE45" s="1137">
        <f t="shared" si="176"/>
        <v>394088727.74137288</v>
      </c>
      <c r="CF45" s="1136">
        <f t="shared" si="177"/>
        <v>396277902.22222227</v>
      </c>
      <c r="CG45" s="1136">
        <f t="shared" si="178"/>
        <v>149352979447.91666</v>
      </c>
      <c r="CH45" s="172">
        <f t="shared" si="179"/>
        <v>4020729166666.6665</v>
      </c>
      <c r="CJ45" s="136">
        <f t="shared" si="180"/>
        <v>197112.12496807487</v>
      </c>
      <c r="CK45" s="7">
        <f t="shared" si="181"/>
        <v>325640213974.46826</v>
      </c>
      <c r="CL45" s="875">
        <f t="shared" si="182"/>
        <v>1485.8448801639383</v>
      </c>
      <c r="CM45" s="6">
        <f t="shared" si="183"/>
        <v>1508.1551198360617</v>
      </c>
      <c r="CN45" s="876">
        <f t="shared" si="73"/>
        <v>219161648.91892299</v>
      </c>
      <c r="CO45" s="876">
        <f t="shared" si="74"/>
        <v>215919575.97164524</v>
      </c>
      <c r="CP45" s="1137">
        <f t="shared" si="184"/>
        <v>166605811480.51672</v>
      </c>
      <c r="CQ45" s="1136">
        <f t="shared" si="185"/>
        <v>36085275229.906258</v>
      </c>
      <c r="CR45" s="877">
        <f t="shared" si="186"/>
        <v>304077.9123835814</v>
      </c>
      <c r="CS45" s="874">
        <f t="shared" si="187"/>
        <v>443979400215.18604</v>
      </c>
      <c r="CT45" s="875">
        <f t="shared" si="188"/>
        <v>1943.2017301416934</v>
      </c>
      <c r="CU45" s="878">
        <f t="shared" si="189"/>
        <v>1050.7982698583066</v>
      </c>
      <c r="CV45" s="876">
        <f t="shared" si="190"/>
        <v>228478285.77366087</v>
      </c>
      <c r="CW45" s="876">
        <f t="shared" si="191"/>
        <v>422516303.03412449</v>
      </c>
      <c r="CX45" s="1136">
        <f t="shared" si="192"/>
        <v>192795158879.55603</v>
      </c>
      <c r="CY45" s="1136">
        <f t="shared" si="193"/>
        <v>36085275229.906258</v>
      </c>
      <c r="CZ45" s="877">
        <f t="shared" si="194"/>
        <v>232767.38743991038</v>
      </c>
      <c r="DA45" s="874">
        <f t="shared" si="195"/>
        <v>377056052501.86511</v>
      </c>
      <c r="DB45" s="875">
        <f t="shared" si="196"/>
        <v>1685.0023848372373</v>
      </c>
      <c r="DC45" s="878">
        <f t="shared" si="197"/>
        <v>1308.9976151627627</v>
      </c>
      <c r="DD45" s="876">
        <f t="shared" si="75"/>
        <v>223771821.27150926</v>
      </c>
      <c r="DE45" s="876">
        <f t="shared" si="76"/>
        <v>288049457.18329775</v>
      </c>
      <c r="DF45" s="1136">
        <f t="shared" si="198"/>
        <v>175335593946.86316</v>
      </c>
      <c r="DG45" s="1136">
        <f t="shared" si="199"/>
        <v>36085275229.906258</v>
      </c>
      <c r="DH45" s="877">
        <f t="shared" si="200"/>
        <v>445023.81150008948</v>
      </c>
      <c r="DI45" s="879">
        <f t="shared" si="201"/>
        <v>605273958783.20898</v>
      </c>
      <c r="DJ45" s="878">
        <f t="shared" si="202"/>
        <v>599.62480146106373</v>
      </c>
      <c r="DK45" s="877">
        <f t="shared" si="203"/>
        <v>2394.3751985389363</v>
      </c>
      <c r="DL45" s="876">
        <f t="shared" si="77"/>
        <v>1009421153.5419822</v>
      </c>
      <c r="DM45" s="876">
        <f t="shared" si="78"/>
        <v>252789938.33236796</v>
      </c>
      <c r="DN45" s="7">
        <f t="shared" si="204"/>
        <v>791549854613.30347</v>
      </c>
      <c r="DO45" s="1136">
        <f t="shared" si="205"/>
        <v>239977604872.8819</v>
      </c>
      <c r="DP45" s="877">
        <f t="shared" si="206"/>
        <v>279749.35381207976</v>
      </c>
      <c r="DQ45" s="879">
        <f t="shared" si="207"/>
        <v>473578022724.30658</v>
      </c>
      <c r="DR45" s="877">
        <f t="shared" si="208"/>
        <v>1015.9134553867054</v>
      </c>
      <c r="DS45" s="877">
        <f t="shared" si="209"/>
        <v>1978.0865446132946</v>
      </c>
      <c r="DT45" s="876">
        <f t="shared" si="79"/>
        <v>466159809.39443314</v>
      </c>
      <c r="DU45" s="876">
        <f t="shared" si="80"/>
        <v>239412185.4849827</v>
      </c>
      <c r="DV45" s="1136">
        <f t="shared" si="210"/>
        <v>374920492524.77893</v>
      </c>
      <c r="DW45" s="1136">
        <f t="shared" si="211"/>
        <v>239977604872.8819</v>
      </c>
      <c r="DX45" s="880">
        <f t="shared" si="212"/>
        <v>317161.86038761947</v>
      </c>
      <c r="DY45" s="874">
        <f t="shared" si="213"/>
        <v>497350595408.77948</v>
      </c>
      <c r="DZ45" s="873">
        <f t="shared" si="214"/>
        <v>1858.2110394410092</v>
      </c>
      <c r="EA45" s="880">
        <f t="shared" si="215"/>
        <v>1135.7889605589908</v>
      </c>
      <c r="EB45" s="876">
        <f t="shared" si="81"/>
        <v>267650221.0203172</v>
      </c>
      <c r="EC45" s="876">
        <f t="shared" si="82"/>
        <v>437889971.35876638</v>
      </c>
      <c r="ED45" s="1136">
        <f t="shared" si="216"/>
        <v>791549854613.30347</v>
      </c>
      <c r="EE45" s="1136">
        <f t="shared" si="217"/>
        <v>239977604872.8819</v>
      </c>
      <c r="EF45" s="880">
        <f t="shared" si="218"/>
        <v>237128.70344125642</v>
      </c>
      <c r="EG45" s="874">
        <f t="shared" si="219"/>
        <v>391000412051.83636</v>
      </c>
      <c r="EH45" s="873">
        <f t="shared" si="220"/>
        <v>1651.8592879627608</v>
      </c>
      <c r="EI45" s="880">
        <f t="shared" si="221"/>
        <v>1342.1407120372392</v>
      </c>
      <c r="EJ45" s="876">
        <f t="shared" si="83"/>
        <v>236703219.76035708</v>
      </c>
      <c r="EK45" s="876">
        <f t="shared" si="84"/>
        <v>291325945.59205031</v>
      </c>
      <c r="EL45" s="1136">
        <f t="shared" si="85"/>
        <v>374920492524.77893</v>
      </c>
      <c r="EM45" s="1136">
        <f t="shared" si="86"/>
        <v>239977604872.8819</v>
      </c>
      <c r="EN45" s="876"/>
      <c r="EO45" s="1113" t="s">
        <v>2203</v>
      </c>
      <c r="EP45" s="1114">
        <v>197112.12496807499</v>
      </c>
      <c r="EQ45" s="1114">
        <v>325640213974.46802</v>
      </c>
      <c r="ER45" s="1115">
        <v>1485.8448801639399</v>
      </c>
      <c r="ES45" s="1115">
        <v>1508.1551198360601</v>
      </c>
      <c r="ET45" s="1114">
        <v>219161648.91892299</v>
      </c>
      <c r="EU45" s="1114">
        <v>215919575.971645</v>
      </c>
      <c r="EV45" s="1114">
        <v>166605811480.517</v>
      </c>
      <c r="EW45" s="1114">
        <v>36085275229.906197</v>
      </c>
      <c r="EX45" s="1114">
        <v>304077.91238358198</v>
      </c>
      <c r="EY45" s="1114">
        <v>443979400215.18597</v>
      </c>
      <c r="EZ45" s="1115">
        <v>1943.2017301416899</v>
      </c>
      <c r="FA45" s="1115">
        <v>1050.7982698583101</v>
      </c>
      <c r="FB45" s="1114">
        <v>228478285.77366099</v>
      </c>
      <c r="FC45" s="1114">
        <v>422516303.03412497</v>
      </c>
      <c r="FD45" s="1114">
        <v>192795158879.556</v>
      </c>
      <c r="FE45" s="1114">
        <v>36085275229.906197</v>
      </c>
      <c r="FF45" s="1114">
        <v>232767.38743991</v>
      </c>
      <c r="FG45" s="1114">
        <v>377056052501.86499</v>
      </c>
      <c r="FH45" s="1115">
        <v>1685.00238483724</v>
      </c>
      <c r="FI45" s="1115">
        <v>1308.99761516276</v>
      </c>
      <c r="FJ45" s="1114">
        <v>223771821.27150899</v>
      </c>
      <c r="FK45" s="1114">
        <v>288049457.18329799</v>
      </c>
      <c r="FL45" s="1114">
        <v>175335593946.86301</v>
      </c>
      <c r="FM45" s="1114">
        <v>36085275229.906197</v>
      </c>
      <c r="FN45" s="1114">
        <v>445023.81150009</v>
      </c>
      <c r="FO45" s="1114">
        <v>605273958783.20898</v>
      </c>
      <c r="FP45" s="1115">
        <v>599.62480146106304</v>
      </c>
      <c r="FQ45" s="1115">
        <v>2394.3751985389399</v>
      </c>
      <c r="FR45" s="1114">
        <v>1009421153.54198</v>
      </c>
      <c r="FS45" s="1114">
        <v>252789938.33236799</v>
      </c>
      <c r="FT45" s="1114">
        <v>791549854613.30396</v>
      </c>
      <c r="FU45" s="1114">
        <v>239977604872.88199</v>
      </c>
      <c r="FV45" s="1114">
        <v>279749.35381207999</v>
      </c>
      <c r="FW45" s="1114">
        <v>473578022724.30701</v>
      </c>
      <c r="FX45" s="1115">
        <v>1015.9134553867</v>
      </c>
      <c r="FY45" s="1115">
        <v>1978.0865446133</v>
      </c>
      <c r="FZ45" s="1114">
        <v>466159809.39443398</v>
      </c>
      <c r="GA45" s="1114">
        <v>239412185.484983</v>
      </c>
      <c r="GB45" s="1114">
        <v>374920492524.77899</v>
      </c>
      <c r="GC45" s="1114">
        <v>239977604872.88199</v>
      </c>
      <c r="GD45" s="1114">
        <v>317161.86038761999</v>
      </c>
      <c r="GE45" s="1114">
        <v>497350595408.78003</v>
      </c>
      <c r="GF45" s="1115">
        <v>1858.2110394410099</v>
      </c>
      <c r="GG45" s="1115">
        <v>1135.7889605589901</v>
      </c>
      <c r="GH45" s="1114">
        <v>267650221.02031699</v>
      </c>
      <c r="GI45" s="1114">
        <v>437889971.35876697</v>
      </c>
      <c r="GJ45" s="1114">
        <v>791549854613.30396</v>
      </c>
      <c r="GK45" s="1114">
        <v>239977604872.88199</v>
      </c>
      <c r="GL45" s="1114">
        <v>237128.70344125599</v>
      </c>
      <c r="GM45" s="1114">
        <v>391000412051.836</v>
      </c>
      <c r="GN45" s="1115">
        <v>1651.8592879627599</v>
      </c>
      <c r="GO45" s="1115">
        <v>1342.1407120372401</v>
      </c>
      <c r="GP45" s="1114">
        <v>236703219.76035699</v>
      </c>
      <c r="GQ45" s="1114">
        <v>291325945.59205002</v>
      </c>
      <c r="GR45" s="1114">
        <v>374920492524.77899</v>
      </c>
      <c r="GS45" s="1114">
        <v>239977604872.88199</v>
      </c>
      <c r="GU45" s="1171">
        <f t="shared" si="222"/>
        <v>0</v>
      </c>
      <c r="GV45" s="1171">
        <f t="shared" si="223"/>
        <v>0</v>
      </c>
      <c r="GW45" s="1171">
        <f t="shared" si="224"/>
        <v>0</v>
      </c>
      <c r="GX45" s="1171">
        <f t="shared" si="225"/>
        <v>0</v>
      </c>
      <c r="GY45" s="1171">
        <f t="shared" si="226"/>
        <v>0</v>
      </c>
      <c r="GZ45" s="1171">
        <f t="shared" si="227"/>
        <v>2.384185791015625E-7</v>
      </c>
      <c r="HA45" s="1171">
        <f t="shared" si="235"/>
        <v>-2.74658203125E-4</v>
      </c>
      <c r="HB45" s="1171">
        <f t="shared" si="228"/>
        <v>6.103515625E-5</v>
      </c>
      <c r="HC45" s="1171">
        <f t="shared" si="229"/>
        <v>-5.8207660913467407E-10</v>
      </c>
      <c r="HD45" s="1171">
        <f t="shared" si="230"/>
        <v>0</v>
      </c>
      <c r="HE45" s="1171">
        <f t="shared" si="231"/>
        <v>3.4106051316484809E-12</v>
      </c>
      <c r="HF45" s="1171">
        <f t="shared" si="232"/>
        <v>-3.4106051316484809E-12</v>
      </c>
      <c r="HG45" s="1171">
        <f t="shared" si="89"/>
        <v>0</v>
      </c>
      <c r="HH45" s="1171">
        <f t="shared" si="90"/>
        <v>-4.76837158203125E-7</v>
      </c>
      <c r="HI45" s="1171">
        <f t="shared" si="91"/>
        <v>0</v>
      </c>
      <c r="HJ45" s="1171">
        <f t="shared" si="92"/>
        <v>6.103515625E-5</v>
      </c>
      <c r="HK45" s="1171">
        <f t="shared" si="93"/>
        <v>3.7834979593753815E-10</v>
      </c>
      <c r="HL45" s="1171">
        <f t="shared" si="94"/>
        <v>0</v>
      </c>
      <c r="HM45" s="1171">
        <f t="shared" si="95"/>
        <v>-2.7284841053187847E-12</v>
      </c>
      <c r="HN45" s="1171">
        <f t="shared" si="96"/>
        <v>2.7284841053187847E-12</v>
      </c>
      <c r="HO45" s="1171">
        <f t="shared" si="97"/>
        <v>2.6822090148925781E-7</v>
      </c>
      <c r="HP45" s="1171">
        <f t="shared" si="98"/>
        <v>0</v>
      </c>
      <c r="HQ45" s="1171">
        <f t="shared" si="99"/>
        <v>0</v>
      </c>
      <c r="HR45" s="1171">
        <f t="shared" si="100"/>
        <v>6.103515625E-5</v>
      </c>
      <c r="HS45" s="1171">
        <f t="shared" si="101"/>
        <v>-5.2386894822120667E-10</v>
      </c>
      <c r="HT45" s="1171">
        <f t="shared" si="102"/>
        <v>0</v>
      </c>
      <c r="HU45" s="1171">
        <f t="shared" si="103"/>
        <v>0</v>
      </c>
      <c r="HV45" s="1171">
        <f t="shared" si="104"/>
        <v>-3.637978807091713E-12</v>
      </c>
      <c r="HW45" s="1171">
        <f t="shared" si="105"/>
        <v>2.1457672119140625E-6</v>
      </c>
      <c r="HX45" s="1171">
        <f t="shared" si="106"/>
        <v>0</v>
      </c>
      <c r="HY45" s="1171">
        <f t="shared" si="107"/>
        <v>0</v>
      </c>
      <c r="HZ45" s="1171">
        <f t="shared" si="108"/>
        <v>0</v>
      </c>
      <c r="IA45" s="1171">
        <f t="shared" si="109"/>
        <v>0</v>
      </c>
      <c r="IB45" s="1171">
        <f t="shared" si="110"/>
        <v>0</v>
      </c>
      <c r="IC45" s="1171">
        <f t="shared" si="111"/>
        <v>5.4569682106375694E-12</v>
      </c>
      <c r="ID45" s="1171">
        <f t="shared" si="112"/>
        <v>-5.4569682106375694E-12</v>
      </c>
      <c r="IE45" s="1171">
        <f t="shared" si="113"/>
        <v>-8.3446502685546875E-7</v>
      </c>
      <c r="IF45" s="1171">
        <f t="shared" si="114"/>
        <v>-2.9802322387695313E-7</v>
      </c>
      <c r="IG45" s="1171">
        <f t="shared" si="115"/>
        <v>0</v>
      </c>
      <c r="IH45" s="1171">
        <f t="shared" si="116"/>
        <v>0</v>
      </c>
      <c r="II45" s="1171">
        <f t="shared" si="117"/>
        <v>-5.2386894822120667E-10</v>
      </c>
      <c r="IJ45" s="1171">
        <f t="shared" si="118"/>
        <v>-5.4931640625E-4</v>
      </c>
      <c r="IK45" s="1171">
        <f t="shared" si="119"/>
        <v>0</v>
      </c>
      <c r="IL45" s="1171">
        <f t="shared" si="120"/>
        <v>0</v>
      </c>
      <c r="IM45" s="1171">
        <f t="shared" si="121"/>
        <v>0</v>
      </c>
      <c r="IN45" s="1171">
        <f t="shared" si="122"/>
        <v>-5.9604644775390625E-7</v>
      </c>
      <c r="IO45" s="1171">
        <f t="shared" si="123"/>
        <v>0</v>
      </c>
      <c r="IP45" s="1171">
        <f t="shared" si="124"/>
        <v>0</v>
      </c>
      <c r="IQ45" s="1171">
        <f t="shared" si="125"/>
        <v>4.3655745685100555E-10</v>
      </c>
      <c r="IR45" s="1171">
        <f t="shared" si="126"/>
        <v>0</v>
      </c>
      <c r="IS45" s="1171">
        <f t="shared" si="127"/>
        <v>0</v>
      </c>
      <c r="IT45" s="1171">
        <f t="shared" si="128"/>
        <v>0</v>
      </c>
      <c r="IU45" s="1171">
        <f t="shared" si="129"/>
        <v>0</v>
      </c>
      <c r="IV45" s="1171">
        <f t="shared" si="130"/>
        <v>0</v>
      </c>
      <c r="IW45" s="1171">
        <f t="shared" si="131"/>
        <v>0</v>
      </c>
      <c r="IX45" s="1171">
        <f t="shared" si="132"/>
        <v>0</v>
      </c>
    </row>
    <row r="46" spans="1:258" s="871" customFormat="1">
      <c r="B46" s="871" t="str">
        <f t="shared" ref="B46" si="245">LEFT(B44,3)+1&amp;"j"</f>
        <v>122j</v>
      </c>
      <c r="C46" s="871">
        <v>91.9</v>
      </c>
      <c r="D46" s="871">
        <v>0</v>
      </c>
      <c r="E46" s="871" t="s">
        <v>2097</v>
      </c>
      <c r="F46" s="26">
        <v>2</v>
      </c>
      <c r="G46" s="136">
        <v>800</v>
      </c>
      <c r="H46" s="136">
        <v>40</v>
      </c>
      <c r="I46" s="28">
        <v>250</v>
      </c>
      <c r="J46" s="26">
        <v>1909</v>
      </c>
      <c r="K46" s="136">
        <v>30</v>
      </c>
      <c r="L46" s="28">
        <v>120</v>
      </c>
      <c r="M46" s="26">
        <v>2924</v>
      </c>
      <c r="N46" s="28">
        <v>12</v>
      </c>
      <c r="O46" s="397">
        <v>356</v>
      </c>
      <c r="P46" s="26">
        <v>290</v>
      </c>
      <c r="Q46" s="397">
        <f>+Section!L107</f>
        <v>5500</v>
      </c>
      <c r="R46" s="169">
        <v>0</v>
      </c>
      <c r="S46" s="210">
        <v>0</v>
      </c>
      <c r="T46" s="210">
        <v>1200</v>
      </c>
      <c r="U46" s="210">
        <v>2400</v>
      </c>
      <c r="V46" s="872">
        <v>3800</v>
      </c>
      <c r="W46" s="210">
        <v>19</v>
      </c>
      <c r="X46" s="210">
        <v>200</v>
      </c>
      <c r="Y46" s="210">
        <v>50</v>
      </c>
      <c r="Z46" s="210">
        <v>16</v>
      </c>
      <c r="AA46" s="210">
        <v>200</v>
      </c>
      <c r="AB46" s="872">
        <v>40</v>
      </c>
      <c r="AC46" s="881">
        <f t="shared" si="234"/>
        <v>6031.8578948924023</v>
      </c>
      <c r="AD46" s="397">
        <v>2</v>
      </c>
      <c r="AE46" s="210">
        <v>160</v>
      </c>
      <c r="AF46" s="210">
        <v>16</v>
      </c>
      <c r="AG46" s="397">
        <v>0</v>
      </c>
      <c r="AH46" s="210">
        <v>0</v>
      </c>
      <c r="AI46" s="210">
        <v>0</v>
      </c>
      <c r="AJ46" s="397">
        <v>2</v>
      </c>
      <c r="AK46" s="210">
        <v>2500</v>
      </c>
      <c r="AL46" s="210">
        <v>5000</v>
      </c>
      <c r="AM46" s="210" t="s">
        <v>2316</v>
      </c>
      <c r="AN46" s="210">
        <v>2500</v>
      </c>
      <c r="AO46" s="1143" t="s">
        <v>2321</v>
      </c>
      <c r="AP46" s="1143" t="s">
        <v>2321</v>
      </c>
      <c r="AQ46" s="136">
        <v>200</v>
      </c>
      <c r="AR46" s="136">
        <v>14</v>
      </c>
      <c r="AS46" s="1143" t="s">
        <v>2448</v>
      </c>
      <c r="AT46" s="136">
        <v>120</v>
      </c>
      <c r="AU46" s="136">
        <v>12</v>
      </c>
      <c r="AV46" s="1109" t="s">
        <v>2157</v>
      </c>
      <c r="AW46" s="1109">
        <v>12</v>
      </c>
      <c r="AX46" s="1109">
        <v>400</v>
      </c>
      <c r="AY46" s="1109">
        <v>1000</v>
      </c>
      <c r="AZ46" s="1108">
        <v>8</v>
      </c>
      <c r="BA46" s="1108">
        <v>6</v>
      </c>
      <c r="BB46" s="1109"/>
      <c r="BC46" s="1168"/>
      <c r="BD46" s="210">
        <f>INDEX(Spec!$B$12:$P$58,MATCH(AO46,Spec!$A$12:$A$58,0),6)*100</f>
        <v>1900</v>
      </c>
      <c r="BE46" s="210">
        <f>INDEX(Spec!$B$12:$P$58,MATCH(AP46,Spec!$A$12:$A$58,0),6)*100</f>
        <v>1900</v>
      </c>
      <c r="BF46" s="881">
        <f t="shared" si="161"/>
        <v>0.70394096900309189</v>
      </c>
      <c r="BG46" s="881">
        <f t="shared" si="162"/>
        <v>47.243485714285718</v>
      </c>
      <c r="BH46" s="881"/>
      <c r="BI46" s="13" cm="1">
        <f t="array" ref="BI46">INDEX(Info!$AD$4:$AH$15,MATCH(Info!$I$13,Info!$AC$4:$AC$15,0),IF(H46&lt;=16,1,IF(H46&lt;=40,2,IF(H46&lt;=75,3,IF(H46&lt;=100,4,5)))))</f>
        <v>380</v>
      </c>
      <c r="BJ46" s="13" cm="1">
        <f t="array" ref="BJ46">INDEX(Info!$AD$4:$AH$15,MATCH(Info!$I$13,Info!$AC$4:$AC$15,0),IF(K46&lt;=16,1,IF(K46&lt;=40,2,IF(K46&lt;=75,3,IF(K46&lt;=100,4,5)))))</f>
        <v>380</v>
      </c>
      <c r="BK46" s="13" cm="1">
        <f t="array" ref="BK46">INDEX(Info!$AD$4:$AH$15,MATCH(Info!$I$14,Info!$AC$4:$AC$15,0),IF(N46&lt;=16,1,IF(N46&lt;=40,2,IF(N46&lt;=75,3,IF(N46&lt;=100,4,5)))))</f>
        <v>355</v>
      </c>
      <c r="BL46" s="13">
        <f>IF(Stress!C875="Positive",MAX(MIN(0.7*BI46,BK46),0.5*BI46),MAX(MIN(0.7*BJ46,BK46),0.5*BJ46))</f>
        <v>266</v>
      </c>
      <c r="BM46" s="13" cm="1">
        <f t="array" ref="BM46">INDEX(Info!$AD$4:$AH$15,MATCH(Info!$I$13,Info!$AC$4:$AC$15,0),IF(AI46&lt;=16,1,IF(AI46&lt;=40,2,IF(AI46&lt;=75,3,IF(AI46&lt;=100,4,5)))))</f>
        <v>380</v>
      </c>
      <c r="BN46" s="13" cm="1">
        <f t="array" ref="BN46">INDEX(Info!$AD$4:$AH$15,MATCH(Info!$I$13,Info!$AC$4:$AC$15,0),IF(AF46&lt;=16,1,IF(AF46&lt;=40,2,IF(AF46&lt;=75,3,IF(AF46&lt;=100,4,5)))))</f>
        <v>380</v>
      </c>
      <c r="BO46" s="13"/>
      <c r="BP46" s="873">
        <f t="shared" si="163"/>
        <v>0.125</v>
      </c>
      <c r="BQ46" s="873">
        <f t="shared" si="164"/>
        <v>2946.7552070031197</v>
      </c>
      <c r="BR46" s="873">
        <f t="shared" si="165"/>
        <v>3244</v>
      </c>
      <c r="BS46" s="873"/>
      <c r="BT46" s="871">
        <f t="shared" si="166"/>
        <v>610006</v>
      </c>
      <c r="BU46" s="136">
        <f t="shared" si="167"/>
        <v>6441028318.3747358</v>
      </c>
      <c r="BV46" s="871">
        <f t="shared" si="168"/>
        <v>1595000</v>
      </c>
      <c r="BW46" s="871">
        <f t="shared" si="169"/>
        <v>11178291666.666666</v>
      </c>
      <c r="BX46" s="871">
        <f t="shared" si="170"/>
        <v>0</v>
      </c>
      <c r="BY46" s="871">
        <f t="shared" si="171"/>
        <v>0</v>
      </c>
      <c r="BZ46" s="871">
        <f t="shared" si="172"/>
        <v>7655.2758986349281</v>
      </c>
      <c r="CA46" s="871">
        <f t="shared" si="173"/>
        <v>172722.16246295057</v>
      </c>
      <c r="CB46" s="871">
        <f t="shared" si="174"/>
        <v>5428.6721054031623</v>
      </c>
      <c r="CC46" s="871">
        <f t="shared" si="175"/>
        <v>86858.753686450596</v>
      </c>
      <c r="CE46" s="1137">
        <f t="shared" si="176"/>
        <v>394088727.74137288</v>
      </c>
      <c r="CF46" s="1136">
        <f t="shared" si="177"/>
        <v>396277902.22222227</v>
      </c>
      <c r="CG46" s="1136">
        <f t="shared" si="178"/>
        <v>149352979447.91666</v>
      </c>
      <c r="CH46" s="172">
        <f t="shared" si="179"/>
        <v>4020729166666.6665</v>
      </c>
      <c r="CJ46" s="136">
        <f t="shared" si="180"/>
        <v>197112.12496807487</v>
      </c>
      <c r="CK46" s="7">
        <f t="shared" si="181"/>
        <v>325640213974.46826</v>
      </c>
      <c r="CL46" s="875">
        <f t="shared" si="182"/>
        <v>1485.8448801639383</v>
      </c>
      <c r="CM46" s="6">
        <f t="shared" si="183"/>
        <v>1508.1551198360617</v>
      </c>
      <c r="CN46" s="876">
        <f t="shared" si="73"/>
        <v>219161648.91892299</v>
      </c>
      <c r="CO46" s="876">
        <f t="shared" si="74"/>
        <v>215919575.97164524</v>
      </c>
      <c r="CP46" s="1137">
        <f t="shared" si="184"/>
        <v>166605811480.51672</v>
      </c>
      <c r="CQ46" s="1136">
        <f t="shared" si="185"/>
        <v>36085275229.906258</v>
      </c>
      <c r="CR46" s="877">
        <f t="shared" si="186"/>
        <v>304077.9123835814</v>
      </c>
      <c r="CS46" s="874">
        <f t="shared" si="187"/>
        <v>443979400215.18604</v>
      </c>
      <c r="CT46" s="875">
        <f t="shared" si="188"/>
        <v>1943.2017301416934</v>
      </c>
      <c r="CU46" s="878">
        <f t="shared" si="189"/>
        <v>1050.7982698583066</v>
      </c>
      <c r="CV46" s="876">
        <f t="shared" si="190"/>
        <v>228478285.77366087</v>
      </c>
      <c r="CW46" s="876">
        <f t="shared" si="191"/>
        <v>422516303.03412449</v>
      </c>
      <c r="CX46" s="1136">
        <f t="shared" si="192"/>
        <v>192795158879.55603</v>
      </c>
      <c r="CY46" s="1136">
        <f t="shared" si="193"/>
        <v>36085275229.906258</v>
      </c>
      <c r="CZ46" s="877">
        <f t="shared" si="194"/>
        <v>232767.38743991038</v>
      </c>
      <c r="DA46" s="874">
        <f t="shared" si="195"/>
        <v>377056052501.86511</v>
      </c>
      <c r="DB46" s="875">
        <f t="shared" si="196"/>
        <v>1685.0023848372373</v>
      </c>
      <c r="DC46" s="878">
        <f t="shared" si="197"/>
        <v>1308.9976151627627</v>
      </c>
      <c r="DD46" s="876">
        <f t="shared" si="75"/>
        <v>223771821.27150926</v>
      </c>
      <c r="DE46" s="876">
        <f t="shared" si="76"/>
        <v>288049457.18329775</v>
      </c>
      <c r="DF46" s="1136">
        <f t="shared" si="198"/>
        <v>175335593946.86316</v>
      </c>
      <c r="DG46" s="1136">
        <f t="shared" si="199"/>
        <v>36085275229.906258</v>
      </c>
      <c r="DH46" s="877">
        <f t="shared" si="200"/>
        <v>445023.81150008948</v>
      </c>
      <c r="DI46" s="879">
        <f t="shared" si="201"/>
        <v>605273958783.20898</v>
      </c>
      <c r="DJ46" s="878">
        <f t="shared" si="202"/>
        <v>599.62480146106373</v>
      </c>
      <c r="DK46" s="877">
        <f t="shared" si="203"/>
        <v>2394.3751985389363</v>
      </c>
      <c r="DL46" s="876">
        <f t="shared" si="77"/>
        <v>1009421153.5419822</v>
      </c>
      <c r="DM46" s="876">
        <f t="shared" si="78"/>
        <v>252789938.33236796</v>
      </c>
      <c r="DN46" s="7">
        <f t="shared" si="204"/>
        <v>791549854613.30347</v>
      </c>
      <c r="DO46" s="1136">
        <f t="shared" si="205"/>
        <v>239977604872.8819</v>
      </c>
      <c r="DP46" s="877">
        <f t="shared" si="206"/>
        <v>279749.35381207976</v>
      </c>
      <c r="DQ46" s="879">
        <f t="shared" si="207"/>
        <v>473578022724.30658</v>
      </c>
      <c r="DR46" s="877">
        <f t="shared" si="208"/>
        <v>1015.9134553867054</v>
      </c>
      <c r="DS46" s="877">
        <f t="shared" si="209"/>
        <v>1978.0865446132946</v>
      </c>
      <c r="DT46" s="876">
        <f t="shared" si="79"/>
        <v>466159809.39443314</v>
      </c>
      <c r="DU46" s="876">
        <f t="shared" si="80"/>
        <v>239412185.4849827</v>
      </c>
      <c r="DV46" s="1136">
        <f t="shared" si="210"/>
        <v>374920492524.77893</v>
      </c>
      <c r="DW46" s="1136">
        <f t="shared" si="211"/>
        <v>239977604872.8819</v>
      </c>
      <c r="DX46" s="880">
        <f t="shared" si="212"/>
        <v>317161.86038761947</v>
      </c>
      <c r="DY46" s="874">
        <f t="shared" si="213"/>
        <v>497350595408.77948</v>
      </c>
      <c r="DZ46" s="873">
        <f t="shared" si="214"/>
        <v>1858.2110394410092</v>
      </c>
      <c r="EA46" s="880">
        <f t="shared" si="215"/>
        <v>1135.7889605589908</v>
      </c>
      <c r="EB46" s="876">
        <f t="shared" si="81"/>
        <v>267650221.0203172</v>
      </c>
      <c r="EC46" s="876">
        <f t="shared" si="82"/>
        <v>437889971.35876638</v>
      </c>
      <c r="ED46" s="1136">
        <f t="shared" si="216"/>
        <v>791549854613.30347</v>
      </c>
      <c r="EE46" s="1136">
        <f t="shared" si="217"/>
        <v>239977604872.8819</v>
      </c>
      <c r="EF46" s="880">
        <f t="shared" si="218"/>
        <v>237128.70344125642</v>
      </c>
      <c r="EG46" s="874">
        <f t="shared" si="219"/>
        <v>391000412051.83636</v>
      </c>
      <c r="EH46" s="873">
        <f t="shared" si="220"/>
        <v>1651.8592879627608</v>
      </c>
      <c r="EI46" s="880">
        <f t="shared" si="221"/>
        <v>1342.1407120372392</v>
      </c>
      <c r="EJ46" s="876">
        <f t="shared" si="83"/>
        <v>236703219.76035708</v>
      </c>
      <c r="EK46" s="876">
        <f t="shared" si="84"/>
        <v>291325945.59205031</v>
      </c>
      <c r="EL46" s="1136">
        <f t="shared" si="85"/>
        <v>374920492524.77893</v>
      </c>
      <c r="EM46" s="1136">
        <f t="shared" si="86"/>
        <v>239977604872.8819</v>
      </c>
      <c r="EN46" s="876"/>
      <c r="EO46" s="1113" t="s">
        <v>2204</v>
      </c>
      <c r="EP46" s="1114">
        <v>197112.12496807499</v>
      </c>
      <c r="EQ46" s="1114">
        <v>325640213974.46802</v>
      </c>
      <c r="ER46" s="1115">
        <v>1485.8448801639399</v>
      </c>
      <c r="ES46" s="1115">
        <v>1508.1551198360601</v>
      </c>
      <c r="ET46" s="1114">
        <v>219161648.91892299</v>
      </c>
      <c r="EU46" s="1114">
        <v>215919575.971645</v>
      </c>
      <c r="EV46" s="1114">
        <v>166605811480.517</v>
      </c>
      <c r="EW46" s="1114">
        <v>36085275229.906197</v>
      </c>
      <c r="EX46" s="1114">
        <v>304077.91238358198</v>
      </c>
      <c r="EY46" s="1114">
        <v>443979400215.18597</v>
      </c>
      <c r="EZ46" s="1115">
        <v>1943.2017301416899</v>
      </c>
      <c r="FA46" s="1115">
        <v>1050.7982698583101</v>
      </c>
      <c r="FB46" s="1114">
        <v>228478285.77366099</v>
      </c>
      <c r="FC46" s="1114">
        <v>422516303.03412497</v>
      </c>
      <c r="FD46" s="1114">
        <v>192795158879.556</v>
      </c>
      <c r="FE46" s="1114">
        <v>36085275229.906197</v>
      </c>
      <c r="FF46" s="1114">
        <v>232767.38743991</v>
      </c>
      <c r="FG46" s="1114">
        <v>377056052501.86499</v>
      </c>
      <c r="FH46" s="1115">
        <v>1685.00238483724</v>
      </c>
      <c r="FI46" s="1115">
        <v>1308.99761516276</v>
      </c>
      <c r="FJ46" s="1114">
        <v>223771821.27150899</v>
      </c>
      <c r="FK46" s="1114">
        <v>288049457.18329799</v>
      </c>
      <c r="FL46" s="1114">
        <v>175335593946.86301</v>
      </c>
      <c r="FM46" s="1114">
        <v>36085275229.906197</v>
      </c>
      <c r="FN46" s="1114">
        <v>445023.81150009</v>
      </c>
      <c r="FO46" s="1114">
        <v>605273958783.20898</v>
      </c>
      <c r="FP46" s="1115">
        <v>599.62480146106304</v>
      </c>
      <c r="FQ46" s="1115">
        <v>2394.3751985389399</v>
      </c>
      <c r="FR46" s="1114">
        <v>1009421153.54198</v>
      </c>
      <c r="FS46" s="1114">
        <v>252789938.33236799</v>
      </c>
      <c r="FT46" s="1114">
        <v>791549854613.30396</v>
      </c>
      <c r="FU46" s="1114">
        <v>239977604872.88199</v>
      </c>
      <c r="FV46" s="1114">
        <v>279749.35381207999</v>
      </c>
      <c r="FW46" s="1114">
        <v>473578022724.30701</v>
      </c>
      <c r="FX46" s="1115">
        <v>1015.9134553867</v>
      </c>
      <c r="FY46" s="1115">
        <v>1978.0865446133</v>
      </c>
      <c r="FZ46" s="1114">
        <v>466159809.39443398</v>
      </c>
      <c r="GA46" s="1114">
        <v>239412185.484983</v>
      </c>
      <c r="GB46" s="1114">
        <v>374920492524.77899</v>
      </c>
      <c r="GC46" s="1114">
        <v>239977604872.88199</v>
      </c>
      <c r="GD46" s="1114">
        <v>317161.86038761999</v>
      </c>
      <c r="GE46" s="1114">
        <v>497350595408.78003</v>
      </c>
      <c r="GF46" s="1115">
        <v>1858.2110394410099</v>
      </c>
      <c r="GG46" s="1115">
        <v>1135.7889605589901</v>
      </c>
      <c r="GH46" s="1114">
        <v>267650221.02031699</v>
      </c>
      <c r="GI46" s="1114">
        <v>437889971.35876697</v>
      </c>
      <c r="GJ46" s="1114">
        <v>791549854613.30396</v>
      </c>
      <c r="GK46" s="1114">
        <v>239977604872.88199</v>
      </c>
      <c r="GL46" s="1114">
        <v>237128.70344125599</v>
      </c>
      <c r="GM46" s="1114">
        <v>391000412051.836</v>
      </c>
      <c r="GN46" s="1115">
        <v>1651.8592879627599</v>
      </c>
      <c r="GO46" s="1115">
        <v>1342.1407120372401</v>
      </c>
      <c r="GP46" s="1114">
        <v>236703219.76035699</v>
      </c>
      <c r="GQ46" s="1114">
        <v>291325945.59205002</v>
      </c>
      <c r="GR46" s="1114">
        <v>374920492524.77899</v>
      </c>
      <c r="GS46" s="1114">
        <v>239977604872.88199</v>
      </c>
      <c r="GU46" s="1171">
        <f t="shared" si="222"/>
        <v>0</v>
      </c>
      <c r="GV46" s="1171">
        <f t="shared" si="223"/>
        <v>0</v>
      </c>
      <c r="GW46" s="1171">
        <f t="shared" si="224"/>
        <v>0</v>
      </c>
      <c r="GX46" s="1171">
        <f t="shared" si="225"/>
        <v>0</v>
      </c>
      <c r="GY46" s="1171">
        <f t="shared" si="226"/>
        <v>0</v>
      </c>
      <c r="GZ46" s="1171">
        <f t="shared" si="227"/>
        <v>2.384185791015625E-7</v>
      </c>
      <c r="HA46" s="1171">
        <f t="shared" si="235"/>
        <v>-2.74658203125E-4</v>
      </c>
      <c r="HB46" s="1171">
        <f t="shared" si="228"/>
        <v>6.103515625E-5</v>
      </c>
      <c r="HC46" s="1171">
        <f t="shared" si="229"/>
        <v>-5.8207660913467407E-10</v>
      </c>
      <c r="HD46" s="1171">
        <f t="shared" si="230"/>
        <v>0</v>
      </c>
      <c r="HE46" s="1171">
        <f t="shared" si="231"/>
        <v>3.4106051316484809E-12</v>
      </c>
      <c r="HF46" s="1171">
        <f t="shared" si="232"/>
        <v>-3.4106051316484809E-12</v>
      </c>
      <c r="HG46" s="1171">
        <f t="shared" si="89"/>
        <v>0</v>
      </c>
      <c r="HH46" s="1171">
        <f t="shared" si="90"/>
        <v>-4.76837158203125E-7</v>
      </c>
      <c r="HI46" s="1171">
        <f t="shared" si="91"/>
        <v>0</v>
      </c>
      <c r="HJ46" s="1171">
        <f t="shared" si="92"/>
        <v>6.103515625E-5</v>
      </c>
      <c r="HK46" s="1171">
        <f t="shared" si="93"/>
        <v>3.7834979593753815E-10</v>
      </c>
      <c r="HL46" s="1171">
        <f t="shared" si="94"/>
        <v>0</v>
      </c>
      <c r="HM46" s="1171">
        <f t="shared" si="95"/>
        <v>-2.7284841053187847E-12</v>
      </c>
      <c r="HN46" s="1171">
        <f t="shared" si="96"/>
        <v>2.7284841053187847E-12</v>
      </c>
      <c r="HO46" s="1171">
        <f t="shared" si="97"/>
        <v>2.6822090148925781E-7</v>
      </c>
      <c r="HP46" s="1171">
        <f t="shared" si="98"/>
        <v>0</v>
      </c>
      <c r="HQ46" s="1171">
        <f t="shared" si="99"/>
        <v>0</v>
      </c>
      <c r="HR46" s="1171">
        <f t="shared" si="100"/>
        <v>6.103515625E-5</v>
      </c>
      <c r="HS46" s="1171">
        <f t="shared" si="101"/>
        <v>-5.2386894822120667E-10</v>
      </c>
      <c r="HT46" s="1171">
        <f t="shared" si="102"/>
        <v>0</v>
      </c>
      <c r="HU46" s="1171">
        <f t="shared" si="103"/>
        <v>0</v>
      </c>
      <c r="HV46" s="1171">
        <f t="shared" si="104"/>
        <v>-3.637978807091713E-12</v>
      </c>
      <c r="HW46" s="1171">
        <f t="shared" si="105"/>
        <v>2.1457672119140625E-6</v>
      </c>
      <c r="HX46" s="1171">
        <f t="shared" si="106"/>
        <v>0</v>
      </c>
      <c r="HY46" s="1171">
        <f t="shared" si="107"/>
        <v>0</v>
      </c>
      <c r="HZ46" s="1171">
        <f t="shared" si="108"/>
        <v>0</v>
      </c>
      <c r="IA46" s="1171">
        <f t="shared" si="109"/>
        <v>0</v>
      </c>
      <c r="IB46" s="1171">
        <f t="shared" si="110"/>
        <v>0</v>
      </c>
      <c r="IC46" s="1171">
        <f t="shared" si="111"/>
        <v>5.4569682106375694E-12</v>
      </c>
      <c r="ID46" s="1171">
        <f t="shared" si="112"/>
        <v>-5.4569682106375694E-12</v>
      </c>
      <c r="IE46" s="1171">
        <f t="shared" si="113"/>
        <v>-8.3446502685546875E-7</v>
      </c>
      <c r="IF46" s="1171">
        <f t="shared" si="114"/>
        <v>-2.9802322387695313E-7</v>
      </c>
      <c r="IG46" s="1171">
        <f t="shared" si="115"/>
        <v>0</v>
      </c>
      <c r="IH46" s="1171">
        <f t="shared" si="116"/>
        <v>0</v>
      </c>
      <c r="II46" s="1171">
        <f t="shared" si="117"/>
        <v>-5.2386894822120667E-10</v>
      </c>
      <c r="IJ46" s="1171">
        <f t="shared" si="118"/>
        <v>-5.4931640625E-4</v>
      </c>
      <c r="IK46" s="1171">
        <f t="shared" si="119"/>
        <v>0</v>
      </c>
      <c r="IL46" s="1171">
        <f t="shared" si="120"/>
        <v>0</v>
      </c>
      <c r="IM46" s="1171">
        <f t="shared" si="121"/>
        <v>0</v>
      </c>
      <c r="IN46" s="1171">
        <f t="shared" si="122"/>
        <v>-5.9604644775390625E-7</v>
      </c>
      <c r="IO46" s="1171">
        <f t="shared" si="123"/>
        <v>0</v>
      </c>
      <c r="IP46" s="1171">
        <f t="shared" si="124"/>
        <v>0</v>
      </c>
      <c r="IQ46" s="1171">
        <f t="shared" si="125"/>
        <v>4.3655745685100555E-10</v>
      </c>
      <c r="IR46" s="1171">
        <f t="shared" si="126"/>
        <v>0</v>
      </c>
      <c r="IS46" s="1171">
        <f t="shared" si="127"/>
        <v>0</v>
      </c>
      <c r="IT46" s="1171">
        <f t="shared" si="128"/>
        <v>0</v>
      </c>
      <c r="IU46" s="1171">
        <f t="shared" si="129"/>
        <v>0</v>
      </c>
      <c r="IV46" s="1171">
        <f t="shared" si="130"/>
        <v>0</v>
      </c>
      <c r="IW46" s="1171">
        <f t="shared" si="131"/>
        <v>0</v>
      </c>
      <c r="IX46" s="1171">
        <f t="shared" si="132"/>
        <v>0</v>
      </c>
    </row>
    <row r="47" spans="1:258" s="871" customFormat="1">
      <c r="A47" s="871">
        <v>123</v>
      </c>
      <c r="B47" s="871" t="str">
        <f t="shared" ref="B47" si="246">LEFT(B45,3)+1&amp;"i"</f>
        <v>123i</v>
      </c>
      <c r="C47" s="871">
        <v>91.9</v>
      </c>
      <c r="D47" s="871">
        <v>0</v>
      </c>
      <c r="E47" s="871" t="s">
        <v>2098</v>
      </c>
      <c r="F47" s="26">
        <v>2</v>
      </c>
      <c r="G47" s="136">
        <v>600</v>
      </c>
      <c r="H47" s="136">
        <v>40</v>
      </c>
      <c r="I47" s="28">
        <v>250</v>
      </c>
      <c r="J47" s="26">
        <v>1937</v>
      </c>
      <c r="K47" s="136">
        <v>30</v>
      </c>
      <c r="L47" s="28">
        <v>120</v>
      </c>
      <c r="M47" s="26">
        <v>2814</v>
      </c>
      <c r="N47" s="28">
        <v>12</v>
      </c>
      <c r="O47" s="397">
        <v>0</v>
      </c>
      <c r="P47" s="26">
        <v>290</v>
      </c>
      <c r="Q47" s="397">
        <f>+Section!L108</f>
        <v>5500</v>
      </c>
      <c r="R47" s="169">
        <v>0</v>
      </c>
      <c r="S47" s="210">
        <v>0</v>
      </c>
      <c r="T47" s="210">
        <v>1200</v>
      </c>
      <c r="U47" s="210">
        <v>2400</v>
      </c>
      <c r="V47" s="872">
        <v>3800</v>
      </c>
      <c r="W47" s="210">
        <v>19</v>
      </c>
      <c r="X47" s="210">
        <v>200</v>
      </c>
      <c r="Y47" s="210">
        <v>50</v>
      </c>
      <c r="Z47" s="210">
        <v>16</v>
      </c>
      <c r="AA47" s="210">
        <v>200</v>
      </c>
      <c r="AB47" s="872">
        <v>40</v>
      </c>
      <c r="AC47" s="210">
        <v>0</v>
      </c>
      <c r="AD47" s="397">
        <v>2</v>
      </c>
      <c r="AE47" s="210">
        <v>160</v>
      </c>
      <c r="AF47" s="210">
        <v>16</v>
      </c>
      <c r="AG47" s="397">
        <v>0</v>
      </c>
      <c r="AH47" s="210">
        <v>0</v>
      </c>
      <c r="AI47" s="210">
        <v>0</v>
      </c>
      <c r="AJ47" s="397">
        <v>2</v>
      </c>
      <c r="AK47" s="210">
        <v>2500</v>
      </c>
      <c r="AL47" s="210">
        <v>5000</v>
      </c>
      <c r="AM47" s="210" t="s">
        <v>2316</v>
      </c>
      <c r="AN47" s="210">
        <v>2500</v>
      </c>
      <c r="AO47" s="1143" t="s">
        <v>2321</v>
      </c>
      <c r="AP47" s="1143" t="s">
        <v>2321</v>
      </c>
      <c r="AQ47" s="136">
        <v>180</v>
      </c>
      <c r="AR47" s="136">
        <v>16</v>
      </c>
      <c r="AS47" s="1143" t="s">
        <v>2448</v>
      </c>
      <c r="AT47" s="136">
        <v>120</v>
      </c>
      <c r="AU47" s="136">
        <v>12</v>
      </c>
      <c r="AV47" s="1109" t="s">
        <v>2157</v>
      </c>
      <c r="AW47" s="1109">
        <v>12</v>
      </c>
      <c r="AX47" s="1109">
        <v>400</v>
      </c>
      <c r="AY47" s="1109">
        <v>1000</v>
      </c>
      <c r="AZ47" s="1108">
        <v>8</v>
      </c>
      <c r="BA47" s="1108">
        <v>6</v>
      </c>
      <c r="BB47" s="1109"/>
      <c r="BC47" s="1168"/>
      <c r="BD47" s="210">
        <f>INDEX(Spec!$B$12:$P$58,MATCH(AO47,Spec!$A$12:$A$58,0),6)*100</f>
        <v>1900</v>
      </c>
      <c r="BE47" s="210">
        <f>INDEX(Spec!$B$12:$P$58,MATCH(AP47,Spec!$A$12:$A$58,0),6)*100</f>
        <v>1900</v>
      </c>
      <c r="BF47" s="881">
        <f t="shared" si="161"/>
        <v>0.70187031526833676</v>
      </c>
      <c r="BG47" s="881">
        <f t="shared" si="162"/>
        <v>47.243485714285718</v>
      </c>
      <c r="BH47" s="881"/>
      <c r="BI47" s="13" cm="1">
        <f t="array" ref="BI47">INDEX(Info!$AD$4:$AH$15,MATCH(Info!$I$13,Info!$AC$4:$AC$15,0),IF(H47&lt;=16,1,IF(H47&lt;=40,2,IF(H47&lt;=75,3,IF(H47&lt;=100,4,5)))))</f>
        <v>380</v>
      </c>
      <c r="BJ47" s="13" cm="1">
        <f t="array" ref="BJ47">INDEX(Info!$AD$4:$AH$15,MATCH(Info!$I$13,Info!$AC$4:$AC$15,0),IF(K47&lt;=16,1,IF(K47&lt;=40,2,IF(K47&lt;=75,3,IF(K47&lt;=100,4,5)))))</f>
        <v>380</v>
      </c>
      <c r="BK47" s="13" cm="1">
        <f t="array" ref="BK47">INDEX(Info!$AD$4:$AH$15,MATCH(Info!$I$14,Info!$AC$4:$AC$15,0),IF(N47&lt;=16,1,IF(N47&lt;=40,2,IF(N47&lt;=75,3,IF(N47&lt;=100,4,5)))))</f>
        <v>355</v>
      </c>
      <c r="BL47" s="13">
        <f>IF(Stress!C876="Positive",MAX(MIN(0.7*BI47,BK47),0.5*BI47),MAX(MIN(0.7*BJ47,BK47),0.5*BJ47))</f>
        <v>266</v>
      </c>
      <c r="BM47" s="13" cm="1">
        <f t="array" ref="BM47">INDEX(Info!$AD$4:$AH$15,MATCH(Info!$I$13,Info!$AC$4:$AC$15,0),IF(AI47&lt;=16,1,IF(AI47&lt;=40,2,IF(AI47&lt;=75,3,IF(AI47&lt;=100,4,5)))))</f>
        <v>380</v>
      </c>
      <c r="BN47" s="13" cm="1">
        <f t="array" ref="BN47">INDEX(Info!$AD$4:$AH$15,MATCH(Info!$I$13,Info!$AC$4:$AC$15,0),IF(AF47&lt;=16,1,IF(AF47&lt;=40,2,IF(AF47&lt;=75,3,IF(AF47&lt;=100,4,5)))))</f>
        <v>380</v>
      </c>
      <c r="BO47" s="13"/>
      <c r="BP47" s="873">
        <f t="shared" si="163"/>
        <v>0.12491115849324805</v>
      </c>
      <c r="BQ47" s="873">
        <f t="shared" si="164"/>
        <v>2835.8681651303891</v>
      </c>
      <c r="BR47" s="873">
        <f t="shared" si="165"/>
        <v>3134</v>
      </c>
      <c r="BS47" s="873"/>
      <c r="BT47" s="871">
        <f t="shared" si="166"/>
        <v>0</v>
      </c>
      <c r="BU47" s="136">
        <f t="shared" si="167"/>
        <v>0</v>
      </c>
      <c r="BV47" s="871">
        <f t="shared" si="168"/>
        <v>1595000</v>
      </c>
      <c r="BW47" s="871">
        <f t="shared" si="169"/>
        <v>11178291666.666666</v>
      </c>
      <c r="BX47" s="871">
        <f t="shared" si="170"/>
        <v>0</v>
      </c>
      <c r="BY47" s="871">
        <f t="shared" si="171"/>
        <v>0</v>
      </c>
      <c r="BZ47" s="871">
        <f t="shared" si="172"/>
        <v>7655.2758986349281</v>
      </c>
      <c r="CA47" s="871">
        <f t="shared" si="173"/>
        <v>172722.16246295057</v>
      </c>
      <c r="CB47" s="871">
        <f t="shared" si="174"/>
        <v>5428.6721054031623</v>
      </c>
      <c r="CC47" s="871">
        <f t="shared" si="175"/>
        <v>86858.753686450596</v>
      </c>
      <c r="CE47" s="1137">
        <f t="shared" si="176"/>
        <v>350792629.15766376</v>
      </c>
      <c r="CF47" s="1136">
        <f t="shared" si="177"/>
        <v>409682062.22222221</v>
      </c>
      <c r="CG47" s="1136">
        <f t="shared" si="178"/>
        <v>0</v>
      </c>
      <c r="CH47" s="172">
        <f t="shared" si="179"/>
        <v>4020729166666.6665</v>
      </c>
      <c r="CJ47" s="136">
        <f t="shared" si="180"/>
        <v>179290.83596312936</v>
      </c>
      <c r="CK47" s="7">
        <f t="shared" si="181"/>
        <v>266753445076.4816</v>
      </c>
      <c r="CL47" s="875">
        <f t="shared" si="182"/>
        <v>1563.7413821658145</v>
      </c>
      <c r="CM47" s="6">
        <f t="shared" si="183"/>
        <v>1320.2586178341855</v>
      </c>
      <c r="CN47" s="876">
        <f t="shared" si="73"/>
        <v>170586676.3639794</v>
      </c>
      <c r="CO47" s="876">
        <f t="shared" si="74"/>
        <v>202046357.79168516</v>
      </c>
      <c r="CP47" s="1137">
        <f t="shared" si="184"/>
        <v>156447512779.44354</v>
      </c>
      <c r="CQ47" s="1136">
        <f t="shared" si="185"/>
        <v>33960831594.010143</v>
      </c>
      <c r="CR47" s="877">
        <f t="shared" si="186"/>
        <v>179290.83596312936</v>
      </c>
      <c r="CS47" s="874">
        <f t="shared" si="187"/>
        <v>266753445076.4816</v>
      </c>
      <c r="CT47" s="875">
        <f t="shared" si="188"/>
        <v>1563.7413821658145</v>
      </c>
      <c r="CU47" s="878">
        <f t="shared" si="189"/>
        <v>1320.2586178341855</v>
      </c>
      <c r="CV47" s="876">
        <f t="shared" si="190"/>
        <v>170586676.3639794</v>
      </c>
      <c r="CW47" s="876">
        <f t="shared" si="191"/>
        <v>202046357.79168516</v>
      </c>
      <c r="CX47" s="1136">
        <f t="shared" si="192"/>
        <v>156447512779.44354</v>
      </c>
      <c r="CY47" s="1136">
        <f t="shared" si="193"/>
        <v>33960831594.010143</v>
      </c>
      <c r="CZ47" s="877">
        <f t="shared" si="194"/>
        <v>179290.83596312936</v>
      </c>
      <c r="DA47" s="874">
        <f t="shared" si="195"/>
        <v>266753445076.4816</v>
      </c>
      <c r="DB47" s="875">
        <f t="shared" si="196"/>
        <v>1563.7413821658145</v>
      </c>
      <c r="DC47" s="878">
        <f t="shared" si="197"/>
        <v>1320.2586178341855</v>
      </c>
      <c r="DD47" s="876">
        <f t="shared" si="75"/>
        <v>170586676.3639794</v>
      </c>
      <c r="DE47" s="876">
        <f t="shared" si="76"/>
        <v>202046357.79168516</v>
      </c>
      <c r="DF47" s="1136">
        <f t="shared" si="198"/>
        <v>156447512779.44354</v>
      </c>
      <c r="DG47" s="1136">
        <f t="shared" si="199"/>
        <v>33960831594.010143</v>
      </c>
      <c r="DH47" s="877">
        <f t="shared" si="200"/>
        <v>427202.52249514393</v>
      </c>
      <c r="DI47" s="879">
        <f t="shared" si="201"/>
        <v>558224821559.12451</v>
      </c>
      <c r="DJ47" s="878">
        <f t="shared" si="202"/>
        <v>595.34707582555939</v>
      </c>
      <c r="DK47" s="877">
        <f t="shared" si="203"/>
        <v>2288.6529241744406</v>
      </c>
      <c r="DL47" s="876">
        <f t="shared" si="77"/>
        <v>937646029.05799448</v>
      </c>
      <c r="DM47" s="876">
        <f t="shared" si="78"/>
        <v>243909775.77366236</v>
      </c>
      <c r="DN47" s="7">
        <f t="shared" si="204"/>
        <v>781391555912.23022</v>
      </c>
      <c r="DO47" s="1136">
        <f t="shared" si="205"/>
        <v>232291919953.91696</v>
      </c>
      <c r="DP47" s="877">
        <f t="shared" si="206"/>
        <v>261928.06480713421</v>
      </c>
      <c r="DQ47" s="879">
        <f t="shared" si="207"/>
        <v>424850480392.37915</v>
      </c>
      <c r="DR47" s="877">
        <f t="shared" si="208"/>
        <v>1037.2603287474358</v>
      </c>
      <c r="DS47" s="877">
        <f t="shared" si="209"/>
        <v>1846.7396712525642</v>
      </c>
      <c r="DT47" s="876">
        <f t="shared" si="79"/>
        <v>409589057.46006477</v>
      </c>
      <c r="DU47" s="876">
        <f t="shared" si="80"/>
        <v>230054342.25833321</v>
      </c>
      <c r="DV47" s="1136">
        <f t="shared" si="210"/>
        <v>364762193823.70581</v>
      </c>
      <c r="DW47" s="1136">
        <f t="shared" si="211"/>
        <v>232291919953.91696</v>
      </c>
      <c r="DX47" s="880">
        <f t="shared" si="212"/>
        <v>192374.78396716746</v>
      </c>
      <c r="DY47" s="874">
        <f t="shared" si="213"/>
        <v>301328417339.36444</v>
      </c>
      <c r="DZ47" s="873">
        <f t="shared" si="214"/>
        <v>1449.4282395478074</v>
      </c>
      <c r="EA47" s="880">
        <f t="shared" si="215"/>
        <v>1434.5717604521926</v>
      </c>
      <c r="EB47" s="876">
        <f t="shared" si="81"/>
        <v>207894678.13416749</v>
      </c>
      <c r="EC47" s="876">
        <f t="shared" si="82"/>
        <v>210047643.23841316</v>
      </c>
      <c r="ED47" s="1136">
        <f t="shared" si="216"/>
        <v>781391555912.23022</v>
      </c>
      <c r="EE47" s="1136">
        <f t="shared" si="217"/>
        <v>232291919953.91696</v>
      </c>
      <c r="EF47" s="880">
        <f t="shared" si="218"/>
        <v>183652.1519644754</v>
      </c>
      <c r="EG47" s="874">
        <f t="shared" si="219"/>
        <v>278823804306.33636</v>
      </c>
      <c r="EH47" s="873">
        <f t="shared" si="220"/>
        <v>1523.8272185681001</v>
      </c>
      <c r="EI47" s="880">
        <f t="shared" si="221"/>
        <v>1360.1727814318999</v>
      </c>
      <c r="EJ47" s="876">
        <f t="shared" si="83"/>
        <v>182975996.82484978</v>
      </c>
      <c r="EK47" s="876">
        <f t="shared" si="84"/>
        <v>204991459.99143514</v>
      </c>
      <c r="EL47" s="1136">
        <f t="shared" si="85"/>
        <v>364762193823.70581</v>
      </c>
      <c r="EM47" s="1136">
        <f t="shared" si="86"/>
        <v>232291919953.91696</v>
      </c>
      <c r="EN47" s="876"/>
      <c r="EO47" s="1113" t="s">
        <v>2205</v>
      </c>
      <c r="EP47" s="1114">
        <v>179290.83596312901</v>
      </c>
      <c r="EQ47" s="1114">
        <v>266753445076.48199</v>
      </c>
      <c r="ER47" s="1115">
        <v>1563.7413821658099</v>
      </c>
      <c r="ES47" s="1115">
        <v>1320.2586178341901</v>
      </c>
      <c r="ET47" s="1114">
        <v>170586676.36397901</v>
      </c>
      <c r="EU47" s="1114">
        <v>202046357.79168499</v>
      </c>
      <c r="EV47" s="1114">
        <v>156447512779.444</v>
      </c>
      <c r="EW47" s="1114">
        <v>33960831594.010101</v>
      </c>
      <c r="EX47" s="1114">
        <v>179290.83596312901</v>
      </c>
      <c r="EY47" s="1114">
        <v>266753445076.48199</v>
      </c>
      <c r="EZ47" s="1115">
        <v>1563.7413821658099</v>
      </c>
      <c r="FA47" s="1115">
        <v>1320.2586178341901</v>
      </c>
      <c r="FB47" s="1114">
        <v>170586676.36397901</v>
      </c>
      <c r="FC47" s="1114">
        <v>202046357.79168499</v>
      </c>
      <c r="FD47" s="1114">
        <v>156447512779.444</v>
      </c>
      <c r="FE47" s="1114">
        <v>33960831594.010101</v>
      </c>
      <c r="FF47" s="1114">
        <v>179290.83596312901</v>
      </c>
      <c r="FG47" s="1114">
        <v>266753445076.48199</v>
      </c>
      <c r="FH47" s="1115">
        <v>1563.7413821658099</v>
      </c>
      <c r="FI47" s="1115">
        <v>1320.2586178341901</v>
      </c>
      <c r="FJ47" s="1114">
        <v>170586676.36397901</v>
      </c>
      <c r="FK47" s="1114">
        <v>202046357.79168499</v>
      </c>
      <c r="FL47" s="1114">
        <v>156447512779.444</v>
      </c>
      <c r="FM47" s="1114">
        <v>33960831594.010101</v>
      </c>
      <c r="FN47" s="1114">
        <v>427202.52249514399</v>
      </c>
      <c r="FO47" s="1114">
        <v>558224821559.125</v>
      </c>
      <c r="FP47" s="1115">
        <v>595.34707582555905</v>
      </c>
      <c r="FQ47" s="1115">
        <v>2288.6529241744402</v>
      </c>
      <c r="FR47" s="1114">
        <v>937646029.05799496</v>
      </c>
      <c r="FS47" s="1114">
        <v>243909775.773662</v>
      </c>
      <c r="FT47" s="1114">
        <v>781391555912.23096</v>
      </c>
      <c r="FU47" s="1114">
        <v>232291919953.91699</v>
      </c>
      <c r="FV47" s="1114">
        <v>261928.06480713401</v>
      </c>
      <c r="FW47" s="1114">
        <v>424850480392.37903</v>
      </c>
      <c r="FX47" s="1115">
        <v>1037.2603287474401</v>
      </c>
      <c r="FY47" s="1115">
        <v>1846.7396712525599</v>
      </c>
      <c r="FZ47" s="1114">
        <v>409589057.46006501</v>
      </c>
      <c r="GA47" s="1114">
        <v>230054342.258333</v>
      </c>
      <c r="GB47" s="1114">
        <v>364762193823.70599</v>
      </c>
      <c r="GC47" s="1114">
        <v>232291919953.91699</v>
      </c>
      <c r="GD47" s="1114">
        <v>192374.78396716699</v>
      </c>
      <c r="GE47" s="1114">
        <v>301328417339.36401</v>
      </c>
      <c r="GF47" s="1115">
        <v>1449.4282395478101</v>
      </c>
      <c r="GG47" s="1115">
        <v>1434.5717604521899</v>
      </c>
      <c r="GH47" s="1114">
        <v>207894678.134168</v>
      </c>
      <c r="GI47" s="1114">
        <v>210047643.23841301</v>
      </c>
      <c r="GJ47" s="1114">
        <v>781391555912.23096</v>
      </c>
      <c r="GK47" s="1114">
        <v>232291919953.91699</v>
      </c>
      <c r="GL47" s="1114">
        <v>183652.15196447499</v>
      </c>
      <c r="GM47" s="1114">
        <v>278823804306.336</v>
      </c>
      <c r="GN47" s="1115">
        <v>1523.8272185681001</v>
      </c>
      <c r="GO47" s="1115">
        <v>1360.1727814318999</v>
      </c>
      <c r="GP47" s="1114">
        <v>182975996.82484999</v>
      </c>
      <c r="GQ47" s="1114">
        <v>204991459.99143499</v>
      </c>
      <c r="GR47" s="1114">
        <v>364762193823.70599</v>
      </c>
      <c r="GS47" s="1114">
        <v>232291919953.91699</v>
      </c>
      <c r="GU47" s="1171">
        <f t="shared" si="222"/>
        <v>3.4924596548080444E-10</v>
      </c>
      <c r="GV47" s="1171">
        <f t="shared" si="223"/>
        <v>-3.96728515625E-4</v>
      </c>
      <c r="GW47" s="1171">
        <f t="shared" si="224"/>
        <v>4.5474735088646412E-12</v>
      </c>
      <c r="GX47" s="1171">
        <f t="shared" si="225"/>
        <v>-4.5474735088646412E-12</v>
      </c>
      <c r="GY47" s="1171">
        <f t="shared" si="226"/>
        <v>3.8743019104003906E-7</v>
      </c>
      <c r="GZ47" s="1171">
        <f t="shared" si="227"/>
        <v>0</v>
      </c>
      <c r="HA47" s="1171">
        <f t="shared" si="235"/>
        <v>-4.57763671875E-4</v>
      </c>
      <c r="HB47" s="1171">
        <f t="shared" si="228"/>
        <v>4.1961669921875E-5</v>
      </c>
      <c r="HC47" s="1171">
        <f t="shared" si="229"/>
        <v>3.4924596548080444E-10</v>
      </c>
      <c r="HD47" s="1171">
        <f t="shared" si="230"/>
        <v>-3.96728515625E-4</v>
      </c>
      <c r="HE47" s="1171">
        <f t="shared" si="231"/>
        <v>4.5474735088646412E-12</v>
      </c>
      <c r="HF47" s="1171">
        <f t="shared" si="232"/>
        <v>-4.5474735088646412E-12</v>
      </c>
      <c r="HG47" s="1171">
        <f t="shared" si="89"/>
        <v>3.8743019104003906E-7</v>
      </c>
      <c r="HH47" s="1171">
        <f t="shared" si="90"/>
        <v>0</v>
      </c>
      <c r="HI47" s="1171">
        <f t="shared" si="91"/>
        <v>-4.57763671875E-4</v>
      </c>
      <c r="HJ47" s="1171">
        <f t="shared" si="92"/>
        <v>4.1961669921875E-5</v>
      </c>
      <c r="HK47" s="1171">
        <f t="shared" si="93"/>
        <v>3.4924596548080444E-10</v>
      </c>
      <c r="HL47" s="1171">
        <f t="shared" si="94"/>
        <v>-3.96728515625E-4</v>
      </c>
      <c r="HM47" s="1171">
        <f t="shared" si="95"/>
        <v>4.5474735088646412E-12</v>
      </c>
      <c r="HN47" s="1171">
        <f t="shared" si="96"/>
        <v>-4.5474735088646412E-12</v>
      </c>
      <c r="HO47" s="1171">
        <f t="shared" si="97"/>
        <v>3.8743019104003906E-7</v>
      </c>
      <c r="HP47" s="1171">
        <f t="shared" si="98"/>
        <v>0</v>
      </c>
      <c r="HQ47" s="1171">
        <f t="shared" si="99"/>
        <v>-4.57763671875E-4</v>
      </c>
      <c r="HR47" s="1171">
        <f t="shared" si="100"/>
        <v>4.1961669921875E-5</v>
      </c>
      <c r="HS47" s="1171">
        <f t="shared" si="101"/>
        <v>0</v>
      </c>
      <c r="HT47" s="1171">
        <f t="shared" si="102"/>
        <v>0</v>
      </c>
      <c r="HU47" s="1171">
        <f t="shared" si="103"/>
        <v>0</v>
      </c>
      <c r="HV47" s="1171">
        <f t="shared" si="104"/>
        <v>0</v>
      </c>
      <c r="HW47" s="1171">
        <f t="shared" si="105"/>
        <v>0</v>
      </c>
      <c r="HX47" s="1171">
        <f t="shared" si="106"/>
        <v>3.5762786865234375E-7</v>
      </c>
      <c r="HY47" s="1171">
        <f t="shared" si="107"/>
        <v>0</v>
      </c>
      <c r="HZ47" s="1171">
        <f t="shared" si="108"/>
        <v>0</v>
      </c>
      <c r="IA47" s="1171">
        <f t="shared" si="109"/>
        <v>0</v>
      </c>
      <c r="IB47" s="1171">
        <f t="shared" si="110"/>
        <v>0</v>
      </c>
      <c r="IC47" s="1171">
        <f t="shared" si="111"/>
        <v>-4.3200998334214091E-12</v>
      </c>
      <c r="ID47" s="1171">
        <f t="shared" si="112"/>
        <v>4.3200998334214091E-12</v>
      </c>
      <c r="IE47" s="1171">
        <f t="shared" si="113"/>
        <v>0</v>
      </c>
      <c r="IF47" s="1171">
        <f t="shared" si="114"/>
        <v>0</v>
      </c>
      <c r="IG47" s="1171">
        <f t="shared" si="115"/>
        <v>0</v>
      </c>
      <c r="IH47" s="1171">
        <f t="shared" si="116"/>
        <v>0</v>
      </c>
      <c r="II47" s="1171">
        <f t="shared" si="117"/>
        <v>4.6566128730773926E-10</v>
      </c>
      <c r="IJ47" s="1171">
        <f t="shared" si="118"/>
        <v>0</v>
      </c>
      <c r="IK47" s="1171">
        <f t="shared" si="119"/>
        <v>-2.7284841053187847E-12</v>
      </c>
      <c r="IL47" s="1171">
        <f t="shared" si="120"/>
        <v>2.7284841053187847E-12</v>
      </c>
      <c r="IM47" s="1171">
        <f t="shared" si="121"/>
        <v>-5.0663948059082031E-7</v>
      </c>
      <c r="IN47" s="1171">
        <f t="shared" si="122"/>
        <v>0</v>
      </c>
      <c r="IO47" s="1171">
        <f t="shared" si="123"/>
        <v>0</v>
      </c>
      <c r="IP47" s="1171">
        <f t="shared" si="124"/>
        <v>0</v>
      </c>
      <c r="IQ47" s="1171">
        <f t="shared" si="125"/>
        <v>4.0745362639427185E-10</v>
      </c>
      <c r="IR47" s="1171">
        <f t="shared" si="126"/>
        <v>0</v>
      </c>
      <c r="IS47" s="1171">
        <f t="shared" si="127"/>
        <v>0</v>
      </c>
      <c r="IT47" s="1171">
        <f t="shared" si="128"/>
        <v>0</v>
      </c>
      <c r="IU47" s="1171">
        <f t="shared" si="129"/>
        <v>0</v>
      </c>
      <c r="IV47" s="1171">
        <f t="shared" si="130"/>
        <v>0</v>
      </c>
      <c r="IW47" s="1171">
        <f t="shared" si="131"/>
        <v>0</v>
      </c>
      <c r="IX47" s="1171">
        <f t="shared" si="132"/>
        <v>0</v>
      </c>
    </row>
    <row r="48" spans="1:258" s="871" customFormat="1">
      <c r="B48" s="871" t="str">
        <f t="shared" ref="B48" si="247">LEFT(B46,3)+1&amp;"j"</f>
        <v>123j</v>
      </c>
      <c r="C48" s="871">
        <v>96.9</v>
      </c>
      <c r="D48" s="871">
        <v>0</v>
      </c>
      <c r="E48" s="871" t="s">
        <v>2098</v>
      </c>
      <c r="F48" s="26">
        <v>2</v>
      </c>
      <c r="G48" s="136">
        <v>600</v>
      </c>
      <c r="H48" s="136">
        <v>40</v>
      </c>
      <c r="I48" s="28">
        <v>250</v>
      </c>
      <c r="J48" s="26">
        <v>1937</v>
      </c>
      <c r="K48" s="136">
        <v>30</v>
      </c>
      <c r="L48" s="28">
        <v>120</v>
      </c>
      <c r="M48" s="26">
        <v>2814</v>
      </c>
      <c r="N48" s="28">
        <v>12</v>
      </c>
      <c r="O48" s="397">
        <v>0</v>
      </c>
      <c r="P48" s="26">
        <v>290</v>
      </c>
      <c r="Q48" s="397">
        <f>+Section!L109</f>
        <v>5500</v>
      </c>
      <c r="R48" s="169">
        <v>0</v>
      </c>
      <c r="S48" s="210">
        <v>0</v>
      </c>
      <c r="T48" s="210">
        <v>1200</v>
      </c>
      <c r="U48" s="210">
        <v>2400</v>
      </c>
      <c r="V48" s="872">
        <v>3800</v>
      </c>
      <c r="W48" s="210">
        <v>19</v>
      </c>
      <c r="X48" s="210">
        <v>200</v>
      </c>
      <c r="Y48" s="210">
        <v>50</v>
      </c>
      <c r="Z48" s="210">
        <v>16</v>
      </c>
      <c r="AA48" s="210">
        <v>200</v>
      </c>
      <c r="AB48" s="872">
        <v>40</v>
      </c>
      <c r="AC48" s="210">
        <v>0</v>
      </c>
      <c r="AD48" s="397">
        <v>2</v>
      </c>
      <c r="AE48" s="210">
        <v>160</v>
      </c>
      <c r="AF48" s="210">
        <v>16</v>
      </c>
      <c r="AG48" s="397">
        <v>0</v>
      </c>
      <c r="AH48" s="210">
        <v>0</v>
      </c>
      <c r="AI48" s="210">
        <v>0</v>
      </c>
      <c r="AJ48" s="397">
        <v>2</v>
      </c>
      <c r="AK48" s="210">
        <v>2500</v>
      </c>
      <c r="AL48" s="210">
        <v>5000</v>
      </c>
      <c r="AM48" s="210" t="s">
        <v>2316</v>
      </c>
      <c r="AN48" s="210">
        <v>2500</v>
      </c>
      <c r="AO48" s="1143" t="s">
        <v>2321</v>
      </c>
      <c r="AP48" s="1143" t="s">
        <v>2321</v>
      </c>
      <c r="AQ48" s="136">
        <v>180</v>
      </c>
      <c r="AR48" s="136">
        <v>16</v>
      </c>
      <c r="AS48" s="1143" t="s">
        <v>2448</v>
      </c>
      <c r="AT48" s="136">
        <v>120</v>
      </c>
      <c r="AU48" s="136">
        <v>12</v>
      </c>
      <c r="AV48" s="1111"/>
      <c r="AW48" s="1111"/>
      <c r="AX48" s="1111"/>
      <c r="AY48" s="1111"/>
      <c r="AZ48" s="1108">
        <v>8</v>
      </c>
      <c r="BA48" s="1108">
        <v>6</v>
      </c>
      <c r="BB48" s="1111"/>
      <c r="BC48" s="1168"/>
      <c r="BD48" s="210">
        <f>INDEX(Spec!$B$12:$P$58,MATCH(AO48,Spec!$A$12:$A$58,0),6)*100</f>
        <v>1900</v>
      </c>
      <c r="BE48" s="210">
        <f>INDEX(Spec!$B$12:$P$58,MATCH(AP48,Spec!$A$12:$A$58,0),6)*100</f>
        <v>1900</v>
      </c>
      <c r="BF48" s="881">
        <f t="shared" si="161"/>
        <v>0.70187031526833676</v>
      </c>
      <c r="BG48" s="881">
        <f t="shared" si="162"/>
        <v>47.243485714285718</v>
      </c>
      <c r="BH48" s="881"/>
      <c r="BI48" s="13" cm="1">
        <f t="array" ref="BI48">INDEX(Info!$AD$4:$AH$15,MATCH(Info!$I$13,Info!$AC$4:$AC$15,0),IF(H48&lt;=16,1,IF(H48&lt;=40,2,IF(H48&lt;=75,3,IF(H48&lt;=100,4,5)))))</f>
        <v>380</v>
      </c>
      <c r="BJ48" s="13" cm="1">
        <f t="array" ref="BJ48">INDEX(Info!$AD$4:$AH$15,MATCH(Info!$I$13,Info!$AC$4:$AC$15,0),IF(K48&lt;=16,1,IF(K48&lt;=40,2,IF(K48&lt;=75,3,IF(K48&lt;=100,4,5)))))</f>
        <v>380</v>
      </c>
      <c r="BK48" s="13" cm="1">
        <f t="array" ref="BK48">INDEX(Info!$AD$4:$AH$15,MATCH(Info!$I$14,Info!$AC$4:$AC$15,0),IF(N48&lt;=16,1,IF(N48&lt;=40,2,IF(N48&lt;=75,3,IF(N48&lt;=100,4,5)))))</f>
        <v>355</v>
      </c>
      <c r="BL48" s="13">
        <f>IF(Stress!C877="Positive",MAX(MIN(0.7*BI48,BK48),0.5*BI48),MAX(MIN(0.7*BJ48,BK48),0.5*BJ48))</f>
        <v>266</v>
      </c>
      <c r="BM48" s="13" cm="1">
        <f t="array" ref="BM48">INDEX(Info!$AD$4:$AH$15,MATCH(Info!$I$13,Info!$AC$4:$AC$15,0),IF(AI48&lt;=16,1,IF(AI48&lt;=40,2,IF(AI48&lt;=75,3,IF(AI48&lt;=100,4,5)))))</f>
        <v>380</v>
      </c>
      <c r="BN48" s="13" cm="1">
        <f t="array" ref="BN48">INDEX(Info!$AD$4:$AH$15,MATCH(Info!$I$13,Info!$AC$4:$AC$15,0),IF(AF48&lt;=16,1,IF(AF48&lt;=40,2,IF(AF48&lt;=75,3,IF(AF48&lt;=100,4,5)))))</f>
        <v>380</v>
      </c>
      <c r="BO48" s="13"/>
      <c r="BP48" s="873">
        <f t="shared" si="163"/>
        <v>0.12491115849324805</v>
      </c>
      <c r="BQ48" s="873">
        <f t="shared" si="164"/>
        <v>2835.8681651303891</v>
      </c>
      <c r="BR48" s="873">
        <f t="shared" si="165"/>
        <v>3134</v>
      </c>
      <c r="BS48" s="873"/>
      <c r="BT48" s="871">
        <f t="shared" si="166"/>
        <v>0</v>
      </c>
      <c r="BU48" s="136">
        <f t="shared" si="167"/>
        <v>0</v>
      </c>
      <c r="BV48" s="871">
        <f t="shared" si="168"/>
        <v>1595000</v>
      </c>
      <c r="BW48" s="871">
        <f t="shared" si="169"/>
        <v>11178291666.666666</v>
      </c>
      <c r="BX48" s="871">
        <f t="shared" si="170"/>
        <v>0</v>
      </c>
      <c r="BY48" s="871">
        <f t="shared" si="171"/>
        <v>0</v>
      </c>
      <c r="BZ48" s="871">
        <f t="shared" si="172"/>
        <v>7655.2758986349281</v>
      </c>
      <c r="CA48" s="871">
        <f t="shared" si="173"/>
        <v>172722.16246295057</v>
      </c>
      <c r="CB48" s="871">
        <f t="shared" si="174"/>
        <v>5428.6721054031623</v>
      </c>
      <c r="CC48" s="871">
        <f t="shared" si="175"/>
        <v>86858.753686450596</v>
      </c>
      <c r="CE48" s="1137">
        <f t="shared" si="176"/>
        <v>350792629.15766376</v>
      </c>
      <c r="CF48" s="1136">
        <f t="shared" si="177"/>
        <v>409682062.22222221</v>
      </c>
      <c r="CG48" s="1136">
        <f t="shared" si="178"/>
        <v>0</v>
      </c>
      <c r="CH48" s="172">
        <f t="shared" si="179"/>
        <v>4020729166666.6665</v>
      </c>
      <c r="CJ48" s="136">
        <f t="shared" si="180"/>
        <v>179290.83596312936</v>
      </c>
      <c r="CK48" s="7">
        <f t="shared" si="181"/>
        <v>266753445076.4816</v>
      </c>
      <c r="CL48" s="875">
        <f t="shared" si="182"/>
        <v>1563.7413821658145</v>
      </c>
      <c r="CM48" s="6">
        <f t="shared" si="183"/>
        <v>1320.2586178341855</v>
      </c>
      <c r="CN48" s="876">
        <f t="shared" si="73"/>
        <v>170586676.3639794</v>
      </c>
      <c r="CO48" s="876">
        <f t="shared" si="74"/>
        <v>202046357.79168516</v>
      </c>
      <c r="CP48" s="1137">
        <f t="shared" si="184"/>
        <v>156447512779.44354</v>
      </c>
      <c r="CQ48" s="1136">
        <f t="shared" si="185"/>
        <v>33960831594.010143</v>
      </c>
      <c r="CR48" s="877">
        <f t="shared" si="186"/>
        <v>179290.83596312936</v>
      </c>
      <c r="CS48" s="874">
        <f t="shared" si="187"/>
        <v>266753445076.4816</v>
      </c>
      <c r="CT48" s="875">
        <f t="shared" si="188"/>
        <v>1563.7413821658145</v>
      </c>
      <c r="CU48" s="878">
        <f t="shared" si="189"/>
        <v>1320.2586178341855</v>
      </c>
      <c r="CV48" s="876">
        <f t="shared" si="190"/>
        <v>170586676.3639794</v>
      </c>
      <c r="CW48" s="876">
        <f t="shared" si="191"/>
        <v>202046357.79168516</v>
      </c>
      <c r="CX48" s="1136">
        <f t="shared" si="192"/>
        <v>156447512779.44354</v>
      </c>
      <c r="CY48" s="1136">
        <f t="shared" si="193"/>
        <v>33960831594.010143</v>
      </c>
      <c r="CZ48" s="877">
        <f t="shared" si="194"/>
        <v>179290.83596312936</v>
      </c>
      <c r="DA48" s="874">
        <f t="shared" si="195"/>
        <v>266753445076.4816</v>
      </c>
      <c r="DB48" s="875">
        <f t="shared" si="196"/>
        <v>1563.7413821658145</v>
      </c>
      <c r="DC48" s="878">
        <f t="shared" si="197"/>
        <v>1320.2586178341855</v>
      </c>
      <c r="DD48" s="876">
        <f t="shared" si="75"/>
        <v>170586676.3639794</v>
      </c>
      <c r="DE48" s="876">
        <f t="shared" si="76"/>
        <v>202046357.79168516</v>
      </c>
      <c r="DF48" s="1136">
        <f t="shared" si="198"/>
        <v>156447512779.44354</v>
      </c>
      <c r="DG48" s="1136">
        <f t="shared" si="199"/>
        <v>33960831594.010143</v>
      </c>
      <c r="DH48" s="877">
        <f t="shared" si="200"/>
        <v>427202.52249514393</v>
      </c>
      <c r="DI48" s="879">
        <f t="shared" si="201"/>
        <v>558224821559.12451</v>
      </c>
      <c r="DJ48" s="878">
        <f t="shared" si="202"/>
        <v>595.34707582555939</v>
      </c>
      <c r="DK48" s="877">
        <f t="shared" si="203"/>
        <v>2288.6529241744406</v>
      </c>
      <c r="DL48" s="876">
        <f t="shared" si="77"/>
        <v>937646029.05799448</v>
      </c>
      <c r="DM48" s="876">
        <f t="shared" si="78"/>
        <v>243909775.77366236</v>
      </c>
      <c r="DN48" s="7">
        <f t="shared" si="204"/>
        <v>781391555912.23022</v>
      </c>
      <c r="DO48" s="1136">
        <f t="shared" si="205"/>
        <v>232291919953.91696</v>
      </c>
      <c r="DP48" s="877">
        <f t="shared" si="206"/>
        <v>261928.06480713421</v>
      </c>
      <c r="DQ48" s="879">
        <f t="shared" si="207"/>
        <v>424850480392.37915</v>
      </c>
      <c r="DR48" s="877">
        <f t="shared" si="208"/>
        <v>1037.2603287474358</v>
      </c>
      <c r="DS48" s="877">
        <f t="shared" si="209"/>
        <v>1846.7396712525642</v>
      </c>
      <c r="DT48" s="876">
        <f t="shared" si="79"/>
        <v>409589057.46006477</v>
      </c>
      <c r="DU48" s="876">
        <f t="shared" si="80"/>
        <v>230054342.25833321</v>
      </c>
      <c r="DV48" s="1136">
        <f t="shared" si="210"/>
        <v>364762193823.70581</v>
      </c>
      <c r="DW48" s="1136">
        <f t="shared" si="211"/>
        <v>232291919953.91696</v>
      </c>
      <c r="DX48" s="880">
        <f t="shared" si="212"/>
        <v>192374.78396716746</v>
      </c>
      <c r="DY48" s="874">
        <f t="shared" si="213"/>
        <v>301328417339.36444</v>
      </c>
      <c r="DZ48" s="873">
        <f t="shared" si="214"/>
        <v>1449.4282395478074</v>
      </c>
      <c r="EA48" s="880">
        <f t="shared" si="215"/>
        <v>1434.5717604521926</v>
      </c>
      <c r="EB48" s="876">
        <f t="shared" si="81"/>
        <v>207894678.13416749</v>
      </c>
      <c r="EC48" s="876">
        <f t="shared" si="82"/>
        <v>210047643.23841316</v>
      </c>
      <c r="ED48" s="1136">
        <f t="shared" si="216"/>
        <v>781391555912.23022</v>
      </c>
      <c r="EE48" s="1136">
        <f t="shared" si="217"/>
        <v>232291919953.91696</v>
      </c>
      <c r="EF48" s="880">
        <f t="shared" si="218"/>
        <v>183652.1519644754</v>
      </c>
      <c r="EG48" s="874">
        <f t="shared" si="219"/>
        <v>278823804306.33636</v>
      </c>
      <c r="EH48" s="873">
        <f t="shared" si="220"/>
        <v>1523.8272185681001</v>
      </c>
      <c r="EI48" s="880">
        <f t="shared" si="221"/>
        <v>1360.1727814318999</v>
      </c>
      <c r="EJ48" s="876">
        <f t="shared" si="83"/>
        <v>182975996.82484978</v>
      </c>
      <c r="EK48" s="876">
        <f t="shared" si="84"/>
        <v>204991459.99143514</v>
      </c>
      <c r="EL48" s="1136">
        <f t="shared" si="85"/>
        <v>364762193823.70581</v>
      </c>
      <c r="EM48" s="1136">
        <f t="shared" si="86"/>
        <v>232291919953.91696</v>
      </c>
      <c r="EN48" s="876"/>
      <c r="EO48" s="1113" t="s">
        <v>2206</v>
      </c>
      <c r="EP48" s="1114">
        <v>179290.83596312901</v>
      </c>
      <c r="EQ48" s="1114">
        <v>266753445076.48199</v>
      </c>
      <c r="ER48" s="1115">
        <v>1563.7413821658099</v>
      </c>
      <c r="ES48" s="1115">
        <v>1320.2586178341901</v>
      </c>
      <c r="ET48" s="1114">
        <v>170586676.36397901</v>
      </c>
      <c r="EU48" s="1114">
        <v>202046357.79168499</v>
      </c>
      <c r="EV48" s="1114">
        <v>156447512779.444</v>
      </c>
      <c r="EW48" s="1114">
        <v>33960831594.010101</v>
      </c>
      <c r="EX48" s="1114">
        <v>179290.83596312901</v>
      </c>
      <c r="EY48" s="1114">
        <v>266753445076.48199</v>
      </c>
      <c r="EZ48" s="1115">
        <v>1563.7413821658099</v>
      </c>
      <c r="FA48" s="1115">
        <v>1320.2586178341901</v>
      </c>
      <c r="FB48" s="1114">
        <v>170586676.36397901</v>
      </c>
      <c r="FC48" s="1114">
        <v>202046357.79168499</v>
      </c>
      <c r="FD48" s="1114">
        <v>156447512779.444</v>
      </c>
      <c r="FE48" s="1114">
        <v>33960831594.010101</v>
      </c>
      <c r="FF48" s="1114">
        <v>179290.83596312901</v>
      </c>
      <c r="FG48" s="1114">
        <v>266753445076.48199</v>
      </c>
      <c r="FH48" s="1115">
        <v>1563.7413821658099</v>
      </c>
      <c r="FI48" s="1115">
        <v>1320.2586178341901</v>
      </c>
      <c r="FJ48" s="1114">
        <v>170586676.36397901</v>
      </c>
      <c r="FK48" s="1114">
        <v>202046357.79168499</v>
      </c>
      <c r="FL48" s="1114">
        <v>156447512779.444</v>
      </c>
      <c r="FM48" s="1114">
        <v>33960831594.010101</v>
      </c>
      <c r="FN48" s="1114">
        <v>427202.52249514399</v>
      </c>
      <c r="FO48" s="1114">
        <v>558224821559.125</v>
      </c>
      <c r="FP48" s="1115">
        <v>595.34707582555905</v>
      </c>
      <c r="FQ48" s="1115">
        <v>2288.6529241744402</v>
      </c>
      <c r="FR48" s="1114">
        <v>937646029.05799496</v>
      </c>
      <c r="FS48" s="1114">
        <v>243909775.773662</v>
      </c>
      <c r="FT48" s="1114">
        <v>781391555912.23096</v>
      </c>
      <c r="FU48" s="1114">
        <v>232291919953.91699</v>
      </c>
      <c r="FV48" s="1114">
        <v>261928.06480713401</v>
      </c>
      <c r="FW48" s="1114">
        <v>424850480392.37903</v>
      </c>
      <c r="FX48" s="1115">
        <v>1037.2603287474401</v>
      </c>
      <c r="FY48" s="1115">
        <v>1846.7396712525599</v>
      </c>
      <c r="FZ48" s="1114">
        <v>409589057.46006501</v>
      </c>
      <c r="GA48" s="1114">
        <v>230054342.258333</v>
      </c>
      <c r="GB48" s="1114">
        <v>364762193823.70599</v>
      </c>
      <c r="GC48" s="1114">
        <v>232291919953.91699</v>
      </c>
      <c r="GD48" s="1114">
        <v>192374.78396716699</v>
      </c>
      <c r="GE48" s="1114">
        <v>301328417339.36401</v>
      </c>
      <c r="GF48" s="1115">
        <v>1449.4282395478101</v>
      </c>
      <c r="GG48" s="1115">
        <v>1434.5717604521899</v>
      </c>
      <c r="GH48" s="1114">
        <v>207894678.134168</v>
      </c>
      <c r="GI48" s="1114">
        <v>210047643.23841301</v>
      </c>
      <c r="GJ48" s="1114">
        <v>781391555912.23096</v>
      </c>
      <c r="GK48" s="1114">
        <v>232291919953.91699</v>
      </c>
      <c r="GL48" s="1114">
        <v>183652.15196447499</v>
      </c>
      <c r="GM48" s="1114">
        <v>278823804306.336</v>
      </c>
      <c r="GN48" s="1115">
        <v>1523.8272185681001</v>
      </c>
      <c r="GO48" s="1115">
        <v>1360.1727814318999</v>
      </c>
      <c r="GP48" s="1114">
        <v>182975996.82484999</v>
      </c>
      <c r="GQ48" s="1114">
        <v>204991459.99143499</v>
      </c>
      <c r="GR48" s="1114">
        <v>364762193823.70599</v>
      </c>
      <c r="GS48" s="1114">
        <v>232291919953.91699</v>
      </c>
      <c r="GU48" s="1171">
        <f t="shared" si="222"/>
        <v>3.4924596548080444E-10</v>
      </c>
      <c r="GV48" s="1171">
        <f t="shared" si="223"/>
        <v>-3.96728515625E-4</v>
      </c>
      <c r="GW48" s="1171">
        <f t="shared" si="224"/>
        <v>4.5474735088646412E-12</v>
      </c>
      <c r="GX48" s="1171">
        <f t="shared" si="225"/>
        <v>-4.5474735088646412E-12</v>
      </c>
      <c r="GY48" s="1171">
        <f t="shared" si="226"/>
        <v>3.8743019104003906E-7</v>
      </c>
      <c r="GZ48" s="1171">
        <f t="shared" si="227"/>
        <v>0</v>
      </c>
      <c r="HA48" s="1171">
        <f t="shared" si="235"/>
        <v>-4.57763671875E-4</v>
      </c>
      <c r="HB48" s="1171">
        <f t="shared" si="228"/>
        <v>4.1961669921875E-5</v>
      </c>
      <c r="HC48" s="1171">
        <f t="shared" si="229"/>
        <v>3.4924596548080444E-10</v>
      </c>
      <c r="HD48" s="1171">
        <f t="shared" si="230"/>
        <v>-3.96728515625E-4</v>
      </c>
      <c r="HE48" s="1171">
        <f t="shared" si="231"/>
        <v>4.5474735088646412E-12</v>
      </c>
      <c r="HF48" s="1171">
        <f t="shared" si="232"/>
        <v>-4.5474735088646412E-12</v>
      </c>
      <c r="HG48" s="1171">
        <f t="shared" si="89"/>
        <v>3.8743019104003906E-7</v>
      </c>
      <c r="HH48" s="1171">
        <f t="shared" si="90"/>
        <v>0</v>
      </c>
      <c r="HI48" s="1171">
        <f t="shared" si="91"/>
        <v>-4.57763671875E-4</v>
      </c>
      <c r="HJ48" s="1171">
        <f t="shared" si="92"/>
        <v>4.1961669921875E-5</v>
      </c>
      <c r="HK48" s="1171">
        <f t="shared" si="93"/>
        <v>3.4924596548080444E-10</v>
      </c>
      <c r="HL48" s="1171">
        <f t="shared" si="94"/>
        <v>-3.96728515625E-4</v>
      </c>
      <c r="HM48" s="1171">
        <f t="shared" si="95"/>
        <v>4.5474735088646412E-12</v>
      </c>
      <c r="HN48" s="1171">
        <f t="shared" si="96"/>
        <v>-4.5474735088646412E-12</v>
      </c>
      <c r="HO48" s="1171">
        <f t="shared" si="97"/>
        <v>3.8743019104003906E-7</v>
      </c>
      <c r="HP48" s="1171">
        <f t="shared" si="98"/>
        <v>0</v>
      </c>
      <c r="HQ48" s="1171">
        <f t="shared" si="99"/>
        <v>-4.57763671875E-4</v>
      </c>
      <c r="HR48" s="1171">
        <f t="shared" si="100"/>
        <v>4.1961669921875E-5</v>
      </c>
      <c r="HS48" s="1171">
        <f t="shared" si="101"/>
        <v>0</v>
      </c>
      <c r="HT48" s="1171">
        <f t="shared" si="102"/>
        <v>0</v>
      </c>
      <c r="HU48" s="1171">
        <f t="shared" si="103"/>
        <v>0</v>
      </c>
      <c r="HV48" s="1171">
        <f t="shared" si="104"/>
        <v>0</v>
      </c>
      <c r="HW48" s="1171">
        <f t="shared" si="105"/>
        <v>0</v>
      </c>
      <c r="HX48" s="1171">
        <f t="shared" si="106"/>
        <v>3.5762786865234375E-7</v>
      </c>
      <c r="HY48" s="1171">
        <f t="shared" si="107"/>
        <v>0</v>
      </c>
      <c r="HZ48" s="1171">
        <f t="shared" si="108"/>
        <v>0</v>
      </c>
      <c r="IA48" s="1171">
        <f t="shared" si="109"/>
        <v>0</v>
      </c>
      <c r="IB48" s="1171">
        <f t="shared" si="110"/>
        <v>0</v>
      </c>
      <c r="IC48" s="1171">
        <f t="shared" si="111"/>
        <v>-4.3200998334214091E-12</v>
      </c>
      <c r="ID48" s="1171">
        <f t="shared" si="112"/>
        <v>4.3200998334214091E-12</v>
      </c>
      <c r="IE48" s="1171">
        <f t="shared" si="113"/>
        <v>0</v>
      </c>
      <c r="IF48" s="1171">
        <f t="shared" si="114"/>
        <v>0</v>
      </c>
      <c r="IG48" s="1171">
        <f t="shared" si="115"/>
        <v>0</v>
      </c>
      <c r="IH48" s="1171">
        <f t="shared" si="116"/>
        <v>0</v>
      </c>
      <c r="II48" s="1171">
        <f t="shared" si="117"/>
        <v>4.6566128730773926E-10</v>
      </c>
      <c r="IJ48" s="1171">
        <f t="shared" si="118"/>
        <v>0</v>
      </c>
      <c r="IK48" s="1171">
        <f t="shared" si="119"/>
        <v>-2.7284841053187847E-12</v>
      </c>
      <c r="IL48" s="1171">
        <f t="shared" si="120"/>
        <v>2.7284841053187847E-12</v>
      </c>
      <c r="IM48" s="1171">
        <f t="shared" si="121"/>
        <v>-5.0663948059082031E-7</v>
      </c>
      <c r="IN48" s="1171">
        <f t="shared" si="122"/>
        <v>0</v>
      </c>
      <c r="IO48" s="1171">
        <f t="shared" si="123"/>
        <v>0</v>
      </c>
      <c r="IP48" s="1171">
        <f t="shared" si="124"/>
        <v>0</v>
      </c>
      <c r="IQ48" s="1171">
        <f t="shared" si="125"/>
        <v>4.0745362639427185E-10</v>
      </c>
      <c r="IR48" s="1171">
        <f t="shared" si="126"/>
        <v>0</v>
      </c>
      <c r="IS48" s="1171">
        <f t="shared" si="127"/>
        <v>0</v>
      </c>
      <c r="IT48" s="1171">
        <f t="shared" si="128"/>
        <v>0</v>
      </c>
      <c r="IU48" s="1171">
        <f t="shared" si="129"/>
        <v>0</v>
      </c>
      <c r="IV48" s="1171">
        <f t="shared" si="130"/>
        <v>0</v>
      </c>
      <c r="IW48" s="1171">
        <f t="shared" si="131"/>
        <v>0</v>
      </c>
      <c r="IX48" s="1171">
        <f t="shared" si="132"/>
        <v>0</v>
      </c>
    </row>
    <row r="49" spans="1:258" s="871" customFormat="1">
      <c r="A49" s="871">
        <v>124</v>
      </c>
      <c r="B49" s="871" t="str">
        <f t="shared" ref="B49" si="248">LEFT(B47,3)+1&amp;"i"</f>
        <v>124i</v>
      </c>
      <c r="C49" s="871">
        <v>96.9</v>
      </c>
      <c r="D49" s="871">
        <v>0</v>
      </c>
      <c r="E49" s="871" t="s">
        <v>2099</v>
      </c>
      <c r="F49" s="26">
        <v>2</v>
      </c>
      <c r="G49" s="136">
        <v>500</v>
      </c>
      <c r="H49" s="136">
        <v>26</v>
      </c>
      <c r="I49" s="28">
        <v>250</v>
      </c>
      <c r="J49" s="26">
        <v>1940</v>
      </c>
      <c r="K49" s="136">
        <v>24</v>
      </c>
      <c r="L49" s="28">
        <v>120</v>
      </c>
      <c r="M49" s="26">
        <v>2800</v>
      </c>
      <c r="N49" s="28">
        <v>12</v>
      </c>
      <c r="O49" s="397">
        <v>0</v>
      </c>
      <c r="P49" s="26">
        <v>290</v>
      </c>
      <c r="Q49" s="397">
        <f>+Section!L110</f>
        <v>5500</v>
      </c>
      <c r="R49" s="169">
        <v>0</v>
      </c>
      <c r="S49" s="210">
        <v>0</v>
      </c>
      <c r="T49" s="210">
        <v>1200</v>
      </c>
      <c r="U49" s="210">
        <v>2400</v>
      </c>
      <c r="V49" s="872">
        <v>3800</v>
      </c>
      <c r="W49" s="210">
        <v>19</v>
      </c>
      <c r="X49" s="210">
        <v>200</v>
      </c>
      <c r="Y49" s="210">
        <v>50</v>
      </c>
      <c r="Z49" s="210">
        <v>16</v>
      </c>
      <c r="AA49" s="210">
        <v>200</v>
      </c>
      <c r="AB49" s="872">
        <v>40</v>
      </c>
      <c r="AC49" s="210">
        <v>0</v>
      </c>
      <c r="AD49" s="397">
        <v>2</v>
      </c>
      <c r="AE49" s="210">
        <v>160</v>
      </c>
      <c r="AF49" s="210">
        <v>16</v>
      </c>
      <c r="AG49" s="397">
        <v>0</v>
      </c>
      <c r="AH49" s="210">
        <v>0</v>
      </c>
      <c r="AI49" s="210">
        <v>0</v>
      </c>
      <c r="AJ49" s="397">
        <v>2</v>
      </c>
      <c r="AK49" s="210">
        <v>2500</v>
      </c>
      <c r="AL49" s="210">
        <v>5000</v>
      </c>
      <c r="AM49" s="210" t="s">
        <v>2316</v>
      </c>
      <c r="AN49" s="210">
        <v>2500</v>
      </c>
      <c r="AO49" s="1143" t="s">
        <v>2321</v>
      </c>
      <c r="AP49" s="1143" t="s">
        <v>2321</v>
      </c>
      <c r="AQ49" s="136">
        <v>150</v>
      </c>
      <c r="AR49" s="136">
        <v>14</v>
      </c>
      <c r="AS49" s="1143" t="s">
        <v>2448</v>
      </c>
      <c r="AT49" s="136">
        <v>120</v>
      </c>
      <c r="AU49" s="136">
        <v>12</v>
      </c>
      <c r="AV49" s="1111"/>
      <c r="AW49" s="1111"/>
      <c r="AX49" s="1111"/>
      <c r="AY49" s="1111"/>
      <c r="AZ49" s="1108">
        <v>8</v>
      </c>
      <c r="BA49" s="1108">
        <v>6</v>
      </c>
      <c r="BB49" s="1111"/>
      <c r="BC49" s="1168"/>
      <c r="BD49" s="210">
        <f>INDEX(Spec!$B$12:$P$58,MATCH(AO49,Spec!$A$12:$A$58,0),6)*100</f>
        <v>1900</v>
      </c>
      <c r="BE49" s="210">
        <f>INDEX(Spec!$B$12:$P$58,MATCH(AP49,Spec!$A$12:$A$58,0),6)*100</f>
        <v>1900</v>
      </c>
      <c r="BF49" s="881">
        <f t="shared" si="161"/>
        <v>0.69670326754723877</v>
      </c>
      <c r="BG49" s="881">
        <f t="shared" si="162"/>
        <v>47.243485714285718</v>
      </c>
      <c r="BH49" s="881"/>
      <c r="BI49" s="13" cm="1">
        <f t="array" ref="BI49">INDEX(Info!$AD$4:$AH$15,MATCH(Info!$I$13,Info!$AC$4:$AC$15,0),IF(H49&lt;=16,1,IF(H49&lt;=40,2,IF(H49&lt;=75,3,IF(H49&lt;=100,4,5)))))</f>
        <v>380</v>
      </c>
      <c r="BJ49" s="13" cm="1">
        <f t="array" ref="BJ49">INDEX(Info!$AD$4:$AH$15,MATCH(Info!$I$13,Info!$AC$4:$AC$15,0),IF(K49&lt;=16,1,IF(K49&lt;=40,2,IF(K49&lt;=75,3,IF(K49&lt;=100,4,5)))))</f>
        <v>380</v>
      </c>
      <c r="BK49" s="13" cm="1">
        <f t="array" ref="BK49">INDEX(Info!$AD$4:$AH$15,MATCH(Info!$I$14,Info!$AC$4:$AC$15,0),IF(N49&lt;=16,1,IF(N49&lt;=40,2,IF(N49&lt;=75,3,IF(N49&lt;=100,4,5)))))</f>
        <v>355</v>
      </c>
      <c r="BL49" s="13">
        <f>IF(Stress!C878="Positive",MAX(MIN(0.7*BI49,BK49),0.5*BI49),MAX(MIN(0.7*BJ49,BK49),0.5*BJ49))</f>
        <v>266</v>
      </c>
      <c r="BM49" s="13" cm="1">
        <f t="array" ref="BM49">INDEX(Info!$AD$4:$AH$15,MATCH(Info!$I$13,Info!$AC$4:$AC$15,0),IF(AI49&lt;=16,1,IF(AI49&lt;=40,2,IF(AI49&lt;=75,3,IF(AI49&lt;=100,4,5)))))</f>
        <v>380</v>
      </c>
      <c r="BN49" s="13" cm="1">
        <f t="array" ref="BN49">INDEX(Info!$AD$4:$AH$15,MATCH(Info!$I$13,Info!$AC$4:$AC$15,0),IF(AF49&lt;=16,1,IF(AF49&lt;=40,2,IF(AF49&lt;=75,3,IF(AF49&lt;=100,4,5)))))</f>
        <v>380</v>
      </c>
      <c r="BO49" s="13"/>
      <c r="BP49" s="873">
        <f t="shared" si="163"/>
        <v>0.125</v>
      </c>
      <c r="BQ49" s="873">
        <f t="shared" si="164"/>
        <v>2821.7902119044925</v>
      </c>
      <c r="BR49" s="873">
        <f t="shared" si="165"/>
        <v>3114</v>
      </c>
      <c r="BS49" s="873"/>
      <c r="BT49" s="871">
        <f t="shared" si="166"/>
        <v>0</v>
      </c>
      <c r="BU49" s="136">
        <f t="shared" si="167"/>
        <v>0</v>
      </c>
      <c r="BV49" s="871">
        <f t="shared" si="168"/>
        <v>1595000</v>
      </c>
      <c r="BW49" s="871">
        <f t="shared" si="169"/>
        <v>11178291666.666666</v>
      </c>
      <c r="BX49" s="871">
        <f t="shared" si="170"/>
        <v>0</v>
      </c>
      <c r="BY49" s="871">
        <f t="shared" si="171"/>
        <v>0</v>
      </c>
      <c r="BZ49" s="871">
        <f t="shared" si="172"/>
        <v>7655.2758986349281</v>
      </c>
      <c r="CA49" s="871">
        <f t="shared" si="173"/>
        <v>172722.16246295057</v>
      </c>
      <c r="CB49" s="871">
        <f t="shared" si="174"/>
        <v>5428.6721054031623</v>
      </c>
      <c r="CC49" s="871">
        <f t="shared" si="175"/>
        <v>86858.753686450596</v>
      </c>
      <c r="CE49" s="1137">
        <f t="shared" si="176"/>
        <v>346081987.77679139</v>
      </c>
      <c r="CF49" s="1136">
        <f t="shared" si="177"/>
        <v>411131448.88888884</v>
      </c>
      <c r="CG49" s="1136">
        <f t="shared" si="178"/>
        <v>0</v>
      </c>
      <c r="CH49" s="172">
        <f t="shared" si="179"/>
        <v>4020729166666.6665</v>
      </c>
      <c r="CJ49" s="136">
        <f t="shared" si="180"/>
        <v>145402.96508570784</v>
      </c>
      <c r="CK49" s="7">
        <f t="shared" si="181"/>
        <v>189124645922.75742</v>
      </c>
      <c r="CL49" s="875">
        <f t="shared" si="182"/>
        <v>1671.9586706427854</v>
      </c>
      <c r="CM49" s="6">
        <f t="shared" si="183"/>
        <v>1178.0413293572146</v>
      </c>
      <c r="CN49" s="876">
        <f t="shared" si="73"/>
        <v>113115622.55904828</v>
      </c>
      <c r="CO49" s="876">
        <f t="shared" si="74"/>
        <v>160541605.12853247</v>
      </c>
      <c r="CP49" s="1137">
        <f t="shared" si="184"/>
        <v>125681121405.19185</v>
      </c>
      <c r="CQ49" s="1136">
        <f t="shared" si="185"/>
        <v>33272728541.30838</v>
      </c>
      <c r="CR49" s="877">
        <f t="shared" si="186"/>
        <v>145402.96508570784</v>
      </c>
      <c r="CS49" s="874">
        <f t="shared" si="187"/>
        <v>189124645922.75742</v>
      </c>
      <c r="CT49" s="875">
        <f t="shared" si="188"/>
        <v>1671.9586706427854</v>
      </c>
      <c r="CU49" s="878">
        <f t="shared" si="189"/>
        <v>1178.0413293572146</v>
      </c>
      <c r="CV49" s="876">
        <f t="shared" si="190"/>
        <v>113115622.55904828</v>
      </c>
      <c r="CW49" s="876">
        <f t="shared" si="191"/>
        <v>160541605.12853247</v>
      </c>
      <c r="CX49" s="1136">
        <f t="shared" si="192"/>
        <v>125681121405.19185</v>
      </c>
      <c r="CY49" s="1136">
        <f t="shared" si="193"/>
        <v>33272728541.30838</v>
      </c>
      <c r="CZ49" s="877">
        <f t="shared" si="194"/>
        <v>145402.96508570784</v>
      </c>
      <c r="DA49" s="874">
        <f t="shared" si="195"/>
        <v>189124645922.75742</v>
      </c>
      <c r="DB49" s="875">
        <f t="shared" si="196"/>
        <v>1671.9586706427854</v>
      </c>
      <c r="DC49" s="878">
        <f t="shared" si="197"/>
        <v>1178.0413293572146</v>
      </c>
      <c r="DD49" s="876">
        <f t="shared" si="75"/>
        <v>113115622.55904828</v>
      </c>
      <c r="DE49" s="876">
        <f t="shared" si="76"/>
        <v>160541605.12853247</v>
      </c>
      <c r="DF49" s="1136">
        <f t="shared" si="198"/>
        <v>125681121405.19185</v>
      </c>
      <c r="DG49" s="1136">
        <f t="shared" si="199"/>
        <v>33272728541.30838</v>
      </c>
      <c r="DH49" s="877">
        <f t="shared" si="200"/>
        <v>393314.65161772241</v>
      </c>
      <c r="DI49" s="879">
        <f t="shared" si="201"/>
        <v>484830911260.67322</v>
      </c>
      <c r="DJ49" s="878">
        <f t="shared" si="202"/>
        <v>543.09255105635339</v>
      </c>
      <c r="DK49" s="877">
        <f t="shared" si="203"/>
        <v>2306.9074489436466</v>
      </c>
      <c r="DL49" s="876">
        <f t="shared" si="77"/>
        <v>892722447.24705362</v>
      </c>
      <c r="DM49" s="876">
        <f t="shared" si="78"/>
        <v>210164873.09999436</v>
      </c>
      <c r="DN49" s="7">
        <f t="shared" si="204"/>
        <v>750625164537.97864</v>
      </c>
      <c r="DO49" s="1136">
        <f t="shared" si="205"/>
        <v>224551840849.69873</v>
      </c>
      <c r="DP49" s="877">
        <f t="shared" si="206"/>
        <v>228040.1939297127</v>
      </c>
      <c r="DQ49" s="879">
        <f t="shared" si="207"/>
        <v>358712367866.07629</v>
      </c>
      <c r="DR49" s="877">
        <f t="shared" si="208"/>
        <v>1022.9508840519725</v>
      </c>
      <c r="DS49" s="877">
        <f t="shared" si="209"/>
        <v>1827.0491159480275</v>
      </c>
      <c r="DT49" s="876">
        <f t="shared" si="79"/>
        <v>350664311.9024387</v>
      </c>
      <c r="DU49" s="876">
        <f t="shared" si="80"/>
        <v>196334277.35189593</v>
      </c>
      <c r="DV49" s="1136">
        <f t="shared" si="210"/>
        <v>333995802449.4541</v>
      </c>
      <c r="DW49" s="1136">
        <f t="shared" si="211"/>
        <v>224551840849.69873</v>
      </c>
      <c r="DX49" s="880">
        <f t="shared" si="212"/>
        <v>158486.91308974594</v>
      </c>
      <c r="DY49" s="874">
        <f t="shared" si="213"/>
        <v>228272991963.38809</v>
      </c>
      <c r="DZ49" s="873">
        <f t="shared" si="214"/>
        <v>1523.1132530402854</v>
      </c>
      <c r="EA49" s="880">
        <f t="shared" si="215"/>
        <v>1326.8867469597146</v>
      </c>
      <c r="EB49" s="876">
        <f t="shared" si="81"/>
        <v>149872631.93182287</v>
      </c>
      <c r="EC49" s="876">
        <f t="shared" si="82"/>
        <v>172036530.23623022</v>
      </c>
      <c r="ED49" s="1136">
        <f t="shared" si="216"/>
        <v>750625164537.97864</v>
      </c>
      <c r="EE49" s="1136">
        <f t="shared" si="217"/>
        <v>224551840849.69873</v>
      </c>
      <c r="EF49" s="880">
        <f t="shared" si="218"/>
        <v>149764.28108705388</v>
      </c>
      <c r="EG49" s="874">
        <f t="shared" si="219"/>
        <v>202931654274.86081</v>
      </c>
      <c r="EH49" s="873">
        <f t="shared" si="220"/>
        <v>1619.4538263809727</v>
      </c>
      <c r="EI49" s="880">
        <f t="shared" si="221"/>
        <v>1230.5461736190273</v>
      </c>
      <c r="EJ49" s="876">
        <f t="shared" si="83"/>
        <v>125308700.35878479</v>
      </c>
      <c r="EK49" s="876">
        <f t="shared" si="84"/>
        <v>164911856.72297066</v>
      </c>
      <c r="EL49" s="1136">
        <f t="shared" si="85"/>
        <v>333995802449.4541</v>
      </c>
      <c r="EM49" s="1136">
        <f t="shared" si="86"/>
        <v>224551840849.69873</v>
      </c>
      <c r="EN49" s="876"/>
      <c r="EO49" s="1113" t="s">
        <v>2207</v>
      </c>
      <c r="EP49" s="1114">
        <v>145402.96508570801</v>
      </c>
      <c r="EQ49" s="1114">
        <v>189124645922.75699</v>
      </c>
      <c r="ER49" s="1115">
        <v>1671.9586706427899</v>
      </c>
      <c r="ES49" s="1115">
        <v>1178.0413293572101</v>
      </c>
      <c r="ET49" s="1114">
        <v>113115622.559048</v>
      </c>
      <c r="EU49" s="1114">
        <v>160541605.12853199</v>
      </c>
      <c r="EV49" s="1114">
        <v>125681121405.192</v>
      </c>
      <c r="EW49" s="1114">
        <v>33272728541.308399</v>
      </c>
      <c r="EX49" s="1114">
        <v>145402.96508570801</v>
      </c>
      <c r="EY49" s="1114">
        <v>189124645922.75699</v>
      </c>
      <c r="EZ49" s="1115">
        <v>1671.9586706427899</v>
      </c>
      <c r="FA49" s="1115">
        <v>1178.0413293572101</v>
      </c>
      <c r="FB49" s="1114">
        <v>113115622.559048</v>
      </c>
      <c r="FC49" s="1114">
        <v>160541605.12853199</v>
      </c>
      <c r="FD49" s="1114">
        <v>125681121405.192</v>
      </c>
      <c r="FE49" s="1114">
        <v>33272728541.308399</v>
      </c>
      <c r="FF49" s="1114">
        <v>145402.96508570801</v>
      </c>
      <c r="FG49" s="1114">
        <v>189124645922.75699</v>
      </c>
      <c r="FH49" s="1115">
        <v>1671.9586706427899</v>
      </c>
      <c r="FI49" s="1115">
        <v>1178.0413293572101</v>
      </c>
      <c r="FJ49" s="1114">
        <v>113115622.559048</v>
      </c>
      <c r="FK49" s="1114">
        <v>160541605.12853199</v>
      </c>
      <c r="FL49" s="1114">
        <v>125681121405.192</v>
      </c>
      <c r="FM49" s="1114">
        <v>33272728541.308399</v>
      </c>
      <c r="FN49" s="1114">
        <v>393314.65161772299</v>
      </c>
      <c r="FO49" s="1114">
        <v>484830911260.67297</v>
      </c>
      <c r="FP49" s="1115">
        <v>543.09255105635305</v>
      </c>
      <c r="FQ49" s="1115">
        <v>2306.9074489436498</v>
      </c>
      <c r="FR49" s="1114">
        <v>892722447.24705398</v>
      </c>
      <c r="FS49" s="1114">
        <v>210164873.099994</v>
      </c>
      <c r="FT49" s="1114">
        <v>750625164537.979</v>
      </c>
      <c r="FU49" s="1114">
        <v>224551840849.69901</v>
      </c>
      <c r="FV49" s="1114">
        <v>228040.19392971299</v>
      </c>
      <c r="FW49" s="1114">
        <v>358712367866.07599</v>
      </c>
      <c r="FX49" s="1115">
        <v>1022.95088405197</v>
      </c>
      <c r="FY49" s="1115">
        <v>1827.04911594803</v>
      </c>
      <c r="FZ49" s="1114">
        <v>350664311.902439</v>
      </c>
      <c r="GA49" s="1114">
        <v>196334277.35189599</v>
      </c>
      <c r="GB49" s="1114">
        <v>333995802449.45398</v>
      </c>
      <c r="GC49" s="1114">
        <v>224551840849.69901</v>
      </c>
      <c r="GD49" s="1114">
        <v>158486.913089746</v>
      </c>
      <c r="GE49" s="1114">
        <v>228272991963.388</v>
      </c>
      <c r="GF49" s="1115">
        <v>1523.1132530402899</v>
      </c>
      <c r="GG49" s="1115">
        <v>1326.8867469597101</v>
      </c>
      <c r="GH49" s="1114">
        <v>149872631.93182299</v>
      </c>
      <c r="GI49" s="1114">
        <v>172036530.23622999</v>
      </c>
      <c r="GJ49" s="1114">
        <v>750625164537.979</v>
      </c>
      <c r="GK49" s="1114">
        <v>224551840849.69901</v>
      </c>
      <c r="GL49" s="1114">
        <v>149764.281087054</v>
      </c>
      <c r="GM49" s="1114">
        <v>202931654274.86099</v>
      </c>
      <c r="GN49" s="1115">
        <v>1619.45382638097</v>
      </c>
      <c r="GO49" s="1115">
        <v>1230.54617361903</v>
      </c>
      <c r="GP49" s="1114">
        <v>125308700.358785</v>
      </c>
      <c r="GQ49" s="1114">
        <v>164911856.72297099</v>
      </c>
      <c r="GR49" s="1114">
        <v>333995802449.45398</v>
      </c>
      <c r="GS49" s="1114">
        <v>224551840849.69901</v>
      </c>
      <c r="GU49" s="1171">
        <f t="shared" si="222"/>
        <v>0</v>
      </c>
      <c r="GV49" s="1171">
        <f t="shared" si="223"/>
        <v>4.2724609375E-4</v>
      </c>
      <c r="GW49" s="1171">
        <f t="shared" si="224"/>
        <v>-4.5474735088646412E-12</v>
      </c>
      <c r="GX49" s="1171">
        <f t="shared" si="225"/>
        <v>4.5474735088646412E-12</v>
      </c>
      <c r="GY49" s="1171">
        <f t="shared" si="226"/>
        <v>2.8312206268310547E-7</v>
      </c>
      <c r="GZ49" s="1171">
        <f t="shared" si="227"/>
        <v>4.76837158203125E-7</v>
      </c>
      <c r="HA49" s="1171">
        <f t="shared" si="235"/>
        <v>-1.52587890625E-4</v>
      </c>
      <c r="HB49" s="1171">
        <f t="shared" si="228"/>
        <v>0</v>
      </c>
      <c r="HC49" s="1171">
        <f t="shared" si="229"/>
        <v>0</v>
      </c>
      <c r="HD49" s="1171">
        <f t="shared" si="230"/>
        <v>4.2724609375E-4</v>
      </c>
      <c r="HE49" s="1171">
        <f t="shared" si="231"/>
        <v>-4.5474735088646412E-12</v>
      </c>
      <c r="HF49" s="1171">
        <f t="shared" si="232"/>
        <v>4.5474735088646412E-12</v>
      </c>
      <c r="HG49" s="1171">
        <f t="shared" si="89"/>
        <v>2.8312206268310547E-7</v>
      </c>
      <c r="HH49" s="1171">
        <f t="shared" si="90"/>
        <v>4.76837158203125E-7</v>
      </c>
      <c r="HI49" s="1171">
        <f t="shared" si="91"/>
        <v>-1.52587890625E-4</v>
      </c>
      <c r="HJ49" s="1171">
        <f t="shared" si="92"/>
        <v>0</v>
      </c>
      <c r="HK49" s="1171">
        <f t="shared" si="93"/>
        <v>0</v>
      </c>
      <c r="HL49" s="1171">
        <f t="shared" si="94"/>
        <v>4.2724609375E-4</v>
      </c>
      <c r="HM49" s="1171">
        <f t="shared" si="95"/>
        <v>-4.5474735088646412E-12</v>
      </c>
      <c r="HN49" s="1171">
        <f t="shared" si="96"/>
        <v>4.5474735088646412E-12</v>
      </c>
      <c r="HO49" s="1171">
        <f t="shared" si="97"/>
        <v>2.8312206268310547E-7</v>
      </c>
      <c r="HP49" s="1171">
        <f t="shared" si="98"/>
        <v>4.76837158203125E-7</v>
      </c>
      <c r="HQ49" s="1171">
        <f t="shared" si="99"/>
        <v>-1.52587890625E-4</v>
      </c>
      <c r="HR49" s="1171">
        <f t="shared" si="100"/>
        <v>0</v>
      </c>
      <c r="HS49" s="1171">
        <f t="shared" si="101"/>
        <v>-5.8207660913467407E-10</v>
      </c>
      <c r="HT49" s="1171">
        <f t="shared" si="102"/>
        <v>0</v>
      </c>
      <c r="HU49" s="1171">
        <f t="shared" si="103"/>
        <v>0</v>
      </c>
      <c r="HV49" s="1171">
        <f t="shared" si="104"/>
        <v>0</v>
      </c>
      <c r="HW49" s="1171">
        <f t="shared" si="105"/>
        <v>0</v>
      </c>
      <c r="HX49" s="1171">
        <f t="shared" si="106"/>
        <v>3.5762786865234375E-7</v>
      </c>
      <c r="HY49" s="1171">
        <f t="shared" si="107"/>
        <v>0</v>
      </c>
      <c r="HZ49" s="1171">
        <f t="shared" si="108"/>
        <v>-2.74658203125E-4</v>
      </c>
      <c r="IA49" s="1171">
        <f t="shared" si="109"/>
        <v>-2.9103830456733704E-10</v>
      </c>
      <c r="IB49" s="1171">
        <f t="shared" si="110"/>
        <v>0</v>
      </c>
      <c r="IC49" s="1171">
        <f t="shared" si="111"/>
        <v>2.5011104298755527E-12</v>
      </c>
      <c r="ID49" s="1171">
        <f t="shared" si="112"/>
        <v>-2.5011104298755527E-12</v>
      </c>
      <c r="IE49" s="1171">
        <f t="shared" si="113"/>
        <v>0</v>
      </c>
      <c r="IF49" s="1171">
        <f t="shared" si="114"/>
        <v>0</v>
      </c>
      <c r="IG49" s="1171">
        <f t="shared" si="115"/>
        <v>0</v>
      </c>
      <c r="IH49" s="1171">
        <f t="shared" si="116"/>
        <v>-2.74658203125E-4</v>
      </c>
      <c r="II49" s="1171">
        <f t="shared" si="117"/>
        <v>0</v>
      </c>
      <c r="IJ49" s="1171">
        <f t="shared" si="118"/>
        <v>0</v>
      </c>
      <c r="IK49" s="1171">
        <f t="shared" si="119"/>
        <v>-4.5474735088646412E-12</v>
      </c>
      <c r="IL49" s="1171">
        <f t="shared" si="120"/>
        <v>4.5474735088646412E-12</v>
      </c>
      <c r="IM49" s="1171">
        <f t="shared" si="121"/>
        <v>0</v>
      </c>
      <c r="IN49" s="1171">
        <f t="shared" si="122"/>
        <v>2.384185791015625E-7</v>
      </c>
      <c r="IO49" s="1171">
        <f t="shared" si="123"/>
        <v>0</v>
      </c>
      <c r="IP49" s="1171">
        <f t="shared" si="124"/>
        <v>-2.74658203125E-4</v>
      </c>
      <c r="IQ49" s="1171">
        <f t="shared" si="125"/>
        <v>0</v>
      </c>
      <c r="IR49" s="1171">
        <f t="shared" si="126"/>
        <v>0</v>
      </c>
      <c r="IS49" s="1171">
        <f t="shared" si="127"/>
        <v>2.7284841053187847E-12</v>
      </c>
      <c r="IT49" s="1171">
        <f t="shared" si="128"/>
        <v>-2.7284841053187847E-12</v>
      </c>
      <c r="IU49" s="1171">
        <f t="shared" si="129"/>
        <v>-2.0861625671386719E-7</v>
      </c>
      <c r="IV49" s="1171">
        <f t="shared" si="130"/>
        <v>-3.2782554626464844E-7</v>
      </c>
      <c r="IW49" s="1171">
        <f t="shared" si="131"/>
        <v>0</v>
      </c>
      <c r="IX49" s="1171">
        <f t="shared" si="132"/>
        <v>-2.74658203125E-4</v>
      </c>
    </row>
    <row r="50" spans="1:258" s="871" customFormat="1">
      <c r="B50" s="871" t="str">
        <f t="shared" ref="B50" si="249">LEFT(B48,3)+1&amp;"j"</f>
        <v>124j</v>
      </c>
      <c r="C50" s="871">
        <v>101.9</v>
      </c>
      <c r="D50" s="871">
        <v>0</v>
      </c>
      <c r="E50" s="871" t="s">
        <v>2099</v>
      </c>
      <c r="F50" s="26">
        <v>2</v>
      </c>
      <c r="G50" s="136">
        <v>500</v>
      </c>
      <c r="H50" s="136">
        <v>26</v>
      </c>
      <c r="I50" s="28">
        <v>250</v>
      </c>
      <c r="J50" s="26">
        <v>1940</v>
      </c>
      <c r="K50" s="136">
        <v>24</v>
      </c>
      <c r="L50" s="28">
        <v>120</v>
      </c>
      <c r="M50" s="26">
        <v>2800</v>
      </c>
      <c r="N50" s="28">
        <v>12</v>
      </c>
      <c r="O50" s="397">
        <v>0</v>
      </c>
      <c r="P50" s="26">
        <v>290</v>
      </c>
      <c r="Q50" s="397">
        <f>+Section!L111</f>
        <v>5500</v>
      </c>
      <c r="R50" s="169">
        <v>0</v>
      </c>
      <c r="S50" s="210">
        <v>0</v>
      </c>
      <c r="T50" s="210">
        <v>1200</v>
      </c>
      <c r="U50" s="210">
        <v>2400</v>
      </c>
      <c r="V50" s="872">
        <v>3800</v>
      </c>
      <c r="W50" s="210">
        <v>19</v>
      </c>
      <c r="X50" s="210">
        <v>200</v>
      </c>
      <c r="Y50" s="210">
        <v>50</v>
      </c>
      <c r="Z50" s="210">
        <v>16</v>
      </c>
      <c r="AA50" s="210">
        <v>200</v>
      </c>
      <c r="AB50" s="872">
        <v>40</v>
      </c>
      <c r="AC50" s="210">
        <v>0</v>
      </c>
      <c r="AD50" s="397">
        <v>2</v>
      </c>
      <c r="AE50" s="210">
        <v>160</v>
      </c>
      <c r="AF50" s="210">
        <v>16</v>
      </c>
      <c r="AG50" s="397">
        <v>0</v>
      </c>
      <c r="AH50" s="210">
        <v>0</v>
      </c>
      <c r="AI50" s="210">
        <v>0</v>
      </c>
      <c r="AJ50" s="397">
        <v>2</v>
      </c>
      <c r="AK50" s="210">
        <v>2500</v>
      </c>
      <c r="AL50" s="210">
        <v>5000</v>
      </c>
      <c r="AM50" s="210" t="s">
        <v>2316</v>
      </c>
      <c r="AN50" s="210">
        <v>2500</v>
      </c>
      <c r="AO50" s="1143" t="s">
        <v>2321</v>
      </c>
      <c r="AP50" s="1143" t="s">
        <v>2321</v>
      </c>
      <c r="AQ50" s="136">
        <v>150</v>
      </c>
      <c r="AR50" s="136">
        <v>14</v>
      </c>
      <c r="AS50" s="1143" t="s">
        <v>2448</v>
      </c>
      <c r="AT50" s="136">
        <v>120</v>
      </c>
      <c r="AU50" s="136">
        <v>12</v>
      </c>
      <c r="AV50" s="1109" t="s">
        <v>2157</v>
      </c>
      <c r="AW50" s="1109">
        <v>12</v>
      </c>
      <c r="AX50" s="1109">
        <v>400</v>
      </c>
      <c r="AY50" s="1109">
        <v>1000</v>
      </c>
      <c r="AZ50" s="1108">
        <v>8</v>
      </c>
      <c r="BA50" s="1108">
        <v>6</v>
      </c>
      <c r="BB50" s="1109"/>
      <c r="BC50" s="1168"/>
      <c r="BD50" s="210">
        <f>INDEX(Spec!$B$12:$P$58,MATCH(AO50,Spec!$A$12:$A$58,0),6)*100</f>
        <v>1900</v>
      </c>
      <c r="BE50" s="210">
        <f>INDEX(Spec!$B$12:$P$58,MATCH(AP50,Spec!$A$12:$A$58,0),6)*100</f>
        <v>1900</v>
      </c>
      <c r="BF50" s="881">
        <f t="shared" si="161"/>
        <v>0.69670326754723877</v>
      </c>
      <c r="BG50" s="881">
        <f t="shared" si="162"/>
        <v>47.243485714285718</v>
      </c>
      <c r="BH50" s="881"/>
      <c r="BI50" s="13" cm="1">
        <f t="array" ref="BI50">INDEX(Info!$AD$4:$AH$15,MATCH(Info!$I$13,Info!$AC$4:$AC$15,0),IF(H50&lt;=16,1,IF(H50&lt;=40,2,IF(H50&lt;=75,3,IF(H50&lt;=100,4,5)))))</f>
        <v>380</v>
      </c>
      <c r="BJ50" s="13" cm="1">
        <f t="array" ref="BJ50">INDEX(Info!$AD$4:$AH$15,MATCH(Info!$I$13,Info!$AC$4:$AC$15,0),IF(K50&lt;=16,1,IF(K50&lt;=40,2,IF(K50&lt;=75,3,IF(K50&lt;=100,4,5)))))</f>
        <v>380</v>
      </c>
      <c r="BK50" s="13" cm="1">
        <f t="array" ref="BK50">INDEX(Info!$AD$4:$AH$15,MATCH(Info!$I$14,Info!$AC$4:$AC$15,0),IF(N50&lt;=16,1,IF(N50&lt;=40,2,IF(N50&lt;=75,3,IF(N50&lt;=100,4,5)))))</f>
        <v>355</v>
      </c>
      <c r="BL50" s="13">
        <f>IF(Stress!C879="Positive",MAX(MIN(0.7*BI50,BK50),0.5*BI50),MAX(MIN(0.7*BJ50,BK50),0.5*BJ50))</f>
        <v>266</v>
      </c>
      <c r="BM50" s="13" cm="1">
        <f t="array" ref="BM50">INDEX(Info!$AD$4:$AH$15,MATCH(Info!$I$13,Info!$AC$4:$AC$15,0),IF(AI50&lt;=16,1,IF(AI50&lt;=40,2,IF(AI50&lt;=75,3,IF(AI50&lt;=100,4,5)))))</f>
        <v>380</v>
      </c>
      <c r="BN50" s="13" cm="1">
        <f t="array" ref="BN50">INDEX(Info!$AD$4:$AH$15,MATCH(Info!$I$13,Info!$AC$4:$AC$15,0),IF(AF50&lt;=16,1,IF(AF50&lt;=40,2,IF(AF50&lt;=75,3,IF(AF50&lt;=100,4,5)))))</f>
        <v>380</v>
      </c>
      <c r="BO50" s="13"/>
      <c r="BP50" s="873">
        <f t="shared" si="163"/>
        <v>0.125</v>
      </c>
      <c r="BQ50" s="873">
        <f t="shared" si="164"/>
        <v>2821.7902119044925</v>
      </c>
      <c r="BR50" s="873">
        <f t="shared" si="165"/>
        <v>3114</v>
      </c>
      <c r="BS50" s="873"/>
      <c r="BT50" s="871">
        <f t="shared" si="166"/>
        <v>0</v>
      </c>
      <c r="BU50" s="136">
        <f t="shared" si="167"/>
        <v>0</v>
      </c>
      <c r="BV50" s="871">
        <f t="shared" si="168"/>
        <v>1595000</v>
      </c>
      <c r="BW50" s="871">
        <f t="shared" si="169"/>
        <v>11178291666.666666</v>
      </c>
      <c r="BX50" s="871">
        <f t="shared" si="170"/>
        <v>0</v>
      </c>
      <c r="BY50" s="871">
        <f t="shared" si="171"/>
        <v>0</v>
      </c>
      <c r="BZ50" s="871">
        <f t="shared" si="172"/>
        <v>7655.2758986349281</v>
      </c>
      <c r="CA50" s="871">
        <f t="shared" si="173"/>
        <v>172722.16246295057</v>
      </c>
      <c r="CB50" s="871">
        <f t="shared" si="174"/>
        <v>5428.6721054031623</v>
      </c>
      <c r="CC50" s="871">
        <f t="shared" si="175"/>
        <v>86858.753686450596</v>
      </c>
      <c r="CE50" s="1137">
        <f t="shared" si="176"/>
        <v>346081987.77679139</v>
      </c>
      <c r="CF50" s="1136">
        <f t="shared" si="177"/>
        <v>411131448.88888884</v>
      </c>
      <c r="CG50" s="1136">
        <f t="shared" si="178"/>
        <v>0</v>
      </c>
      <c r="CH50" s="172">
        <f t="shared" si="179"/>
        <v>4020729166666.6665</v>
      </c>
      <c r="CJ50" s="136">
        <f t="shared" si="180"/>
        <v>145402.96508570784</v>
      </c>
      <c r="CK50" s="7">
        <f t="shared" si="181"/>
        <v>189124645922.75742</v>
      </c>
      <c r="CL50" s="875">
        <f t="shared" si="182"/>
        <v>1671.9586706427854</v>
      </c>
      <c r="CM50" s="6">
        <f t="shared" si="183"/>
        <v>1178.0413293572146</v>
      </c>
      <c r="CN50" s="876">
        <f t="shared" si="73"/>
        <v>113115622.55904828</v>
      </c>
      <c r="CO50" s="876">
        <f t="shared" si="74"/>
        <v>160541605.12853247</v>
      </c>
      <c r="CP50" s="1137">
        <f t="shared" si="184"/>
        <v>125681121405.19185</v>
      </c>
      <c r="CQ50" s="1136">
        <f t="shared" si="185"/>
        <v>33272728541.30838</v>
      </c>
      <c r="CR50" s="877">
        <f t="shared" si="186"/>
        <v>145402.96508570784</v>
      </c>
      <c r="CS50" s="874">
        <f t="shared" si="187"/>
        <v>189124645922.75742</v>
      </c>
      <c r="CT50" s="875">
        <f t="shared" si="188"/>
        <v>1671.9586706427854</v>
      </c>
      <c r="CU50" s="878">
        <f t="shared" si="189"/>
        <v>1178.0413293572146</v>
      </c>
      <c r="CV50" s="876">
        <f t="shared" si="190"/>
        <v>113115622.55904828</v>
      </c>
      <c r="CW50" s="876">
        <f t="shared" si="191"/>
        <v>160541605.12853247</v>
      </c>
      <c r="CX50" s="1136">
        <f t="shared" si="192"/>
        <v>125681121405.19185</v>
      </c>
      <c r="CY50" s="1136">
        <f t="shared" si="193"/>
        <v>33272728541.30838</v>
      </c>
      <c r="CZ50" s="877">
        <f t="shared" si="194"/>
        <v>145402.96508570784</v>
      </c>
      <c r="DA50" s="874">
        <f t="shared" si="195"/>
        <v>189124645922.75742</v>
      </c>
      <c r="DB50" s="875">
        <f t="shared" si="196"/>
        <v>1671.9586706427854</v>
      </c>
      <c r="DC50" s="878">
        <f t="shared" si="197"/>
        <v>1178.0413293572146</v>
      </c>
      <c r="DD50" s="876">
        <f t="shared" si="75"/>
        <v>113115622.55904828</v>
      </c>
      <c r="DE50" s="876">
        <f t="shared" si="76"/>
        <v>160541605.12853247</v>
      </c>
      <c r="DF50" s="1136">
        <f t="shared" si="198"/>
        <v>125681121405.19185</v>
      </c>
      <c r="DG50" s="1136">
        <f t="shared" si="199"/>
        <v>33272728541.30838</v>
      </c>
      <c r="DH50" s="877">
        <f t="shared" si="200"/>
        <v>393314.65161772241</v>
      </c>
      <c r="DI50" s="879">
        <f t="shared" si="201"/>
        <v>484830911260.67322</v>
      </c>
      <c r="DJ50" s="878">
        <f t="shared" si="202"/>
        <v>543.09255105635339</v>
      </c>
      <c r="DK50" s="877">
        <f t="shared" si="203"/>
        <v>2306.9074489436466</v>
      </c>
      <c r="DL50" s="876">
        <f t="shared" si="77"/>
        <v>892722447.24705362</v>
      </c>
      <c r="DM50" s="876">
        <f t="shared" si="78"/>
        <v>210164873.09999436</v>
      </c>
      <c r="DN50" s="7">
        <f t="shared" si="204"/>
        <v>750625164537.97864</v>
      </c>
      <c r="DO50" s="1136">
        <f t="shared" si="205"/>
        <v>224551840849.69873</v>
      </c>
      <c r="DP50" s="877">
        <f t="shared" si="206"/>
        <v>228040.1939297127</v>
      </c>
      <c r="DQ50" s="879">
        <f t="shared" si="207"/>
        <v>358712367866.07629</v>
      </c>
      <c r="DR50" s="877">
        <f t="shared" si="208"/>
        <v>1022.9508840519725</v>
      </c>
      <c r="DS50" s="877">
        <f t="shared" si="209"/>
        <v>1827.0491159480275</v>
      </c>
      <c r="DT50" s="876">
        <f t="shared" si="79"/>
        <v>350664311.9024387</v>
      </c>
      <c r="DU50" s="876">
        <f t="shared" si="80"/>
        <v>196334277.35189593</v>
      </c>
      <c r="DV50" s="1136">
        <f t="shared" si="210"/>
        <v>333995802449.4541</v>
      </c>
      <c r="DW50" s="1136">
        <f t="shared" si="211"/>
        <v>224551840849.69873</v>
      </c>
      <c r="DX50" s="880">
        <f t="shared" si="212"/>
        <v>158486.91308974594</v>
      </c>
      <c r="DY50" s="874">
        <f t="shared" si="213"/>
        <v>228272991963.38809</v>
      </c>
      <c r="DZ50" s="873">
        <f t="shared" si="214"/>
        <v>1523.1132530402854</v>
      </c>
      <c r="EA50" s="880">
        <f t="shared" si="215"/>
        <v>1326.8867469597146</v>
      </c>
      <c r="EB50" s="876">
        <f t="shared" si="81"/>
        <v>149872631.93182287</v>
      </c>
      <c r="EC50" s="876">
        <f t="shared" si="82"/>
        <v>172036530.23623022</v>
      </c>
      <c r="ED50" s="1136">
        <f t="shared" si="216"/>
        <v>750625164537.97864</v>
      </c>
      <c r="EE50" s="1136">
        <f t="shared" si="217"/>
        <v>224551840849.69873</v>
      </c>
      <c r="EF50" s="880">
        <f t="shared" si="218"/>
        <v>149764.28108705388</v>
      </c>
      <c r="EG50" s="874">
        <f t="shared" si="219"/>
        <v>202931654274.86081</v>
      </c>
      <c r="EH50" s="873">
        <f t="shared" si="220"/>
        <v>1619.4538263809727</v>
      </c>
      <c r="EI50" s="880">
        <f t="shared" si="221"/>
        <v>1230.5461736190273</v>
      </c>
      <c r="EJ50" s="876">
        <f t="shared" si="83"/>
        <v>125308700.35878479</v>
      </c>
      <c r="EK50" s="876">
        <f t="shared" si="84"/>
        <v>164911856.72297066</v>
      </c>
      <c r="EL50" s="1136">
        <f t="shared" si="85"/>
        <v>333995802449.4541</v>
      </c>
      <c r="EM50" s="1136">
        <f t="shared" si="86"/>
        <v>224551840849.69873</v>
      </c>
      <c r="EN50" s="876"/>
      <c r="EO50" s="1113" t="s">
        <v>2208</v>
      </c>
      <c r="EP50" s="1114">
        <v>145402.96508570801</v>
      </c>
      <c r="EQ50" s="1114">
        <v>189124645922.75699</v>
      </c>
      <c r="ER50" s="1115">
        <v>1671.9586706427899</v>
      </c>
      <c r="ES50" s="1115">
        <v>1178.0413293572101</v>
      </c>
      <c r="ET50" s="1114">
        <v>113115622.559048</v>
      </c>
      <c r="EU50" s="1114">
        <v>160541605.12853199</v>
      </c>
      <c r="EV50" s="1114">
        <v>125681121405.192</v>
      </c>
      <c r="EW50" s="1114">
        <v>33272728541.308399</v>
      </c>
      <c r="EX50" s="1114">
        <v>145402.96508570801</v>
      </c>
      <c r="EY50" s="1114">
        <v>189124645922.75699</v>
      </c>
      <c r="EZ50" s="1115">
        <v>1671.9586706427899</v>
      </c>
      <c r="FA50" s="1115">
        <v>1178.0413293572101</v>
      </c>
      <c r="FB50" s="1114">
        <v>113115622.559048</v>
      </c>
      <c r="FC50" s="1114">
        <v>160541605.12853199</v>
      </c>
      <c r="FD50" s="1114">
        <v>125681121405.192</v>
      </c>
      <c r="FE50" s="1114">
        <v>33272728541.308399</v>
      </c>
      <c r="FF50" s="1114">
        <v>145402.96508570801</v>
      </c>
      <c r="FG50" s="1114">
        <v>189124645922.75699</v>
      </c>
      <c r="FH50" s="1115">
        <v>1671.9586706427899</v>
      </c>
      <c r="FI50" s="1115">
        <v>1178.0413293572101</v>
      </c>
      <c r="FJ50" s="1114">
        <v>113115622.559048</v>
      </c>
      <c r="FK50" s="1114">
        <v>160541605.12853199</v>
      </c>
      <c r="FL50" s="1114">
        <v>125681121405.192</v>
      </c>
      <c r="FM50" s="1114">
        <v>33272728541.308399</v>
      </c>
      <c r="FN50" s="1114">
        <v>393314.65161772299</v>
      </c>
      <c r="FO50" s="1114">
        <v>484830911260.67297</v>
      </c>
      <c r="FP50" s="1115">
        <v>543.09255105635305</v>
      </c>
      <c r="FQ50" s="1115">
        <v>2306.9074489436498</v>
      </c>
      <c r="FR50" s="1114">
        <v>892722447.24705398</v>
      </c>
      <c r="FS50" s="1114">
        <v>210164873.099994</v>
      </c>
      <c r="FT50" s="1114">
        <v>750625164537.979</v>
      </c>
      <c r="FU50" s="1114">
        <v>224551840849.69901</v>
      </c>
      <c r="FV50" s="1114">
        <v>228040.19392971299</v>
      </c>
      <c r="FW50" s="1114">
        <v>358712367866.07599</v>
      </c>
      <c r="FX50" s="1115">
        <v>1022.95088405197</v>
      </c>
      <c r="FY50" s="1115">
        <v>1827.04911594803</v>
      </c>
      <c r="FZ50" s="1114">
        <v>350664311.902439</v>
      </c>
      <c r="GA50" s="1114">
        <v>196334277.35189599</v>
      </c>
      <c r="GB50" s="1114">
        <v>333995802449.45398</v>
      </c>
      <c r="GC50" s="1114">
        <v>224551840849.69901</v>
      </c>
      <c r="GD50" s="1114">
        <v>158486.913089746</v>
      </c>
      <c r="GE50" s="1114">
        <v>228272991963.388</v>
      </c>
      <c r="GF50" s="1115">
        <v>1523.1132530402899</v>
      </c>
      <c r="GG50" s="1115">
        <v>1326.8867469597101</v>
      </c>
      <c r="GH50" s="1114">
        <v>149872631.93182299</v>
      </c>
      <c r="GI50" s="1114">
        <v>172036530.23622999</v>
      </c>
      <c r="GJ50" s="1114">
        <v>750625164537.979</v>
      </c>
      <c r="GK50" s="1114">
        <v>224551840849.69901</v>
      </c>
      <c r="GL50" s="1114">
        <v>149764.281087054</v>
      </c>
      <c r="GM50" s="1114">
        <v>202931654274.86099</v>
      </c>
      <c r="GN50" s="1115">
        <v>1619.45382638097</v>
      </c>
      <c r="GO50" s="1115">
        <v>1230.54617361903</v>
      </c>
      <c r="GP50" s="1114">
        <v>125308700.358785</v>
      </c>
      <c r="GQ50" s="1114">
        <v>164911856.72297099</v>
      </c>
      <c r="GR50" s="1114">
        <v>333995802449.45398</v>
      </c>
      <c r="GS50" s="1114">
        <v>224551840849.69901</v>
      </c>
      <c r="GU50" s="1171">
        <f t="shared" si="222"/>
        <v>0</v>
      </c>
      <c r="GV50" s="1171">
        <f t="shared" si="223"/>
        <v>4.2724609375E-4</v>
      </c>
      <c r="GW50" s="1171">
        <f t="shared" si="224"/>
        <v>-4.5474735088646412E-12</v>
      </c>
      <c r="GX50" s="1171">
        <f t="shared" si="225"/>
        <v>4.5474735088646412E-12</v>
      </c>
      <c r="GY50" s="1171">
        <f t="shared" si="226"/>
        <v>2.8312206268310547E-7</v>
      </c>
      <c r="GZ50" s="1171">
        <f t="shared" si="227"/>
        <v>4.76837158203125E-7</v>
      </c>
      <c r="HA50" s="1171">
        <f t="shared" si="235"/>
        <v>-1.52587890625E-4</v>
      </c>
      <c r="HB50" s="1171">
        <f t="shared" si="228"/>
        <v>0</v>
      </c>
      <c r="HC50" s="1171">
        <f t="shared" si="229"/>
        <v>0</v>
      </c>
      <c r="HD50" s="1171">
        <f t="shared" si="230"/>
        <v>4.2724609375E-4</v>
      </c>
      <c r="HE50" s="1171">
        <f t="shared" si="231"/>
        <v>-4.5474735088646412E-12</v>
      </c>
      <c r="HF50" s="1171">
        <f t="shared" si="232"/>
        <v>4.5474735088646412E-12</v>
      </c>
      <c r="HG50" s="1171">
        <f t="shared" si="89"/>
        <v>2.8312206268310547E-7</v>
      </c>
      <c r="HH50" s="1171">
        <f t="shared" si="90"/>
        <v>4.76837158203125E-7</v>
      </c>
      <c r="HI50" s="1171">
        <f t="shared" si="91"/>
        <v>-1.52587890625E-4</v>
      </c>
      <c r="HJ50" s="1171">
        <f t="shared" si="92"/>
        <v>0</v>
      </c>
      <c r="HK50" s="1171">
        <f t="shared" si="93"/>
        <v>0</v>
      </c>
      <c r="HL50" s="1171">
        <f t="shared" si="94"/>
        <v>4.2724609375E-4</v>
      </c>
      <c r="HM50" s="1171">
        <f t="shared" si="95"/>
        <v>-4.5474735088646412E-12</v>
      </c>
      <c r="HN50" s="1171">
        <f t="shared" si="96"/>
        <v>4.5474735088646412E-12</v>
      </c>
      <c r="HO50" s="1171">
        <f t="shared" si="97"/>
        <v>2.8312206268310547E-7</v>
      </c>
      <c r="HP50" s="1171">
        <f t="shared" si="98"/>
        <v>4.76837158203125E-7</v>
      </c>
      <c r="HQ50" s="1171">
        <f t="shared" si="99"/>
        <v>-1.52587890625E-4</v>
      </c>
      <c r="HR50" s="1171">
        <f t="shared" si="100"/>
        <v>0</v>
      </c>
      <c r="HS50" s="1171">
        <f t="shared" si="101"/>
        <v>-5.8207660913467407E-10</v>
      </c>
      <c r="HT50" s="1171">
        <f t="shared" si="102"/>
        <v>0</v>
      </c>
      <c r="HU50" s="1171">
        <f t="shared" si="103"/>
        <v>0</v>
      </c>
      <c r="HV50" s="1171">
        <f t="shared" si="104"/>
        <v>0</v>
      </c>
      <c r="HW50" s="1171">
        <f t="shared" si="105"/>
        <v>0</v>
      </c>
      <c r="HX50" s="1171">
        <f t="shared" si="106"/>
        <v>3.5762786865234375E-7</v>
      </c>
      <c r="HY50" s="1171">
        <f t="shared" si="107"/>
        <v>0</v>
      </c>
      <c r="HZ50" s="1171">
        <f t="shared" si="108"/>
        <v>-2.74658203125E-4</v>
      </c>
      <c r="IA50" s="1171">
        <f t="shared" si="109"/>
        <v>-2.9103830456733704E-10</v>
      </c>
      <c r="IB50" s="1171">
        <f t="shared" si="110"/>
        <v>0</v>
      </c>
      <c r="IC50" s="1171">
        <f t="shared" si="111"/>
        <v>2.5011104298755527E-12</v>
      </c>
      <c r="ID50" s="1171">
        <f t="shared" si="112"/>
        <v>-2.5011104298755527E-12</v>
      </c>
      <c r="IE50" s="1171">
        <f t="shared" si="113"/>
        <v>0</v>
      </c>
      <c r="IF50" s="1171">
        <f t="shared" si="114"/>
        <v>0</v>
      </c>
      <c r="IG50" s="1171">
        <f t="shared" si="115"/>
        <v>0</v>
      </c>
      <c r="IH50" s="1171">
        <f t="shared" si="116"/>
        <v>-2.74658203125E-4</v>
      </c>
      <c r="II50" s="1171">
        <f t="shared" si="117"/>
        <v>0</v>
      </c>
      <c r="IJ50" s="1171">
        <f t="shared" si="118"/>
        <v>0</v>
      </c>
      <c r="IK50" s="1171">
        <f t="shared" si="119"/>
        <v>-4.5474735088646412E-12</v>
      </c>
      <c r="IL50" s="1171">
        <f t="shared" si="120"/>
        <v>4.5474735088646412E-12</v>
      </c>
      <c r="IM50" s="1171">
        <f t="shared" si="121"/>
        <v>0</v>
      </c>
      <c r="IN50" s="1171">
        <f t="shared" si="122"/>
        <v>2.384185791015625E-7</v>
      </c>
      <c r="IO50" s="1171">
        <f t="shared" si="123"/>
        <v>0</v>
      </c>
      <c r="IP50" s="1171">
        <f t="shared" si="124"/>
        <v>-2.74658203125E-4</v>
      </c>
      <c r="IQ50" s="1171">
        <f t="shared" si="125"/>
        <v>0</v>
      </c>
      <c r="IR50" s="1171">
        <f t="shared" si="126"/>
        <v>0</v>
      </c>
      <c r="IS50" s="1171">
        <f t="shared" si="127"/>
        <v>2.7284841053187847E-12</v>
      </c>
      <c r="IT50" s="1171">
        <f t="shared" si="128"/>
        <v>-2.7284841053187847E-12</v>
      </c>
      <c r="IU50" s="1171">
        <f t="shared" si="129"/>
        <v>-2.0861625671386719E-7</v>
      </c>
      <c r="IV50" s="1171">
        <f t="shared" si="130"/>
        <v>-3.2782554626464844E-7</v>
      </c>
      <c r="IW50" s="1171">
        <f t="shared" si="131"/>
        <v>0</v>
      </c>
      <c r="IX50" s="1171">
        <f t="shared" si="132"/>
        <v>-2.74658203125E-4</v>
      </c>
    </row>
    <row r="51" spans="1:258" s="871" customFormat="1">
      <c r="A51" s="871">
        <v>125</v>
      </c>
      <c r="B51" s="871" t="str">
        <f t="shared" ref="B51" si="250">LEFT(B49,3)+1&amp;"i"</f>
        <v>125i</v>
      </c>
      <c r="C51" s="871">
        <v>101.9</v>
      </c>
      <c r="D51" s="871">
        <v>0</v>
      </c>
      <c r="E51" s="871" t="s">
        <v>2100</v>
      </c>
      <c r="F51" s="26">
        <v>2</v>
      </c>
      <c r="G51" s="136">
        <v>500</v>
      </c>
      <c r="H51" s="136">
        <v>22</v>
      </c>
      <c r="I51" s="28">
        <v>250</v>
      </c>
      <c r="J51" s="26">
        <v>1940</v>
      </c>
      <c r="K51" s="136">
        <v>18</v>
      </c>
      <c r="L51" s="28">
        <v>120</v>
      </c>
      <c r="M51" s="26">
        <v>2800</v>
      </c>
      <c r="N51" s="28">
        <v>12</v>
      </c>
      <c r="O51" s="397">
        <v>0</v>
      </c>
      <c r="P51" s="26">
        <v>290</v>
      </c>
      <c r="Q51" s="397">
        <f>+Section!L112</f>
        <v>5500</v>
      </c>
      <c r="R51" s="169">
        <v>0</v>
      </c>
      <c r="S51" s="210">
        <v>0</v>
      </c>
      <c r="T51" s="210">
        <v>1200</v>
      </c>
      <c r="U51" s="210">
        <v>2400</v>
      </c>
      <c r="V51" s="872">
        <v>3800</v>
      </c>
      <c r="W51" s="210">
        <v>19</v>
      </c>
      <c r="X51" s="210">
        <v>200</v>
      </c>
      <c r="Y51" s="210">
        <v>50</v>
      </c>
      <c r="Z51" s="210">
        <v>16</v>
      </c>
      <c r="AA51" s="210">
        <v>200</v>
      </c>
      <c r="AB51" s="872">
        <v>40</v>
      </c>
      <c r="AC51" s="210">
        <v>0</v>
      </c>
      <c r="AD51" s="397">
        <v>2</v>
      </c>
      <c r="AE51" s="210">
        <v>160</v>
      </c>
      <c r="AF51" s="210">
        <v>16</v>
      </c>
      <c r="AG51" s="397">
        <v>0</v>
      </c>
      <c r="AH51" s="210">
        <v>0</v>
      </c>
      <c r="AI51" s="210">
        <v>0</v>
      </c>
      <c r="AJ51" s="397">
        <v>2</v>
      </c>
      <c r="AK51" s="210">
        <v>2500</v>
      </c>
      <c r="AL51" s="210">
        <v>5000</v>
      </c>
      <c r="AM51" s="210" t="s">
        <v>2316</v>
      </c>
      <c r="AN51" s="210">
        <v>2500</v>
      </c>
      <c r="AO51" s="1143" t="s">
        <v>2321</v>
      </c>
      <c r="AP51" s="1143" t="s">
        <v>2321</v>
      </c>
      <c r="AQ51" s="136">
        <v>150</v>
      </c>
      <c r="AR51" s="136">
        <v>14</v>
      </c>
      <c r="AS51" s="1143" t="s">
        <v>2448</v>
      </c>
      <c r="AT51" s="136">
        <v>120</v>
      </c>
      <c r="AU51" s="136">
        <v>12</v>
      </c>
      <c r="AV51" s="1109" t="s">
        <v>2157</v>
      </c>
      <c r="AW51" s="1109">
        <v>12</v>
      </c>
      <c r="AX51" s="1109">
        <v>400</v>
      </c>
      <c r="AY51" s="1109">
        <v>1000</v>
      </c>
      <c r="AZ51" s="1108">
        <v>8</v>
      </c>
      <c r="BA51" s="1108">
        <v>6</v>
      </c>
      <c r="BB51" s="1109"/>
      <c r="BC51" s="1168"/>
      <c r="BD51" s="210">
        <f>INDEX(Spec!$B$12:$P$58,MATCH(AO51,Spec!$A$12:$A$58,0),6)*100</f>
        <v>1900</v>
      </c>
      <c r="BE51" s="210">
        <f>INDEX(Spec!$B$12:$P$58,MATCH(AP51,Spec!$A$12:$A$58,0),6)*100</f>
        <v>1900</v>
      </c>
      <c r="BF51" s="881">
        <f t="shared" si="161"/>
        <v>0.69515529669535348</v>
      </c>
      <c r="BG51" s="881">
        <f t="shared" si="162"/>
        <v>47.243485714285718</v>
      </c>
      <c r="BH51" s="881"/>
      <c r="BI51" s="13" cm="1">
        <f t="array" ref="BI51">INDEX(Info!$AD$4:$AH$15,MATCH(Info!$I$13,Info!$AC$4:$AC$15,0),IF(H51&lt;=16,1,IF(H51&lt;=40,2,IF(H51&lt;=75,3,IF(H51&lt;=100,4,5)))))</f>
        <v>380</v>
      </c>
      <c r="BJ51" s="13" cm="1">
        <f t="array" ref="BJ51">INDEX(Info!$AD$4:$AH$15,MATCH(Info!$I$13,Info!$AC$4:$AC$15,0),IF(K51&lt;=16,1,IF(K51&lt;=40,2,IF(K51&lt;=75,3,IF(K51&lt;=100,4,5)))))</f>
        <v>380</v>
      </c>
      <c r="BK51" s="13" cm="1">
        <f t="array" ref="BK51">INDEX(Info!$AD$4:$AH$15,MATCH(Info!$I$14,Info!$AC$4:$AC$15,0),IF(N51&lt;=16,1,IF(N51&lt;=40,2,IF(N51&lt;=75,3,IF(N51&lt;=100,4,5)))))</f>
        <v>355</v>
      </c>
      <c r="BL51" s="13">
        <f>IF(Stress!C880="Positive",MAX(MIN(0.7*BI51,BK51),0.5*BI51),MAX(MIN(0.7*BJ51,BK51),0.5*BJ51))</f>
        <v>266</v>
      </c>
      <c r="BM51" s="13" cm="1">
        <f t="array" ref="BM51">INDEX(Info!$AD$4:$AH$15,MATCH(Info!$I$13,Info!$AC$4:$AC$15,0),IF(AI51&lt;=16,1,IF(AI51&lt;=40,2,IF(AI51&lt;=75,3,IF(AI51&lt;=100,4,5)))))</f>
        <v>380</v>
      </c>
      <c r="BN51" s="13" cm="1">
        <f t="array" ref="BN51">INDEX(Info!$AD$4:$AH$15,MATCH(Info!$I$13,Info!$AC$4:$AC$15,0),IF(AF51&lt;=16,1,IF(AF51&lt;=40,2,IF(AF51&lt;=75,3,IF(AF51&lt;=100,4,5)))))</f>
        <v>380</v>
      </c>
      <c r="BO51" s="13"/>
      <c r="BP51" s="873">
        <f t="shared" si="163"/>
        <v>0.125</v>
      </c>
      <c r="BQ51" s="873">
        <f t="shared" si="164"/>
        <v>2821.7902119044925</v>
      </c>
      <c r="BR51" s="873">
        <f t="shared" si="165"/>
        <v>3108</v>
      </c>
      <c r="BS51" s="873"/>
      <c r="BT51" s="871">
        <f t="shared" si="166"/>
        <v>0</v>
      </c>
      <c r="BU51" s="136">
        <f t="shared" si="167"/>
        <v>0</v>
      </c>
      <c r="BV51" s="871">
        <f t="shared" si="168"/>
        <v>1595000</v>
      </c>
      <c r="BW51" s="871">
        <f t="shared" si="169"/>
        <v>11178291666.666666</v>
      </c>
      <c r="BX51" s="871">
        <f t="shared" si="170"/>
        <v>0</v>
      </c>
      <c r="BY51" s="871">
        <f t="shared" si="171"/>
        <v>0</v>
      </c>
      <c r="BZ51" s="871">
        <f t="shared" si="172"/>
        <v>7655.2758986349281</v>
      </c>
      <c r="CA51" s="871">
        <f t="shared" si="173"/>
        <v>172722.16246295057</v>
      </c>
      <c r="CB51" s="871">
        <f t="shared" si="174"/>
        <v>5428.6721054031623</v>
      </c>
      <c r="CC51" s="871">
        <f t="shared" si="175"/>
        <v>86858.753686450596</v>
      </c>
      <c r="CE51" s="1137">
        <f t="shared" si="176"/>
        <v>346081987.77679139</v>
      </c>
      <c r="CF51" s="1136">
        <f t="shared" si="177"/>
        <v>411131448.88888884</v>
      </c>
      <c r="CG51" s="1136">
        <f t="shared" si="178"/>
        <v>0</v>
      </c>
      <c r="CH51" s="172">
        <f t="shared" si="179"/>
        <v>4020729166666.6665</v>
      </c>
      <c r="CJ51" s="136">
        <f t="shared" si="180"/>
        <v>129762.96508570782</v>
      </c>
      <c r="CK51" s="7">
        <f t="shared" si="181"/>
        <v>161520594572.24292</v>
      </c>
      <c r="CL51" s="875">
        <f t="shared" si="182"/>
        <v>1614.0322950661719</v>
      </c>
      <c r="CM51" s="6">
        <f t="shared" si="183"/>
        <v>1225.9677049338281</v>
      </c>
      <c r="CN51" s="876">
        <f t="shared" si="73"/>
        <v>100072715.43821304</v>
      </c>
      <c r="CO51" s="876">
        <f t="shared" si="74"/>
        <v>131749469.3556883</v>
      </c>
      <c r="CP51" s="1137">
        <f t="shared" si="184"/>
        <v>116187096071.85852</v>
      </c>
      <c r="CQ51" s="1136">
        <f t="shared" si="185"/>
        <v>32916617372.582115</v>
      </c>
      <c r="CR51" s="877">
        <f t="shared" si="186"/>
        <v>129762.96508570782</v>
      </c>
      <c r="CS51" s="874">
        <f t="shared" si="187"/>
        <v>161520594572.24292</v>
      </c>
      <c r="CT51" s="875">
        <f t="shared" si="188"/>
        <v>1614.0322950661719</v>
      </c>
      <c r="CU51" s="878">
        <f t="shared" si="189"/>
        <v>1225.9677049338281</v>
      </c>
      <c r="CV51" s="876">
        <f t="shared" si="190"/>
        <v>100072715.43821304</v>
      </c>
      <c r="CW51" s="876">
        <f t="shared" si="191"/>
        <v>131749469.3556883</v>
      </c>
      <c r="CX51" s="1136">
        <f t="shared" si="192"/>
        <v>116187096071.85852</v>
      </c>
      <c r="CY51" s="1136">
        <f t="shared" si="193"/>
        <v>32916617372.582115</v>
      </c>
      <c r="CZ51" s="877">
        <f t="shared" si="194"/>
        <v>129762.96508570782</v>
      </c>
      <c r="DA51" s="874">
        <f t="shared" si="195"/>
        <v>161520594572.24292</v>
      </c>
      <c r="DB51" s="875">
        <f t="shared" si="196"/>
        <v>1614.0322950661719</v>
      </c>
      <c r="DC51" s="878">
        <f t="shared" si="197"/>
        <v>1225.9677049338281</v>
      </c>
      <c r="DD51" s="876">
        <f t="shared" si="75"/>
        <v>100072715.43821304</v>
      </c>
      <c r="DE51" s="876">
        <f t="shared" si="76"/>
        <v>131749469.3556883</v>
      </c>
      <c r="DF51" s="1136">
        <f t="shared" si="198"/>
        <v>116187096071.85852</v>
      </c>
      <c r="DG51" s="1136">
        <f t="shared" si="199"/>
        <v>32916617372.582115</v>
      </c>
      <c r="DH51" s="877">
        <f t="shared" si="200"/>
        <v>377674.65161772241</v>
      </c>
      <c r="DI51" s="879">
        <f t="shared" si="201"/>
        <v>420265490240.5509</v>
      </c>
      <c r="DJ51" s="878">
        <f t="shared" si="202"/>
        <v>473.81649295745774</v>
      </c>
      <c r="DK51" s="877">
        <f t="shared" si="203"/>
        <v>2366.1835070425423</v>
      </c>
      <c r="DL51" s="876">
        <f t="shared" si="77"/>
        <v>886979445.60212898</v>
      </c>
      <c r="DM51" s="876">
        <f t="shared" si="78"/>
        <v>177613227.7947599</v>
      </c>
      <c r="DN51" s="7">
        <f t="shared" si="204"/>
        <v>741131139204.64526</v>
      </c>
      <c r="DO51" s="1136">
        <f t="shared" si="205"/>
        <v>214476299647.88208</v>
      </c>
      <c r="DP51" s="877">
        <f t="shared" si="206"/>
        <v>212400.1939297127</v>
      </c>
      <c r="DQ51" s="879">
        <f t="shared" si="207"/>
        <v>314430424509.01593</v>
      </c>
      <c r="DR51" s="877">
        <f t="shared" si="208"/>
        <v>938.2158910363737</v>
      </c>
      <c r="DS51" s="877">
        <f t="shared" si="209"/>
        <v>1901.7841089636263</v>
      </c>
      <c r="DT51" s="876">
        <f t="shared" si="79"/>
        <v>335136536.81743681</v>
      </c>
      <c r="DU51" s="876">
        <f t="shared" si="80"/>
        <v>165334447.28401071</v>
      </c>
      <c r="DV51" s="1136">
        <f t="shared" si="210"/>
        <v>324501777116.12073</v>
      </c>
      <c r="DW51" s="1136">
        <f t="shared" si="211"/>
        <v>214476299647.88208</v>
      </c>
      <c r="DX51" s="880">
        <f t="shared" si="212"/>
        <v>142846.91308974591</v>
      </c>
      <c r="DY51" s="874">
        <f t="shared" si="213"/>
        <v>198007849742.18506</v>
      </c>
      <c r="DZ51" s="873">
        <f t="shared" si="214"/>
        <v>1453.8294571168058</v>
      </c>
      <c r="EA51" s="880">
        <f t="shared" si="215"/>
        <v>1386.1705428831942</v>
      </c>
      <c r="EB51" s="876">
        <f t="shared" si="81"/>
        <v>136197439.64664793</v>
      </c>
      <c r="EC51" s="876">
        <f t="shared" si="82"/>
        <v>142845229.80147487</v>
      </c>
      <c r="ED51" s="1136">
        <f t="shared" si="216"/>
        <v>741131139204.64526</v>
      </c>
      <c r="EE51" s="1136">
        <f t="shared" si="217"/>
        <v>214476299647.88208</v>
      </c>
      <c r="EF51" s="880">
        <f t="shared" si="218"/>
        <v>134124.28108705385</v>
      </c>
      <c r="EG51" s="874">
        <f t="shared" si="219"/>
        <v>174471223269.76736</v>
      </c>
      <c r="EH51" s="873">
        <f t="shared" si="220"/>
        <v>1557.158474547349</v>
      </c>
      <c r="EI51" s="880">
        <f t="shared" si="221"/>
        <v>1282.841525452651</v>
      </c>
      <c r="EJ51" s="876">
        <f t="shared" si="83"/>
        <v>112044615.96016069</v>
      </c>
      <c r="EK51" s="876">
        <f t="shared" si="84"/>
        <v>136003722.8356832</v>
      </c>
      <c r="EL51" s="1136">
        <f t="shared" si="85"/>
        <v>324501777116.12073</v>
      </c>
      <c r="EM51" s="1136">
        <f t="shared" si="86"/>
        <v>214476299647.88208</v>
      </c>
      <c r="EN51" s="876"/>
      <c r="EO51" s="1113" t="s">
        <v>2209</v>
      </c>
      <c r="EP51" s="1114">
        <v>129762.965085708</v>
      </c>
      <c r="EQ51" s="1114">
        <v>161520594572.24301</v>
      </c>
      <c r="ER51" s="1115">
        <v>1614.03229506617</v>
      </c>
      <c r="ES51" s="1115">
        <v>1225.96770493383</v>
      </c>
      <c r="ET51" s="1114">
        <v>100072715.43821301</v>
      </c>
      <c r="EU51" s="1114">
        <v>131749469.35568801</v>
      </c>
      <c r="EV51" s="1114">
        <v>116187096071.85899</v>
      </c>
      <c r="EW51" s="1114">
        <v>32916617372.5821</v>
      </c>
      <c r="EX51" s="1114">
        <v>129762.965085708</v>
      </c>
      <c r="EY51" s="1114">
        <v>161520594572.24301</v>
      </c>
      <c r="EZ51" s="1115">
        <v>1614.03229506617</v>
      </c>
      <c r="FA51" s="1115">
        <v>1225.96770493383</v>
      </c>
      <c r="FB51" s="1114">
        <v>100072715.43821301</v>
      </c>
      <c r="FC51" s="1114">
        <v>131749469.35568801</v>
      </c>
      <c r="FD51" s="1114">
        <v>116187096071.85899</v>
      </c>
      <c r="FE51" s="1114">
        <v>32916617372.5821</v>
      </c>
      <c r="FF51" s="1114">
        <v>129762.965085708</v>
      </c>
      <c r="FG51" s="1114">
        <v>161520594572.24301</v>
      </c>
      <c r="FH51" s="1115">
        <v>1614.03229506617</v>
      </c>
      <c r="FI51" s="1115">
        <v>1225.96770493383</v>
      </c>
      <c r="FJ51" s="1114">
        <v>100072715.43821301</v>
      </c>
      <c r="FK51" s="1114">
        <v>131749469.35568801</v>
      </c>
      <c r="FL51" s="1114">
        <v>116187096071.85899</v>
      </c>
      <c r="FM51" s="1114">
        <v>32916617372.5821</v>
      </c>
      <c r="FN51" s="1114">
        <v>377674.65161772299</v>
      </c>
      <c r="FO51" s="1114">
        <v>420265490240.55103</v>
      </c>
      <c r="FP51" s="1115">
        <v>473.816492957457</v>
      </c>
      <c r="FQ51" s="1115">
        <v>2366.18350704254</v>
      </c>
      <c r="FR51" s="1114">
        <v>886979445.60213101</v>
      </c>
      <c r="FS51" s="1114">
        <v>177613227.79475999</v>
      </c>
      <c r="FT51" s="1114">
        <v>741131139204.646</v>
      </c>
      <c r="FU51" s="1114">
        <v>214476299647.88199</v>
      </c>
      <c r="FV51" s="1114">
        <v>212400.19392971299</v>
      </c>
      <c r="FW51" s="1114">
        <v>314430424509.01599</v>
      </c>
      <c r="FX51" s="1115">
        <v>938.21589103637302</v>
      </c>
      <c r="FY51" s="1115">
        <v>1901.7841089636299</v>
      </c>
      <c r="FZ51" s="1114">
        <v>335136536.81743699</v>
      </c>
      <c r="GA51" s="1114">
        <v>165334447.28401101</v>
      </c>
      <c r="GB51" s="1114">
        <v>324501777116.12097</v>
      </c>
      <c r="GC51" s="1114">
        <v>214476299647.88199</v>
      </c>
      <c r="GD51" s="1114">
        <v>142846.913089746</v>
      </c>
      <c r="GE51" s="1114">
        <v>198007849742.185</v>
      </c>
      <c r="GF51" s="1115">
        <v>1453.8294571168101</v>
      </c>
      <c r="GG51" s="1115">
        <v>1386.1705428831899</v>
      </c>
      <c r="GH51" s="1114">
        <v>136197439.64664799</v>
      </c>
      <c r="GI51" s="1114">
        <v>142845229.80147499</v>
      </c>
      <c r="GJ51" s="1114">
        <v>741131139204.646</v>
      </c>
      <c r="GK51" s="1114">
        <v>214476299647.88199</v>
      </c>
      <c r="GL51" s="1114">
        <v>134124.281087054</v>
      </c>
      <c r="GM51" s="1114">
        <v>174471223269.767</v>
      </c>
      <c r="GN51" s="1115">
        <v>1557.1584745473499</v>
      </c>
      <c r="GO51" s="1115">
        <v>1282.8415254526501</v>
      </c>
      <c r="GP51" s="1114">
        <v>112044615.960161</v>
      </c>
      <c r="GQ51" s="1114">
        <v>136003722.83568299</v>
      </c>
      <c r="GR51" s="1114">
        <v>324501777116.12097</v>
      </c>
      <c r="GS51" s="1114">
        <v>214476299647.88199</v>
      </c>
      <c r="GU51" s="1171">
        <f t="shared" si="222"/>
        <v>-1.7462298274040222E-10</v>
      </c>
      <c r="GV51" s="1171">
        <f t="shared" si="223"/>
        <v>0</v>
      </c>
      <c r="GW51" s="1171">
        <f t="shared" si="224"/>
        <v>1.8189894035458565E-12</v>
      </c>
      <c r="GX51" s="1171">
        <f t="shared" si="225"/>
        <v>-1.8189894035458565E-12</v>
      </c>
      <c r="GY51" s="1171">
        <f t="shared" si="226"/>
        <v>0</v>
      </c>
      <c r="GZ51" s="1171">
        <f t="shared" si="227"/>
        <v>2.9802322387695313E-7</v>
      </c>
      <c r="HA51" s="1171">
        <f t="shared" si="235"/>
        <v>-4.730224609375E-4</v>
      </c>
      <c r="HB51" s="1171">
        <f t="shared" si="228"/>
        <v>0</v>
      </c>
      <c r="HC51" s="1171">
        <f t="shared" si="229"/>
        <v>-1.7462298274040222E-10</v>
      </c>
      <c r="HD51" s="1171">
        <f t="shared" si="230"/>
        <v>0</v>
      </c>
      <c r="HE51" s="1171">
        <f t="shared" si="231"/>
        <v>1.8189894035458565E-12</v>
      </c>
      <c r="HF51" s="1171">
        <f t="shared" si="232"/>
        <v>-1.8189894035458565E-12</v>
      </c>
      <c r="HG51" s="1171">
        <f t="shared" si="89"/>
        <v>0</v>
      </c>
      <c r="HH51" s="1171">
        <f t="shared" si="90"/>
        <v>2.9802322387695313E-7</v>
      </c>
      <c r="HI51" s="1171">
        <f t="shared" si="91"/>
        <v>-4.730224609375E-4</v>
      </c>
      <c r="HJ51" s="1171">
        <f t="shared" si="92"/>
        <v>0</v>
      </c>
      <c r="HK51" s="1171">
        <f t="shared" si="93"/>
        <v>-1.7462298274040222E-10</v>
      </c>
      <c r="HL51" s="1171">
        <f t="shared" si="94"/>
        <v>0</v>
      </c>
      <c r="HM51" s="1171">
        <f t="shared" si="95"/>
        <v>1.8189894035458565E-12</v>
      </c>
      <c r="HN51" s="1171">
        <f t="shared" si="96"/>
        <v>-1.8189894035458565E-12</v>
      </c>
      <c r="HO51" s="1171">
        <f t="shared" si="97"/>
        <v>0</v>
      </c>
      <c r="HP51" s="1171">
        <f t="shared" si="98"/>
        <v>2.9802322387695313E-7</v>
      </c>
      <c r="HQ51" s="1171">
        <f t="shared" si="99"/>
        <v>-4.730224609375E-4</v>
      </c>
      <c r="HR51" s="1171">
        <f t="shared" si="100"/>
        <v>0</v>
      </c>
      <c r="HS51" s="1171">
        <f t="shared" si="101"/>
        <v>-5.8207660913467407E-10</v>
      </c>
      <c r="HT51" s="1171">
        <f t="shared" si="102"/>
        <v>0</v>
      </c>
      <c r="HU51" s="1171">
        <f t="shared" si="103"/>
        <v>7.3896444519050419E-13</v>
      </c>
      <c r="HV51" s="1171">
        <f t="shared" si="104"/>
        <v>0</v>
      </c>
      <c r="HW51" s="1171">
        <f t="shared" si="105"/>
        <v>-2.0265579223632813E-6</v>
      </c>
      <c r="HX51" s="1171">
        <f t="shared" si="106"/>
        <v>0</v>
      </c>
      <c r="HY51" s="1171">
        <f t="shared" si="107"/>
        <v>0</v>
      </c>
      <c r="HZ51" s="1171">
        <f t="shared" si="108"/>
        <v>0</v>
      </c>
      <c r="IA51" s="1171">
        <f t="shared" si="109"/>
        <v>-2.9103830456733704E-10</v>
      </c>
      <c r="IB51" s="1171">
        <f t="shared" si="110"/>
        <v>0</v>
      </c>
      <c r="IC51" s="1171">
        <f t="shared" si="111"/>
        <v>0</v>
      </c>
      <c r="ID51" s="1171">
        <f t="shared" si="112"/>
        <v>-3.637978807091713E-12</v>
      </c>
      <c r="IE51" s="1171">
        <f t="shared" si="113"/>
        <v>0</v>
      </c>
      <c r="IF51" s="1171">
        <f t="shared" si="114"/>
        <v>-2.9802322387695313E-7</v>
      </c>
      <c r="IG51" s="1171">
        <f t="shared" si="115"/>
        <v>0</v>
      </c>
      <c r="IH51" s="1171">
        <f t="shared" si="116"/>
        <v>0</v>
      </c>
      <c r="II51" s="1171">
        <f t="shared" si="117"/>
        <v>0</v>
      </c>
      <c r="IJ51" s="1171">
        <f t="shared" si="118"/>
        <v>0</v>
      </c>
      <c r="IK51" s="1171">
        <f t="shared" si="119"/>
        <v>-4.3200998334214091E-12</v>
      </c>
      <c r="IL51" s="1171">
        <f t="shared" si="120"/>
        <v>4.3200998334214091E-12</v>
      </c>
      <c r="IM51" s="1171">
        <f t="shared" si="121"/>
        <v>0</v>
      </c>
      <c r="IN51" s="1171">
        <f t="shared" si="122"/>
        <v>0</v>
      </c>
      <c r="IO51" s="1171">
        <f t="shared" si="123"/>
        <v>0</v>
      </c>
      <c r="IP51" s="1171">
        <f t="shared" si="124"/>
        <v>0</v>
      </c>
      <c r="IQ51" s="1171">
        <f t="shared" si="125"/>
        <v>0</v>
      </c>
      <c r="IR51" s="1171">
        <f t="shared" si="126"/>
        <v>3.662109375E-4</v>
      </c>
      <c r="IS51" s="1171">
        <f t="shared" si="127"/>
        <v>0</v>
      </c>
      <c r="IT51" s="1171">
        <f t="shared" si="128"/>
        <v>0</v>
      </c>
      <c r="IU51" s="1171">
        <f t="shared" si="129"/>
        <v>-3.1292438507080078E-7</v>
      </c>
      <c r="IV51" s="1171">
        <f t="shared" si="130"/>
        <v>0</v>
      </c>
      <c r="IW51" s="1171">
        <f t="shared" si="131"/>
        <v>0</v>
      </c>
      <c r="IX51" s="1171">
        <f t="shared" si="132"/>
        <v>0</v>
      </c>
    </row>
    <row r="52" spans="1:258" s="871" customFormat="1">
      <c r="B52" s="871" t="str">
        <f t="shared" ref="B52" si="251">LEFT(B50,3)+1&amp;"j"</f>
        <v>125j</v>
      </c>
      <c r="C52" s="871">
        <v>106.9</v>
      </c>
      <c r="D52" s="871">
        <v>0</v>
      </c>
      <c r="E52" s="871" t="s">
        <v>2100</v>
      </c>
      <c r="F52" s="26">
        <v>2</v>
      </c>
      <c r="G52" s="136">
        <v>500</v>
      </c>
      <c r="H52" s="136">
        <v>22</v>
      </c>
      <c r="I52" s="28">
        <v>250</v>
      </c>
      <c r="J52" s="26">
        <v>1940</v>
      </c>
      <c r="K52" s="136">
        <v>18</v>
      </c>
      <c r="L52" s="28">
        <v>120</v>
      </c>
      <c r="M52" s="26">
        <v>2800</v>
      </c>
      <c r="N52" s="28">
        <v>12</v>
      </c>
      <c r="O52" s="397">
        <v>0</v>
      </c>
      <c r="P52" s="26">
        <v>290</v>
      </c>
      <c r="Q52" s="397">
        <f>+Section!L113</f>
        <v>5500</v>
      </c>
      <c r="R52" s="169">
        <v>0</v>
      </c>
      <c r="S52" s="210">
        <v>0</v>
      </c>
      <c r="T52" s="210">
        <v>1200</v>
      </c>
      <c r="U52" s="210">
        <v>2400</v>
      </c>
      <c r="V52" s="872">
        <v>3800</v>
      </c>
      <c r="W52" s="210">
        <v>19</v>
      </c>
      <c r="X52" s="210">
        <v>200</v>
      </c>
      <c r="Y52" s="210">
        <v>50</v>
      </c>
      <c r="Z52" s="210">
        <v>16</v>
      </c>
      <c r="AA52" s="210">
        <v>200</v>
      </c>
      <c r="AB52" s="872">
        <v>40</v>
      </c>
      <c r="AC52" s="210">
        <v>0</v>
      </c>
      <c r="AD52" s="397">
        <v>2</v>
      </c>
      <c r="AE52" s="210">
        <v>160</v>
      </c>
      <c r="AF52" s="210">
        <v>16</v>
      </c>
      <c r="AG52" s="397">
        <v>0</v>
      </c>
      <c r="AH52" s="210">
        <v>0</v>
      </c>
      <c r="AI52" s="210">
        <v>0</v>
      </c>
      <c r="AJ52" s="397">
        <v>2</v>
      </c>
      <c r="AK52" s="210">
        <v>2500</v>
      </c>
      <c r="AL52" s="210">
        <v>5000</v>
      </c>
      <c r="AM52" s="210" t="s">
        <v>2316</v>
      </c>
      <c r="AN52" s="210">
        <v>2500</v>
      </c>
      <c r="AO52" s="1143" t="s">
        <v>2321</v>
      </c>
      <c r="AP52" s="1143" t="s">
        <v>2321</v>
      </c>
      <c r="AQ52" s="136">
        <v>150</v>
      </c>
      <c r="AR52" s="136">
        <v>14</v>
      </c>
      <c r="AS52" s="1143" t="s">
        <v>2448</v>
      </c>
      <c r="AT52" s="136">
        <v>120</v>
      </c>
      <c r="AU52" s="136">
        <v>12</v>
      </c>
      <c r="AV52" s="1111"/>
      <c r="AW52" s="1111"/>
      <c r="AX52" s="1111"/>
      <c r="AY52" s="1111"/>
      <c r="AZ52" s="1108">
        <v>8</v>
      </c>
      <c r="BA52" s="1108">
        <v>6</v>
      </c>
      <c r="BB52" s="1111"/>
      <c r="BC52" s="1168"/>
      <c r="BD52" s="210">
        <f>INDEX(Spec!$B$12:$P$58,MATCH(AO52,Spec!$A$12:$A$58,0),6)*100</f>
        <v>1900</v>
      </c>
      <c r="BE52" s="210">
        <f>INDEX(Spec!$B$12:$P$58,MATCH(AP52,Spec!$A$12:$A$58,0),6)*100</f>
        <v>1900</v>
      </c>
      <c r="BF52" s="881">
        <f t="shared" si="161"/>
        <v>0.69515529669535348</v>
      </c>
      <c r="BG52" s="881">
        <f t="shared" si="162"/>
        <v>47.243485714285718</v>
      </c>
      <c r="BH52" s="881"/>
      <c r="BI52" s="13" cm="1">
        <f t="array" ref="BI52">INDEX(Info!$AD$4:$AH$15,MATCH(Info!$I$13,Info!$AC$4:$AC$15,0),IF(H52&lt;=16,1,IF(H52&lt;=40,2,IF(H52&lt;=75,3,IF(H52&lt;=100,4,5)))))</f>
        <v>380</v>
      </c>
      <c r="BJ52" s="13" cm="1">
        <f t="array" ref="BJ52">INDEX(Info!$AD$4:$AH$15,MATCH(Info!$I$13,Info!$AC$4:$AC$15,0),IF(K52&lt;=16,1,IF(K52&lt;=40,2,IF(K52&lt;=75,3,IF(K52&lt;=100,4,5)))))</f>
        <v>380</v>
      </c>
      <c r="BK52" s="13" cm="1">
        <f t="array" ref="BK52">INDEX(Info!$AD$4:$AH$15,MATCH(Info!$I$14,Info!$AC$4:$AC$15,0),IF(N52&lt;=16,1,IF(N52&lt;=40,2,IF(N52&lt;=75,3,IF(N52&lt;=100,4,5)))))</f>
        <v>355</v>
      </c>
      <c r="BL52" s="13">
        <f>IF(Stress!C881="Positive",MAX(MIN(0.7*BI52,BK52),0.5*BI52),MAX(MIN(0.7*BJ52,BK52),0.5*BJ52))</f>
        <v>266</v>
      </c>
      <c r="BM52" s="13" cm="1">
        <f t="array" ref="BM52">INDEX(Info!$AD$4:$AH$15,MATCH(Info!$I$13,Info!$AC$4:$AC$15,0),IF(AI52&lt;=16,1,IF(AI52&lt;=40,2,IF(AI52&lt;=75,3,IF(AI52&lt;=100,4,5)))))</f>
        <v>380</v>
      </c>
      <c r="BN52" s="13" cm="1">
        <f t="array" ref="BN52">INDEX(Info!$AD$4:$AH$15,MATCH(Info!$I$13,Info!$AC$4:$AC$15,0),IF(AF52&lt;=16,1,IF(AF52&lt;=40,2,IF(AF52&lt;=75,3,IF(AF52&lt;=100,4,5)))))</f>
        <v>380</v>
      </c>
      <c r="BO52" s="13"/>
      <c r="BP52" s="873">
        <f t="shared" si="163"/>
        <v>0.125</v>
      </c>
      <c r="BQ52" s="873">
        <f t="shared" si="164"/>
        <v>2821.7902119044925</v>
      </c>
      <c r="BR52" s="873">
        <f t="shared" si="165"/>
        <v>3108</v>
      </c>
      <c r="BS52" s="873"/>
      <c r="BT52" s="871">
        <f t="shared" si="166"/>
        <v>0</v>
      </c>
      <c r="BU52" s="136">
        <f t="shared" si="167"/>
        <v>0</v>
      </c>
      <c r="BV52" s="871">
        <f t="shared" si="168"/>
        <v>1595000</v>
      </c>
      <c r="BW52" s="871">
        <f t="shared" si="169"/>
        <v>11178291666.666666</v>
      </c>
      <c r="BX52" s="871">
        <f t="shared" si="170"/>
        <v>0</v>
      </c>
      <c r="BY52" s="871">
        <f t="shared" si="171"/>
        <v>0</v>
      </c>
      <c r="BZ52" s="871">
        <f t="shared" si="172"/>
        <v>7655.2758986349281</v>
      </c>
      <c r="CA52" s="871">
        <f t="shared" si="173"/>
        <v>172722.16246295057</v>
      </c>
      <c r="CB52" s="871">
        <f t="shared" si="174"/>
        <v>5428.6721054031623</v>
      </c>
      <c r="CC52" s="871">
        <f t="shared" si="175"/>
        <v>86858.753686450596</v>
      </c>
      <c r="CE52" s="1137">
        <f t="shared" si="176"/>
        <v>346081987.77679139</v>
      </c>
      <c r="CF52" s="1136">
        <f t="shared" si="177"/>
        <v>411131448.88888884</v>
      </c>
      <c r="CG52" s="1136">
        <f t="shared" si="178"/>
        <v>0</v>
      </c>
      <c r="CH52" s="172">
        <f t="shared" si="179"/>
        <v>4020729166666.6665</v>
      </c>
      <c r="CJ52" s="136">
        <f t="shared" si="180"/>
        <v>129762.96508570782</v>
      </c>
      <c r="CK52" s="7">
        <f t="shared" si="181"/>
        <v>161520594572.24292</v>
      </c>
      <c r="CL52" s="875">
        <f t="shared" si="182"/>
        <v>1614.0322950661719</v>
      </c>
      <c r="CM52" s="6">
        <f t="shared" si="183"/>
        <v>1225.9677049338281</v>
      </c>
      <c r="CN52" s="876">
        <f t="shared" si="73"/>
        <v>100072715.43821304</v>
      </c>
      <c r="CO52" s="876">
        <f t="shared" si="74"/>
        <v>131749469.3556883</v>
      </c>
      <c r="CP52" s="1137">
        <f t="shared" si="184"/>
        <v>116187096071.85852</v>
      </c>
      <c r="CQ52" s="1136">
        <f t="shared" si="185"/>
        <v>32916617372.582115</v>
      </c>
      <c r="CR52" s="877">
        <f t="shared" si="186"/>
        <v>129762.96508570782</v>
      </c>
      <c r="CS52" s="874">
        <f t="shared" si="187"/>
        <v>161520594572.24292</v>
      </c>
      <c r="CT52" s="875">
        <f t="shared" si="188"/>
        <v>1614.0322950661719</v>
      </c>
      <c r="CU52" s="878">
        <f t="shared" si="189"/>
        <v>1225.9677049338281</v>
      </c>
      <c r="CV52" s="876">
        <f t="shared" si="190"/>
        <v>100072715.43821304</v>
      </c>
      <c r="CW52" s="876">
        <f t="shared" si="191"/>
        <v>131749469.3556883</v>
      </c>
      <c r="CX52" s="1136">
        <f t="shared" si="192"/>
        <v>116187096071.85852</v>
      </c>
      <c r="CY52" s="1136">
        <f t="shared" si="193"/>
        <v>32916617372.582115</v>
      </c>
      <c r="CZ52" s="877">
        <f t="shared" si="194"/>
        <v>129762.96508570782</v>
      </c>
      <c r="DA52" s="874">
        <f t="shared" si="195"/>
        <v>161520594572.24292</v>
      </c>
      <c r="DB52" s="875">
        <f t="shared" si="196"/>
        <v>1614.0322950661719</v>
      </c>
      <c r="DC52" s="878">
        <f t="shared" si="197"/>
        <v>1225.9677049338281</v>
      </c>
      <c r="DD52" s="876">
        <f t="shared" si="75"/>
        <v>100072715.43821304</v>
      </c>
      <c r="DE52" s="876">
        <f t="shared" si="76"/>
        <v>131749469.3556883</v>
      </c>
      <c r="DF52" s="1136">
        <f t="shared" si="198"/>
        <v>116187096071.85852</v>
      </c>
      <c r="DG52" s="1136">
        <f t="shared" si="199"/>
        <v>32916617372.582115</v>
      </c>
      <c r="DH52" s="877">
        <f t="shared" si="200"/>
        <v>377674.65161772241</v>
      </c>
      <c r="DI52" s="879">
        <f t="shared" si="201"/>
        <v>420265490240.5509</v>
      </c>
      <c r="DJ52" s="878">
        <f t="shared" si="202"/>
        <v>473.81649295745774</v>
      </c>
      <c r="DK52" s="877">
        <f t="shared" si="203"/>
        <v>2366.1835070425423</v>
      </c>
      <c r="DL52" s="876">
        <f t="shared" si="77"/>
        <v>886979445.60212898</v>
      </c>
      <c r="DM52" s="876">
        <f t="shared" si="78"/>
        <v>177613227.7947599</v>
      </c>
      <c r="DN52" s="7">
        <f t="shared" si="204"/>
        <v>741131139204.64526</v>
      </c>
      <c r="DO52" s="1136">
        <f t="shared" si="205"/>
        <v>214476299647.88208</v>
      </c>
      <c r="DP52" s="877">
        <f t="shared" si="206"/>
        <v>212400.1939297127</v>
      </c>
      <c r="DQ52" s="879">
        <f t="shared" si="207"/>
        <v>314430424509.01593</v>
      </c>
      <c r="DR52" s="877">
        <f t="shared" si="208"/>
        <v>938.2158910363737</v>
      </c>
      <c r="DS52" s="877">
        <f t="shared" si="209"/>
        <v>1901.7841089636263</v>
      </c>
      <c r="DT52" s="876">
        <f t="shared" si="79"/>
        <v>335136536.81743681</v>
      </c>
      <c r="DU52" s="876">
        <f t="shared" si="80"/>
        <v>165334447.28401071</v>
      </c>
      <c r="DV52" s="1136">
        <f t="shared" si="210"/>
        <v>324501777116.12073</v>
      </c>
      <c r="DW52" s="1136">
        <f t="shared" si="211"/>
        <v>214476299647.88208</v>
      </c>
      <c r="DX52" s="880">
        <f t="shared" si="212"/>
        <v>142846.91308974591</v>
      </c>
      <c r="DY52" s="874">
        <f t="shared" si="213"/>
        <v>198007849742.18506</v>
      </c>
      <c r="DZ52" s="873">
        <f t="shared" si="214"/>
        <v>1453.8294571168058</v>
      </c>
      <c r="EA52" s="880">
        <f t="shared" si="215"/>
        <v>1386.1705428831942</v>
      </c>
      <c r="EB52" s="876">
        <f t="shared" si="81"/>
        <v>136197439.64664793</v>
      </c>
      <c r="EC52" s="876">
        <f t="shared" si="82"/>
        <v>142845229.80147487</v>
      </c>
      <c r="ED52" s="1136">
        <f t="shared" si="216"/>
        <v>741131139204.64526</v>
      </c>
      <c r="EE52" s="1136">
        <f t="shared" si="217"/>
        <v>214476299647.88208</v>
      </c>
      <c r="EF52" s="880">
        <f t="shared" si="218"/>
        <v>134124.28108705385</v>
      </c>
      <c r="EG52" s="874">
        <f t="shared" si="219"/>
        <v>174471223269.76736</v>
      </c>
      <c r="EH52" s="873">
        <f t="shared" si="220"/>
        <v>1557.158474547349</v>
      </c>
      <c r="EI52" s="880">
        <f t="shared" si="221"/>
        <v>1282.841525452651</v>
      </c>
      <c r="EJ52" s="876">
        <f t="shared" si="83"/>
        <v>112044615.96016069</v>
      </c>
      <c r="EK52" s="876">
        <f t="shared" si="84"/>
        <v>136003722.8356832</v>
      </c>
      <c r="EL52" s="1136">
        <f t="shared" si="85"/>
        <v>324501777116.12073</v>
      </c>
      <c r="EM52" s="1136">
        <f t="shared" si="86"/>
        <v>214476299647.88208</v>
      </c>
      <c r="EN52" s="876"/>
      <c r="EO52" s="1113" t="s">
        <v>2210</v>
      </c>
      <c r="EP52" s="1114">
        <v>129762.965085708</v>
      </c>
      <c r="EQ52" s="1114">
        <v>161520594572.24301</v>
      </c>
      <c r="ER52" s="1115">
        <v>1614.03229506617</v>
      </c>
      <c r="ES52" s="1115">
        <v>1225.96770493383</v>
      </c>
      <c r="ET52" s="1114">
        <v>100072715.43821301</v>
      </c>
      <c r="EU52" s="1114">
        <v>131749469.35568801</v>
      </c>
      <c r="EV52" s="1114">
        <v>116187096071.85899</v>
      </c>
      <c r="EW52" s="1114">
        <v>32916617372.5821</v>
      </c>
      <c r="EX52" s="1114">
        <v>129762.965085708</v>
      </c>
      <c r="EY52" s="1114">
        <v>161520594572.24301</v>
      </c>
      <c r="EZ52" s="1115">
        <v>1614.03229506617</v>
      </c>
      <c r="FA52" s="1115">
        <v>1225.96770493383</v>
      </c>
      <c r="FB52" s="1114">
        <v>100072715.43821301</v>
      </c>
      <c r="FC52" s="1114">
        <v>131749469.35568801</v>
      </c>
      <c r="FD52" s="1114">
        <v>116187096071.85899</v>
      </c>
      <c r="FE52" s="1114">
        <v>32916617372.5821</v>
      </c>
      <c r="FF52" s="1114">
        <v>129762.965085708</v>
      </c>
      <c r="FG52" s="1114">
        <v>161520594572.24301</v>
      </c>
      <c r="FH52" s="1115">
        <v>1614.03229506617</v>
      </c>
      <c r="FI52" s="1115">
        <v>1225.96770493383</v>
      </c>
      <c r="FJ52" s="1114">
        <v>100072715.43821301</v>
      </c>
      <c r="FK52" s="1114">
        <v>131749469.35568801</v>
      </c>
      <c r="FL52" s="1114">
        <v>116187096071.85899</v>
      </c>
      <c r="FM52" s="1114">
        <v>32916617372.5821</v>
      </c>
      <c r="FN52" s="1114">
        <v>377674.65161772299</v>
      </c>
      <c r="FO52" s="1114">
        <v>420265490240.55103</v>
      </c>
      <c r="FP52" s="1115">
        <v>473.816492957457</v>
      </c>
      <c r="FQ52" s="1115">
        <v>2366.18350704254</v>
      </c>
      <c r="FR52" s="1114">
        <v>886979445.60213101</v>
      </c>
      <c r="FS52" s="1114">
        <v>177613227.79475999</v>
      </c>
      <c r="FT52" s="1114">
        <v>741131139204.646</v>
      </c>
      <c r="FU52" s="1114">
        <v>214476299647.88199</v>
      </c>
      <c r="FV52" s="1114">
        <v>212400.19392971299</v>
      </c>
      <c r="FW52" s="1114">
        <v>314430424509.01599</v>
      </c>
      <c r="FX52" s="1115">
        <v>938.21589103637302</v>
      </c>
      <c r="FY52" s="1115">
        <v>1901.7841089636299</v>
      </c>
      <c r="FZ52" s="1114">
        <v>335136536.81743699</v>
      </c>
      <c r="GA52" s="1114">
        <v>165334447.28401101</v>
      </c>
      <c r="GB52" s="1114">
        <v>324501777116.12097</v>
      </c>
      <c r="GC52" s="1114">
        <v>214476299647.88199</v>
      </c>
      <c r="GD52" s="1114">
        <v>142846.913089746</v>
      </c>
      <c r="GE52" s="1114">
        <v>198007849742.185</v>
      </c>
      <c r="GF52" s="1115">
        <v>1453.8294571168101</v>
      </c>
      <c r="GG52" s="1115">
        <v>1386.1705428831899</v>
      </c>
      <c r="GH52" s="1114">
        <v>136197439.64664799</v>
      </c>
      <c r="GI52" s="1114">
        <v>142845229.80147499</v>
      </c>
      <c r="GJ52" s="1114">
        <v>741131139204.646</v>
      </c>
      <c r="GK52" s="1114">
        <v>214476299647.88199</v>
      </c>
      <c r="GL52" s="1114">
        <v>134124.281087054</v>
      </c>
      <c r="GM52" s="1114">
        <v>174471223269.767</v>
      </c>
      <c r="GN52" s="1115">
        <v>1557.1584745473499</v>
      </c>
      <c r="GO52" s="1115">
        <v>1282.8415254526501</v>
      </c>
      <c r="GP52" s="1114">
        <v>112044615.960161</v>
      </c>
      <c r="GQ52" s="1114">
        <v>136003722.83568299</v>
      </c>
      <c r="GR52" s="1114">
        <v>324501777116.12097</v>
      </c>
      <c r="GS52" s="1114">
        <v>214476299647.88199</v>
      </c>
      <c r="GU52" s="1171">
        <f t="shared" si="222"/>
        <v>-1.7462298274040222E-10</v>
      </c>
      <c r="GV52" s="1171">
        <f t="shared" si="223"/>
        <v>0</v>
      </c>
      <c r="GW52" s="1171">
        <f t="shared" si="224"/>
        <v>1.8189894035458565E-12</v>
      </c>
      <c r="GX52" s="1171">
        <f t="shared" si="225"/>
        <v>-1.8189894035458565E-12</v>
      </c>
      <c r="GY52" s="1171">
        <f t="shared" si="226"/>
        <v>0</v>
      </c>
      <c r="GZ52" s="1171">
        <f t="shared" si="227"/>
        <v>2.9802322387695313E-7</v>
      </c>
      <c r="HA52" s="1171">
        <f t="shared" si="235"/>
        <v>-4.730224609375E-4</v>
      </c>
      <c r="HB52" s="1171">
        <f t="shared" si="228"/>
        <v>0</v>
      </c>
      <c r="HC52" s="1171">
        <f t="shared" si="229"/>
        <v>-1.7462298274040222E-10</v>
      </c>
      <c r="HD52" s="1171">
        <f t="shared" si="230"/>
        <v>0</v>
      </c>
      <c r="HE52" s="1171">
        <f t="shared" si="231"/>
        <v>1.8189894035458565E-12</v>
      </c>
      <c r="HF52" s="1171">
        <f t="shared" si="232"/>
        <v>-1.8189894035458565E-12</v>
      </c>
      <c r="HG52" s="1171">
        <f t="shared" si="89"/>
        <v>0</v>
      </c>
      <c r="HH52" s="1171">
        <f t="shared" si="90"/>
        <v>2.9802322387695313E-7</v>
      </c>
      <c r="HI52" s="1171">
        <f t="shared" si="91"/>
        <v>-4.730224609375E-4</v>
      </c>
      <c r="HJ52" s="1171">
        <f t="shared" si="92"/>
        <v>0</v>
      </c>
      <c r="HK52" s="1171">
        <f t="shared" si="93"/>
        <v>-1.7462298274040222E-10</v>
      </c>
      <c r="HL52" s="1171">
        <f t="shared" si="94"/>
        <v>0</v>
      </c>
      <c r="HM52" s="1171">
        <f t="shared" si="95"/>
        <v>1.8189894035458565E-12</v>
      </c>
      <c r="HN52" s="1171">
        <f t="shared" si="96"/>
        <v>-1.8189894035458565E-12</v>
      </c>
      <c r="HO52" s="1171">
        <f t="shared" si="97"/>
        <v>0</v>
      </c>
      <c r="HP52" s="1171">
        <f t="shared" si="98"/>
        <v>2.9802322387695313E-7</v>
      </c>
      <c r="HQ52" s="1171">
        <f t="shared" si="99"/>
        <v>-4.730224609375E-4</v>
      </c>
      <c r="HR52" s="1171">
        <f t="shared" si="100"/>
        <v>0</v>
      </c>
      <c r="HS52" s="1171">
        <f t="shared" si="101"/>
        <v>-5.8207660913467407E-10</v>
      </c>
      <c r="HT52" s="1171">
        <f t="shared" si="102"/>
        <v>0</v>
      </c>
      <c r="HU52" s="1171">
        <f t="shared" si="103"/>
        <v>7.3896444519050419E-13</v>
      </c>
      <c r="HV52" s="1171">
        <f t="shared" si="104"/>
        <v>0</v>
      </c>
      <c r="HW52" s="1171">
        <f t="shared" si="105"/>
        <v>-2.0265579223632813E-6</v>
      </c>
      <c r="HX52" s="1171">
        <f t="shared" si="106"/>
        <v>0</v>
      </c>
      <c r="HY52" s="1171">
        <f t="shared" si="107"/>
        <v>0</v>
      </c>
      <c r="HZ52" s="1171">
        <f t="shared" si="108"/>
        <v>0</v>
      </c>
      <c r="IA52" s="1171">
        <f t="shared" si="109"/>
        <v>-2.9103830456733704E-10</v>
      </c>
      <c r="IB52" s="1171">
        <f t="shared" si="110"/>
        <v>0</v>
      </c>
      <c r="IC52" s="1171">
        <f t="shared" si="111"/>
        <v>0</v>
      </c>
      <c r="ID52" s="1171">
        <f t="shared" si="112"/>
        <v>-3.637978807091713E-12</v>
      </c>
      <c r="IE52" s="1171">
        <f t="shared" si="113"/>
        <v>0</v>
      </c>
      <c r="IF52" s="1171">
        <f t="shared" si="114"/>
        <v>-2.9802322387695313E-7</v>
      </c>
      <c r="IG52" s="1171">
        <f t="shared" si="115"/>
        <v>0</v>
      </c>
      <c r="IH52" s="1171">
        <f t="shared" si="116"/>
        <v>0</v>
      </c>
      <c r="II52" s="1171">
        <f t="shared" si="117"/>
        <v>0</v>
      </c>
      <c r="IJ52" s="1171">
        <f t="shared" si="118"/>
        <v>0</v>
      </c>
      <c r="IK52" s="1171">
        <f t="shared" si="119"/>
        <v>-4.3200998334214091E-12</v>
      </c>
      <c r="IL52" s="1171">
        <f t="shared" si="120"/>
        <v>4.3200998334214091E-12</v>
      </c>
      <c r="IM52" s="1171">
        <f t="shared" si="121"/>
        <v>0</v>
      </c>
      <c r="IN52" s="1171">
        <f t="shared" si="122"/>
        <v>0</v>
      </c>
      <c r="IO52" s="1171">
        <f t="shared" si="123"/>
        <v>0</v>
      </c>
      <c r="IP52" s="1171">
        <f t="shared" si="124"/>
        <v>0</v>
      </c>
      <c r="IQ52" s="1171">
        <f t="shared" si="125"/>
        <v>0</v>
      </c>
      <c r="IR52" s="1171">
        <f t="shared" si="126"/>
        <v>3.662109375E-4</v>
      </c>
      <c r="IS52" s="1171">
        <f t="shared" si="127"/>
        <v>0</v>
      </c>
      <c r="IT52" s="1171">
        <f t="shared" si="128"/>
        <v>0</v>
      </c>
      <c r="IU52" s="1171">
        <f t="shared" si="129"/>
        <v>-3.1292438507080078E-7</v>
      </c>
      <c r="IV52" s="1171">
        <f t="shared" si="130"/>
        <v>0</v>
      </c>
      <c r="IW52" s="1171">
        <f t="shared" si="131"/>
        <v>0</v>
      </c>
      <c r="IX52" s="1171">
        <f t="shared" si="132"/>
        <v>0</v>
      </c>
    </row>
    <row r="53" spans="1:258" s="871" customFormat="1">
      <c r="A53" s="871">
        <v>126</v>
      </c>
      <c r="B53" s="871" t="str">
        <f t="shared" ref="B53" si="252">LEFT(B51,3)+1&amp;"i"</f>
        <v>126i</v>
      </c>
      <c r="C53" s="871">
        <v>106.9</v>
      </c>
      <c r="D53" s="871">
        <v>0</v>
      </c>
      <c r="E53" s="871" t="s">
        <v>2100</v>
      </c>
      <c r="F53" s="26">
        <v>2</v>
      </c>
      <c r="G53" s="136">
        <v>500</v>
      </c>
      <c r="H53" s="136">
        <v>22</v>
      </c>
      <c r="I53" s="28">
        <v>250</v>
      </c>
      <c r="J53" s="26">
        <v>1940</v>
      </c>
      <c r="K53" s="136">
        <v>18</v>
      </c>
      <c r="L53" s="28">
        <v>120</v>
      </c>
      <c r="M53" s="26">
        <v>2800</v>
      </c>
      <c r="N53" s="28">
        <v>12</v>
      </c>
      <c r="O53" s="397">
        <v>0</v>
      </c>
      <c r="P53" s="26">
        <v>290</v>
      </c>
      <c r="Q53" s="397">
        <f>+Section!L114</f>
        <v>5500</v>
      </c>
      <c r="R53" s="169">
        <v>0</v>
      </c>
      <c r="S53" s="210">
        <v>0</v>
      </c>
      <c r="T53" s="210">
        <v>1200</v>
      </c>
      <c r="U53" s="210">
        <v>2400</v>
      </c>
      <c r="V53" s="872">
        <v>3800</v>
      </c>
      <c r="W53" s="210">
        <v>19</v>
      </c>
      <c r="X53" s="210">
        <v>200</v>
      </c>
      <c r="Y53" s="210">
        <v>50</v>
      </c>
      <c r="Z53" s="210">
        <v>16</v>
      </c>
      <c r="AA53" s="210">
        <v>200</v>
      </c>
      <c r="AB53" s="872">
        <v>40</v>
      </c>
      <c r="AC53" s="210">
        <v>0</v>
      </c>
      <c r="AD53" s="397">
        <v>2</v>
      </c>
      <c r="AE53" s="210">
        <v>160</v>
      </c>
      <c r="AF53" s="210">
        <v>16</v>
      </c>
      <c r="AG53" s="397">
        <v>0</v>
      </c>
      <c r="AH53" s="210">
        <v>0</v>
      </c>
      <c r="AI53" s="210">
        <v>0</v>
      </c>
      <c r="AJ53" s="397">
        <v>2</v>
      </c>
      <c r="AK53" s="210">
        <v>2500</v>
      </c>
      <c r="AL53" s="210">
        <v>5000</v>
      </c>
      <c r="AM53" s="210" t="s">
        <v>2316</v>
      </c>
      <c r="AN53" s="210">
        <v>2500</v>
      </c>
      <c r="AO53" s="1143" t="s">
        <v>2321</v>
      </c>
      <c r="AP53" s="1143" t="s">
        <v>2321</v>
      </c>
      <c r="AQ53" s="136">
        <v>150</v>
      </c>
      <c r="AR53" s="136">
        <v>14</v>
      </c>
      <c r="AS53" s="1143" t="s">
        <v>2448</v>
      </c>
      <c r="AT53" s="136">
        <v>120</v>
      </c>
      <c r="AU53" s="136">
        <v>12</v>
      </c>
      <c r="AV53" s="1111"/>
      <c r="AW53" s="1111"/>
      <c r="AX53" s="1111"/>
      <c r="AY53" s="1111"/>
      <c r="AZ53" s="1108">
        <v>8</v>
      </c>
      <c r="BA53" s="1108">
        <v>6</v>
      </c>
      <c r="BB53" s="1111"/>
      <c r="BC53" s="1168"/>
      <c r="BD53" s="210">
        <f>INDEX(Spec!$B$12:$P$58,MATCH(AO53,Spec!$A$12:$A$58,0),6)*100</f>
        <v>1900</v>
      </c>
      <c r="BE53" s="210">
        <f>INDEX(Spec!$B$12:$P$58,MATCH(AP53,Spec!$A$12:$A$58,0),6)*100</f>
        <v>1900</v>
      </c>
      <c r="BF53" s="881">
        <f t="shared" si="161"/>
        <v>0.69515529669535348</v>
      </c>
      <c r="BG53" s="881">
        <f t="shared" si="162"/>
        <v>47.243485714285718</v>
      </c>
      <c r="BH53" s="881"/>
      <c r="BI53" s="13" cm="1">
        <f t="array" ref="BI53">INDEX(Info!$AD$4:$AH$15,MATCH(Info!$I$13,Info!$AC$4:$AC$15,0),IF(H53&lt;=16,1,IF(H53&lt;=40,2,IF(H53&lt;=75,3,IF(H53&lt;=100,4,5)))))</f>
        <v>380</v>
      </c>
      <c r="BJ53" s="13" cm="1">
        <f t="array" ref="BJ53">INDEX(Info!$AD$4:$AH$15,MATCH(Info!$I$13,Info!$AC$4:$AC$15,0),IF(K53&lt;=16,1,IF(K53&lt;=40,2,IF(K53&lt;=75,3,IF(K53&lt;=100,4,5)))))</f>
        <v>380</v>
      </c>
      <c r="BK53" s="13" cm="1">
        <f t="array" ref="BK53">INDEX(Info!$AD$4:$AH$15,MATCH(Info!$I$14,Info!$AC$4:$AC$15,0),IF(N53&lt;=16,1,IF(N53&lt;=40,2,IF(N53&lt;=75,3,IF(N53&lt;=100,4,5)))))</f>
        <v>355</v>
      </c>
      <c r="BL53" s="13">
        <f>IF(Stress!C882="Positive",MAX(MIN(0.7*BI53,BK53),0.5*BI53),MAX(MIN(0.7*BJ53,BK53),0.5*BJ53))</f>
        <v>266</v>
      </c>
      <c r="BM53" s="13" cm="1">
        <f t="array" ref="BM53">INDEX(Info!$AD$4:$AH$15,MATCH(Info!$I$13,Info!$AC$4:$AC$15,0),IF(AI53&lt;=16,1,IF(AI53&lt;=40,2,IF(AI53&lt;=75,3,IF(AI53&lt;=100,4,5)))))</f>
        <v>380</v>
      </c>
      <c r="BN53" s="13" cm="1">
        <f t="array" ref="BN53">INDEX(Info!$AD$4:$AH$15,MATCH(Info!$I$13,Info!$AC$4:$AC$15,0),IF(AF53&lt;=16,1,IF(AF53&lt;=40,2,IF(AF53&lt;=75,3,IF(AF53&lt;=100,4,5)))))</f>
        <v>380</v>
      </c>
      <c r="BO53" s="13"/>
      <c r="BP53" s="873">
        <f t="shared" si="163"/>
        <v>0.125</v>
      </c>
      <c r="BQ53" s="873">
        <f t="shared" si="164"/>
        <v>2821.7902119044925</v>
      </c>
      <c r="BR53" s="873">
        <f t="shared" si="165"/>
        <v>3108</v>
      </c>
      <c r="BS53" s="873"/>
      <c r="BT53" s="871">
        <f t="shared" si="166"/>
        <v>0</v>
      </c>
      <c r="BU53" s="136">
        <f t="shared" si="167"/>
        <v>0</v>
      </c>
      <c r="BV53" s="871">
        <f t="shared" si="168"/>
        <v>1595000</v>
      </c>
      <c r="BW53" s="871">
        <f t="shared" si="169"/>
        <v>11178291666.666666</v>
      </c>
      <c r="BX53" s="871">
        <f t="shared" si="170"/>
        <v>0</v>
      </c>
      <c r="BY53" s="871">
        <f t="shared" si="171"/>
        <v>0</v>
      </c>
      <c r="BZ53" s="871">
        <f t="shared" si="172"/>
        <v>7655.2758986349281</v>
      </c>
      <c r="CA53" s="871">
        <f t="shared" si="173"/>
        <v>172722.16246295057</v>
      </c>
      <c r="CB53" s="871">
        <f t="shared" si="174"/>
        <v>5428.6721054031623</v>
      </c>
      <c r="CC53" s="871">
        <f t="shared" si="175"/>
        <v>86858.753686450596</v>
      </c>
      <c r="CE53" s="1137">
        <f t="shared" si="176"/>
        <v>346081987.77679139</v>
      </c>
      <c r="CF53" s="1136">
        <f t="shared" si="177"/>
        <v>411131448.88888884</v>
      </c>
      <c r="CG53" s="1136">
        <f t="shared" si="178"/>
        <v>0</v>
      </c>
      <c r="CH53" s="172">
        <f t="shared" si="179"/>
        <v>4020729166666.6665</v>
      </c>
      <c r="CJ53" s="136">
        <f t="shared" si="180"/>
        <v>129762.96508570782</v>
      </c>
      <c r="CK53" s="7">
        <f t="shared" si="181"/>
        <v>161520594572.24292</v>
      </c>
      <c r="CL53" s="875">
        <f t="shared" si="182"/>
        <v>1614.0322950661719</v>
      </c>
      <c r="CM53" s="6">
        <f t="shared" si="183"/>
        <v>1225.9677049338281</v>
      </c>
      <c r="CN53" s="876">
        <f t="shared" si="73"/>
        <v>100072715.43821304</v>
      </c>
      <c r="CO53" s="876">
        <f t="shared" si="74"/>
        <v>131749469.3556883</v>
      </c>
      <c r="CP53" s="1137">
        <f t="shared" si="184"/>
        <v>116187096071.85852</v>
      </c>
      <c r="CQ53" s="1136">
        <f t="shared" si="185"/>
        <v>32916617372.582115</v>
      </c>
      <c r="CR53" s="877">
        <f t="shared" si="186"/>
        <v>129762.96508570782</v>
      </c>
      <c r="CS53" s="874">
        <f t="shared" si="187"/>
        <v>161520594572.24292</v>
      </c>
      <c r="CT53" s="875">
        <f t="shared" si="188"/>
        <v>1614.0322950661719</v>
      </c>
      <c r="CU53" s="878">
        <f t="shared" si="189"/>
        <v>1225.9677049338281</v>
      </c>
      <c r="CV53" s="876">
        <f t="shared" si="190"/>
        <v>100072715.43821304</v>
      </c>
      <c r="CW53" s="876">
        <f t="shared" si="191"/>
        <v>131749469.3556883</v>
      </c>
      <c r="CX53" s="1136">
        <f t="shared" si="192"/>
        <v>116187096071.85852</v>
      </c>
      <c r="CY53" s="1136">
        <f t="shared" si="193"/>
        <v>32916617372.582115</v>
      </c>
      <c r="CZ53" s="877">
        <f t="shared" si="194"/>
        <v>129762.96508570782</v>
      </c>
      <c r="DA53" s="874">
        <f t="shared" si="195"/>
        <v>161520594572.24292</v>
      </c>
      <c r="DB53" s="875">
        <f t="shared" si="196"/>
        <v>1614.0322950661719</v>
      </c>
      <c r="DC53" s="878">
        <f t="shared" si="197"/>
        <v>1225.9677049338281</v>
      </c>
      <c r="DD53" s="876">
        <f t="shared" si="75"/>
        <v>100072715.43821304</v>
      </c>
      <c r="DE53" s="876">
        <f t="shared" si="76"/>
        <v>131749469.3556883</v>
      </c>
      <c r="DF53" s="1136">
        <f t="shared" si="198"/>
        <v>116187096071.85852</v>
      </c>
      <c r="DG53" s="1136">
        <f t="shared" si="199"/>
        <v>32916617372.582115</v>
      </c>
      <c r="DH53" s="877">
        <f t="shared" si="200"/>
        <v>377674.65161772241</v>
      </c>
      <c r="DI53" s="879">
        <f t="shared" si="201"/>
        <v>420265490240.5509</v>
      </c>
      <c r="DJ53" s="878">
        <f t="shared" si="202"/>
        <v>473.81649295745774</v>
      </c>
      <c r="DK53" s="877">
        <f t="shared" si="203"/>
        <v>2366.1835070425423</v>
      </c>
      <c r="DL53" s="876">
        <f t="shared" si="77"/>
        <v>886979445.60212898</v>
      </c>
      <c r="DM53" s="876">
        <f t="shared" si="78"/>
        <v>177613227.7947599</v>
      </c>
      <c r="DN53" s="7">
        <f t="shared" si="204"/>
        <v>741131139204.64526</v>
      </c>
      <c r="DO53" s="1136">
        <f t="shared" si="205"/>
        <v>214476299647.88208</v>
      </c>
      <c r="DP53" s="877">
        <f t="shared" si="206"/>
        <v>212400.1939297127</v>
      </c>
      <c r="DQ53" s="879">
        <f t="shared" si="207"/>
        <v>314430424509.01593</v>
      </c>
      <c r="DR53" s="877">
        <f t="shared" si="208"/>
        <v>938.2158910363737</v>
      </c>
      <c r="DS53" s="877">
        <f t="shared" si="209"/>
        <v>1901.7841089636263</v>
      </c>
      <c r="DT53" s="876">
        <f t="shared" si="79"/>
        <v>335136536.81743681</v>
      </c>
      <c r="DU53" s="876">
        <f t="shared" si="80"/>
        <v>165334447.28401071</v>
      </c>
      <c r="DV53" s="1136">
        <f t="shared" si="210"/>
        <v>324501777116.12073</v>
      </c>
      <c r="DW53" s="1136">
        <f t="shared" si="211"/>
        <v>214476299647.88208</v>
      </c>
      <c r="DX53" s="880">
        <f t="shared" si="212"/>
        <v>142846.91308974591</v>
      </c>
      <c r="DY53" s="874">
        <f t="shared" si="213"/>
        <v>198007849742.18506</v>
      </c>
      <c r="DZ53" s="873">
        <f t="shared" si="214"/>
        <v>1453.8294571168058</v>
      </c>
      <c r="EA53" s="880">
        <f t="shared" si="215"/>
        <v>1386.1705428831942</v>
      </c>
      <c r="EB53" s="876">
        <f t="shared" si="81"/>
        <v>136197439.64664793</v>
      </c>
      <c r="EC53" s="876">
        <f t="shared" si="82"/>
        <v>142845229.80147487</v>
      </c>
      <c r="ED53" s="1136">
        <f t="shared" si="216"/>
        <v>741131139204.64526</v>
      </c>
      <c r="EE53" s="1136">
        <f t="shared" si="217"/>
        <v>214476299647.88208</v>
      </c>
      <c r="EF53" s="880">
        <f t="shared" si="218"/>
        <v>134124.28108705385</v>
      </c>
      <c r="EG53" s="874">
        <f t="shared" si="219"/>
        <v>174471223269.76736</v>
      </c>
      <c r="EH53" s="873">
        <f t="shared" si="220"/>
        <v>1557.158474547349</v>
      </c>
      <c r="EI53" s="880">
        <f t="shared" si="221"/>
        <v>1282.841525452651</v>
      </c>
      <c r="EJ53" s="876">
        <f t="shared" si="83"/>
        <v>112044615.96016069</v>
      </c>
      <c r="EK53" s="876">
        <f t="shared" si="84"/>
        <v>136003722.8356832</v>
      </c>
      <c r="EL53" s="1136">
        <f t="shared" si="85"/>
        <v>324501777116.12073</v>
      </c>
      <c r="EM53" s="1136">
        <f t="shared" si="86"/>
        <v>214476299647.88208</v>
      </c>
      <c r="EN53" s="876"/>
      <c r="EO53" s="1113" t="s">
        <v>2211</v>
      </c>
      <c r="EP53" s="1114">
        <v>129762.965085708</v>
      </c>
      <c r="EQ53" s="1114">
        <v>161520594572.24301</v>
      </c>
      <c r="ER53" s="1115">
        <v>1614.03229506617</v>
      </c>
      <c r="ES53" s="1115">
        <v>1225.96770493383</v>
      </c>
      <c r="ET53" s="1114">
        <v>100072715.43821301</v>
      </c>
      <c r="EU53" s="1114">
        <v>131749469.35568801</v>
      </c>
      <c r="EV53" s="1114">
        <v>116187096071.85899</v>
      </c>
      <c r="EW53" s="1114">
        <v>32916617372.5821</v>
      </c>
      <c r="EX53" s="1114">
        <v>129762.965085708</v>
      </c>
      <c r="EY53" s="1114">
        <v>161520594572.24301</v>
      </c>
      <c r="EZ53" s="1115">
        <v>1614.03229506617</v>
      </c>
      <c r="FA53" s="1115">
        <v>1225.96770493383</v>
      </c>
      <c r="FB53" s="1114">
        <v>100072715.43821301</v>
      </c>
      <c r="FC53" s="1114">
        <v>131749469.35568801</v>
      </c>
      <c r="FD53" s="1114">
        <v>116187096071.85899</v>
      </c>
      <c r="FE53" s="1114">
        <v>32916617372.5821</v>
      </c>
      <c r="FF53" s="1114">
        <v>129762.965085708</v>
      </c>
      <c r="FG53" s="1114">
        <v>161520594572.24301</v>
      </c>
      <c r="FH53" s="1115">
        <v>1614.03229506617</v>
      </c>
      <c r="FI53" s="1115">
        <v>1225.96770493383</v>
      </c>
      <c r="FJ53" s="1114">
        <v>100072715.43821301</v>
      </c>
      <c r="FK53" s="1114">
        <v>131749469.35568801</v>
      </c>
      <c r="FL53" s="1114">
        <v>116187096071.85899</v>
      </c>
      <c r="FM53" s="1114">
        <v>32916617372.5821</v>
      </c>
      <c r="FN53" s="1114">
        <v>377674.65161772299</v>
      </c>
      <c r="FO53" s="1114">
        <v>420265490240.55103</v>
      </c>
      <c r="FP53" s="1115">
        <v>473.816492957457</v>
      </c>
      <c r="FQ53" s="1115">
        <v>2366.18350704254</v>
      </c>
      <c r="FR53" s="1114">
        <v>886979445.60213101</v>
      </c>
      <c r="FS53" s="1114">
        <v>177613227.79475999</v>
      </c>
      <c r="FT53" s="1114">
        <v>741131139204.646</v>
      </c>
      <c r="FU53" s="1114">
        <v>214476299647.88199</v>
      </c>
      <c r="FV53" s="1114">
        <v>212400.19392971299</v>
      </c>
      <c r="FW53" s="1114">
        <v>314430424509.01599</v>
      </c>
      <c r="FX53" s="1115">
        <v>938.21589103637302</v>
      </c>
      <c r="FY53" s="1115">
        <v>1901.7841089636299</v>
      </c>
      <c r="FZ53" s="1114">
        <v>335136536.81743699</v>
      </c>
      <c r="GA53" s="1114">
        <v>165334447.28401101</v>
      </c>
      <c r="GB53" s="1114">
        <v>324501777116.12097</v>
      </c>
      <c r="GC53" s="1114">
        <v>214476299647.88199</v>
      </c>
      <c r="GD53" s="1114">
        <v>142846.913089746</v>
      </c>
      <c r="GE53" s="1114">
        <v>198007849742.185</v>
      </c>
      <c r="GF53" s="1115">
        <v>1453.8294571168101</v>
      </c>
      <c r="GG53" s="1115">
        <v>1386.1705428831899</v>
      </c>
      <c r="GH53" s="1114">
        <v>136197439.64664799</v>
      </c>
      <c r="GI53" s="1114">
        <v>142845229.80147499</v>
      </c>
      <c r="GJ53" s="1114">
        <v>741131139204.646</v>
      </c>
      <c r="GK53" s="1114">
        <v>214476299647.88199</v>
      </c>
      <c r="GL53" s="1114">
        <v>134124.281087054</v>
      </c>
      <c r="GM53" s="1114">
        <v>174471223269.767</v>
      </c>
      <c r="GN53" s="1115">
        <v>1557.1584745473499</v>
      </c>
      <c r="GO53" s="1115">
        <v>1282.8415254526501</v>
      </c>
      <c r="GP53" s="1114">
        <v>112044615.960161</v>
      </c>
      <c r="GQ53" s="1114">
        <v>136003722.83568299</v>
      </c>
      <c r="GR53" s="1114">
        <v>324501777116.12097</v>
      </c>
      <c r="GS53" s="1114">
        <v>214476299647.88199</v>
      </c>
      <c r="GU53" s="1171">
        <f t="shared" si="222"/>
        <v>-1.7462298274040222E-10</v>
      </c>
      <c r="GV53" s="1171">
        <f t="shared" si="223"/>
        <v>0</v>
      </c>
      <c r="GW53" s="1171">
        <f t="shared" si="224"/>
        <v>1.8189894035458565E-12</v>
      </c>
      <c r="GX53" s="1171">
        <f t="shared" si="225"/>
        <v>-1.8189894035458565E-12</v>
      </c>
      <c r="GY53" s="1171">
        <f t="shared" si="226"/>
        <v>0</v>
      </c>
      <c r="GZ53" s="1171">
        <f t="shared" si="227"/>
        <v>2.9802322387695313E-7</v>
      </c>
      <c r="HA53" s="1171">
        <f t="shared" si="235"/>
        <v>-4.730224609375E-4</v>
      </c>
      <c r="HB53" s="1171">
        <f t="shared" si="228"/>
        <v>0</v>
      </c>
      <c r="HC53" s="1171">
        <f t="shared" si="229"/>
        <v>-1.7462298274040222E-10</v>
      </c>
      <c r="HD53" s="1171">
        <f t="shared" si="230"/>
        <v>0</v>
      </c>
      <c r="HE53" s="1171">
        <f t="shared" si="231"/>
        <v>1.8189894035458565E-12</v>
      </c>
      <c r="HF53" s="1171">
        <f t="shared" si="232"/>
        <v>-1.8189894035458565E-12</v>
      </c>
      <c r="HG53" s="1171">
        <f t="shared" si="89"/>
        <v>0</v>
      </c>
      <c r="HH53" s="1171">
        <f t="shared" si="90"/>
        <v>2.9802322387695313E-7</v>
      </c>
      <c r="HI53" s="1171">
        <f t="shared" si="91"/>
        <v>-4.730224609375E-4</v>
      </c>
      <c r="HJ53" s="1171">
        <f t="shared" si="92"/>
        <v>0</v>
      </c>
      <c r="HK53" s="1171">
        <f t="shared" si="93"/>
        <v>-1.7462298274040222E-10</v>
      </c>
      <c r="HL53" s="1171">
        <f t="shared" si="94"/>
        <v>0</v>
      </c>
      <c r="HM53" s="1171">
        <f t="shared" si="95"/>
        <v>1.8189894035458565E-12</v>
      </c>
      <c r="HN53" s="1171">
        <f t="shared" si="96"/>
        <v>-1.8189894035458565E-12</v>
      </c>
      <c r="HO53" s="1171">
        <f t="shared" si="97"/>
        <v>0</v>
      </c>
      <c r="HP53" s="1171">
        <f t="shared" si="98"/>
        <v>2.9802322387695313E-7</v>
      </c>
      <c r="HQ53" s="1171">
        <f t="shared" si="99"/>
        <v>-4.730224609375E-4</v>
      </c>
      <c r="HR53" s="1171">
        <f t="shared" si="100"/>
        <v>0</v>
      </c>
      <c r="HS53" s="1171">
        <f t="shared" si="101"/>
        <v>-5.8207660913467407E-10</v>
      </c>
      <c r="HT53" s="1171">
        <f t="shared" si="102"/>
        <v>0</v>
      </c>
      <c r="HU53" s="1171">
        <f t="shared" si="103"/>
        <v>7.3896444519050419E-13</v>
      </c>
      <c r="HV53" s="1171">
        <f t="shared" si="104"/>
        <v>0</v>
      </c>
      <c r="HW53" s="1171">
        <f t="shared" si="105"/>
        <v>-2.0265579223632813E-6</v>
      </c>
      <c r="HX53" s="1171">
        <f t="shared" si="106"/>
        <v>0</v>
      </c>
      <c r="HY53" s="1171">
        <f t="shared" si="107"/>
        <v>0</v>
      </c>
      <c r="HZ53" s="1171">
        <f t="shared" si="108"/>
        <v>0</v>
      </c>
      <c r="IA53" s="1171">
        <f t="shared" si="109"/>
        <v>-2.9103830456733704E-10</v>
      </c>
      <c r="IB53" s="1171">
        <f t="shared" si="110"/>
        <v>0</v>
      </c>
      <c r="IC53" s="1171">
        <f t="shared" si="111"/>
        <v>0</v>
      </c>
      <c r="ID53" s="1171">
        <f t="shared" si="112"/>
        <v>-3.637978807091713E-12</v>
      </c>
      <c r="IE53" s="1171">
        <f t="shared" si="113"/>
        <v>0</v>
      </c>
      <c r="IF53" s="1171">
        <f t="shared" si="114"/>
        <v>-2.9802322387695313E-7</v>
      </c>
      <c r="IG53" s="1171">
        <f t="shared" si="115"/>
        <v>0</v>
      </c>
      <c r="IH53" s="1171">
        <f t="shared" si="116"/>
        <v>0</v>
      </c>
      <c r="II53" s="1171">
        <f t="shared" si="117"/>
        <v>0</v>
      </c>
      <c r="IJ53" s="1171">
        <f t="shared" si="118"/>
        <v>0</v>
      </c>
      <c r="IK53" s="1171">
        <f t="shared" si="119"/>
        <v>-4.3200998334214091E-12</v>
      </c>
      <c r="IL53" s="1171">
        <f t="shared" si="120"/>
        <v>4.3200998334214091E-12</v>
      </c>
      <c r="IM53" s="1171">
        <f t="shared" si="121"/>
        <v>0</v>
      </c>
      <c r="IN53" s="1171">
        <f t="shared" si="122"/>
        <v>0</v>
      </c>
      <c r="IO53" s="1171">
        <f t="shared" si="123"/>
        <v>0</v>
      </c>
      <c r="IP53" s="1171">
        <f t="shared" si="124"/>
        <v>0</v>
      </c>
      <c r="IQ53" s="1171">
        <f t="shared" si="125"/>
        <v>0</v>
      </c>
      <c r="IR53" s="1171">
        <f t="shared" si="126"/>
        <v>3.662109375E-4</v>
      </c>
      <c r="IS53" s="1171">
        <f t="shared" si="127"/>
        <v>0</v>
      </c>
      <c r="IT53" s="1171">
        <f t="shared" si="128"/>
        <v>0</v>
      </c>
      <c r="IU53" s="1171">
        <f t="shared" si="129"/>
        <v>-3.1292438507080078E-7</v>
      </c>
      <c r="IV53" s="1171">
        <f t="shared" si="130"/>
        <v>0</v>
      </c>
      <c r="IW53" s="1171">
        <f t="shared" si="131"/>
        <v>0</v>
      </c>
      <c r="IX53" s="1171">
        <f t="shared" si="132"/>
        <v>0</v>
      </c>
    </row>
    <row r="54" spans="1:258" s="871" customFormat="1">
      <c r="B54" s="871" t="str">
        <f t="shared" ref="B54" si="253">LEFT(B52,3)+1&amp;"j"</f>
        <v>126j</v>
      </c>
      <c r="C54" s="871">
        <v>111.9</v>
      </c>
      <c r="D54" s="871">
        <v>0</v>
      </c>
      <c r="E54" s="871" t="s">
        <v>2100</v>
      </c>
      <c r="F54" s="26">
        <v>2</v>
      </c>
      <c r="G54" s="136">
        <v>500</v>
      </c>
      <c r="H54" s="136">
        <v>22</v>
      </c>
      <c r="I54" s="28">
        <v>250</v>
      </c>
      <c r="J54" s="26">
        <v>1940</v>
      </c>
      <c r="K54" s="136">
        <v>18</v>
      </c>
      <c r="L54" s="28">
        <v>120</v>
      </c>
      <c r="M54" s="26">
        <v>2800</v>
      </c>
      <c r="N54" s="28">
        <v>12</v>
      </c>
      <c r="O54" s="397">
        <v>0</v>
      </c>
      <c r="P54" s="26">
        <v>290</v>
      </c>
      <c r="Q54" s="397">
        <f>+Section!L115</f>
        <v>5500</v>
      </c>
      <c r="R54" s="169">
        <v>0</v>
      </c>
      <c r="S54" s="210">
        <v>0</v>
      </c>
      <c r="T54" s="210">
        <v>1200</v>
      </c>
      <c r="U54" s="210">
        <v>2400</v>
      </c>
      <c r="V54" s="872">
        <v>3800</v>
      </c>
      <c r="W54" s="210">
        <v>19</v>
      </c>
      <c r="X54" s="210">
        <v>200</v>
      </c>
      <c r="Y54" s="210">
        <v>50</v>
      </c>
      <c r="Z54" s="210">
        <v>16</v>
      </c>
      <c r="AA54" s="210">
        <v>200</v>
      </c>
      <c r="AB54" s="872">
        <v>40</v>
      </c>
      <c r="AC54" s="210">
        <v>0</v>
      </c>
      <c r="AD54" s="397">
        <v>2</v>
      </c>
      <c r="AE54" s="210">
        <v>160</v>
      </c>
      <c r="AF54" s="210">
        <v>16</v>
      </c>
      <c r="AG54" s="397">
        <v>0</v>
      </c>
      <c r="AH54" s="210">
        <v>0</v>
      </c>
      <c r="AI54" s="210">
        <v>0</v>
      </c>
      <c r="AJ54" s="397">
        <v>2</v>
      </c>
      <c r="AK54" s="210">
        <v>2500</v>
      </c>
      <c r="AL54" s="210">
        <v>5000</v>
      </c>
      <c r="AM54" s="210" t="s">
        <v>2316</v>
      </c>
      <c r="AN54" s="210">
        <v>2500</v>
      </c>
      <c r="AO54" s="1143" t="s">
        <v>2321</v>
      </c>
      <c r="AP54" s="1143" t="s">
        <v>2321</v>
      </c>
      <c r="AQ54" s="136">
        <v>150</v>
      </c>
      <c r="AR54" s="136">
        <v>14</v>
      </c>
      <c r="AS54" s="1143" t="s">
        <v>2448</v>
      </c>
      <c r="AT54" s="136">
        <v>120</v>
      </c>
      <c r="AU54" s="136">
        <v>12</v>
      </c>
      <c r="AV54" s="1109" t="s">
        <v>2157</v>
      </c>
      <c r="AW54" s="1109">
        <v>12</v>
      </c>
      <c r="AX54" s="1109">
        <v>400</v>
      </c>
      <c r="AY54" s="1109">
        <v>1000</v>
      </c>
      <c r="AZ54" s="1108">
        <v>8</v>
      </c>
      <c r="BA54" s="1108">
        <v>6</v>
      </c>
      <c r="BB54" s="1109"/>
      <c r="BC54" s="1168"/>
      <c r="BD54" s="210">
        <f>INDEX(Spec!$B$12:$P$58,MATCH(AO54,Spec!$A$12:$A$58,0),6)*100</f>
        <v>1900</v>
      </c>
      <c r="BE54" s="210">
        <f>INDEX(Spec!$B$12:$P$58,MATCH(AP54,Spec!$A$12:$A$58,0),6)*100</f>
        <v>1900</v>
      </c>
      <c r="BF54" s="881">
        <f t="shared" si="161"/>
        <v>0.69515529669535348</v>
      </c>
      <c r="BG54" s="881">
        <f t="shared" si="162"/>
        <v>47.243485714285718</v>
      </c>
      <c r="BH54" s="881"/>
      <c r="BI54" s="13" cm="1">
        <f t="array" ref="BI54">INDEX(Info!$AD$4:$AH$15,MATCH(Info!$I$13,Info!$AC$4:$AC$15,0),IF(H54&lt;=16,1,IF(H54&lt;=40,2,IF(H54&lt;=75,3,IF(H54&lt;=100,4,5)))))</f>
        <v>380</v>
      </c>
      <c r="BJ54" s="13" cm="1">
        <f t="array" ref="BJ54">INDEX(Info!$AD$4:$AH$15,MATCH(Info!$I$13,Info!$AC$4:$AC$15,0),IF(K54&lt;=16,1,IF(K54&lt;=40,2,IF(K54&lt;=75,3,IF(K54&lt;=100,4,5)))))</f>
        <v>380</v>
      </c>
      <c r="BK54" s="13" cm="1">
        <f t="array" ref="BK54">INDEX(Info!$AD$4:$AH$15,MATCH(Info!$I$14,Info!$AC$4:$AC$15,0),IF(N54&lt;=16,1,IF(N54&lt;=40,2,IF(N54&lt;=75,3,IF(N54&lt;=100,4,5)))))</f>
        <v>355</v>
      </c>
      <c r="BL54" s="13">
        <f>IF(Stress!C883="Positive",MAX(MIN(0.7*BI54,BK54),0.5*BI54),MAX(MIN(0.7*BJ54,BK54),0.5*BJ54))</f>
        <v>266</v>
      </c>
      <c r="BM54" s="13" cm="1">
        <f t="array" ref="BM54">INDEX(Info!$AD$4:$AH$15,MATCH(Info!$I$13,Info!$AC$4:$AC$15,0),IF(AI54&lt;=16,1,IF(AI54&lt;=40,2,IF(AI54&lt;=75,3,IF(AI54&lt;=100,4,5)))))</f>
        <v>380</v>
      </c>
      <c r="BN54" s="13" cm="1">
        <f t="array" ref="BN54">INDEX(Info!$AD$4:$AH$15,MATCH(Info!$I$13,Info!$AC$4:$AC$15,0),IF(AF54&lt;=16,1,IF(AF54&lt;=40,2,IF(AF54&lt;=75,3,IF(AF54&lt;=100,4,5)))))</f>
        <v>380</v>
      </c>
      <c r="BO54" s="13"/>
      <c r="BP54" s="873">
        <f t="shared" si="163"/>
        <v>0.125</v>
      </c>
      <c r="BQ54" s="873">
        <f t="shared" si="164"/>
        <v>2821.7902119044925</v>
      </c>
      <c r="BR54" s="873">
        <f t="shared" si="165"/>
        <v>3108</v>
      </c>
      <c r="BS54" s="873"/>
      <c r="BT54" s="871">
        <f t="shared" si="166"/>
        <v>0</v>
      </c>
      <c r="BU54" s="136">
        <f t="shared" si="167"/>
        <v>0</v>
      </c>
      <c r="BV54" s="871">
        <f t="shared" si="168"/>
        <v>1595000</v>
      </c>
      <c r="BW54" s="871">
        <f t="shared" si="169"/>
        <v>11178291666.666666</v>
      </c>
      <c r="BX54" s="871">
        <f t="shared" si="170"/>
        <v>0</v>
      </c>
      <c r="BY54" s="871">
        <f t="shared" si="171"/>
        <v>0</v>
      </c>
      <c r="BZ54" s="871">
        <f t="shared" si="172"/>
        <v>7655.2758986349281</v>
      </c>
      <c r="CA54" s="871">
        <f t="shared" si="173"/>
        <v>172722.16246295057</v>
      </c>
      <c r="CB54" s="871">
        <f t="shared" si="174"/>
        <v>5428.6721054031623</v>
      </c>
      <c r="CC54" s="871">
        <f t="shared" si="175"/>
        <v>86858.753686450596</v>
      </c>
      <c r="CE54" s="1137">
        <f t="shared" si="176"/>
        <v>346081987.77679139</v>
      </c>
      <c r="CF54" s="1136">
        <f t="shared" si="177"/>
        <v>411131448.88888884</v>
      </c>
      <c r="CG54" s="1136">
        <f t="shared" si="178"/>
        <v>0</v>
      </c>
      <c r="CH54" s="172">
        <f t="shared" si="179"/>
        <v>4020729166666.6665</v>
      </c>
      <c r="CJ54" s="136">
        <f t="shared" si="180"/>
        <v>129762.96508570782</v>
      </c>
      <c r="CK54" s="7">
        <f t="shared" si="181"/>
        <v>161520594572.24292</v>
      </c>
      <c r="CL54" s="875">
        <f t="shared" si="182"/>
        <v>1614.0322950661719</v>
      </c>
      <c r="CM54" s="6">
        <f t="shared" si="183"/>
        <v>1225.9677049338281</v>
      </c>
      <c r="CN54" s="876">
        <f t="shared" si="73"/>
        <v>100072715.43821304</v>
      </c>
      <c r="CO54" s="876">
        <f t="shared" si="74"/>
        <v>131749469.3556883</v>
      </c>
      <c r="CP54" s="1137">
        <f t="shared" si="184"/>
        <v>116187096071.85852</v>
      </c>
      <c r="CQ54" s="1136">
        <f t="shared" si="185"/>
        <v>32916617372.582115</v>
      </c>
      <c r="CR54" s="877">
        <f t="shared" si="186"/>
        <v>129762.96508570782</v>
      </c>
      <c r="CS54" s="874">
        <f t="shared" si="187"/>
        <v>161520594572.24292</v>
      </c>
      <c r="CT54" s="875">
        <f t="shared" si="188"/>
        <v>1614.0322950661719</v>
      </c>
      <c r="CU54" s="878">
        <f t="shared" si="189"/>
        <v>1225.9677049338281</v>
      </c>
      <c r="CV54" s="876">
        <f t="shared" si="190"/>
        <v>100072715.43821304</v>
      </c>
      <c r="CW54" s="876">
        <f t="shared" si="191"/>
        <v>131749469.3556883</v>
      </c>
      <c r="CX54" s="1136">
        <f t="shared" si="192"/>
        <v>116187096071.85852</v>
      </c>
      <c r="CY54" s="1136">
        <f t="shared" si="193"/>
        <v>32916617372.582115</v>
      </c>
      <c r="CZ54" s="877">
        <f t="shared" si="194"/>
        <v>129762.96508570782</v>
      </c>
      <c r="DA54" s="874">
        <f t="shared" si="195"/>
        <v>161520594572.24292</v>
      </c>
      <c r="DB54" s="875">
        <f t="shared" si="196"/>
        <v>1614.0322950661719</v>
      </c>
      <c r="DC54" s="878">
        <f t="shared" si="197"/>
        <v>1225.9677049338281</v>
      </c>
      <c r="DD54" s="876">
        <f t="shared" si="75"/>
        <v>100072715.43821304</v>
      </c>
      <c r="DE54" s="876">
        <f t="shared" si="76"/>
        <v>131749469.3556883</v>
      </c>
      <c r="DF54" s="1136">
        <f t="shared" si="198"/>
        <v>116187096071.85852</v>
      </c>
      <c r="DG54" s="1136">
        <f t="shared" si="199"/>
        <v>32916617372.582115</v>
      </c>
      <c r="DH54" s="877">
        <f t="shared" si="200"/>
        <v>377674.65161772241</v>
      </c>
      <c r="DI54" s="879">
        <f t="shared" si="201"/>
        <v>420265490240.5509</v>
      </c>
      <c r="DJ54" s="878">
        <f t="shared" si="202"/>
        <v>473.81649295745774</v>
      </c>
      <c r="DK54" s="877">
        <f t="shared" si="203"/>
        <v>2366.1835070425423</v>
      </c>
      <c r="DL54" s="876">
        <f t="shared" si="77"/>
        <v>886979445.60212898</v>
      </c>
      <c r="DM54" s="876">
        <f t="shared" si="78"/>
        <v>177613227.7947599</v>
      </c>
      <c r="DN54" s="7">
        <f t="shared" si="204"/>
        <v>741131139204.64526</v>
      </c>
      <c r="DO54" s="1136">
        <f t="shared" si="205"/>
        <v>214476299647.88208</v>
      </c>
      <c r="DP54" s="877">
        <f t="shared" si="206"/>
        <v>212400.1939297127</v>
      </c>
      <c r="DQ54" s="879">
        <f t="shared" si="207"/>
        <v>314430424509.01593</v>
      </c>
      <c r="DR54" s="877">
        <f t="shared" si="208"/>
        <v>938.2158910363737</v>
      </c>
      <c r="DS54" s="877">
        <f t="shared" si="209"/>
        <v>1901.7841089636263</v>
      </c>
      <c r="DT54" s="876">
        <f t="shared" si="79"/>
        <v>335136536.81743681</v>
      </c>
      <c r="DU54" s="876">
        <f t="shared" si="80"/>
        <v>165334447.28401071</v>
      </c>
      <c r="DV54" s="1136">
        <f t="shared" si="210"/>
        <v>324501777116.12073</v>
      </c>
      <c r="DW54" s="1136">
        <f t="shared" si="211"/>
        <v>214476299647.88208</v>
      </c>
      <c r="DX54" s="880">
        <f t="shared" si="212"/>
        <v>142846.91308974591</v>
      </c>
      <c r="DY54" s="874">
        <f t="shared" si="213"/>
        <v>198007849742.18506</v>
      </c>
      <c r="DZ54" s="873">
        <f t="shared" si="214"/>
        <v>1453.8294571168058</v>
      </c>
      <c r="EA54" s="880">
        <f t="shared" si="215"/>
        <v>1386.1705428831942</v>
      </c>
      <c r="EB54" s="876">
        <f t="shared" si="81"/>
        <v>136197439.64664793</v>
      </c>
      <c r="EC54" s="876">
        <f t="shared" si="82"/>
        <v>142845229.80147487</v>
      </c>
      <c r="ED54" s="1136">
        <f t="shared" si="216"/>
        <v>741131139204.64526</v>
      </c>
      <c r="EE54" s="1136">
        <f t="shared" si="217"/>
        <v>214476299647.88208</v>
      </c>
      <c r="EF54" s="880">
        <f t="shared" si="218"/>
        <v>134124.28108705385</v>
      </c>
      <c r="EG54" s="874">
        <f t="shared" si="219"/>
        <v>174471223269.76736</v>
      </c>
      <c r="EH54" s="873">
        <f t="shared" si="220"/>
        <v>1557.158474547349</v>
      </c>
      <c r="EI54" s="880">
        <f t="shared" si="221"/>
        <v>1282.841525452651</v>
      </c>
      <c r="EJ54" s="876">
        <f t="shared" si="83"/>
        <v>112044615.96016069</v>
      </c>
      <c r="EK54" s="876">
        <f t="shared" si="84"/>
        <v>136003722.8356832</v>
      </c>
      <c r="EL54" s="1136">
        <f t="shared" si="85"/>
        <v>324501777116.12073</v>
      </c>
      <c r="EM54" s="1136">
        <f t="shared" si="86"/>
        <v>214476299647.88208</v>
      </c>
      <c r="EN54" s="876"/>
      <c r="EO54" s="1113" t="s">
        <v>2212</v>
      </c>
      <c r="EP54" s="1114">
        <v>129762.965085708</v>
      </c>
      <c r="EQ54" s="1114">
        <v>161520594572.24301</v>
      </c>
      <c r="ER54" s="1115">
        <v>1614.03229506617</v>
      </c>
      <c r="ES54" s="1115">
        <v>1225.96770493383</v>
      </c>
      <c r="ET54" s="1114">
        <v>100072715.43821301</v>
      </c>
      <c r="EU54" s="1114">
        <v>131749469.35568801</v>
      </c>
      <c r="EV54" s="1114">
        <v>116187096071.85899</v>
      </c>
      <c r="EW54" s="1114">
        <v>32916617372.5821</v>
      </c>
      <c r="EX54" s="1114">
        <v>129762.965085708</v>
      </c>
      <c r="EY54" s="1114">
        <v>161520594572.24301</v>
      </c>
      <c r="EZ54" s="1115">
        <v>1614.03229506617</v>
      </c>
      <c r="FA54" s="1115">
        <v>1225.96770493383</v>
      </c>
      <c r="FB54" s="1114">
        <v>100072715.43821301</v>
      </c>
      <c r="FC54" s="1114">
        <v>131749469.35568801</v>
      </c>
      <c r="FD54" s="1114">
        <v>116187096071.85899</v>
      </c>
      <c r="FE54" s="1114">
        <v>32916617372.5821</v>
      </c>
      <c r="FF54" s="1114">
        <v>129762.965085708</v>
      </c>
      <c r="FG54" s="1114">
        <v>161520594572.24301</v>
      </c>
      <c r="FH54" s="1115">
        <v>1614.03229506617</v>
      </c>
      <c r="FI54" s="1115">
        <v>1225.96770493383</v>
      </c>
      <c r="FJ54" s="1114">
        <v>100072715.43821301</v>
      </c>
      <c r="FK54" s="1114">
        <v>131749469.35568801</v>
      </c>
      <c r="FL54" s="1114">
        <v>116187096071.85899</v>
      </c>
      <c r="FM54" s="1114">
        <v>32916617372.5821</v>
      </c>
      <c r="FN54" s="1114">
        <v>377674.65161772299</v>
      </c>
      <c r="FO54" s="1114">
        <v>420265490240.55103</v>
      </c>
      <c r="FP54" s="1115">
        <v>473.816492957457</v>
      </c>
      <c r="FQ54" s="1115">
        <v>2366.18350704254</v>
      </c>
      <c r="FR54" s="1114">
        <v>886979445.60213101</v>
      </c>
      <c r="FS54" s="1114">
        <v>177613227.79475999</v>
      </c>
      <c r="FT54" s="1114">
        <v>741131139204.646</v>
      </c>
      <c r="FU54" s="1114">
        <v>214476299647.88199</v>
      </c>
      <c r="FV54" s="1114">
        <v>212400.19392971299</v>
      </c>
      <c r="FW54" s="1114">
        <v>314430424509.01599</v>
      </c>
      <c r="FX54" s="1115">
        <v>938.21589103637302</v>
      </c>
      <c r="FY54" s="1115">
        <v>1901.7841089636299</v>
      </c>
      <c r="FZ54" s="1114">
        <v>335136536.81743699</v>
      </c>
      <c r="GA54" s="1114">
        <v>165334447.28401101</v>
      </c>
      <c r="GB54" s="1114">
        <v>324501777116.12097</v>
      </c>
      <c r="GC54" s="1114">
        <v>214476299647.88199</v>
      </c>
      <c r="GD54" s="1114">
        <v>142846.913089746</v>
      </c>
      <c r="GE54" s="1114">
        <v>198007849742.185</v>
      </c>
      <c r="GF54" s="1115">
        <v>1453.8294571168101</v>
      </c>
      <c r="GG54" s="1115">
        <v>1386.1705428831899</v>
      </c>
      <c r="GH54" s="1114">
        <v>136197439.64664799</v>
      </c>
      <c r="GI54" s="1114">
        <v>142845229.80147499</v>
      </c>
      <c r="GJ54" s="1114">
        <v>741131139204.646</v>
      </c>
      <c r="GK54" s="1114">
        <v>214476299647.88199</v>
      </c>
      <c r="GL54" s="1114">
        <v>134124.281087054</v>
      </c>
      <c r="GM54" s="1114">
        <v>174471223269.767</v>
      </c>
      <c r="GN54" s="1115">
        <v>1557.1584745473499</v>
      </c>
      <c r="GO54" s="1115">
        <v>1282.8415254526501</v>
      </c>
      <c r="GP54" s="1114">
        <v>112044615.960161</v>
      </c>
      <c r="GQ54" s="1114">
        <v>136003722.83568299</v>
      </c>
      <c r="GR54" s="1114">
        <v>324501777116.12097</v>
      </c>
      <c r="GS54" s="1114">
        <v>214476299647.88199</v>
      </c>
      <c r="GU54" s="1171">
        <f t="shared" si="222"/>
        <v>-1.7462298274040222E-10</v>
      </c>
      <c r="GV54" s="1171">
        <f t="shared" si="223"/>
        <v>0</v>
      </c>
      <c r="GW54" s="1171">
        <f t="shared" si="224"/>
        <v>1.8189894035458565E-12</v>
      </c>
      <c r="GX54" s="1171">
        <f t="shared" si="225"/>
        <v>-1.8189894035458565E-12</v>
      </c>
      <c r="GY54" s="1171">
        <f t="shared" si="226"/>
        <v>0</v>
      </c>
      <c r="GZ54" s="1171">
        <f t="shared" si="227"/>
        <v>2.9802322387695313E-7</v>
      </c>
      <c r="HA54" s="1171">
        <f t="shared" si="235"/>
        <v>-4.730224609375E-4</v>
      </c>
      <c r="HB54" s="1171">
        <f t="shared" si="228"/>
        <v>0</v>
      </c>
      <c r="HC54" s="1171">
        <f t="shared" si="229"/>
        <v>-1.7462298274040222E-10</v>
      </c>
      <c r="HD54" s="1171">
        <f t="shared" si="230"/>
        <v>0</v>
      </c>
      <c r="HE54" s="1171">
        <f t="shared" si="231"/>
        <v>1.8189894035458565E-12</v>
      </c>
      <c r="HF54" s="1171">
        <f t="shared" si="232"/>
        <v>-1.8189894035458565E-12</v>
      </c>
      <c r="HG54" s="1171">
        <f t="shared" si="89"/>
        <v>0</v>
      </c>
      <c r="HH54" s="1171">
        <f t="shared" si="90"/>
        <v>2.9802322387695313E-7</v>
      </c>
      <c r="HI54" s="1171">
        <f t="shared" si="91"/>
        <v>-4.730224609375E-4</v>
      </c>
      <c r="HJ54" s="1171">
        <f t="shared" si="92"/>
        <v>0</v>
      </c>
      <c r="HK54" s="1171">
        <f t="shared" si="93"/>
        <v>-1.7462298274040222E-10</v>
      </c>
      <c r="HL54" s="1171">
        <f t="shared" si="94"/>
        <v>0</v>
      </c>
      <c r="HM54" s="1171">
        <f t="shared" si="95"/>
        <v>1.8189894035458565E-12</v>
      </c>
      <c r="HN54" s="1171">
        <f t="shared" si="96"/>
        <v>-1.8189894035458565E-12</v>
      </c>
      <c r="HO54" s="1171">
        <f t="shared" si="97"/>
        <v>0</v>
      </c>
      <c r="HP54" s="1171">
        <f t="shared" si="98"/>
        <v>2.9802322387695313E-7</v>
      </c>
      <c r="HQ54" s="1171">
        <f t="shared" si="99"/>
        <v>-4.730224609375E-4</v>
      </c>
      <c r="HR54" s="1171">
        <f t="shared" si="100"/>
        <v>0</v>
      </c>
      <c r="HS54" s="1171">
        <f t="shared" si="101"/>
        <v>-5.8207660913467407E-10</v>
      </c>
      <c r="HT54" s="1171">
        <f t="shared" si="102"/>
        <v>0</v>
      </c>
      <c r="HU54" s="1171">
        <f t="shared" si="103"/>
        <v>7.3896444519050419E-13</v>
      </c>
      <c r="HV54" s="1171">
        <f t="shared" si="104"/>
        <v>0</v>
      </c>
      <c r="HW54" s="1171">
        <f t="shared" si="105"/>
        <v>-2.0265579223632813E-6</v>
      </c>
      <c r="HX54" s="1171">
        <f t="shared" si="106"/>
        <v>0</v>
      </c>
      <c r="HY54" s="1171">
        <f t="shared" si="107"/>
        <v>0</v>
      </c>
      <c r="HZ54" s="1171">
        <f t="shared" si="108"/>
        <v>0</v>
      </c>
      <c r="IA54" s="1171">
        <f t="shared" si="109"/>
        <v>-2.9103830456733704E-10</v>
      </c>
      <c r="IB54" s="1171">
        <f t="shared" si="110"/>
        <v>0</v>
      </c>
      <c r="IC54" s="1171">
        <f t="shared" si="111"/>
        <v>0</v>
      </c>
      <c r="ID54" s="1171">
        <f t="shared" si="112"/>
        <v>-3.637978807091713E-12</v>
      </c>
      <c r="IE54" s="1171">
        <f t="shared" si="113"/>
        <v>0</v>
      </c>
      <c r="IF54" s="1171">
        <f t="shared" si="114"/>
        <v>-2.9802322387695313E-7</v>
      </c>
      <c r="IG54" s="1171">
        <f t="shared" si="115"/>
        <v>0</v>
      </c>
      <c r="IH54" s="1171">
        <f t="shared" si="116"/>
        <v>0</v>
      </c>
      <c r="II54" s="1171">
        <f t="shared" si="117"/>
        <v>0</v>
      </c>
      <c r="IJ54" s="1171">
        <f t="shared" si="118"/>
        <v>0</v>
      </c>
      <c r="IK54" s="1171">
        <f t="shared" si="119"/>
        <v>-4.3200998334214091E-12</v>
      </c>
      <c r="IL54" s="1171">
        <f t="shared" si="120"/>
        <v>4.3200998334214091E-12</v>
      </c>
      <c r="IM54" s="1171">
        <f t="shared" si="121"/>
        <v>0</v>
      </c>
      <c r="IN54" s="1171">
        <f t="shared" si="122"/>
        <v>0</v>
      </c>
      <c r="IO54" s="1171">
        <f t="shared" si="123"/>
        <v>0</v>
      </c>
      <c r="IP54" s="1171">
        <f t="shared" si="124"/>
        <v>0</v>
      </c>
      <c r="IQ54" s="1171">
        <f t="shared" si="125"/>
        <v>0</v>
      </c>
      <c r="IR54" s="1171">
        <f t="shared" si="126"/>
        <v>3.662109375E-4</v>
      </c>
      <c r="IS54" s="1171">
        <f t="shared" si="127"/>
        <v>0</v>
      </c>
      <c r="IT54" s="1171">
        <f t="shared" si="128"/>
        <v>0</v>
      </c>
      <c r="IU54" s="1171">
        <f t="shared" si="129"/>
        <v>-3.1292438507080078E-7</v>
      </c>
      <c r="IV54" s="1171">
        <f t="shared" si="130"/>
        <v>0</v>
      </c>
      <c r="IW54" s="1171">
        <f t="shared" si="131"/>
        <v>0</v>
      </c>
      <c r="IX54" s="1171">
        <f t="shared" si="132"/>
        <v>0</v>
      </c>
    </row>
    <row r="55" spans="1:258" s="871" customFormat="1">
      <c r="A55" s="871">
        <v>127</v>
      </c>
      <c r="B55" s="871" t="str">
        <f t="shared" ref="B55" si="254">LEFT(B53,3)+1&amp;"i"</f>
        <v>127i</v>
      </c>
      <c r="C55" s="871">
        <v>111.9</v>
      </c>
      <c r="D55" s="871">
        <v>0</v>
      </c>
      <c r="E55" s="871" t="s">
        <v>2101</v>
      </c>
      <c r="F55" s="26">
        <v>2</v>
      </c>
      <c r="G55" s="136">
        <v>500</v>
      </c>
      <c r="H55" s="136">
        <v>22</v>
      </c>
      <c r="I55" s="28">
        <v>250</v>
      </c>
      <c r="J55" s="26">
        <v>1940</v>
      </c>
      <c r="K55" s="136">
        <v>10</v>
      </c>
      <c r="L55" s="28">
        <v>120</v>
      </c>
      <c r="M55" s="26">
        <v>2800</v>
      </c>
      <c r="N55" s="28">
        <v>12</v>
      </c>
      <c r="O55" s="397">
        <v>0</v>
      </c>
      <c r="P55" s="26">
        <v>290</v>
      </c>
      <c r="Q55" s="397">
        <f>+Section!L116</f>
        <v>5500</v>
      </c>
      <c r="R55" s="169">
        <v>0</v>
      </c>
      <c r="S55" s="210">
        <v>0</v>
      </c>
      <c r="T55" s="210">
        <v>1200</v>
      </c>
      <c r="U55" s="210">
        <v>2400</v>
      </c>
      <c r="V55" s="872">
        <v>3800</v>
      </c>
      <c r="W55" s="210">
        <v>19</v>
      </c>
      <c r="X55" s="210">
        <v>200</v>
      </c>
      <c r="Y55" s="210">
        <v>50</v>
      </c>
      <c r="Z55" s="210">
        <v>16</v>
      </c>
      <c r="AA55" s="210">
        <v>200</v>
      </c>
      <c r="AB55" s="872">
        <v>40</v>
      </c>
      <c r="AC55" s="210">
        <v>0</v>
      </c>
      <c r="AD55" s="397">
        <v>2</v>
      </c>
      <c r="AE55" s="210">
        <v>160</v>
      </c>
      <c r="AF55" s="210">
        <v>16</v>
      </c>
      <c r="AG55" s="397">
        <v>0</v>
      </c>
      <c r="AH55" s="210">
        <v>0</v>
      </c>
      <c r="AI55" s="210">
        <v>0</v>
      </c>
      <c r="AJ55" s="397">
        <v>2</v>
      </c>
      <c r="AK55" s="210">
        <v>2500</v>
      </c>
      <c r="AL55" s="210">
        <v>5000</v>
      </c>
      <c r="AM55" s="210" t="s">
        <v>2316</v>
      </c>
      <c r="AN55" s="210">
        <v>2500</v>
      </c>
      <c r="AO55" s="1143" t="s">
        <v>2321</v>
      </c>
      <c r="AP55" s="1143" t="s">
        <v>2321</v>
      </c>
      <c r="AQ55" s="136">
        <v>150</v>
      </c>
      <c r="AR55" s="136">
        <v>14</v>
      </c>
      <c r="AS55" s="1143" t="s">
        <v>2448</v>
      </c>
      <c r="AT55" s="136">
        <v>120</v>
      </c>
      <c r="AU55" s="136">
        <v>12</v>
      </c>
      <c r="AV55" s="1109" t="s">
        <v>2157</v>
      </c>
      <c r="AW55" s="1109">
        <v>12</v>
      </c>
      <c r="AX55" s="1109">
        <v>400</v>
      </c>
      <c r="AY55" s="1109">
        <v>1000</v>
      </c>
      <c r="AZ55" s="1108">
        <v>8</v>
      </c>
      <c r="BA55" s="1108">
        <v>6</v>
      </c>
      <c r="BB55" s="1109"/>
      <c r="BC55" s="1168"/>
      <c r="BD55" s="210">
        <f>INDEX(Spec!$B$12:$P$58,MATCH(AO55,Spec!$A$12:$A$58,0),6)*100</f>
        <v>1900</v>
      </c>
      <c r="BE55" s="210">
        <f>INDEX(Spec!$B$12:$P$58,MATCH(AP55,Spec!$A$12:$A$58,0),6)*100</f>
        <v>1900</v>
      </c>
      <c r="BF55" s="881">
        <f t="shared" si="161"/>
        <v>0.69515529669535348</v>
      </c>
      <c r="BG55" s="881">
        <f t="shared" si="162"/>
        <v>47.243485714285718</v>
      </c>
      <c r="BH55" s="881"/>
      <c r="BI55" s="13" cm="1">
        <f t="array" ref="BI55">INDEX(Info!$AD$4:$AH$15,MATCH(Info!$I$13,Info!$AC$4:$AC$15,0),IF(H55&lt;=16,1,IF(H55&lt;=40,2,IF(H55&lt;=75,3,IF(H55&lt;=100,4,5)))))</f>
        <v>380</v>
      </c>
      <c r="BJ55" s="13" cm="1">
        <f t="array" ref="BJ55">INDEX(Info!$AD$4:$AH$15,MATCH(Info!$I$13,Info!$AC$4:$AC$15,0),IF(K55&lt;=16,1,IF(K55&lt;=40,2,IF(K55&lt;=75,3,IF(K55&lt;=100,4,5)))))</f>
        <v>380</v>
      </c>
      <c r="BK55" s="13" cm="1">
        <f t="array" ref="BK55">INDEX(Info!$AD$4:$AH$15,MATCH(Info!$I$14,Info!$AC$4:$AC$15,0),IF(N55&lt;=16,1,IF(N55&lt;=40,2,IF(N55&lt;=75,3,IF(N55&lt;=100,4,5)))))</f>
        <v>355</v>
      </c>
      <c r="BL55" s="13">
        <f>IF(Stress!C884="Positive",MAX(MIN(0.7*BI55,BK55),0.5*BI55),MAX(MIN(0.7*BJ55,BK55),0.5*BJ55))</f>
        <v>266</v>
      </c>
      <c r="BM55" s="13" cm="1">
        <f t="array" ref="BM55">INDEX(Info!$AD$4:$AH$15,MATCH(Info!$I$13,Info!$AC$4:$AC$15,0),IF(AI55&lt;=16,1,IF(AI55&lt;=40,2,IF(AI55&lt;=75,3,IF(AI55&lt;=100,4,5)))))</f>
        <v>380</v>
      </c>
      <c r="BN55" s="13" cm="1">
        <f t="array" ref="BN55">INDEX(Info!$AD$4:$AH$15,MATCH(Info!$I$13,Info!$AC$4:$AC$15,0),IF(AF55&lt;=16,1,IF(AF55&lt;=40,2,IF(AF55&lt;=75,3,IF(AF55&lt;=100,4,5)))))</f>
        <v>380</v>
      </c>
      <c r="BO55" s="13"/>
      <c r="BP55" s="873">
        <f t="shared" si="163"/>
        <v>0.125</v>
      </c>
      <c r="BQ55" s="873">
        <f t="shared" si="164"/>
        <v>2821.7902119044925</v>
      </c>
      <c r="BR55" s="873">
        <f t="shared" si="165"/>
        <v>3100</v>
      </c>
      <c r="BS55" s="873"/>
      <c r="BT55" s="871">
        <f t="shared" si="166"/>
        <v>0</v>
      </c>
      <c r="BU55" s="136">
        <f t="shared" si="167"/>
        <v>0</v>
      </c>
      <c r="BV55" s="871">
        <f t="shared" si="168"/>
        <v>1595000</v>
      </c>
      <c r="BW55" s="871">
        <f t="shared" si="169"/>
        <v>11178291666.666666</v>
      </c>
      <c r="BX55" s="871">
        <f t="shared" si="170"/>
        <v>0</v>
      </c>
      <c r="BY55" s="871">
        <f t="shared" si="171"/>
        <v>0</v>
      </c>
      <c r="BZ55" s="871">
        <f t="shared" si="172"/>
        <v>7655.2758986349281</v>
      </c>
      <c r="CA55" s="871">
        <f t="shared" si="173"/>
        <v>172722.16246295057</v>
      </c>
      <c r="CB55" s="871">
        <f t="shared" si="174"/>
        <v>5428.6721054031623</v>
      </c>
      <c r="CC55" s="871">
        <f t="shared" si="175"/>
        <v>86858.753686450596</v>
      </c>
      <c r="CE55" s="1137">
        <f t="shared" si="176"/>
        <v>346081987.77679139</v>
      </c>
      <c r="CF55" s="1136">
        <f t="shared" si="177"/>
        <v>411131448.88888884</v>
      </c>
      <c r="CG55" s="1136">
        <f t="shared" si="178"/>
        <v>0</v>
      </c>
      <c r="CH55" s="172">
        <f t="shared" si="179"/>
        <v>4020729166666.6665</v>
      </c>
      <c r="CJ55" s="136">
        <f t="shared" si="180"/>
        <v>114242.96508570782</v>
      </c>
      <c r="CK55" s="7">
        <f t="shared" si="181"/>
        <v>135197688550.53313</v>
      </c>
      <c r="CL55" s="875">
        <f t="shared" si="182"/>
        <v>1448.02698553709</v>
      </c>
      <c r="CM55" s="6">
        <f t="shared" si="183"/>
        <v>1383.97301446291</v>
      </c>
      <c r="CN55" s="876">
        <f t="shared" si="73"/>
        <v>93366829.417468861</v>
      </c>
      <c r="CO55" s="876">
        <f t="shared" si="74"/>
        <v>97688095.893257305</v>
      </c>
      <c r="CP55" s="1137">
        <f t="shared" si="184"/>
        <v>111319506738.52518</v>
      </c>
      <c r="CQ55" s="1136">
        <f t="shared" si="185"/>
        <v>32135500033.324783</v>
      </c>
      <c r="CR55" s="877">
        <f t="shared" si="186"/>
        <v>114242.96508570782</v>
      </c>
      <c r="CS55" s="874">
        <f t="shared" si="187"/>
        <v>135197688550.53313</v>
      </c>
      <c r="CT55" s="875">
        <f t="shared" si="188"/>
        <v>1448.02698553709</v>
      </c>
      <c r="CU55" s="878">
        <f t="shared" si="189"/>
        <v>1383.97301446291</v>
      </c>
      <c r="CV55" s="876">
        <f t="shared" si="190"/>
        <v>93366829.417468861</v>
      </c>
      <c r="CW55" s="876">
        <f t="shared" si="191"/>
        <v>97688095.893257305</v>
      </c>
      <c r="CX55" s="1136">
        <f t="shared" si="192"/>
        <v>111319506738.52518</v>
      </c>
      <c r="CY55" s="1136">
        <f t="shared" si="193"/>
        <v>32135500033.324783</v>
      </c>
      <c r="CZ55" s="877">
        <f t="shared" si="194"/>
        <v>114242.96508570782</v>
      </c>
      <c r="DA55" s="874">
        <f t="shared" si="195"/>
        <v>135197688550.53313</v>
      </c>
      <c r="DB55" s="875">
        <f t="shared" si="196"/>
        <v>1448.02698553709</v>
      </c>
      <c r="DC55" s="878">
        <f t="shared" si="197"/>
        <v>1383.97301446291</v>
      </c>
      <c r="DD55" s="876">
        <f t="shared" si="75"/>
        <v>93366829.417468861</v>
      </c>
      <c r="DE55" s="876">
        <f t="shared" si="76"/>
        <v>97688095.893257305</v>
      </c>
      <c r="DF55" s="1136">
        <f t="shared" si="198"/>
        <v>111319506738.52518</v>
      </c>
      <c r="DG55" s="1136">
        <f t="shared" si="199"/>
        <v>32135500033.324783</v>
      </c>
      <c r="DH55" s="877">
        <f t="shared" si="200"/>
        <v>362154.65161772241</v>
      </c>
      <c r="DI55" s="879">
        <f t="shared" si="201"/>
        <v>329953970555.92291</v>
      </c>
      <c r="DJ55" s="878">
        <f t="shared" si="202"/>
        <v>372.58601623836148</v>
      </c>
      <c r="DK55" s="877">
        <f t="shared" si="203"/>
        <v>2459.4139837616385</v>
      </c>
      <c r="DL55" s="876">
        <f t="shared" si="77"/>
        <v>885577977.09948206</v>
      </c>
      <c r="DM55" s="876">
        <f t="shared" si="78"/>
        <v>134159589.53411455</v>
      </c>
      <c r="DN55" s="7">
        <f t="shared" si="204"/>
        <v>736263549871.31189</v>
      </c>
      <c r="DO55" s="1136">
        <f t="shared" si="205"/>
        <v>188083751807.79175</v>
      </c>
      <c r="DP55" s="877">
        <f t="shared" si="206"/>
        <v>196880.1939297127</v>
      </c>
      <c r="DQ55" s="879">
        <f t="shared" si="207"/>
        <v>254127440236.13666</v>
      </c>
      <c r="DR55" s="877">
        <f t="shared" si="208"/>
        <v>788.61420290704064</v>
      </c>
      <c r="DS55" s="877">
        <f t="shared" si="209"/>
        <v>2043.3857970929594</v>
      </c>
      <c r="DT55" s="876">
        <f t="shared" si="79"/>
        <v>322245578.76253772</v>
      </c>
      <c r="DU55" s="876">
        <f t="shared" si="80"/>
        <v>124365864.04665887</v>
      </c>
      <c r="DV55" s="1136">
        <f t="shared" si="210"/>
        <v>319634187782.78741</v>
      </c>
      <c r="DW55" s="1136">
        <f t="shared" si="211"/>
        <v>188083751807.79175</v>
      </c>
      <c r="DX55" s="880">
        <f t="shared" si="212"/>
        <v>127326.91308974591</v>
      </c>
      <c r="DY55" s="874">
        <f t="shared" si="213"/>
        <v>164744444014.17923</v>
      </c>
      <c r="DZ55" s="873">
        <f t="shared" si="214"/>
        <v>1285.3553591825589</v>
      </c>
      <c r="EA55" s="880">
        <f t="shared" si="215"/>
        <v>1546.6446408174411</v>
      </c>
      <c r="EB55" s="876">
        <f t="shared" si="81"/>
        <v>128170348.25213701</v>
      </c>
      <c r="EC55" s="876">
        <f t="shared" si="82"/>
        <v>106517321.21679069</v>
      </c>
      <c r="ED55" s="1136">
        <f t="shared" si="216"/>
        <v>736263549871.31189</v>
      </c>
      <c r="EE55" s="1136">
        <f t="shared" si="217"/>
        <v>188083751807.79175</v>
      </c>
      <c r="EF55" s="880">
        <f t="shared" si="218"/>
        <v>118604.28108705385</v>
      </c>
      <c r="EG55" s="874">
        <f t="shared" si="219"/>
        <v>145767814837.80017</v>
      </c>
      <c r="EH55" s="873">
        <f t="shared" si="220"/>
        <v>1389.8152699588293</v>
      </c>
      <c r="EI55" s="880">
        <f t="shared" si="221"/>
        <v>1442.1847300411707</v>
      </c>
      <c r="EJ55" s="876">
        <f t="shared" si="83"/>
        <v>104882870.39911303</v>
      </c>
      <c r="EK55" s="876">
        <f t="shared" si="84"/>
        <v>101074301.92638281</v>
      </c>
      <c r="EL55" s="1136">
        <f t="shared" si="85"/>
        <v>319634187782.78741</v>
      </c>
      <c r="EM55" s="1136">
        <f t="shared" si="86"/>
        <v>188083751807.79175</v>
      </c>
      <c r="EN55" s="876"/>
      <c r="EO55" s="1113" t="s">
        <v>2213</v>
      </c>
      <c r="EP55" s="1114">
        <v>114242.965085708</v>
      </c>
      <c r="EQ55" s="1114">
        <v>135197688550.533</v>
      </c>
      <c r="ER55" s="1115">
        <v>1448.02698553709</v>
      </c>
      <c r="ES55" s="1115">
        <v>1383.97301446291</v>
      </c>
      <c r="ET55" s="1114">
        <v>93366829.417468905</v>
      </c>
      <c r="EU55" s="1114">
        <v>97688095.893257305</v>
      </c>
      <c r="EV55" s="1114">
        <v>111319506738.52499</v>
      </c>
      <c r="EW55" s="1114">
        <v>32135500033.324799</v>
      </c>
      <c r="EX55" s="1114">
        <v>114242.965085708</v>
      </c>
      <c r="EY55" s="1114">
        <v>135197688550.533</v>
      </c>
      <c r="EZ55" s="1115">
        <v>1448.02698553709</v>
      </c>
      <c r="FA55" s="1115">
        <v>1383.97301446291</v>
      </c>
      <c r="FB55" s="1114">
        <v>93366829.417468905</v>
      </c>
      <c r="FC55" s="1114">
        <v>97688095.893257305</v>
      </c>
      <c r="FD55" s="1114">
        <v>111319506738.52499</v>
      </c>
      <c r="FE55" s="1114">
        <v>32135500033.324799</v>
      </c>
      <c r="FF55" s="1114">
        <v>114242.965085708</v>
      </c>
      <c r="FG55" s="1114">
        <v>135197688550.533</v>
      </c>
      <c r="FH55" s="1115">
        <v>1448.02698553709</v>
      </c>
      <c r="FI55" s="1115">
        <v>1383.97301446291</v>
      </c>
      <c r="FJ55" s="1114">
        <v>93366829.417468905</v>
      </c>
      <c r="FK55" s="1114">
        <v>97688095.893257305</v>
      </c>
      <c r="FL55" s="1114">
        <v>111319506738.52499</v>
      </c>
      <c r="FM55" s="1114">
        <v>32135500033.324799</v>
      </c>
      <c r="FN55" s="1114">
        <v>362154.65161772299</v>
      </c>
      <c r="FO55" s="1114">
        <v>329953970555.92297</v>
      </c>
      <c r="FP55" s="1115">
        <v>372.58601623836103</v>
      </c>
      <c r="FQ55" s="1115">
        <v>2459.4139837616399</v>
      </c>
      <c r="FR55" s="1114">
        <v>885577977.09948301</v>
      </c>
      <c r="FS55" s="1114">
        <v>134159589.534115</v>
      </c>
      <c r="FT55" s="1114">
        <v>736263549871.31299</v>
      </c>
      <c r="FU55" s="1114">
        <v>188083751807.79199</v>
      </c>
      <c r="FV55" s="1114">
        <v>196880.19392971299</v>
      </c>
      <c r="FW55" s="1114">
        <v>254127440236.13699</v>
      </c>
      <c r="FX55" s="1115">
        <v>788.61420290703995</v>
      </c>
      <c r="FY55" s="1115">
        <v>2043.38579709296</v>
      </c>
      <c r="FZ55" s="1114">
        <v>322245578.76253802</v>
      </c>
      <c r="GA55" s="1114">
        <v>124365864.04665899</v>
      </c>
      <c r="GB55" s="1114">
        <v>319634187782.78802</v>
      </c>
      <c r="GC55" s="1114">
        <v>188083751807.79199</v>
      </c>
      <c r="GD55" s="1114">
        <v>127326.913089746</v>
      </c>
      <c r="GE55" s="1114">
        <v>164744444014.17899</v>
      </c>
      <c r="GF55" s="1115">
        <v>1285.3553591825601</v>
      </c>
      <c r="GG55" s="1115">
        <v>1546.6446408174399</v>
      </c>
      <c r="GH55" s="1114">
        <v>128170348.25213701</v>
      </c>
      <c r="GI55" s="1114">
        <v>106517321.216791</v>
      </c>
      <c r="GJ55" s="1114">
        <v>736263549871.31299</v>
      </c>
      <c r="GK55" s="1114">
        <v>188083751807.79199</v>
      </c>
      <c r="GL55" s="1114">
        <v>118604.281087054</v>
      </c>
      <c r="GM55" s="1114">
        <v>145767814837.79999</v>
      </c>
      <c r="GN55" s="1115">
        <v>1389.81526995883</v>
      </c>
      <c r="GO55" s="1115">
        <v>1442.18473004117</v>
      </c>
      <c r="GP55" s="1114">
        <v>104882870.399113</v>
      </c>
      <c r="GQ55" s="1114">
        <v>101074301.926383</v>
      </c>
      <c r="GR55" s="1114">
        <v>319634187782.78802</v>
      </c>
      <c r="GS55" s="1114">
        <v>188083751807.79199</v>
      </c>
      <c r="GU55" s="1171">
        <f t="shared" si="222"/>
        <v>-1.7462298274040222E-10</v>
      </c>
      <c r="GV55" s="1171">
        <f t="shared" si="223"/>
        <v>1.220703125E-4</v>
      </c>
      <c r="GW55" s="1171">
        <f t="shared" si="224"/>
        <v>0</v>
      </c>
      <c r="GX55" s="1171">
        <f t="shared" si="225"/>
        <v>0</v>
      </c>
      <c r="GY55" s="1171">
        <f t="shared" si="226"/>
        <v>0</v>
      </c>
      <c r="GZ55" s="1171">
        <f t="shared" si="227"/>
        <v>0</v>
      </c>
      <c r="HA55" s="1171">
        <f t="shared" si="235"/>
        <v>1.8310546875E-4</v>
      </c>
      <c r="HB55" s="1171">
        <f t="shared" si="228"/>
        <v>0</v>
      </c>
      <c r="HC55" s="1171">
        <f t="shared" si="229"/>
        <v>-1.7462298274040222E-10</v>
      </c>
      <c r="HD55" s="1171">
        <f t="shared" si="230"/>
        <v>1.220703125E-4</v>
      </c>
      <c r="HE55" s="1171">
        <f t="shared" si="231"/>
        <v>0</v>
      </c>
      <c r="HF55" s="1171">
        <f t="shared" si="232"/>
        <v>0</v>
      </c>
      <c r="HG55" s="1171">
        <f t="shared" si="89"/>
        <v>0</v>
      </c>
      <c r="HH55" s="1171">
        <f t="shared" si="90"/>
        <v>0</v>
      </c>
      <c r="HI55" s="1171">
        <f t="shared" si="91"/>
        <v>1.8310546875E-4</v>
      </c>
      <c r="HJ55" s="1171">
        <f t="shared" si="92"/>
        <v>0</v>
      </c>
      <c r="HK55" s="1171">
        <f t="shared" si="93"/>
        <v>-1.7462298274040222E-10</v>
      </c>
      <c r="HL55" s="1171">
        <f t="shared" si="94"/>
        <v>1.220703125E-4</v>
      </c>
      <c r="HM55" s="1171">
        <f t="shared" si="95"/>
        <v>0</v>
      </c>
      <c r="HN55" s="1171">
        <f t="shared" si="96"/>
        <v>0</v>
      </c>
      <c r="HO55" s="1171">
        <f t="shared" si="97"/>
        <v>0</v>
      </c>
      <c r="HP55" s="1171">
        <f t="shared" si="98"/>
        <v>0</v>
      </c>
      <c r="HQ55" s="1171">
        <f t="shared" si="99"/>
        <v>1.8310546875E-4</v>
      </c>
      <c r="HR55" s="1171">
        <f t="shared" si="100"/>
        <v>0</v>
      </c>
      <c r="HS55" s="1171">
        <f t="shared" si="101"/>
        <v>-5.8207660913467407E-10</v>
      </c>
      <c r="HT55" s="1171">
        <f t="shared" si="102"/>
        <v>0</v>
      </c>
      <c r="HU55" s="1171">
        <f t="shared" si="103"/>
        <v>4.5474735088646412E-13</v>
      </c>
      <c r="HV55" s="1171">
        <f t="shared" si="104"/>
        <v>0</v>
      </c>
      <c r="HW55" s="1171">
        <f t="shared" si="105"/>
        <v>-9.5367431640625E-7</v>
      </c>
      <c r="HX55" s="1171">
        <f t="shared" si="106"/>
        <v>-4.4703483581542969E-7</v>
      </c>
      <c r="HY55" s="1171">
        <f t="shared" si="107"/>
        <v>-1.0986328125E-3</v>
      </c>
      <c r="HZ55" s="1171">
        <f t="shared" si="108"/>
        <v>-2.44140625E-4</v>
      </c>
      <c r="IA55" s="1171">
        <f t="shared" si="109"/>
        <v>-2.9103830456733704E-10</v>
      </c>
      <c r="IB55" s="1171">
        <f t="shared" si="110"/>
        <v>-3.35693359375E-4</v>
      </c>
      <c r="IC55" s="1171">
        <f t="shared" si="111"/>
        <v>0</v>
      </c>
      <c r="ID55" s="1171">
        <f t="shared" si="112"/>
        <v>0</v>
      </c>
      <c r="IE55" s="1171">
        <f t="shared" si="113"/>
        <v>0</v>
      </c>
      <c r="IF55" s="1171">
        <f t="shared" si="114"/>
        <v>-1.1920928955078125E-7</v>
      </c>
      <c r="IG55" s="1171">
        <f t="shared" si="115"/>
        <v>-6.103515625E-4</v>
      </c>
      <c r="IH55" s="1171">
        <f t="shared" si="116"/>
        <v>-2.44140625E-4</v>
      </c>
      <c r="II55" s="1171">
        <f t="shared" si="117"/>
        <v>0</v>
      </c>
      <c r="IJ55" s="1171">
        <f t="shared" si="118"/>
        <v>2.44140625E-4</v>
      </c>
      <c r="IK55" s="1171">
        <f t="shared" si="119"/>
        <v>0</v>
      </c>
      <c r="IL55" s="1171">
        <f t="shared" si="120"/>
        <v>0</v>
      </c>
      <c r="IM55" s="1171">
        <f t="shared" si="121"/>
        <v>0</v>
      </c>
      <c r="IN55" s="1171">
        <f t="shared" si="122"/>
        <v>-3.1292438507080078E-7</v>
      </c>
      <c r="IO55" s="1171">
        <f t="shared" si="123"/>
        <v>-1.0986328125E-3</v>
      </c>
      <c r="IP55" s="1171">
        <f t="shared" si="124"/>
        <v>-2.44140625E-4</v>
      </c>
      <c r="IQ55" s="1171">
        <f t="shared" si="125"/>
        <v>-1.4551915228366852E-10</v>
      </c>
      <c r="IR55" s="1171">
        <f t="shared" si="126"/>
        <v>0</v>
      </c>
      <c r="IS55" s="1171">
        <f t="shared" si="127"/>
        <v>0</v>
      </c>
      <c r="IT55" s="1171">
        <f t="shared" si="128"/>
        <v>0</v>
      </c>
      <c r="IU55" s="1171">
        <f t="shared" si="129"/>
        <v>0</v>
      </c>
      <c r="IV55" s="1171">
        <f t="shared" si="130"/>
        <v>-1.9371509552001953E-7</v>
      </c>
      <c r="IW55" s="1171">
        <f t="shared" si="131"/>
        <v>-6.103515625E-4</v>
      </c>
      <c r="IX55" s="1171">
        <f t="shared" si="132"/>
        <v>-2.44140625E-4</v>
      </c>
    </row>
    <row r="56" spans="1:258" s="871" customFormat="1">
      <c r="B56" s="871" t="str">
        <f t="shared" ref="B56" si="255">LEFT(B54,3)+1&amp;"j"</f>
        <v>127j</v>
      </c>
      <c r="C56" s="871">
        <v>116.9</v>
      </c>
      <c r="D56" s="871">
        <v>0</v>
      </c>
      <c r="E56" s="871" t="s">
        <v>2101</v>
      </c>
      <c r="F56" s="26">
        <v>2</v>
      </c>
      <c r="G56" s="136">
        <v>500</v>
      </c>
      <c r="H56" s="136">
        <v>22</v>
      </c>
      <c r="I56" s="28">
        <v>250</v>
      </c>
      <c r="J56" s="26">
        <v>1940</v>
      </c>
      <c r="K56" s="136">
        <v>10</v>
      </c>
      <c r="L56" s="28">
        <v>120</v>
      </c>
      <c r="M56" s="26">
        <v>2800</v>
      </c>
      <c r="N56" s="28">
        <v>12</v>
      </c>
      <c r="O56" s="397">
        <v>0</v>
      </c>
      <c r="P56" s="26">
        <v>290</v>
      </c>
      <c r="Q56" s="397">
        <f>+Section!L117</f>
        <v>5500</v>
      </c>
      <c r="R56" s="169">
        <v>0</v>
      </c>
      <c r="S56" s="210">
        <v>0</v>
      </c>
      <c r="T56" s="210">
        <v>1200</v>
      </c>
      <c r="U56" s="210">
        <v>2400</v>
      </c>
      <c r="V56" s="872">
        <v>3800</v>
      </c>
      <c r="W56" s="210">
        <v>19</v>
      </c>
      <c r="X56" s="210">
        <v>200</v>
      </c>
      <c r="Y56" s="210">
        <v>50</v>
      </c>
      <c r="Z56" s="210">
        <v>16</v>
      </c>
      <c r="AA56" s="210">
        <v>200</v>
      </c>
      <c r="AB56" s="872">
        <v>40</v>
      </c>
      <c r="AC56" s="210">
        <v>0</v>
      </c>
      <c r="AD56" s="397">
        <v>2</v>
      </c>
      <c r="AE56" s="210">
        <v>160</v>
      </c>
      <c r="AF56" s="210">
        <v>16</v>
      </c>
      <c r="AG56" s="397">
        <v>0</v>
      </c>
      <c r="AH56" s="210">
        <v>0</v>
      </c>
      <c r="AI56" s="210">
        <v>0</v>
      </c>
      <c r="AJ56" s="397">
        <v>2</v>
      </c>
      <c r="AK56" s="210">
        <v>2500</v>
      </c>
      <c r="AL56" s="210">
        <v>5000</v>
      </c>
      <c r="AM56" s="210" t="s">
        <v>2316</v>
      </c>
      <c r="AN56" s="210">
        <v>2500</v>
      </c>
      <c r="AO56" s="1143" t="s">
        <v>2321</v>
      </c>
      <c r="AP56" s="1143" t="s">
        <v>2321</v>
      </c>
      <c r="AQ56" s="136">
        <v>150</v>
      </c>
      <c r="AR56" s="136">
        <v>14</v>
      </c>
      <c r="AS56" s="1143" t="s">
        <v>2448</v>
      </c>
      <c r="AT56" s="136">
        <v>120</v>
      </c>
      <c r="AU56" s="136">
        <v>12</v>
      </c>
      <c r="AV56" s="1111"/>
      <c r="AW56" s="1111"/>
      <c r="AX56" s="1111"/>
      <c r="AY56" s="1111"/>
      <c r="AZ56" s="1108">
        <v>8</v>
      </c>
      <c r="BA56" s="1108">
        <v>6</v>
      </c>
      <c r="BB56" s="1111"/>
      <c r="BC56" s="1168"/>
      <c r="BD56" s="210">
        <f>INDEX(Spec!$B$12:$P$58,MATCH(AO56,Spec!$A$12:$A$58,0),6)*100</f>
        <v>1900</v>
      </c>
      <c r="BE56" s="210">
        <f>INDEX(Spec!$B$12:$P$58,MATCH(AP56,Spec!$A$12:$A$58,0),6)*100</f>
        <v>1900</v>
      </c>
      <c r="BF56" s="881">
        <f t="shared" si="161"/>
        <v>0.69515529669535348</v>
      </c>
      <c r="BG56" s="881">
        <f t="shared" si="162"/>
        <v>47.243485714285718</v>
      </c>
      <c r="BH56" s="881"/>
      <c r="BI56" s="13" cm="1">
        <f t="array" ref="BI56">INDEX(Info!$AD$4:$AH$15,MATCH(Info!$I$13,Info!$AC$4:$AC$15,0),IF(H56&lt;=16,1,IF(H56&lt;=40,2,IF(H56&lt;=75,3,IF(H56&lt;=100,4,5)))))</f>
        <v>380</v>
      </c>
      <c r="BJ56" s="13" cm="1">
        <f t="array" ref="BJ56">INDEX(Info!$AD$4:$AH$15,MATCH(Info!$I$13,Info!$AC$4:$AC$15,0),IF(K56&lt;=16,1,IF(K56&lt;=40,2,IF(K56&lt;=75,3,IF(K56&lt;=100,4,5)))))</f>
        <v>380</v>
      </c>
      <c r="BK56" s="13" cm="1">
        <f t="array" ref="BK56">INDEX(Info!$AD$4:$AH$15,MATCH(Info!$I$14,Info!$AC$4:$AC$15,0),IF(N56&lt;=16,1,IF(N56&lt;=40,2,IF(N56&lt;=75,3,IF(N56&lt;=100,4,5)))))</f>
        <v>355</v>
      </c>
      <c r="BL56" s="13">
        <f>IF(Stress!C885="Positive",MAX(MIN(0.7*BI56,BK56),0.5*BI56),MAX(MIN(0.7*BJ56,BK56),0.5*BJ56))</f>
        <v>266</v>
      </c>
      <c r="BM56" s="13" cm="1">
        <f t="array" ref="BM56">INDEX(Info!$AD$4:$AH$15,MATCH(Info!$I$13,Info!$AC$4:$AC$15,0),IF(AI56&lt;=16,1,IF(AI56&lt;=40,2,IF(AI56&lt;=75,3,IF(AI56&lt;=100,4,5)))))</f>
        <v>380</v>
      </c>
      <c r="BN56" s="13" cm="1">
        <f t="array" ref="BN56">INDEX(Info!$AD$4:$AH$15,MATCH(Info!$I$13,Info!$AC$4:$AC$15,0),IF(AF56&lt;=16,1,IF(AF56&lt;=40,2,IF(AF56&lt;=75,3,IF(AF56&lt;=100,4,5)))))</f>
        <v>380</v>
      </c>
      <c r="BO56" s="13"/>
      <c r="BP56" s="873">
        <f t="shared" si="163"/>
        <v>0.125</v>
      </c>
      <c r="BQ56" s="873">
        <f t="shared" si="164"/>
        <v>2821.7902119044925</v>
      </c>
      <c r="BR56" s="873">
        <f t="shared" si="165"/>
        <v>3100</v>
      </c>
      <c r="BS56" s="873"/>
      <c r="BT56" s="871">
        <f t="shared" si="166"/>
        <v>0</v>
      </c>
      <c r="BU56" s="136">
        <f t="shared" si="167"/>
        <v>0</v>
      </c>
      <c r="BV56" s="871">
        <f t="shared" si="168"/>
        <v>1595000</v>
      </c>
      <c r="BW56" s="871">
        <f t="shared" si="169"/>
        <v>11178291666.666666</v>
      </c>
      <c r="BX56" s="871">
        <f t="shared" si="170"/>
        <v>0</v>
      </c>
      <c r="BY56" s="871">
        <f t="shared" si="171"/>
        <v>0</v>
      </c>
      <c r="BZ56" s="871">
        <f t="shared" si="172"/>
        <v>7655.2758986349281</v>
      </c>
      <c r="CA56" s="871">
        <f t="shared" si="173"/>
        <v>172722.16246295057</v>
      </c>
      <c r="CB56" s="871">
        <f t="shared" si="174"/>
        <v>5428.6721054031623</v>
      </c>
      <c r="CC56" s="871">
        <f t="shared" si="175"/>
        <v>86858.753686450596</v>
      </c>
      <c r="CE56" s="1137">
        <f t="shared" si="176"/>
        <v>346081987.77679139</v>
      </c>
      <c r="CF56" s="1136">
        <f t="shared" si="177"/>
        <v>411131448.88888884</v>
      </c>
      <c r="CG56" s="1136">
        <f t="shared" si="178"/>
        <v>0</v>
      </c>
      <c r="CH56" s="172">
        <f t="shared" si="179"/>
        <v>4020729166666.6665</v>
      </c>
      <c r="CJ56" s="136">
        <f t="shared" si="180"/>
        <v>114242.96508570782</v>
      </c>
      <c r="CK56" s="7">
        <f t="shared" si="181"/>
        <v>135197688550.53313</v>
      </c>
      <c r="CL56" s="875">
        <f t="shared" si="182"/>
        <v>1448.02698553709</v>
      </c>
      <c r="CM56" s="6">
        <f t="shared" si="183"/>
        <v>1383.97301446291</v>
      </c>
      <c r="CN56" s="876">
        <f t="shared" si="73"/>
        <v>93366829.417468861</v>
      </c>
      <c r="CO56" s="876">
        <f t="shared" si="74"/>
        <v>97688095.893257305</v>
      </c>
      <c r="CP56" s="1137">
        <f t="shared" si="184"/>
        <v>111319506738.52518</v>
      </c>
      <c r="CQ56" s="1136">
        <f t="shared" si="185"/>
        <v>32135500033.324783</v>
      </c>
      <c r="CR56" s="877">
        <f t="shared" si="186"/>
        <v>114242.96508570782</v>
      </c>
      <c r="CS56" s="874">
        <f t="shared" si="187"/>
        <v>135197688550.53313</v>
      </c>
      <c r="CT56" s="875">
        <f t="shared" si="188"/>
        <v>1448.02698553709</v>
      </c>
      <c r="CU56" s="878">
        <f t="shared" si="189"/>
        <v>1383.97301446291</v>
      </c>
      <c r="CV56" s="876">
        <f t="shared" si="190"/>
        <v>93366829.417468861</v>
      </c>
      <c r="CW56" s="876">
        <f t="shared" si="191"/>
        <v>97688095.893257305</v>
      </c>
      <c r="CX56" s="1136">
        <f t="shared" si="192"/>
        <v>111319506738.52518</v>
      </c>
      <c r="CY56" s="1136">
        <f t="shared" si="193"/>
        <v>32135500033.324783</v>
      </c>
      <c r="CZ56" s="877">
        <f t="shared" si="194"/>
        <v>114242.96508570782</v>
      </c>
      <c r="DA56" s="874">
        <f t="shared" si="195"/>
        <v>135197688550.53313</v>
      </c>
      <c r="DB56" s="875">
        <f t="shared" si="196"/>
        <v>1448.02698553709</v>
      </c>
      <c r="DC56" s="878">
        <f t="shared" si="197"/>
        <v>1383.97301446291</v>
      </c>
      <c r="DD56" s="876">
        <f t="shared" si="75"/>
        <v>93366829.417468861</v>
      </c>
      <c r="DE56" s="876">
        <f t="shared" si="76"/>
        <v>97688095.893257305</v>
      </c>
      <c r="DF56" s="1136">
        <f t="shared" si="198"/>
        <v>111319506738.52518</v>
      </c>
      <c r="DG56" s="1136">
        <f t="shared" si="199"/>
        <v>32135500033.324783</v>
      </c>
      <c r="DH56" s="877">
        <f t="shared" si="200"/>
        <v>362154.65161772241</v>
      </c>
      <c r="DI56" s="879">
        <f t="shared" si="201"/>
        <v>329953970555.92291</v>
      </c>
      <c r="DJ56" s="878">
        <f t="shared" si="202"/>
        <v>372.58601623836148</v>
      </c>
      <c r="DK56" s="877">
        <f t="shared" si="203"/>
        <v>2459.4139837616385</v>
      </c>
      <c r="DL56" s="876">
        <f t="shared" si="77"/>
        <v>885577977.09948206</v>
      </c>
      <c r="DM56" s="876">
        <f t="shared" si="78"/>
        <v>134159589.53411455</v>
      </c>
      <c r="DN56" s="7">
        <f t="shared" si="204"/>
        <v>736263549871.31189</v>
      </c>
      <c r="DO56" s="1136">
        <f t="shared" si="205"/>
        <v>188083751807.79175</v>
      </c>
      <c r="DP56" s="877">
        <f t="shared" si="206"/>
        <v>196880.1939297127</v>
      </c>
      <c r="DQ56" s="879">
        <f t="shared" si="207"/>
        <v>254127440236.13666</v>
      </c>
      <c r="DR56" s="877">
        <f t="shared" si="208"/>
        <v>788.61420290704064</v>
      </c>
      <c r="DS56" s="877">
        <f t="shared" si="209"/>
        <v>2043.3857970929594</v>
      </c>
      <c r="DT56" s="876">
        <f t="shared" si="79"/>
        <v>322245578.76253772</v>
      </c>
      <c r="DU56" s="876">
        <f t="shared" si="80"/>
        <v>124365864.04665887</v>
      </c>
      <c r="DV56" s="1136">
        <f t="shared" si="210"/>
        <v>319634187782.78741</v>
      </c>
      <c r="DW56" s="1136">
        <f t="shared" si="211"/>
        <v>188083751807.79175</v>
      </c>
      <c r="DX56" s="880">
        <f t="shared" si="212"/>
        <v>127326.91308974591</v>
      </c>
      <c r="DY56" s="874">
        <f t="shared" si="213"/>
        <v>164744444014.17923</v>
      </c>
      <c r="DZ56" s="873">
        <f t="shared" si="214"/>
        <v>1285.3553591825589</v>
      </c>
      <c r="EA56" s="880">
        <f t="shared" si="215"/>
        <v>1546.6446408174411</v>
      </c>
      <c r="EB56" s="876">
        <f t="shared" si="81"/>
        <v>128170348.25213701</v>
      </c>
      <c r="EC56" s="876">
        <f t="shared" si="82"/>
        <v>106517321.21679069</v>
      </c>
      <c r="ED56" s="1136">
        <f t="shared" si="216"/>
        <v>736263549871.31189</v>
      </c>
      <c r="EE56" s="1136">
        <f t="shared" si="217"/>
        <v>188083751807.79175</v>
      </c>
      <c r="EF56" s="880">
        <f t="shared" si="218"/>
        <v>118604.28108705385</v>
      </c>
      <c r="EG56" s="874">
        <f t="shared" si="219"/>
        <v>145767814837.80017</v>
      </c>
      <c r="EH56" s="873">
        <f t="shared" si="220"/>
        <v>1389.8152699588293</v>
      </c>
      <c r="EI56" s="880">
        <f t="shared" si="221"/>
        <v>1442.1847300411707</v>
      </c>
      <c r="EJ56" s="876">
        <f t="shared" si="83"/>
        <v>104882870.39911303</v>
      </c>
      <c r="EK56" s="876">
        <f t="shared" si="84"/>
        <v>101074301.92638281</v>
      </c>
      <c r="EL56" s="1136">
        <f t="shared" si="85"/>
        <v>319634187782.78741</v>
      </c>
      <c r="EM56" s="1136">
        <f t="shared" si="86"/>
        <v>188083751807.79175</v>
      </c>
      <c r="EN56" s="876"/>
      <c r="EO56" s="1113" t="s">
        <v>2214</v>
      </c>
      <c r="EP56" s="1114">
        <v>114242.965085708</v>
      </c>
      <c r="EQ56" s="1114">
        <v>135197688550.533</v>
      </c>
      <c r="ER56" s="1115">
        <v>1448.02698553709</v>
      </c>
      <c r="ES56" s="1115">
        <v>1383.97301446291</v>
      </c>
      <c r="ET56" s="1114">
        <v>93366829.417468905</v>
      </c>
      <c r="EU56" s="1114">
        <v>97688095.893257305</v>
      </c>
      <c r="EV56" s="1114">
        <v>111319506738.52499</v>
      </c>
      <c r="EW56" s="1114">
        <v>32135500033.324799</v>
      </c>
      <c r="EX56" s="1114">
        <v>114242.965085708</v>
      </c>
      <c r="EY56" s="1114">
        <v>135197688550.533</v>
      </c>
      <c r="EZ56" s="1115">
        <v>1448.02698553709</v>
      </c>
      <c r="FA56" s="1115">
        <v>1383.97301446291</v>
      </c>
      <c r="FB56" s="1114">
        <v>93366829.417468905</v>
      </c>
      <c r="FC56" s="1114">
        <v>97688095.893257305</v>
      </c>
      <c r="FD56" s="1114">
        <v>111319506738.52499</v>
      </c>
      <c r="FE56" s="1114">
        <v>32135500033.324799</v>
      </c>
      <c r="FF56" s="1114">
        <v>114242.965085708</v>
      </c>
      <c r="FG56" s="1114">
        <v>135197688550.533</v>
      </c>
      <c r="FH56" s="1115">
        <v>1448.02698553709</v>
      </c>
      <c r="FI56" s="1115">
        <v>1383.97301446291</v>
      </c>
      <c r="FJ56" s="1114">
        <v>93366829.417468905</v>
      </c>
      <c r="FK56" s="1114">
        <v>97688095.893257305</v>
      </c>
      <c r="FL56" s="1114">
        <v>111319506738.52499</v>
      </c>
      <c r="FM56" s="1114">
        <v>32135500033.324799</v>
      </c>
      <c r="FN56" s="1114">
        <v>362154.65161772299</v>
      </c>
      <c r="FO56" s="1114">
        <v>329953970555.92297</v>
      </c>
      <c r="FP56" s="1115">
        <v>372.58601623836103</v>
      </c>
      <c r="FQ56" s="1115">
        <v>2459.4139837616399</v>
      </c>
      <c r="FR56" s="1114">
        <v>885577977.09948301</v>
      </c>
      <c r="FS56" s="1114">
        <v>134159589.534115</v>
      </c>
      <c r="FT56" s="1114">
        <v>736263549871.31299</v>
      </c>
      <c r="FU56" s="1114">
        <v>188083751807.79199</v>
      </c>
      <c r="FV56" s="1114">
        <v>196880.19392971299</v>
      </c>
      <c r="FW56" s="1114">
        <v>254127440236.13699</v>
      </c>
      <c r="FX56" s="1115">
        <v>788.61420290703995</v>
      </c>
      <c r="FY56" s="1115">
        <v>2043.38579709296</v>
      </c>
      <c r="FZ56" s="1114">
        <v>322245578.76253802</v>
      </c>
      <c r="GA56" s="1114">
        <v>124365864.04665899</v>
      </c>
      <c r="GB56" s="1114">
        <v>319634187782.78802</v>
      </c>
      <c r="GC56" s="1114">
        <v>188083751807.79199</v>
      </c>
      <c r="GD56" s="1114">
        <v>127326.913089746</v>
      </c>
      <c r="GE56" s="1114">
        <v>164744444014.17899</v>
      </c>
      <c r="GF56" s="1115">
        <v>1285.3553591825601</v>
      </c>
      <c r="GG56" s="1115">
        <v>1546.6446408174399</v>
      </c>
      <c r="GH56" s="1114">
        <v>128170348.25213701</v>
      </c>
      <c r="GI56" s="1114">
        <v>106517321.216791</v>
      </c>
      <c r="GJ56" s="1114">
        <v>736263549871.31299</v>
      </c>
      <c r="GK56" s="1114">
        <v>188083751807.79199</v>
      </c>
      <c r="GL56" s="1114">
        <v>118604.281087054</v>
      </c>
      <c r="GM56" s="1114">
        <v>145767814837.79999</v>
      </c>
      <c r="GN56" s="1115">
        <v>1389.81526995883</v>
      </c>
      <c r="GO56" s="1115">
        <v>1442.18473004117</v>
      </c>
      <c r="GP56" s="1114">
        <v>104882870.399113</v>
      </c>
      <c r="GQ56" s="1114">
        <v>101074301.926383</v>
      </c>
      <c r="GR56" s="1114">
        <v>319634187782.78802</v>
      </c>
      <c r="GS56" s="1114">
        <v>188083751807.79199</v>
      </c>
      <c r="GU56" s="1171">
        <f t="shared" si="222"/>
        <v>-1.7462298274040222E-10</v>
      </c>
      <c r="GV56" s="1171">
        <f t="shared" si="223"/>
        <v>1.220703125E-4</v>
      </c>
      <c r="GW56" s="1171">
        <f t="shared" si="224"/>
        <v>0</v>
      </c>
      <c r="GX56" s="1171">
        <f t="shared" si="225"/>
        <v>0</v>
      </c>
      <c r="GY56" s="1171">
        <f t="shared" si="226"/>
        <v>0</v>
      </c>
      <c r="GZ56" s="1171">
        <f t="shared" si="227"/>
        <v>0</v>
      </c>
      <c r="HA56" s="1171">
        <f t="shared" si="235"/>
        <v>1.8310546875E-4</v>
      </c>
      <c r="HB56" s="1171">
        <f t="shared" si="228"/>
        <v>0</v>
      </c>
      <c r="HC56" s="1171">
        <f t="shared" si="229"/>
        <v>-1.7462298274040222E-10</v>
      </c>
      <c r="HD56" s="1171">
        <f t="shared" si="230"/>
        <v>1.220703125E-4</v>
      </c>
      <c r="HE56" s="1171">
        <f t="shared" si="231"/>
        <v>0</v>
      </c>
      <c r="HF56" s="1171">
        <f t="shared" si="232"/>
        <v>0</v>
      </c>
      <c r="HG56" s="1171">
        <f t="shared" si="89"/>
        <v>0</v>
      </c>
      <c r="HH56" s="1171">
        <f t="shared" si="90"/>
        <v>0</v>
      </c>
      <c r="HI56" s="1171">
        <f t="shared" si="91"/>
        <v>1.8310546875E-4</v>
      </c>
      <c r="HJ56" s="1171">
        <f t="shared" si="92"/>
        <v>0</v>
      </c>
      <c r="HK56" s="1171">
        <f t="shared" si="93"/>
        <v>-1.7462298274040222E-10</v>
      </c>
      <c r="HL56" s="1171">
        <f t="shared" si="94"/>
        <v>1.220703125E-4</v>
      </c>
      <c r="HM56" s="1171">
        <f t="shared" si="95"/>
        <v>0</v>
      </c>
      <c r="HN56" s="1171">
        <f t="shared" si="96"/>
        <v>0</v>
      </c>
      <c r="HO56" s="1171">
        <f t="shared" si="97"/>
        <v>0</v>
      </c>
      <c r="HP56" s="1171">
        <f t="shared" si="98"/>
        <v>0</v>
      </c>
      <c r="HQ56" s="1171">
        <f t="shared" si="99"/>
        <v>1.8310546875E-4</v>
      </c>
      <c r="HR56" s="1171">
        <f t="shared" si="100"/>
        <v>0</v>
      </c>
      <c r="HS56" s="1171">
        <f t="shared" si="101"/>
        <v>-5.8207660913467407E-10</v>
      </c>
      <c r="HT56" s="1171">
        <f t="shared" si="102"/>
        <v>0</v>
      </c>
      <c r="HU56" s="1171">
        <f t="shared" si="103"/>
        <v>4.5474735088646412E-13</v>
      </c>
      <c r="HV56" s="1171">
        <f t="shared" si="104"/>
        <v>0</v>
      </c>
      <c r="HW56" s="1171">
        <f t="shared" si="105"/>
        <v>-9.5367431640625E-7</v>
      </c>
      <c r="HX56" s="1171">
        <f t="shared" si="106"/>
        <v>-4.4703483581542969E-7</v>
      </c>
      <c r="HY56" s="1171">
        <f t="shared" si="107"/>
        <v>-1.0986328125E-3</v>
      </c>
      <c r="HZ56" s="1171">
        <f t="shared" si="108"/>
        <v>-2.44140625E-4</v>
      </c>
      <c r="IA56" s="1171">
        <f t="shared" si="109"/>
        <v>-2.9103830456733704E-10</v>
      </c>
      <c r="IB56" s="1171">
        <f t="shared" si="110"/>
        <v>-3.35693359375E-4</v>
      </c>
      <c r="IC56" s="1171">
        <f t="shared" si="111"/>
        <v>0</v>
      </c>
      <c r="ID56" s="1171">
        <f t="shared" si="112"/>
        <v>0</v>
      </c>
      <c r="IE56" s="1171">
        <f t="shared" si="113"/>
        <v>0</v>
      </c>
      <c r="IF56" s="1171">
        <f t="shared" si="114"/>
        <v>-1.1920928955078125E-7</v>
      </c>
      <c r="IG56" s="1171">
        <f t="shared" si="115"/>
        <v>-6.103515625E-4</v>
      </c>
      <c r="IH56" s="1171">
        <f t="shared" si="116"/>
        <v>-2.44140625E-4</v>
      </c>
      <c r="II56" s="1171">
        <f t="shared" si="117"/>
        <v>0</v>
      </c>
      <c r="IJ56" s="1171">
        <f t="shared" si="118"/>
        <v>2.44140625E-4</v>
      </c>
      <c r="IK56" s="1171">
        <f t="shared" si="119"/>
        <v>0</v>
      </c>
      <c r="IL56" s="1171">
        <f t="shared" si="120"/>
        <v>0</v>
      </c>
      <c r="IM56" s="1171">
        <f t="shared" si="121"/>
        <v>0</v>
      </c>
      <c r="IN56" s="1171">
        <f t="shared" si="122"/>
        <v>-3.1292438507080078E-7</v>
      </c>
      <c r="IO56" s="1171">
        <f t="shared" si="123"/>
        <v>-1.0986328125E-3</v>
      </c>
      <c r="IP56" s="1171">
        <f t="shared" si="124"/>
        <v>-2.44140625E-4</v>
      </c>
      <c r="IQ56" s="1171">
        <f t="shared" si="125"/>
        <v>-1.4551915228366852E-10</v>
      </c>
      <c r="IR56" s="1171">
        <f t="shared" si="126"/>
        <v>0</v>
      </c>
      <c r="IS56" s="1171">
        <f t="shared" si="127"/>
        <v>0</v>
      </c>
      <c r="IT56" s="1171">
        <f t="shared" si="128"/>
        <v>0</v>
      </c>
      <c r="IU56" s="1171">
        <f t="shared" si="129"/>
        <v>0</v>
      </c>
      <c r="IV56" s="1171">
        <f t="shared" si="130"/>
        <v>-1.9371509552001953E-7</v>
      </c>
      <c r="IW56" s="1171">
        <f t="shared" si="131"/>
        <v>-6.103515625E-4</v>
      </c>
      <c r="IX56" s="1171">
        <f t="shared" si="132"/>
        <v>-2.44140625E-4</v>
      </c>
    </row>
    <row r="57" spans="1:258">
      <c r="A57">
        <v>128</v>
      </c>
      <c r="B57" s="136" t="str">
        <f t="shared" ref="B57" si="256">LEFT(B55,3)+1&amp;"i"</f>
        <v>128i</v>
      </c>
      <c r="C57">
        <v>116.9</v>
      </c>
      <c r="D57" s="136">
        <v>0</v>
      </c>
      <c r="E57" t="s">
        <v>2101</v>
      </c>
      <c r="F57" s="26">
        <v>2</v>
      </c>
      <c r="G57" s="136">
        <v>500</v>
      </c>
      <c r="H57" s="136">
        <v>22</v>
      </c>
      <c r="I57" s="28">
        <v>250</v>
      </c>
      <c r="J57" s="26">
        <v>1940</v>
      </c>
      <c r="K57" s="136">
        <v>10</v>
      </c>
      <c r="L57" s="28">
        <v>120</v>
      </c>
      <c r="M57" s="26">
        <v>2800</v>
      </c>
      <c r="N57" s="28">
        <v>12</v>
      </c>
      <c r="O57" s="26">
        <v>0</v>
      </c>
      <c r="P57" s="26">
        <v>290</v>
      </c>
      <c r="Q57" s="26">
        <f>+Section!L118</f>
        <v>5500</v>
      </c>
      <c r="R57" s="169">
        <v>0</v>
      </c>
      <c r="S57" s="210">
        <v>0</v>
      </c>
      <c r="T57" s="27">
        <v>1200</v>
      </c>
      <c r="U57" s="27">
        <v>2400</v>
      </c>
      <c r="V57" s="28">
        <v>3800</v>
      </c>
      <c r="W57" s="210">
        <v>19</v>
      </c>
      <c r="X57" s="210">
        <v>200</v>
      </c>
      <c r="Y57" s="169">
        <v>50</v>
      </c>
      <c r="Z57" s="210">
        <v>16</v>
      </c>
      <c r="AA57" s="210">
        <v>200</v>
      </c>
      <c r="AB57" s="28">
        <v>40</v>
      </c>
      <c r="AC57" s="210">
        <v>0</v>
      </c>
      <c r="AD57" s="26">
        <v>2</v>
      </c>
      <c r="AE57" s="169">
        <v>160</v>
      </c>
      <c r="AF57" s="169">
        <v>16</v>
      </c>
      <c r="AG57" s="26">
        <v>0</v>
      </c>
      <c r="AH57" s="169">
        <v>0</v>
      </c>
      <c r="AI57" s="169">
        <v>0</v>
      </c>
      <c r="AJ57" s="397">
        <v>2</v>
      </c>
      <c r="AK57" s="210">
        <v>2500</v>
      </c>
      <c r="AL57" s="210">
        <v>5000</v>
      </c>
      <c r="AM57" s="210" t="s">
        <v>2316</v>
      </c>
      <c r="AN57" s="210">
        <v>2500</v>
      </c>
      <c r="AO57" s="1143" t="s">
        <v>2321</v>
      </c>
      <c r="AP57" s="1143" t="s">
        <v>2321</v>
      </c>
      <c r="AQ57" s="136">
        <v>150</v>
      </c>
      <c r="AR57" s="136">
        <v>14</v>
      </c>
      <c r="AS57" s="1143" t="s">
        <v>2448</v>
      </c>
      <c r="AT57" s="136">
        <v>120</v>
      </c>
      <c r="AU57" s="136">
        <v>12</v>
      </c>
      <c r="AZ57" s="1108">
        <v>8</v>
      </c>
      <c r="BA57" s="1108">
        <v>6</v>
      </c>
      <c r="BC57" s="1168"/>
      <c r="BD57" s="210">
        <f>INDEX(Spec!$B$12:$P$58,MATCH(AO57,Spec!$A$12:$A$58,0),6)*100</f>
        <v>1900</v>
      </c>
      <c r="BE57" s="210">
        <f>INDEX(Spec!$B$12:$P$58,MATCH(AP57,Spec!$A$12:$A$58,0),6)*100</f>
        <v>1900</v>
      </c>
      <c r="BF57" s="881">
        <f t="shared" si="161"/>
        <v>0.69515529669535348</v>
      </c>
      <c r="BG57" s="881">
        <f t="shared" si="162"/>
        <v>47.243485714285718</v>
      </c>
      <c r="BH57" s="881"/>
      <c r="BI57" s="13" cm="1">
        <f t="array" ref="BI57">INDEX(Info!$AD$4:$AH$15,MATCH(Info!$I$13,Info!$AC$4:$AC$15,0),IF(H57&lt;=16,1,IF(H57&lt;=40,2,IF(H57&lt;=75,3,IF(H57&lt;=100,4,5)))))</f>
        <v>380</v>
      </c>
      <c r="BJ57" s="13" cm="1">
        <f t="array" ref="BJ57">INDEX(Info!$AD$4:$AH$15,MATCH(Info!$I$13,Info!$AC$4:$AC$15,0),IF(K57&lt;=16,1,IF(K57&lt;=40,2,IF(K57&lt;=75,3,IF(K57&lt;=100,4,5)))))</f>
        <v>380</v>
      </c>
      <c r="BK57" s="13" cm="1">
        <f t="array" ref="BK57">INDEX(Info!$AD$4:$AH$15,MATCH(Info!$I$14,Info!$AC$4:$AC$15,0),IF(N57&lt;=16,1,IF(N57&lt;=40,2,IF(N57&lt;=75,3,IF(N57&lt;=100,4,5)))))</f>
        <v>355</v>
      </c>
      <c r="BL57" s="13">
        <f>IF(Stress!C886="Positive",MAX(MIN(0.7*BI57,BK57),0.5*BI57),MAX(MIN(0.7*BJ57,BK57),0.5*BJ57))</f>
        <v>266</v>
      </c>
      <c r="BM57" s="13" cm="1">
        <f t="array" ref="BM57">INDEX(Info!$AD$4:$AH$15,MATCH(Info!$I$13,Info!$AC$4:$AC$15,0),IF(AI57&lt;=16,1,IF(AI57&lt;=40,2,IF(AI57&lt;=75,3,IF(AI57&lt;=100,4,5)))))</f>
        <v>380</v>
      </c>
      <c r="BN57" s="13" cm="1">
        <f t="array" ref="BN57">INDEX(Info!$AD$4:$AH$15,MATCH(Info!$I$13,Info!$AC$4:$AC$15,0),IF(AF57&lt;=16,1,IF(AF57&lt;=40,2,IF(AF57&lt;=75,3,IF(AF57&lt;=100,4,5)))))</f>
        <v>380</v>
      </c>
      <c r="BO57" s="13"/>
      <c r="BP57" s="13">
        <f t="shared" si="163"/>
        <v>0.125</v>
      </c>
      <c r="BQ57" s="13">
        <f t="shared" si="164"/>
        <v>2821.7902119044925</v>
      </c>
      <c r="BR57" s="13">
        <f t="shared" si="165"/>
        <v>3100</v>
      </c>
      <c r="BS57" s="13"/>
      <c r="BT57" s="136">
        <f t="shared" si="166"/>
        <v>0</v>
      </c>
      <c r="BU57" s="136">
        <f t="shared" si="167"/>
        <v>0</v>
      </c>
      <c r="BV57" s="136">
        <f t="shared" si="168"/>
        <v>1595000</v>
      </c>
      <c r="BW57" s="136">
        <f t="shared" si="169"/>
        <v>11178291666.666666</v>
      </c>
      <c r="BX57" s="136">
        <f t="shared" si="170"/>
        <v>0</v>
      </c>
      <c r="BY57" s="136">
        <f t="shared" si="171"/>
        <v>0</v>
      </c>
      <c r="BZ57" s="136">
        <f t="shared" si="172"/>
        <v>7655.2758986349281</v>
      </c>
      <c r="CA57" s="136">
        <f t="shared" si="173"/>
        <v>172722.16246295057</v>
      </c>
      <c r="CB57" s="136">
        <f t="shared" si="174"/>
        <v>5428.6721054031623</v>
      </c>
      <c r="CC57" s="136">
        <f t="shared" si="175"/>
        <v>86858.753686450596</v>
      </c>
      <c r="CE57" s="1137">
        <f t="shared" si="176"/>
        <v>346081987.77679139</v>
      </c>
      <c r="CF57" s="1136">
        <f t="shared" si="177"/>
        <v>411131448.88888884</v>
      </c>
      <c r="CG57" s="1136">
        <f t="shared" si="178"/>
        <v>0</v>
      </c>
      <c r="CH57" s="172">
        <f t="shared" si="179"/>
        <v>4020729166666.6665</v>
      </c>
      <c r="CJ57" s="136">
        <f t="shared" si="180"/>
        <v>114242.96508570782</v>
      </c>
      <c r="CK57" s="7">
        <f t="shared" si="181"/>
        <v>135197688550.53313</v>
      </c>
      <c r="CL57" s="6">
        <f t="shared" si="182"/>
        <v>1448.02698553709</v>
      </c>
      <c r="CM57" s="6">
        <f t="shared" si="183"/>
        <v>1383.97301446291</v>
      </c>
      <c r="CN57" s="164">
        <f t="shared" si="73"/>
        <v>93366829.417468861</v>
      </c>
      <c r="CO57" s="164">
        <f t="shared" si="74"/>
        <v>97688095.893257305</v>
      </c>
      <c r="CP57" s="1137">
        <f t="shared" si="184"/>
        <v>111319506738.52518</v>
      </c>
      <c r="CQ57" s="1136">
        <f t="shared" si="185"/>
        <v>32135500033.324783</v>
      </c>
      <c r="CR57" s="22">
        <f t="shared" si="186"/>
        <v>114242.96508570782</v>
      </c>
      <c r="CS57" s="7">
        <f t="shared" si="187"/>
        <v>135197688550.53313</v>
      </c>
      <c r="CT57" s="6">
        <f t="shared" si="188"/>
        <v>1448.02698553709</v>
      </c>
      <c r="CU57" s="12">
        <f t="shared" si="189"/>
        <v>1383.97301446291</v>
      </c>
      <c r="CV57" s="164">
        <f t="shared" si="190"/>
        <v>93366829.417468861</v>
      </c>
      <c r="CW57" s="164">
        <f t="shared" si="191"/>
        <v>97688095.893257305</v>
      </c>
      <c r="CX57" s="1136">
        <f t="shared" si="192"/>
        <v>111319506738.52518</v>
      </c>
      <c r="CY57" s="1136">
        <f t="shared" si="193"/>
        <v>32135500033.324783</v>
      </c>
      <c r="CZ57" s="22">
        <f t="shared" si="194"/>
        <v>114242.96508570782</v>
      </c>
      <c r="DA57" s="7">
        <f t="shared" si="195"/>
        <v>135197688550.53313</v>
      </c>
      <c r="DB57" s="6">
        <f t="shared" si="196"/>
        <v>1448.02698553709</v>
      </c>
      <c r="DC57" s="12">
        <f t="shared" si="197"/>
        <v>1383.97301446291</v>
      </c>
      <c r="DD57" s="164">
        <f t="shared" si="75"/>
        <v>93366829.417468861</v>
      </c>
      <c r="DE57" s="164">
        <f t="shared" si="76"/>
        <v>97688095.893257305</v>
      </c>
      <c r="DF57" s="1136">
        <f t="shared" si="198"/>
        <v>111319506738.52518</v>
      </c>
      <c r="DG57" s="1136">
        <f t="shared" si="199"/>
        <v>32135500033.324783</v>
      </c>
      <c r="DH57" s="22">
        <f t="shared" si="200"/>
        <v>362154.65161772241</v>
      </c>
      <c r="DI57" s="172">
        <f t="shared" si="201"/>
        <v>329953970555.92291</v>
      </c>
      <c r="DJ57" s="12">
        <f t="shared" si="202"/>
        <v>372.58601623836148</v>
      </c>
      <c r="DK57" s="22">
        <f t="shared" si="203"/>
        <v>2459.4139837616385</v>
      </c>
      <c r="DL57" s="164">
        <f t="shared" si="77"/>
        <v>885577977.09948206</v>
      </c>
      <c r="DM57" s="164">
        <f t="shared" si="78"/>
        <v>134159589.53411455</v>
      </c>
      <c r="DN57" s="7">
        <f t="shared" si="204"/>
        <v>736263549871.31189</v>
      </c>
      <c r="DO57" s="1136">
        <f t="shared" si="205"/>
        <v>188083751807.79175</v>
      </c>
      <c r="DP57" s="22">
        <f t="shared" si="206"/>
        <v>196880.1939297127</v>
      </c>
      <c r="DQ57" s="172">
        <f t="shared" si="207"/>
        <v>254127440236.13666</v>
      </c>
      <c r="DR57" s="22">
        <f t="shared" si="208"/>
        <v>788.61420290704064</v>
      </c>
      <c r="DS57" s="22">
        <f t="shared" si="209"/>
        <v>2043.3857970929594</v>
      </c>
      <c r="DT57" s="164">
        <f t="shared" si="79"/>
        <v>322245578.76253772</v>
      </c>
      <c r="DU57" s="164">
        <f t="shared" si="80"/>
        <v>124365864.04665887</v>
      </c>
      <c r="DV57" s="1136">
        <f t="shared" si="210"/>
        <v>319634187782.78741</v>
      </c>
      <c r="DW57" s="1136">
        <f t="shared" si="211"/>
        <v>188083751807.79175</v>
      </c>
      <c r="DX57" s="763">
        <f t="shared" si="212"/>
        <v>127326.91308974591</v>
      </c>
      <c r="DY57" s="7">
        <f t="shared" si="213"/>
        <v>164744444014.17923</v>
      </c>
      <c r="DZ57" s="13">
        <f t="shared" si="214"/>
        <v>1285.3553591825589</v>
      </c>
      <c r="EA57" s="763">
        <f t="shared" si="215"/>
        <v>1546.6446408174411</v>
      </c>
      <c r="EB57" s="164">
        <f t="shared" si="81"/>
        <v>128170348.25213701</v>
      </c>
      <c r="EC57" s="164">
        <f t="shared" si="82"/>
        <v>106517321.21679069</v>
      </c>
      <c r="ED57" s="1136">
        <f t="shared" si="216"/>
        <v>736263549871.31189</v>
      </c>
      <c r="EE57" s="1136">
        <f t="shared" si="217"/>
        <v>188083751807.79175</v>
      </c>
      <c r="EF57" s="763">
        <f t="shared" si="218"/>
        <v>118604.28108705385</v>
      </c>
      <c r="EG57" s="7">
        <f t="shared" si="219"/>
        <v>145767814837.80017</v>
      </c>
      <c r="EH57" s="13">
        <f t="shared" si="220"/>
        <v>1389.8152699588293</v>
      </c>
      <c r="EI57" s="763">
        <f t="shared" si="221"/>
        <v>1442.1847300411707</v>
      </c>
      <c r="EJ57" s="164">
        <f t="shared" si="83"/>
        <v>104882870.39911303</v>
      </c>
      <c r="EK57" s="164">
        <f t="shared" si="84"/>
        <v>101074301.92638281</v>
      </c>
      <c r="EL57" s="1136">
        <f t="shared" si="85"/>
        <v>319634187782.78741</v>
      </c>
      <c r="EM57" s="1136">
        <f t="shared" si="86"/>
        <v>188083751807.79175</v>
      </c>
      <c r="EN57" s="164"/>
      <c r="EO57" s="1113" t="s">
        <v>2215</v>
      </c>
      <c r="EP57" s="1114">
        <v>114242.965085708</v>
      </c>
      <c r="EQ57" s="1114">
        <v>135197688550.533</v>
      </c>
      <c r="ER57" s="1115">
        <v>1448.02698553709</v>
      </c>
      <c r="ES57" s="1115">
        <v>1383.97301446291</v>
      </c>
      <c r="ET57" s="1114">
        <v>93366829.417468905</v>
      </c>
      <c r="EU57" s="1114">
        <v>97688095.893257305</v>
      </c>
      <c r="EV57" s="1114">
        <v>111319506738.52499</v>
      </c>
      <c r="EW57" s="1114">
        <v>32135500033.324799</v>
      </c>
      <c r="EX57" s="1114">
        <v>114242.965085708</v>
      </c>
      <c r="EY57" s="1114">
        <v>135197688550.533</v>
      </c>
      <c r="EZ57" s="1115">
        <v>1448.02698553709</v>
      </c>
      <c r="FA57" s="1115">
        <v>1383.97301446291</v>
      </c>
      <c r="FB57" s="1114">
        <v>93366829.417468905</v>
      </c>
      <c r="FC57" s="1114">
        <v>97688095.893257305</v>
      </c>
      <c r="FD57" s="1114">
        <v>111319506738.52499</v>
      </c>
      <c r="FE57" s="1114">
        <v>32135500033.324799</v>
      </c>
      <c r="FF57" s="1114">
        <v>114242.965085708</v>
      </c>
      <c r="FG57" s="1114">
        <v>135197688550.533</v>
      </c>
      <c r="FH57" s="1115">
        <v>1448.02698553709</v>
      </c>
      <c r="FI57" s="1115">
        <v>1383.97301446291</v>
      </c>
      <c r="FJ57" s="1114">
        <v>93366829.417468905</v>
      </c>
      <c r="FK57" s="1114">
        <v>97688095.893257305</v>
      </c>
      <c r="FL57" s="1114">
        <v>111319506738.52499</v>
      </c>
      <c r="FM57" s="1114">
        <v>32135500033.324799</v>
      </c>
      <c r="FN57" s="1114">
        <v>362154.65161772299</v>
      </c>
      <c r="FO57" s="1114">
        <v>329953970555.92297</v>
      </c>
      <c r="FP57" s="1115">
        <v>372.58601623836103</v>
      </c>
      <c r="FQ57" s="1115">
        <v>2459.4139837616399</v>
      </c>
      <c r="FR57" s="1114">
        <v>885577977.09948301</v>
      </c>
      <c r="FS57" s="1114">
        <v>134159589.534115</v>
      </c>
      <c r="FT57" s="1114">
        <v>736263549871.31299</v>
      </c>
      <c r="FU57" s="1114">
        <v>188083751807.79199</v>
      </c>
      <c r="FV57" s="1114">
        <v>196880.19392971299</v>
      </c>
      <c r="FW57" s="1114">
        <v>254127440236.13699</v>
      </c>
      <c r="FX57" s="1115">
        <v>788.61420290703995</v>
      </c>
      <c r="FY57" s="1115">
        <v>2043.38579709296</v>
      </c>
      <c r="FZ57" s="1114">
        <v>322245578.76253802</v>
      </c>
      <c r="GA57" s="1114">
        <v>124365864.04665899</v>
      </c>
      <c r="GB57" s="1114">
        <v>319634187782.78802</v>
      </c>
      <c r="GC57" s="1114">
        <v>188083751807.79199</v>
      </c>
      <c r="GD57" s="1114">
        <v>127326.913089746</v>
      </c>
      <c r="GE57" s="1114">
        <v>164744444014.17899</v>
      </c>
      <c r="GF57" s="1115">
        <v>1285.3553591825601</v>
      </c>
      <c r="GG57" s="1115">
        <v>1546.6446408174399</v>
      </c>
      <c r="GH57" s="1114">
        <v>128170348.25213701</v>
      </c>
      <c r="GI57" s="1114">
        <v>106517321.216791</v>
      </c>
      <c r="GJ57" s="1114">
        <v>736263549871.31299</v>
      </c>
      <c r="GK57" s="1114">
        <v>188083751807.79199</v>
      </c>
      <c r="GL57" s="1114">
        <v>118604.281087054</v>
      </c>
      <c r="GM57" s="1114">
        <v>145767814837.79999</v>
      </c>
      <c r="GN57" s="1115">
        <v>1389.81526995883</v>
      </c>
      <c r="GO57" s="1115">
        <v>1442.18473004117</v>
      </c>
      <c r="GP57" s="1114">
        <v>104882870.399113</v>
      </c>
      <c r="GQ57" s="1114">
        <v>101074301.926383</v>
      </c>
      <c r="GR57" s="1114">
        <v>319634187782.78802</v>
      </c>
      <c r="GS57" s="1114">
        <v>188083751807.79199</v>
      </c>
      <c r="GU57" s="1171">
        <f t="shared" si="222"/>
        <v>-1.7462298274040222E-10</v>
      </c>
      <c r="GV57" s="1171">
        <f t="shared" si="223"/>
        <v>1.220703125E-4</v>
      </c>
      <c r="GW57" s="1171">
        <f t="shared" si="224"/>
        <v>0</v>
      </c>
      <c r="GX57" s="1171">
        <f t="shared" si="225"/>
        <v>0</v>
      </c>
      <c r="GY57" s="1171">
        <f t="shared" si="226"/>
        <v>0</v>
      </c>
      <c r="GZ57" s="1171">
        <f t="shared" si="227"/>
        <v>0</v>
      </c>
      <c r="HA57" s="1171">
        <f t="shared" si="235"/>
        <v>1.8310546875E-4</v>
      </c>
      <c r="HB57" s="1171">
        <f t="shared" si="228"/>
        <v>0</v>
      </c>
      <c r="HC57" s="1171">
        <f t="shared" si="229"/>
        <v>-1.7462298274040222E-10</v>
      </c>
      <c r="HD57" s="1171">
        <f t="shared" si="230"/>
        <v>1.220703125E-4</v>
      </c>
      <c r="HE57" s="1171">
        <f t="shared" si="231"/>
        <v>0</v>
      </c>
      <c r="HF57" s="1171">
        <f t="shared" si="232"/>
        <v>0</v>
      </c>
      <c r="HG57" s="1171">
        <f t="shared" si="89"/>
        <v>0</v>
      </c>
      <c r="HH57" s="1171">
        <f t="shared" si="90"/>
        <v>0</v>
      </c>
      <c r="HI57" s="1171">
        <f t="shared" si="91"/>
        <v>1.8310546875E-4</v>
      </c>
      <c r="HJ57" s="1171">
        <f t="shared" si="92"/>
        <v>0</v>
      </c>
      <c r="HK57" s="1171">
        <f t="shared" si="93"/>
        <v>-1.7462298274040222E-10</v>
      </c>
      <c r="HL57" s="1171">
        <f t="shared" si="94"/>
        <v>1.220703125E-4</v>
      </c>
      <c r="HM57" s="1171">
        <f t="shared" si="95"/>
        <v>0</v>
      </c>
      <c r="HN57" s="1171">
        <f t="shared" si="96"/>
        <v>0</v>
      </c>
      <c r="HO57" s="1171">
        <f t="shared" si="97"/>
        <v>0</v>
      </c>
      <c r="HP57" s="1171">
        <f t="shared" si="98"/>
        <v>0</v>
      </c>
      <c r="HQ57" s="1171">
        <f t="shared" si="99"/>
        <v>1.8310546875E-4</v>
      </c>
      <c r="HR57" s="1171">
        <f t="shared" si="100"/>
        <v>0</v>
      </c>
      <c r="HS57" s="1171">
        <f t="shared" si="101"/>
        <v>-5.8207660913467407E-10</v>
      </c>
      <c r="HT57" s="1171">
        <f t="shared" si="102"/>
        <v>0</v>
      </c>
      <c r="HU57" s="1171">
        <f t="shared" si="103"/>
        <v>4.5474735088646412E-13</v>
      </c>
      <c r="HV57" s="1171">
        <f t="shared" si="104"/>
        <v>0</v>
      </c>
      <c r="HW57" s="1171">
        <f t="shared" si="105"/>
        <v>-9.5367431640625E-7</v>
      </c>
      <c r="HX57" s="1171">
        <f t="shared" si="106"/>
        <v>-4.4703483581542969E-7</v>
      </c>
      <c r="HY57" s="1171">
        <f t="shared" si="107"/>
        <v>-1.0986328125E-3</v>
      </c>
      <c r="HZ57" s="1171">
        <f t="shared" si="108"/>
        <v>-2.44140625E-4</v>
      </c>
      <c r="IA57" s="1171">
        <f t="shared" si="109"/>
        <v>-2.9103830456733704E-10</v>
      </c>
      <c r="IB57" s="1171">
        <f t="shared" si="110"/>
        <v>-3.35693359375E-4</v>
      </c>
      <c r="IC57" s="1171">
        <f t="shared" si="111"/>
        <v>0</v>
      </c>
      <c r="ID57" s="1171">
        <f t="shared" si="112"/>
        <v>0</v>
      </c>
      <c r="IE57" s="1171">
        <f t="shared" si="113"/>
        <v>0</v>
      </c>
      <c r="IF57" s="1171">
        <f t="shared" si="114"/>
        <v>-1.1920928955078125E-7</v>
      </c>
      <c r="IG57" s="1171">
        <f t="shared" si="115"/>
        <v>-6.103515625E-4</v>
      </c>
      <c r="IH57" s="1171">
        <f t="shared" si="116"/>
        <v>-2.44140625E-4</v>
      </c>
      <c r="II57" s="1171">
        <f t="shared" si="117"/>
        <v>0</v>
      </c>
      <c r="IJ57" s="1171">
        <f t="shared" si="118"/>
        <v>2.44140625E-4</v>
      </c>
      <c r="IK57" s="1171">
        <f t="shared" si="119"/>
        <v>0</v>
      </c>
      <c r="IL57" s="1171">
        <f t="shared" si="120"/>
        <v>0</v>
      </c>
      <c r="IM57" s="1171">
        <f t="shared" si="121"/>
        <v>0</v>
      </c>
      <c r="IN57" s="1171">
        <f t="shared" si="122"/>
        <v>-3.1292438507080078E-7</v>
      </c>
      <c r="IO57" s="1171">
        <f t="shared" si="123"/>
        <v>-1.0986328125E-3</v>
      </c>
      <c r="IP57" s="1171">
        <f t="shared" si="124"/>
        <v>-2.44140625E-4</v>
      </c>
      <c r="IQ57" s="1171">
        <f t="shared" si="125"/>
        <v>-1.4551915228366852E-10</v>
      </c>
      <c r="IR57" s="1171">
        <f t="shared" si="126"/>
        <v>0</v>
      </c>
      <c r="IS57" s="1171">
        <f t="shared" si="127"/>
        <v>0</v>
      </c>
      <c r="IT57" s="1171">
        <f t="shared" si="128"/>
        <v>0</v>
      </c>
      <c r="IU57" s="1171">
        <f t="shared" si="129"/>
        <v>0</v>
      </c>
      <c r="IV57" s="1171">
        <f t="shared" si="130"/>
        <v>-1.9371509552001953E-7</v>
      </c>
      <c r="IW57" s="1171">
        <f t="shared" si="131"/>
        <v>-6.103515625E-4</v>
      </c>
      <c r="IX57" s="1171">
        <f t="shared" si="132"/>
        <v>-2.44140625E-4</v>
      </c>
    </row>
    <row r="58" spans="1:258">
      <c r="B58" s="136" t="str">
        <f t="shared" ref="B58" si="257">LEFT(B56,3)+1&amp;"j"</f>
        <v>128j</v>
      </c>
      <c r="C58">
        <v>121.9</v>
      </c>
      <c r="D58" s="136">
        <v>0</v>
      </c>
      <c r="E58" t="s">
        <v>2101</v>
      </c>
      <c r="F58" s="26">
        <v>2</v>
      </c>
      <c r="G58" s="136">
        <v>500</v>
      </c>
      <c r="H58" s="136">
        <v>22</v>
      </c>
      <c r="I58" s="28">
        <v>250</v>
      </c>
      <c r="J58" s="26">
        <v>1940</v>
      </c>
      <c r="K58" s="136">
        <v>10</v>
      </c>
      <c r="L58" s="28">
        <v>120</v>
      </c>
      <c r="M58" s="26">
        <v>2800</v>
      </c>
      <c r="N58" s="28">
        <v>12</v>
      </c>
      <c r="O58" s="26">
        <v>0</v>
      </c>
      <c r="P58" s="26">
        <v>290</v>
      </c>
      <c r="Q58" s="26">
        <f>+Section!L119</f>
        <v>5500</v>
      </c>
      <c r="R58" s="169">
        <v>0</v>
      </c>
      <c r="S58" s="210">
        <v>0</v>
      </c>
      <c r="T58" s="27">
        <v>1200</v>
      </c>
      <c r="U58" s="27">
        <v>2400</v>
      </c>
      <c r="V58" s="28">
        <v>3800</v>
      </c>
      <c r="W58" s="210">
        <v>19</v>
      </c>
      <c r="X58" s="210">
        <v>200</v>
      </c>
      <c r="Y58" s="169">
        <v>50</v>
      </c>
      <c r="Z58" s="210">
        <v>16</v>
      </c>
      <c r="AA58" s="210">
        <v>200</v>
      </c>
      <c r="AB58" s="28">
        <v>40</v>
      </c>
      <c r="AC58" s="210">
        <v>0</v>
      </c>
      <c r="AD58" s="26">
        <v>2</v>
      </c>
      <c r="AE58" s="169">
        <v>160</v>
      </c>
      <c r="AF58" s="169">
        <v>16</v>
      </c>
      <c r="AG58" s="26">
        <v>0</v>
      </c>
      <c r="AH58" s="169">
        <v>0</v>
      </c>
      <c r="AI58" s="169">
        <v>0</v>
      </c>
      <c r="AJ58" s="397">
        <v>2</v>
      </c>
      <c r="AK58" s="210">
        <v>2500</v>
      </c>
      <c r="AL58" s="210">
        <v>5000</v>
      </c>
      <c r="AM58" s="210" t="s">
        <v>2316</v>
      </c>
      <c r="AN58" s="210">
        <v>2500</v>
      </c>
      <c r="AO58" s="1143" t="s">
        <v>2321</v>
      </c>
      <c r="AP58" s="1143" t="s">
        <v>2321</v>
      </c>
      <c r="AQ58" s="136">
        <v>150</v>
      </c>
      <c r="AR58" s="136">
        <v>14</v>
      </c>
      <c r="AS58" s="1143" t="s">
        <v>2448</v>
      </c>
      <c r="AT58" s="136">
        <v>120</v>
      </c>
      <c r="AU58" s="136">
        <v>12</v>
      </c>
      <c r="AV58" s="1109" t="s">
        <v>2157</v>
      </c>
      <c r="AW58" s="1109">
        <v>12</v>
      </c>
      <c r="AX58" s="1109">
        <v>400</v>
      </c>
      <c r="AY58" s="1109">
        <v>1000</v>
      </c>
      <c r="AZ58" s="1108">
        <v>8</v>
      </c>
      <c r="BA58" s="1108">
        <v>6</v>
      </c>
      <c r="BC58" s="1168"/>
      <c r="BD58" s="210">
        <f>INDEX(Spec!$B$12:$P$58,MATCH(AO58,Spec!$A$12:$A$58,0),6)*100</f>
        <v>1900</v>
      </c>
      <c r="BE58" s="210">
        <f>INDEX(Spec!$B$12:$P$58,MATCH(AP58,Spec!$A$12:$A$58,0),6)*100</f>
        <v>1900</v>
      </c>
      <c r="BF58" s="881">
        <f t="shared" si="161"/>
        <v>0.69515529669535348</v>
      </c>
      <c r="BG58" s="881">
        <f t="shared" si="162"/>
        <v>47.243485714285718</v>
      </c>
      <c r="BH58" s="881"/>
      <c r="BI58" s="13" cm="1">
        <f t="array" ref="BI58">INDEX(Info!$AD$4:$AH$15,MATCH(Info!$I$13,Info!$AC$4:$AC$15,0),IF(H58&lt;=16,1,IF(H58&lt;=40,2,IF(H58&lt;=75,3,IF(H58&lt;=100,4,5)))))</f>
        <v>380</v>
      </c>
      <c r="BJ58" s="13" cm="1">
        <f t="array" ref="BJ58">INDEX(Info!$AD$4:$AH$15,MATCH(Info!$I$13,Info!$AC$4:$AC$15,0),IF(K58&lt;=16,1,IF(K58&lt;=40,2,IF(K58&lt;=75,3,IF(K58&lt;=100,4,5)))))</f>
        <v>380</v>
      </c>
      <c r="BK58" s="13" cm="1">
        <f t="array" ref="BK58">INDEX(Info!$AD$4:$AH$15,MATCH(Info!$I$14,Info!$AC$4:$AC$15,0),IF(N58&lt;=16,1,IF(N58&lt;=40,2,IF(N58&lt;=75,3,IF(N58&lt;=100,4,5)))))</f>
        <v>355</v>
      </c>
      <c r="BL58" s="13">
        <f>IF(Stress!C887="Positive",MAX(MIN(0.7*BI58,BK58),0.5*BI58),MAX(MIN(0.7*BJ58,BK58),0.5*BJ58))</f>
        <v>266</v>
      </c>
      <c r="BM58" s="13" cm="1">
        <f t="array" ref="BM58">INDEX(Info!$AD$4:$AH$15,MATCH(Info!$I$13,Info!$AC$4:$AC$15,0),IF(AI58&lt;=16,1,IF(AI58&lt;=40,2,IF(AI58&lt;=75,3,IF(AI58&lt;=100,4,5)))))</f>
        <v>380</v>
      </c>
      <c r="BN58" s="13" cm="1">
        <f t="array" ref="BN58">INDEX(Info!$AD$4:$AH$15,MATCH(Info!$I$13,Info!$AC$4:$AC$15,0),IF(AF58&lt;=16,1,IF(AF58&lt;=40,2,IF(AF58&lt;=75,3,IF(AF58&lt;=100,4,5)))))</f>
        <v>380</v>
      </c>
      <c r="BO58" s="13"/>
      <c r="BP58" s="13">
        <f t="shared" si="163"/>
        <v>0.125</v>
      </c>
      <c r="BQ58" s="13">
        <f t="shared" si="164"/>
        <v>2821.7902119044925</v>
      </c>
      <c r="BR58" s="13">
        <f t="shared" si="165"/>
        <v>3100</v>
      </c>
      <c r="BS58" s="13"/>
      <c r="BT58" s="136">
        <f t="shared" si="166"/>
        <v>0</v>
      </c>
      <c r="BU58" s="136">
        <f t="shared" si="167"/>
        <v>0</v>
      </c>
      <c r="BV58" s="136">
        <f t="shared" si="168"/>
        <v>1595000</v>
      </c>
      <c r="BW58" s="136">
        <f t="shared" si="169"/>
        <v>11178291666.666666</v>
      </c>
      <c r="BX58" s="136">
        <f t="shared" si="170"/>
        <v>0</v>
      </c>
      <c r="BY58" s="136">
        <f t="shared" si="171"/>
        <v>0</v>
      </c>
      <c r="BZ58" s="136">
        <f t="shared" si="172"/>
        <v>7655.2758986349281</v>
      </c>
      <c r="CA58" s="136">
        <f t="shared" si="173"/>
        <v>172722.16246295057</v>
      </c>
      <c r="CB58" s="136">
        <f t="shared" si="174"/>
        <v>5428.6721054031623</v>
      </c>
      <c r="CC58" s="136">
        <f t="shared" si="175"/>
        <v>86858.753686450596</v>
      </c>
      <c r="CE58" s="1137">
        <f t="shared" si="176"/>
        <v>346081987.77679139</v>
      </c>
      <c r="CF58" s="1136">
        <f t="shared" si="177"/>
        <v>411131448.88888884</v>
      </c>
      <c r="CG58" s="1136">
        <f t="shared" si="178"/>
        <v>0</v>
      </c>
      <c r="CH58" s="172">
        <f t="shared" si="179"/>
        <v>4020729166666.6665</v>
      </c>
      <c r="CJ58" s="136">
        <f t="shared" si="180"/>
        <v>114242.96508570782</v>
      </c>
      <c r="CK58" s="7">
        <f t="shared" si="181"/>
        <v>135197688550.53313</v>
      </c>
      <c r="CL58" s="6">
        <f t="shared" si="182"/>
        <v>1448.02698553709</v>
      </c>
      <c r="CM58" s="6">
        <f t="shared" si="183"/>
        <v>1383.97301446291</v>
      </c>
      <c r="CN58" s="164">
        <f t="shared" si="73"/>
        <v>93366829.417468861</v>
      </c>
      <c r="CO58" s="164">
        <f t="shared" si="74"/>
        <v>97688095.893257305</v>
      </c>
      <c r="CP58" s="1137">
        <f t="shared" si="184"/>
        <v>111319506738.52518</v>
      </c>
      <c r="CQ58" s="1136">
        <f t="shared" si="185"/>
        <v>32135500033.324783</v>
      </c>
      <c r="CR58" s="22">
        <f t="shared" si="186"/>
        <v>114242.96508570782</v>
      </c>
      <c r="CS58" s="7">
        <f t="shared" si="187"/>
        <v>135197688550.53313</v>
      </c>
      <c r="CT58" s="6">
        <f t="shared" si="188"/>
        <v>1448.02698553709</v>
      </c>
      <c r="CU58" s="12">
        <f t="shared" si="189"/>
        <v>1383.97301446291</v>
      </c>
      <c r="CV58" s="164">
        <f t="shared" si="190"/>
        <v>93366829.417468861</v>
      </c>
      <c r="CW58" s="164">
        <f t="shared" si="191"/>
        <v>97688095.893257305</v>
      </c>
      <c r="CX58" s="1136">
        <f t="shared" si="192"/>
        <v>111319506738.52518</v>
      </c>
      <c r="CY58" s="1136">
        <f t="shared" si="193"/>
        <v>32135500033.324783</v>
      </c>
      <c r="CZ58" s="22">
        <f t="shared" si="194"/>
        <v>114242.96508570782</v>
      </c>
      <c r="DA58" s="7">
        <f t="shared" si="195"/>
        <v>135197688550.53313</v>
      </c>
      <c r="DB58" s="6">
        <f t="shared" si="196"/>
        <v>1448.02698553709</v>
      </c>
      <c r="DC58" s="12">
        <f t="shared" si="197"/>
        <v>1383.97301446291</v>
      </c>
      <c r="DD58" s="164">
        <f t="shared" si="75"/>
        <v>93366829.417468861</v>
      </c>
      <c r="DE58" s="164">
        <f t="shared" si="76"/>
        <v>97688095.893257305</v>
      </c>
      <c r="DF58" s="1136">
        <f t="shared" si="198"/>
        <v>111319506738.52518</v>
      </c>
      <c r="DG58" s="1136">
        <f t="shared" si="199"/>
        <v>32135500033.324783</v>
      </c>
      <c r="DH58" s="22">
        <f t="shared" si="200"/>
        <v>362154.65161772241</v>
      </c>
      <c r="DI58" s="172">
        <f t="shared" si="201"/>
        <v>329953970555.92291</v>
      </c>
      <c r="DJ58" s="12">
        <f t="shared" si="202"/>
        <v>372.58601623836148</v>
      </c>
      <c r="DK58" s="22">
        <f t="shared" si="203"/>
        <v>2459.4139837616385</v>
      </c>
      <c r="DL58" s="164">
        <f t="shared" si="77"/>
        <v>885577977.09948206</v>
      </c>
      <c r="DM58" s="164">
        <f t="shared" si="78"/>
        <v>134159589.53411455</v>
      </c>
      <c r="DN58" s="7">
        <f t="shared" si="204"/>
        <v>736263549871.31189</v>
      </c>
      <c r="DO58" s="1136">
        <f t="shared" si="205"/>
        <v>188083751807.79175</v>
      </c>
      <c r="DP58" s="22">
        <f t="shared" si="206"/>
        <v>196880.1939297127</v>
      </c>
      <c r="DQ58" s="172">
        <f t="shared" si="207"/>
        <v>254127440236.13666</v>
      </c>
      <c r="DR58" s="22">
        <f t="shared" si="208"/>
        <v>788.61420290704064</v>
      </c>
      <c r="DS58" s="22">
        <f t="shared" si="209"/>
        <v>2043.3857970929594</v>
      </c>
      <c r="DT58" s="164">
        <f t="shared" si="79"/>
        <v>322245578.76253772</v>
      </c>
      <c r="DU58" s="164">
        <f t="shared" si="80"/>
        <v>124365864.04665887</v>
      </c>
      <c r="DV58" s="1136">
        <f t="shared" si="210"/>
        <v>319634187782.78741</v>
      </c>
      <c r="DW58" s="1136">
        <f t="shared" si="211"/>
        <v>188083751807.79175</v>
      </c>
      <c r="DX58" s="763">
        <f t="shared" si="212"/>
        <v>127326.91308974591</v>
      </c>
      <c r="DY58" s="7">
        <f t="shared" si="213"/>
        <v>164744444014.17923</v>
      </c>
      <c r="DZ58" s="13">
        <f t="shared" si="214"/>
        <v>1285.3553591825589</v>
      </c>
      <c r="EA58" s="763">
        <f t="shared" si="215"/>
        <v>1546.6446408174411</v>
      </c>
      <c r="EB58" s="164">
        <f t="shared" si="81"/>
        <v>128170348.25213701</v>
      </c>
      <c r="EC58" s="164">
        <f t="shared" si="82"/>
        <v>106517321.21679069</v>
      </c>
      <c r="ED58" s="1136">
        <f t="shared" si="216"/>
        <v>736263549871.31189</v>
      </c>
      <c r="EE58" s="1136">
        <f t="shared" si="217"/>
        <v>188083751807.79175</v>
      </c>
      <c r="EF58" s="763">
        <f t="shared" si="218"/>
        <v>118604.28108705385</v>
      </c>
      <c r="EG58" s="7">
        <f t="shared" si="219"/>
        <v>145767814837.80017</v>
      </c>
      <c r="EH58" s="13">
        <f t="shared" si="220"/>
        <v>1389.8152699588293</v>
      </c>
      <c r="EI58" s="763">
        <f t="shared" si="221"/>
        <v>1442.1847300411707</v>
      </c>
      <c r="EJ58" s="164">
        <f t="shared" si="83"/>
        <v>104882870.39911303</v>
      </c>
      <c r="EK58" s="164">
        <f t="shared" si="84"/>
        <v>101074301.92638281</v>
      </c>
      <c r="EL58" s="1136">
        <f t="shared" si="85"/>
        <v>319634187782.78741</v>
      </c>
      <c r="EM58" s="1136">
        <f t="shared" si="86"/>
        <v>188083751807.79175</v>
      </c>
      <c r="EN58" s="164"/>
      <c r="EO58" s="1113" t="s">
        <v>2216</v>
      </c>
      <c r="EP58" s="1114">
        <v>114242.965085708</v>
      </c>
      <c r="EQ58" s="1114">
        <v>135197688550.533</v>
      </c>
      <c r="ER58" s="1115">
        <v>1448.02698553709</v>
      </c>
      <c r="ES58" s="1115">
        <v>1383.97301446291</v>
      </c>
      <c r="ET58" s="1114">
        <v>93366829.417468905</v>
      </c>
      <c r="EU58" s="1114">
        <v>97688095.893257305</v>
      </c>
      <c r="EV58" s="1114">
        <v>111319506738.52499</v>
      </c>
      <c r="EW58" s="1114">
        <v>32135500033.324799</v>
      </c>
      <c r="EX58" s="1114">
        <v>114242.965085708</v>
      </c>
      <c r="EY58" s="1114">
        <v>135197688550.533</v>
      </c>
      <c r="EZ58" s="1115">
        <v>1448.02698553709</v>
      </c>
      <c r="FA58" s="1115">
        <v>1383.97301446291</v>
      </c>
      <c r="FB58" s="1114">
        <v>93366829.417468905</v>
      </c>
      <c r="FC58" s="1114">
        <v>97688095.893257305</v>
      </c>
      <c r="FD58" s="1114">
        <v>111319506738.52499</v>
      </c>
      <c r="FE58" s="1114">
        <v>32135500033.324799</v>
      </c>
      <c r="FF58" s="1114">
        <v>114242.965085708</v>
      </c>
      <c r="FG58" s="1114">
        <v>135197688550.533</v>
      </c>
      <c r="FH58" s="1115">
        <v>1448.02698553709</v>
      </c>
      <c r="FI58" s="1115">
        <v>1383.97301446291</v>
      </c>
      <c r="FJ58" s="1114">
        <v>93366829.417468905</v>
      </c>
      <c r="FK58" s="1114">
        <v>97688095.893257305</v>
      </c>
      <c r="FL58" s="1114">
        <v>111319506738.52499</v>
      </c>
      <c r="FM58" s="1114">
        <v>32135500033.324799</v>
      </c>
      <c r="FN58" s="1114">
        <v>362154.65161772299</v>
      </c>
      <c r="FO58" s="1114">
        <v>329953970555.92297</v>
      </c>
      <c r="FP58" s="1115">
        <v>372.58601623836103</v>
      </c>
      <c r="FQ58" s="1115">
        <v>2459.4139837616399</v>
      </c>
      <c r="FR58" s="1114">
        <v>885577977.09948301</v>
      </c>
      <c r="FS58" s="1114">
        <v>134159589.534115</v>
      </c>
      <c r="FT58" s="1114">
        <v>736263549871.31299</v>
      </c>
      <c r="FU58" s="1114">
        <v>188083751807.79199</v>
      </c>
      <c r="FV58" s="1114">
        <v>196880.19392971299</v>
      </c>
      <c r="FW58" s="1114">
        <v>254127440236.13699</v>
      </c>
      <c r="FX58" s="1115">
        <v>788.61420290703995</v>
      </c>
      <c r="FY58" s="1115">
        <v>2043.38579709296</v>
      </c>
      <c r="FZ58" s="1114">
        <v>322245578.76253802</v>
      </c>
      <c r="GA58" s="1114">
        <v>124365864.04665899</v>
      </c>
      <c r="GB58" s="1114">
        <v>319634187782.78802</v>
      </c>
      <c r="GC58" s="1114">
        <v>188083751807.79199</v>
      </c>
      <c r="GD58" s="1114">
        <v>127326.913089746</v>
      </c>
      <c r="GE58" s="1114">
        <v>164744444014.17899</v>
      </c>
      <c r="GF58" s="1115">
        <v>1285.3553591825601</v>
      </c>
      <c r="GG58" s="1115">
        <v>1546.6446408174399</v>
      </c>
      <c r="GH58" s="1114">
        <v>128170348.25213701</v>
      </c>
      <c r="GI58" s="1114">
        <v>106517321.216791</v>
      </c>
      <c r="GJ58" s="1114">
        <v>736263549871.31299</v>
      </c>
      <c r="GK58" s="1114">
        <v>188083751807.79199</v>
      </c>
      <c r="GL58" s="1114">
        <v>118604.281087054</v>
      </c>
      <c r="GM58" s="1114">
        <v>145767814837.79999</v>
      </c>
      <c r="GN58" s="1115">
        <v>1389.81526995883</v>
      </c>
      <c r="GO58" s="1115">
        <v>1442.18473004117</v>
      </c>
      <c r="GP58" s="1114">
        <v>104882870.399113</v>
      </c>
      <c r="GQ58" s="1114">
        <v>101074301.926383</v>
      </c>
      <c r="GR58" s="1114">
        <v>319634187782.78802</v>
      </c>
      <c r="GS58" s="1114">
        <v>188083751807.79199</v>
      </c>
      <c r="GU58" s="1171">
        <f t="shared" si="222"/>
        <v>-1.7462298274040222E-10</v>
      </c>
      <c r="GV58" s="1171">
        <f t="shared" si="223"/>
        <v>1.220703125E-4</v>
      </c>
      <c r="GW58" s="1171">
        <f t="shared" si="224"/>
        <v>0</v>
      </c>
      <c r="GX58" s="1171">
        <f t="shared" si="225"/>
        <v>0</v>
      </c>
      <c r="GY58" s="1171">
        <f t="shared" si="226"/>
        <v>0</v>
      </c>
      <c r="GZ58" s="1171">
        <f t="shared" si="227"/>
        <v>0</v>
      </c>
      <c r="HA58" s="1171">
        <f t="shared" si="235"/>
        <v>1.8310546875E-4</v>
      </c>
      <c r="HB58" s="1171">
        <f t="shared" si="228"/>
        <v>0</v>
      </c>
      <c r="HC58" s="1171">
        <f t="shared" si="229"/>
        <v>-1.7462298274040222E-10</v>
      </c>
      <c r="HD58" s="1171">
        <f t="shared" si="230"/>
        <v>1.220703125E-4</v>
      </c>
      <c r="HE58" s="1171">
        <f t="shared" si="231"/>
        <v>0</v>
      </c>
      <c r="HF58" s="1171">
        <f t="shared" si="232"/>
        <v>0</v>
      </c>
      <c r="HG58" s="1171">
        <f t="shared" si="89"/>
        <v>0</v>
      </c>
      <c r="HH58" s="1171">
        <f t="shared" si="90"/>
        <v>0</v>
      </c>
      <c r="HI58" s="1171">
        <f t="shared" si="91"/>
        <v>1.8310546875E-4</v>
      </c>
      <c r="HJ58" s="1171">
        <f t="shared" si="92"/>
        <v>0</v>
      </c>
      <c r="HK58" s="1171">
        <f t="shared" si="93"/>
        <v>-1.7462298274040222E-10</v>
      </c>
      <c r="HL58" s="1171">
        <f t="shared" si="94"/>
        <v>1.220703125E-4</v>
      </c>
      <c r="HM58" s="1171">
        <f t="shared" si="95"/>
        <v>0</v>
      </c>
      <c r="HN58" s="1171">
        <f t="shared" si="96"/>
        <v>0</v>
      </c>
      <c r="HO58" s="1171">
        <f t="shared" si="97"/>
        <v>0</v>
      </c>
      <c r="HP58" s="1171">
        <f t="shared" si="98"/>
        <v>0</v>
      </c>
      <c r="HQ58" s="1171">
        <f t="shared" si="99"/>
        <v>1.8310546875E-4</v>
      </c>
      <c r="HR58" s="1171">
        <f t="shared" si="100"/>
        <v>0</v>
      </c>
      <c r="HS58" s="1171">
        <f t="shared" si="101"/>
        <v>-5.8207660913467407E-10</v>
      </c>
      <c r="HT58" s="1171">
        <f t="shared" si="102"/>
        <v>0</v>
      </c>
      <c r="HU58" s="1171">
        <f t="shared" si="103"/>
        <v>4.5474735088646412E-13</v>
      </c>
      <c r="HV58" s="1171">
        <f t="shared" si="104"/>
        <v>0</v>
      </c>
      <c r="HW58" s="1171">
        <f t="shared" si="105"/>
        <v>-9.5367431640625E-7</v>
      </c>
      <c r="HX58" s="1171">
        <f t="shared" si="106"/>
        <v>-4.4703483581542969E-7</v>
      </c>
      <c r="HY58" s="1171">
        <f t="shared" si="107"/>
        <v>-1.0986328125E-3</v>
      </c>
      <c r="HZ58" s="1171">
        <f t="shared" si="108"/>
        <v>-2.44140625E-4</v>
      </c>
      <c r="IA58" s="1171">
        <f t="shared" si="109"/>
        <v>-2.9103830456733704E-10</v>
      </c>
      <c r="IB58" s="1171">
        <f t="shared" si="110"/>
        <v>-3.35693359375E-4</v>
      </c>
      <c r="IC58" s="1171">
        <f t="shared" si="111"/>
        <v>0</v>
      </c>
      <c r="ID58" s="1171">
        <f t="shared" si="112"/>
        <v>0</v>
      </c>
      <c r="IE58" s="1171">
        <f t="shared" si="113"/>
        <v>0</v>
      </c>
      <c r="IF58" s="1171">
        <f t="shared" si="114"/>
        <v>-1.1920928955078125E-7</v>
      </c>
      <c r="IG58" s="1171">
        <f t="shared" si="115"/>
        <v>-6.103515625E-4</v>
      </c>
      <c r="IH58" s="1171">
        <f t="shared" si="116"/>
        <v>-2.44140625E-4</v>
      </c>
      <c r="II58" s="1171">
        <f t="shared" si="117"/>
        <v>0</v>
      </c>
      <c r="IJ58" s="1171">
        <f t="shared" si="118"/>
        <v>2.44140625E-4</v>
      </c>
      <c r="IK58" s="1171">
        <f t="shared" si="119"/>
        <v>0</v>
      </c>
      <c r="IL58" s="1171">
        <f t="shared" si="120"/>
        <v>0</v>
      </c>
      <c r="IM58" s="1171">
        <f t="shared" si="121"/>
        <v>0</v>
      </c>
      <c r="IN58" s="1171">
        <f t="shared" si="122"/>
        <v>-3.1292438507080078E-7</v>
      </c>
      <c r="IO58" s="1171">
        <f t="shared" si="123"/>
        <v>-1.0986328125E-3</v>
      </c>
      <c r="IP58" s="1171">
        <f t="shared" si="124"/>
        <v>-2.44140625E-4</v>
      </c>
      <c r="IQ58" s="1171">
        <f t="shared" si="125"/>
        <v>-1.4551915228366852E-10</v>
      </c>
      <c r="IR58" s="1171">
        <f t="shared" si="126"/>
        <v>0</v>
      </c>
      <c r="IS58" s="1171">
        <f t="shared" si="127"/>
        <v>0</v>
      </c>
      <c r="IT58" s="1171">
        <f t="shared" si="128"/>
        <v>0</v>
      </c>
      <c r="IU58" s="1171">
        <f t="shared" si="129"/>
        <v>0</v>
      </c>
      <c r="IV58" s="1171">
        <f t="shared" si="130"/>
        <v>-1.9371509552001953E-7</v>
      </c>
      <c r="IW58" s="1171">
        <f t="shared" si="131"/>
        <v>-6.103515625E-4</v>
      </c>
      <c r="IX58" s="1171">
        <f t="shared" si="132"/>
        <v>-2.44140625E-4</v>
      </c>
    </row>
    <row r="59" spans="1:258">
      <c r="A59">
        <v>129</v>
      </c>
      <c r="B59" s="136" t="str">
        <f t="shared" ref="B59" si="258">LEFT(B57,3)+1&amp;"i"</f>
        <v>129i</v>
      </c>
      <c r="C59">
        <v>121.9</v>
      </c>
      <c r="D59" s="136">
        <v>0</v>
      </c>
      <c r="E59" t="s">
        <v>2102</v>
      </c>
      <c r="F59" s="26">
        <v>2</v>
      </c>
      <c r="G59" s="136">
        <v>500</v>
      </c>
      <c r="H59" s="136">
        <v>22</v>
      </c>
      <c r="I59" s="28">
        <v>250</v>
      </c>
      <c r="J59" s="26">
        <v>1940</v>
      </c>
      <c r="K59" s="136">
        <v>10</v>
      </c>
      <c r="L59" s="28">
        <v>120</v>
      </c>
      <c r="M59" s="26">
        <v>2800</v>
      </c>
      <c r="N59" s="28">
        <v>12</v>
      </c>
      <c r="O59" s="26">
        <v>0</v>
      </c>
      <c r="P59" s="26">
        <v>290</v>
      </c>
      <c r="Q59" s="26">
        <f>+Section!L120</f>
        <v>5500</v>
      </c>
      <c r="R59" s="169">
        <v>0</v>
      </c>
      <c r="S59" s="210">
        <v>0</v>
      </c>
      <c r="T59" s="27">
        <v>1200</v>
      </c>
      <c r="U59" s="27">
        <v>2400</v>
      </c>
      <c r="V59" s="28">
        <v>3800</v>
      </c>
      <c r="W59" s="210">
        <v>19</v>
      </c>
      <c r="X59" s="210">
        <v>200</v>
      </c>
      <c r="Y59" s="169">
        <v>50</v>
      </c>
      <c r="Z59" s="210">
        <v>16</v>
      </c>
      <c r="AA59" s="210">
        <v>200</v>
      </c>
      <c r="AB59" s="28">
        <v>40</v>
      </c>
      <c r="AC59" s="210">
        <v>0</v>
      </c>
      <c r="AD59" s="26">
        <v>2</v>
      </c>
      <c r="AE59" s="169">
        <v>160</v>
      </c>
      <c r="AF59" s="169">
        <v>16</v>
      </c>
      <c r="AG59" s="26">
        <v>0</v>
      </c>
      <c r="AH59" s="169">
        <v>0</v>
      </c>
      <c r="AI59" s="169">
        <v>0</v>
      </c>
      <c r="AJ59" s="397">
        <v>2</v>
      </c>
      <c r="AK59" s="210">
        <v>2500</v>
      </c>
      <c r="AL59" s="210">
        <v>5000</v>
      </c>
      <c r="AM59" s="210" t="s">
        <v>2316</v>
      </c>
      <c r="AN59" s="210">
        <v>2342</v>
      </c>
      <c r="AO59" s="1143" t="s">
        <v>2321</v>
      </c>
      <c r="AP59" s="1143" t="s">
        <v>2321</v>
      </c>
      <c r="AQ59" s="136">
        <v>150</v>
      </c>
      <c r="AR59" s="136">
        <v>14</v>
      </c>
      <c r="AS59" s="1143" t="s">
        <v>2448</v>
      </c>
      <c r="AT59" s="136">
        <v>120</v>
      </c>
      <c r="AU59" s="136">
        <v>12</v>
      </c>
      <c r="AV59" s="1109" t="s">
        <v>2157</v>
      </c>
      <c r="AW59" s="1109">
        <v>12</v>
      </c>
      <c r="AX59" s="1109">
        <v>400</v>
      </c>
      <c r="AY59" s="1109">
        <v>1000</v>
      </c>
      <c r="AZ59" s="1108">
        <v>8</v>
      </c>
      <c r="BA59" s="1108">
        <v>6</v>
      </c>
      <c r="BC59" s="1168"/>
      <c r="BD59" s="210">
        <f>INDEX(Spec!$B$12:$P$58,MATCH(AO59,Spec!$A$12:$A$58,0),6)*100</f>
        <v>1900</v>
      </c>
      <c r="BE59" s="210">
        <f>INDEX(Spec!$B$12:$P$58,MATCH(AP59,Spec!$A$12:$A$58,0),6)*100</f>
        <v>1900</v>
      </c>
      <c r="BF59" s="881">
        <f t="shared" si="161"/>
        <v>0.72038683510107826</v>
      </c>
      <c r="BG59" s="881">
        <f t="shared" si="162"/>
        <v>47.243485714285718</v>
      </c>
      <c r="BH59" s="881"/>
      <c r="BI59" s="13" cm="1">
        <f t="array" ref="BI59">INDEX(Info!$AD$4:$AH$15,MATCH(Info!$I$13,Info!$AC$4:$AC$15,0),IF(H59&lt;=16,1,IF(H59&lt;=40,2,IF(H59&lt;=75,3,IF(H59&lt;=100,4,5)))))</f>
        <v>380</v>
      </c>
      <c r="BJ59" s="13" cm="1">
        <f t="array" ref="BJ59">INDEX(Info!$AD$4:$AH$15,MATCH(Info!$I$13,Info!$AC$4:$AC$15,0),IF(K59&lt;=16,1,IF(K59&lt;=40,2,IF(K59&lt;=75,3,IF(K59&lt;=100,4,5)))))</f>
        <v>380</v>
      </c>
      <c r="BK59" s="13" cm="1">
        <f t="array" ref="BK59">INDEX(Info!$AD$4:$AH$15,MATCH(Info!$I$14,Info!$AC$4:$AC$15,0),IF(N59&lt;=16,1,IF(N59&lt;=40,2,IF(N59&lt;=75,3,IF(N59&lt;=100,4,5)))))</f>
        <v>355</v>
      </c>
      <c r="BL59" s="13">
        <f>IF(Stress!C888="Positive",MAX(MIN(0.7*BI59,BK59),0.5*BI59),MAX(MIN(0.7*BJ59,BK59),0.5*BJ59))</f>
        <v>266</v>
      </c>
      <c r="BM59" s="13" cm="1">
        <f t="array" ref="BM59">INDEX(Info!$AD$4:$AH$15,MATCH(Info!$I$13,Info!$AC$4:$AC$15,0),IF(AI59&lt;=16,1,IF(AI59&lt;=40,2,IF(AI59&lt;=75,3,IF(AI59&lt;=100,4,5)))))</f>
        <v>380</v>
      </c>
      <c r="BN59" s="13" cm="1">
        <f t="array" ref="BN59">INDEX(Info!$AD$4:$AH$15,MATCH(Info!$I$13,Info!$AC$4:$AC$15,0),IF(AF59&lt;=16,1,IF(AF59&lt;=40,2,IF(AF59&lt;=75,3,IF(AF59&lt;=100,4,5)))))</f>
        <v>380</v>
      </c>
      <c r="BO59" s="13"/>
      <c r="BP59" s="13">
        <f t="shared" si="163"/>
        <v>0.125</v>
      </c>
      <c r="BQ59" s="13">
        <f t="shared" si="164"/>
        <v>2821.7902119044925</v>
      </c>
      <c r="BR59" s="13">
        <f t="shared" si="165"/>
        <v>3100</v>
      </c>
      <c r="BS59" s="13"/>
      <c r="BT59" s="136">
        <f t="shared" si="166"/>
        <v>0</v>
      </c>
      <c r="BU59" s="136">
        <f t="shared" si="167"/>
        <v>0</v>
      </c>
      <c r="BV59" s="136">
        <f t="shared" si="168"/>
        <v>1595000</v>
      </c>
      <c r="BW59" s="136">
        <f t="shared" si="169"/>
        <v>11178291666.666666</v>
      </c>
      <c r="BX59" s="136">
        <f t="shared" si="170"/>
        <v>0</v>
      </c>
      <c r="BY59" s="136">
        <f t="shared" si="171"/>
        <v>0</v>
      </c>
      <c r="BZ59" s="136">
        <f t="shared" si="172"/>
        <v>7655.2758986349281</v>
      </c>
      <c r="CA59" s="136">
        <f t="shared" si="173"/>
        <v>172722.16246295057</v>
      </c>
      <c r="CB59" s="136">
        <f t="shared" si="174"/>
        <v>5428.6721054031623</v>
      </c>
      <c r="CC59" s="136">
        <f t="shared" si="175"/>
        <v>86858.753686450596</v>
      </c>
      <c r="CE59" s="1137">
        <f t="shared" si="176"/>
        <v>346081987.77679139</v>
      </c>
      <c r="CF59" s="1136">
        <f t="shared" si="177"/>
        <v>411131448.88888884</v>
      </c>
      <c r="CG59" s="1136">
        <f t="shared" si="178"/>
        <v>0</v>
      </c>
      <c r="CH59" s="172">
        <f t="shared" si="179"/>
        <v>4020729166666.6665</v>
      </c>
      <c r="CJ59" s="136">
        <f t="shared" si="180"/>
        <v>114242.96508570782</v>
      </c>
      <c r="CK59" s="7">
        <f t="shared" si="181"/>
        <v>135197688550.53313</v>
      </c>
      <c r="CL59" s="6">
        <f t="shared" si="182"/>
        <v>1448.02698553709</v>
      </c>
      <c r="CM59" s="6">
        <f t="shared" si="183"/>
        <v>1383.97301446291</v>
      </c>
      <c r="CN59" s="164">
        <f t="shared" si="73"/>
        <v>93366829.417468861</v>
      </c>
      <c r="CO59" s="164">
        <f t="shared" si="74"/>
        <v>97688095.893257305</v>
      </c>
      <c r="CP59" s="1137">
        <f t="shared" si="184"/>
        <v>111319506738.52518</v>
      </c>
      <c r="CQ59" s="1136">
        <f t="shared" si="185"/>
        <v>33108285582.613773</v>
      </c>
      <c r="CR59" s="22">
        <f t="shared" si="186"/>
        <v>114242.96508570782</v>
      </c>
      <c r="CS59" s="7">
        <f t="shared" si="187"/>
        <v>135197688550.53313</v>
      </c>
      <c r="CT59" s="6">
        <f t="shared" si="188"/>
        <v>1448.02698553709</v>
      </c>
      <c r="CU59" s="12">
        <f t="shared" si="189"/>
        <v>1383.97301446291</v>
      </c>
      <c r="CV59" s="164">
        <f t="shared" si="190"/>
        <v>93366829.417468861</v>
      </c>
      <c r="CW59" s="164">
        <f t="shared" si="191"/>
        <v>97688095.893257305</v>
      </c>
      <c r="CX59" s="1136">
        <f t="shared" si="192"/>
        <v>111319506738.52518</v>
      </c>
      <c r="CY59" s="1136">
        <f t="shared" si="193"/>
        <v>33108285582.613773</v>
      </c>
      <c r="CZ59" s="22">
        <f t="shared" si="194"/>
        <v>114242.96508570782</v>
      </c>
      <c r="DA59" s="7">
        <f t="shared" si="195"/>
        <v>135197688550.53313</v>
      </c>
      <c r="DB59" s="6">
        <f t="shared" si="196"/>
        <v>1448.02698553709</v>
      </c>
      <c r="DC59" s="12">
        <f t="shared" si="197"/>
        <v>1383.97301446291</v>
      </c>
      <c r="DD59" s="164">
        <f t="shared" si="75"/>
        <v>93366829.417468861</v>
      </c>
      <c r="DE59" s="164">
        <f t="shared" si="76"/>
        <v>97688095.893257305</v>
      </c>
      <c r="DF59" s="1136">
        <f t="shared" si="198"/>
        <v>111319506738.52518</v>
      </c>
      <c r="DG59" s="1136">
        <f t="shared" si="199"/>
        <v>33108285582.613773</v>
      </c>
      <c r="DH59" s="22">
        <f t="shared" si="200"/>
        <v>362154.65161772241</v>
      </c>
      <c r="DI59" s="172">
        <f t="shared" si="201"/>
        <v>329953970555.92291</v>
      </c>
      <c r="DJ59" s="12">
        <f t="shared" si="202"/>
        <v>372.58601623836148</v>
      </c>
      <c r="DK59" s="22">
        <f t="shared" si="203"/>
        <v>2459.4139837616385</v>
      </c>
      <c r="DL59" s="164">
        <f t="shared" si="77"/>
        <v>885577977.09948206</v>
      </c>
      <c r="DM59" s="164">
        <f t="shared" si="78"/>
        <v>134159589.53411455</v>
      </c>
      <c r="DN59" s="7">
        <f t="shared" si="204"/>
        <v>736263549871.31189</v>
      </c>
      <c r="DO59" s="1136">
        <f t="shared" si="205"/>
        <v>188083751807.79175</v>
      </c>
      <c r="DP59" s="22">
        <f t="shared" si="206"/>
        <v>196880.1939297127</v>
      </c>
      <c r="DQ59" s="172">
        <f t="shared" si="207"/>
        <v>254127440236.13666</v>
      </c>
      <c r="DR59" s="22">
        <f t="shared" si="208"/>
        <v>788.61420290704064</v>
      </c>
      <c r="DS59" s="22">
        <f t="shared" si="209"/>
        <v>2043.3857970929594</v>
      </c>
      <c r="DT59" s="164">
        <f t="shared" si="79"/>
        <v>322245578.76253772</v>
      </c>
      <c r="DU59" s="164">
        <f t="shared" si="80"/>
        <v>124365864.04665887</v>
      </c>
      <c r="DV59" s="1136">
        <f t="shared" si="210"/>
        <v>319634187782.78741</v>
      </c>
      <c r="DW59" s="1136">
        <f t="shared" si="211"/>
        <v>188083751807.79175</v>
      </c>
      <c r="DX59" s="763">
        <f t="shared" si="212"/>
        <v>127326.91308974591</v>
      </c>
      <c r="DY59" s="7">
        <f t="shared" si="213"/>
        <v>164744444014.17923</v>
      </c>
      <c r="DZ59" s="13">
        <f t="shared" si="214"/>
        <v>1285.3553591825589</v>
      </c>
      <c r="EA59" s="763">
        <f t="shared" si="215"/>
        <v>1546.6446408174411</v>
      </c>
      <c r="EB59" s="164">
        <f t="shared" si="81"/>
        <v>128170348.25213701</v>
      </c>
      <c r="EC59" s="164">
        <f t="shared" si="82"/>
        <v>106517321.21679069</v>
      </c>
      <c r="ED59" s="1136">
        <f t="shared" si="216"/>
        <v>736263549871.31189</v>
      </c>
      <c r="EE59" s="1136">
        <f t="shared" si="217"/>
        <v>188083751807.79175</v>
      </c>
      <c r="EF59" s="763">
        <f t="shared" si="218"/>
        <v>118604.28108705385</v>
      </c>
      <c r="EG59" s="7">
        <f t="shared" si="219"/>
        <v>145767814837.80017</v>
      </c>
      <c r="EH59" s="13">
        <f t="shared" si="220"/>
        <v>1389.8152699588293</v>
      </c>
      <c r="EI59" s="763">
        <f t="shared" si="221"/>
        <v>1442.1847300411707</v>
      </c>
      <c r="EJ59" s="164">
        <f t="shared" si="83"/>
        <v>104882870.39911303</v>
      </c>
      <c r="EK59" s="164">
        <f t="shared" si="84"/>
        <v>101074301.92638281</v>
      </c>
      <c r="EL59" s="1136">
        <f t="shared" si="85"/>
        <v>319634187782.78741</v>
      </c>
      <c r="EM59" s="1136">
        <f t="shared" si="86"/>
        <v>188083751807.79175</v>
      </c>
      <c r="EN59" s="164"/>
      <c r="EO59" s="1113" t="s">
        <v>2217</v>
      </c>
      <c r="EP59" s="1114">
        <v>114242.965085708</v>
      </c>
      <c r="EQ59" s="1114">
        <v>135197688550.533</v>
      </c>
      <c r="ER59" s="1115">
        <v>1448.02698553709</v>
      </c>
      <c r="ES59" s="1115">
        <v>1383.97301446291</v>
      </c>
      <c r="ET59" s="1114">
        <v>93366829.417468905</v>
      </c>
      <c r="EU59" s="1114">
        <v>97688095.893257305</v>
      </c>
      <c r="EV59" s="1114">
        <v>111319506738.52499</v>
      </c>
      <c r="EW59" s="1114">
        <v>33108285582.6138</v>
      </c>
      <c r="EX59" s="1114">
        <v>114242.965085708</v>
      </c>
      <c r="EY59" s="1114">
        <v>135197688550.533</v>
      </c>
      <c r="EZ59" s="1115">
        <v>1448.02698553709</v>
      </c>
      <c r="FA59" s="1115">
        <v>1383.97301446291</v>
      </c>
      <c r="FB59" s="1114">
        <v>93366829.417468905</v>
      </c>
      <c r="FC59" s="1114">
        <v>97688095.893257305</v>
      </c>
      <c r="FD59" s="1114">
        <v>111319506738.52499</v>
      </c>
      <c r="FE59" s="1114">
        <v>33108285582.6138</v>
      </c>
      <c r="FF59" s="1114">
        <v>114242.965085708</v>
      </c>
      <c r="FG59" s="1114">
        <v>135197688550.533</v>
      </c>
      <c r="FH59" s="1115">
        <v>1448.02698553709</v>
      </c>
      <c r="FI59" s="1115">
        <v>1383.97301446291</v>
      </c>
      <c r="FJ59" s="1114">
        <v>93366829.417468905</v>
      </c>
      <c r="FK59" s="1114">
        <v>97688095.893257305</v>
      </c>
      <c r="FL59" s="1114">
        <v>111319506738.52499</v>
      </c>
      <c r="FM59" s="1114">
        <v>33108285582.6138</v>
      </c>
      <c r="FN59" s="1114">
        <v>362154.65161772299</v>
      </c>
      <c r="FO59" s="1114">
        <v>329953970555.92297</v>
      </c>
      <c r="FP59" s="1115">
        <v>372.58601623836103</v>
      </c>
      <c r="FQ59" s="1115">
        <v>2459.4139837616399</v>
      </c>
      <c r="FR59" s="1114">
        <v>885577977.09948301</v>
      </c>
      <c r="FS59" s="1114">
        <v>134159589.534115</v>
      </c>
      <c r="FT59" s="1114">
        <v>736263549871.31299</v>
      </c>
      <c r="FU59" s="1114">
        <v>188083751807.79199</v>
      </c>
      <c r="FV59" s="1114">
        <v>196880.19392971299</v>
      </c>
      <c r="FW59" s="1114">
        <v>254127440236.13699</v>
      </c>
      <c r="FX59" s="1115">
        <v>788.61420290703995</v>
      </c>
      <c r="FY59" s="1115">
        <v>2043.38579709296</v>
      </c>
      <c r="FZ59" s="1114">
        <v>322245578.76253802</v>
      </c>
      <c r="GA59" s="1114">
        <v>124365864.04665899</v>
      </c>
      <c r="GB59" s="1114">
        <v>319634187782.78802</v>
      </c>
      <c r="GC59" s="1114">
        <v>188083751807.79199</v>
      </c>
      <c r="GD59" s="1114">
        <v>127326.913089746</v>
      </c>
      <c r="GE59" s="1114">
        <v>164744444014.17899</v>
      </c>
      <c r="GF59" s="1115">
        <v>1285.3553591825601</v>
      </c>
      <c r="GG59" s="1115">
        <v>1546.6446408174399</v>
      </c>
      <c r="GH59" s="1114">
        <v>128170348.25213701</v>
      </c>
      <c r="GI59" s="1114">
        <v>106517321.216791</v>
      </c>
      <c r="GJ59" s="1114">
        <v>736263549871.31299</v>
      </c>
      <c r="GK59" s="1114">
        <v>188083751807.79199</v>
      </c>
      <c r="GL59" s="1114">
        <v>118604.281087054</v>
      </c>
      <c r="GM59" s="1114">
        <v>145767814837.79999</v>
      </c>
      <c r="GN59" s="1115">
        <v>1389.81526995883</v>
      </c>
      <c r="GO59" s="1115">
        <v>1442.18473004117</v>
      </c>
      <c r="GP59" s="1114">
        <v>104882870.399113</v>
      </c>
      <c r="GQ59" s="1114">
        <v>101074301.926383</v>
      </c>
      <c r="GR59" s="1114">
        <v>319634187782.78802</v>
      </c>
      <c r="GS59" s="1114">
        <v>188083751807.79199</v>
      </c>
      <c r="GU59" s="1171">
        <f t="shared" si="222"/>
        <v>-1.7462298274040222E-10</v>
      </c>
      <c r="GV59" s="1171">
        <f t="shared" si="223"/>
        <v>1.220703125E-4</v>
      </c>
      <c r="GW59" s="1171">
        <f t="shared" si="224"/>
        <v>0</v>
      </c>
      <c r="GX59" s="1171">
        <f t="shared" si="225"/>
        <v>0</v>
      </c>
      <c r="GY59" s="1171">
        <f t="shared" si="226"/>
        <v>0</v>
      </c>
      <c r="GZ59" s="1171">
        <f t="shared" si="227"/>
        <v>0</v>
      </c>
      <c r="HA59" s="1171">
        <f t="shared" si="235"/>
        <v>1.8310546875E-4</v>
      </c>
      <c r="HB59" s="1171">
        <f t="shared" si="228"/>
        <v>0</v>
      </c>
      <c r="HC59" s="1171">
        <f t="shared" si="229"/>
        <v>-1.7462298274040222E-10</v>
      </c>
      <c r="HD59" s="1171">
        <f t="shared" si="230"/>
        <v>1.220703125E-4</v>
      </c>
      <c r="HE59" s="1171">
        <f t="shared" si="231"/>
        <v>0</v>
      </c>
      <c r="HF59" s="1171">
        <f t="shared" si="232"/>
        <v>0</v>
      </c>
      <c r="HG59" s="1171">
        <f t="shared" si="89"/>
        <v>0</v>
      </c>
      <c r="HH59" s="1171">
        <f t="shared" si="90"/>
        <v>0</v>
      </c>
      <c r="HI59" s="1171">
        <f t="shared" si="91"/>
        <v>1.8310546875E-4</v>
      </c>
      <c r="HJ59" s="1171">
        <f t="shared" si="92"/>
        <v>0</v>
      </c>
      <c r="HK59" s="1171">
        <f t="shared" si="93"/>
        <v>-1.7462298274040222E-10</v>
      </c>
      <c r="HL59" s="1171">
        <f t="shared" si="94"/>
        <v>1.220703125E-4</v>
      </c>
      <c r="HM59" s="1171">
        <f t="shared" si="95"/>
        <v>0</v>
      </c>
      <c r="HN59" s="1171">
        <f t="shared" si="96"/>
        <v>0</v>
      </c>
      <c r="HO59" s="1171">
        <f t="shared" si="97"/>
        <v>0</v>
      </c>
      <c r="HP59" s="1171">
        <f t="shared" si="98"/>
        <v>0</v>
      </c>
      <c r="HQ59" s="1171">
        <f t="shared" si="99"/>
        <v>1.8310546875E-4</v>
      </c>
      <c r="HR59" s="1171">
        <f t="shared" si="100"/>
        <v>0</v>
      </c>
      <c r="HS59" s="1171">
        <f t="shared" si="101"/>
        <v>-5.8207660913467407E-10</v>
      </c>
      <c r="HT59" s="1171">
        <f t="shared" si="102"/>
        <v>0</v>
      </c>
      <c r="HU59" s="1171">
        <f t="shared" si="103"/>
        <v>4.5474735088646412E-13</v>
      </c>
      <c r="HV59" s="1171">
        <f t="shared" si="104"/>
        <v>0</v>
      </c>
      <c r="HW59" s="1171">
        <f t="shared" si="105"/>
        <v>-9.5367431640625E-7</v>
      </c>
      <c r="HX59" s="1171">
        <f t="shared" si="106"/>
        <v>-4.4703483581542969E-7</v>
      </c>
      <c r="HY59" s="1171">
        <f t="shared" si="107"/>
        <v>-1.0986328125E-3</v>
      </c>
      <c r="HZ59" s="1171">
        <f t="shared" si="108"/>
        <v>-2.44140625E-4</v>
      </c>
      <c r="IA59" s="1171">
        <f t="shared" si="109"/>
        <v>-2.9103830456733704E-10</v>
      </c>
      <c r="IB59" s="1171">
        <f t="shared" si="110"/>
        <v>-3.35693359375E-4</v>
      </c>
      <c r="IC59" s="1171">
        <f t="shared" si="111"/>
        <v>0</v>
      </c>
      <c r="ID59" s="1171">
        <f t="shared" si="112"/>
        <v>0</v>
      </c>
      <c r="IE59" s="1171">
        <f t="shared" si="113"/>
        <v>0</v>
      </c>
      <c r="IF59" s="1171">
        <f t="shared" si="114"/>
        <v>-1.1920928955078125E-7</v>
      </c>
      <c r="IG59" s="1171">
        <f t="shared" si="115"/>
        <v>-6.103515625E-4</v>
      </c>
      <c r="IH59" s="1171">
        <f t="shared" si="116"/>
        <v>-2.44140625E-4</v>
      </c>
      <c r="II59" s="1171">
        <f t="shared" si="117"/>
        <v>0</v>
      </c>
      <c r="IJ59" s="1171">
        <f t="shared" si="118"/>
        <v>2.44140625E-4</v>
      </c>
      <c r="IK59" s="1171">
        <f t="shared" si="119"/>
        <v>0</v>
      </c>
      <c r="IL59" s="1171">
        <f t="shared" si="120"/>
        <v>0</v>
      </c>
      <c r="IM59" s="1171">
        <f t="shared" si="121"/>
        <v>0</v>
      </c>
      <c r="IN59" s="1171">
        <f t="shared" si="122"/>
        <v>-3.1292438507080078E-7</v>
      </c>
      <c r="IO59" s="1171">
        <f t="shared" si="123"/>
        <v>-1.0986328125E-3</v>
      </c>
      <c r="IP59" s="1171">
        <f t="shared" si="124"/>
        <v>-2.44140625E-4</v>
      </c>
      <c r="IQ59" s="1171">
        <f t="shared" si="125"/>
        <v>-1.4551915228366852E-10</v>
      </c>
      <c r="IR59" s="1171">
        <f t="shared" si="126"/>
        <v>0</v>
      </c>
      <c r="IS59" s="1171">
        <f t="shared" si="127"/>
        <v>0</v>
      </c>
      <c r="IT59" s="1171">
        <f t="shared" si="128"/>
        <v>0</v>
      </c>
      <c r="IU59" s="1171">
        <f t="shared" si="129"/>
        <v>0</v>
      </c>
      <c r="IV59" s="1171">
        <f t="shared" si="130"/>
        <v>-1.9371509552001953E-7</v>
      </c>
      <c r="IW59" s="1171">
        <f t="shared" si="131"/>
        <v>-6.103515625E-4</v>
      </c>
      <c r="IX59" s="1171">
        <f t="shared" si="132"/>
        <v>-2.44140625E-4</v>
      </c>
    </row>
    <row r="60" spans="1:258">
      <c r="B60" s="136" t="str">
        <f t="shared" ref="B60" si="259">LEFT(B58,3)+1&amp;"j"</f>
        <v>129j</v>
      </c>
      <c r="C60">
        <v>128.37</v>
      </c>
      <c r="D60" s="136">
        <v>0</v>
      </c>
      <c r="E60" t="s">
        <v>2102</v>
      </c>
      <c r="F60" s="26">
        <v>2</v>
      </c>
      <c r="G60" s="136">
        <v>500</v>
      </c>
      <c r="H60" s="136">
        <v>22</v>
      </c>
      <c r="I60" s="28">
        <v>250</v>
      </c>
      <c r="J60" s="26">
        <v>1940</v>
      </c>
      <c r="K60" s="136">
        <v>10</v>
      </c>
      <c r="L60" s="28">
        <v>120</v>
      </c>
      <c r="M60" s="26">
        <v>2800</v>
      </c>
      <c r="N60" s="28">
        <v>12</v>
      </c>
      <c r="O60" s="26">
        <v>0</v>
      </c>
      <c r="P60" s="26">
        <v>290</v>
      </c>
      <c r="Q60" s="26">
        <f>+Section!L121</f>
        <v>5500</v>
      </c>
      <c r="R60" s="169">
        <v>0</v>
      </c>
      <c r="S60" s="210">
        <v>0</v>
      </c>
      <c r="T60" s="27">
        <v>1200</v>
      </c>
      <c r="U60" s="27">
        <v>2400</v>
      </c>
      <c r="V60" s="28">
        <v>3800</v>
      </c>
      <c r="W60" s="210">
        <v>19</v>
      </c>
      <c r="X60" s="210">
        <v>200</v>
      </c>
      <c r="Y60" s="169">
        <v>50</v>
      </c>
      <c r="Z60" s="210">
        <v>16</v>
      </c>
      <c r="AA60" s="210">
        <v>200</v>
      </c>
      <c r="AB60" s="28">
        <v>40</v>
      </c>
      <c r="AC60" s="210">
        <v>0</v>
      </c>
      <c r="AD60" s="26">
        <v>2</v>
      </c>
      <c r="AE60" s="169">
        <v>160</v>
      </c>
      <c r="AF60" s="169">
        <v>16</v>
      </c>
      <c r="AG60" s="26">
        <v>0</v>
      </c>
      <c r="AH60" s="169">
        <v>0</v>
      </c>
      <c r="AI60" s="169">
        <v>0</v>
      </c>
      <c r="AJ60" s="397">
        <v>2</v>
      </c>
      <c r="AK60" s="210">
        <v>2500</v>
      </c>
      <c r="AL60" s="210">
        <v>5000</v>
      </c>
      <c r="AM60" s="210" t="s">
        <v>2316</v>
      </c>
      <c r="AN60" s="210">
        <v>2342</v>
      </c>
      <c r="AO60" s="1143" t="s">
        <v>2321</v>
      </c>
      <c r="AP60" s="1143" t="s">
        <v>2321</v>
      </c>
      <c r="AQ60" s="136">
        <v>150</v>
      </c>
      <c r="AR60" s="136">
        <v>14</v>
      </c>
      <c r="AS60" s="1143" t="s">
        <v>2448</v>
      </c>
      <c r="AT60" s="136">
        <v>120</v>
      </c>
      <c r="AU60" s="136">
        <v>12</v>
      </c>
      <c r="AZ60" s="1108">
        <v>8</v>
      </c>
      <c r="BA60" s="1108">
        <v>6</v>
      </c>
      <c r="BC60" s="1168"/>
      <c r="BD60" s="210">
        <f>INDEX(Spec!$B$12:$P$58,MATCH(AO60,Spec!$A$12:$A$58,0),6)*100</f>
        <v>1900</v>
      </c>
      <c r="BE60" s="210">
        <f>INDEX(Spec!$B$12:$P$58,MATCH(AP60,Spec!$A$12:$A$58,0),6)*100</f>
        <v>1900</v>
      </c>
      <c r="BF60" s="881">
        <f t="shared" si="161"/>
        <v>0.72038683510107826</v>
      </c>
      <c r="BG60" s="881">
        <f t="shared" si="162"/>
        <v>47.243485714285718</v>
      </c>
      <c r="BH60" s="881"/>
      <c r="BI60" s="13" cm="1">
        <f t="array" ref="BI60">INDEX(Info!$AD$4:$AH$15,MATCH(Info!$I$13,Info!$AC$4:$AC$15,0),IF(H60&lt;=16,1,IF(H60&lt;=40,2,IF(H60&lt;=75,3,IF(H60&lt;=100,4,5)))))</f>
        <v>380</v>
      </c>
      <c r="BJ60" s="13" cm="1">
        <f t="array" ref="BJ60">INDEX(Info!$AD$4:$AH$15,MATCH(Info!$I$13,Info!$AC$4:$AC$15,0),IF(K60&lt;=16,1,IF(K60&lt;=40,2,IF(K60&lt;=75,3,IF(K60&lt;=100,4,5)))))</f>
        <v>380</v>
      </c>
      <c r="BK60" s="13" cm="1">
        <f t="array" ref="BK60">INDEX(Info!$AD$4:$AH$15,MATCH(Info!$I$14,Info!$AC$4:$AC$15,0),IF(N60&lt;=16,1,IF(N60&lt;=40,2,IF(N60&lt;=75,3,IF(N60&lt;=100,4,5)))))</f>
        <v>355</v>
      </c>
      <c r="BL60" s="13">
        <f>IF(Stress!C889="Positive",MAX(MIN(0.7*BI60,BK60),0.5*BI60),MAX(MIN(0.7*BJ60,BK60),0.5*BJ60))</f>
        <v>266</v>
      </c>
      <c r="BM60" s="13" cm="1">
        <f t="array" ref="BM60">INDEX(Info!$AD$4:$AH$15,MATCH(Info!$I$13,Info!$AC$4:$AC$15,0),IF(AI60&lt;=16,1,IF(AI60&lt;=40,2,IF(AI60&lt;=75,3,IF(AI60&lt;=100,4,5)))))</f>
        <v>380</v>
      </c>
      <c r="BN60" s="13" cm="1">
        <f t="array" ref="BN60">INDEX(Info!$AD$4:$AH$15,MATCH(Info!$I$13,Info!$AC$4:$AC$15,0),IF(AF60&lt;=16,1,IF(AF60&lt;=40,2,IF(AF60&lt;=75,3,IF(AF60&lt;=100,4,5)))))</f>
        <v>380</v>
      </c>
      <c r="BO60" s="13"/>
      <c r="BP60" s="13">
        <f t="shared" si="163"/>
        <v>0.125</v>
      </c>
      <c r="BQ60" s="13">
        <f t="shared" si="164"/>
        <v>2821.7902119044925</v>
      </c>
      <c r="BR60" s="13">
        <f t="shared" si="165"/>
        <v>3100</v>
      </c>
      <c r="BS60" s="13"/>
      <c r="BT60" s="136">
        <f t="shared" si="166"/>
        <v>0</v>
      </c>
      <c r="BU60" s="136">
        <f t="shared" si="167"/>
        <v>0</v>
      </c>
      <c r="BV60" s="136">
        <f t="shared" si="168"/>
        <v>1595000</v>
      </c>
      <c r="BW60" s="136">
        <f t="shared" si="169"/>
        <v>11178291666.666666</v>
      </c>
      <c r="BX60" s="136">
        <f t="shared" si="170"/>
        <v>0</v>
      </c>
      <c r="BY60" s="136">
        <f t="shared" si="171"/>
        <v>0</v>
      </c>
      <c r="BZ60" s="136">
        <f t="shared" si="172"/>
        <v>7655.2758986349281</v>
      </c>
      <c r="CA60" s="136">
        <f t="shared" si="173"/>
        <v>172722.16246295057</v>
      </c>
      <c r="CB60" s="136">
        <f t="shared" si="174"/>
        <v>5428.6721054031623</v>
      </c>
      <c r="CC60" s="136">
        <f t="shared" si="175"/>
        <v>86858.753686450596</v>
      </c>
      <c r="CE60" s="1137">
        <f t="shared" si="176"/>
        <v>346081987.77679139</v>
      </c>
      <c r="CF60" s="1136">
        <f t="shared" si="177"/>
        <v>411131448.88888884</v>
      </c>
      <c r="CG60" s="1136">
        <f t="shared" si="178"/>
        <v>0</v>
      </c>
      <c r="CH60" s="172">
        <f t="shared" si="179"/>
        <v>4020729166666.6665</v>
      </c>
      <c r="CJ60" s="136">
        <f t="shared" si="180"/>
        <v>114242.96508570782</v>
      </c>
      <c r="CK60" s="7">
        <f t="shared" si="181"/>
        <v>135197688550.53313</v>
      </c>
      <c r="CL60" s="6">
        <f t="shared" si="182"/>
        <v>1448.02698553709</v>
      </c>
      <c r="CM60" s="6">
        <f t="shared" si="183"/>
        <v>1383.97301446291</v>
      </c>
      <c r="CN60" s="164">
        <f t="shared" si="73"/>
        <v>93366829.417468861</v>
      </c>
      <c r="CO60" s="164">
        <f t="shared" si="74"/>
        <v>97688095.893257305</v>
      </c>
      <c r="CP60" s="1137">
        <f t="shared" si="184"/>
        <v>111319506738.52518</v>
      </c>
      <c r="CQ60" s="1136">
        <f t="shared" si="185"/>
        <v>33108285582.613773</v>
      </c>
      <c r="CR60" s="22">
        <f t="shared" si="186"/>
        <v>114242.96508570782</v>
      </c>
      <c r="CS60" s="7">
        <f t="shared" si="187"/>
        <v>135197688550.53313</v>
      </c>
      <c r="CT60" s="6">
        <f t="shared" si="188"/>
        <v>1448.02698553709</v>
      </c>
      <c r="CU60" s="12">
        <f t="shared" si="189"/>
        <v>1383.97301446291</v>
      </c>
      <c r="CV60" s="164">
        <f t="shared" si="190"/>
        <v>93366829.417468861</v>
      </c>
      <c r="CW60" s="164">
        <f t="shared" si="191"/>
        <v>97688095.893257305</v>
      </c>
      <c r="CX60" s="1136">
        <f t="shared" si="192"/>
        <v>111319506738.52518</v>
      </c>
      <c r="CY60" s="1136">
        <f t="shared" si="193"/>
        <v>33108285582.613773</v>
      </c>
      <c r="CZ60" s="22">
        <f t="shared" si="194"/>
        <v>114242.96508570782</v>
      </c>
      <c r="DA60" s="7">
        <f t="shared" si="195"/>
        <v>135197688550.53313</v>
      </c>
      <c r="DB60" s="6">
        <f t="shared" si="196"/>
        <v>1448.02698553709</v>
      </c>
      <c r="DC60" s="12">
        <f t="shared" si="197"/>
        <v>1383.97301446291</v>
      </c>
      <c r="DD60" s="164">
        <f t="shared" si="75"/>
        <v>93366829.417468861</v>
      </c>
      <c r="DE60" s="164">
        <f t="shared" si="76"/>
        <v>97688095.893257305</v>
      </c>
      <c r="DF60" s="1136">
        <f t="shared" si="198"/>
        <v>111319506738.52518</v>
      </c>
      <c r="DG60" s="1136">
        <f t="shared" si="199"/>
        <v>33108285582.613773</v>
      </c>
      <c r="DH60" s="22">
        <f t="shared" si="200"/>
        <v>362154.65161772241</v>
      </c>
      <c r="DI60" s="172">
        <f t="shared" si="201"/>
        <v>329953970555.92291</v>
      </c>
      <c r="DJ60" s="12">
        <f t="shared" si="202"/>
        <v>372.58601623836148</v>
      </c>
      <c r="DK60" s="22">
        <f t="shared" si="203"/>
        <v>2459.4139837616385</v>
      </c>
      <c r="DL60" s="164">
        <f t="shared" si="77"/>
        <v>885577977.09948206</v>
      </c>
      <c r="DM60" s="164">
        <f t="shared" si="78"/>
        <v>134159589.53411455</v>
      </c>
      <c r="DN60" s="7">
        <f t="shared" si="204"/>
        <v>736263549871.31189</v>
      </c>
      <c r="DO60" s="1136">
        <f t="shared" si="205"/>
        <v>188083751807.79175</v>
      </c>
      <c r="DP60" s="22">
        <f t="shared" si="206"/>
        <v>196880.1939297127</v>
      </c>
      <c r="DQ60" s="172">
        <f t="shared" si="207"/>
        <v>254127440236.13666</v>
      </c>
      <c r="DR60" s="22">
        <f t="shared" si="208"/>
        <v>788.61420290704064</v>
      </c>
      <c r="DS60" s="22">
        <f t="shared" si="209"/>
        <v>2043.3857970929594</v>
      </c>
      <c r="DT60" s="164">
        <f t="shared" si="79"/>
        <v>322245578.76253772</v>
      </c>
      <c r="DU60" s="164">
        <f t="shared" si="80"/>
        <v>124365864.04665887</v>
      </c>
      <c r="DV60" s="1136">
        <f t="shared" si="210"/>
        <v>319634187782.78741</v>
      </c>
      <c r="DW60" s="1136">
        <f t="shared" si="211"/>
        <v>188083751807.79175</v>
      </c>
      <c r="DX60" s="763">
        <f t="shared" si="212"/>
        <v>127326.91308974591</v>
      </c>
      <c r="DY60" s="7">
        <f t="shared" si="213"/>
        <v>164744444014.17923</v>
      </c>
      <c r="DZ60" s="13">
        <f t="shared" si="214"/>
        <v>1285.3553591825589</v>
      </c>
      <c r="EA60" s="763">
        <f t="shared" si="215"/>
        <v>1546.6446408174411</v>
      </c>
      <c r="EB60" s="164">
        <f t="shared" si="81"/>
        <v>128170348.25213701</v>
      </c>
      <c r="EC60" s="164">
        <f t="shared" si="82"/>
        <v>106517321.21679069</v>
      </c>
      <c r="ED60" s="1136">
        <f t="shared" si="216"/>
        <v>736263549871.31189</v>
      </c>
      <c r="EE60" s="1136">
        <f t="shared" si="217"/>
        <v>188083751807.79175</v>
      </c>
      <c r="EF60" s="763">
        <f t="shared" si="218"/>
        <v>118604.28108705385</v>
      </c>
      <c r="EG60" s="7">
        <f t="shared" si="219"/>
        <v>145767814837.80017</v>
      </c>
      <c r="EH60" s="13">
        <f t="shared" si="220"/>
        <v>1389.8152699588293</v>
      </c>
      <c r="EI60" s="763">
        <f t="shared" si="221"/>
        <v>1442.1847300411707</v>
      </c>
      <c r="EJ60" s="164">
        <f t="shared" si="83"/>
        <v>104882870.39911303</v>
      </c>
      <c r="EK60" s="164">
        <f t="shared" si="84"/>
        <v>101074301.92638281</v>
      </c>
      <c r="EL60" s="1136">
        <f t="shared" si="85"/>
        <v>319634187782.78741</v>
      </c>
      <c r="EM60" s="1136">
        <f t="shared" si="86"/>
        <v>188083751807.79175</v>
      </c>
      <c r="EN60" s="164"/>
      <c r="EO60" s="1113" t="s">
        <v>2218</v>
      </c>
      <c r="EP60" s="1114">
        <v>114242.965085708</v>
      </c>
      <c r="EQ60" s="1114">
        <v>135197688550.533</v>
      </c>
      <c r="ER60" s="1115">
        <v>1448.02698553709</v>
      </c>
      <c r="ES60" s="1115">
        <v>1383.97301446291</v>
      </c>
      <c r="ET60" s="1114">
        <v>93366829.417468905</v>
      </c>
      <c r="EU60" s="1114">
        <v>97688095.893257305</v>
      </c>
      <c r="EV60" s="1114">
        <v>111319506738.52499</v>
      </c>
      <c r="EW60" s="1114">
        <v>33108285582.6138</v>
      </c>
      <c r="EX60" s="1114">
        <v>114242.965085708</v>
      </c>
      <c r="EY60" s="1114">
        <v>135197688550.533</v>
      </c>
      <c r="EZ60" s="1115">
        <v>1448.02698553709</v>
      </c>
      <c r="FA60" s="1115">
        <v>1383.97301446291</v>
      </c>
      <c r="FB60" s="1114">
        <v>93366829.417468905</v>
      </c>
      <c r="FC60" s="1114">
        <v>97688095.893257305</v>
      </c>
      <c r="FD60" s="1114">
        <v>111319506738.52499</v>
      </c>
      <c r="FE60" s="1114">
        <v>33108285582.6138</v>
      </c>
      <c r="FF60" s="1114">
        <v>114242.965085708</v>
      </c>
      <c r="FG60" s="1114">
        <v>135197688550.533</v>
      </c>
      <c r="FH60" s="1115">
        <v>1448.02698553709</v>
      </c>
      <c r="FI60" s="1115">
        <v>1383.97301446291</v>
      </c>
      <c r="FJ60" s="1114">
        <v>93366829.417468905</v>
      </c>
      <c r="FK60" s="1114">
        <v>97688095.893257305</v>
      </c>
      <c r="FL60" s="1114">
        <v>111319506738.52499</v>
      </c>
      <c r="FM60" s="1114">
        <v>33108285582.6138</v>
      </c>
      <c r="FN60" s="1114">
        <v>362154.65161772299</v>
      </c>
      <c r="FO60" s="1114">
        <v>329953970555.92297</v>
      </c>
      <c r="FP60" s="1115">
        <v>372.58601623836103</v>
      </c>
      <c r="FQ60" s="1115">
        <v>2459.4139837616399</v>
      </c>
      <c r="FR60" s="1114">
        <v>885577977.09948301</v>
      </c>
      <c r="FS60" s="1114">
        <v>134159589.534115</v>
      </c>
      <c r="FT60" s="1114">
        <v>736263549871.31299</v>
      </c>
      <c r="FU60" s="1114">
        <v>188083751807.79199</v>
      </c>
      <c r="FV60" s="1114">
        <v>196880.19392971299</v>
      </c>
      <c r="FW60" s="1114">
        <v>254127440236.13699</v>
      </c>
      <c r="FX60" s="1115">
        <v>788.61420290703995</v>
      </c>
      <c r="FY60" s="1115">
        <v>2043.38579709296</v>
      </c>
      <c r="FZ60" s="1114">
        <v>322245578.76253802</v>
      </c>
      <c r="GA60" s="1114">
        <v>124365864.04665899</v>
      </c>
      <c r="GB60" s="1114">
        <v>319634187782.78802</v>
      </c>
      <c r="GC60" s="1114">
        <v>188083751807.79199</v>
      </c>
      <c r="GD60" s="1114">
        <v>127326.913089746</v>
      </c>
      <c r="GE60" s="1114">
        <v>164744444014.17899</v>
      </c>
      <c r="GF60" s="1115">
        <v>1285.3553591825601</v>
      </c>
      <c r="GG60" s="1115">
        <v>1546.6446408174399</v>
      </c>
      <c r="GH60" s="1114">
        <v>128170348.25213701</v>
      </c>
      <c r="GI60" s="1114">
        <v>106517321.216791</v>
      </c>
      <c r="GJ60" s="1114">
        <v>736263549871.31299</v>
      </c>
      <c r="GK60" s="1114">
        <v>188083751807.79199</v>
      </c>
      <c r="GL60" s="1114">
        <v>118604.281087054</v>
      </c>
      <c r="GM60" s="1114">
        <v>145767814837.79999</v>
      </c>
      <c r="GN60" s="1115">
        <v>1389.81526995883</v>
      </c>
      <c r="GO60" s="1115">
        <v>1442.18473004117</v>
      </c>
      <c r="GP60" s="1114">
        <v>104882870.399113</v>
      </c>
      <c r="GQ60" s="1114">
        <v>101074301.926383</v>
      </c>
      <c r="GR60" s="1114">
        <v>319634187782.78802</v>
      </c>
      <c r="GS60" s="1114">
        <v>188083751807.79199</v>
      </c>
      <c r="GU60" s="1171">
        <f t="shared" si="222"/>
        <v>-1.7462298274040222E-10</v>
      </c>
      <c r="GV60" s="1171">
        <f t="shared" si="223"/>
        <v>1.220703125E-4</v>
      </c>
      <c r="GW60" s="1171">
        <f t="shared" si="224"/>
        <v>0</v>
      </c>
      <c r="GX60" s="1171">
        <f t="shared" si="225"/>
        <v>0</v>
      </c>
      <c r="GY60" s="1171">
        <f t="shared" si="226"/>
        <v>0</v>
      </c>
      <c r="GZ60" s="1171">
        <f t="shared" si="227"/>
        <v>0</v>
      </c>
      <c r="HA60" s="1171">
        <f t="shared" si="235"/>
        <v>1.8310546875E-4</v>
      </c>
      <c r="HB60" s="1171">
        <f t="shared" si="228"/>
        <v>0</v>
      </c>
      <c r="HC60" s="1171">
        <f t="shared" si="229"/>
        <v>-1.7462298274040222E-10</v>
      </c>
      <c r="HD60" s="1171">
        <f t="shared" si="230"/>
        <v>1.220703125E-4</v>
      </c>
      <c r="HE60" s="1171">
        <f t="shared" si="231"/>
        <v>0</v>
      </c>
      <c r="HF60" s="1171">
        <f t="shared" si="232"/>
        <v>0</v>
      </c>
      <c r="HG60" s="1171">
        <f t="shared" si="89"/>
        <v>0</v>
      </c>
      <c r="HH60" s="1171">
        <f t="shared" si="90"/>
        <v>0</v>
      </c>
      <c r="HI60" s="1171">
        <f t="shared" si="91"/>
        <v>1.8310546875E-4</v>
      </c>
      <c r="HJ60" s="1171">
        <f t="shared" si="92"/>
        <v>0</v>
      </c>
      <c r="HK60" s="1171">
        <f t="shared" si="93"/>
        <v>-1.7462298274040222E-10</v>
      </c>
      <c r="HL60" s="1171">
        <f t="shared" si="94"/>
        <v>1.220703125E-4</v>
      </c>
      <c r="HM60" s="1171">
        <f t="shared" si="95"/>
        <v>0</v>
      </c>
      <c r="HN60" s="1171">
        <f t="shared" si="96"/>
        <v>0</v>
      </c>
      <c r="HO60" s="1171">
        <f t="shared" si="97"/>
        <v>0</v>
      </c>
      <c r="HP60" s="1171">
        <f t="shared" si="98"/>
        <v>0</v>
      </c>
      <c r="HQ60" s="1171">
        <f t="shared" si="99"/>
        <v>1.8310546875E-4</v>
      </c>
      <c r="HR60" s="1171">
        <f t="shared" si="100"/>
        <v>0</v>
      </c>
      <c r="HS60" s="1171">
        <f t="shared" si="101"/>
        <v>-5.8207660913467407E-10</v>
      </c>
      <c r="HT60" s="1171">
        <f t="shared" si="102"/>
        <v>0</v>
      </c>
      <c r="HU60" s="1171">
        <f t="shared" si="103"/>
        <v>4.5474735088646412E-13</v>
      </c>
      <c r="HV60" s="1171">
        <f t="shared" si="104"/>
        <v>0</v>
      </c>
      <c r="HW60" s="1171">
        <f t="shared" si="105"/>
        <v>-9.5367431640625E-7</v>
      </c>
      <c r="HX60" s="1171">
        <f t="shared" si="106"/>
        <v>-4.4703483581542969E-7</v>
      </c>
      <c r="HY60" s="1171">
        <f t="shared" si="107"/>
        <v>-1.0986328125E-3</v>
      </c>
      <c r="HZ60" s="1171">
        <f t="shared" si="108"/>
        <v>-2.44140625E-4</v>
      </c>
      <c r="IA60" s="1171">
        <f t="shared" si="109"/>
        <v>-2.9103830456733704E-10</v>
      </c>
      <c r="IB60" s="1171">
        <f t="shared" si="110"/>
        <v>-3.35693359375E-4</v>
      </c>
      <c r="IC60" s="1171">
        <f t="shared" si="111"/>
        <v>0</v>
      </c>
      <c r="ID60" s="1171">
        <f t="shared" si="112"/>
        <v>0</v>
      </c>
      <c r="IE60" s="1171">
        <f t="shared" si="113"/>
        <v>0</v>
      </c>
      <c r="IF60" s="1171">
        <f t="shared" si="114"/>
        <v>-1.1920928955078125E-7</v>
      </c>
      <c r="IG60" s="1171">
        <f t="shared" si="115"/>
        <v>-6.103515625E-4</v>
      </c>
      <c r="IH60" s="1171">
        <f t="shared" si="116"/>
        <v>-2.44140625E-4</v>
      </c>
      <c r="II60" s="1171">
        <f t="shared" si="117"/>
        <v>0</v>
      </c>
      <c r="IJ60" s="1171">
        <f t="shared" si="118"/>
        <v>2.44140625E-4</v>
      </c>
      <c r="IK60" s="1171">
        <f t="shared" si="119"/>
        <v>0</v>
      </c>
      <c r="IL60" s="1171">
        <f t="shared" si="120"/>
        <v>0</v>
      </c>
      <c r="IM60" s="1171">
        <f t="shared" si="121"/>
        <v>0</v>
      </c>
      <c r="IN60" s="1171">
        <f t="shared" si="122"/>
        <v>-3.1292438507080078E-7</v>
      </c>
      <c r="IO60" s="1171">
        <f t="shared" si="123"/>
        <v>-1.0986328125E-3</v>
      </c>
      <c r="IP60" s="1171">
        <f t="shared" si="124"/>
        <v>-2.44140625E-4</v>
      </c>
      <c r="IQ60" s="1171">
        <f t="shared" si="125"/>
        <v>-1.4551915228366852E-10</v>
      </c>
      <c r="IR60" s="1171">
        <f t="shared" si="126"/>
        <v>0</v>
      </c>
      <c r="IS60" s="1171">
        <f t="shared" si="127"/>
        <v>0</v>
      </c>
      <c r="IT60" s="1171">
        <f t="shared" si="128"/>
        <v>0</v>
      </c>
      <c r="IU60" s="1171">
        <f t="shared" si="129"/>
        <v>0</v>
      </c>
      <c r="IV60" s="1171">
        <f t="shared" si="130"/>
        <v>-1.9371509552001953E-7</v>
      </c>
      <c r="IW60" s="1171">
        <f t="shared" si="131"/>
        <v>-6.103515625E-4</v>
      </c>
      <c r="IX60" s="1171">
        <f t="shared" si="132"/>
        <v>-2.44140625E-4</v>
      </c>
    </row>
    <row r="61" spans="1:258">
      <c r="A61">
        <v>130</v>
      </c>
      <c r="B61" s="136" t="str">
        <f t="shared" ref="B61" si="260">LEFT(B59,3)+1&amp;"i"</f>
        <v>130i</v>
      </c>
      <c r="C61">
        <v>128.37</v>
      </c>
      <c r="D61" s="136">
        <v>0</v>
      </c>
      <c r="E61" t="s">
        <v>2103</v>
      </c>
      <c r="F61" s="26">
        <v>2</v>
      </c>
      <c r="G61" s="136">
        <v>500</v>
      </c>
      <c r="H61" s="136">
        <v>22</v>
      </c>
      <c r="I61" s="28">
        <v>250</v>
      </c>
      <c r="J61" s="26">
        <v>1940</v>
      </c>
      <c r="K61" s="136">
        <v>10</v>
      </c>
      <c r="L61" s="28">
        <v>120</v>
      </c>
      <c r="M61" s="26">
        <v>2600</v>
      </c>
      <c r="N61" s="28">
        <v>12</v>
      </c>
      <c r="O61" s="26">
        <v>0</v>
      </c>
      <c r="P61" s="26">
        <v>290</v>
      </c>
      <c r="Q61" s="26">
        <f>+Section!L122</f>
        <v>5450</v>
      </c>
      <c r="R61" s="169">
        <v>0</v>
      </c>
      <c r="S61" s="210">
        <v>0</v>
      </c>
      <c r="T61" s="27">
        <v>1175</v>
      </c>
      <c r="U61" s="27">
        <v>2350</v>
      </c>
      <c r="V61" s="28">
        <v>3850</v>
      </c>
      <c r="W61" s="210">
        <v>19</v>
      </c>
      <c r="X61" s="210">
        <v>200</v>
      </c>
      <c r="Y61" s="169">
        <v>50</v>
      </c>
      <c r="Z61" s="210">
        <v>16</v>
      </c>
      <c r="AA61" s="210">
        <v>200</v>
      </c>
      <c r="AB61" s="28">
        <v>40</v>
      </c>
      <c r="AC61" s="210">
        <v>0</v>
      </c>
      <c r="AD61" s="26">
        <v>2</v>
      </c>
      <c r="AE61" s="169">
        <v>160</v>
      </c>
      <c r="AF61" s="169">
        <v>16</v>
      </c>
      <c r="AG61" s="26">
        <v>0</v>
      </c>
      <c r="AH61" s="169">
        <v>0</v>
      </c>
      <c r="AI61" s="169">
        <v>0</v>
      </c>
      <c r="AJ61" s="397">
        <v>2</v>
      </c>
      <c r="AK61" s="210">
        <v>2500</v>
      </c>
      <c r="AL61" s="210">
        <v>5000</v>
      </c>
      <c r="AM61" s="210" t="s">
        <v>2316</v>
      </c>
      <c r="AN61" s="210">
        <v>2342</v>
      </c>
      <c r="AO61" s="1143" t="s">
        <v>2321</v>
      </c>
      <c r="AP61" s="1143" t="s">
        <v>2321</v>
      </c>
      <c r="AQ61" s="136">
        <v>150</v>
      </c>
      <c r="AR61" s="136">
        <v>14</v>
      </c>
      <c r="AS61" s="1143" t="s">
        <v>2448</v>
      </c>
      <c r="AT61" s="136">
        <v>120</v>
      </c>
      <c r="AU61" s="136">
        <v>12</v>
      </c>
      <c r="AZ61" s="1108">
        <v>8</v>
      </c>
      <c r="BA61" s="1108">
        <v>6</v>
      </c>
      <c r="BC61" s="1168"/>
      <c r="BD61" s="210">
        <f>INDEX(Spec!$B$12:$P$58,MATCH(AO61,Spec!$A$12:$A$58,0),6)*100</f>
        <v>1900</v>
      </c>
      <c r="BE61" s="210">
        <f>INDEX(Spec!$B$12:$P$58,MATCH(AP61,Spec!$A$12:$A$58,0),6)*100</f>
        <v>1900</v>
      </c>
      <c r="BF61" s="881">
        <f t="shared" si="161"/>
        <v>0.72729528785068354</v>
      </c>
      <c r="BG61" s="881">
        <f t="shared" si="162"/>
        <v>47.243485714285718</v>
      </c>
      <c r="BH61" s="881"/>
      <c r="BI61" s="13" cm="1">
        <f t="array" ref="BI61">INDEX(Info!$AD$4:$AH$15,MATCH(Info!$I$13,Info!$AC$4:$AC$15,0),IF(H61&lt;=16,1,IF(H61&lt;=40,2,IF(H61&lt;=75,3,IF(H61&lt;=100,4,5)))))</f>
        <v>380</v>
      </c>
      <c r="BJ61" s="13" cm="1">
        <f t="array" ref="BJ61">INDEX(Info!$AD$4:$AH$15,MATCH(Info!$I$13,Info!$AC$4:$AC$15,0),IF(K61&lt;=16,1,IF(K61&lt;=40,2,IF(K61&lt;=75,3,IF(K61&lt;=100,4,5)))))</f>
        <v>380</v>
      </c>
      <c r="BK61" s="13" cm="1">
        <f t="array" ref="BK61">INDEX(Info!$AD$4:$AH$15,MATCH(Info!$I$14,Info!$AC$4:$AC$15,0),IF(N61&lt;=16,1,IF(N61&lt;=40,2,IF(N61&lt;=75,3,IF(N61&lt;=100,4,5)))))</f>
        <v>355</v>
      </c>
      <c r="BL61" s="13">
        <f>IF(Stress!C890="Positive",MAX(MIN(0.7*BI61,BK61),0.5*BI61),MAX(MIN(0.7*BJ61,BK61),0.5*BJ61))</f>
        <v>266</v>
      </c>
      <c r="BM61" s="13" cm="1">
        <f t="array" ref="BM61">INDEX(Info!$AD$4:$AH$15,MATCH(Info!$I$13,Info!$AC$4:$AC$15,0),IF(AI61&lt;=16,1,IF(AI61&lt;=40,2,IF(AI61&lt;=75,3,IF(AI61&lt;=100,4,5)))))</f>
        <v>380</v>
      </c>
      <c r="BN61" s="13" cm="1">
        <f t="array" ref="BN61">INDEX(Info!$AD$4:$AH$15,MATCH(Info!$I$13,Info!$AC$4:$AC$15,0),IF(AF61&lt;=16,1,IF(AF61&lt;=40,2,IF(AF61&lt;=75,3,IF(AF61&lt;=100,4,5)))))</f>
        <v>380</v>
      </c>
      <c r="BO61" s="13"/>
      <c r="BP61" s="13">
        <f t="shared" si="163"/>
        <v>0.125</v>
      </c>
      <c r="BQ61" s="13">
        <f t="shared" si="164"/>
        <v>2620.2337681970284</v>
      </c>
      <c r="BR61" s="13">
        <f t="shared" si="165"/>
        <v>2900</v>
      </c>
      <c r="BS61" s="13"/>
      <c r="BT61" s="136">
        <f t="shared" si="166"/>
        <v>0</v>
      </c>
      <c r="BU61" s="136">
        <f t="shared" si="167"/>
        <v>0</v>
      </c>
      <c r="BV61" s="136">
        <f t="shared" si="168"/>
        <v>1580500</v>
      </c>
      <c r="BW61" s="136">
        <f t="shared" si="169"/>
        <v>11076670833.333334</v>
      </c>
      <c r="BX61" s="136">
        <f t="shared" si="170"/>
        <v>0</v>
      </c>
      <c r="BY61" s="136">
        <f t="shared" si="171"/>
        <v>0</v>
      </c>
      <c r="BZ61" s="136">
        <f t="shared" si="172"/>
        <v>7655.2758986349281</v>
      </c>
      <c r="CA61" s="136">
        <f t="shared" si="173"/>
        <v>172722.16246295057</v>
      </c>
      <c r="CB61" s="136">
        <f t="shared" si="174"/>
        <v>5428.6721054031623</v>
      </c>
      <c r="CC61" s="136">
        <f t="shared" si="175"/>
        <v>86858.753686450596</v>
      </c>
      <c r="CE61" s="1137">
        <f t="shared" si="176"/>
        <v>277145400.95441002</v>
      </c>
      <c r="CF61" s="1136">
        <f t="shared" si="177"/>
        <v>411131448.88888884</v>
      </c>
      <c r="CG61" s="1136">
        <f t="shared" si="178"/>
        <v>0</v>
      </c>
      <c r="CH61" s="172">
        <f t="shared" si="179"/>
        <v>3912066770833.333</v>
      </c>
      <c r="CJ61" s="136">
        <f t="shared" si="180"/>
        <v>109405.61043672869</v>
      </c>
      <c r="CK61" s="7">
        <f t="shared" si="181"/>
        <v>113840993993.57278</v>
      </c>
      <c r="CL61" s="6">
        <f t="shared" si="182"/>
        <v>1346.8744099058233</v>
      </c>
      <c r="CM61" s="6">
        <f t="shared" si="183"/>
        <v>1285.1255900941767</v>
      </c>
      <c r="CN61" s="164">
        <f t="shared" si="73"/>
        <v>84522352.757101402</v>
      </c>
      <c r="CO61" s="164">
        <f t="shared" si="74"/>
        <v>88583555.468092635</v>
      </c>
      <c r="CP61" s="1137">
        <f t="shared" si="184"/>
        <v>103121874330.20694</v>
      </c>
      <c r="CQ61" s="1136">
        <f t="shared" si="185"/>
        <v>28830404581.115204</v>
      </c>
      <c r="CR61" s="22">
        <f t="shared" si="186"/>
        <v>109405.61043672869</v>
      </c>
      <c r="CS61" s="7">
        <f t="shared" si="187"/>
        <v>113840993993.57278</v>
      </c>
      <c r="CT61" s="6">
        <f t="shared" si="188"/>
        <v>1346.8744099058233</v>
      </c>
      <c r="CU61" s="12">
        <f t="shared" si="189"/>
        <v>1285.1255900941767</v>
      </c>
      <c r="CV61" s="164">
        <f t="shared" si="190"/>
        <v>84522352.757101402</v>
      </c>
      <c r="CW61" s="164">
        <f t="shared" si="191"/>
        <v>88583555.468092635</v>
      </c>
      <c r="CX61" s="1136">
        <f t="shared" si="192"/>
        <v>103121874330.20694</v>
      </c>
      <c r="CY61" s="1136">
        <f t="shared" si="193"/>
        <v>28830404581.115204</v>
      </c>
      <c r="CZ61" s="22">
        <f t="shared" si="194"/>
        <v>109405.61043672869</v>
      </c>
      <c r="DA61" s="7">
        <f t="shared" si="195"/>
        <v>113840993993.57278</v>
      </c>
      <c r="DB61" s="6">
        <f t="shared" si="196"/>
        <v>1346.8744099058233</v>
      </c>
      <c r="DC61" s="12">
        <f t="shared" si="197"/>
        <v>1285.1255900941767</v>
      </c>
      <c r="DD61" s="164">
        <f t="shared" si="75"/>
        <v>84522352.757101402</v>
      </c>
      <c r="DE61" s="164">
        <f t="shared" si="76"/>
        <v>88583555.468092635</v>
      </c>
      <c r="DF61" s="1136">
        <f t="shared" si="198"/>
        <v>103121874330.20694</v>
      </c>
      <c r="DG61" s="1136">
        <f t="shared" si="199"/>
        <v>28830404581.115204</v>
      </c>
      <c r="DH61" s="22">
        <f t="shared" si="200"/>
        <v>355063.55436390673</v>
      </c>
      <c r="DI61" s="172">
        <f t="shared" si="201"/>
        <v>279102938457.66693</v>
      </c>
      <c r="DJ61" s="12">
        <f t="shared" si="202"/>
        <v>329.91189451749597</v>
      </c>
      <c r="DK61" s="22">
        <f t="shared" si="203"/>
        <v>2302.088105482504</v>
      </c>
      <c r="DL61" s="164">
        <f t="shared" si="77"/>
        <v>845992348.55069911</v>
      </c>
      <c r="DM61" s="164">
        <f t="shared" si="78"/>
        <v>121239034.15901999</v>
      </c>
      <c r="DN61" s="7">
        <f t="shared" si="204"/>
        <v>711176464288.29077</v>
      </c>
      <c r="DO61" s="1136">
        <f t="shared" si="205"/>
        <v>166560239761.92953</v>
      </c>
      <c r="DP61" s="22">
        <f t="shared" si="206"/>
        <v>191291.59174578806</v>
      </c>
      <c r="DQ61" s="172">
        <f t="shared" si="207"/>
        <v>215599317361.93048</v>
      </c>
      <c r="DR61" s="22">
        <f t="shared" si="208"/>
        <v>717.66688772594102</v>
      </c>
      <c r="DS61" s="22">
        <f t="shared" si="209"/>
        <v>1914.333112274059</v>
      </c>
      <c r="DT61" s="164">
        <f t="shared" si="79"/>
        <v>300416977.63860393</v>
      </c>
      <c r="DU61" s="164">
        <f t="shared" si="80"/>
        <v>112623720.49022205</v>
      </c>
      <c r="DV61" s="1136">
        <f t="shared" si="210"/>
        <v>305806737649.56824</v>
      </c>
      <c r="DW61" s="1136">
        <f t="shared" si="211"/>
        <v>166560239761.92953</v>
      </c>
      <c r="DX61" s="763">
        <f t="shared" si="212"/>
        <v>122489.55844076678</v>
      </c>
      <c r="DY61" s="7">
        <f t="shared" si="213"/>
        <v>139631608579.18436</v>
      </c>
      <c r="DZ61" s="13">
        <f t="shared" si="214"/>
        <v>1188.5833585069154</v>
      </c>
      <c r="EA61" s="763">
        <f t="shared" si="215"/>
        <v>1443.4166414930846</v>
      </c>
      <c r="EB61" s="164">
        <f t="shared" si="81"/>
        <v>117477337.6892875</v>
      </c>
      <c r="EC61" s="164">
        <f t="shared" si="82"/>
        <v>96736870.398520574</v>
      </c>
      <c r="ED61" s="1136">
        <f t="shared" si="216"/>
        <v>711176464288.29077</v>
      </c>
      <c r="EE61" s="1136">
        <f t="shared" si="217"/>
        <v>166560239761.92953</v>
      </c>
      <c r="EF61" s="763">
        <f t="shared" si="218"/>
        <v>113766.92643807472</v>
      </c>
      <c r="EG61" s="7">
        <f t="shared" si="219"/>
        <v>123093743201.32808</v>
      </c>
      <c r="EH61" s="13">
        <f t="shared" si="220"/>
        <v>1290.0652780018902</v>
      </c>
      <c r="EI61" s="763">
        <f t="shared" si="221"/>
        <v>1341.9347219981098</v>
      </c>
      <c r="EJ61" s="164">
        <f t="shared" si="83"/>
        <v>95416677.97770752</v>
      </c>
      <c r="EK61" s="164">
        <f t="shared" si="84"/>
        <v>91728562.636820614</v>
      </c>
      <c r="EL61" s="1136">
        <f t="shared" si="85"/>
        <v>305806737649.56824</v>
      </c>
      <c r="EM61" s="1136">
        <f t="shared" si="86"/>
        <v>166560239761.92953</v>
      </c>
      <c r="EN61" s="164"/>
      <c r="EO61" s="1113" t="s">
        <v>2219</v>
      </c>
      <c r="EP61" s="1114">
        <v>109405.610436729</v>
      </c>
      <c r="EQ61" s="1114">
        <v>113840993993.573</v>
      </c>
      <c r="ER61" s="1115">
        <v>1346.8744099058199</v>
      </c>
      <c r="ES61" s="1115">
        <v>1285.1255900941801</v>
      </c>
      <c r="ET61" s="1114">
        <v>84522352.757101402</v>
      </c>
      <c r="EU61" s="1114">
        <v>88583555.468092605</v>
      </c>
      <c r="EV61" s="1114">
        <v>103121874330.207</v>
      </c>
      <c r="EW61" s="1114">
        <v>28830404581.1152</v>
      </c>
      <c r="EX61" s="1114">
        <v>109405.610436729</v>
      </c>
      <c r="EY61" s="1114">
        <v>113840993993.573</v>
      </c>
      <c r="EZ61" s="1115">
        <v>1346.8744099058199</v>
      </c>
      <c r="FA61" s="1115">
        <v>1285.1255900941801</v>
      </c>
      <c r="FB61" s="1114">
        <v>84522352.757101402</v>
      </c>
      <c r="FC61" s="1114">
        <v>88583555.468092605</v>
      </c>
      <c r="FD61" s="1114">
        <v>103121874330.207</v>
      </c>
      <c r="FE61" s="1114">
        <v>28830404581.1152</v>
      </c>
      <c r="FF61" s="1114">
        <v>109405.610436729</v>
      </c>
      <c r="FG61" s="1114">
        <v>113840993993.573</v>
      </c>
      <c r="FH61" s="1115">
        <v>1346.8744099058199</v>
      </c>
      <c r="FI61" s="1115">
        <v>1285.1255900941801</v>
      </c>
      <c r="FJ61" s="1114">
        <v>84522352.757101402</v>
      </c>
      <c r="FK61" s="1114">
        <v>88583555.468092605</v>
      </c>
      <c r="FL61" s="1114">
        <v>103121874330.207</v>
      </c>
      <c r="FM61" s="1114">
        <v>28830404581.1152</v>
      </c>
      <c r="FN61" s="1114">
        <v>355063.55436390702</v>
      </c>
      <c r="FO61" s="1114">
        <v>279102938457.66699</v>
      </c>
      <c r="FP61" s="1115">
        <v>329.91189451749602</v>
      </c>
      <c r="FQ61" s="1115">
        <v>2302.0881054824999</v>
      </c>
      <c r="FR61" s="1114">
        <v>845992348.55069995</v>
      </c>
      <c r="FS61" s="1114">
        <v>121239034.15902001</v>
      </c>
      <c r="FT61" s="1114">
        <v>711176464288.29102</v>
      </c>
      <c r="FU61" s="1114">
        <v>166560239761.92999</v>
      </c>
      <c r="FV61" s="1114">
        <v>191291.591745788</v>
      </c>
      <c r="FW61" s="1114">
        <v>215599317361.931</v>
      </c>
      <c r="FX61" s="1115">
        <v>717.66688772594102</v>
      </c>
      <c r="FY61" s="1115">
        <v>1914.3331122740601</v>
      </c>
      <c r="FZ61" s="1114">
        <v>300416977.63860399</v>
      </c>
      <c r="GA61" s="1114">
        <v>112623720.49022201</v>
      </c>
      <c r="GB61" s="1114">
        <v>305806737649.56799</v>
      </c>
      <c r="GC61" s="1114">
        <v>166560239761.92999</v>
      </c>
      <c r="GD61" s="1114">
        <v>122489.558440767</v>
      </c>
      <c r="GE61" s="1114">
        <v>139631608579.18399</v>
      </c>
      <c r="GF61" s="1115">
        <v>1188.5833585069199</v>
      </c>
      <c r="GG61" s="1115">
        <v>1443.4166414930801</v>
      </c>
      <c r="GH61" s="1114">
        <v>117477337.68928701</v>
      </c>
      <c r="GI61" s="1114">
        <v>96736870.398520499</v>
      </c>
      <c r="GJ61" s="1114">
        <v>711176464288.29102</v>
      </c>
      <c r="GK61" s="1114">
        <v>166560239761.92999</v>
      </c>
      <c r="GL61" s="1114">
        <v>113766.926438075</v>
      </c>
      <c r="GM61" s="1114">
        <v>123093743201.328</v>
      </c>
      <c r="GN61" s="1115">
        <v>1290.06527800189</v>
      </c>
      <c r="GO61" s="1115">
        <v>1341.93472199811</v>
      </c>
      <c r="GP61" s="1114">
        <v>95416677.977707505</v>
      </c>
      <c r="GQ61" s="1114">
        <v>91728562.636820599</v>
      </c>
      <c r="GR61" s="1114">
        <v>305806737649.56799</v>
      </c>
      <c r="GS61" s="1114">
        <v>166560239761.92999</v>
      </c>
      <c r="GU61" s="1171">
        <f t="shared" si="222"/>
        <v>-3.0559021979570389E-10</v>
      </c>
      <c r="GV61" s="1171">
        <f t="shared" si="223"/>
        <v>-2.13623046875E-4</v>
      </c>
      <c r="GW61" s="1171">
        <f t="shared" si="224"/>
        <v>3.4106051316484809E-12</v>
      </c>
      <c r="GX61" s="1171">
        <f t="shared" si="225"/>
        <v>-3.4106051316484809E-12</v>
      </c>
      <c r="GY61" s="1171">
        <f t="shared" si="226"/>
        <v>0</v>
      </c>
      <c r="GZ61" s="1171">
        <f t="shared" si="227"/>
        <v>0</v>
      </c>
      <c r="HA61" s="1171">
        <f t="shared" si="235"/>
        <v>0</v>
      </c>
      <c r="HB61" s="1171">
        <f t="shared" si="228"/>
        <v>0</v>
      </c>
      <c r="HC61" s="1171">
        <f t="shared" si="229"/>
        <v>-3.0559021979570389E-10</v>
      </c>
      <c r="HD61" s="1171">
        <f t="shared" si="230"/>
        <v>-2.13623046875E-4</v>
      </c>
      <c r="HE61" s="1171">
        <f t="shared" si="231"/>
        <v>3.4106051316484809E-12</v>
      </c>
      <c r="HF61" s="1171">
        <f t="shared" si="232"/>
        <v>-3.4106051316484809E-12</v>
      </c>
      <c r="HG61" s="1171">
        <f t="shared" si="89"/>
        <v>0</v>
      </c>
      <c r="HH61" s="1171">
        <f t="shared" si="90"/>
        <v>0</v>
      </c>
      <c r="HI61" s="1171">
        <f t="shared" si="91"/>
        <v>0</v>
      </c>
      <c r="HJ61" s="1171">
        <f t="shared" si="92"/>
        <v>0</v>
      </c>
      <c r="HK61" s="1171">
        <f t="shared" si="93"/>
        <v>-3.0559021979570389E-10</v>
      </c>
      <c r="HL61" s="1171">
        <f t="shared" si="94"/>
        <v>-2.13623046875E-4</v>
      </c>
      <c r="HM61" s="1171">
        <f t="shared" si="95"/>
        <v>3.4106051316484809E-12</v>
      </c>
      <c r="HN61" s="1171">
        <f t="shared" si="96"/>
        <v>-3.4106051316484809E-12</v>
      </c>
      <c r="HO61" s="1171">
        <f t="shared" si="97"/>
        <v>0</v>
      </c>
      <c r="HP61" s="1171">
        <f t="shared" si="98"/>
        <v>0</v>
      </c>
      <c r="HQ61" s="1171">
        <f t="shared" si="99"/>
        <v>0</v>
      </c>
      <c r="HR61" s="1171">
        <f t="shared" si="100"/>
        <v>0</v>
      </c>
      <c r="HS61" s="1171">
        <f t="shared" si="101"/>
        <v>0</v>
      </c>
      <c r="HT61" s="1171">
        <f t="shared" si="102"/>
        <v>0</v>
      </c>
      <c r="HU61" s="1171">
        <f t="shared" si="103"/>
        <v>0</v>
      </c>
      <c r="HV61" s="1171">
        <f t="shared" si="104"/>
        <v>4.0927261579781771E-12</v>
      </c>
      <c r="HW61" s="1171">
        <f t="shared" si="105"/>
        <v>0</v>
      </c>
      <c r="HX61" s="1171">
        <f t="shared" si="106"/>
        <v>0</v>
      </c>
      <c r="HY61" s="1171">
        <f t="shared" si="107"/>
        <v>0</v>
      </c>
      <c r="HZ61" s="1171">
        <f t="shared" si="108"/>
        <v>-4.57763671875E-4</v>
      </c>
      <c r="IA61" s="1171">
        <f t="shared" si="109"/>
        <v>0</v>
      </c>
      <c r="IB61" s="1171">
        <f t="shared" si="110"/>
        <v>-5.18798828125E-4</v>
      </c>
      <c r="IC61" s="1171">
        <f t="shared" si="111"/>
        <v>0</v>
      </c>
      <c r="ID61" s="1171">
        <f t="shared" si="112"/>
        <v>0</v>
      </c>
      <c r="IE61" s="1171">
        <f t="shared" si="113"/>
        <v>0</v>
      </c>
      <c r="IF61" s="1171">
        <f t="shared" si="114"/>
        <v>0</v>
      </c>
      <c r="IG61" s="1171">
        <f t="shared" si="115"/>
        <v>0</v>
      </c>
      <c r="IH61" s="1171">
        <f t="shared" si="116"/>
        <v>-4.57763671875E-4</v>
      </c>
      <c r="II61" s="1171">
        <f t="shared" si="117"/>
        <v>-2.1827872842550278E-10</v>
      </c>
      <c r="IJ61" s="1171">
        <f t="shared" si="118"/>
        <v>3.662109375E-4</v>
      </c>
      <c r="IK61" s="1171">
        <f t="shared" si="119"/>
        <v>-4.5474735088646412E-12</v>
      </c>
      <c r="IL61" s="1171">
        <f t="shared" si="120"/>
        <v>4.5474735088646412E-12</v>
      </c>
      <c r="IM61" s="1171">
        <f t="shared" si="121"/>
        <v>4.9173831939697266E-7</v>
      </c>
      <c r="IN61" s="1171">
        <f t="shared" si="122"/>
        <v>0</v>
      </c>
      <c r="IO61" s="1171">
        <f t="shared" si="123"/>
        <v>0</v>
      </c>
      <c r="IP61" s="1171">
        <f t="shared" si="124"/>
        <v>-4.57763671875E-4</v>
      </c>
      <c r="IQ61" s="1171">
        <f t="shared" si="125"/>
        <v>-2.7648638933897018E-10</v>
      </c>
      <c r="IR61" s="1171">
        <f t="shared" si="126"/>
        <v>0</v>
      </c>
      <c r="IS61" s="1171">
        <f t="shared" si="127"/>
        <v>0</v>
      </c>
      <c r="IT61" s="1171">
        <f t="shared" si="128"/>
        <v>0</v>
      </c>
      <c r="IU61" s="1171">
        <f t="shared" si="129"/>
        <v>0</v>
      </c>
      <c r="IV61" s="1171">
        <f t="shared" si="130"/>
        <v>0</v>
      </c>
      <c r="IW61" s="1171">
        <f t="shared" si="131"/>
        <v>0</v>
      </c>
      <c r="IX61" s="1171">
        <f t="shared" si="132"/>
        <v>-4.57763671875E-4</v>
      </c>
    </row>
    <row r="62" spans="1:258">
      <c r="B62" s="136" t="str">
        <f t="shared" ref="B62" si="261">LEFT(B60,3)+1&amp;"j"</f>
        <v>130j</v>
      </c>
      <c r="C62">
        <v>131.27000000000001</v>
      </c>
      <c r="D62" s="136">
        <v>0</v>
      </c>
      <c r="E62" t="s">
        <v>2103</v>
      </c>
      <c r="F62" s="26">
        <v>2</v>
      </c>
      <c r="G62" s="136">
        <v>500</v>
      </c>
      <c r="H62" s="136">
        <v>22</v>
      </c>
      <c r="I62" s="28">
        <v>250</v>
      </c>
      <c r="J62" s="26">
        <v>1940</v>
      </c>
      <c r="K62" s="136">
        <v>10</v>
      </c>
      <c r="L62" s="28">
        <v>120</v>
      </c>
      <c r="M62" s="26">
        <v>2600</v>
      </c>
      <c r="N62" s="28">
        <v>12</v>
      </c>
      <c r="O62" s="26">
        <v>0</v>
      </c>
      <c r="P62" s="26">
        <v>290</v>
      </c>
      <c r="Q62" s="26">
        <f>+Section!L123</f>
        <v>5450</v>
      </c>
      <c r="R62" s="169">
        <v>0</v>
      </c>
      <c r="S62" s="210">
        <v>0</v>
      </c>
      <c r="T62" s="27">
        <v>1175</v>
      </c>
      <c r="U62" s="27">
        <v>2350</v>
      </c>
      <c r="V62" s="28">
        <v>3850</v>
      </c>
      <c r="W62" s="210">
        <v>19</v>
      </c>
      <c r="X62" s="210">
        <v>200</v>
      </c>
      <c r="Y62" s="169">
        <v>50</v>
      </c>
      <c r="Z62" s="210">
        <v>16</v>
      </c>
      <c r="AA62" s="210">
        <v>200</v>
      </c>
      <c r="AB62" s="28">
        <v>40</v>
      </c>
      <c r="AC62" s="210">
        <v>0</v>
      </c>
      <c r="AD62" s="26">
        <v>2</v>
      </c>
      <c r="AE62" s="169">
        <v>160</v>
      </c>
      <c r="AF62" s="169">
        <v>16</v>
      </c>
      <c r="AG62" s="26">
        <v>0</v>
      </c>
      <c r="AH62" s="169">
        <v>0</v>
      </c>
      <c r="AI62" s="169">
        <v>0</v>
      </c>
      <c r="AJ62" s="397">
        <v>2</v>
      </c>
      <c r="AK62" s="210">
        <v>2500</v>
      </c>
      <c r="AL62" s="210">
        <v>5000</v>
      </c>
      <c r="AM62" s="210" t="s">
        <v>2316</v>
      </c>
      <c r="AN62" s="210">
        <v>2342</v>
      </c>
      <c r="AO62" s="1143" t="s">
        <v>2321</v>
      </c>
      <c r="AP62" s="1143" t="s">
        <v>2321</v>
      </c>
      <c r="AQ62" s="136">
        <v>150</v>
      </c>
      <c r="AR62" s="136">
        <v>14</v>
      </c>
      <c r="AS62" s="1143" t="s">
        <v>2448</v>
      </c>
      <c r="AT62" s="136">
        <v>120</v>
      </c>
      <c r="AU62" s="136">
        <v>12</v>
      </c>
      <c r="AV62" s="1109" t="s">
        <v>2156</v>
      </c>
      <c r="AW62" s="1109">
        <v>14</v>
      </c>
      <c r="AX62" s="1109">
        <v>400</v>
      </c>
      <c r="AY62" s="1109">
        <v>700</v>
      </c>
      <c r="AZ62" s="1108">
        <v>8</v>
      </c>
      <c r="BA62" s="1108">
        <v>6</v>
      </c>
      <c r="BC62" s="1168"/>
      <c r="BD62" s="210">
        <f>INDEX(Spec!$B$12:$P$58,MATCH(AO62,Spec!$A$12:$A$58,0),6)*100</f>
        <v>1900</v>
      </c>
      <c r="BE62" s="210">
        <f>INDEX(Spec!$B$12:$P$58,MATCH(AP62,Spec!$A$12:$A$58,0),6)*100</f>
        <v>1900</v>
      </c>
      <c r="BF62" s="881">
        <f t="shared" si="161"/>
        <v>0.72729528785068354</v>
      </c>
      <c r="BG62" s="881">
        <f t="shared" si="162"/>
        <v>47.243485714285718</v>
      </c>
      <c r="BH62" s="881"/>
      <c r="BI62" s="13" cm="1">
        <f t="array" ref="BI62">INDEX(Info!$AD$4:$AH$15,MATCH(Info!$I$13,Info!$AC$4:$AC$15,0),IF(H62&lt;=16,1,IF(H62&lt;=40,2,IF(H62&lt;=75,3,IF(H62&lt;=100,4,5)))))</f>
        <v>380</v>
      </c>
      <c r="BJ62" s="13" cm="1">
        <f t="array" ref="BJ62">INDEX(Info!$AD$4:$AH$15,MATCH(Info!$I$13,Info!$AC$4:$AC$15,0),IF(K62&lt;=16,1,IF(K62&lt;=40,2,IF(K62&lt;=75,3,IF(K62&lt;=100,4,5)))))</f>
        <v>380</v>
      </c>
      <c r="BK62" s="13" cm="1">
        <f t="array" ref="BK62">INDEX(Info!$AD$4:$AH$15,MATCH(Info!$I$14,Info!$AC$4:$AC$15,0),IF(N62&lt;=16,1,IF(N62&lt;=40,2,IF(N62&lt;=75,3,IF(N62&lt;=100,4,5)))))</f>
        <v>355</v>
      </c>
      <c r="BL62" s="13">
        <f>IF(Stress!C891="Positive",MAX(MIN(0.7*BI62,BK62),0.5*BI62),MAX(MIN(0.7*BJ62,BK62),0.5*BJ62))</f>
        <v>266</v>
      </c>
      <c r="BM62" s="13" cm="1">
        <f t="array" ref="BM62">INDEX(Info!$AD$4:$AH$15,MATCH(Info!$I$13,Info!$AC$4:$AC$15,0),IF(AI62&lt;=16,1,IF(AI62&lt;=40,2,IF(AI62&lt;=75,3,IF(AI62&lt;=100,4,5)))))</f>
        <v>380</v>
      </c>
      <c r="BN62" s="13" cm="1">
        <f t="array" ref="BN62">INDEX(Info!$AD$4:$AH$15,MATCH(Info!$I$13,Info!$AC$4:$AC$15,0),IF(AF62&lt;=16,1,IF(AF62&lt;=40,2,IF(AF62&lt;=75,3,IF(AF62&lt;=100,4,5)))))</f>
        <v>380</v>
      </c>
      <c r="BO62" s="13"/>
      <c r="BP62" s="13">
        <f t="shared" si="163"/>
        <v>0.125</v>
      </c>
      <c r="BQ62" s="13">
        <f t="shared" si="164"/>
        <v>2620.2337681970284</v>
      </c>
      <c r="BR62" s="13">
        <f t="shared" si="165"/>
        <v>2900</v>
      </c>
      <c r="BS62" s="13"/>
      <c r="BT62" s="136">
        <f t="shared" si="166"/>
        <v>0</v>
      </c>
      <c r="BU62" s="136">
        <f t="shared" si="167"/>
        <v>0</v>
      </c>
      <c r="BV62" s="136">
        <f t="shared" si="168"/>
        <v>1580500</v>
      </c>
      <c r="BW62" s="136">
        <f t="shared" si="169"/>
        <v>11076670833.333334</v>
      </c>
      <c r="BX62" s="136">
        <f t="shared" si="170"/>
        <v>0</v>
      </c>
      <c r="BY62" s="136">
        <f t="shared" si="171"/>
        <v>0</v>
      </c>
      <c r="BZ62" s="136">
        <f t="shared" si="172"/>
        <v>7655.2758986349281</v>
      </c>
      <c r="CA62" s="136">
        <f t="shared" si="173"/>
        <v>172722.16246295057</v>
      </c>
      <c r="CB62" s="136">
        <f t="shared" si="174"/>
        <v>5428.6721054031623</v>
      </c>
      <c r="CC62" s="136">
        <f t="shared" si="175"/>
        <v>86858.753686450596</v>
      </c>
      <c r="CE62" s="1137">
        <f t="shared" si="176"/>
        <v>277145400.95441002</v>
      </c>
      <c r="CF62" s="1136">
        <f t="shared" si="177"/>
        <v>411131448.88888884</v>
      </c>
      <c r="CG62" s="1136">
        <f t="shared" si="178"/>
        <v>0</v>
      </c>
      <c r="CH62" s="172">
        <f t="shared" si="179"/>
        <v>3912066770833.333</v>
      </c>
      <c r="CJ62" s="136">
        <f t="shared" si="180"/>
        <v>109405.61043672869</v>
      </c>
      <c r="CK62" s="7">
        <f t="shared" si="181"/>
        <v>113840993993.57278</v>
      </c>
      <c r="CL62" s="6">
        <f t="shared" si="182"/>
        <v>1346.8744099058233</v>
      </c>
      <c r="CM62" s="6">
        <f t="shared" si="183"/>
        <v>1285.1255900941767</v>
      </c>
      <c r="CN62" s="164">
        <f t="shared" si="73"/>
        <v>84522352.757101402</v>
      </c>
      <c r="CO62" s="164">
        <f t="shared" si="74"/>
        <v>88583555.468092635</v>
      </c>
      <c r="CP62" s="1137">
        <f t="shared" si="184"/>
        <v>103121874330.20694</v>
      </c>
      <c r="CQ62" s="1136">
        <f t="shared" si="185"/>
        <v>28830404581.115204</v>
      </c>
      <c r="CR62" s="22">
        <f t="shared" si="186"/>
        <v>109405.61043672869</v>
      </c>
      <c r="CS62" s="7">
        <f t="shared" si="187"/>
        <v>113840993993.57278</v>
      </c>
      <c r="CT62" s="6">
        <f t="shared" si="188"/>
        <v>1346.8744099058233</v>
      </c>
      <c r="CU62" s="12">
        <f t="shared" si="189"/>
        <v>1285.1255900941767</v>
      </c>
      <c r="CV62" s="164">
        <f t="shared" si="190"/>
        <v>84522352.757101402</v>
      </c>
      <c r="CW62" s="164">
        <f t="shared" si="191"/>
        <v>88583555.468092635</v>
      </c>
      <c r="CX62" s="1136">
        <f t="shared" si="192"/>
        <v>103121874330.20694</v>
      </c>
      <c r="CY62" s="1136">
        <f t="shared" si="193"/>
        <v>28830404581.115204</v>
      </c>
      <c r="CZ62" s="22">
        <f t="shared" si="194"/>
        <v>109405.61043672869</v>
      </c>
      <c r="DA62" s="7">
        <f t="shared" si="195"/>
        <v>113840993993.57278</v>
      </c>
      <c r="DB62" s="6">
        <f t="shared" si="196"/>
        <v>1346.8744099058233</v>
      </c>
      <c r="DC62" s="12">
        <f t="shared" si="197"/>
        <v>1285.1255900941767</v>
      </c>
      <c r="DD62" s="164">
        <f t="shared" si="75"/>
        <v>84522352.757101402</v>
      </c>
      <c r="DE62" s="164">
        <f t="shared" si="76"/>
        <v>88583555.468092635</v>
      </c>
      <c r="DF62" s="1136">
        <f t="shared" si="198"/>
        <v>103121874330.20694</v>
      </c>
      <c r="DG62" s="1136">
        <f t="shared" si="199"/>
        <v>28830404581.115204</v>
      </c>
      <c r="DH62" s="22">
        <f t="shared" si="200"/>
        <v>355063.55436390673</v>
      </c>
      <c r="DI62" s="172">
        <f t="shared" si="201"/>
        <v>279102938457.66693</v>
      </c>
      <c r="DJ62" s="12">
        <f t="shared" si="202"/>
        <v>329.91189451749597</v>
      </c>
      <c r="DK62" s="22">
        <f t="shared" si="203"/>
        <v>2302.088105482504</v>
      </c>
      <c r="DL62" s="164">
        <f t="shared" si="77"/>
        <v>845992348.55069911</v>
      </c>
      <c r="DM62" s="164">
        <f t="shared" si="78"/>
        <v>121239034.15901999</v>
      </c>
      <c r="DN62" s="7">
        <f t="shared" si="204"/>
        <v>711176464288.29077</v>
      </c>
      <c r="DO62" s="1136">
        <f t="shared" si="205"/>
        <v>166560239761.92953</v>
      </c>
      <c r="DP62" s="22">
        <f t="shared" si="206"/>
        <v>191291.59174578806</v>
      </c>
      <c r="DQ62" s="172">
        <f t="shared" si="207"/>
        <v>215599317361.93048</v>
      </c>
      <c r="DR62" s="22">
        <f t="shared" si="208"/>
        <v>717.66688772594102</v>
      </c>
      <c r="DS62" s="22">
        <f t="shared" si="209"/>
        <v>1914.333112274059</v>
      </c>
      <c r="DT62" s="164">
        <f t="shared" si="79"/>
        <v>300416977.63860393</v>
      </c>
      <c r="DU62" s="164">
        <f t="shared" si="80"/>
        <v>112623720.49022205</v>
      </c>
      <c r="DV62" s="1136">
        <f t="shared" si="210"/>
        <v>305806737649.56824</v>
      </c>
      <c r="DW62" s="1136">
        <f t="shared" si="211"/>
        <v>166560239761.92953</v>
      </c>
      <c r="DX62" s="763">
        <f t="shared" si="212"/>
        <v>122489.55844076678</v>
      </c>
      <c r="DY62" s="7">
        <f t="shared" si="213"/>
        <v>139631608579.18436</v>
      </c>
      <c r="DZ62" s="13">
        <f t="shared" si="214"/>
        <v>1188.5833585069154</v>
      </c>
      <c r="EA62" s="763">
        <f t="shared" si="215"/>
        <v>1443.4166414930846</v>
      </c>
      <c r="EB62" s="164">
        <f t="shared" si="81"/>
        <v>117477337.6892875</v>
      </c>
      <c r="EC62" s="164">
        <f t="shared" si="82"/>
        <v>96736870.398520574</v>
      </c>
      <c r="ED62" s="1136">
        <f t="shared" si="216"/>
        <v>711176464288.29077</v>
      </c>
      <c r="EE62" s="1136">
        <f t="shared" si="217"/>
        <v>166560239761.92953</v>
      </c>
      <c r="EF62" s="763">
        <f t="shared" si="218"/>
        <v>113766.92643807472</v>
      </c>
      <c r="EG62" s="7">
        <f t="shared" si="219"/>
        <v>123093743201.32808</v>
      </c>
      <c r="EH62" s="13">
        <f t="shared" si="220"/>
        <v>1290.0652780018902</v>
      </c>
      <c r="EI62" s="763">
        <f t="shared" si="221"/>
        <v>1341.9347219981098</v>
      </c>
      <c r="EJ62" s="164">
        <f t="shared" si="83"/>
        <v>95416677.97770752</v>
      </c>
      <c r="EK62" s="164">
        <f t="shared" si="84"/>
        <v>91728562.636820614</v>
      </c>
      <c r="EL62" s="1136">
        <f t="shared" si="85"/>
        <v>305806737649.56824</v>
      </c>
      <c r="EM62" s="1136">
        <f t="shared" si="86"/>
        <v>166560239761.92953</v>
      </c>
      <c r="EN62" s="164"/>
      <c r="EO62" s="1113" t="s">
        <v>2220</v>
      </c>
      <c r="EP62" s="1114">
        <v>109405.610436729</v>
      </c>
      <c r="EQ62" s="1114">
        <v>113840993993.573</v>
      </c>
      <c r="ER62" s="1115">
        <v>1346.8744099058199</v>
      </c>
      <c r="ES62" s="1115">
        <v>1285.1255900941801</v>
      </c>
      <c r="ET62" s="1114">
        <v>84522352.757101402</v>
      </c>
      <c r="EU62" s="1114">
        <v>88583555.468092605</v>
      </c>
      <c r="EV62" s="1114">
        <v>103121874330.207</v>
      </c>
      <c r="EW62" s="1114">
        <v>28830404581.1152</v>
      </c>
      <c r="EX62" s="1114">
        <v>109405.610436729</v>
      </c>
      <c r="EY62" s="1114">
        <v>113840993993.573</v>
      </c>
      <c r="EZ62" s="1115">
        <v>1346.8744099058199</v>
      </c>
      <c r="FA62" s="1115">
        <v>1285.1255900941801</v>
      </c>
      <c r="FB62" s="1114">
        <v>84522352.757101402</v>
      </c>
      <c r="FC62" s="1114">
        <v>88583555.468092605</v>
      </c>
      <c r="FD62" s="1114">
        <v>103121874330.207</v>
      </c>
      <c r="FE62" s="1114">
        <v>28830404581.1152</v>
      </c>
      <c r="FF62" s="1114">
        <v>109405.610436729</v>
      </c>
      <c r="FG62" s="1114">
        <v>113840993993.573</v>
      </c>
      <c r="FH62" s="1115">
        <v>1346.8744099058199</v>
      </c>
      <c r="FI62" s="1115">
        <v>1285.1255900941801</v>
      </c>
      <c r="FJ62" s="1114">
        <v>84522352.757101402</v>
      </c>
      <c r="FK62" s="1114">
        <v>88583555.468092605</v>
      </c>
      <c r="FL62" s="1114">
        <v>103121874330.207</v>
      </c>
      <c r="FM62" s="1114">
        <v>28830404581.1152</v>
      </c>
      <c r="FN62" s="1114">
        <v>355063.55436390702</v>
      </c>
      <c r="FO62" s="1114">
        <v>279102938457.66699</v>
      </c>
      <c r="FP62" s="1115">
        <v>329.91189451749602</v>
      </c>
      <c r="FQ62" s="1115">
        <v>2302.0881054824999</v>
      </c>
      <c r="FR62" s="1114">
        <v>845992348.55069995</v>
      </c>
      <c r="FS62" s="1114">
        <v>121239034.15902001</v>
      </c>
      <c r="FT62" s="1114">
        <v>711176464288.29102</v>
      </c>
      <c r="FU62" s="1114">
        <v>166560239761.92999</v>
      </c>
      <c r="FV62" s="1114">
        <v>191291.591745788</v>
      </c>
      <c r="FW62" s="1114">
        <v>215599317361.931</v>
      </c>
      <c r="FX62" s="1115">
        <v>717.66688772594102</v>
      </c>
      <c r="FY62" s="1115">
        <v>1914.3331122740601</v>
      </c>
      <c r="FZ62" s="1114">
        <v>300416977.63860399</v>
      </c>
      <c r="GA62" s="1114">
        <v>112623720.49022201</v>
      </c>
      <c r="GB62" s="1114">
        <v>305806737649.56799</v>
      </c>
      <c r="GC62" s="1114">
        <v>166560239761.92999</v>
      </c>
      <c r="GD62" s="1114">
        <v>122489.558440767</v>
      </c>
      <c r="GE62" s="1114">
        <v>139631608579.18399</v>
      </c>
      <c r="GF62" s="1115">
        <v>1188.5833585069199</v>
      </c>
      <c r="GG62" s="1115">
        <v>1443.4166414930801</v>
      </c>
      <c r="GH62" s="1114">
        <v>117477337.68928701</v>
      </c>
      <c r="GI62" s="1114">
        <v>96736870.398520499</v>
      </c>
      <c r="GJ62" s="1114">
        <v>711176464288.29102</v>
      </c>
      <c r="GK62" s="1114">
        <v>166560239761.92999</v>
      </c>
      <c r="GL62" s="1114">
        <v>113766.926438075</v>
      </c>
      <c r="GM62" s="1114">
        <v>123093743201.328</v>
      </c>
      <c r="GN62" s="1115">
        <v>1290.06527800189</v>
      </c>
      <c r="GO62" s="1115">
        <v>1341.93472199811</v>
      </c>
      <c r="GP62" s="1114">
        <v>95416677.977707505</v>
      </c>
      <c r="GQ62" s="1114">
        <v>91728562.636820599</v>
      </c>
      <c r="GR62" s="1114">
        <v>305806737649.56799</v>
      </c>
      <c r="GS62" s="1114">
        <v>166560239761.92999</v>
      </c>
      <c r="GU62" s="1171">
        <f t="shared" si="222"/>
        <v>-3.0559021979570389E-10</v>
      </c>
      <c r="GV62" s="1171">
        <f t="shared" si="223"/>
        <v>-2.13623046875E-4</v>
      </c>
      <c r="GW62" s="1171">
        <f t="shared" si="224"/>
        <v>3.4106051316484809E-12</v>
      </c>
      <c r="GX62" s="1171">
        <f t="shared" si="225"/>
        <v>-3.4106051316484809E-12</v>
      </c>
      <c r="GY62" s="1171">
        <f t="shared" si="226"/>
        <v>0</v>
      </c>
      <c r="GZ62" s="1171">
        <f t="shared" si="227"/>
        <v>0</v>
      </c>
      <c r="HA62" s="1171">
        <f t="shared" si="235"/>
        <v>0</v>
      </c>
      <c r="HB62" s="1171">
        <f t="shared" si="228"/>
        <v>0</v>
      </c>
      <c r="HC62" s="1171">
        <f t="shared" si="229"/>
        <v>-3.0559021979570389E-10</v>
      </c>
      <c r="HD62" s="1171">
        <f t="shared" si="230"/>
        <v>-2.13623046875E-4</v>
      </c>
      <c r="HE62" s="1171">
        <f t="shared" si="231"/>
        <v>3.4106051316484809E-12</v>
      </c>
      <c r="HF62" s="1171">
        <f t="shared" si="232"/>
        <v>-3.4106051316484809E-12</v>
      </c>
      <c r="HG62" s="1171">
        <f t="shared" si="89"/>
        <v>0</v>
      </c>
      <c r="HH62" s="1171">
        <f t="shared" si="90"/>
        <v>0</v>
      </c>
      <c r="HI62" s="1171">
        <f t="shared" si="91"/>
        <v>0</v>
      </c>
      <c r="HJ62" s="1171">
        <f t="shared" si="92"/>
        <v>0</v>
      </c>
      <c r="HK62" s="1171">
        <f t="shared" si="93"/>
        <v>-3.0559021979570389E-10</v>
      </c>
      <c r="HL62" s="1171">
        <f t="shared" si="94"/>
        <v>-2.13623046875E-4</v>
      </c>
      <c r="HM62" s="1171">
        <f t="shared" si="95"/>
        <v>3.4106051316484809E-12</v>
      </c>
      <c r="HN62" s="1171">
        <f t="shared" si="96"/>
        <v>-3.4106051316484809E-12</v>
      </c>
      <c r="HO62" s="1171">
        <f t="shared" si="97"/>
        <v>0</v>
      </c>
      <c r="HP62" s="1171">
        <f t="shared" si="98"/>
        <v>0</v>
      </c>
      <c r="HQ62" s="1171">
        <f t="shared" si="99"/>
        <v>0</v>
      </c>
      <c r="HR62" s="1171">
        <f t="shared" si="100"/>
        <v>0</v>
      </c>
      <c r="HS62" s="1171">
        <f t="shared" si="101"/>
        <v>0</v>
      </c>
      <c r="HT62" s="1171">
        <f t="shared" si="102"/>
        <v>0</v>
      </c>
      <c r="HU62" s="1171">
        <f t="shared" si="103"/>
        <v>0</v>
      </c>
      <c r="HV62" s="1171">
        <f t="shared" si="104"/>
        <v>4.0927261579781771E-12</v>
      </c>
      <c r="HW62" s="1171">
        <f t="shared" si="105"/>
        <v>0</v>
      </c>
      <c r="HX62" s="1171">
        <f t="shared" si="106"/>
        <v>0</v>
      </c>
      <c r="HY62" s="1171">
        <f t="shared" si="107"/>
        <v>0</v>
      </c>
      <c r="HZ62" s="1171">
        <f t="shared" si="108"/>
        <v>-4.57763671875E-4</v>
      </c>
      <c r="IA62" s="1171">
        <f t="shared" si="109"/>
        <v>0</v>
      </c>
      <c r="IB62" s="1171">
        <f t="shared" si="110"/>
        <v>-5.18798828125E-4</v>
      </c>
      <c r="IC62" s="1171">
        <f t="shared" si="111"/>
        <v>0</v>
      </c>
      <c r="ID62" s="1171">
        <f t="shared" si="112"/>
        <v>0</v>
      </c>
      <c r="IE62" s="1171">
        <f t="shared" si="113"/>
        <v>0</v>
      </c>
      <c r="IF62" s="1171">
        <f t="shared" si="114"/>
        <v>0</v>
      </c>
      <c r="IG62" s="1171">
        <f t="shared" si="115"/>
        <v>0</v>
      </c>
      <c r="IH62" s="1171">
        <f t="shared" si="116"/>
        <v>-4.57763671875E-4</v>
      </c>
      <c r="II62" s="1171">
        <f t="shared" si="117"/>
        <v>-2.1827872842550278E-10</v>
      </c>
      <c r="IJ62" s="1171">
        <f t="shared" si="118"/>
        <v>3.662109375E-4</v>
      </c>
      <c r="IK62" s="1171">
        <f t="shared" si="119"/>
        <v>-4.5474735088646412E-12</v>
      </c>
      <c r="IL62" s="1171">
        <f t="shared" si="120"/>
        <v>4.5474735088646412E-12</v>
      </c>
      <c r="IM62" s="1171">
        <f t="shared" si="121"/>
        <v>4.9173831939697266E-7</v>
      </c>
      <c r="IN62" s="1171">
        <f t="shared" si="122"/>
        <v>0</v>
      </c>
      <c r="IO62" s="1171">
        <f t="shared" si="123"/>
        <v>0</v>
      </c>
      <c r="IP62" s="1171">
        <f t="shared" si="124"/>
        <v>-4.57763671875E-4</v>
      </c>
      <c r="IQ62" s="1171">
        <f t="shared" si="125"/>
        <v>-2.7648638933897018E-10</v>
      </c>
      <c r="IR62" s="1171">
        <f t="shared" si="126"/>
        <v>0</v>
      </c>
      <c r="IS62" s="1171">
        <f t="shared" si="127"/>
        <v>0</v>
      </c>
      <c r="IT62" s="1171">
        <f t="shared" si="128"/>
        <v>0</v>
      </c>
      <c r="IU62" s="1171">
        <f t="shared" si="129"/>
        <v>0</v>
      </c>
      <c r="IV62" s="1171">
        <f t="shared" si="130"/>
        <v>0</v>
      </c>
      <c r="IW62" s="1171">
        <f t="shared" si="131"/>
        <v>0</v>
      </c>
      <c r="IX62" s="1171">
        <f t="shared" si="132"/>
        <v>-4.57763671875E-4</v>
      </c>
    </row>
    <row r="63" spans="1:258">
      <c r="A63">
        <v>131</v>
      </c>
      <c r="B63" s="136" t="str">
        <f t="shared" ref="B63" si="262">LEFT(B61,3)+1&amp;"i"</f>
        <v>131i</v>
      </c>
      <c r="C63">
        <v>131.27000000000001</v>
      </c>
      <c r="D63" s="136">
        <v>0</v>
      </c>
      <c r="E63" t="s">
        <v>2103</v>
      </c>
      <c r="F63" s="26">
        <v>2</v>
      </c>
      <c r="G63" s="136">
        <v>500</v>
      </c>
      <c r="H63" s="136">
        <v>22</v>
      </c>
      <c r="I63" s="28">
        <v>250</v>
      </c>
      <c r="J63" s="26">
        <v>1940</v>
      </c>
      <c r="K63" s="136">
        <v>10</v>
      </c>
      <c r="L63" s="28">
        <v>120</v>
      </c>
      <c r="M63" s="26">
        <v>2600</v>
      </c>
      <c r="N63" s="28">
        <v>12</v>
      </c>
      <c r="O63" s="26">
        <v>0</v>
      </c>
      <c r="P63" s="26">
        <v>290</v>
      </c>
      <c r="Q63" s="26">
        <f>+Section!L124</f>
        <v>5450</v>
      </c>
      <c r="R63" s="169">
        <v>0</v>
      </c>
      <c r="S63" s="210">
        <v>0</v>
      </c>
      <c r="T63" s="27">
        <v>1175</v>
      </c>
      <c r="U63" s="27">
        <v>2350</v>
      </c>
      <c r="V63" s="28">
        <v>3850</v>
      </c>
      <c r="W63" s="210">
        <v>19</v>
      </c>
      <c r="X63" s="210">
        <v>200</v>
      </c>
      <c r="Y63" s="169">
        <v>50</v>
      </c>
      <c r="Z63" s="210">
        <v>16</v>
      </c>
      <c r="AA63" s="210">
        <v>200</v>
      </c>
      <c r="AB63" s="28">
        <v>40</v>
      </c>
      <c r="AC63" s="210">
        <v>0</v>
      </c>
      <c r="AD63" s="26">
        <v>2</v>
      </c>
      <c r="AE63" s="169">
        <v>160</v>
      </c>
      <c r="AF63" s="169">
        <v>16</v>
      </c>
      <c r="AG63" s="26">
        <v>0</v>
      </c>
      <c r="AH63" s="169">
        <v>0</v>
      </c>
      <c r="AI63" s="169">
        <v>0</v>
      </c>
      <c r="AJ63" s="397">
        <v>2</v>
      </c>
      <c r="AK63" s="210">
        <v>2500</v>
      </c>
      <c r="AL63" s="210">
        <v>5000</v>
      </c>
      <c r="AM63" s="210" t="s">
        <v>2316</v>
      </c>
      <c r="AN63" s="210">
        <v>2342</v>
      </c>
      <c r="AO63" s="1143" t="s">
        <v>2321</v>
      </c>
      <c r="AP63" s="1143" t="s">
        <v>2321</v>
      </c>
      <c r="AQ63" s="136">
        <v>150</v>
      </c>
      <c r="AR63" s="136">
        <v>14</v>
      </c>
      <c r="AS63" s="1143" t="s">
        <v>2448</v>
      </c>
      <c r="AT63" s="136">
        <v>120</v>
      </c>
      <c r="AU63" s="136">
        <v>12</v>
      </c>
      <c r="AV63" s="1109" t="s">
        <v>2156</v>
      </c>
      <c r="AW63" s="1109">
        <v>14</v>
      </c>
      <c r="AX63" s="1109">
        <v>400</v>
      </c>
      <c r="AY63" s="1109">
        <v>700</v>
      </c>
      <c r="AZ63" s="1108">
        <v>8</v>
      </c>
      <c r="BA63" s="1108">
        <v>6</v>
      </c>
      <c r="BC63" s="1168"/>
      <c r="BD63" s="210">
        <f>INDEX(Spec!$B$12:$P$58,MATCH(AO63,Spec!$A$12:$A$58,0),6)*100</f>
        <v>1900</v>
      </c>
      <c r="BE63" s="210">
        <f>INDEX(Spec!$B$12:$P$58,MATCH(AP63,Spec!$A$12:$A$58,0),6)*100</f>
        <v>1900</v>
      </c>
      <c r="BF63" s="881">
        <f t="shared" si="161"/>
        <v>0.72729528785068354</v>
      </c>
      <c r="BG63" s="881">
        <f t="shared" si="162"/>
        <v>47.243485714285718</v>
      </c>
      <c r="BH63" s="881"/>
      <c r="BI63" s="13" cm="1">
        <f t="array" ref="BI63">INDEX(Info!$AD$4:$AH$15,MATCH(Info!$I$13,Info!$AC$4:$AC$15,0),IF(H63&lt;=16,1,IF(H63&lt;=40,2,IF(H63&lt;=75,3,IF(H63&lt;=100,4,5)))))</f>
        <v>380</v>
      </c>
      <c r="BJ63" s="13" cm="1">
        <f t="array" ref="BJ63">INDEX(Info!$AD$4:$AH$15,MATCH(Info!$I$13,Info!$AC$4:$AC$15,0),IF(K63&lt;=16,1,IF(K63&lt;=40,2,IF(K63&lt;=75,3,IF(K63&lt;=100,4,5)))))</f>
        <v>380</v>
      </c>
      <c r="BK63" s="13" cm="1">
        <f t="array" ref="BK63">INDEX(Info!$AD$4:$AH$15,MATCH(Info!$I$14,Info!$AC$4:$AC$15,0),IF(N63&lt;=16,1,IF(N63&lt;=40,2,IF(N63&lt;=75,3,IF(N63&lt;=100,4,5)))))</f>
        <v>355</v>
      </c>
      <c r="BL63" s="13">
        <f>IF(Stress!C892="Positive",MAX(MIN(0.7*BI63,BK63),0.5*BI63),MAX(MIN(0.7*BJ63,BK63),0.5*BJ63))</f>
        <v>266</v>
      </c>
      <c r="BM63" s="13" cm="1">
        <f t="array" ref="BM63">INDEX(Info!$AD$4:$AH$15,MATCH(Info!$I$13,Info!$AC$4:$AC$15,0),IF(AI63&lt;=16,1,IF(AI63&lt;=40,2,IF(AI63&lt;=75,3,IF(AI63&lt;=100,4,5)))))</f>
        <v>380</v>
      </c>
      <c r="BN63" s="13" cm="1">
        <f t="array" ref="BN63">INDEX(Info!$AD$4:$AH$15,MATCH(Info!$I$13,Info!$AC$4:$AC$15,0),IF(AF63&lt;=16,1,IF(AF63&lt;=40,2,IF(AF63&lt;=75,3,IF(AF63&lt;=100,4,5)))))</f>
        <v>380</v>
      </c>
      <c r="BO63" s="13"/>
      <c r="BP63" s="13">
        <f t="shared" si="163"/>
        <v>0.125</v>
      </c>
      <c r="BQ63" s="13">
        <f t="shared" si="164"/>
        <v>2620.2337681970284</v>
      </c>
      <c r="BR63" s="13">
        <f t="shared" si="165"/>
        <v>2900</v>
      </c>
      <c r="BS63" s="13"/>
      <c r="BT63" s="136">
        <f t="shared" si="166"/>
        <v>0</v>
      </c>
      <c r="BU63" s="136">
        <f t="shared" si="167"/>
        <v>0</v>
      </c>
      <c r="BV63" s="136">
        <f t="shared" si="168"/>
        <v>1580500</v>
      </c>
      <c r="BW63" s="136">
        <f t="shared" si="169"/>
        <v>11076670833.333334</v>
      </c>
      <c r="BX63" s="136">
        <f t="shared" si="170"/>
        <v>0</v>
      </c>
      <c r="BY63" s="136">
        <f t="shared" si="171"/>
        <v>0</v>
      </c>
      <c r="BZ63" s="136">
        <f t="shared" si="172"/>
        <v>7655.2758986349281</v>
      </c>
      <c r="CA63" s="136">
        <f t="shared" si="173"/>
        <v>172722.16246295057</v>
      </c>
      <c r="CB63" s="136">
        <f t="shared" si="174"/>
        <v>5428.6721054031623</v>
      </c>
      <c r="CC63" s="136">
        <f t="shared" si="175"/>
        <v>86858.753686450596</v>
      </c>
      <c r="CE63" s="1137">
        <f t="shared" si="176"/>
        <v>277145400.95441002</v>
      </c>
      <c r="CF63" s="1136">
        <f t="shared" si="177"/>
        <v>411131448.88888884</v>
      </c>
      <c r="CG63" s="1136">
        <f t="shared" si="178"/>
        <v>0</v>
      </c>
      <c r="CH63" s="172">
        <f t="shared" si="179"/>
        <v>3912066770833.333</v>
      </c>
      <c r="CJ63" s="136">
        <f t="shared" si="180"/>
        <v>109405.61043672869</v>
      </c>
      <c r="CK63" s="7">
        <f t="shared" si="181"/>
        <v>113840993993.57278</v>
      </c>
      <c r="CL63" s="6">
        <f t="shared" si="182"/>
        <v>1346.8744099058233</v>
      </c>
      <c r="CM63" s="6">
        <f t="shared" si="183"/>
        <v>1285.1255900941767</v>
      </c>
      <c r="CN63" s="164">
        <f t="shared" si="73"/>
        <v>84522352.757101402</v>
      </c>
      <c r="CO63" s="164">
        <f t="shared" si="74"/>
        <v>88583555.468092635</v>
      </c>
      <c r="CP63" s="1137">
        <f t="shared" si="184"/>
        <v>103121874330.20694</v>
      </c>
      <c r="CQ63" s="1136">
        <f t="shared" si="185"/>
        <v>28830404581.115204</v>
      </c>
      <c r="CR63" s="22">
        <f t="shared" si="186"/>
        <v>109405.61043672869</v>
      </c>
      <c r="CS63" s="7">
        <f t="shared" si="187"/>
        <v>113840993993.57278</v>
      </c>
      <c r="CT63" s="6">
        <f t="shared" si="188"/>
        <v>1346.8744099058233</v>
      </c>
      <c r="CU63" s="12">
        <f t="shared" si="189"/>
        <v>1285.1255900941767</v>
      </c>
      <c r="CV63" s="164">
        <f t="shared" si="190"/>
        <v>84522352.757101402</v>
      </c>
      <c r="CW63" s="164">
        <f t="shared" si="191"/>
        <v>88583555.468092635</v>
      </c>
      <c r="CX63" s="1136">
        <f t="shared" si="192"/>
        <v>103121874330.20694</v>
      </c>
      <c r="CY63" s="1136">
        <f t="shared" si="193"/>
        <v>28830404581.115204</v>
      </c>
      <c r="CZ63" s="22">
        <f t="shared" si="194"/>
        <v>109405.61043672869</v>
      </c>
      <c r="DA63" s="7">
        <f t="shared" si="195"/>
        <v>113840993993.57278</v>
      </c>
      <c r="DB63" s="6">
        <f t="shared" si="196"/>
        <v>1346.8744099058233</v>
      </c>
      <c r="DC63" s="12">
        <f t="shared" si="197"/>
        <v>1285.1255900941767</v>
      </c>
      <c r="DD63" s="164">
        <f t="shared" si="75"/>
        <v>84522352.757101402</v>
      </c>
      <c r="DE63" s="164">
        <f t="shared" si="76"/>
        <v>88583555.468092635</v>
      </c>
      <c r="DF63" s="1136">
        <f t="shared" si="198"/>
        <v>103121874330.20694</v>
      </c>
      <c r="DG63" s="1136">
        <f t="shared" si="199"/>
        <v>28830404581.115204</v>
      </c>
      <c r="DH63" s="22">
        <f t="shared" si="200"/>
        <v>355063.55436390673</v>
      </c>
      <c r="DI63" s="172">
        <f t="shared" si="201"/>
        <v>279102938457.66693</v>
      </c>
      <c r="DJ63" s="12">
        <f t="shared" si="202"/>
        <v>329.91189451749597</v>
      </c>
      <c r="DK63" s="22">
        <f t="shared" si="203"/>
        <v>2302.088105482504</v>
      </c>
      <c r="DL63" s="164">
        <f t="shared" si="77"/>
        <v>845992348.55069911</v>
      </c>
      <c r="DM63" s="164">
        <f t="shared" si="78"/>
        <v>121239034.15901999</v>
      </c>
      <c r="DN63" s="7">
        <f t="shared" si="204"/>
        <v>711176464288.29077</v>
      </c>
      <c r="DO63" s="1136">
        <f t="shared" si="205"/>
        <v>166560239761.92953</v>
      </c>
      <c r="DP63" s="22">
        <f t="shared" si="206"/>
        <v>191291.59174578806</v>
      </c>
      <c r="DQ63" s="172">
        <f t="shared" si="207"/>
        <v>215599317361.93048</v>
      </c>
      <c r="DR63" s="22">
        <f t="shared" si="208"/>
        <v>717.66688772594102</v>
      </c>
      <c r="DS63" s="22">
        <f t="shared" si="209"/>
        <v>1914.333112274059</v>
      </c>
      <c r="DT63" s="164">
        <f t="shared" si="79"/>
        <v>300416977.63860393</v>
      </c>
      <c r="DU63" s="164">
        <f t="shared" si="80"/>
        <v>112623720.49022205</v>
      </c>
      <c r="DV63" s="1136">
        <f t="shared" si="210"/>
        <v>305806737649.56824</v>
      </c>
      <c r="DW63" s="1136">
        <f t="shared" si="211"/>
        <v>166560239761.92953</v>
      </c>
      <c r="DX63" s="763">
        <f t="shared" si="212"/>
        <v>122489.55844076678</v>
      </c>
      <c r="DY63" s="7">
        <f t="shared" si="213"/>
        <v>139631608579.18436</v>
      </c>
      <c r="DZ63" s="13">
        <f t="shared" si="214"/>
        <v>1188.5833585069154</v>
      </c>
      <c r="EA63" s="763">
        <f t="shared" si="215"/>
        <v>1443.4166414930846</v>
      </c>
      <c r="EB63" s="164">
        <f t="shared" si="81"/>
        <v>117477337.6892875</v>
      </c>
      <c r="EC63" s="164">
        <f t="shared" si="82"/>
        <v>96736870.398520574</v>
      </c>
      <c r="ED63" s="1136">
        <f t="shared" si="216"/>
        <v>711176464288.29077</v>
      </c>
      <c r="EE63" s="1136">
        <f t="shared" si="217"/>
        <v>166560239761.92953</v>
      </c>
      <c r="EF63" s="763">
        <f t="shared" si="218"/>
        <v>113766.92643807472</v>
      </c>
      <c r="EG63" s="7">
        <f t="shared" si="219"/>
        <v>123093743201.32808</v>
      </c>
      <c r="EH63" s="13">
        <f t="shared" si="220"/>
        <v>1290.0652780018902</v>
      </c>
      <c r="EI63" s="763">
        <f t="shared" si="221"/>
        <v>1341.9347219981098</v>
      </c>
      <c r="EJ63" s="164">
        <f t="shared" si="83"/>
        <v>95416677.97770752</v>
      </c>
      <c r="EK63" s="164">
        <f t="shared" si="84"/>
        <v>91728562.636820614</v>
      </c>
      <c r="EL63" s="1136">
        <f t="shared" si="85"/>
        <v>305806737649.56824</v>
      </c>
      <c r="EM63" s="1136">
        <f t="shared" si="86"/>
        <v>166560239761.92953</v>
      </c>
      <c r="EN63" s="164"/>
      <c r="EO63" s="1113" t="s">
        <v>2221</v>
      </c>
      <c r="EP63" s="1114">
        <v>109405.610436729</v>
      </c>
      <c r="EQ63" s="1114">
        <v>113840993993.573</v>
      </c>
      <c r="ER63" s="1115">
        <v>1346.8744099058199</v>
      </c>
      <c r="ES63" s="1115">
        <v>1285.1255900941801</v>
      </c>
      <c r="ET63" s="1114">
        <v>84522352.757101402</v>
      </c>
      <c r="EU63" s="1114">
        <v>88583555.468092605</v>
      </c>
      <c r="EV63" s="1114">
        <v>103121874330.207</v>
      </c>
      <c r="EW63" s="1114">
        <v>28830404581.1152</v>
      </c>
      <c r="EX63" s="1114">
        <v>109405.610436729</v>
      </c>
      <c r="EY63" s="1114">
        <v>113840993993.573</v>
      </c>
      <c r="EZ63" s="1115">
        <v>1346.8744099058199</v>
      </c>
      <c r="FA63" s="1115">
        <v>1285.1255900941801</v>
      </c>
      <c r="FB63" s="1114">
        <v>84522352.757101402</v>
      </c>
      <c r="FC63" s="1114">
        <v>88583555.468092605</v>
      </c>
      <c r="FD63" s="1114">
        <v>103121874330.207</v>
      </c>
      <c r="FE63" s="1114">
        <v>28830404581.1152</v>
      </c>
      <c r="FF63" s="1114">
        <v>109405.610436729</v>
      </c>
      <c r="FG63" s="1114">
        <v>113840993993.573</v>
      </c>
      <c r="FH63" s="1115">
        <v>1346.8744099058199</v>
      </c>
      <c r="FI63" s="1115">
        <v>1285.1255900941801</v>
      </c>
      <c r="FJ63" s="1114">
        <v>84522352.757101402</v>
      </c>
      <c r="FK63" s="1114">
        <v>88583555.468092605</v>
      </c>
      <c r="FL63" s="1114">
        <v>103121874330.207</v>
      </c>
      <c r="FM63" s="1114">
        <v>28830404581.1152</v>
      </c>
      <c r="FN63" s="1114">
        <v>355063.55436390702</v>
      </c>
      <c r="FO63" s="1114">
        <v>279102938457.66699</v>
      </c>
      <c r="FP63" s="1115">
        <v>329.91189451749602</v>
      </c>
      <c r="FQ63" s="1115">
        <v>2302.0881054824999</v>
      </c>
      <c r="FR63" s="1114">
        <v>845992348.55069995</v>
      </c>
      <c r="FS63" s="1114">
        <v>121239034.15902001</v>
      </c>
      <c r="FT63" s="1114">
        <v>711176464288.29102</v>
      </c>
      <c r="FU63" s="1114">
        <v>166560239761.92999</v>
      </c>
      <c r="FV63" s="1114">
        <v>191291.591745788</v>
      </c>
      <c r="FW63" s="1114">
        <v>215599317361.931</v>
      </c>
      <c r="FX63" s="1115">
        <v>717.66688772594102</v>
      </c>
      <c r="FY63" s="1115">
        <v>1914.3331122740601</v>
      </c>
      <c r="FZ63" s="1114">
        <v>300416977.63860399</v>
      </c>
      <c r="GA63" s="1114">
        <v>112623720.49022201</v>
      </c>
      <c r="GB63" s="1114">
        <v>305806737649.56799</v>
      </c>
      <c r="GC63" s="1114">
        <v>166560239761.92999</v>
      </c>
      <c r="GD63" s="1114">
        <v>122489.558440767</v>
      </c>
      <c r="GE63" s="1114">
        <v>139631608579.18399</v>
      </c>
      <c r="GF63" s="1115">
        <v>1188.5833585069199</v>
      </c>
      <c r="GG63" s="1115">
        <v>1443.4166414930801</v>
      </c>
      <c r="GH63" s="1114">
        <v>117477337.68928701</v>
      </c>
      <c r="GI63" s="1114">
        <v>96736870.398520499</v>
      </c>
      <c r="GJ63" s="1114">
        <v>711176464288.29102</v>
      </c>
      <c r="GK63" s="1114">
        <v>166560239761.92999</v>
      </c>
      <c r="GL63" s="1114">
        <v>113766.926438075</v>
      </c>
      <c r="GM63" s="1114">
        <v>123093743201.328</v>
      </c>
      <c r="GN63" s="1115">
        <v>1290.06527800189</v>
      </c>
      <c r="GO63" s="1115">
        <v>1341.93472199811</v>
      </c>
      <c r="GP63" s="1114">
        <v>95416677.977707505</v>
      </c>
      <c r="GQ63" s="1114">
        <v>91728562.636820599</v>
      </c>
      <c r="GR63" s="1114">
        <v>305806737649.56799</v>
      </c>
      <c r="GS63" s="1114">
        <v>166560239761.92999</v>
      </c>
      <c r="GU63" s="1171">
        <f t="shared" si="222"/>
        <v>-3.0559021979570389E-10</v>
      </c>
      <c r="GV63" s="1171">
        <f t="shared" si="223"/>
        <v>-2.13623046875E-4</v>
      </c>
      <c r="GW63" s="1171">
        <f t="shared" si="224"/>
        <v>3.4106051316484809E-12</v>
      </c>
      <c r="GX63" s="1171">
        <f t="shared" si="225"/>
        <v>-3.4106051316484809E-12</v>
      </c>
      <c r="GY63" s="1171">
        <f t="shared" si="226"/>
        <v>0</v>
      </c>
      <c r="GZ63" s="1171">
        <f t="shared" si="227"/>
        <v>0</v>
      </c>
      <c r="HA63" s="1171">
        <f t="shared" si="235"/>
        <v>0</v>
      </c>
      <c r="HB63" s="1171">
        <f t="shared" si="228"/>
        <v>0</v>
      </c>
      <c r="HC63" s="1171">
        <f t="shared" si="229"/>
        <v>-3.0559021979570389E-10</v>
      </c>
      <c r="HD63" s="1171">
        <f t="shared" si="230"/>
        <v>-2.13623046875E-4</v>
      </c>
      <c r="HE63" s="1171">
        <f t="shared" si="231"/>
        <v>3.4106051316484809E-12</v>
      </c>
      <c r="HF63" s="1171">
        <f t="shared" si="232"/>
        <v>-3.4106051316484809E-12</v>
      </c>
      <c r="HG63" s="1171">
        <f t="shared" si="89"/>
        <v>0</v>
      </c>
      <c r="HH63" s="1171">
        <f t="shared" si="90"/>
        <v>0</v>
      </c>
      <c r="HI63" s="1171">
        <f t="shared" si="91"/>
        <v>0</v>
      </c>
      <c r="HJ63" s="1171">
        <f t="shared" si="92"/>
        <v>0</v>
      </c>
      <c r="HK63" s="1171">
        <f t="shared" si="93"/>
        <v>-3.0559021979570389E-10</v>
      </c>
      <c r="HL63" s="1171">
        <f t="shared" si="94"/>
        <v>-2.13623046875E-4</v>
      </c>
      <c r="HM63" s="1171">
        <f t="shared" si="95"/>
        <v>3.4106051316484809E-12</v>
      </c>
      <c r="HN63" s="1171">
        <f t="shared" si="96"/>
        <v>-3.4106051316484809E-12</v>
      </c>
      <c r="HO63" s="1171">
        <f t="shared" si="97"/>
        <v>0</v>
      </c>
      <c r="HP63" s="1171">
        <f t="shared" si="98"/>
        <v>0</v>
      </c>
      <c r="HQ63" s="1171">
        <f t="shared" si="99"/>
        <v>0</v>
      </c>
      <c r="HR63" s="1171">
        <f t="shared" si="100"/>
        <v>0</v>
      </c>
      <c r="HS63" s="1171">
        <f t="shared" si="101"/>
        <v>0</v>
      </c>
      <c r="HT63" s="1171">
        <f t="shared" si="102"/>
        <v>0</v>
      </c>
      <c r="HU63" s="1171">
        <f t="shared" si="103"/>
        <v>0</v>
      </c>
      <c r="HV63" s="1171">
        <f t="shared" si="104"/>
        <v>4.0927261579781771E-12</v>
      </c>
      <c r="HW63" s="1171">
        <f t="shared" si="105"/>
        <v>0</v>
      </c>
      <c r="HX63" s="1171">
        <f t="shared" si="106"/>
        <v>0</v>
      </c>
      <c r="HY63" s="1171">
        <f t="shared" si="107"/>
        <v>0</v>
      </c>
      <c r="HZ63" s="1171">
        <f t="shared" si="108"/>
        <v>-4.57763671875E-4</v>
      </c>
      <c r="IA63" s="1171">
        <f t="shared" si="109"/>
        <v>0</v>
      </c>
      <c r="IB63" s="1171">
        <f t="shared" si="110"/>
        <v>-5.18798828125E-4</v>
      </c>
      <c r="IC63" s="1171">
        <f t="shared" si="111"/>
        <v>0</v>
      </c>
      <c r="ID63" s="1171">
        <f t="shared" si="112"/>
        <v>0</v>
      </c>
      <c r="IE63" s="1171">
        <f t="shared" si="113"/>
        <v>0</v>
      </c>
      <c r="IF63" s="1171">
        <f t="shared" si="114"/>
        <v>0</v>
      </c>
      <c r="IG63" s="1171">
        <f t="shared" si="115"/>
        <v>0</v>
      </c>
      <c r="IH63" s="1171">
        <f t="shared" si="116"/>
        <v>-4.57763671875E-4</v>
      </c>
      <c r="II63" s="1171">
        <f t="shared" si="117"/>
        <v>-2.1827872842550278E-10</v>
      </c>
      <c r="IJ63" s="1171">
        <f t="shared" si="118"/>
        <v>3.662109375E-4</v>
      </c>
      <c r="IK63" s="1171">
        <f t="shared" si="119"/>
        <v>-4.5474735088646412E-12</v>
      </c>
      <c r="IL63" s="1171">
        <f t="shared" si="120"/>
        <v>4.5474735088646412E-12</v>
      </c>
      <c r="IM63" s="1171">
        <f t="shared" si="121"/>
        <v>4.9173831939697266E-7</v>
      </c>
      <c r="IN63" s="1171">
        <f t="shared" si="122"/>
        <v>0</v>
      </c>
      <c r="IO63" s="1171">
        <f t="shared" si="123"/>
        <v>0</v>
      </c>
      <c r="IP63" s="1171">
        <f t="shared" si="124"/>
        <v>-4.57763671875E-4</v>
      </c>
      <c r="IQ63" s="1171">
        <f t="shared" si="125"/>
        <v>-2.7648638933897018E-10</v>
      </c>
      <c r="IR63" s="1171">
        <f t="shared" si="126"/>
        <v>0</v>
      </c>
      <c r="IS63" s="1171">
        <f t="shared" si="127"/>
        <v>0</v>
      </c>
      <c r="IT63" s="1171">
        <f t="shared" si="128"/>
        <v>0</v>
      </c>
      <c r="IU63" s="1171">
        <f t="shared" si="129"/>
        <v>0</v>
      </c>
      <c r="IV63" s="1171">
        <f t="shared" si="130"/>
        <v>0</v>
      </c>
      <c r="IW63" s="1171">
        <f t="shared" si="131"/>
        <v>0</v>
      </c>
      <c r="IX63" s="1171">
        <f t="shared" si="132"/>
        <v>-4.57763671875E-4</v>
      </c>
    </row>
    <row r="64" spans="1:258">
      <c r="B64" s="136" t="str">
        <f t="shared" ref="B64" si="263">LEFT(B62,3)+1&amp;"j"</f>
        <v>131j</v>
      </c>
      <c r="C64">
        <v>131.82</v>
      </c>
      <c r="D64" s="136">
        <v>0</v>
      </c>
      <c r="E64" t="s">
        <v>2103</v>
      </c>
      <c r="F64" s="26">
        <v>2</v>
      </c>
      <c r="G64" s="136">
        <v>500</v>
      </c>
      <c r="H64" s="136">
        <v>22</v>
      </c>
      <c r="I64" s="28">
        <v>250</v>
      </c>
      <c r="J64" s="26">
        <v>1940</v>
      </c>
      <c r="K64" s="136">
        <v>10</v>
      </c>
      <c r="L64" s="28">
        <v>120</v>
      </c>
      <c r="M64" s="26">
        <v>2600</v>
      </c>
      <c r="N64" s="28">
        <v>12</v>
      </c>
      <c r="O64" s="26">
        <v>0</v>
      </c>
      <c r="P64" s="26">
        <v>290</v>
      </c>
      <c r="Q64" s="26">
        <f>+Section!L125</f>
        <v>5450</v>
      </c>
      <c r="R64" s="169">
        <v>0</v>
      </c>
      <c r="S64" s="210">
        <v>0</v>
      </c>
      <c r="T64" s="27">
        <v>1175</v>
      </c>
      <c r="U64" s="27">
        <v>2350</v>
      </c>
      <c r="V64" s="28">
        <v>3850</v>
      </c>
      <c r="W64" s="210">
        <v>19</v>
      </c>
      <c r="X64" s="210">
        <v>200</v>
      </c>
      <c r="Y64" s="169">
        <v>50</v>
      </c>
      <c r="Z64" s="210">
        <v>16</v>
      </c>
      <c r="AA64" s="210">
        <v>200</v>
      </c>
      <c r="AB64" s="28">
        <v>40</v>
      </c>
      <c r="AC64" s="210">
        <v>0</v>
      </c>
      <c r="AD64" s="26">
        <v>2</v>
      </c>
      <c r="AE64" s="169">
        <v>160</v>
      </c>
      <c r="AF64" s="169">
        <v>16</v>
      </c>
      <c r="AG64" s="26">
        <v>0</v>
      </c>
      <c r="AH64" s="169">
        <v>0</v>
      </c>
      <c r="AI64" s="169">
        <v>0</v>
      </c>
      <c r="AJ64" s="397">
        <v>2</v>
      </c>
      <c r="AK64" s="210">
        <v>2500</v>
      </c>
      <c r="AL64" s="210">
        <v>5000</v>
      </c>
      <c r="AM64" s="210" t="s">
        <v>2316</v>
      </c>
      <c r="AN64" s="210">
        <v>2342</v>
      </c>
      <c r="AO64" s="1143" t="s">
        <v>2321</v>
      </c>
      <c r="AP64" s="1143" t="s">
        <v>2321</v>
      </c>
      <c r="AQ64" s="136">
        <v>150</v>
      </c>
      <c r="AR64" s="136">
        <v>14</v>
      </c>
      <c r="AS64" s="1143" t="s">
        <v>2448</v>
      </c>
      <c r="AT64" s="136">
        <v>120</v>
      </c>
      <c r="AU64" s="136">
        <v>12</v>
      </c>
      <c r="AZ64" s="1108">
        <v>8</v>
      </c>
      <c r="BA64" s="1108">
        <v>6</v>
      </c>
      <c r="BC64" s="1168"/>
      <c r="BD64" s="210">
        <f>INDEX(Spec!$B$12:$P$58,MATCH(AO64,Spec!$A$12:$A$58,0),6)*100</f>
        <v>1900</v>
      </c>
      <c r="BE64" s="210">
        <f>INDEX(Spec!$B$12:$P$58,MATCH(AP64,Spec!$A$12:$A$58,0),6)*100</f>
        <v>1900</v>
      </c>
      <c r="BF64" s="881">
        <f t="shared" si="161"/>
        <v>0.72729528785068354</v>
      </c>
      <c r="BG64" s="881">
        <f t="shared" si="162"/>
        <v>47.243485714285718</v>
      </c>
      <c r="BH64" s="881"/>
      <c r="BI64" s="13" cm="1">
        <f t="array" ref="BI64">INDEX(Info!$AD$4:$AH$15,MATCH(Info!$I$13,Info!$AC$4:$AC$15,0),IF(H64&lt;=16,1,IF(H64&lt;=40,2,IF(H64&lt;=75,3,IF(H64&lt;=100,4,5)))))</f>
        <v>380</v>
      </c>
      <c r="BJ64" s="13" cm="1">
        <f t="array" ref="BJ64">INDEX(Info!$AD$4:$AH$15,MATCH(Info!$I$13,Info!$AC$4:$AC$15,0),IF(K64&lt;=16,1,IF(K64&lt;=40,2,IF(K64&lt;=75,3,IF(K64&lt;=100,4,5)))))</f>
        <v>380</v>
      </c>
      <c r="BK64" s="13" cm="1">
        <f t="array" ref="BK64">INDEX(Info!$AD$4:$AH$15,MATCH(Info!$I$14,Info!$AC$4:$AC$15,0),IF(N64&lt;=16,1,IF(N64&lt;=40,2,IF(N64&lt;=75,3,IF(N64&lt;=100,4,5)))))</f>
        <v>355</v>
      </c>
      <c r="BL64" s="13">
        <f>IF(Stress!C893="Positive",MAX(MIN(0.7*BI64,BK64),0.5*BI64),MAX(MIN(0.7*BJ64,BK64),0.5*BJ64))</f>
        <v>266</v>
      </c>
      <c r="BM64" s="13" cm="1">
        <f t="array" ref="BM64">INDEX(Info!$AD$4:$AH$15,MATCH(Info!$I$13,Info!$AC$4:$AC$15,0),IF(AI64&lt;=16,1,IF(AI64&lt;=40,2,IF(AI64&lt;=75,3,IF(AI64&lt;=100,4,5)))))</f>
        <v>380</v>
      </c>
      <c r="BN64" s="13" cm="1">
        <f t="array" ref="BN64">INDEX(Info!$AD$4:$AH$15,MATCH(Info!$I$13,Info!$AC$4:$AC$15,0),IF(AF64&lt;=16,1,IF(AF64&lt;=40,2,IF(AF64&lt;=75,3,IF(AF64&lt;=100,4,5)))))</f>
        <v>380</v>
      </c>
      <c r="BO64" s="13"/>
      <c r="BP64" s="13">
        <f t="shared" si="163"/>
        <v>0.125</v>
      </c>
      <c r="BQ64" s="13">
        <f t="shared" si="164"/>
        <v>2620.2337681970284</v>
      </c>
      <c r="BR64" s="13">
        <f t="shared" si="165"/>
        <v>2900</v>
      </c>
      <c r="BS64" s="13"/>
      <c r="BT64" s="136">
        <f t="shared" si="166"/>
        <v>0</v>
      </c>
      <c r="BU64" s="136">
        <f t="shared" si="167"/>
        <v>0</v>
      </c>
      <c r="BV64" s="136">
        <f t="shared" si="168"/>
        <v>1580500</v>
      </c>
      <c r="BW64" s="136">
        <f t="shared" si="169"/>
        <v>11076670833.333334</v>
      </c>
      <c r="BX64" s="136">
        <f t="shared" si="170"/>
        <v>0</v>
      </c>
      <c r="BY64" s="136">
        <f t="shared" si="171"/>
        <v>0</v>
      </c>
      <c r="BZ64" s="136">
        <f t="shared" si="172"/>
        <v>7655.2758986349281</v>
      </c>
      <c r="CA64" s="136">
        <f t="shared" si="173"/>
        <v>172722.16246295057</v>
      </c>
      <c r="CB64" s="136">
        <f t="shared" si="174"/>
        <v>5428.6721054031623</v>
      </c>
      <c r="CC64" s="136">
        <f t="shared" si="175"/>
        <v>86858.753686450596</v>
      </c>
      <c r="CE64" s="1137">
        <f t="shared" si="176"/>
        <v>277145400.95441002</v>
      </c>
      <c r="CF64" s="1136">
        <f t="shared" si="177"/>
        <v>411131448.88888884</v>
      </c>
      <c r="CG64" s="1136">
        <f t="shared" si="178"/>
        <v>0</v>
      </c>
      <c r="CH64" s="172">
        <f t="shared" si="179"/>
        <v>3912066770833.333</v>
      </c>
      <c r="CJ64" s="136">
        <f t="shared" si="180"/>
        <v>109405.61043672869</v>
      </c>
      <c r="CK64" s="7">
        <f t="shared" si="181"/>
        <v>113840993993.57278</v>
      </c>
      <c r="CL64" s="6">
        <f t="shared" si="182"/>
        <v>1346.8744099058233</v>
      </c>
      <c r="CM64" s="6">
        <f t="shared" si="183"/>
        <v>1285.1255900941767</v>
      </c>
      <c r="CN64" s="164">
        <f t="shared" si="73"/>
        <v>84522352.757101402</v>
      </c>
      <c r="CO64" s="164">
        <f t="shared" si="74"/>
        <v>88583555.468092635</v>
      </c>
      <c r="CP64" s="1137">
        <f t="shared" si="184"/>
        <v>103121874330.20694</v>
      </c>
      <c r="CQ64" s="1136">
        <f t="shared" si="185"/>
        <v>28830404581.115204</v>
      </c>
      <c r="CR64" s="22">
        <f t="shared" si="186"/>
        <v>109405.61043672869</v>
      </c>
      <c r="CS64" s="7">
        <f t="shared" si="187"/>
        <v>113840993993.57278</v>
      </c>
      <c r="CT64" s="6">
        <f t="shared" si="188"/>
        <v>1346.8744099058233</v>
      </c>
      <c r="CU64" s="12">
        <f t="shared" si="189"/>
        <v>1285.1255900941767</v>
      </c>
      <c r="CV64" s="164">
        <f t="shared" si="190"/>
        <v>84522352.757101402</v>
      </c>
      <c r="CW64" s="164">
        <f t="shared" si="191"/>
        <v>88583555.468092635</v>
      </c>
      <c r="CX64" s="1136">
        <f t="shared" si="192"/>
        <v>103121874330.20694</v>
      </c>
      <c r="CY64" s="1136">
        <f t="shared" si="193"/>
        <v>28830404581.115204</v>
      </c>
      <c r="CZ64" s="22">
        <f t="shared" si="194"/>
        <v>109405.61043672869</v>
      </c>
      <c r="DA64" s="7">
        <f t="shared" si="195"/>
        <v>113840993993.57278</v>
      </c>
      <c r="DB64" s="6">
        <f t="shared" si="196"/>
        <v>1346.8744099058233</v>
      </c>
      <c r="DC64" s="12">
        <f t="shared" si="197"/>
        <v>1285.1255900941767</v>
      </c>
      <c r="DD64" s="164">
        <f t="shared" si="75"/>
        <v>84522352.757101402</v>
      </c>
      <c r="DE64" s="164">
        <f t="shared" si="76"/>
        <v>88583555.468092635</v>
      </c>
      <c r="DF64" s="1136">
        <f t="shared" si="198"/>
        <v>103121874330.20694</v>
      </c>
      <c r="DG64" s="1136">
        <f t="shared" si="199"/>
        <v>28830404581.115204</v>
      </c>
      <c r="DH64" s="22">
        <f t="shared" si="200"/>
        <v>355063.55436390673</v>
      </c>
      <c r="DI64" s="172">
        <f t="shared" si="201"/>
        <v>279102938457.66693</v>
      </c>
      <c r="DJ64" s="12">
        <f t="shared" si="202"/>
        <v>329.91189451749597</v>
      </c>
      <c r="DK64" s="22">
        <f t="shared" si="203"/>
        <v>2302.088105482504</v>
      </c>
      <c r="DL64" s="164">
        <f t="shared" si="77"/>
        <v>845992348.55069911</v>
      </c>
      <c r="DM64" s="164">
        <f t="shared" si="78"/>
        <v>121239034.15901999</v>
      </c>
      <c r="DN64" s="7">
        <f t="shared" si="204"/>
        <v>711176464288.29077</v>
      </c>
      <c r="DO64" s="1136">
        <f t="shared" si="205"/>
        <v>166560239761.92953</v>
      </c>
      <c r="DP64" s="22">
        <f t="shared" si="206"/>
        <v>191291.59174578806</v>
      </c>
      <c r="DQ64" s="172">
        <f t="shared" si="207"/>
        <v>215599317361.93048</v>
      </c>
      <c r="DR64" s="22">
        <f t="shared" si="208"/>
        <v>717.66688772594102</v>
      </c>
      <c r="DS64" s="22">
        <f t="shared" si="209"/>
        <v>1914.333112274059</v>
      </c>
      <c r="DT64" s="164">
        <f t="shared" si="79"/>
        <v>300416977.63860393</v>
      </c>
      <c r="DU64" s="164">
        <f t="shared" si="80"/>
        <v>112623720.49022205</v>
      </c>
      <c r="DV64" s="1136">
        <f t="shared" si="210"/>
        <v>305806737649.56824</v>
      </c>
      <c r="DW64" s="1136">
        <f t="shared" si="211"/>
        <v>166560239761.92953</v>
      </c>
      <c r="DX64" s="763">
        <f t="shared" si="212"/>
        <v>122489.55844076678</v>
      </c>
      <c r="DY64" s="7">
        <f t="shared" si="213"/>
        <v>139631608579.18436</v>
      </c>
      <c r="DZ64" s="13">
        <f t="shared" si="214"/>
        <v>1188.5833585069154</v>
      </c>
      <c r="EA64" s="763">
        <f t="shared" si="215"/>
        <v>1443.4166414930846</v>
      </c>
      <c r="EB64" s="164">
        <f t="shared" si="81"/>
        <v>117477337.6892875</v>
      </c>
      <c r="EC64" s="164">
        <f t="shared" si="82"/>
        <v>96736870.398520574</v>
      </c>
      <c r="ED64" s="1136">
        <f t="shared" si="216"/>
        <v>711176464288.29077</v>
      </c>
      <c r="EE64" s="1136">
        <f t="shared" si="217"/>
        <v>166560239761.92953</v>
      </c>
      <c r="EF64" s="763">
        <f t="shared" si="218"/>
        <v>113766.92643807472</v>
      </c>
      <c r="EG64" s="7">
        <f t="shared" si="219"/>
        <v>123093743201.32808</v>
      </c>
      <c r="EH64" s="13">
        <f t="shared" si="220"/>
        <v>1290.0652780018902</v>
      </c>
      <c r="EI64" s="763">
        <f t="shared" si="221"/>
        <v>1341.9347219981098</v>
      </c>
      <c r="EJ64" s="164">
        <f t="shared" si="83"/>
        <v>95416677.97770752</v>
      </c>
      <c r="EK64" s="164">
        <f t="shared" si="84"/>
        <v>91728562.636820614</v>
      </c>
      <c r="EL64" s="1136">
        <f t="shared" si="85"/>
        <v>305806737649.56824</v>
      </c>
      <c r="EM64" s="1136">
        <f t="shared" si="86"/>
        <v>166560239761.92953</v>
      </c>
      <c r="EN64" s="164"/>
      <c r="EO64" s="1113" t="s">
        <v>2222</v>
      </c>
      <c r="EP64" s="1114">
        <v>109405.610436729</v>
      </c>
      <c r="EQ64" s="1114">
        <v>113840993993.573</v>
      </c>
      <c r="ER64" s="1115">
        <v>1346.8744099058199</v>
      </c>
      <c r="ES64" s="1115">
        <v>1285.1255900941801</v>
      </c>
      <c r="ET64" s="1114">
        <v>84522352.757101402</v>
      </c>
      <c r="EU64" s="1114">
        <v>88583555.468092605</v>
      </c>
      <c r="EV64" s="1114">
        <v>103121874330.207</v>
      </c>
      <c r="EW64" s="1114">
        <v>28830404581.1152</v>
      </c>
      <c r="EX64" s="1114">
        <v>109405.610436729</v>
      </c>
      <c r="EY64" s="1114">
        <v>113840993993.573</v>
      </c>
      <c r="EZ64" s="1115">
        <v>1346.8744099058199</v>
      </c>
      <c r="FA64" s="1115">
        <v>1285.1255900941801</v>
      </c>
      <c r="FB64" s="1114">
        <v>84522352.757101402</v>
      </c>
      <c r="FC64" s="1114">
        <v>88583555.468092605</v>
      </c>
      <c r="FD64" s="1114">
        <v>103121874330.207</v>
      </c>
      <c r="FE64" s="1114">
        <v>28830404581.1152</v>
      </c>
      <c r="FF64" s="1114">
        <v>109405.610436729</v>
      </c>
      <c r="FG64" s="1114">
        <v>113840993993.573</v>
      </c>
      <c r="FH64" s="1115">
        <v>1346.8744099058199</v>
      </c>
      <c r="FI64" s="1115">
        <v>1285.1255900941801</v>
      </c>
      <c r="FJ64" s="1114">
        <v>84522352.757101402</v>
      </c>
      <c r="FK64" s="1114">
        <v>88583555.468092605</v>
      </c>
      <c r="FL64" s="1114">
        <v>103121874330.207</v>
      </c>
      <c r="FM64" s="1114">
        <v>28830404581.1152</v>
      </c>
      <c r="FN64" s="1114">
        <v>355063.55436390702</v>
      </c>
      <c r="FO64" s="1114">
        <v>279102938457.66699</v>
      </c>
      <c r="FP64" s="1115">
        <v>329.91189451749602</v>
      </c>
      <c r="FQ64" s="1115">
        <v>2302.0881054824999</v>
      </c>
      <c r="FR64" s="1114">
        <v>845992348.55069995</v>
      </c>
      <c r="FS64" s="1114">
        <v>121239034.15902001</v>
      </c>
      <c r="FT64" s="1114">
        <v>711176464288.29102</v>
      </c>
      <c r="FU64" s="1114">
        <v>166560239761.92999</v>
      </c>
      <c r="FV64" s="1114">
        <v>191291.591745788</v>
      </c>
      <c r="FW64" s="1114">
        <v>215599317361.931</v>
      </c>
      <c r="FX64" s="1115">
        <v>717.66688772594102</v>
      </c>
      <c r="FY64" s="1115">
        <v>1914.3331122740601</v>
      </c>
      <c r="FZ64" s="1114">
        <v>300416977.63860399</v>
      </c>
      <c r="GA64" s="1114">
        <v>112623720.49022201</v>
      </c>
      <c r="GB64" s="1114">
        <v>305806737649.56799</v>
      </c>
      <c r="GC64" s="1114">
        <v>166560239761.92999</v>
      </c>
      <c r="GD64" s="1114">
        <v>122489.558440767</v>
      </c>
      <c r="GE64" s="1114">
        <v>139631608579.18399</v>
      </c>
      <c r="GF64" s="1115">
        <v>1188.5833585069199</v>
      </c>
      <c r="GG64" s="1115">
        <v>1443.4166414930801</v>
      </c>
      <c r="GH64" s="1114">
        <v>117477337.68928701</v>
      </c>
      <c r="GI64" s="1114">
        <v>96736870.398520499</v>
      </c>
      <c r="GJ64" s="1114">
        <v>711176464288.29102</v>
      </c>
      <c r="GK64" s="1114">
        <v>166560239761.92999</v>
      </c>
      <c r="GL64" s="1114">
        <v>113766.926438075</v>
      </c>
      <c r="GM64" s="1114">
        <v>123093743201.328</v>
      </c>
      <c r="GN64" s="1115">
        <v>1290.06527800189</v>
      </c>
      <c r="GO64" s="1115">
        <v>1341.93472199811</v>
      </c>
      <c r="GP64" s="1114">
        <v>95416677.977707505</v>
      </c>
      <c r="GQ64" s="1114">
        <v>91728562.636820599</v>
      </c>
      <c r="GR64" s="1114">
        <v>305806737649.56799</v>
      </c>
      <c r="GS64" s="1114">
        <v>166560239761.92999</v>
      </c>
      <c r="GU64" s="1171">
        <f t="shared" si="222"/>
        <v>-3.0559021979570389E-10</v>
      </c>
      <c r="GV64" s="1171">
        <f t="shared" si="223"/>
        <v>-2.13623046875E-4</v>
      </c>
      <c r="GW64" s="1171">
        <f t="shared" si="224"/>
        <v>3.4106051316484809E-12</v>
      </c>
      <c r="GX64" s="1171">
        <f t="shared" si="225"/>
        <v>-3.4106051316484809E-12</v>
      </c>
      <c r="GY64" s="1171">
        <f t="shared" si="226"/>
        <v>0</v>
      </c>
      <c r="GZ64" s="1171">
        <f t="shared" si="227"/>
        <v>0</v>
      </c>
      <c r="HA64" s="1171">
        <f t="shared" si="235"/>
        <v>0</v>
      </c>
      <c r="HB64" s="1171">
        <f t="shared" si="228"/>
        <v>0</v>
      </c>
      <c r="HC64" s="1171">
        <f t="shared" si="229"/>
        <v>-3.0559021979570389E-10</v>
      </c>
      <c r="HD64" s="1171">
        <f t="shared" si="230"/>
        <v>-2.13623046875E-4</v>
      </c>
      <c r="HE64" s="1171">
        <f t="shared" si="231"/>
        <v>3.4106051316484809E-12</v>
      </c>
      <c r="HF64" s="1171">
        <f t="shared" si="232"/>
        <v>-3.4106051316484809E-12</v>
      </c>
      <c r="HG64" s="1171">
        <f t="shared" si="89"/>
        <v>0</v>
      </c>
      <c r="HH64" s="1171">
        <f t="shared" si="90"/>
        <v>0</v>
      </c>
      <c r="HI64" s="1171">
        <f t="shared" si="91"/>
        <v>0</v>
      </c>
      <c r="HJ64" s="1171">
        <f t="shared" si="92"/>
        <v>0</v>
      </c>
      <c r="HK64" s="1171">
        <f t="shared" si="93"/>
        <v>-3.0559021979570389E-10</v>
      </c>
      <c r="HL64" s="1171">
        <f t="shared" si="94"/>
        <v>-2.13623046875E-4</v>
      </c>
      <c r="HM64" s="1171">
        <f t="shared" si="95"/>
        <v>3.4106051316484809E-12</v>
      </c>
      <c r="HN64" s="1171">
        <f t="shared" si="96"/>
        <v>-3.4106051316484809E-12</v>
      </c>
      <c r="HO64" s="1171">
        <f t="shared" si="97"/>
        <v>0</v>
      </c>
      <c r="HP64" s="1171">
        <f t="shared" si="98"/>
        <v>0</v>
      </c>
      <c r="HQ64" s="1171">
        <f t="shared" si="99"/>
        <v>0</v>
      </c>
      <c r="HR64" s="1171">
        <f t="shared" si="100"/>
        <v>0</v>
      </c>
      <c r="HS64" s="1171">
        <f t="shared" si="101"/>
        <v>0</v>
      </c>
      <c r="HT64" s="1171">
        <f t="shared" si="102"/>
        <v>0</v>
      </c>
      <c r="HU64" s="1171">
        <f t="shared" si="103"/>
        <v>0</v>
      </c>
      <c r="HV64" s="1171">
        <f t="shared" si="104"/>
        <v>4.0927261579781771E-12</v>
      </c>
      <c r="HW64" s="1171">
        <f t="shared" si="105"/>
        <v>0</v>
      </c>
      <c r="HX64" s="1171">
        <f t="shared" si="106"/>
        <v>0</v>
      </c>
      <c r="HY64" s="1171">
        <f t="shared" si="107"/>
        <v>0</v>
      </c>
      <c r="HZ64" s="1171">
        <f t="shared" si="108"/>
        <v>-4.57763671875E-4</v>
      </c>
      <c r="IA64" s="1171">
        <f t="shared" si="109"/>
        <v>0</v>
      </c>
      <c r="IB64" s="1171">
        <f t="shared" si="110"/>
        <v>-5.18798828125E-4</v>
      </c>
      <c r="IC64" s="1171">
        <f t="shared" si="111"/>
        <v>0</v>
      </c>
      <c r="ID64" s="1171">
        <f t="shared" si="112"/>
        <v>0</v>
      </c>
      <c r="IE64" s="1171">
        <f t="shared" si="113"/>
        <v>0</v>
      </c>
      <c r="IF64" s="1171">
        <f t="shared" si="114"/>
        <v>0</v>
      </c>
      <c r="IG64" s="1171">
        <f t="shared" si="115"/>
        <v>0</v>
      </c>
      <c r="IH64" s="1171">
        <f t="shared" si="116"/>
        <v>-4.57763671875E-4</v>
      </c>
      <c r="II64" s="1171">
        <f t="shared" si="117"/>
        <v>-2.1827872842550278E-10</v>
      </c>
      <c r="IJ64" s="1171">
        <f t="shared" si="118"/>
        <v>3.662109375E-4</v>
      </c>
      <c r="IK64" s="1171">
        <f t="shared" si="119"/>
        <v>-4.5474735088646412E-12</v>
      </c>
      <c r="IL64" s="1171">
        <f t="shared" si="120"/>
        <v>4.5474735088646412E-12</v>
      </c>
      <c r="IM64" s="1171">
        <f t="shared" si="121"/>
        <v>4.9173831939697266E-7</v>
      </c>
      <c r="IN64" s="1171">
        <f t="shared" si="122"/>
        <v>0</v>
      </c>
      <c r="IO64" s="1171">
        <f t="shared" si="123"/>
        <v>0</v>
      </c>
      <c r="IP64" s="1171">
        <f t="shared" si="124"/>
        <v>-4.57763671875E-4</v>
      </c>
      <c r="IQ64" s="1171">
        <f t="shared" si="125"/>
        <v>-2.7648638933897018E-10</v>
      </c>
      <c r="IR64" s="1171">
        <f t="shared" si="126"/>
        <v>0</v>
      </c>
      <c r="IS64" s="1171">
        <f t="shared" si="127"/>
        <v>0</v>
      </c>
      <c r="IT64" s="1171">
        <f t="shared" si="128"/>
        <v>0</v>
      </c>
      <c r="IU64" s="1171">
        <f t="shared" si="129"/>
        <v>0</v>
      </c>
      <c r="IV64" s="1171">
        <f t="shared" si="130"/>
        <v>0</v>
      </c>
      <c r="IW64" s="1171">
        <f t="shared" si="131"/>
        <v>0</v>
      </c>
      <c r="IX64" s="1171">
        <f t="shared" si="132"/>
        <v>-4.57763671875E-4</v>
      </c>
    </row>
    <row r="65" spans="1:145" s="86" customFormat="1">
      <c r="A65" s="86">
        <v>101</v>
      </c>
      <c r="B65" s="86" t="s">
        <v>2082</v>
      </c>
      <c r="C65" s="86">
        <v>0</v>
      </c>
      <c r="D65" s="86">
        <v>0</v>
      </c>
      <c r="E65" s="86" t="s">
        <v>2104</v>
      </c>
      <c r="F65" s="888">
        <v>2</v>
      </c>
      <c r="G65" s="86">
        <v>500</v>
      </c>
      <c r="H65" s="86">
        <v>22</v>
      </c>
      <c r="I65" s="889">
        <v>250</v>
      </c>
      <c r="J65" s="888">
        <v>1940</v>
      </c>
      <c r="K65" s="86">
        <v>12</v>
      </c>
      <c r="L65" s="889">
        <v>120</v>
      </c>
      <c r="M65" s="888">
        <v>2600</v>
      </c>
      <c r="N65" s="889">
        <v>12</v>
      </c>
      <c r="O65" s="888">
        <v>0</v>
      </c>
      <c r="P65" s="26">
        <v>290</v>
      </c>
      <c r="Q65" s="397">
        <v>5450</v>
      </c>
      <c r="R65" s="169">
        <v>0</v>
      </c>
      <c r="S65" s="210">
        <v>0</v>
      </c>
      <c r="T65" s="890">
        <v>1175</v>
      </c>
      <c r="U65" s="890">
        <v>2350</v>
      </c>
      <c r="V65" s="889">
        <v>3850</v>
      </c>
      <c r="W65" s="890">
        <v>19</v>
      </c>
      <c r="X65" s="890">
        <v>200</v>
      </c>
      <c r="Y65" s="890">
        <v>50</v>
      </c>
      <c r="Z65" s="890">
        <v>16</v>
      </c>
      <c r="AA65" s="890">
        <v>200</v>
      </c>
      <c r="AB65" s="889">
        <v>40</v>
      </c>
      <c r="AC65" s="890">
        <v>0</v>
      </c>
      <c r="AD65" s="888">
        <v>2</v>
      </c>
      <c r="AE65" s="890">
        <v>160</v>
      </c>
      <c r="AF65" s="890">
        <v>16</v>
      </c>
      <c r="AG65" s="888">
        <v>0</v>
      </c>
      <c r="AH65" s="890">
        <v>0</v>
      </c>
      <c r="AI65" s="890">
        <v>0</v>
      </c>
      <c r="AJ65" s="397">
        <v>2</v>
      </c>
      <c r="AK65" s="210">
        <v>2500</v>
      </c>
      <c r="AL65" s="890">
        <v>5000</v>
      </c>
      <c r="AM65" s="210" t="s">
        <v>2316</v>
      </c>
      <c r="AN65" s="210">
        <v>1587.5</v>
      </c>
      <c r="AO65" s="1143" t="s">
        <v>2321</v>
      </c>
      <c r="AP65" s="1143" t="s">
        <v>2321</v>
      </c>
      <c r="AQ65" s="1143"/>
      <c r="AR65" s="1143"/>
      <c r="AS65" s="1143"/>
      <c r="AT65" s="1143"/>
      <c r="AU65" s="1143"/>
      <c r="AV65" s="1112"/>
      <c r="AW65" s="1112"/>
      <c r="AX65" s="1112"/>
      <c r="AY65" s="1112"/>
      <c r="AZ65" s="1108">
        <v>8</v>
      </c>
      <c r="BA65" s="1108">
        <v>6</v>
      </c>
      <c r="BB65" s="1112"/>
      <c r="BC65" s="1168"/>
      <c r="BD65" s="210">
        <f>INDEX(Spec!$B$12:$P$58,MATCH(AO65,Spec!$A$12:$A$58,0),6)*100</f>
        <v>1900</v>
      </c>
      <c r="BE65" s="210">
        <f>INDEX(Spec!$B$12:$P$58,MATCH(AP65,Spec!$A$12:$A$58,0),6)*100</f>
        <v>1900</v>
      </c>
      <c r="BF65" s="881">
        <f t="shared" si="161"/>
        <v>0.79858873711493117</v>
      </c>
      <c r="BG65" s="881">
        <f t="shared" si="162"/>
        <v>47.243485714285718</v>
      </c>
      <c r="BH65" s="881"/>
      <c r="BI65" s="13" cm="1">
        <f t="array" ref="BI65">INDEX(Info!$AD$4:$AH$15,MATCH(Info!$I$13,Info!$AC$4:$AC$15,0),IF(H65&lt;=16,1,IF(H65&lt;=40,2,IF(H65&lt;=75,3,IF(H65&lt;=100,4,5)))))</f>
        <v>380</v>
      </c>
      <c r="BJ65" s="13" cm="1">
        <f t="array" ref="BJ65">INDEX(Info!$AD$4:$AH$15,MATCH(Info!$I$13,Info!$AC$4:$AC$15,0),IF(K65&lt;=16,1,IF(K65&lt;=40,2,IF(K65&lt;=75,3,IF(K65&lt;=100,4,5)))))</f>
        <v>380</v>
      </c>
      <c r="BK65" s="13" cm="1">
        <f t="array" ref="BK65">INDEX(Info!$AD$4:$AH$15,MATCH(Info!$I$14,Info!$AC$4:$AC$15,0),IF(N65&lt;=16,1,IF(N65&lt;=40,2,IF(N65&lt;=75,3,IF(N65&lt;=100,4,5)))))</f>
        <v>355</v>
      </c>
      <c r="BL65" s="13">
        <f>IF(Stress!C894="Positive",MAX(MIN(0.7*BI65,BK65),0.5*BI65),MAX(MIN(0.7*BJ65,BK65),0.5*BJ65))</f>
        <v>266</v>
      </c>
      <c r="BM65" s="13" cm="1">
        <f t="array" ref="BM65">INDEX(Info!$AD$4:$AH$15,MATCH(Info!$I$13,Info!$AC$4:$AC$15,0),IF(AI65&lt;=16,1,IF(AI65&lt;=40,2,IF(AI65&lt;=75,3,IF(AI65&lt;=100,4,5)))))</f>
        <v>380</v>
      </c>
      <c r="BN65" s="13" cm="1">
        <f t="array" ref="BN65">INDEX(Info!$AD$4:$AH$15,MATCH(Info!$I$13,Info!$AC$4:$AC$15,0),IF(AF65&lt;=16,1,IF(AF65&lt;=40,2,IF(AF65&lt;=75,3,IF(AF65&lt;=100,4,5)))))</f>
        <v>380</v>
      </c>
      <c r="BO65" s="13"/>
      <c r="BP65" s="891">
        <f t="shared" si="163"/>
        <v>0.125</v>
      </c>
      <c r="BQ65" s="891">
        <f t="shared" si="164"/>
        <v>2620.2337681970284</v>
      </c>
      <c r="BR65" s="891">
        <f t="shared" si="165"/>
        <v>2902</v>
      </c>
      <c r="BS65" s="891"/>
      <c r="BT65" s="86">
        <f t="shared" si="166"/>
        <v>0</v>
      </c>
      <c r="BU65" s="136">
        <f t="shared" si="167"/>
        <v>0</v>
      </c>
      <c r="BV65" s="86">
        <f t="shared" si="168"/>
        <v>1580500</v>
      </c>
      <c r="BW65" s="86">
        <f t="shared" si="169"/>
        <v>11076670833.333334</v>
      </c>
      <c r="BX65" s="86">
        <f t="shared" si="170"/>
        <v>0</v>
      </c>
      <c r="BY65" s="86">
        <f t="shared" si="171"/>
        <v>0</v>
      </c>
      <c r="BZ65" s="86">
        <f t="shared" si="172"/>
        <v>7655.2758986349281</v>
      </c>
      <c r="CA65" s="86">
        <f t="shared" si="173"/>
        <v>172722.16246295057</v>
      </c>
      <c r="CB65" s="86">
        <f t="shared" si="174"/>
        <v>5428.6721054031623</v>
      </c>
      <c r="CC65" s="86">
        <f t="shared" si="175"/>
        <v>86858.753686450596</v>
      </c>
      <c r="CE65" s="1137">
        <f t="shared" si="176"/>
        <v>277145400.95441002</v>
      </c>
      <c r="CF65" s="1136">
        <f t="shared" si="177"/>
        <v>411131448.88888884</v>
      </c>
      <c r="CG65" s="1136">
        <f t="shared" si="178"/>
        <v>0</v>
      </c>
      <c r="CH65" s="172">
        <f t="shared" si="179"/>
        <v>3912066770833.333</v>
      </c>
      <c r="CJ65" s="136">
        <f t="shared" si="180"/>
        <v>113285.61043672869</v>
      </c>
      <c r="CK65" s="7">
        <f t="shared" si="181"/>
        <v>120039163080.32585</v>
      </c>
      <c r="CL65" s="893">
        <f t="shared" si="182"/>
        <v>1390.9238462846163</v>
      </c>
      <c r="CM65" s="6">
        <f t="shared" si="183"/>
        <v>1243.0761537153837</v>
      </c>
      <c r="CN65" s="894">
        <f>+CK65/CL65</f>
        <v>86301750.739963204</v>
      </c>
      <c r="CO65" s="894">
        <f>+CK65/CM65</f>
        <v>96566218.18506074</v>
      </c>
      <c r="CP65" s="1137">
        <f t="shared" si="184"/>
        <v>104338771663.54027</v>
      </c>
      <c r="CQ65" s="1136">
        <f t="shared" si="185"/>
        <v>31467210010.612415</v>
      </c>
      <c r="CR65" s="895">
        <f t="shared" si="186"/>
        <v>113285.61043672869</v>
      </c>
      <c r="CS65" s="892">
        <f t="shared" si="187"/>
        <v>120039163080.32585</v>
      </c>
      <c r="CT65" s="893">
        <f t="shared" si="188"/>
        <v>1390.9238462846163</v>
      </c>
      <c r="CU65" s="896">
        <f t="shared" si="189"/>
        <v>1243.0761537153837</v>
      </c>
      <c r="CV65" s="894">
        <f t="shared" si="190"/>
        <v>86301750.739963204</v>
      </c>
      <c r="CW65" s="894">
        <f t="shared" si="191"/>
        <v>96566218.18506074</v>
      </c>
      <c r="CX65" s="1136">
        <f t="shared" si="192"/>
        <v>104338771663.54027</v>
      </c>
      <c r="CY65" s="1136">
        <f t="shared" si="193"/>
        <v>31467210010.612415</v>
      </c>
      <c r="CZ65" s="895">
        <f t="shared" si="194"/>
        <v>113285.61043672869</v>
      </c>
      <c r="DA65" s="892">
        <f t="shared" si="195"/>
        <v>120039163080.32585</v>
      </c>
      <c r="DB65" s="893">
        <f t="shared" si="196"/>
        <v>1390.9238462846163</v>
      </c>
      <c r="DC65" s="896">
        <f t="shared" si="197"/>
        <v>1243.0761537153837</v>
      </c>
      <c r="DD65" s="894">
        <f>+DA65/DB65</f>
        <v>86301750.739963204</v>
      </c>
      <c r="DE65" s="894">
        <f>+DA65/DC65</f>
        <v>96566218.18506074</v>
      </c>
      <c r="DF65" s="1136">
        <f t="shared" si="198"/>
        <v>104338771663.54027</v>
      </c>
      <c r="DG65" s="1136">
        <f t="shared" si="199"/>
        <v>31467210010.612415</v>
      </c>
      <c r="DH65" s="895">
        <f t="shared" si="200"/>
        <v>358943.55436390673</v>
      </c>
      <c r="DI65" s="897">
        <f t="shared" si="201"/>
        <v>299460829947.74213</v>
      </c>
      <c r="DJ65" s="896">
        <f t="shared" si="202"/>
        <v>354.80712314225229</v>
      </c>
      <c r="DK65" s="895">
        <f t="shared" si="203"/>
        <v>2279.1928768577477</v>
      </c>
      <c r="DL65" s="894">
        <f>+DI65/DJ65</f>
        <v>844010197.13372481</v>
      </c>
      <c r="DM65" s="894">
        <f>+DI65/DK65</f>
        <v>131388981.15573239</v>
      </c>
      <c r="DN65" s="7">
        <f t="shared" si="204"/>
        <v>712393361621.62415</v>
      </c>
      <c r="DO65" s="1136">
        <f t="shared" si="205"/>
        <v>175002722112.11044</v>
      </c>
      <c r="DP65" s="895">
        <f t="shared" si="206"/>
        <v>195171.59174578806</v>
      </c>
      <c r="DQ65" s="897">
        <f t="shared" si="207"/>
        <v>229550135469.24408</v>
      </c>
      <c r="DR65" s="895">
        <f t="shared" si="208"/>
        <v>755.74359965491362</v>
      </c>
      <c r="DS65" s="895">
        <f t="shared" si="209"/>
        <v>1878.2564003450864</v>
      </c>
      <c r="DT65" s="894">
        <f>+DQ65/DR65</f>
        <v>303740760.19176459</v>
      </c>
      <c r="DU65" s="894">
        <f>+DQ65/DS65</f>
        <v>122214483.29795097</v>
      </c>
      <c r="DV65" s="1136">
        <f t="shared" si="210"/>
        <v>307023634982.90155</v>
      </c>
      <c r="DW65" s="1136">
        <f t="shared" si="211"/>
        <v>175002722112.11044</v>
      </c>
      <c r="DX65" s="898">
        <f t="shared" si="212"/>
        <v>126369.55844076678</v>
      </c>
      <c r="DY65" s="892">
        <f t="shared" si="213"/>
        <v>147478061351.25607</v>
      </c>
      <c r="DZ65" s="891">
        <f t="shared" si="214"/>
        <v>1232.932145019611</v>
      </c>
      <c r="EA65" s="898">
        <f t="shared" si="215"/>
        <v>1401.067854980389</v>
      </c>
      <c r="EB65" s="894">
        <f>+DY65/DZ65</f>
        <v>119615716.03675747</v>
      </c>
      <c r="EC65" s="894">
        <f>+DY65/EA65</f>
        <v>105261184.05116099</v>
      </c>
      <c r="ED65" s="1136">
        <f t="shared" si="216"/>
        <v>712393361621.62415</v>
      </c>
      <c r="EE65" s="1136">
        <f t="shared" si="217"/>
        <v>175002722112.11044</v>
      </c>
      <c r="EF65" s="898">
        <f t="shared" si="218"/>
        <v>117646.92643807472</v>
      </c>
      <c r="EG65" s="892">
        <f t="shared" si="219"/>
        <v>129860445246.22394</v>
      </c>
      <c r="EH65" s="891">
        <f t="shared" si="220"/>
        <v>1334.3553149719196</v>
      </c>
      <c r="EI65" s="898">
        <f t="shared" si="221"/>
        <v>1299.6446850280804</v>
      </c>
      <c r="EJ65" s="894">
        <f>+EG65/EH65</f>
        <v>97320738.928489029</v>
      </c>
      <c r="EK65" s="894">
        <f>+EG65/EI65</f>
        <v>99919960.233914346</v>
      </c>
      <c r="EL65" s="1136">
        <f t="shared" si="85"/>
        <v>307023634982.90155</v>
      </c>
      <c r="EM65" s="1136">
        <f t="shared" si="86"/>
        <v>175002722112.11044</v>
      </c>
      <c r="EN65" s="894"/>
      <c r="EO65" s="894"/>
    </row>
    <row r="66" spans="1:145" s="136" customFormat="1">
      <c r="B66" s="136" t="s">
        <v>2083</v>
      </c>
      <c r="C66" s="136">
        <v>0.55000000000000004</v>
      </c>
      <c r="D66" s="136">
        <v>0</v>
      </c>
      <c r="E66" s="136" t="s">
        <v>2104</v>
      </c>
      <c r="F66" s="26">
        <v>2</v>
      </c>
      <c r="G66" s="136">
        <v>500</v>
      </c>
      <c r="H66" s="136">
        <v>22</v>
      </c>
      <c r="I66" s="28">
        <v>250</v>
      </c>
      <c r="J66" s="26">
        <v>1940</v>
      </c>
      <c r="K66" s="136">
        <v>12</v>
      </c>
      <c r="L66" s="28">
        <v>120</v>
      </c>
      <c r="M66" s="26">
        <v>2600</v>
      </c>
      <c r="N66" s="28">
        <v>12</v>
      </c>
      <c r="O66" s="26">
        <v>0</v>
      </c>
      <c r="P66" s="26">
        <v>290</v>
      </c>
      <c r="Q66" s="397">
        <v>5450</v>
      </c>
      <c r="R66" s="169">
        <v>0</v>
      </c>
      <c r="S66" s="210">
        <v>0</v>
      </c>
      <c r="T66" s="169">
        <v>1175</v>
      </c>
      <c r="U66" s="169">
        <v>2350</v>
      </c>
      <c r="V66" s="28">
        <v>3850</v>
      </c>
      <c r="W66" s="210">
        <v>19</v>
      </c>
      <c r="X66" s="210">
        <v>200</v>
      </c>
      <c r="Y66" s="169">
        <v>50</v>
      </c>
      <c r="Z66" s="210">
        <v>16</v>
      </c>
      <c r="AA66" s="210">
        <v>200</v>
      </c>
      <c r="AB66" s="28">
        <v>40</v>
      </c>
      <c r="AC66" s="210">
        <v>0</v>
      </c>
      <c r="AD66" s="26">
        <v>2</v>
      </c>
      <c r="AE66" s="169">
        <v>160</v>
      </c>
      <c r="AF66" s="169">
        <v>16</v>
      </c>
      <c r="AG66" s="26">
        <v>0</v>
      </c>
      <c r="AH66" s="169">
        <v>0</v>
      </c>
      <c r="AI66" s="169">
        <v>0</v>
      </c>
      <c r="AJ66" s="397">
        <v>2</v>
      </c>
      <c r="AK66" s="210">
        <v>2500</v>
      </c>
      <c r="AL66" s="210">
        <v>5000</v>
      </c>
      <c r="AM66" s="210" t="s">
        <v>2316</v>
      </c>
      <c r="AN66" s="210">
        <v>1587.5</v>
      </c>
      <c r="AO66" s="1143" t="s">
        <v>2321</v>
      </c>
      <c r="AP66" s="1143" t="s">
        <v>2321</v>
      </c>
      <c r="AQ66" s="1143"/>
      <c r="AR66" s="1143"/>
      <c r="AS66" s="1143"/>
      <c r="AT66" s="1143"/>
      <c r="AU66" s="1143"/>
      <c r="AV66" s="1109"/>
      <c r="AW66" s="1109"/>
      <c r="AX66" s="1109"/>
      <c r="AY66" s="1109"/>
      <c r="AZ66" s="1108">
        <v>8</v>
      </c>
      <c r="BA66" s="1108">
        <v>6</v>
      </c>
      <c r="BB66" s="1109"/>
      <c r="BC66" s="1168"/>
      <c r="BD66" s="210">
        <f>INDEX(Spec!$B$12:$P$58,MATCH(AO66,Spec!$A$12:$A$58,0),6)*100</f>
        <v>1900</v>
      </c>
      <c r="BE66" s="210">
        <f>INDEX(Spec!$B$12:$P$58,MATCH(AP66,Spec!$A$12:$A$58,0),6)*100</f>
        <v>1900</v>
      </c>
      <c r="BF66" s="881">
        <f t="shared" si="161"/>
        <v>0.79858873711493117</v>
      </c>
      <c r="BG66" s="881">
        <f t="shared" si="162"/>
        <v>47.243485714285718</v>
      </c>
      <c r="BH66" s="881"/>
      <c r="BI66" s="13" cm="1">
        <f t="array" ref="BI66">INDEX(Info!$AD$4:$AH$15,MATCH(Info!$I$13,Info!$AC$4:$AC$15,0),IF(H66&lt;=16,1,IF(H66&lt;=40,2,IF(H66&lt;=75,3,IF(H66&lt;=100,4,5)))))</f>
        <v>380</v>
      </c>
      <c r="BJ66" s="13" cm="1">
        <f t="array" ref="BJ66">INDEX(Info!$AD$4:$AH$15,MATCH(Info!$I$13,Info!$AC$4:$AC$15,0),IF(K66&lt;=16,1,IF(K66&lt;=40,2,IF(K66&lt;=75,3,IF(K66&lt;=100,4,5)))))</f>
        <v>380</v>
      </c>
      <c r="BK66" s="13" cm="1">
        <f t="array" ref="BK66">INDEX(Info!$AD$4:$AH$15,MATCH(Info!$I$14,Info!$AC$4:$AC$15,0),IF(N66&lt;=16,1,IF(N66&lt;=40,2,IF(N66&lt;=75,3,IF(N66&lt;=100,4,5)))))</f>
        <v>355</v>
      </c>
      <c r="BL66" s="13">
        <f>IF(Stress!C895="Positive",MAX(MIN(0.7*BI66,BK66),0.5*BI66),MAX(MIN(0.7*BJ66,BK66),0.5*BJ66))</f>
        <v>266</v>
      </c>
      <c r="BM66" s="13" cm="1">
        <f t="array" ref="BM66">INDEX(Info!$AD$4:$AH$15,MATCH(Info!$I$13,Info!$AC$4:$AC$15,0),IF(AI66&lt;=16,1,IF(AI66&lt;=40,2,IF(AI66&lt;=75,3,IF(AI66&lt;=100,4,5)))))</f>
        <v>380</v>
      </c>
      <c r="BN66" s="13" cm="1">
        <f t="array" ref="BN66">INDEX(Info!$AD$4:$AH$15,MATCH(Info!$I$13,Info!$AC$4:$AC$15,0),IF(AF66&lt;=16,1,IF(AF66&lt;=40,2,IF(AF66&lt;=75,3,IF(AF66&lt;=100,4,5)))))</f>
        <v>380</v>
      </c>
      <c r="BO66" s="13"/>
      <c r="BP66" s="13">
        <f t="shared" si="163"/>
        <v>0.125</v>
      </c>
      <c r="BQ66" s="13">
        <f t="shared" si="164"/>
        <v>2620.2337681970284</v>
      </c>
      <c r="BR66" s="13">
        <f t="shared" si="165"/>
        <v>2902</v>
      </c>
      <c r="BS66" s="13"/>
      <c r="BT66" s="136">
        <f t="shared" si="166"/>
        <v>0</v>
      </c>
      <c r="BU66" s="136">
        <f t="shared" si="167"/>
        <v>0</v>
      </c>
      <c r="BV66" s="136">
        <f t="shared" si="168"/>
        <v>1580500</v>
      </c>
      <c r="BW66" s="136">
        <f t="shared" si="169"/>
        <v>11076670833.333334</v>
      </c>
      <c r="BX66" s="136">
        <f t="shared" si="170"/>
        <v>0</v>
      </c>
      <c r="BY66" s="136">
        <f t="shared" si="171"/>
        <v>0</v>
      </c>
      <c r="BZ66" s="136">
        <f t="shared" si="172"/>
        <v>7655.2758986349281</v>
      </c>
      <c r="CA66" s="136">
        <f t="shared" si="173"/>
        <v>172722.16246295057</v>
      </c>
      <c r="CB66" s="136">
        <f t="shared" si="174"/>
        <v>5428.6721054031623</v>
      </c>
      <c r="CC66" s="136">
        <f t="shared" si="175"/>
        <v>86858.753686450596</v>
      </c>
      <c r="CE66" s="1137">
        <f t="shared" si="176"/>
        <v>277145400.95441002</v>
      </c>
      <c r="CF66" s="1136">
        <f t="shared" si="177"/>
        <v>411131448.88888884</v>
      </c>
      <c r="CG66" s="1136">
        <f t="shared" si="178"/>
        <v>0</v>
      </c>
      <c r="CH66" s="172">
        <f t="shared" si="179"/>
        <v>3912066770833.333</v>
      </c>
      <c r="CJ66" s="136">
        <f t="shared" si="180"/>
        <v>113285.61043672869</v>
      </c>
      <c r="CK66" s="7">
        <f t="shared" si="181"/>
        <v>120039163080.32585</v>
      </c>
      <c r="CL66" s="6">
        <f t="shared" si="182"/>
        <v>1390.9238462846163</v>
      </c>
      <c r="CM66" s="6">
        <f t="shared" si="183"/>
        <v>1243.0761537153837</v>
      </c>
      <c r="CN66" s="164">
        <f t="shared" ref="CN66:CN126" si="264">+CK66/CL66</f>
        <v>86301750.739963204</v>
      </c>
      <c r="CO66" s="164">
        <f t="shared" ref="CO66:CO126" si="265">+CK66/CM66</f>
        <v>96566218.18506074</v>
      </c>
      <c r="CP66" s="1137">
        <f t="shared" si="184"/>
        <v>104338771663.54027</v>
      </c>
      <c r="CQ66" s="1136">
        <f t="shared" si="185"/>
        <v>31467210010.612415</v>
      </c>
      <c r="CR66" s="22">
        <f t="shared" si="186"/>
        <v>113285.61043672869</v>
      </c>
      <c r="CS66" s="7">
        <f t="shared" si="187"/>
        <v>120039163080.32585</v>
      </c>
      <c r="CT66" s="6">
        <f t="shared" si="188"/>
        <v>1390.9238462846163</v>
      </c>
      <c r="CU66" s="12">
        <f t="shared" si="189"/>
        <v>1243.0761537153837</v>
      </c>
      <c r="CV66" s="164">
        <f t="shared" si="190"/>
        <v>86301750.739963204</v>
      </c>
      <c r="CW66" s="164">
        <f t="shared" si="191"/>
        <v>96566218.18506074</v>
      </c>
      <c r="CX66" s="1136">
        <f t="shared" si="192"/>
        <v>104338771663.54027</v>
      </c>
      <c r="CY66" s="1136">
        <f t="shared" si="193"/>
        <v>31467210010.612415</v>
      </c>
      <c r="CZ66" s="22">
        <f t="shared" si="194"/>
        <v>113285.61043672869</v>
      </c>
      <c r="DA66" s="7">
        <f t="shared" si="195"/>
        <v>120039163080.32585</v>
      </c>
      <c r="DB66" s="6">
        <f t="shared" si="196"/>
        <v>1390.9238462846163</v>
      </c>
      <c r="DC66" s="12">
        <f t="shared" si="197"/>
        <v>1243.0761537153837</v>
      </c>
      <c r="DD66" s="164">
        <f t="shared" ref="DD66:DD126" si="266">+DA66/DB66</f>
        <v>86301750.739963204</v>
      </c>
      <c r="DE66" s="164">
        <f t="shared" ref="DE66:DE126" si="267">+DA66/DC66</f>
        <v>96566218.18506074</v>
      </c>
      <c r="DF66" s="1136">
        <f t="shared" si="198"/>
        <v>104338771663.54027</v>
      </c>
      <c r="DG66" s="1136">
        <f t="shared" si="199"/>
        <v>31467210010.612415</v>
      </c>
      <c r="DH66" s="22">
        <f t="shared" si="200"/>
        <v>358943.55436390673</v>
      </c>
      <c r="DI66" s="172">
        <f t="shared" si="201"/>
        <v>299460829947.74213</v>
      </c>
      <c r="DJ66" s="12">
        <f t="shared" si="202"/>
        <v>354.80712314225229</v>
      </c>
      <c r="DK66" s="22">
        <f t="shared" si="203"/>
        <v>2279.1928768577477</v>
      </c>
      <c r="DL66" s="164">
        <f t="shared" ref="DL66:DL126" si="268">+DI66/DJ66</f>
        <v>844010197.13372481</v>
      </c>
      <c r="DM66" s="164">
        <f t="shared" ref="DM66:DM126" si="269">+DI66/DK66</f>
        <v>131388981.15573239</v>
      </c>
      <c r="DN66" s="7">
        <f t="shared" si="204"/>
        <v>712393361621.62415</v>
      </c>
      <c r="DO66" s="1136">
        <f t="shared" si="205"/>
        <v>175002722112.11044</v>
      </c>
      <c r="DP66" s="22">
        <f t="shared" si="206"/>
        <v>195171.59174578806</v>
      </c>
      <c r="DQ66" s="172">
        <f t="shared" si="207"/>
        <v>229550135469.24408</v>
      </c>
      <c r="DR66" s="22">
        <f t="shared" si="208"/>
        <v>755.74359965491362</v>
      </c>
      <c r="DS66" s="22">
        <f t="shared" si="209"/>
        <v>1878.2564003450864</v>
      </c>
      <c r="DT66" s="164">
        <f t="shared" ref="DT66:DT126" si="270">+DQ66/DR66</f>
        <v>303740760.19176459</v>
      </c>
      <c r="DU66" s="164">
        <f t="shared" ref="DU66:DU126" si="271">+DQ66/DS66</f>
        <v>122214483.29795097</v>
      </c>
      <c r="DV66" s="1136">
        <f t="shared" si="210"/>
        <v>307023634982.90155</v>
      </c>
      <c r="DW66" s="1136">
        <f t="shared" si="211"/>
        <v>175002722112.11044</v>
      </c>
      <c r="DX66" s="763">
        <f t="shared" si="212"/>
        <v>126369.55844076678</v>
      </c>
      <c r="DY66" s="7">
        <f t="shared" si="213"/>
        <v>147478061351.25607</v>
      </c>
      <c r="DZ66" s="13">
        <f t="shared" si="214"/>
        <v>1232.932145019611</v>
      </c>
      <c r="EA66" s="763">
        <f t="shared" si="215"/>
        <v>1401.067854980389</v>
      </c>
      <c r="EB66" s="164">
        <f t="shared" ref="EB66:EB126" si="272">+DY66/DZ66</f>
        <v>119615716.03675747</v>
      </c>
      <c r="EC66" s="164">
        <f t="shared" ref="EC66:EC126" si="273">+DY66/EA66</f>
        <v>105261184.05116099</v>
      </c>
      <c r="ED66" s="1136">
        <f t="shared" si="216"/>
        <v>712393361621.62415</v>
      </c>
      <c r="EE66" s="1136">
        <f t="shared" si="217"/>
        <v>175002722112.11044</v>
      </c>
      <c r="EF66" s="763">
        <f t="shared" si="218"/>
        <v>117646.92643807472</v>
      </c>
      <c r="EG66" s="7">
        <f t="shared" si="219"/>
        <v>129860445246.22394</v>
      </c>
      <c r="EH66" s="13">
        <f t="shared" si="220"/>
        <v>1334.3553149719196</v>
      </c>
      <c r="EI66" s="763">
        <f t="shared" si="221"/>
        <v>1299.6446850280804</v>
      </c>
      <c r="EJ66" s="164">
        <f t="shared" ref="EJ66:EJ126" si="274">+EG66/EH66</f>
        <v>97320738.928489029</v>
      </c>
      <c r="EK66" s="164">
        <f t="shared" ref="EK66:EK126" si="275">+EG66/EI66</f>
        <v>99919960.233914346</v>
      </c>
      <c r="EL66" s="1136">
        <f t="shared" si="85"/>
        <v>307023634982.90155</v>
      </c>
      <c r="EM66" s="1136">
        <f t="shared" si="86"/>
        <v>175002722112.11044</v>
      </c>
      <c r="EN66" s="164"/>
      <c r="EO66" s="164"/>
    </row>
    <row r="67" spans="1:145" s="136" customFormat="1">
      <c r="A67" s="136">
        <v>102</v>
      </c>
      <c r="B67" s="136" t="str">
        <f>LEFT(B65,3)+1&amp;"i"</f>
        <v>202i</v>
      </c>
      <c r="C67" s="136">
        <v>0.55000000000000004</v>
      </c>
      <c r="D67" s="136">
        <v>0</v>
      </c>
      <c r="E67" s="136" t="s">
        <v>2104</v>
      </c>
      <c r="F67" s="26">
        <v>2</v>
      </c>
      <c r="G67" s="136">
        <v>500</v>
      </c>
      <c r="H67" s="136">
        <v>22</v>
      </c>
      <c r="I67" s="28">
        <v>250</v>
      </c>
      <c r="J67" s="26">
        <v>1940</v>
      </c>
      <c r="K67" s="136">
        <v>12</v>
      </c>
      <c r="L67" s="28">
        <v>120</v>
      </c>
      <c r="M67" s="26">
        <v>2600</v>
      </c>
      <c r="N67" s="28">
        <v>12</v>
      </c>
      <c r="O67" s="26">
        <v>0</v>
      </c>
      <c r="P67" s="26">
        <v>290</v>
      </c>
      <c r="Q67" s="397">
        <v>5450</v>
      </c>
      <c r="R67" s="169">
        <v>0</v>
      </c>
      <c r="S67" s="210">
        <v>0</v>
      </c>
      <c r="T67" s="169">
        <v>1175</v>
      </c>
      <c r="U67" s="169">
        <v>2350</v>
      </c>
      <c r="V67" s="28">
        <v>3850</v>
      </c>
      <c r="W67" s="210">
        <v>19</v>
      </c>
      <c r="X67" s="210">
        <v>200</v>
      </c>
      <c r="Y67" s="169">
        <v>50</v>
      </c>
      <c r="Z67" s="210">
        <v>16</v>
      </c>
      <c r="AA67" s="210">
        <v>200</v>
      </c>
      <c r="AB67" s="28">
        <v>40</v>
      </c>
      <c r="AC67" s="210">
        <v>0</v>
      </c>
      <c r="AD67" s="26">
        <v>2</v>
      </c>
      <c r="AE67" s="169">
        <v>160</v>
      </c>
      <c r="AF67" s="169">
        <v>16</v>
      </c>
      <c r="AG67" s="26">
        <v>0</v>
      </c>
      <c r="AH67" s="169">
        <v>0</v>
      </c>
      <c r="AI67" s="169">
        <v>0</v>
      </c>
      <c r="AJ67" s="397">
        <v>2</v>
      </c>
      <c r="AK67" s="210">
        <v>2500</v>
      </c>
      <c r="AL67" s="210">
        <v>5000</v>
      </c>
      <c r="AM67" s="210" t="s">
        <v>2316</v>
      </c>
      <c r="AN67" s="210">
        <v>1587.5</v>
      </c>
      <c r="AO67" s="1143" t="s">
        <v>2321</v>
      </c>
      <c r="AP67" s="1143" t="s">
        <v>2321</v>
      </c>
      <c r="AQ67" s="1143"/>
      <c r="AR67" s="1143"/>
      <c r="AS67" s="1143"/>
      <c r="AT67" s="1143"/>
      <c r="AU67" s="1143"/>
      <c r="AV67" s="1109"/>
      <c r="AW67" s="1109"/>
      <c r="AX67" s="1109"/>
      <c r="AY67" s="1109"/>
      <c r="AZ67" s="1108">
        <v>8</v>
      </c>
      <c r="BA67" s="1108">
        <v>6</v>
      </c>
      <c r="BB67" s="1109"/>
      <c r="BC67" s="1168"/>
      <c r="BD67" s="210">
        <f>INDEX(Spec!$B$12:$P$58,MATCH(AO67,Spec!$A$12:$A$58,0),6)*100</f>
        <v>1900</v>
      </c>
      <c r="BE67" s="210">
        <f>INDEX(Spec!$B$12:$P$58,MATCH(AP67,Spec!$A$12:$A$58,0),6)*100</f>
        <v>1900</v>
      </c>
      <c r="BF67" s="881">
        <f t="shared" ref="BF67:BF98" si="276">IF(AM67="W",2.6*AN67*U67/((SQRT(AN67^2+U67^2))^3/BD67+AN67^3/3*2/(G67*H67+N67*BQ67/4)),0)</f>
        <v>0.79858873711493117</v>
      </c>
      <c r="BG67" s="881">
        <f t="shared" ref="BG67:BG98" si="277">P67*(30702/(2*(1+1/6)))/(210000/(2*(1+0.3)))</f>
        <v>47.243485714285718</v>
      </c>
      <c r="BH67" s="881"/>
      <c r="BI67" s="13" cm="1">
        <f t="array" ref="BI67">INDEX(Info!$AD$4:$AH$15,MATCH(Info!$I$13,Info!$AC$4:$AC$15,0),IF(H67&lt;=16,1,IF(H67&lt;=40,2,IF(H67&lt;=75,3,IF(H67&lt;=100,4,5)))))</f>
        <v>380</v>
      </c>
      <c r="BJ67" s="13" cm="1">
        <f t="array" ref="BJ67">INDEX(Info!$AD$4:$AH$15,MATCH(Info!$I$13,Info!$AC$4:$AC$15,0),IF(K67&lt;=16,1,IF(K67&lt;=40,2,IF(K67&lt;=75,3,IF(K67&lt;=100,4,5)))))</f>
        <v>380</v>
      </c>
      <c r="BK67" s="13" cm="1">
        <f t="array" ref="BK67">INDEX(Info!$AD$4:$AH$15,MATCH(Info!$I$14,Info!$AC$4:$AC$15,0),IF(N67&lt;=16,1,IF(N67&lt;=40,2,IF(N67&lt;=75,3,IF(N67&lt;=100,4,5)))))</f>
        <v>355</v>
      </c>
      <c r="BL67" s="13">
        <f>IF(Stress!C896="Positive",MAX(MIN(0.7*BI67,BK67),0.5*BI67),MAX(MIN(0.7*BJ67,BK67),0.5*BJ67))</f>
        <v>266</v>
      </c>
      <c r="BM67" s="13" cm="1">
        <f t="array" ref="BM67">INDEX(Info!$AD$4:$AH$15,MATCH(Info!$I$13,Info!$AC$4:$AC$15,0),IF(AI67&lt;=16,1,IF(AI67&lt;=40,2,IF(AI67&lt;=75,3,IF(AI67&lt;=100,4,5)))))</f>
        <v>380</v>
      </c>
      <c r="BN67" s="13" cm="1">
        <f t="array" ref="BN67">INDEX(Info!$AD$4:$AH$15,MATCH(Info!$I$13,Info!$AC$4:$AC$15,0),IF(AF67&lt;=16,1,IF(AF67&lt;=40,2,IF(AF67&lt;=75,3,IF(AF67&lt;=100,4,5)))))</f>
        <v>380</v>
      </c>
      <c r="BO67" s="13"/>
      <c r="BP67" s="13">
        <f t="shared" ref="BP67:BP98" si="278">+(U67/2-0.5*(J67-2*L67))/M67</f>
        <v>0.125</v>
      </c>
      <c r="BQ67" s="13">
        <f t="shared" ref="BQ67:BQ98" si="279">+SQRT(M67^2+(M67*BP67)^2)</f>
        <v>2620.2337681970284</v>
      </c>
      <c r="BR67" s="13">
        <f t="shared" ref="BR67:BR98" si="280">+K67+R67+P67+M67</f>
        <v>2902</v>
      </c>
      <c r="BS67" s="13"/>
      <c r="BT67" s="136">
        <f t="shared" ref="BT67:BT98" si="281">(J67-2*L67)*O67+O67*O67*BP67</f>
        <v>0</v>
      </c>
      <c r="BU67" s="136">
        <f t="shared" ref="BU67:BU98" si="282">((J67-2*L67)^2+4*(J67-2*L67)*((J67-2*L67)+2*O67*BP67)+((J67-2*L67)+2*O67*BP67)^2)/36/((J67-2*L67)+((J67-2*L67)+2*O67*BP67))*O67^3</f>
        <v>0</v>
      </c>
      <c r="BV67" s="136">
        <f t="shared" ref="BV67:BV98" si="283">P67*Q67</f>
        <v>1580500</v>
      </c>
      <c r="BW67" s="136">
        <f t="shared" ref="BW67:BW98" si="284">Q67/12*P67^3</f>
        <v>11076670833.333334</v>
      </c>
      <c r="BX67" s="136">
        <f t="shared" ref="BX67:BX98" si="285">R67*S67*2</f>
        <v>0</v>
      </c>
      <c r="BY67" s="136">
        <f t="shared" ref="BY67:BY98" si="286">4/36*S67*R67^3</f>
        <v>0</v>
      </c>
      <c r="BZ67" s="136">
        <f t="shared" ref="BZ67:BZ98" si="287">ROUNDDOWN(Q67/X67,0)*0.25*PI()*W67^2</f>
        <v>7655.2758986349281</v>
      </c>
      <c r="CA67" s="136">
        <f t="shared" ref="CA67:CA98" si="288">ROUNDDOWN(Q67/X67,0)*1/64*PI()*W67^4</f>
        <v>172722.16246295057</v>
      </c>
      <c r="CB67" s="136">
        <f t="shared" ref="CB67:CB98" si="289">ROUNDDOWN(Q67/AA67,0)*0.25*PI()*Z67^2</f>
        <v>5428.6721054031623</v>
      </c>
      <c r="CC67" s="136">
        <f t="shared" ref="CC67:CC98" si="290">ROUNDDOWN(Q67/AA67,0)*1/64*PI()*Z67^4</f>
        <v>86858.753686450596</v>
      </c>
      <c r="CE67" s="1137">
        <f t="shared" ref="CE67:CE98" si="291">(M67/COS(ATAN(BP67))*N67/COS(ATAN(BP67))*COS(ATAN(BP67))*((N67/COS(ATAN(BP67)))^2+(M67/COS(ATAN(BP67)))^2*(SIN(ATAN(BP67)))^2))/12</f>
        <v>277145400.95441002</v>
      </c>
      <c r="CF67" s="1136">
        <f t="shared" ref="CF67:CF98" si="292">AG67*1/12*AH67*AI67^3+AD67*1/12*AE67*AF67^3+IF(AD67=1,0,IF(AD67=2,2*AE67*AF67*((J67-2*L67)/6)^2,IF(AD67=3,2*AE67*AF67*((J67-2*L67)/4)^2,IF(AD67=4,2*AE67*AF67*((J67-2*L67)/10)^2+2*AE67*AF67*((J67-2*L67)*3/10)^2,0))))</f>
        <v>411131448.88888884</v>
      </c>
      <c r="CG67" s="1136">
        <f t="shared" ref="CG67:CG98" si="293">(O67*((J67-2*L67)+(J67-2*L67)+2*O67*BP67)*((J67-2*L67)^2+((J67-2*L67)+2*O67*BP67)^2))/48</f>
        <v>0</v>
      </c>
      <c r="CH67" s="172">
        <f t="shared" ref="CH67:CH98" si="294">1/12*P67*Q67^3</f>
        <v>3912066770833.333</v>
      </c>
      <c r="CJ67" s="136">
        <f t="shared" ref="CJ67:CJ98" si="295">+F67*G67*H67+J67*K67+BQ67*N67*2+AD67*AE67*AF67+AG67*AH67*AI67</f>
        <v>113285.61043672869</v>
      </c>
      <c r="CK67" s="7">
        <f t="shared" ref="CK67:CK98" si="296">1/12*F67*G67*(H67^3)+F67*G67*H67*(CL67-0.5*H67)^2+1/12*J67*K67^3+J67*K67*(CM67-0.5*K67)^2+1/6*N67*BQ67^3*(1/(1+BP67^2))+2*BQ67*N67*(CM67-K67-0.5*M67)^2+1/12*AD67*AF67*AE67^3+AD67*AE67*AF67*(CM67-K67-0.5*AE67)^2+1/12*AG67*AI67*AH67^3+AG67*AH67*AI67*(CL67-H67-AH67/2)^2</f>
        <v>120039163080.32585</v>
      </c>
      <c r="CL67" s="6">
        <f t="shared" ref="CL67:CL98" si="297">+H67+K67+M67-CM67</f>
        <v>1390.9238462846163</v>
      </c>
      <c r="CM67" s="6">
        <f t="shared" ref="CM67:CM98" si="298">+(F67*G67*H67*(0.5*H67+M67+K67)+2*BQ67*N67*(0.5*M67+K67)+J67*K67*0.5*K67+AD67*AE67*AF67*(0.5*AE67+K67) + AG67*AH67*AI67*(M67-0.5*AH67+K67))/CJ67</f>
        <v>1243.0761537153837</v>
      </c>
      <c r="CN67" s="164">
        <f t="shared" si="264"/>
        <v>86301750.739963204</v>
      </c>
      <c r="CO67" s="164">
        <f t="shared" si="265"/>
        <v>96566218.18506074</v>
      </c>
      <c r="CP67" s="1137">
        <f t="shared" ref="CP67:CP98" si="299">1/12*K67*J67^3+IF(F67=1,1/12*H67*G67^3,2*1/12*H67*G67^3+2*H67*G67*(U67/2+I67-G67/2)^2)+2*CE67+2*M67*N67/COS(ATAN(BP67))*(J67/2-L67+N67/COS(ATAN(BP67))/2+M67/2*BP67)^2+CF67</f>
        <v>104338771663.54027</v>
      </c>
      <c r="CQ67" s="1136">
        <f t="shared" ref="CQ67:CQ98" si="300">IF(F67=1,4*((J67-2*L67+M67*BP67)*(K67/2+M67+H67/2))^2/(U67/H67+J67/K67+2*BQ67/N67),4*((J67-2*L67+M67*BP67)*(K67/2+M67+BF67/2))^2/(U67/BF67+J67/K67+2*BQ67/N67))</f>
        <v>31467210010.612415</v>
      </c>
      <c r="CR67" s="22">
        <f t="shared" ref="CR67:CR98" si="301">BT67/$CU$1+CJ67</f>
        <v>113285.61043672869</v>
      </c>
      <c r="CS67" s="7">
        <f t="shared" ref="CS67:CS98" si="302">+CK67+CJ67*(CM67-CU67)^2+BU67/$CU$1+BT67/$CU$1*(CU67-K67-O67/2)^2</f>
        <v>120039163080.32585</v>
      </c>
      <c r="CT67" s="6">
        <f t="shared" ref="CT67:CT98" si="303">+H67+K67+M67-CU67</f>
        <v>1390.9238462846163</v>
      </c>
      <c r="CU67" s="12">
        <f t="shared" ref="CU67:CU98" si="304">+(BT67/$CU$1*(O67/2+K67)+CJ67*CM67)/CR67</f>
        <v>1243.0761537153837</v>
      </c>
      <c r="CV67" s="164">
        <f t="shared" ref="CV67:CV98" si="305">+CS67/CT67</f>
        <v>86301750.739963204</v>
      </c>
      <c r="CW67" s="164">
        <f t="shared" ref="CW67:CW98" si="306">+CS67/CU67</f>
        <v>96566218.18506074</v>
      </c>
      <c r="CX67" s="1136">
        <f t="shared" ref="CX67:CX98" si="307">+CP67+CG67/$CU$1</f>
        <v>104338771663.54027</v>
      </c>
      <c r="CY67" s="1136">
        <f t="shared" ref="CY67:CY98" si="308">+CQ67</f>
        <v>31467210010.612415</v>
      </c>
      <c r="CZ67" s="22">
        <f t="shared" ref="CZ67:CZ98" si="309">BT67/$DC$1+CJ67</f>
        <v>113285.61043672869</v>
      </c>
      <c r="DA67" s="7">
        <f t="shared" ref="DA67:DA98" si="310">+CK67+CJ67*(CM67-DC67)^2+BU67/$DC$1+BT67/$DC$1*(DC67-K67-O67/2)^2</f>
        <v>120039163080.32585</v>
      </c>
      <c r="DB67" s="6">
        <f t="shared" ref="DB67:DB98" si="311">+H67+K67+M67-DC67</f>
        <v>1390.9238462846163</v>
      </c>
      <c r="DC67" s="12">
        <f t="shared" ref="DC67:DC98" si="312">+(BT67/$DC$1*(O67/2+K67)+CJ67*CM67)/CZ67</f>
        <v>1243.0761537153837</v>
      </c>
      <c r="DD67" s="164">
        <f t="shared" si="266"/>
        <v>86301750.739963204</v>
      </c>
      <c r="DE67" s="164">
        <f t="shared" si="267"/>
        <v>96566218.18506074</v>
      </c>
      <c r="DF67" s="1136">
        <f t="shared" ref="DF67:DF98" si="313">+CP67+CG67/$DC$1</f>
        <v>104338771663.54027</v>
      </c>
      <c r="DG67" s="1136">
        <f t="shared" ref="DG67:DG98" si="314">CQ67</f>
        <v>31467210010.612415</v>
      </c>
      <c r="DH67" s="22">
        <f t="shared" ref="DH67:DH98" si="315">+(BV67+BX67)/$DJ$1+CJ67</f>
        <v>358943.55436390673</v>
      </c>
      <c r="DI67" s="172">
        <f t="shared" ref="DI67:DI98" si="316">BW67/$DJ$1+BV67/$DJ$1*(K67+M67+R67+P67/2-DK67)^2+BY67/$DJ$1+BX67/$DJ$1*(K67+M67+2*R67/3-DK67)^2+CK67+CJ67*(CM67-DK67)^2</f>
        <v>299460829947.74213</v>
      </c>
      <c r="DJ67" s="12">
        <f t="shared" ref="DJ67:DJ98" si="317">+H67+K67+M67-DK67</f>
        <v>354.80712314225229</v>
      </c>
      <c r="DK67" s="22">
        <f t="shared" ref="DK67:DK98" si="318">+(BV67/$DJ$1*(K67+M67+R67+P67/2)+BX67/$DJ$1*(K67+M67+2*R67/3)+CJ67*CM67)/DH67</f>
        <v>2279.1928768577477</v>
      </c>
      <c r="DL67" s="164">
        <f t="shared" si="268"/>
        <v>844010197.13372481</v>
      </c>
      <c r="DM67" s="164">
        <f t="shared" si="269"/>
        <v>131388981.15573239</v>
      </c>
      <c r="DN67" s="7">
        <f t="shared" ref="DN67:DN98" si="319">+CP67+CH67/$DJ$1</f>
        <v>712393361621.62415</v>
      </c>
      <c r="DO67" s="1136">
        <f t="shared" ref="DO67:DO98" si="320">4*((J67-2*L67+M67*BP67)*(K67/2+M67+BG67/2))^2/(U67/BG67+J67/K67+2*BQ67/N67)</f>
        <v>175002722112.11044</v>
      </c>
      <c r="DP67" s="22">
        <f t="shared" ref="DP67:DP98" si="321">+(BV67+BX67)/$DR$1+CJ67</f>
        <v>195171.59174578806</v>
      </c>
      <c r="DQ67" s="172">
        <f t="shared" ref="DQ67:DQ98" si="322">BW67/$DR$1+BV67/$DR$1*(K67+M67+R67+P67/2-DS67)^2+BY67/$DR$1+BX67/$DR$1*(K67+M67+2*R67/3-DS67)^2+CK67+CJ67*(CM67-DS67)^2</f>
        <v>229550135469.24408</v>
      </c>
      <c r="DR67" s="22">
        <f t="shared" ref="DR67:DR98" si="323">+H67+K67+M67-DS67</f>
        <v>755.74359965491362</v>
      </c>
      <c r="DS67" s="22">
        <f t="shared" ref="DS67:DS98" si="324">+(BV67/$DR$1*(K67+M67+R67+P67/2)+BX67/$DR$1*(K67+M67+2*R67/3)+CJ67*CM67)/DP67</f>
        <v>1878.2564003450864</v>
      </c>
      <c r="DT67" s="164">
        <f t="shared" si="270"/>
        <v>303740760.19176459</v>
      </c>
      <c r="DU67" s="164">
        <f t="shared" si="271"/>
        <v>122214483.29795097</v>
      </c>
      <c r="DV67" s="1136">
        <f t="shared" ref="DV67:DV98" si="325">+CP67+CH67/$DR$1</f>
        <v>307023634982.90155</v>
      </c>
      <c r="DW67" s="1136">
        <f t="shared" ref="DW67:DW98" si="326">DO67</f>
        <v>175002722112.11044</v>
      </c>
      <c r="DX67" s="763">
        <f t="shared" ref="DX67:DX98" si="327">BZ67+CB67+CR67</f>
        <v>126369.55844076678</v>
      </c>
      <c r="DY67" s="7">
        <f t="shared" ref="DY67:DY98" si="328">+CS67+CR67*(CU67-EA67)^2+CA67+BZ67*(DZ67-H67+R67+P67-Y67)^2+CC67+CB67*(DZ67-H67+R67+AB67)^2</f>
        <v>147478061351.25607</v>
      </c>
      <c r="DZ67" s="13">
        <f t="shared" ref="DZ67:DZ98" si="329">+M67+H67+K67-EA67</f>
        <v>1232.932145019611</v>
      </c>
      <c r="EA67" s="763">
        <f t="shared" ref="EA67:EA98" si="330">(BZ67*(K67+M67+R67+P67-Y67)+CB67*(K67+M67+R67+AB67)+CR67*CU67)/DX67</f>
        <v>1401.067854980389</v>
      </c>
      <c r="EB67" s="164">
        <f t="shared" si="272"/>
        <v>119615716.03675747</v>
      </c>
      <c r="EC67" s="164">
        <f t="shared" si="273"/>
        <v>105261184.05116099</v>
      </c>
      <c r="ED67" s="1136">
        <f t="shared" ref="ED67:ED98" si="331">DN67</f>
        <v>712393361621.62415</v>
      </c>
      <c r="EE67" s="1136">
        <f t="shared" ref="EE67:EE98" si="332">DO67</f>
        <v>175002722112.11044</v>
      </c>
      <c r="EF67" s="763">
        <f t="shared" ref="EF67:EF98" si="333">BZ67/3+CB67/3+CZ67</f>
        <v>117646.92643807472</v>
      </c>
      <c r="EG67" s="7">
        <f t="shared" ref="EG67:EG98" si="334">+DA67+CZ67*(DC67-EI67)^2+CA67/3+BZ67/3*(EH67-H67+R67+P67-Y67)^2+CC67/3+CB67/3*(EH67-H67+R67+AB67)^2</f>
        <v>129860445246.22394</v>
      </c>
      <c r="EH67" s="13">
        <f t="shared" ref="EH67:EH98" si="335">+M67+H67+K67-EI67</f>
        <v>1334.3553149719196</v>
      </c>
      <c r="EI67" s="763">
        <f t="shared" ref="EI67:EI98" si="336">(BZ67/3*(K67+M67+R67+P67-Y67)+CB67/3*(K67+M67+R67+AB67)+CZ67*DC67)/EF67</f>
        <v>1299.6446850280804</v>
      </c>
      <c r="EJ67" s="164">
        <f t="shared" si="274"/>
        <v>97320738.928489029</v>
      </c>
      <c r="EK67" s="164">
        <f t="shared" si="275"/>
        <v>99919960.233914346</v>
      </c>
      <c r="EL67" s="1136">
        <f t="shared" si="85"/>
        <v>307023634982.90155</v>
      </c>
      <c r="EM67" s="1136">
        <f t="shared" si="86"/>
        <v>175002722112.11044</v>
      </c>
      <c r="EN67" s="164"/>
      <c r="EO67" s="164"/>
    </row>
    <row r="68" spans="1:145" s="136" customFormat="1">
      <c r="B68" s="136" t="str">
        <f>LEFT(B66,3)+1&amp;"j"</f>
        <v>202j</v>
      </c>
      <c r="C68" s="136">
        <v>3.2</v>
      </c>
      <c r="D68" s="136">
        <v>0</v>
      </c>
      <c r="E68" s="136" t="s">
        <v>2104</v>
      </c>
      <c r="F68" s="26">
        <v>2</v>
      </c>
      <c r="G68" s="136">
        <v>500</v>
      </c>
      <c r="H68" s="136">
        <v>22</v>
      </c>
      <c r="I68" s="28">
        <v>250</v>
      </c>
      <c r="J68" s="26">
        <v>1940</v>
      </c>
      <c r="K68" s="136">
        <v>12</v>
      </c>
      <c r="L68" s="28">
        <v>120</v>
      </c>
      <c r="M68" s="26">
        <v>2600</v>
      </c>
      <c r="N68" s="28">
        <v>12</v>
      </c>
      <c r="O68" s="26">
        <v>0</v>
      </c>
      <c r="P68" s="26">
        <v>290</v>
      </c>
      <c r="Q68" s="397">
        <v>5450</v>
      </c>
      <c r="R68" s="169">
        <v>0</v>
      </c>
      <c r="S68" s="210">
        <v>0</v>
      </c>
      <c r="T68" s="169">
        <v>1175</v>
      </c>
      <c r="U68" s="169">
        <v>2350</v>
      </c>
      <c r="V68" s="28">
        <v>3850</v>
      </c>
      <c r="W68" s="210">
        <v>19</v>
      </c>
      <c r="X68" s="210">
        <v>200</v>
      </c>
      <c r="Y68" s="169">
        <v>50</v>
      </c>
      <c r="Z68" s="210">
        <v>16</v>
      </c>
      <c r="AA68" s="210">
        <v>200</v>
      </c>
      <c r="AB68" s="28">
        <v>40</v>
      </c>
      <c r="AC68" s="210">
        <v>0</v>
      </c>
      <c r="AD68" s="26">
        <v>2</v>
      </c>
      <c r="AE68" s="169">
        <v>160</v>
      </c>
      <c r="AF68" s="169">
        <v>16</v>
      </c>
      <c r="AG68" s="26">
        <v>0</v>
      </c>
      <c r="AH68" s="169">
        <v>0</v>
      </c>
      <c r="AI68" s="169">
        <v>0</v>
      </c>
      <c r="AJ68" s="397">
        <v>2</v>
      </c>
      <c r="AK68" s="210">
        <v>2500</v>
      </c>
      <c r="AL68" s="210">
        <v>5000</v>
      </c>
      <c r="AM68" s="210" t="s">
        <v>2316</v>
      </c>
      <c r="AN68" s="210">
        <v>1587.5</v>
      </c>
      <c r="AO68" s="1143" t="s">
        <v>2321</v>
      </c>
      <c r="AP68" s="1143" t="s">
        <v>2321</v>
      </c>
      <c r="AQ68" s="1143"/>
      <c r="AR68" s="1143"/>
      <c r="AS68" s="1143"/>
      <c r="AT68" s="1143"/>
      <c r="AU68" s="1143"/>
      <c r="AV68" s="1109"/>
      <c r="AW68" s="1109"/>
      <c r="AX68" s="1109"/>
      <c r="AY68" s="1109"/>
      <c r="AZ68" s="1108">
        <v>8</v>
      </c>
      <c r="BA68" s="1108">
        <v>6</v>
      </c>
      <c r="BB68" s="1109"/>
      <c r="BC68" s="1168"/>
      <c r="BD68" s="210">
        <f>INDEX(Spec!$B$12:$P$58,MATCH(AO68,Spec!$A$12:$A$58,0),6)*100</f>
        <v>1900</v>
      </c>
      <c r="BE68" s="210">
        <f>INDEX(Spec!$B$12:$P$58,MATCH(AP68,Spec!$A$12:$A$58,0),6)*100</f>
        <v>1900</v>
      </c>
      <c r="BF68" s="881">
        <f t="shared" si="276"/>
        <v>0.79858873711493117</v>
      </c>
      <c r="BG68" s="881">
        <f t="shared" si="277"/>
        <v>47.243485714285718</v>
      </c>
      <c r="BH68" s="881"/>
      <c r="BI68" s="13" cm="1">
        <f t="array" ref="BI68">INDEX(Info!$AD$4:$AH$15,MATCH(Info!$I$13,Info!$AC$4:$AC$15,0),IF(H68&lt;=16,1,IF(H68&lt;=40,2,IF(H68&lt;=75,3,IF(H68&lt;=100,4,5)))))</f>
        <v>380</v>
      </c>
      <c r="BJ68" s="13" cm="1">
        <f t="array" ref="BJ68">INDEX(Info!$AD$4:$AH$15,MATCH(Info!$I$13,Info!$AC$4:$AC$15,0),IF(K68&lt;=16,1,IF(K68&lt;=40,2,IF(K68&lt;=75,3,IF(K68&lt;=100,4,5)))))</f>
        <v>380</v>
      </c>
      <c r="BK68" s="13" cm="1">
        <f t="array" ref="BK68">INDEX(Info!$AD$4:$AH$15,MATCH(Info!$I$14,Info!$AC$4:$AC$15,0),IF(N68&lt;=16,1,IF(N68&lt;=40,2,IF(N68&lt;=75,3,IF(N68&lt;=100,4,5)))))</f>
        <v>355</v>
      </c>
      <c r="BL68" s="13">
        <f>IF(Stress!C897="Positive",MAX(MIN(0.7*BI68,BK68),0.5*BI68),MAX(MIN(0.7*BJ68,BK68),0.5*BJ68))</f>
        <v>266</v>
      </c>
      <c r="BM68" s="13" cm="1">
        <f t="array" ref="BM68">INDEX(Info!$AD$4:$AH$15,MATCH(Info!$I$13,Info!$AC$4:$AC$15,0),IF(AI68&lt;=16,1,IF(AI68&lt;=40,2,IF(AI68&lt;=75,3,IF(AI68&lt;=100,4,5)))))</f>
        <v>380</v>
      </c>
      <c r="BN68" s="13" cm="1">
        <f t="array" ref="BN68">INDEX(Info!$AD$4:$AH$15,MATCH(Info!$I$13,Info!$AC$4:$AC$15,0),IF(AF68&lt;=16,1,IF(AF68&lt;=40,2,IF(AF68&lt;=75,3,IF(AF68&lt;=100,4,5)))))</f>
        <v>380</v>
      </c>
      <c r="BO68" s="13"/>
      <c r="BP68" s="13">
        <f t="shared" si="278"/>
        <v>0.125</v>
      </c>
      <c r="BQ68" s="13">
        <f t="shared" si="279"/>
        <v>2620.2337681970284</v>
      </c>
      <c r="BR68" s="13">
        <f t="shared" si="280"/>
        <v>2902</v>
      </c>
      <c r="BS68" s="13"/>
      <c r="BT68" s="136">
        <f t="shared" si="281"/>
        <v>0</v>
      </c>
      <c r="BU68" s="136">
        <f t="shared" si="282"/>
        <v>0</v>
      </c>
      <c r="BV68" s="136">
        <f t="shared" si="283"/>
        <v>1580500</v>
      </c>
      <c r="BW68" s="136">
        <f t="shared" si="284"/>
        <v>11076670833.333334</v>
      </c>
      <c r="BX68" s="136">
        <f t="shared" si="285"/>
        <v>0</v>
      </c>
      <c r="BY68" s="136">
        <f t="shared" si="286"/>
        <v>0</v>
      </c>
      <c r="BZ68" s="136">
        <f t="shared" si="287"/>
        <v>7655.2758986349281</v>
      </c>
      <c r="CA68" s="136">
        <f t="shared" si="288"/>
        <v>172722.16246295057</v>
      </c>
      <c r="CB68" s="136">
        <f t="shared" si="289"/>
        <v>5428.6721054031623</v>
      </c>
      <c r="CC68" s="136">
        <f t="shared" si="290"/>
        <v>86858.753686450596</v>
      </c>
      <c r="CE68" s="1137">
        <f t="shared" si="291"/>
        <v>277145400.95441002</v>
      </c>
      <c r="CF68" s="1136">
        <f t="shared" si="292"/>
        <v>411131448.88888884</v>
      </c>
      <c r="CG68" s="1136">
        <f t="shared" si="293"/>
        <v>0</v>
      </c>
      <c r="CH68" s="172">
        <f t="shared" si="294"/>
        <v>3912066770833.333</v>
      </c>
      <c r="CJ68" s="136">
        <f t="shared" si="295"/>
        <v>113285.61043672869</v>
      </c>
      <c r="CK68" s="7">
        <f t="shared" si="296"/>
        <v>120039163080.32585</v>
      </c>
      <c r="CL68" s="6">
        <f t="shared" si="297"/>
        <v>1390.9238462846163</v>
      </c>
      <c r="CM68" s="6">
        <f t="shared" si="298"/>
        <v>1243.0761537153837</v>
      </c>
      <c r="CN68" s="164">
        <f t="shared" si="264"/>
        <v>86301750.739963204</v>
      </c>
      <c r="CO68" s="164">
        <f t="shared" si="265"/>
        <v>96566218.18506074</v>
      </c>
      <c r="CP68" s="1137">
        <f t="shared" si="299"/>
        <v>104338771663.54027</v>
      </c>
      <c r="CQ68" s="1136">
        <f t="shared" si="300"/>
        <v>31467210010.612415</v>
      </c>
      <c r="CR68" s="22">
        <f t="shared" si="301"/>
        <v>113285.61043672869</v>
      </c>
      <c r="CS68" s="7">
        <f t="shared" si="302"/>
        <v>120039163080.32585</v>
      </c>
      <c r="CT68" s="6">
        <f t="shared" si="303"/>
        <v>1390.9238462846163</v>
      </c>
      <c r="CU68" s="12">
        <f t="shared" si="304"/>
        <v>1243.0761537153837</v>
      </c>
      <c r="CV68" s="164">
        <f t="shared" si="305"/>
        <v>86301750.739963204</v>
      </c>
      <c r="CW68" s="164">
        <f t="shared" si="306"/>
        <v>96566218.18506074</v>
      </c>
      <c r="CX68" s="1136">
        <f t="shared" si="307"/>
        <v>104338771663.54027</v>
      </c>
      <c r="CY68" s="1136">
        <f t="shared" si="308"/>
        <v>31467210010.612415</v>
      </c>
      <c r="CZ68" s="22">
        <f t="shared" si="309"/>
        <v>113285.61043672869</v>
      </c>
      <c r="DA68" s="7">
        <f t="shared" si="310"/>
        <v>120039163080.32585</v>
      </c>
      <c r="DB68" s="6">
        <f t="shared" si="311"/>
        <v>1390.9238462846163</v>
      </c>
      <c r="DC68" s="12">
        <f t="shared" si="312"/>
        <v>1243.0761537153837</v>
      </c>
      <c r="DD68" s="164">
        <f t="shared" si="266"/>
        <v>86301750.739963204</v>
      </c>
      <c r="DE68" s="164">
        <f t="shared" si="267"/>
        <v>96566218.18506074</v>
      </c>
      <c r="DF68" s="1136">
        <f t="shared" si="313"/>
        <v>104338771663.54027</v>
      </c>
      <c r="DG68" s="1136">
        <f t="shared" si="314"/>
        <v>31467210010.612415</v>
      </c>
      <c r="DH68" s="22">
        <f t="shared" si="315"/>
        <v>358943.55436390673</v>
      </c>
      <c r="DI68" s="172">
        <f t="shared" si="316"/>
        <v>299460829947.74213</v>
      </c>
      <c r="DJ68" s="12">
        <f t="shared" si="317"/>
        <v>354.80712314225229</v>
      </c>
      <c r="DK68" s="22">
        <f t="shared" si="318"/>
        <v>2279.1928768577477</v>
      </c>
      <c r="DL68" s="164">
        <f t="shared" si="268"/>
        <v>844010197.13372481</v>
      </c>
      <c r="DM68" s="164">
        <f t="shared" si="269"/>
        <v>131388981.15573239</v>
      </c>
      <c r="DN68" s="7">
        <f t="shared" si="319"/>
        <v>712393361621.62415</v>
      </c>
      <c r="DO68" s="1136">
        <f t="shared" si="320"/>
        <v>175002722112.11044</v>
      </c>
      <c r="DP68" s="22">
        <f t="shared" si="321"/>
        <v>195171.59174578806</v>
      </c>
      <c r="DQ68" s="172">
        <f t="shared" si="322"/>
        <v>229550135469.24408</v>
      </c>
      <c r="DR68" s="22">
        <f t="shared" si="323"/>
        <v>755.74359965491362</v>
      </c>
      <c r="DS68" s="22">
        <f t="shared" si="324"/>
        <v>1878.2564003450864</v>
      </c>
      <c r="DT68" s="164">
        <f t="shared" si="270"/>
        <v>303740760.19176459</v>
      </c>
      <c r="DU68" s="164">
        <f t="shared" si="271"/>
        <v>122214483.29795097</v>
      </c>
      <c r="DV68" s="1136">
        <f t="shared" si="325"/>
        <v>307023634982.90155</v>
      </c>
      <c r="DW68" s="1136">
        <f t="shared" si="326"/>
        <v>175002722112.11044</v>
      </c>
      <c r="DX68" s="763">
        <f t="shared" si="327"/>
        <v>126369.55844076678</v>
      </c>
      <c r="DY68" s="7">
        <f t="shared" si="328"/>
        <v>147478061351.25607</v>
      </c>
      <c r="DZ68" s="13">
        <f t="shared" si="329"/>
        <v>1232.932145019611</v>
      </c>
      <c r="EA68" s="763">
        <f t="shared" si="330"/>
        <v>1401.067854980389</v>
      </c>
      <c r="EB68" s="164">
        <f t="shared" si="272"/>
        <v>119615716.03675747</v>
      </c>
      <c r="EC68" s="164">
        <f t="shared" si="273"/>
        <v>105261184.05116099</v>
      </c>
      <c r="ED68" s="1136">
        <f t="shared" si="331"/>
        <v>712393361621.62415</v>
      </c>
      <c r="EE68" s="1136">
        <f t="shared" si="332"/>
        <v>175002722112.11044</v>
      </c>
      <c r="EF68" s="763">
        <f t="shared" si="333"/>
        <v>117646.92643807472</v>
      </c>
      <c r="EG68" s="7">
        <f t="shared" si="334"/>
        <v>129860445246.22394</v>
      </c>
      <c r="EH68" s="13">
        <f t="shared" si="335"/>
        <v>1334.3553149719196</v>
      </c>
      <c r="EI68" s="763">
        <f t="shared" si="336"/>
        <v>1299.6446850280804</v>
      </c>
      <c r="EJ68" s="164">
        <f t="shared" si="274"/>
        <v>97320738.928489029</v>
      </c>
      <c r="EK68" s="164">
        <f t="shared" si="275"/>
        <v>99919960.233914346</v>
      </c>
      <c r="EL68" s="1136">
        <f t="shared" ref="EL68:EL126" si="337">DV68</f>
        <v>307023634982.90155</v>
      </c>
      <c r="EM68" s="1136">
        <f t="shared" ref="EM68:EM126" si="338">DW68</f>
        <v>175002722112.11044</v>
      </c>
      <c r="EN68" s="164"/>
      <c r="EO68" s="164"/>
    </row>
    <row r="69" spans="1:145" s="136" customFormat="1">
      <c r="A69" s="136">
        <v>103</v>
      </c>
      <c r="B69" s="136" t="str">
        <f t="shared" ref="B69" si="339">LEFT(B67,3)+1&amp;"i"</f>
        <v>203i</v>
      </c>
      <c r="C69" s="136">
        <v>3.2</v>
      </c>
      <c r="D69" s="136">
        <v>0</v>
      </c>
      <c r="E69" s="136" t="s">
        <v>2105</v>
      </c>
      <c r="F69" s="26">
        <v>2</v>
      </c>
      <c r="G69" s="136">
        <v>500</v>
      </c>
      <c r="H69" s="136">
        <v>30</v>
      </c>
      <c r="I69" s="28">
        <v>250</v>
      </c>
      <c r="J69" s="26">
        <v>1940</v>
      </c>
      <c r="K69" s="136">
        <v>18</v>
      </c>
      <c r="L69" s="28">
        <v>120</v>
      </c>
      <c r="M69" s="26">
        <v>2800</v>
      </c>
      <c r="N69" s="28">
        <v>12</v>
      </c>
      <c r="O69" s="26">
        <v>0</v>
      </c>
      <c r="P69" s="26">
        <v>290</v>
      </c>
      <c r="Q69" s="397">
        <v>5500</v>
      </c>
      <c r="R69" s="169">
        <v>0</v>
      </c>
      <c r="S69" s="210">
        <v>0</v>
      </c>
      <c r="T69" s="169">
        <v>1200</v>
      </c>
      <c r="U69" s="169">
        <v>2400</v>
      </c>
      <c r="V69" s="28">
        <v>3800</v>
      </c>
      <c r="W69" s="210">
        <v>19</v>
      </c>
      <c r="X69" s="210">
        <v>200</v>
      </c>
      <c r="Y69" s="169">
        <v>50</v>
      </c>
      <c r="Z69" s="210">
        <v>16</v>
      </c>
      <c r="AA69" s="210">
        <v>200</v>
      </c>
      <c r="AB69" s="28">
        <v>40</v>
      </c>
      <c r="AC69" s="210">
        <v>0</v>
      </c>
      <c r="AD69" s="26">
        <v>2</v>
      </c>
      <c r="AE69" s="169">
        <v>160</v>
      </c>
      <c r="AF69" s="169">
        <v>16</v>
      </c>
      <c r="AG69" s="26">
        <v>0</v>
      </c>
      <c r="AH69" s="169">
        <v>0</v>
      </c>
      <c r="AI69" s="169">
        <v>0</v>
      </c>
      <c r="AJ69" s="397">
        <v>2</v>
      </c>
      <c r="AK69" s="210">
        <v>2500</v>
      </c>
      <c r="AL69" s="210">
        <v>5000</v>
      </c>
      <c r="AM69" s="210" t="s">
        <v>2316</v>
      </c>
      <c r="AN69" s="210">
        <v>1587.5</v>
      </c>
      <c r="AO69" s="1143" t="s">
        <v>2321</v>
      </c>
      <c r="AP69" s="1143" t="s">
        <v>2321</v>
      </c>
      <c r="AQ69" s="1143"/>
      <c r="AR69" s="1143"/>
      <c r="AS69" s="1143"/>
      <c r="AT69" s="1143"/>
      <c r="AU69" s="1143"/>
      <c r="AV69" s="1109"/>
      <c r="AW69" s="1109"/>
      <c r="AX69" s="1109"/>
      <c r="AY69" s="1109"/>
      <c r="AZ69" s="1108">
        <v>8</v>
      </c>
      <c r="BA69" s="1108">
        <v>6</v>
      </c>
      <c r="BB69" s="1109"/>
      <c r="BC69" s="1168"/>
      <c r="BD69" s="210">
        <f>INDEX(Spec!$B$12:$P$58,MATCH(AO69,Spec!$A$12:$A$58,0),6)*100</f>
        <v>1900</v>
      </c>
      <c r="BE69" s="210">
        <f>INDEX(Spec!$B$12:$P$58,MATCH(AP69,Spec!$A$12:$A$58,0),6)*100</f>
        <v>1900</v>
      </c>
      <c r="BF69" s="881">
        <f t="shared" si="276"/>
        <v>0.78284436196746643</v>
      </c>
      <c r="BG69" s="881">
        <f t="shared" si="277"/>
        <v>47.243485714285718</v>
      </c>
      <c r="BH69" s="881"/>
      <c r="BI69" s="13" cm="1">
        <f t="array" ref="BI69">INDEX(Info!$AD$4:$AH$15,MATCH(Info!$I$13,Info!$AC$4:$AC$15,0),IF(H69&lt;=16,1,IF(H69&lt;=40,2,IF(H69&lt;=75,3,IF(H69&lt;=100,4,5)))))</f>
        <v>380</v>
      </c>
      <c r="BJ69" s="13" cm="1">
        <f t="array" ref="BJ69">INDEX(Info!$AD$4:$AH$15,MATCH(Info!$I$13,Info!$AC$4:$AC$15,0),IF(K69&lt;=16,1,IF(K69&lt;=40,2,IF(K69&lt;=75,3,IF(K69&lt;=100,4,5)))))</f>
        <v>380</v>
      </c>
      <c r="BK69" s="13" cm="1">
        <f t="array" ref="BK69">INDEX(Info!$AD$4:$AH$15,MATCH(Info!$I$14,Info!$AC$4:$AC$15,0),IF(N69&lt;=16,1,IF(N69&lt;=40,2,IF(N69&lt;=75,3,IF(N69&lt;=100,4,5)))))</f>
        <v>355</v>
      </c>
      <c r="BL69" s="13">
        <f>IF(Stress!C898="Positive",MAX(MIN(0.7*BI69,BK69),0.5*BI69),MAX(MIN(0.7*BJ69,BK69),0.5*BJ69))</f>
        <v>266</v>
      </c>
      <c r="BM69" s="13" cm="1">
        <f t="array" ref="BM69">INDEX(Info!$AD$4:$AH$15,MATCH(Info!$I$13,Info!$AC$4:$AC$15,0),IF(AI69&lt;=16,1,IF(AI69&lt;=40,2,IF(AI69&lt;=75,3,IF(AI69&lt;=100,4,5)))))</f>
        <v>380</v>
      </c>
      <c r="BN69" s="13" cm="1">
        <f t="array" ref="BN69">INDEX(Info!$AD$4:$AH$15,MATCH(Info!$I$13,Info!$AC$4:$AC$15,0),IF(AF69&lt;=16,1,IF(AF69&lt;=40,2,IF(AF69&lt;=75,3,IF(AF69&lt;=100,4,5)))))</f>
        <v>380</v>
      </c>
      <c r="BO69" s="13"/>
      <c r="BP69" s="13">
        <f t="shared" si="278"/>
        <v>0.125</v>
      </c>
      <c r="BQ69" s="13">
        <f t="shared" si="279"/>
        <v>2821.7902119044925</v>
      </c>
      <c r="BR69" s="13">
        <f t="shared" si="280"/>
        <v>3108</v>
      </c>
      <c r="BS69" s="13"/>
      <c r="BT69" s="136">
        <f t="shared" si="281"/>
        <v>0</v>
      </c>
      <c r="BU69" s="136">
        <f t="shared" si="282"/>
        <v>0</v>
      </c>
      <c r="BV69" s="136">
        <f t="shared" si="283"/>
        <v>1595000</v>
      </c>
      <c r="BW69" s="136">
        <f t="shared" si="284"/>
        <v>11178291666.666666</v>
      </c>
      <c r="BX69" s="136">
        <f t="shared" si="285"/>
        <v>0</v>
      </c>
      <c r="BY69" s="136">
        <f t="shared" si="286"/>
        <v>0</v>
      </c>
      <c r="BZ69" s="136">
        <f t="shared" si="287"/>
        <v>7655.2758986349281</v>
      </c>
      <c r="CA69" s="136">
        <f t="shared" si="288"/>
        <v>172722.16246295057</v>
      </c>
      <c r="CB69" s="136">
        <f t="shared" si="289"/>
        <v>5428.6721054031623</v>
      </c>
      <c r="CC69" s="136">
        <f t="shared" si="290"/>
        <v>86858.753686450596</v>
      </c>
      <c r="CE69" s="1137">
        <f t="shared" si="291"/>
        <v>346081987.77679139</v>
      </c>
      <c r="CF69" s="1136">
        <f t="shared" si="292"/>
        <v>411131448.88888884</v>
      </c>
      <c r="CG69" s="1136">
        <f t="shared" si="293"/>
        <v>0</v>
      </c>
      <c r="CH69" s="172">
        <f t="shared" si="294"/>
        <v>4020729166666.6665</v>
      </c>
      <c r="CJ69" s="136">
        <f t="shared" si="295"/>
        <v>137762.96508570784</v>
      </c>
      <c r="CK69" s="7">
        <f t="shared" si="296"/>
        <v>181248618073.21808</v>
      </c>
      <c r="CL69" s="6">
        <f t="shared" si="297"/>
        <v>1528.071930954698</v>
      </c>
      <c r="CM69" s="6">
        <f t="shared" si="298"/>
        <v>1319.928069045302</v>
      </c>
      <c r="CN69" s="164">
        <f t="shared" si="264"/>
        <v>118612621.8285934</v>
      </c>
      <c r="CO69" s="164">
        <f t="shared" si="265"/>
        <v>137317041.98420024</v>
      </c>
      <c r="CP69" s="1137">
        <f t="shared" si="299"/>
        <v>127873762738.52518</v>
      </c>
      <c r="CQ69" s="1136">
        <f t="shared" si="300"/>
        <v>36411229719.221405</v>
      </c>
      <c r="CR69" s="22">
        <f t="shared" si="301"/>
        <v>137762.96508570784</v>
      </c>
      <c r="CS69" s="7">
        <f t="shared" si="302"/>
        <v>181248618073.21808</v>
      </c>
      <c r="CT69" s="6">
        <f t="shared" si="303"/>
        <v>1528.071930954698</v>
      </c>
      <c r="CU69" s="12">
        <f t="shared" si="304"/>
        <v>1319.928069045302</v>
      </c>
      <c r="CV69" s="164">
        <f t="shared" si="305"/>
        <v>118612621.8285934</v>
      </c>
      <c r="CW69" s="164">
        <f t="shared" si="306"/>
        <v>137317041.98420024</v>
      </c>
      <c r="CX69" s="1136">
        <f t="shared" si="307"/>
        <v>127873762738.52518</v>
      </c>
      <c r="CY69" s="1136">
        <f t="shared" si="308"/>
        <v>36411229719.221405</v>
      </c>
      <c r="CZ69" s="22">
        <f t="shared" si="309"/>
        <v>137762.96508570784</v>
      </c>
      <c r="DA69" s="7">
        <f t="shared" si="310"/>
        <v>181248618073.21808</v>
      </c>
      <c r="DB69" s="6">
        <f t="shared" si="311"/>
        <v>1528.071930954698</v>
      </c>
      <c r="DC69" s="12">
        <f t="shared" si="312"/>
        <v>1319.928069045302</v>
      </c>
      <c r="DD69" s="164">
        <f t="shared" si="266"/>
        <v>118612621.8285934</v>
      </c>
      <c r="DE69" s="164">
        <f t="shared" si="267"/>
        <v>137317041.98420024</v>
      </c>
      <c r="DF69" s="1136">
        <f t="shared" si="313"/>
        <v>127873762738.52518</v>
      </c>
      <c r="DG69" s="1136">
        <f t="shared" si="314"/>
        <v>36411229719.221405</v>
      </c>
      <c r="DH69" s="22">
        <f t="shared" si="315"/>
        <v>385674.65161772241</v>
      </c>
      <c r="DI69" s="172">
        <f t="shared" si="316"/>
        <v>422054115505.74689</v>
      </c>
      <c r="DJ69" s="12">
        <f t="shared" si="317"/>
        <v>471.90520652049327</v>
      </c>
      <c r="DK69" s="22">
        <f t="shared" si="318"/>
        <v>2376.0947934795067</v>
      </c>
      <c r="DL69" s="164">
        <f t="shared" si="268"/>
        <v>894362066.09731162</v>
      </c>
      <c r="DM69" s="164">
        <f t="shared" si="269"/>
        <v>177625116.92039824</v>
      </c>
      <c r="DN69" s="7">
        <f t="shared" si="319"/>
        <v>752817805871.31189</v>
      </c>
      <c r="DO69" s="1136">
        <f t="shared" si="320"/>
        <v>214476299647.88208</v>
      </c>
      <c r="DP69" s="22">
        <f t="shared" si="321"/>
        <v>220400.1939297127</v>
      </c>
      <c r="DQ69" s="172">
        <f t="shared" si="322"/>
        <v>321274841805.49976</v>
      </c>
      <c r="DR69" s="22">
        <f t="shared" si="323"/>
        <v>912.01570729835566</v>
      </c>
      <c r="DS69" s="22">
        <f t="shared" si="324"/>
        <v>1935.9842927016443</v>
      </c>
      <c r="DT69" s="164">
        <f t="shared" si="270"/>
        <v>352268978.7407338</v>
      </c>
      <c r="DU69" s="164">
        <f t="shared" si="271"/>
        <v>165949095.25694773</v>
      </c>
      <c r="DV69" s="1136">
        <f t="shared" si="325"/>
        <v>336188443782.78741</v>
      </c>
      <c r="DW69" s="1136">
        <f t="shared" si="326"/>
        <v>214476299647.88208</v>
      </c>
      <c r="DX69" s="763">
        <f t="shared" si="327"/>
        <v>150846.91308974594</v>
      </c>
      <c r="DY69" s="7">
        <f t="shared" si="328"/>
        <v>214108336764.70999</v>
      </c>
      <c r="DZ69" s="13">
        <f t="shared" si="329"/>
        <v>1384.5150764771718</v>
      </c>
      <c r="EA69" s="763">
        <f t="shared" si="330"/>
        <v>1463.4849235228282</v>
      </c>
      <c r="EB69" s="164">
        <f t="shared" si="272"/>
        <v>154645001.99557072</v>
      </c>
      <c r="EC69" s="164">
        <f t="shared" si="273"/>
        <v>146300336.49360666</v>
      </c>
      <c r="ED69" s="1136">
        <f t="shared" si="331"/>
        <v>752817805871.31189</v>
      </c>
      <c r="EE69" s="1136">
        <f t="shared" si="332"/>
        <v>214476299647.88208</v>
      </c>
      <c r="EF69" s="763">
        <f t="shared" si="333"/>
        <v>142124.28108705388</v>
      </c>
      <c r="EG69" s="7">
        <f t="shared" si="334"/>
        <v>192871489301.60898</v>
      </c>
      <c r="EH69" s="13">
        <f t="shared" si="335"/>
        <v>1477.2827948897061</v>
      </c>
      <c r="EI69" s="763">
        <f t="shared" si="336"/>
        <v>1370.7172051102939</v>
      </c>
      <c r="EJ69" s="164">
        <f t="shared" si="274"/>
        <v>130558272.23386079</v>
      </c>
      <c r="EK69" s="164">
        <f t="shared" si="275"/>
        <v>140708447.06883919</v>
      </c>
      <c r="EL69" s="1136">
        <f t="shared" si="337"/>
        <v>336188443782.78741</v>
      </c>
      <c r="EM69" s="1136">
        <f t="shared" si="338"/>
        <v>214476299647.88208</v>
      </c>
      <c r="EN69" s="164"/>
      <c r="EO69" s="164"/>
    </row>
    <row r="70" spans="1:145" s="136" customFormat="1">
      <c r="B70" s="136" t="str">
        <f t="shared" ref="B70" si="340">LEFT(B68,3)+1&amp;"j"</f>
        <v>203j</v>
      </c>
      <c r="C70" s="136">
        <v>6.9</v>
      </c>
      <c r="D70" s="136">
        <v>0</v>
      </c>
      <c r="E70" s="136" t="s">
        <v>2105</v>
      </c>
      <c r="F70" s="26">
        <v>2</v>
      </c>
      <c r="G70" s="136">
        <v>500</v>
      </c>
      <c r="H70" s="136">
        <v>30</v>
      </c>
      <c r="I70" s="28">
        <v>250</v>
      </c>
      <c r="J70" s="26">
        <v>1940</v>
      </c>
      <c r="K70" s="136">
        <v>18</v>
      </c>
      <c r="L70" s="28">
        <v>120</v>
      </c>
      <c r="M70" s="26">
        <v>2800</v>
      </c>
      <c r="N70" s="28">
        <v>12</v>
      </c>
      <c r="O70" s="26">
        <v>0</v>
      </c>
      <c r="P70" s="26">
        <v>290</v>
      </c>
      <c r="Q70" s="397">
        <v>5500</v>
      </c>
      <c r="R70" s="169">
        <v>0</v>
      </c>
      <c r="S70" s="210">
        <v>0</v>
      </c>
      <c r="T70" s="169">
        <v>1200</v>
      </c>
      <c r="U70" s="169">
        <v>2400</v>
      </c>
      <c r="V70" s="28">
        <v>3800</v>
      </c>
      <c r="W70" s="210">
        <v>19</v>
      </c>
      <c r="X70" s="210">
        <v>200</v>
      </c>
      <c r="Y70" s="169">
        <v>50</v>
      </c>
      <c r="Z70" s="210">
        <v>16</v>
      </c>
      <c r="AA70" s="210">
        <v>200</v>
      </c>
      <c r="AB70" s="28">
        <v>40</v>
      </c>
      <c r="AC70" s="210">
        <v>0</v>
      </c>
      <c r="AD70" s="26">
        <v>2</v>
      </c>
      <c r="AE70" s="169">
        <v>160</v>
      </c>
      <c r="AF70" s="169">
        <v>16</v>
      </c>
      <c r="AG70" s="26">
        <v>0</v>
      </c>
      <c r="AH70" s="169">
        <v>0</v>
      </c>
      <c r="AI70" s="169">
        <v>0</v>
      </c>
      <c r="AJ70" s="397">
        <v>2</v>
      </c>
      <c r="AK70" s="210">
        <v>2500</v>
      </c>
      <c r="AL70" s="210">
        <v>5000</v>
      </c>
      <c r="AM70" s="210" t="s">
        <v>2316</v>
      </c>
      <c r="AN70" s="210">
        <v>1587.5</v>
      </c>
      <c r="AO70" s="1143" t="s">
        <v>2321</v>
      </c>
      <c r="AP70" s="1143" t="s">
        <v>2321</v>
      </c>
      <c r="AQ70" s="1143"/>
      <c r="AR70" s="1143"/>
      <c r="AS70" s="1143"/>
      <c r="AT70" s="1143"/>
      <c r="AU70" s="1143"/>
      <c r="AV70" s="1109"/>
      <c r="AW70" s="1109"/>
      <c r="AX70" s="1109"/>
      <c r="AY70" s="1109"/>
      <c r="AZ70" s="1108">
        <v>8</v>
      </c>
      <c r="BA70" s="1108">
        <v>6</v>
      </c>
      <c r="BB70" s="1109"/>
      <c r="BC70" s="1168"/>
      <c r="BD70" s="210">
        <f>INDEX(Spec!$B$12:$P$58,MATCH(AO70,Spec!$A$12:$A$58,0),6)*100</f>
        <v>1900</v>
      </c>
      <c r="BE70" s="210">
        <f>INDEX(Spec!$B$12:$P$58,MATCH(AP70,Spec!$A$12:$A$58,0),6)*100</f>
        <v>1900</v>
      </c>
      <c r="BF70" s="881">
        <f t="shared" si="276"/>
        <v>0.78284436196746643</v>
      </c>
      <c r="BG70" s="881">
        <f t="shared" si="277"/>
        <v>47.243485714285718</v>
      </c>
      <c r="BH70" s="881"/>
      <c r="BI70" s="13" cm="1">
        <f t="array" ref="BI70">INDEX(Info!$AD$4:$AH$15,MATCH(Info!$I$13,Info!$AC$4:$AC$15,0),IF(H70&lt;=16,1,IF(H70&lt;=40,2,IF(H70&lt;=75,3,IF(H70&lt;=100,4,5)))))</f>
        <v>380</v>
      </c>
      <c r="BJ70" s="13" cm="1">
        <f t="array" ref="BJ70">INDEX(Info!$AD$4:$AH$15,MATCH(Info!$I$13,Info!$AC$4:$AC$15,0),IF(K70&lt;=16,1,IF(K70&lt;=40,2,IF(K70&lt;=75,3,IF(K70&lt;=100,4,5)))))</f>
        <v>380</v>
      </c>
      <c r="BK70" s="13" cm="1">
        <f t="array" ref="BK70">INDEX(Info!$AD$4:$AH$15,MATCH(Info!$I$14,Info!$AC$4:$AC$15,0),IF(N70&lt;=16,1,IF(N70&lt;=40,2,IF(N70&lt;=75,3,IF(N70&lt;=100,4,5)))))</f>
        <v>355</v>
      </c>
      <c r="BL70" s="13">
        <f>IF(Stress!C899="Positive",MAX(MIN(0.7*BI70,BK70),0.5*BI70),MAX(MIN(0.7*BJ70,BK70),0.5*BJ70))</f>
        <v>266</v>
      </c>
      <c r="BM70" s="13" cm="1">
        <f t="array" ref="BM70">INDEX(Info!$AD$4:$AH$15,MATCH(Info!$I$13,Info!$AC$4:$AC$15,0),IF(AI70&lt;=16,1,IF(AI70&lt;=40,2,IF(AI70&lt;=75,3,IF(AI70&lt;=100,4,5)))))</f>
        <v>380</v>
      </c>
      <c r="BN70" s="13" cm="1">
        <f t="array" ref="BN70">INDEX(Info!$AD$4:$AH$15,MATCH(Info!$I$13,Info!$AC$4:$AC$15,0),IF(AF70&lt;=16,1,IF(AF70&lt;=40,2,IF(AF70&lt;=75,3,IF(AF70&lt;=100,4,5)))))</f>
        <v>380</v>
      </c>
      <c r="BO70" s="13"/>
      <c r="BP70" s="13">
        <f t="shared" si="278"/>
        <v>0.125</v>
      </c>
      <c r="BQ70" s="13">
        <f t="shared" si="279"/>
        <v>2821.7902119044925</v>
      </c>
      <c r="BR70" s="13">
        <f t="shared" si="280"/>
        <v>3108</v>
      </c>
      <c r="BS70" s="13"/>
      <c r="BT70" s="136">
        <f t="shared" si="281"/>
        <v>0</v>
      </c>
      <c r="BU70" s="136">
        <f t="shared" si="282"/>
        <v>0</v>
      </c>
      <c r="BV70" s="136">
        <f t="shared" si="283"/>
        <v>1595000</v>
      </c>
      <c r="BW70" s="136">
        <f t="shared" si="284"/>
        <v>11178291666.666666</v>
      </c>
      <c r="BX70" s="136">
        <f t="shared" si="285"/>
        <v>0</v>
      </c>
      <c r="BY70" s="136">
        <f t="shared" si="286"/>
        <v>0</v>
      </c>
      <c r="BZ70" s="136">
        <f t="shared" si="287"/>
        <v>7655.2758986349281</v>
      </c>
      <c r="CA70" s="136">
        <f t="shared" si="288"/>
        <v>172722.16246295057</v>
      </c>
      <c r="CB70" s="136">
        <f t="shared" si="289"/>
        <v>5428.6721054031623</v>
      </c>
      <c r="CC70" s="136">
        <f t="shared" si="290"/>
        <v>86858.753686450596</v>
      </c>
      <c r="CE70" s="1137">
        <f t="shared" si="291"/>
        <v>346081987.77679139</v>
      </c>
      <c r="CF70" s="1136">
        <f t="shared" si="292"/>
        <v>411131448.88888884</v>
      </c>
      <c r="CG70" s="1136">
        <f t="shared" si="293"/>
        <v>0</v>
      </c>
      <c r="CH70" s="172">
        <f t="shared" si="294"/>
        <v>4020729166666.6665</v>
      </c>
      <c r="CJ70" s="136">
        <f t="shared" si="295"/>
        <v>137762.96508570784</v>
      </c>
      <c r="CK70" s="7">
        <f t="shared" si="296"/>
        <v>181248618073.21808</v>
      </c>
      <c r="CL70" s="6">
        <f t="shared" si="297"/>
        <v>1528.071930954698</v>
      </c>
      <c r="CM70" s="6">
        <f t="shared" si="298"/>
        <v>1319.928069045302</v>
      </c>
      <c r="CN70" s="164">
        <f t="shared" si="264"/>
        <v>118612621.8285934</v>
      </c>
      <c r="CO70" s="164">
        <f t="shared" si="265"/>
        <v>137317041.98420024</v>
      </c>
      <c r="CP70" s="1137">
        <f t="shared" si="299"/>
        <v>127873762738.52518</v>
      </c>
      <c r="CQ70" s="1136">
        <f t="shared" si="300"/>
        <v>36411229719.221405</v>
      </c>
      <c r="CR70" s="22">
        <f t="shared" si="301"/>
        <v>137762.96508570784</v>
      </c>
      <c r="CS70" s="7">
        <f t="shared" si="302"/>
        <v>181248618073.21808</v>
      </c>
      <c r="CT70" s="6">
        <f t="shared" si="303"/>
        <v>1528.071930954698</v>
      </c>
      <c r="CU70" s="12">
        <f t="shared" si="304"/>
        <v>1319.928069045302</v>
      </c>
      <c r="CV70" s="164">
        <f t="shared" si="305"/>
        <v>118612621.8285934</v>
      </c>
      <c r="CW70" s="164">
        <f t="shared" si="306"/>
        <v>137317041.98420024</v>
      </c>
      <c r="CX70" s="1136">
        <f t="shared" si="307"/>
        <v>127873762738.52518</v>
      </c>
      <c r="CY70" s="1136">
        <f t="shared" si="308"/>
        <v>36411229719.221405</v>
      </c>
      <c r="CZ70" s="22">
        <f t="shared" si="309"/>
        <v>137762.96508570784</v>
      </c>
      <c r="DA70" s="7">
        <f t="shared" si="310"/>
        <v>181248618073.21808</v>
      </c>
      <c r="DB70" s="6">
        <f t="shared" si="311"/>
        <v>1528.071930954698</v>
      </c>
      <c r="DC70" s="12">
        <f t="shared" si="312"/>
        <v>1319.928069045302</v>
      </c>
      <c r="DD70" s="164">
        <f t="shared" si="266"/>
        <v>118612621.8285934</v>
      </c>
      <c r="DE70" s="164">
        <f t="shared" si="267"/>
        <v>137317041.98420024</v>
      </c>
      <c r="DF70" s="1136">
        <f t="shared" si="313"/>
        <v>127873762738.52518</v>
      </c>
      <c r="DG70" s="1136">
        <f t="shared" si="314"/>
        <v>36411229719.221405</v>
      </c>
      <c r="DH70" s="22">
        <f t="shared" si="315"/>
        <v>385674.65161772241</v>
      </c>
      <c r="DI70" s="172">
        <f t="shared" si="316"/>
        <v>422054115505.74689</v>
      </c>
      <c r="DJ70" s="12">
        <f t="shared" si="317"/>
        <v>471.90520652049327</v>
      </c>
      <c r="DK70" s="22">
        <f t="shared" si="318"/>
        <v>2376.0947934795067</v>
      </c>
      <c r="DL70" s="164">
        <f t="shared" si="268"/>
        <v>894362066.09731162</v>
      </c>
      <c r="DM70" s="164">
        <f t="shared" si="269"/>
        <v>177625116.92039824</v>
      </c>
      <c r="DN70" s="7">
        <f t="shared" si="319"/>
        <v>752817805871.31189</v>
      </c>
      <c r="DO70" s="1136">
        <f t="shared" si="320"/>
        <v>214476299647.88208</v>
      </c>
      <c r="DP70" s="22">
        <f t="shared" si="321"/>
        <v>220400.1939297127</v>
      </c>
      <c r="DQ70" s="172">
        <f t="shared" si="322"/>
        <v>321274841805.49976</v>
      </c>
      <c r="DR70" s="22">
        <f t="shared" si="323"/>
        <v>912.01570729835566</v>
      </c>
      <c r="DS70" s="22">
        <f t="shared" si="324"/>
        <v>1935.9842927016443</v>
      </c>
      <c r="DT70" s="164">
        <f t="shared" si="270"/>
        <v>352268978.7407338</v>
      </c>
      <c r="DU70" s="164">
        <f t="shared" si="271"/>
        <v>165949095.25694773</v>
      </c>
      <c r="DV70" s="1136">
        <f t="shared" si="325"/>
        <v>336188443782.78741</v>
      </c>
      <c r="DW70" s="1136">
        <f t="shared" si="326"/>
        <v>214476299647.88208</v>
      </c>
      <c r="DX70" s="763">
        <f t="shared" si="327"/>
        <v>150846.91308974594</v>
      </c>
      <c r="DY70" s="7">
        <f t="shared" si="328"/>
        <v>214108336764.70999</v>
      </c>
      <c r="DZ70" s="13">
        <f t="shared" si="329"/>
        <v>1384.5150764771718</v>
      </c>
      <c r="EA70" s="763">
        <f t="shared" si="330"/>
        <v>1463.4849235228282</v>
      </c>
      <c r="EB70" s="164">
        <f t="shared" si="272"/>
        <v>154645001.99557072</v>
      </c>
      <c r="EC70" s="164">
        <f t="shared" si="273"/>
        <v>146300336.49360666</v>
      </c>
      <c r="ED70" s="1136">
        <f t="shared" si="331"/>
        <v>752817805871.31189</v>
      </c>
      <c r="EE70" s="1136">
        <f t="shared" si="332"/>
        <v>214476299647.88208</v>
      </c>
      <c r="EF70" s="763">
        <f t="shared" si="333"/>
        <v>142124.28108705388</v>
      </c>
      <c r="EG70" s="7">
        <f t="shared" si="334"/>
        <v>192871489301.60898</v>
      </c>
      <c r="EH70" s="13">
        <f t="shared" si="335"/>
        <v>1477.2827948897061</v>
      </c>
      <c r="EI70" s="763">
        <f t="shared" si="336"/>
        <v>1370.7172051102939</v>
      </c>
      <c r="EJ70" s="164">
        <f t="shared" si="274"/>
        <v>130558272.23386079</v>
      </c>
      <c r="EK70" s="164">
        <f t="shared" si="275"/>
        <v>140708447.06883919</v>
      </c>
      <c r="EL70" s="1136">
        <f t="shared" si="337"/>
        <v>336188443782.78741</v>
      </c>
      <c r="EM70" s="1136">
        <f t="shared" si="338"/>
        <v>214476299647.88208</v>
      </c>
      <c r="EN70" s="164"/>
      <c r="EO70" s="164"/>
    </row>
    <row r="71" spans="1:145" s="136" customFormat="1">
      <c r="A71" s="136">
        <v>104</v>
      </c>
      <c r="B71" s="136" t="str">
        <f t="shared" ref="B71" si="341">LEFT(B69,3)+1&amp;"i"</f>
        <v>204i</v>
      </c>
      <c r="C71" s="136">
        <v>6.9</v>
      </c>
      <c r="D71" s="136">
        <v>0</v>
      </c>
      <c r="E71" s="136" t="s">
        <v>2105</v>
      </c>
      <c r="F71" s="26">
        <v>2</v>
      </c>
      <c r="G71" s="136">
        <v>500</v>
      </c>
      <c r="H71" s="136">
        <v>30</v>
      </c>
      <c r="I71" s="28">
        <v>250</v>
      </c>
      <c r="J71" s="26">
        <v>1940</v>
      </c>
      <c r="K71" s="136">
        <v>18</v>
      </c>
      <c r="L71" s="28">
        <v>120</v>
      </c>
      <c r="M71" s="26">
        <v>2800</v>
      </c>
      <c r="N71" s="28">
        <v>12</v>
      </c>
      <c r="O71" s="26">
        <v>0</v>
      </c>
      <c r="P71" s="26">
        <v>290</v>
      </c>
      <c r="Q71" s="397">
        <v>5500</v>
      </c>
      <c r="R71" s="169">
        <v>0</v>
      </c>
      <c r="S71" s="210">
        <v>0</v>
      </c>
      <c r="T71" s="169">
        <v>1200</v>
      </c>
      <c r="U71" s="169">
        <v>2400</v>
      </c>
      <c r="V71" s="28">
        <v>3800</v>
      </c>
      <c r="W71" s="210">
        <v>19</v>
      </c>
      <c r="X71" s="210">
        <v>200</v>
      </c>
      <c r="Y71" s="169">
        <v>50</v>
      </c>
      <c r="Z71" s="210">
        <v>16</v>
      </c>
      <c r="AA71" s="210">
        <v>200</v>
      </c>
      <c r="AB71" s="28">
        <v>40</v>
      </c>
      <c r="AC71" s="210">
        <v>0</v>
      </c>
      <c r="AD71" s="26">
        <v>2</v>
      </c>
      <c r="AE71" s="169">
        <v>160</v>
      </c>
      <c r="AF71" s="169">
        <v>16</v>
      </c>
      <c r="AG71" s="26">
        <v>0</v>
      </c>
      <c r="AH71" s="169">
        <v>0</v>
      </c>
      <c r="AI71" s="169">
        <v>0</v>
      </c>
      <c r="AJ71" s="397">
        <v>2</v>
      </c>
      <c r="AK71" s="210">
        <v>2500</v>
      </c>
      <c r="AL71" s="210">
        <v>5000</v>
      </c>
      <c r="AM71" s="210" t="s">
        <v>2316</v>
      </c>
      <c r="AN71" s="210">
        <v>2500</v>
      </c>
      <c r="AO71" s="1143" t="s">
        <v>2322</v>
      </c>
      <c r="AP71" s="1143" t="s">
        <v>2321</v>
      </c>
      <c r="AQ71" s="1143"/>
      <c r="AR71" s="1143"/>
      <c r="AS71" s="1143"/>
      <c r="AT71" s="1143"/>
      <c r="AU71" s="1143"/>
      <c r="AV71" s="1109"/>
      <c r="AW71" s="1109"/>
      <c r="AX71" s="1109"/>
      <c r="AY71" s="1109"/>
      <c r="AZ71" s="1108">
        <v>8</v>
      </c>
      <c r="BA71" s="1108">
        <v>6</v>
      </c>
      <c r="BB71" s="1109"/>
      <c r="BC71" s="1168"/>
      <c r="BD71" s="210">
        <f>INDEX(Spec!$B$12:$P$58,MATCH(AO71,Spec!$A$12:$A$58,0),6)*100</f>
        <v>2921</v>
      </c>
      <c r="BE71" s="210">
        <f>INDEX(Spec!$B$12:$P$58,MATCH(AP71,Spec!$A$12:$A$58,0),6)*100</f>
        <v>1900</v>
      </c>
      <c r="BF71" s="881">
        <f t="shared" si="276"/>
        <v>1.0617395007654364</v>
      </c>
      <c r="BG71" s="881">
        <f t="shared" si="277"/>
        <v>47.243485714285718</v>
      </c>
      <c r="BH71" s="881"/>
      <c r="BI71" s="13" cm="1">
        <f t="array" ref="BI71">INDEX(Info!$AD$4:$AH$15,MATCH(Info!$I$13,Info!$AC$4:$AC$15,0),IF(H71&lt;=16,1,IF(H71&lt;=40,2,IF(H71&lt;=75,3,IF(H71&lt;=100,4,5)))))</f>
        <v>380</v>
      </c>
      <c r="BJ71" s="13" cm="1">
        <f t="array" ref="BJ71">INDEX(Info!$AD$4:$AH$15,MATCH(Info!$I$13,Info!$AC$4:$AC$15,0),IF(K71&lt;=16,1,IF(K71&lt;=40,2,IF(K71&lt;=75,3,IF(K71&lt;=100,4,5)))))</f>
        <v>380</v>
      </c>
      <c r="BK71" s="13" cm="1">
        <f t="array" ref="BK71">INDEX(Info!$AD$4:$AH$15,MATCH(Info!$I$14,Info!$AC$4:$AC$15,0),IF(N71&lt;=16,1,IF(N71&lt;=40,2,IF(N71&lt;=75,3,IF(N71&lt;=100,4,5)))))</f>
        <v>355</v>
      </c>
      <c r="BL71" s="13">
        <f>IF(Stress!C900="Positive",MAX(MIN(0.7*BI71,BK71),0.5*BI71),MAX(MIN(0.7*BJ71,BK71),0.5*BJ71))</f>
        <v>266</v>
      </c>
      <c r="BM71" s="13" cm="1">
        <f t="array" ref="BM71">INDEX(Info!$AD$4:$AH$15,MATCH(Info!$I$13,Info!$AC$4:$AC$15,0),IF(AI71&lt;=16,1,IF(AI71&lt;=40,2,IF(AI71&lt;=75,3,IF(AI71&lt;=100,4,5)))))</f>
        <v>380</v>
      </c>
      <c r="BN71" s="13" cm="1">
        <f t="array" ref="BN71">INDEX(Info!$AD$4:$AH$15,MATCH(Info!$I$13,Info!$AC$4:$AC$15,0),IF(AF71&lt;=16,1,IF(AF71&lt;=40,2,IF(AF71&lt;=75,3,IF(AF71&lt;=100,4,5)))))</f>
        <v>380</v>
      </c>
      <c r="BO71" s="13"/>
      <c r="BP71" s="13">
        <f t="shared" si="278"/>
        <v>0.125</v>
      </c>
      <c r="BQ71" s="13">
        <f t="shared" si="279"/>
        <v>2821.7902119044925</v>
      </c>
      <c r="BR71" s="13">
        <f t="shared" si="280"/>
        <v>3108</v>
      </c>
      <c r="BS71" s="13"/>
      <c r="BT71" s="136">
        <f t="shared" si="281"/>
        <v>0</v>
      </c>
      <c r="BU71" s="136">
        <f t="shared" si="282"/>
        <v>0</v>
      </c>
      <c r="BV71" s="136">
        <f t="shared" si="283"/>
        <v>1595000</v>
      </c>
      <c r="BW71" s="136">
        <f t="shared" si="284"/>
        <v>11178291666.666666</v>
      </c>
      <c r="BX71" s="136">
        <f t="shared" si="285"/>
        <v>0</v>
      </c>
      <c r="BY71" s="136">
        <f t="shared" si="286"/>
        <v>0</v>
      </c>
      <c r="BZ71" s="136">
        <f t="shared" si="287"/>
        <v>7655.2758986349281</v>
      </c>
      <c r="CA71" s="136">
        <f t="shared" si="288"/>
        <v>172722.16246295057</v>
      </c>
      <c r="CB71" s="136">
        <f t="shared" si="289"/>
        <v>5428.6721054031623</v>
      </c>
      <c r="CC71" s="136">
        <f t="shared" si="290"/>
        <v>86858.753686450596</v>
      </c>
      <c r="CE71" s="1137">
        <f t="shared" si="291"/>
        <v>346081987.77679139</v>
      </c>
      <c r="CF71" s="1136">
        <f t="shared" si="292"/>
        <v>411131448.88888884</v>
      </c>
      <c r="CG71" s="1136">
        <f t="shared" si="293"/>
        <v>0</v>
      </c>
      <c r="CH71" s="172">
        <f t="shared" si="294"/>
        <v>4020729166666.6665</v>
      </c>
      <c r="CJ71" s="136">
        <f t="shared" si="295"/>
        <v>137762.96508570784</v>
      </c>
      <c r="CK71" s="7">
        <f t="shared" si="296"/>
        <v>181248618073.21808</v>
      </c>
      <c r="CL71" s="6">
        <f t="shared" si="297"/>
        <v>1528.071930954698</v>
      </c>
      <c r="CM71" s="6">
        <f t="shared" si="298"/>
        <v>1319.928069045302</v>
      </c>
      <c r="CN71" s="164">
        <f t="shared" si="264"/>
        <v>118612621.8285934</v>
      </c>
      <c r="CO71" s="164">
        <f t="shared" si="265"/>
        <v>137317041.98420024</v>
      </c>
      <c r="CP71" s="1137">
        <f t="shared" si="299"/>
        <v>127873762738.52518</v>
      </c>
      <c r="CQ71" s="1136">
        <f t="shared" si="300"/>
        <v>46745922615.017654</v>
      </c>
      <c r="CR71" s="22">
        <f t="shared" si="301"/>
        <v>137762.96508570784</v>
      </c>
      <c r="CS71" s="7">
        <f t="shared" si="302"/>
        <v>181248618073.21808</v>
      </c>
      <c r="CT71" s="6">
        <f t="shared" si="303"/>
        <v>1528.071930954698</v>
      </c>
      <c r="CU71" s="12">
        <f t="shared" si="304"/>
        <v>1319.928069045302</v>
      </c>
      <c r="CV71" s="164">
        <f t="shared" si="305"/>
        <v>118612621.8285934</v>
      </c>
      <c r="CW71" s="164">
        <f t="shared" si="306"/>
        <v>137317041.98420024</v>
      </c>
      <c r="CX71" s="1136">
        <f t="shared" si="307"/>
        <v>127873762738.52518</v>
      </c>
      <c r="CY71" s="1136">
        <f t="shared" si="308"/>
        <v>46745922615.017654</v>
      </c>
      <c r="CZ71" s="22">
        <f t="shared" si="309"/>
        <v>137762.96508570784</v>
      </c>
      <c r="DA71" s="7">
        <f t="shared" si="310"/>
        <v>181248618073.21808</v>
      </c>
      <c r="DB71" s="6">
        <f t="shared" si="311"/>
        <v>1528.071930954698</v>
      </c>
      <c r="DC71" s="12">
        <f t="shared" si="312"/>
        <v>1319.928069045302</v>
      </c>
      <c r="DD71" s="164">
        <f t="shared" si="266"/>
        <v>118612621.8285934</v>
      </c>
      <c r="DE71" s="164">
        <f t="shared" si="267"/>
        <v>137317041.98420024</v>
      </c>
      <c r="DF71" s="1136">
        <f t="shared" si="313"/>
        <v>127873762738.52518</v>
      </c>
      <c r="DG71" s="1136">
        <f t="shared" si="314"/>
        <v>46745922615.017654</v>
      </c>
      <c r="DH71" s="22">
        <f t="shared" si="315"/>
        <v>385674.65161772241</v>
      </c>
      <c r="DI71" s="172">
        <f t="shared" si="316"/>
        <v>422054115505.74689</v>
      </c>
      <c r="DJ71" s="12">
        <f t="shared" si="317"/>
        <v>471.90520652049327</v>
      </c>
      <c r="DK71" s="22">
        <f t="shared" si="318"/>
        <v>2376.0947934795067</v>
      </c>
      <c r="DL71" s="164">
        <f t="shared" si="268"/>
        <v>894362066.09731162</v>
      </c>
      <c r="DM71" s="164">
        <f t="shared" si="269"/>
        <v>177625116.92039824</v>
      </c>
      <c r="DN71" s="7">
        <f t="shared" si="319"/>
        <v>752817805871.31189</v>
      </c>
      <c r="DO71" s="1136">
        <f t="shared" si="320"/>
        <v>214476299647.88208</v>
      </c>
      <c r="DP71" s="22">
        <f t="shared" si="321"/>
        <v>220400.1939297127</v>
      </c>
      <c r="DQ71" s="172">
        <f t="shared" si="322"/>
        <v>321274841805.49976</v>
      </c>
      <c r="DR71" s="22">
        <f t="shared" si="323"/>
        <v>912.01570729835566</v>
      </c>
      <c r="DS71" s="22">
        <f t="shared" si="324"/>
        <v>1935.9842927016443</v>
      </c>
      <c r="DT71" s="164">
        <f t="shared" si="270"/>
        <v>352268978.7407338</v>
      </c>
      <c r="DU71" s="164">
        <f t="shared" si="271"/>
        <v>165949095.25694773</v>
      </c>
      <c r="DV71" s="1136">
        <f t="shared" si="325"/>
        <v>336188443782.78741</v>
      </c>
      <c r="DW71" s="1136">
        <f t="shared" si="326"/>
        <v>214476299647.88208</v>
      </c>
      <c r="DX71" s="763">
        <f t="shared" si="327"/>
        <v>150846.91308974594</v>
      </c>
      <c r="DY71" s="7">
        <f t="shared" si="328"/>
        <v>214108336764.70999</v>
      </c>
      <c r="DZ71" s="13">
        <f t="shared" si="329"/>
        <v>1384.5150764771718</v>
      </c>
      <c r="EA71" s="763">
        <f t="shared" si="330"/>
        <v>1463.4849235228282</v>
      </c>
      <c r="EB71" s="164">
        <f t="shared" si="272"/>
        <v>154645001.99557072</v>
      </c>
      <c r="EC71" s="164">
        <f t="shared" si="273"/>
        <v>146300336.49360666</v>
      </c>
      <c r="ED71" s="1136">
        <f t="shared" si="331"/>
        <v>752817805871.31189</v>
      </c>
      <c r="EE71" s="1136">
        <f t="shared" si="332"/>
        <v>214476299647.88208</v>
      </c>
      <c r="EF71" s="763">
        <f t="shared" si="333"/>
        <v>142124.28108705388</v>
      </c>
      <c r="EG71" s="7">
        <f t="shared" si="334"/>
        <v>192871489301.60898</v>
      </c>
      <c r="EH71" s="13">
        <f t="shared" si="335"/>
        <v>1477.2827948897061</v>
      </c>
      <c r="EI71" s="763">
        <f t="shared" si="336"/>
        <v>1370.7172051102939</v>
      </c>
      <c r="EJ71" s="164">
        <f t="shared" si="274"/>
        <v>130558272.23386079</v>
      </c>
      <c r="EK71" s="164">
        <f t="shared" si="275"/>
        <v>140708447.06883919</v>
      </c>
      <c r="EL71" s="1136">
        <f t="shared" si="337"/>
        <v>336188443782.78741</v>
      </c>
      <c r="EM71" s="1136">
        <f t="shared" si="338"/>
        <v>214476299647.88208</v>
      </c>
      <c r="EN71" s="164"/>
      <c r="EO71" s="164"/>
    </row>
    <row r="72" spans="1:145" s="856" customFormat="1">
      <c r="B72" s="856" t="str">
        <f t="shared" ref="B72" si="342">LEFT(B70,3)+1&amp;"j"</f>
        <v>204j</v>
      </c>
      <c r="C72" s="856">
        <v>11.9</v>
      </c>
      <c r="D72" s="856">
        <v>0</v>
      </c>
      <c r="E72" s="856" t="s">
        <v>2105</v>
      </c>
      <c r="F72" s="882">
        <v>2</v>
      </c>
      <c r="G72" s="883">
        <v>500</v>
      </c>
      <c r="H72" s="883">
        <v>30</v>
      </c>
      <c r="I72" s="726">
        <v>250</v>
      </c>
      <c r="J72" s="882">
        <v>1940</v>
      </c>
      <c r="K72" s="883">
        <v>18</v>
      </c>
      <c r="L72" s="726">
        <v>120</v>
      </c>
      <c r="M72" s="882">
        <v>2800</v>
      </c>
      <c r="N72" s="726">
        <v>12</v>
      </c>
      <c r="O72" s="857">
        <v>0</v>
      </c>
      <c r="P72" s="26">
        <v>290</v>
      </c>
      <c r="Q72" s="397">
        <v>5500</v>
      </c>
      <c r="R72" s="169">
        <v>0</v>
      </c>
      <c r="S72" s="210">
        <v>0</v>
      </c>
      <c r="T72" s="858">
        <v>1200</v>
      </c>
      <c r="U72" s="858">
        <v>2400</v>
      </c>
      <c r="V72" s="859">
        <v>3800</v>
      </c>
      <c r="W72" s="860">
        <v>19</v>
      </c>
      <c r="X72" s="860">
        <v>200</v>
      </c>
      <c r="Y72" s="858">
        <v>50</v>
      </c>
      <c r="Z72" s="860">
        <v>16</v>
      </c>
      <c r="AA72" s="860">
        <v>200</v>
      </c>
      <c r="AB72" s="859">
        <v>40</v>
      </c>
      <c r="AC72" s="860">
        <v>0</v>
      </c>
      <c r="AD72" s="857">
        <v>2</v>
      </c>
      <c r="AE72" s="858">
        <v>160</v>
      </c>
      <c r="AF72" s="858">
        <v>16</v>
      </c>
      <c r="AG72" s="857">
        <v>0</v>
      </c>
      <c r="AH72" s="858">
        <v>0</v>
      </c>
      <c r="AI72" s="858">
        <v>0</v>
      </c>
      <c r="AJ72" s="397">
        <v>2</v>
      </c>
      <c r="AK72" s="210">
        <v>2500</v>
      </c>
      <c r="AL72" s="860">
        <v>5000</v>
      </c>
      <c r="AM72" s="210" t="s">
        <v>2316</v>
      </c>
      <c r="AN72" s="210">
        <v>2500</v>
      </c>
      <c r="AO72" s="1143" t="s">
        <v>2322</v>
      </c>
      <c r="AP72" s="1143" t="s">
        <v>2321</v>
      </c>
      <c r="AQ72" s="1143"/>
      <c r="AR72" s="1143"/>
      <c r="AS72" s="1143"/>
      <c r="AT72" s="1143"/>
      <c r="AU72" s="1143"/>
      <c r="AV72" s="1110"/>
      <c r="AW72" s="1110"/>
      <c r="AX72" s="1110"/>
      <c r="AY72" s="1110"/>
      <c r="AZ72" s="1108">
        <v>8</v>
      </c>
      <c r="BA72" s="1108">
        <v>6</v>
      </c>
      <c r="BB72" s="1110"/>
      <c r="BC72" s="1168"/>
      <c r="BD72" s="210">
        <f>INDEX(Spec!$B$12:$P$58,MATCH(AO72,Spec!$A$12:$A$58,0),6)*100</f>
        <v>2921</v>
      </c>
      <c r="BE72" s="210">
        <f>INDEX(Spec!$B$12:$P$58,MATCH(AP72,Spec!$A$12:$A$58,0),6)*100</f>
        <v>1900</v>
      </c>
      <c r="BF72" s="881">
        <f t="shared" si="276"/>
        <v>1.0617395007654364</v>
      </c>
      <c r="BG72" s="881">
        <f t="shared" si="277"/>
        <v>47.243485714285718</v>
      </c>
      <c r="BH72" s="881"/>
      <c r="BI72" s="13" cm="1">
        <f t="array" ref="BI72">INDEX(Info!$AD$4:$AH$15,MATCH(Info!$I$13,Info!$AC$4:$AC$15,0),IF(H72&lt;=16,1,IF(H72&lt;=40,2,IF(H72&lt;=75,3,IF(H72&lt;=100,4,5)))))</f>
        <v>380</v>
      </c>
      <c r="BJ72" s="13" cm="1">
        <f t="array" ref="BJ72">INDEX(Info!$AD$4:$AH$15,MATCH(Info!$I$13,Info!$AC$4:$AC$15,0),IF(K72&lt;=16,1,IF(K72&lt;=40,2,IF(K72&lt;=75,3,IF(K72&lt;=100,4,5)))))</f>
        <v>380</v>
      </c>
      <c r="BK72" s="13" cm="1">
        <f t="array" ref="BK72">INDEX(Info!$AD$4:$AH$15,MATCH(Info!$I$14,Info!$AC$4:$AC$15,0),IF(N72&lt;=16,1,IF(N72&lt;=40,2,IF(N72&lt;=75,3,IF(N72&lt;=100,4,5)))))</f>
        <v>355</v>
      </c>
      <c r="BL72" s="13">
        <f>IF(Stress!C901="Positive",MAX(MIN(0.7*BI72,BK72),0.5*BI72),MAX(MIN(0.7*BJ72,BK72),0.5*BJ72))</f>
        <v>266</v>
      </c>
      <c r="BM72" s="13" cm="1">
        <f t="array" ref="BM72">INDEX(Info!$AD$4:$AH$15,MATCH(Info!$I$13,Info!$AC$4:$AC$15,0),IF(AI72&lt;=16,1,IF(AI72&lt;=40,2,IF(AI72&lt;=75,3,IF(AI72&lt;=100,4,5)))))</f>
        <v>380</v>
      </c>
      <c r="BN72" s="13" cm="1">
        <f t="array" ref="BN72">INDEX(Info!$AD$4:$AH$15,MATCH(Info!$I$13,Info!$AC$4:$AC$15,0),IF(AF72&lt;=16,1,IF(AF72&lt;=40,2,IF(AF72&lt;=75,3,IF(AF72&lt;=100,4,5)))))</f>
        <v>380</v>
      </c>
      <c r="BO72" s="13"/>
      <c r="BP72" s="861">
        <f t="shared" si="278"/>
        <v>0.125</v>
      </c>
      <c r="BQ72" s="861">
        <f t="shared" si="279"/>
        <v>2821.7902119044925</v>
      </c>
      <c r="BR72" s="861">
        <f t="shared" si="280"/>
        <v>3108</v>
      </c>
      <c r="BS72" s="861"/>
      <c r="BT72" s="856">
        <f t="shared" si="281"/>
        <v>0</v>
      </c>
      <c r="BU72" s="136">
        <f t="shared" si="282"/>
        <v>0</v>
      </c>
      <c r="BV72" s="856">
        <f t="shared" si="283"/>
        <v>1595000</v>
      </c>
      <c r="BW72" s="856">
        <f t="shared" si="284"/>
        <v>11178291666.666666</v>
      </c>
      <c r="BX72" s="856">
        <f t="shared" si="285"/>
        <v>0</v>
      </c>
      <c r="BY72" s="856">
        <f t="shared" si="286"/>
        <v>0</v>
      </c>
      <c r="BZ72" s="856">
        <f t="shared" si="287"/>
        <v>7655.2758986349281</v>
      </c>
      <c r="CA72" s="856">
        <f t="shared" si="288"/>
        <v>172722.16246295057</v>
      </c>
      <c r="CB72" s="856">
        <f t="shared" si="289"/>
        <v>5428.6721054031623</v>
      </c>
      <c r="CC72" s="856">
        <f t="shared" si="290"/>
        <v>86858.753686450596</v>
      </c>
      <c r="CE72" s="1137">
        <f t="shared" si="291"/>
        <v>346081987.77679139</v>
      </c>
      <c r="CF72" s="1136">
        <f t="shared" si="292"/>
        <v>411131448.88888884</v>
      </c>
      <c r="CG72" s="1136">
        <f t="shared" si="293"/>
        <v>0</v>
      </c>
      <c r="CH72" s="172">
        <f t="shared" si="294"/>
        <v>4020729166666.6665</v>
      </c>
      <c r="CJ72" s="136">
        <f t="shared" si="295"/>
        <v>137762.96508570784</v>
      </c>
      <c r="CK72" s="7">
        <f t="shared" si="296"/>
        <v>181248618073.21808</v>
      </c>
      <c r="CL72" s="863">
        <f t="shared" si="297"/>
        <v>1528.071930954698</v>
      </c>
      <c r="CM72" s="6">
        <f t="shared" si="298"/>
        <v>1319.928069045302</v>
      </c>
      <c r="CN72" s="864">
        <f t="shared" si="264"/>
        <v>118612621.8285934</v>
      </c>
      <c r="CO72" s="864">
        <f t="shared" si="265"/>
        <v>137317041.98420024</v>
      </c>
      <c r="CP72" s="1137">
        <f t="shared" si="299"/>
        <v>127873762738.52518</v>
      </c>
      <c r="CQ72" s="1136">
        <f t="shared" si="300"/>
        <v>46745922615.017654</v>
      </c>
      <c r="CR72" s="865">
        <f t="shared" si="301"/>
        <v>137762.96508570784</v>
      </c>
      <c r="CS72" s="862">
        <f t="shared" si="302"/>
        <v>181248618073.21808</v>
      </c>
      <c r="CT72" s="863">
        <f t="shared" si="303"/>
        <v>1528.071930954698</v>
      </c>
      <c r="CU72" s="866">
        <f t="shared" si="304"/>
        <v>1319.928069045302</v>
      </c>
      <c r="CV72" s="864">
        <f t="shared" si="305"/>
        <v>118612621.8285934</v>
      </c>
      <c r="CW72" s="864">
        <f t="shared" si="306"/>
        <v>137317041.98420024</v>
      </c>
      <c r="CX72" s="1136">
        <f t="shared" si="307"/>
        <v>127873762738.52518</v>
      </c>
      <c r="CY72" s="1136">
        <f t="shared" si="308"/>
        <v>46745922615.017654</v>
      </c>
      <c r="CZ72" s="865">
        <f t="shared" si="309"/>
        <v>137762.96508570784</v>
      </c>
      <c r="DA72" s="862">
        <f t="shared" si="310"/>
        <v>181248618073.21808</v>
      </c>
      <c r="DB72" s="863">
        <f t="shared" si="311"/>
        <v>1528.071930954698</v>
      </c>
      <c r="DC72" s="866">
        <f t="shared" si="312"/>
        <v>1319.928069045302</v>
      </c>
      <c r="DD72" s="864">
        <f t="shared" si="266"/>
        <v>118612621.8285934</v>
      </c>
      <c r="DE72" s="864">
        <f t="shared" si="267"/>
        <v>137317041.98420024</v>
      </c>
      <c r="DF72" s="1136">
        <f t="shared" si="313"/>
        <v>127873762738.52518</v>
      </c>
      <c r="DG72" s="1136">
        <f t="shared" si="314"/>
        <v>46745922615.017654</v>
      </c>
      <c r="DH72" s="865">
        <f t="shared" si="315"/>
        <v>385674.65161772241</v>
      </c>
      <c r="DI72" s="867">
        <f t="shared" si="316"/>
        <v>422054115505.74689</v>
      </c>
      <c r="DJ72" s="866">
        <f t="shared" si="317"/>
        <v>471.90520652049327</v>
      </c>
      <c r="DK72" s="865">
        <f t="shared" si="318"/>
        <v>2376.0947934795067</v>
      </c>
      <c r="DL72" s="864">
        <f t="shared" si="268"/>
        <v>894362066.09731162</v>
      </c>
      <c r="DM72" s="864">
        <f t="shared" si="269"/>
        <v>177625116.92039824</v>
      </c>
      <c r="DN72" s="7">
        <f t="shared" si="319"/>
        <v>752817805871.31189</v>
      </c>
      <c r="DO72" s="1136">
        <f t="shared" si="320"/>
        <v>214476299647.88208</v>
      </c>
      <c r="DP72" s="865">
        <f t="shared" si="321"/>
        <v>220400.1939297127</v>
      </c>
      <c r="DQ72" s="867">
        <f t="shared" si="322"/>
        <v>321274841805.49976</v>
      </c>
      <c r="DR72" s="865">
        <f t="shared" si="323"/>
        <v>912.01570729835566</v>
      </c>
      <c r="DS72" s="865">
        <f t="shared" si="324"/>
        <v>1935.9842927016443</v>
      </c>
      <c r="DT72" s="864">
        <f t="shared" si="270"/>
        <v>352268978.7407338</v>
      </c>
      <c r="DU72" s="864">
        <f t="shared" si="271"/>
        <v>165949095.25694773</v>
      </c>
      <c r="DV72" s="1136">
        <f t="shared" si="325"/>
        <v>336188443782.78741</v>
      </c>
      <c r="DW72" s="1136">
        <f t="shared" si="326"/>
        <v>214476299647.88208</v>
      </c>
      <c r="DX72" s="868">
        <f t="shared" si="327"/>
        <v>150846.91308974594</v>
      </c>
      <c r="DY72" s="862">
        <f t="shared" si="328"/>
        <v>214108336764.70999</v>
      </c>
      <c r="DZ72" s="861">
        <f t="shared" si="329"/>
        <v>1384.5150764771718</v>
      </c>
      <c r="EA72" s="868">
        <f t="shared" si="330"/>
        <v>1463.4849235228282</v>
      </c>
      <c r="EB72" s="864">
        <f t="shared" si="272"/>
        <v>154645001.99557072</v>
      </c>
      <c r="EC72" s="864">
        <f t="shared" si="273"/>
        <v>146300336.49360666</v>
      </c>
      <c r="ED72" s="1136">
        <f t="shared" si="331"/>
        <v>752817805871.31189</v>
      </c>
      <c r="EE72" s="1136">
        <f t="shared" si="332"/>
        <v>214476299647.88208</v>
      </c>
      <c r="EF72" s="868">
        <f t="shared" si="333"/>
        <v>142124.28108705388</v>
      </c>
      <c r="EG72" s="862">
        <f t="shared" si="334"/>
        <v>192871489301.60898</v>
      </c>
      <c r="EH72" s="861">
        <f t="shared" si="335"/>
        <v>1477.2827948897061</v>
      </c>
      <c r="EI72" s="868">
        <f t="shared" si="336"/>
        <v>1370.7172051102939</v>
      </c>
      <c r="EJ72" s="864">
        <f t="shared" si="274"/>
        <v>130558272.23386079</v>
      </c>
      <c r="EK72" s="864">
        <f t="shared" si="275"/>
        <v>140708447.06883919</v>
      </c>
      <c r="EL72" s="1136">
        <f t="shared" si="337"/>
        <v>336188443782.78741</v>
      </c>
      <c r="EM72" s="1136">
        <f t="shared" si="338"/>
        <v>214476299647.88208</v>
      </c>
      <c r="EN72" s="864"/>
      <c r="EO72" s="864"/>
    </row>
    <row r="73" spans="1:145" s="856" customFormat="1">
      <c r="A73" s="856">
        <v>105</v>
      </c>
      <c r="B73" s="856" t="str">
        <f t="shared" ref="B73" si="343">LEFT(B71,3)+1&amp;"i"</f>
        <v>205i</v>
      </c>
      <c r="C73" s="856">
        <v>11.9</v>
      </c>
      <c r="D73" s="856">
        <v>0</v>
      </c>
      <c r="E73" s="856" t="s">
        <v>2106</v>
      </c>
      <c r="F73" s="882">
        <v>2</v>
      </c>
      <c r="G73" s="883">
        <v>500</v>
      </c>
      <c r="H73" s="883">
        <v>38</v>
      </c>
      <c r="I73" s="726">
        <v>250</v>
      </c>
      <c r="J73" s="882">
        <v>1940</v>
      </c>
      <c r="K73" s="883">
        <v>34</v>
      </c>
      <c r="L73" s="726">
        <v>120</v>
      </c>
      <c r="M73" s="882">
        <v>2800</v>
      </c>
      <c r="N73" s="726">
        <v>12</v>
      </c>
      <c r="O73" s="857">
        <v>0</v>
      </c>
      <c r="P73" s="26">
        <v>290</v>
      </c>
      <c r="Q73" s="397">
        <v>5500</v>
      </c>
      <c r="R73" s="169">
        <v>0</v>
      </c>
      <c r="S73" s="210">
        <v>0</v>
      </c>
      <c r="T73" s="858">
        <v>1200</v>
      </c>
      <c r="U73" s="858">
        <v>2400</v>
      </c>
      <c r="V73" s="859">
        <v>3800</v>
      </c>
      <c r="W73" s="860">
        <v>19</v>
      </c>
      <c r="X73" s="860">
        <v>200</v>
      </c>
      <c r="Y73" s="858">
        <v>50</v>
      </c>
      <c r="Z73" s="860">
        <v>16</v>
      </c>
      <c r="AA73" s="860">
        <v>200</v>
      </c>
      <c r="AB73" s="859">
        <v>40</v>
      </c>
      <c r="AC73" s="860">
        <v>0</v>
      </c>
      <c r="AD73" s="857">
        <v>2</v>
      </c>
      <c r="AE73" s="858">
        <v>160</v>
      </c>
      <c r="AF73" s="858">
        <v>16</v>
      </c>
      <c r="AG73" s="857">
        <v>0</v>
      </c>
      <c r="AH73" s="858">
        <v>0</v>
      </c>
      <c r="AI73" s="858">
        <v>0</v>
      </c>
      <c r="AJ73" s="397">
        <v>2</v>
      </c>
      <c r="AK73" s="210">
        <v>2500</v>
      </c>
      <c r="AL73" s="860">
        <v>5000</v>
      </c>
      <c r="AM73" s="210" t="s">
        <v>2316</v>
      </c>
      <c r="AN73" s="210">
        <v>2500</v>
      </c>
      <c r="AO73" s="1143" t="s">
        <v>2322</v>
      </c>
      <c r="AP73" s="1143" t="s">
        <v>2321</v>
      </c>
      <c r="AQ73" s="1143"/>
      <c r="AR73" s="1143"/>
      <c r="AS73" s="1143"/>
      <c r="AT73" s="1143"/>
      <c r="AU73" s="1143"/>
      <c r="AV73" s="1110"/>
      <c r="AW73" s="1110"/>
      <c r="AX73" s="1110"/>
      <c r="AY73" s="1110"/>
      <c r="AZ73" s="1108">
        <v>8</v>
      </c>
      <c r="BA73" s="1108">
        <v>6</v>
      </c>
      <c r="BB73" s="1110"/>
      <c r="BC73" s="1168"/>
      <c r="BD73" s="210">
        <f>INDEX(Spec!$B$12:$P$58,MATCH(AO73,Spec!$A$12:$A$58,0),6)*100</f>
        <v>2921</v>
      </c>
      <c r="BE73" s="210">
        <f>INDEX(Spec!$B$12:$P$58,MATCH(AP73,Spec!$A$12:$A$58,0),6)*100</f>
        <v>1900</v>
      </c>
      <c r="BF73" s="881">
        <f t="shared" si="276"/>
        <v>1.0664319805794482</v>
      </c>
      <c r="BG73" s="881">
        <f t="shared" si="277"/>
        <v>47.243485714285718</v>
      </c>
      <c r="BH73" s="881"/>
      <c r="BI73" s="13" cm="1">
        <f t="array" ref="BI73">INDEX(Info!$AD$4:$AH$15,MATCH(Info!$I$13,Info!$AC$4:$AC$15,0),IF(H73&lt;=16,1,IF(H73&lt;=40,2,IF(H73&lt;=75,3,IF(H73&lt;=100,4,5)))))</f>
        <v>380</v>
      </c>
      <c r="BJ73" s="13" cm="1">
        <f t="array" ref="BJ73">INDEX(Info!$AD$4:$AH$15,MATCH(Info!$I$13,Info!$AC$4:$AC$15,0),IF(K73&lt;=16,1,IF(K73&lt;=40,2,IF(K73&lt;=75,3,IF(K73&lt;=100,4,5)))))</f>
        <v>380</v>
      </c>
      <c r="BK73" s="13" cm="1">
        <f t="array" ref="BK73">INDEX(Info!$AD$4:$AH$15,MATCH(Info!$I$14,Info!$AC$4:$AC$15,0),IF(N73&lt;=16,1,IF(N73&lt;=40,2,IF(N73&lt;=75,3,IF(N73&lt;=100,4,5)))))</f>
        <v>355</v>
      </c>
      <c r="BL73" s="13">
        <f>IF(Stress!C902="Positive",MAX(MIN(0.7*BI73,BK73),0.5*BI73),MAX(MIN(0.7*BJ73,BK73),0.5*BJ73))</f>
        <v>266</v>
      </c>
      <c r="BM73" s="13" cm="1">
        <f t="array" ref="BM73">INDEX(Info!$AD$4:$AH$15,MATCH(Info!$I$13,Info!$AC$4:$AC$15,0),IF(AI73&lt;=16,1,IF(AI73&lt;=40,2,IF(AI73&lt;=75,3,IF(AI73&lt;=100,4,5)))))</f>
        <v>380</v>
      </c>
      <c r="BN73" s="13" cm="1">
        <f t="array" ref="BN73">INDEX(Info!$AD$4:$AH$15,MATCH(Info!$I$13,Info!$AC$4:$AC$15,0),IF(AF73&lt;=16,1,IF(AF73&lt;=40,2,IF(AF73&lt;=75,3,IF(AF73&lt;=100,4,5)))))</f>
        <v>380</v>
      </c>
      <c r="BO73" s="13"/>
      <c r="BP73" s="861">
        <f t="shared" si="278"/>
        <v>0.125</v>
      </c>
      <c r="BQ73" s="861">
        <f t="shared" si="279"/>
        <v>2821.7902119044925</v>
      </c>
      <c r="BR73" s="861">
        <f t="shared" si="280"/>
        <v>3124</v>
      </c>
      <c r="BS73" s="861"/>
      <c r="BT73" s="856">
        <f t="shared" si="281"/>
        <v>0</v>
      </c>
      <c r="BU73" s="136">
        <f t="shared" si="282"/>
        <v>0</v>
      </c>
      <c r="BV73" s="856">
        <f t="shared" si="283"/>
        <v>1595000</v>
      </c>
      <c r="BW73" s="856">
        <f t="shared" si="284"/>
        <v>11178291666.666666</v>
      </c>
      <c r="BX73" s="856">
        <f t="shared" si="285"/>
        <v>0</v>
      </c>
      <c r="BY73" s="856">
        <f t="shared" si="286"/>
        <v>0</v>
      </c>
      <c r="BZ73" s="856">
        <f t="shared" si="287"/>
        <v>7655.2758986349281</v>
      </c>
      <c r="CA73" s="856">
        <f t="shared" si="288"/>
        <v>172722.16246295057</v>
      </c>
      <c r="CB73" s="856">
        <f t="shared" si="289"/>
        <v>5428.6721054031623</v>
      </c>
      <c r="CC73" s="856">
        <f t="shared" si="290"/>
        <v>86858.753686450596</v>
      </c>
      <c r="CE73" s="1137">
        <f t="shared" si="291"/>
        <v>346081987.77679139</v>
      </c>
      <c r="CF73" s="1136">
        <f t="shared" si="292"/>
        <v>411131448.88888884</v>
      </c>
      <c r="CG73" s="1136">
        <f t="shared" si="293"/>
        <v>0</v>
      </c>
      <c r="CH73" s="172">
        <f t="shared" si="294"/>
        <v>4020729166666.6665</v>
      </c>
      <c r="CJ73" s="136">
        <f t="shared" si="295"/>
        <v>176802.96508570784</v>
      </c>
      <c r="CK73" s="7">
        <f t="shared" si="296"/>
        <v>250018643484.55331</v>
      </c>
      <c r="CL73" s="863">
        <f t="shared" si="297"/>
        <v>1699.8831645586633</v>
      </c>
      <c r="CM73" s="6">
        <f t="shared" si="298"/>
        <v>1172.1168354413367</v>
      </c>
      <c r="CN73" s="864">
        <f t="shared" si="264"/>
        <v>147079898.60554036</v>
      </c>
      <c r="CO73" s="864">
        <f t="shared" si="265"/>
        <v>213305223.44251961</v>
      </c>
      <c r="CP73" s="1137">
        <f t="shared" si="299"/>
        <v>149295608071.85852</v>
      </c>
      <c r="CQ73" s="1136">
        <f t="shared" si="300"/>
        <v>48039297273.756439</v>
      </c>
      <c r="CR73" s="865">
        <f t="shared" si="301"/>
        <v>176802.96508570784</v>
      </c>
      <c r="CS73" s="862">
        <f t="shared" si="302"/>
        <v>250018643484.55331</v>
      </c>
      <c r="CT73" s="863">
        <f t="shared" si="303"/>
        <v>1699.8831645586633</v>
      </c>
      <c r="CU73" s="866">
        <f t="shared" si="304"/>
        <v>1172.1168354413367</v>
      </c>
      <c r="CV73" s="864">
        <f t="shared" si="305"/>
        <v>147079898.60554036</v>
      </c>
      <c r="CW73" s="864">
        <f t="shared" si="306"/>
        <v>213305223.44251961</v>
      </c>
      <c r="CX73" s="1136">
        <f t="shared" si="307"/>
        <v>149295608071.85852</v>
      </c>
      <c r="CY73" s="1136">
        <f t="shared" si="308"/>
        <v>48039297273.756439</v>
      </c>
      <c r="CZ73" s="865">
        <f t="shared" si="309"/>
        <v>176802.96508570784</v>
      </c>
      <c r="DA73" s="862">
        <f t="shared" si="310"/>
        <v>250018643484.55331</v>
      </c>
      <c r="DB73" s="863">
        <f t="shared" si="311"/>
        <v>1699.8831645586633</v>
      </c>
      <c r="DC73" s="866">
        <f t="shared" si="312"/>
        <v>1172.1168354413367</v>
      </c>
      <c r="DD73" s="864">
        <f t="shared" si="266"/>
        <v>147079898.60554036</v>
      </c>
      <c r="DE73" s="864">
        <f t="shared" si="267"/>
        <v>213305223.44251961</v>
      </c>
      <c r="DF73" s="1136">
        <f t="shared" si="313"/>
        <v>149295608071.85852</v>
      </c>
      <c r="DG73" s="1136">
        <f t="shared" si="314"/>
        <v>48039297273.756439</v>
      </c>
      <c r="DH73" s="865">
        <f t="shared" si="315"/>
        <v>424714.65161772241</v>
      </c>
      <c r="DI73" s="867">
        <f t="shared" si="316"/>
        <v>588693664353.30603</v>
      </c>
      <c r="DJ73" s="866">
        <f t="shared" si="317"/>
        <v>645.18102281284291</v>
      </c>
      <c r="DK73" s="865">
        <f t="shared" si="318"/>
        <v>2226.8189771871571</v>
      </c>
      <c r="DL73" s="864">
        <f t="shared" si="268"/>
        <v>912447272.2194078</v>
      </c>
      <c r="DM73" s="864">
        <f t="shared" si="269"/>
        <v>264365298.83400047</v>
      </c>
      <c r="DN73" s="7">
        <f t="shared" si="319"/>
        <v>774239651204.64526</v>
      </c>
      <c r="DO73" s="1136">
        <f t="shared" si="320"/>
        <v>234610855423.4957</v>
      </c>
      <c r="DP73" s="865">
        <f t="shared" si="321"/>
        <v>259440.1939297127</v>
      </c>
      <c r="DQ73" s="867">
        <f t="shared" si="322"/>
        <v>434458180516.33417</v>
      </c>
      <c r="DR73" s="865">
        <f t="shared" si="323"/>
        <v>1124.3523830619979</v>
      </c>
      <c r="DS73" s="865">
        <f t="shared" si="324"/>
        <v>1747.6476169380021</v>
      </c>
      <c r="DT73" s="864">
        <f t="shared" si="270"/>
        <v>386407488.48964524</v>
      </c>
      <c r="DU73" s="864">
        <f t="shared" si="271"/>
        <v>248595984.8573676</v>
      </c>
      <c r="DV73" s="1136">
        <f t="shared" si="325"/>
        <v>357610289116.12073</v>
      </c>
      <c r="DW73" s="1136">
        <f t="shared" si="326"/>
        <v>234610855423.4957</v>
      </c>
      <c r="DX73" s="868">
        <f t="shared" si="327"/>
        <v>189886.91308974594</v>
      </c>
      <c r="DY73" s="862">
        <f t="shared" si="328"/>
        <v>290450258588.50891</v>
      </c>
      <c r="DZ73" s="861">
        <f t="shared" si="329"/>
        <v>1574.5538007466741</v>
      </c>
      <c r="EA73" s="868">
        <f t="shared" si="330"/>
        <v>1297.4461992533259</v>
      </c>
      <c r="EB73" s="864">
        <f t="shared" si="272"/>
        <v>184465121.77022696</v>
      </c>
      <c r="EC73" s="864">
        <f t="shared" si="273"/>
        <v>223863046.3102529</v>
      </c>
      <c r="ED73" s="1136">
        <f t="shared" si="331"/>
        <v>774239651204.64526</v>
      </c>
      <c r="EE73" s="1136">
        <f t="shared" si="332"/>
        <v>234610855423.4957</v>
      </c>
      <c r="EF73" s="868">
        <f t="shared" si="333"/>
        <v>181164.28108705388</v>
      </c>
      <c r="EG73" s="862">
        <f t="shared" si="334"/>
        <v>264142700868.93478</v>
      </c>
      <c r="EH73" s="861">
        <f t="shared" si="335"/>
        <v>1656.0952723925752</v>
      </c>
      <c r="EI73" s="868">
        <f t="shared" si="336"/>
        <v>1215.9047276074248</v>
      </c>
      <c r="EJ73" s="864">
        <f t="shared" si="274"/>
        <v>159497285.73726651</v>
      </c>
      <c r="EK73" s="864">
        <f t="shared" si="275"/>
        <v>217239636.3559643</v>
      </c>
      <c r="EL73" s="1136">
        <f t="shared" si="337"/>
        <v>357610289116.12073</v>
      </c>
      <c r="EM73" s="1136">
        <f t="shared" si="338"/>
        <v>234610855423.4957</v>
      </c>
      <c r="EN73" s="864"/>
      <c r="EO73" s="864"/>
    </row>
    <row r="74" spans="1:145" s="136" customFormat="1">
      <c r="B74" s="136" t="str">
        <f t="shared" ref="B74" si="344">LEFT(B72,3)+1&amp;"j"</f>
        <v>205j</v>
      </c>
      <c r="C74" s="136">
        <v>16.899999999999999</v>
      </c>
      <c r="D74" s="136">
        <v>0</v>
      </c>
      <c r="E74" s="136" t="s">
        <v>2106</v>
      </c>
      <c r="F74" s="26">
        <v>2</v>
      </c>
      <c r="G74" s="136">
        <v>500</v>
      </c>
      <c r="H74" s="136">
        <v>38</v>
      </c>
      <c r="I74" s="28">
        <v>250</v>
      </c>
      <c r="J74" s="26">
        <v>1940</v>
      </c>
      <c r="K74" s="136">
        <v>34</v>
      </c>
      <c r="L74" s="28">
        <v>120</v>
      </c>
      <c r="M74" s="26">
        <v>2800</v>
      </c>
      <c r="N74" s="28">
        <v>12</v>
      </c>
      <c r="O74" s="26">
        <v>0</v>
      </c>
      <c r="P74" s="26">
        <v>290</v>
      </c>
      <c r="Q74" s="397">
        <v>5500</v>
      </c>
      <c r="R74" s="169">
        <v>0</v>
      </c>
      <c r="S74" s="210">
        <v>0</v>
      </c>
      <c r="T74" s="169">
        <v>1200</v>
      </c>
      <c r="U74" s="169">
        <v>2400</v>
      </c>
      <c r="V74" s="28">
        <v>3800</v>
      </c>
      <c r="W74" s="210">
        <v>19</v>
      </c>
      <c r="X74" s="210">
        <v>200</v>
      </c>
      <c r="Y74" s="169">
        <v>50</v>
      </c>
      <c r="Z74" s="210">
        <v>16</v>
      </c>
      <c r="AA74" s="210">
        <v>200</v>
      </c>
      <c r="AB74" s="28">
        <v>40</v>
      </c>
      <c r="AC74" s="210">
        <v>0</v>
      </c>
      <c r="AD74" s="26">
        <v>2</v>
      </c>
      <c r="AE74" s="169">
        <v>160</v>
      </c>
      <c r="AF74" s="169">
        <v>16</v>
      </c>
      <c r="AG74" s="26">
        <v>0</v>
      </c>
      <c r="AH74" s="169">
        <v>0</v>
      </c>
      <c r="AI74" s="169">
        <v>0</v>
      </c>
      <c r="AJ74" s="397">
        <v>2</v>
      </c>
      <c r="AK74" s="210">
        <v>2500</v>
      </c>
      <c r="AL74" s="210">
        <v>5000</v>
      </c>
      <c r="AM74" s="210" t="s">
        <v>2316</v>
      </c>
      <c r="AN74" s="210">
        <v>2500</v>
      </c>
      <c r="AO74" s="1143" t="s">
        <v>2322</v>
      </c>
      <c r="AP74" s="1143" t="s">
        <v>2321</v>
      </c>
      <c r="AQ74" s="1143"/>
      <c r="AR74" s="1143"/>
      <c r="AS74" s="1143"/>
      <c r="AT74" s="1143"/>
      <c r="AU74" s="1143"/>
      <c r="AV74" s="1109"/>
      <c r="AW74" s="1109"/>
      <c r="AX74" s="1109"/>
      <c r="AY74" s="1109"/>
      <c r="AZ74" s="1108">
        <v>8</v>
      </c>
      <c r="BA74" s="1108">
        <v>6</v>
      </c>
      <c r="BB74" s="1109"/>
      <c r="BC74" s="1168"/>
      <c r="BD74" s="210">
        <f>INDEX(Spec!$B$12:$P$58,MATCH(AO74,Spec!$A$12:$A$58,0),6)*100</f>
        <v>2921</v>
      </c>
      <c r="BE74" s="210">
        <f>INDEX(Spec!$B$12:$P$58,MATCH(AP74,Spec!$A$12:$A$58,0),6)*100</f>
        <v>1900</v>
      </c>
      <c r="BF74" s="881">
        <f t="shared" si="276"/>
        <v>1.0664319805794482</v>
      </c>
      <c r="BG74" s="881">
        <f t="shared" si="277"/>
        <v>47.243485714285718</v>
      </c>
      <c r="BH74" s="881"/>
      <c r="BI74" s="13" cm="1">
        <f t="array" ref="BI74">INDEX(Info!$AD$4:$AH$15,MATCH(Info!$I$13,Info!$AC$4:$AC$15,0),IF(H74&lt;=16,1,IF(H74&lt;=40,2,IF(H74&lt;=75,3,IF(H74&lt;=100,4,5)))))</f>
        <v>380</v>
      </c>
      <c r="BJ74" s="13" cm="1">
        <f t="array" ref="BJ74">INDEX(Info!$AD$4:$AH$15,MATCH(Info!$I$13,Info!$AC$4:$AC$15,0),IF(K74&lt;=16,1,IF(K74&lt;=40,2,IF(K74&lt;=75,3,IF(K74&lt;=100,4,5)))))</f>
        <v>380</v>
      </c>
      <c r="BK74" s="13" cm="1">
        <f t="array" ref="BK74">INDEX(Info!$AD$4:$AH$15,MATCH(Info!$I$14,Info!$AC$4:$AC$15,0),IF(N74&lt;=16,1,IF(N74&lt;=40,2,IF(N74&lt;=75,3,IF(N74&lt;=100,4,5)))))</f>
        <v>355</v>
      </c>
      <c r="BL74" s="13">
        <f>IF(Stress!C903="Positive",MAX(MIN(0.7*BI74,BK74),0.5*BI74),MAX(MIN(0.7*BJ74,BK74),0.5*BJ74))</f>
        <v>266</v>
      </c>
      <c r="BM74" s="13" cm="1">
        <f t="array" ref="BM74">INDEX(Info!$AD$4:$AH$15,MATCH(Info!$I$13,Info!$AC$4:$AC$15,0),IF(AI74&lt;=16,1,IF(AI74&lt;=40,2,IF(AI74&lt;=75,3,IF(AI74&lt;=100,4,5)))))</f>
        <v>380</v>
      </c>
      <c r="BN74" s="13" cm="1">
        <f t="array" ref="BN74">INDEX(Info!$AD$4:$AH$15,MATCH(Info!$I$13,Info!$AC$4:$AC$15,0),IF(AF74&lt;=16,1,IF(AF74&lt;=40,2,IF(AF74&lt;=75,3,IF(AF74&lt;=100,4,5)))))</f>
        <v>380</v>
      </c>
      <c r="BO74" s="13"/>
      <c r="BP74" s="13">
        <f t="shared" si="278"/>
        <v>0.125</v>
      </c>
      <c r="BQ74" s="13">
        <f t="shared" si="279"/>
        <v>2821.7902119044925</v>
      </c>
      <c r="BR74" s="13">
        <f t="shared" si="280"/>
        <v>3124</v>
      </c>
      <c r="BS74" s="13"/>
      <c r="BT74" s="136">
        <f t="shared" si="281"/>
        <v>0</v>
      </c>
      <c r="BU74" s="136">
        <f t="shared" si="282"/>
        <v>0</v>
      </c>
      <c r="BV74" s="136">
        <f t="shared" si="283"/>
        <v>1595000</v>
      </c>
      <c r="BW74" s="136">
        <f t="shared" si="284"/>
        <v>11178291666.666666</v>
      </c>
      <c r="BX74" s="136">
        <f t="shared" si="285"/>
        <v>0</v>
      </c>
      <c r="BY74" s="136">
        <f t="shared" si="286"/>
        <v>0</v>
      </c>
      <c r="BZ74" s="136">
        <f t="shared" si="287"/>
        <v>7655.2758986349281</v>
      </c>
      <c r="CA74" s="136">
        <f t="shared" si="288"/>
        <v>172722.16246295057</v>
      </c>
      <c r="CB74" s="136">
        <f t="shared" si="289"/>
        <v>5428.6721054031623</v>
      </c>
      <c r="CC74" s="136">
        <f t="shared" si="290"/>
        <v>86858.753686450596</v>
      </c>
      <c r="CE74" s="1137">
        <f t="shared" si="291"/>
        <v>346081987.77679139</v>
      </c>
      <c r="CF74" s="1136">
        <f t="shared" si="292"/>
        <v>411131448.88888884</v>
      </c>
      <c r="CG74" s="1136">
        <f t="shared" si="293"/>
        <v>0</v>
      </c>
      <c r="CH74" s="172">
        <f t="shared" si="294"/>
        <v>4020729166666.6665</v>
      </c>
      <c r="CJ74" s="136">
        <f t="shared" si="295"/>
        <v>176802.96508570784</v>
      </c>
      <c r="CK74" s="7">
        <f t="shared" si="296"/>
        <v>250018643484.55331</v>
      </c>
      <c r="CL74" s="6">
        <f t="shared" si="297"/>
        <v>1699.8831645586633</v>
      </c>
      <c r="CM74" s="6">
        <f t="shared" si="298"/>
        <v>1172.1168354413367</v>
      </c>
      <c r="CN74" s="164">
        <f t="shared" si="264"/>
        <v>147079898.60554036</v>
      </c>
      <c r="CO74" s="164">
        <f t="shared" si="265"/>
        <v>213305223.44251961</v>
      </c>
      <c r="CP74" s="1137">
        <f t="shared" si="299"/>
        <v>149295608071.85852</v>
      </c>
      <c r="CQ74" s="1136">
        <f t="shared" si="300"/>
        <v>48039297273.756439</v>
      </c>
      <c r="CR74" s="22">
        <f t="shared" si="301"/>
        <v>176802.96508570784</v>
      </c>
      <c r="CS74" s="7">
        <f t="shared" si="302"/>
        <v>250018643484.55331</v>
      </c>
      <c r="CT74" s="6">
        <f t="shared" si="303"/>
        <v>1699.8831645586633</v>
      </c>
      <c r="CU74" s="12">
        <f t="shared" si="304"/>
        <v>1172.1168354413367</v>
      </c>
      <c r="CV74" s="164">
        <f t="shared" si="305"/>
        <v>147079898.60554036</v>
      </c>
      <c r="CW74" s="164">
        <f t="shared" si="306"/>
        <v>213305223.44251961</v>
      </c>
      <c r="CX74" s="1136">
        <f t="shared" si="307"/>
        <v>149295608071.85852</v>
      </c>
      <c r="CY74" s="1136">
        <f t="shared" si="308"/>
        <v>48039297273.756439</v>
      </c>
      <c r="CZ74" s="22">
        <f t="shared" si="309"/>
        <v>176802.96508570784</v>
      </c>
      <c r="DA74" s="7">
        <f t="shared" si="310"/>
        <v>250018643484.55331</v>
      </c>
      <c r="DB74" s="6">
        <f t="shared" si="311"/>
        <v>1699.8831645586633</v>
      </c>
      <c r="DC74" s="12">
        <f t="shared" si="312"/>
        <v>1172.1168354413367</v>
      </c>
      <c r="DD74" s="164">
        <f t="shared" si="266"/>
        <v>147079898.60554036</v>
      </c>
      <c r="DE74" s="164">
        <f t="shared" si="267"/>
        <v>213305223.44251961</v>
      </c>
      <c r="DF74" s="1136">
        <f t="shared" si="313"/>
        <v>149295608071.85852</v>
      </c>
      <c r="DG74" s="1136">
        <f t="shared" si="314"/>
        <v>48039297273.756439</v>
      </c>
      <c r="DH74" s="22">
        <f t="shared" si="315"/>
        <v>424714.65161772241</v>
      </c>
      <c r="DI74" s="172">
        <f t="shared" si="316"/>
        <v>588693664353.30603</v>
      </c>
      <c r="DJ74" s="12">
        <f t="shared" si="317"/>
        <v>645.18102281284291</v>
      </c>
      <c r="DK74" s="22">
        <f t="shared" si="318"/>
        <v>2226.8189771871571</v>
      </c>
      <c r="DL74" s="164">
        <f t="shared" si="268"/>
        <v>912447272.2194078</v>
      </c>
      <c r="DM74" s="164">
        <f t="shared" si="269"/>
        <v>264365298.83400047</v>
      </c>
      <c r="DN74" s="7">
        <f t="shared" si="319"/>
        <v>774239651204.64526</v>
      </c>
      <c r="DO74" s="1136">
        <f t="shared" si="320"/>
        <v>234610855423.4957</v>
      </c>
      <c r="DP74" s="22">
        <f t="shared" si="321"/>
        <v>259440.1939297127</v>
      </c>
      <c r="DQ74" s="172">
        <f t="shared" si="322"/>
        <v>434458180516.33417</v>
      </c>
      <c r="DR74" s="22">
        <f t="shared" si="323"/>
        <v>1124.3523830619979</v>
      </c>
      <c r="DS74" s="22">
        <f t="shared" si="324"/>
        <v>1747.6476169380021</v>
      </c>
      <c r="DT74" s="164">
        <f t="shared" si="270"/>
        <v>386407488.48964524</v>
      </c>
      <c r="DU74" s="164">
        <f t="shared" si="271"/>
        <v>248595984.8573676</v>
      </c>
      <c r="DV74" s="1136">
        <f t="shared" si="325"/>
        <v>357610289116.12073</v>
      </c>
      <c r="DW74" s="1136">
        <f t="shared" si="326"/>
        <v>234610855423.4957</v>
      </c>
      <c r="DX74" s="763">
        <f t="shared" si="327"/>
        <v>189886.91308974594</v>
      </c>
      <c r="DY74" s="7">
        <f t="shared" si="328"/>
        <v>290450258588.50891</v>
      </c>
      <c r="DZ74" s="13">
        <f t="shared" si="329"/>
        <v>1574.5538007466741</v>
      </c>
      <c r="EA74" s="763">
        <f t="shared" si="330"/>
        <v>1297.4461992533259</v>
      </c>
      <c r="EB74" s="164">
        <f t="shared" si="272"/>
        <v>184465121.77022696</v>
      </c>
      <c r="EC74" s="164">
        <f t="shared" si="273"/>
        <v>223863046.3102529</v>
      </c>
      <c r="ED74" s="1136">
        <f t="shared" si="331"/>
        <v>774239651204.64526</v>
      </c>
      <c r="EE74" s="1136">
        <f t="shared" si="332"/>
        <v>234610855423.4957</v>
      </c>
      <c r="EF74" s="763">
        <f t="shared" si="333"/>
        <v>181164.28108705388</v>
      </c>
      <c r="EG74" s="7">
        <f t="shared" si="334"/>
        <v>264142700868.93478</v>
      </c>
      <c r="EH74" s="13">
        <f t="shared" si="335"/>
        <v>1656.0952723925752</v>
      </c>
      <c r="EI74" s="763">
        <f t="shared" si="336"/>
        <v>1215.9047276074248</v>
      </c>
      <c r="EJ74" s="164">
        <f t="shared" si="274"/>
        <v>159497285.73726651</v>
      </c>
      <c r="EK74" s="164">
        <f t="shared" si="275"/>
        <v>217239636.3559643</v>
      </c>
      <c r="EL74" s="1136">
        <f t="shared" si="337"/>
        <v>357610289116.12073</v>
      </c>
      <c r="EM74" s="1136">
        <f t="shared" si="338"/>
        <v>234610855423.4957</v>
      </c>
      <c r="EN74" s="164"/>
      <c r="EO74" s="164"/>
    </row>
    <row r="75" spans="1:145" s="136" customFormat="1">
      <c r="A75" s="136">
        <v>106</v>
      </c>
      <c r="B75" s="136" t="str">
        <f t="shared" ref="B75" si="345">LEFT(B73,3)+1&amp;"i"</f>
        <v>206i</v>
      </c>
      <c r="C75" s="136">
        <v>16.899999999999999</v>
      </c>
      <c r="D75" s="136">
        <v>0</v>
      </c>
      <c r="E75" s="136" t="s">
        <v>2106</v>
      </c>
      <c r="F75" s="26">
        <v>2</v>
      </c>
      <c r="G75" s="136">
        <v>500</v>
      </c>
      <c r="H75" s="136">
        <v>38</v>
      </c>
      <c r="I75" s="28">
        <v>250</v>
      </c>
      <c r="J75" s="26">
        <v>1940</v>
      </c>
      <c r="K75" s="136">
        <v>34</v>
      </c>
      <c r="L75" s="28">
        <v>120</v>
      </c>
      <c r="M75" s="26">
        <v>2800</v>
      </c>
      <c r="N75" s="28">
        <v>12</v>
      </c>
      <c r="O75" s="26">
        <v>0</v>
      </c>
      <c r="P75" s="26">
        <v>290</v>
      </c>
      <c r="Q75" s="397">
        <v>5500</v>
      </c>
      <c r="R75" s="169">
        <v>0</v>
      </c>
      <c r="S75" s="210">
        <v>0</v>
      </c>
      <c r="T75" s="169">
        <v>1200</v>
      </c>
      <c r="U75" s="169">
        <v>2400</v>
      </c>
      <c r="V75" s="28">
        <v>3800</v>
      </c>
      <c r="W75" s="210">
        <v>19</v>
      </c>
      <c r="X75" s="210">
        <v>200</v>
      </c>
      <c r="Y75" s="169">
        <v>50</v>
      </c>
      <c r="Z75" s="210">
        <v>16</v>
      </c>
      <c r="AA75" s="210">
        <v>200</v>
      </c>
      <c r="AB75" s="28">
        <v>40</v>
      </c>
      <c r="AC75" s="210">
        <v>0</v>
      </c>
      <c r="AD75" s="26">
        <v>2</v>
      </c>
      <c r="AE75" s="169">
        <v>160</v>
      </c>
      <c r="AF75" s="169">
        <v>16</v>
      </c>
      <c r="AG75" s="26">
        <v>0</v>
      </c>
      <c r="AH75" s="169">
        <v>0</v>
      </c>
      <c r="AI75" s="169">
        <v>0</v>
      </c>
      <c r="AJ75" s="397">
        <v>2</v>
      </c>
      <c r="AK75" s="210">
        <v>2500</v>
      </c>
      <c r="AL75" s="210">
        <v>5000</v>
      </c>
      <c r="AM75" s="210" t="s">
        <v>2316</v>
      </c>
      <c r="AN75" s="210">
        <v>2500</v>
      </c>
      <c r="AO75" s="1143" t="s">
        <v>2322</v>
      </c>
      <c r="AP75" s="1143" t="s">
        <v>2321</v>
      </c>
      <c r="AQ75" s="1143"/>
      <c r="AR75" s="1143"/>
      <c r="AS75" s="1143"/>
      <c r="AT75" s="1143"/>
      <c r="AU75" s="1143"/>
      <c r="AV75" s="1109"/>
      <c r="AW75" s="1109"/>
      <c r="AX75" s="1109"/>
      <c r="AY75" s="1109"/>
      <c r="AZ75" s="1108">
        <v>8</v>
      </c>
      <c r="BA75" s="1108">
        <v>6</v>
      </c>
      <c r="BB75" s="1109"/>
      <c r="BC75" s="1168"/>
      <c r="BD75" s="210">
        <f>INDEX(Spec!$B$12:$P$58,MATCH(AO75,Spec!$A$12:$A$58,0),6)*100</f>
        <v>2921</v>
      </c>
      <c r="BE75" s="210">
        <f>INDEX(Spec!$B$12:$P$58,MATCH(AP75,Spec!$A$12:$A$58,0),6)*100</f>
        <v>1900</v>
      </c>
      <c r="BF75" s="881">
        <f t="shared" si="276"/>
        <v>1.0664319805794482</v>
      </c>
      <c r="BG75" s="881">
        <f t="shared" si="277"/>
        <v>47.243485714285718</v>
      </c>
      <c r="BH75" s="881"/>
      <c r="BI75" s="13" cm="1">
        <f t="array" ref="BI75">INDEX(Info!$AD$4:$AH$15,MATCH(Info!$I$13,Info!$AC$4:$AC$15,0),IF(H75&lt;=16,1,IF(H75&lt;=40,2,IF(H75&lt;=75,3,IF(H75&lt;=100,4,5)))))</f>
        <v>380</v>
      </c>
      <c r="BJ75" s="13" cm="1">
        <f t="array" ref="BJ75">INDEX(Info!$AD$4:$AH$15,MATCH(Info!$I$13,Info!$AC$4:$AC$15,0),IF(K75&lt;=16,1,IF(K75&lt;=40,2,IF(K75&lt;=75,3,IF(K75&lt;=100,4,5)))))</f>
        <v>380</v>
      </c>
      <c r="BK75" s="13" cm="1">
        <f t="array" ref="BK75">INDEX(Info!$AD$4:$AH$15,MATCH(Info!$I$14,Info!$AC$4:$AC$15,0),IF(N75&lt;=16,1,IF(N75&lt;=40,2,IF(N75&lt;=75,3,IF(N75&lt;=100,4,5)))))</f>
        <v>355</v>
      </c>
      <c r="BL75" s="13">
        <f>IF(Stress!C904="Positive",MAX(MIN(0.7*BI75,BK75),0.5*BI75),MAX(MIN(0.7*BJ75,BK75),0.5*BJ75))</f>
        <v>266</v>
      </c>
      <c r="BM75" s="13" cm="1">
        <f t="array" ref="BM75">INDEX(Info!$AD$4:$AH$15,MATCH(Info!$I$13,Info!$AC$4:$AC$15,0),IF(AI75&lt;=16,1,IF(AI75&lt;=40,2,IF(AI75&lt;=75,3,IF(AI75&lt;=100,4,5)))))</f>
        <v>380</v>
      </c>
      <c r="BN75" s="13" cm="1">
        <f t="array" ref="BN75">INDEX(Info!$AD$4:$AH$15,MATCH(Info!$I$13,Info!$AC$4:$AC$15,0),IF(AF75&lt;=16,1,IF(AF75&lt;=40,2,IF(AF75&lt;=75,3,IF(AF75&lt;=100,4,5)))))</f>
        <v>380</v>
      </c>
      <c r="BO75" s="13"/>
      <c r="BP75" s="13">
        <f t="shared" si="278"/>
        <v>0.125</v>
      </c>
      <c r="BQ75" s="13">
        <f t="shared" si="279"/>
        <v>2821.7902119044925</v>
      </c>
      <c r="BR75" s="13">
        <f t="shared" si="280"/>
        <v>3124</v>
      </c>
      <c r="BS75" s="13"/>
      <c r="BT75" s="136">
        <f t="shared" si="281"/>
        <v>0</v>
      </c>
      <c r="BU75" s="136">
        <f t="shared" si="282"/>
        <v>0</v>
      </c>
      <c r="BV75" s="136">
        <f t="shared" si="283"/>
        <v>1595000</v>
      </c>
      <c r="BW75" s="136">
        <f t="shared" si="284"/>
        <v>11178291666.666666</v>
      </c>
      <c r="BX75" s="136">
        <f t="shared" si="285"/>
        <v>0</v>
      </c>
      <c r="BY75" s="136">
        <f t="shared" si="286"/>
        <v>0</v>
      </c>
      <c r="BZ75" s="136">
        <f t="shared" si="287"/>
        <v>7655.2758986349281</v>
      </c>
      <c r="CA75" s="136">
        <f t="shared" si="288"/>
        <v>172722.16246295057</v>
      </c>
      <c r="CB75" s="136">
        <f t="shared" si="289"/>
        <v>5428.6721054031623</v>
      </c>
      <c r="CC75" s="136">
        <f t="shared" si="290"/>
        <v>86858.753686450596</v>
      </c>
      <c r="CE75" s="1137">
        <f t="shared" si="291"/>
        <v>346081987.77679139</v>
      </c>
      <c r="CF75" s="1136">
        <f t="shared" si="292"/>
        <v>411131448.88888884</v>
      </c>
      <c r="CG75" s="1136">
        <f t="shared" si="293"/>
        <v>0</v>
      </c>
      <c r="CH75" s="172">
        <f t="shared" si="294"/>
        <v>4020729166666.6665</v>
      </c>
      <c r="CJ75" s="136">
        <f t="shared" si="295"/>
        <v>176802.96508570784</v>
      </c>
      <c r="CK75" s="7">
        <f t="shared" si="296"/>
        <v>250018643484.55331</v>
      </c>
      <c r="CL75" s="6">
        <f t="shared" si="297"/>
        <v>1699.8831645586633</v>
      </c>
      <c r="CM75" s="6">
        <f t="shared" si="298"/>
        <v>1172.1168354413367</v>
      </c>
      <c r="CN75" s="164">
        <f t="shared" si="264"/>
        <v>147079898.60554036</v>
      </c>
      <c r="CO75" s="164">
        <f t="shared" si="265"/>
        <v>213305223.44251961</v>
      </c>
      <c r="CP75" s="1137">
        <f t="shared" si="299"/>
        <v>149295608071.85852</v>
      </c>
      <c r="CQ75" s="1136">
        <f t="shared" si="300"/>
        <v>48039297273.756439</v>
      </c>
      <c r="CR75" s="22">
        <f t="shared" si="301"/>
        <v>176802.96508570784</v>
      </c>
      <c r="CS75" s="7">
        <f t="shared" si="302"/>
        <v>250018643484.55331</v>
      </c>
      <c r="CT75" s="6">
        <f t="shared" si="303"/>
        <v>1699.8831645586633</v>
      </c>
      <c r="CU75" s="12">
        <f t="shared" si="304"/>
        <v>1172.1168354413367</v>
      </c>
      <c r="CV75" s="164">
        <f t="shared" si="305"/>
        <v>147079898.60554036</v>
      </c>
      <c r="CW75" s="164">
        <f t="shared" si="306"/>
        <v>213305223.44251961</v>
      </c>
      <c r="CX75" s="1136">
        <f t="shared" si="307"/>
        <v>149295608071.85852</v>
      </c>
      <c r="CY75" s="1136">
        <f t="shared" si="308"/>
        <v>48039297273.756439</v>
      </c>
      <c r="CZ75" s="22">
        <f t="shared" si="309"/>
        <v>176802.96508570784</v>
      </c>
      <c r="DA75" s="7">
        <f t="shared" si="310"/>
        <v>250018643484.55331</v>
      </c>
      <c r="DB75" s="6">
        <f t="shared" si="311"/>
        <v>1699.8831645586633</v>
      </c>
      <c r="DC75" s="12">
        <f t="shared" si="312"/>
        <v>1172.1168354413367</v>
      </c>
      <c r="DD75" s="164">
        <f t="shared" si="266"/>
        <v>147079898.60554036</v>
      </c>
      <c r="DE75" s="164">
        <f t="shared" si="267"/>
        <v>213305223.44251961</v>
      </c>
      <c r="DF75" s="1136">
        <f t="shared" si="313"/>
        <v>149295608071.85852</v>
      </c>
      <c r="DG75" s="1136">
        <f t="shared" si="314"/>
        <v>48039297273.756439</v>
      </c>
      <c r="DH75" s="22">
        <f t="shared" si="315"/>
        <v>424714.65161772241</v>
      </c>
      <c r="DI75" s="172">
        <f t="shared" si="316"/>
        <v>588693664353.30603</v>
      </c>
      <c r="DJ75" s="12">
        <f t="shared" si="317"/>
        <v>645.18102281284291</v>
      </c>
      <c r="DK75" s="22">
        <f t="shared" si="318"/>
        <v>2226.8189771871571</v>
      </c>
      <c r="DL75" s="164">
        <f t="shared" si="268"/>
        <v>912447272.2194078</v>
      </c>
      <c r="DM75" s="164">
        <f t="shared" si="269"/>
        <v>264365298.83400047</v>
      </c>
      <c r="DN75" s="7">
        <f t="shared" si="319"/>
        <v>774239651204.64526</v>
      </c>
      <c r="DO75" s="1136">
        <f t="shared" si="320"/>
        <v>234610855423.4957</v>
      </c>
      <c r="DP75" s="22">
        <f t="shared" si="321"/>
        <v>259440.1939297127</v>
      </c>
      <c r="DQ75" s="172">
        <f t="shared" si="322"/>
        <v>434458180516.33417</v>
      </c>
      <c r="DR75" s="22">
        <f t="shared" si="323"/>
        <v>1124.3523830619979</v>
      </c>
      <c r="DS75" s="22">
        <f t="shared" si="324"/>
        <v>1747.6476169380021</v>
      </c>
      <c r="DT75" s="164">
        <f t="shared" si="270"/>
        <v>386407488.48964524</v>
      </c>
      <c r="DU75" s="164">
        <f t="shared" si="271"/>
        <v>248595984.8573676</v>
      </c>
      <c r="DV75" s="1136">
        <f t="shared" si="325"/>
        <v>357610289116.12073</v>
      </c>
      <c r="DW75" s="1136">
        <f t="shared" si="326"/>
        <v>234610855423.4957</v>
      </c>
      <c r="DX75" s="763">
        <f t="shared" si="327"/>
        <v>189886.91308974594</v>
      </c>
      <c r="DY75" s="7">
        <f t="shared" si="328"/>
        <v>290450258588.50891</v>
      </c>
      <c r="DZ75" s="13">
        <f t="shared" si="329"/>
        <v>1574.5538007466741</v>
      </c>
      <c r="EA75" s="763">
        <f t="shared" si="330"/>
        <v>1297.4461992533259</v>
      </c>
      <c r="EB75" s="164">
        <f t="shared" si="272"/>
        <v>184465121.77022696</v>
      </c>
      <c r="EC75" s="164">
        <f t="shared" si="273"/>
        <v>223863046.3102529</v>
      </c>
      <c r="ED75" s="1136">
        <f t="shared" si="331"/>
        <v>774239651204.64526</v>
      </c>
      <c r="EE75" s="1136">
        <f t="shared" si="332"/>
        <v>234610855423.4957</v>
      </c>
      <c r="EF75" s="763">
        <f t="shared" si="333"/>
        <v>181164.28108705388</v>
      </c>
      <c r="EG75" s="7">
        <f t="shared" si="334"/>
        <v>264142700868.93478</v>
      </c>
      <c r="EH75" s="13">
        <f t="shared" si="335"/>
        <v>1656.0952723925752</v>
      </c>
      <c r="EI75" s="763">
        <f t="shared" si="336"/>
        <v>1215.9047276074248</v>
      </c>
      <c r="EJ75" s="164">
        <f t="shared" si="274"/>
        <v>159497285.73726651</v>
      </c>
      <c r="EK75" s="164">
        <f t="shared" si="275"/>
        <v>217239636.3559643</v>
      </c>
      <c r="EL75" s="1136">
        <f t="shared" si="337"/>
        <v>357610289116.12073</v>
      </c>
      <c r="EM75" s="1136">
        <f t="shared" si="338"/>
        <v>234610855423.4957</v>
      </c>
      <c r="EN75" s="164"/>
      <c r="EO75" s="164"/>
    </row>
    <row r="76" spans="1:145" s="136" customFormat="1">
      <c r="B76" s="136" t="str">
        <f t="shared" ref="B76" si="346">LEFT(B74,3)+1&amp;"j"</f>
        <v>206j</v>
      </c>
      <c r="C76" s="136">
        <v>21.9</v>
      </c>
      <c r="D76" s="136">
        <v>0</v>
      </c>
      <c r="E76" s="136" t="s">
        <v>2106</v>
      </c>
      <c r="F76" s="26">
        <v>2</v>
      </c>
      <c r="G76" s="136">
        <v>500</v>
      </c>
      <c r="H76" s="136">
        <v>38</v>
      </c>
      <c r="I76" s="28">
        <v>250</v>
      </c>
      <c r="J76" s="26">
        <v>1940</v>
      </c>
      <c r="K76" s="136">
        <v>34</v>
      </c>
      <c r="L76" s="28">
        <v>120</v>
      </c>
      <c r="M76" s="26">
        <v>2800</v>
      </c>
      <c r="N76" s="28">
        <v>12</v>
      </c>
      <c r="O76" s="26">
        <v>0</v>
      </c>
      <c r="P76" s="26">
        <v>290</v>
      </c>
      <c r="Q76" s="397">
        <v>5500</v>
      </c>
      <c r="R76" s="169">
        <v>0</v>
      </c>
      <c r="S76" s="210">
        <v>0</v>
      </c>
      <c r="T76" s="169">
        <v>1200</v>
      </c>
      <c r="U76" s="169">
        <v>2400</v>
      </c>
      <c r="V76" s="28">
        <v>3800</v>
      </c>
      <c r="W76" s="210">
        <v>19</v>
      </c>
      <c r="X76" s="210">
        <v>200</v>
      </c>
      <c r="Y76" s="169">
        <v>50</v>
      </c>
      <c r="Z76" s="210">
        <v>16</v>
      </c>
      <c r="AA76" s="210">
        <v>200</v>
      </c>
      <c r="AB76" s="28">
        <v>40</v>
      </c>
      <c r="AC76" s="210">
        <v>0</v>
      </c>
      <c r="AD76" s="26">
        <v>2</v>
      </c>
      <c r="AE76" s="169">
        <v>160</v>
      </c>
      <c r="AF76" s="169">
        <v>16</v>
      </c>
      <c r="AG76" s="26">
        <v>0</v>
      </c>
      <c r="AH76" s="169">
        <v>0</v>
      </c>
      <c r="AI76" s="169">
        <v>0</v>
      </c>
      <c r="AJ76" s="397">
        <v>2</v>
      </c>
      <c r="AK76" s="210">
        <v>2500</v>
      </c>
      <c r="AL76" s="210">
        <v>5000</v>
      </c>
      <c r="AM76" s="210" t="s">
        <v>2316</v>
      </c>
      <c r="AN76" s="210">
        <v>2500</v>
      </c>
      <c r="AO76" s="1143" t="s">
        <v>2322</v>
      </c>
      <c r="AP76" s="1143" t="s">
        <v>2321</v>
      </c>
      <c r="AQ76" s="1143"/>
      <c r="AR76" s="1143"/>
      <c r="AS76" s="1143"/>
      <c r="AT76" s="1143"/>
      <c r="AU76" s="1143"/>
      <c r="AV76" s="1109"/>
      <c r="AW76" s="1109"/>
      <c r="AX76" s="1109"/>
      <c r="AY76" s="1109"/>
      <c r="AZ76" s="1108">
        <v>8</v>
      </c>
      <c r="BA76" s="1108">
        <v>6</v>
      </c>
      <c r="BB76" s="1109"/>
      <c r="BC76" s="1168"/>
      <c r="BD76" s="210">
        <f>INDEX(Spec!$B$12:$P$58,MATCH(AO76,Spec!$A$12:$A$58,0),6)*100</f>
        <v>2921</v>
      </c>
      <c r="BE76" s="210">
        <f>INDEX(Spec!$B$12:$P$58,MATCH(AP76,Spec!$A$12:$A$58,0),6)*100</f>
        <v>1900</v>
      </c>
      <c r="BF76" s="881">
        <f t="shared" si="276"/>
        <v>1.0664319805794482</v>
      </c>
      <c r="BG76" s="881">
        <f t="shared" si="277"/>
        <v>47.243485714285718</v>
      </c>
      <c r="BH76" s="881"/>
      <c r="BI76" s="13" cm="1">
        <f t="array" ref="BI76">INDEX(Info!$AD$4:$AH$15,MATCH(Info!$I$13,Info!$AC$4:$AC$15,0),IF(H76&lt;=16,1,IF(H76&lt;=40,2,IF(H76&lt;=75,3,IF(H76&lt;=100,4,5)))))</f>
        <v>380</v>
      </c>
      <c r="BJ76" s="13" cm="1">
        <f t="array" ref="BJ76">INDEX(Info!$AD$4:$AH$15,MATCH(Info!$I$13,Info!$AC$4:$AC$15,0),IF(K76&lt;=16,1,IF(K76&lt;=40,2,IF(K76&lt;=75,3,IF(K76&lt;=100,4,5)))))</f>
        <v>380</v>
      </c>
      <c r="BK76" s="13" cm="1">
        <f t="array" ref="BK76">INDEX(Info!$AD$4:$AH$15,MATCH(Info!$I$14,Info!$AC$4:$AC$15,0),IF(N76&lt;=16,1,IF(N76&lt;=40,2,IF(N76&lt;=75,3,IF(N76&lt;=100,4,5)))))</f>
        <v>355</v>
      </c>
      <c r="BL76" s="13">
        <f>IF(Stress!C905="Positive",MAX(MIN(0.7*BI76,BK76),0.5*BI76),MAX(MIN(0.7*BJ76,BK76),0.5*BJ76))</f>
        <v>266</v>
      </c>
      <c r="BM76" s="13" cm="1">
        <f t="array" ref="BM76">INDEX(Info!$AD$4:$AH$15,MATCH(Info!$I$13,Info!$AC$4:$AC$15,0),IF(AI76&lt;=16,1,IF(AI76&lt;=40,2,IF(AI76&lt;=75,3,IF(AI76&lt;=100,4,5)))))</f>
        <v>380</v>
      </c>
      <c r="BN76" s="13" cm="1">
        <f t="array" ref="BN76">INDEX(Info!$AD$4:$AH$15,MATCH(Info!$I$13,Info!$AC$4:$AC$15,0),IF(AF76&lt;=16,1,IF(AF76&lt;=40,2,IF(AF76&lt;=75,3,IF(AF76&lt;=100,4,5)))))</f>
        <v>380</v>
      </c>
      <c r="BO76" s="13"/>
      <c r="BP76" s="13">
        <f t="shared" si="278"/>
        <v>0.125</v>
      </c>
      <c r="BQ76" s="13">
        <f t="shared" si="279"/>
        <v>2821.7902119044925</v>
      </c>
      <c r="BR76" s="13">
        <f t="shared" si="280"/>
        <v>3124</v>
      </c>
      <c r="BS76" s="13"/>
      <c r="BT76" s="136">
        <f t="shared" si="281"/>
        <v>0</v>
      </c>
      <c r="BU76" s="136">
        <f t="shared" si="282"/>
        <v>0</v>
      </c>
      <c r="BV76" s="136">
        <f t="shared" si="283"/>
        <v>1595000</v>
      </c>
      <c r="BW76" s="136">
        <f t="shared" si="284"/>
        <v>11178291666.666666</v>
      </c>
      <c r="BX76" s="136">
        <f t="shared" si="285"/>
        <v>0</v>
      </c>
      <c r="BY76" s="136">
        <f t="shared" si="286"/>
        <v>0</v>
      </c>
      <c r="BZ76" s="136">
        <f t="shared" si="287"/>
        <v>7655.2758986349281</v>
      </c>
      <c r="CA76" s="136">
        <f t="shared" si="288"/>
        <v>172722.16246295057</v>
      </c>
      <c r="CB76" s="136">
        <f t="shared" si="289"/>
        <v>5428.6721054031623</v>
      </c>
      <c r="CC76" s="136">
        <f t="shared" si="290"/>
        <v>86858.753686450596</v>
      </c>
      <c r="CE76" s="1137">
        <f t="shared" si="291"/>
        <v>346081987.77679139</v>
      </c>
      <c r="CF76" s="1136">
        <f t="shared" si="292"/>
        <v>411131448.88888884</v>
      </c>
      <c r="CG76" s="1136">
        <f t="shared" si="293"/>
        <v>0</v>
      </c>
      <c r="CH76" s="172">
        <f t="shared" si="294"/>
        <v>4020729166666.6665</v>
      </c>
      <c r="CJ76" s="136">
        <f t="shared" si="295"/>
        <v>176802.96508570784</v>
      </c>
      <c r="CK76" s="7">
        <f t="shared" si="296"/>
        <v>250018643484.55331</v>
      </c>
      <c r="CL76" s="6">
        <f t="shared" si="297"/>
        <v>1699.8831645586633</v>
      </c>
      <c r="CM76" s="6">
        <f t="shared" si="298"/>
        <v>1172.1168354413367</v>
      </c>
      <c r="CN76" s="164">
        <f t="shared" si="264"/>
        <v>147079898.60554036</v>
      </c>
      <c r="CO76" s="164">
        <f t="shared" si="265"/>
        <v>213305223.44251961</v>
      </c>
      <c r="CP76" s="1137">
        <f t="shared" si="299"/>
        <v>149295608071.85852</v>
      </c>
      <c r="CQ76" s="1136">
        <f t="shared" si="300"/>
        <v>48039297273.756439</v>
      </c>
      <c r="CR76" s="22">
        <f t="shared" si="301"/>
        <v>176802.96508570784</v>
      </c>
      <c r="CS76" s="7">
        <f t="shared" si="302"/>
        <v>250018643484.55331</v>
      </c>
      <c r="CT76" s="6">
        <f t="shared" si="303"/>
        <v>1699.8831645586633</v>
      </c>
      <c r="CU76" s="12">
        <f t="shared" si="304"/>
        <v>1172.1168354413367</v>
      </c>
      <c r="CV76" s="164">
        <f t="shared" si="305"/>
        <v>147079898.60554036</v>
      </c>
      <c r="CW76" s="164">
        <f t="shared" si="306"/>
        <v>213305223.44251961</v>
      </c>
      <c r="CX76" s="1136">
        <f t="shared" si="307"/>
        <v>149295608071.85852</v>
      </c>
      <c r="CY76" s="1136">
        <f t="shared" si="308"/>
        <v>48039297273.756439</v>
      </c>
      <c r="CZ76" s="22">
        <f t="shared" si="309"/>
        <v>176802.96508570784</v>
      </c>
      <c r="DA76" s="7">
        <f t="shared" si="310"/>
        <v>250018643484.55331</v>
      </c>
      <c r="DB76" s="6">
        <f t="shared" si="311"/>
        <v>1699.8831645586633</v>
      </c>
      <c r="DC76" s="12">
        <f t="shared" si="312"/>
        <v>1172.1168354413367</v>
      </c>
      <c r="DD76" s="164">
        <f t="shared" si="266"/>
        <v>147079898.60554036</v>
      </c>
      <c r="DE76" s="164">
        <f t="shared" si="267"/>
        <v>213305223.44251961</v>
      </c>
      <c r="DF76" s="1136">
        <f t="shared" si="313"/>
        <v>149295608071.85852</v>
      </c>
      <c r="DG76" s="1136">
        <f t="shared" si="314"/>
        <v>48039297273.756439</v>
      </c>
      <c r="DH76" s="22">
        <f t="shared" si="315"/>
        <v>424714.65161772241</v>
      </c>
      <c r="DI76" s="172">
        <f t="shared" si="316"/>
        <v>588693664353.30603</v>
      </c>
      <c r="DJ76" s="12">
        <f t="shared" si="317"/>
        <v>645.18102281284291</v>
      </c>
      <c r="DK76" s="22">
        <f t="shared" si="318"/>
        <v>2226.8189771871571</v>
      </c>
      <c r="DL76" s="164">
        <f t="shared" si="268"/>
        <v>912447272.2194078</v>
      </c>
      <c r="DM76" s="164">
        <f t="shared" si="269"/>
        <v>264365298.83400047</v>
      </c>
      <c r="DN76" s="7">
        <f t="shared" si="319"/>
        <v>774239651204.64526</v>
      </c>
      <c r="DO76" s="1136">
        <f t="shared" si="320"/>
        <v>234610855423.4957</v>
      </c>
      <c r="DP76" s="22">
        <f t="shared" si="321"/>
        <v>259440.1939297127</v>
      </c>
      <c r="DQ76" s="172">
        <f t="shared" si="322"/>
        <v>434458180516.33417</v>
      </c>
      <c r="DR76" s="22">
        <f t="shared" si="323"/>
        <v>1124.3523830619979</v>
      </c>
      <c r="DS76" s="22">
        <f t="shared" si="324"/>
        <v>1747.6476169380021</v>
      </c>
      <c r="DT76" s="164">
        <f t="shared" si="270"/>
        <v>386407488.48964524</v>
      </c>
      <c r="DU76" s="164">
        <f t="shared" si="271"/>
        <v>248595984.8573676</v>
      </c>
      <c r="DV76" s="1136">
        <f t="shared" si="325"/>
        <v>357610289116.12073</v>
      </c>
      <c r="DW76" s="1136">
        <f t="shared" si="326"/>
        <v>234610855423.4957</v>
      </c>
      <c r="DX76" s="763">
        <f t="shared" si="327"/>
        <v>189886.91308974594</v>
      </c>
      <c r="DY76" s="7">
        <f t="shared" si="328"/>
        <v>290450258588.50891</v>
      </c>
      <c r="DZ76" s="13">
        <f t="shared" si="329"/>
        <v>1574.5538007466741</v>
      </c>
      <c r="EA76" s="763">
        <f t="shared" si="330"/>
        <v>1297.4461992533259</v>
      </c>
      <c r="EB76" s="164">
        <f t="shared" si="272"/>
        <v>184465121.77022696</v>
      </c>
      <c r="EC76" s="164">
        <f t="shared" si="273"/>
        <v>223863046.3102529</v>
      </c>
      <c r="ED76" s="1136">
        <f t="shared" si="331"/>
        <v>774239651204.64526</v>
      </c>
      <c r="EE76" s="1136">
        <f t="shared" si="332"/>
        <v>234610855423.4957</v>
      </c>
      <c r="EF76" s="763">
        <f t="shared" si="333"/>
        <v>181164.28108705388</v>
      </c>
      <c r="EG76" s="7">
        <f t="shared" si="334"/>
        <v>264142700868.93478</v>
      </c>
      <c r="EH76" s="13">
        <f t="shared" si="335"/>
        <v>1656.0952723925752</v>
      </c>
      <c r="EI76" s="763">
        <f t="shared" si="336"/>
        <v>1215.9047276074248</v>
      </c>
      <c r="EJ76" s="164">
        <f t="shared" si="274"/>
        <v>159497285.73726651</v>
      </c>
      <c r="EK76" s="164">
        <f t="shared" si="275"/>
        <v>217239636.3559643</v>
      </c>
      <c r="EL76" s="1136">
        <f t="shared" si="337"/>
        <v>357610289116.12073</v>
      </c>
      <c r="EM76" s="1136">
        <f t="shared" si="338"/>
        <v>234610855423.4957</v>
      </c>
      <c r="EN76" s="164"/>
      <c r="EO76" s="164"/>
    </row>
    <row r="77" spans="1:145" s="136" customFormat="1">
      <c r="A77" s="136">
        <v>107</v>
      </c>
      <c r="B77" s="136" t="str">
        <f t="shared" ref="B77" si="347">LEFT(B75,3)+1&amp;"i"</f>
        <v>207i</v>
      </c>
      <c r="C77" s="136">
        <v>21.9</v>
      </c>
      <c r="D77" s="136">
        <v>0</v>
      </c>
      <c r="E77" s="136" t="s">
        <v>2107</v>
      </c>
      <c r="F77" s="26">
        <v>2</v>
      </c>
      <c r="G77" s="136">
        <v>600</v>
      </c>
      <c r="H77" s="136">
        <v>40</v>
      </c>
      <c r="I77" s="28">
        <v>250</v>
      </c>
      <c r="J77" s="26">
        <v>1940</v>
      </c>
      <c r="K77" s="136">
        <v>40</v>
      </c>
      <c r="L77" s="28">
        <v>120</v>
      </c>
      <c r="M77" s="26">
        <v>2800</v>
      </c>
      <c r="N77" s="28">
        <v>12</v>
      </c>
      <c r="O77" s="26">
        <v>0</v>
      </c>
      <c r="P77" s="26">
        <v>290</v>
      </c>
      <c r="Q77" s="397">
        <v>5500</v>
      </c>
      <c r="R77" s="169">
        <v>0</v>
      </c>
      <c r="S77" s="210">
        <v>0</v>
      </c>
      <c r="T77" s="169">
        <v>1200</v>
      </c>
      <c r="U77" s="169">
        <v>2400</v>
      </c>
      <c r="V77" s="28">
        <v>3800</v>
      </c>
      <c r="W77" s="210">
        <v>19</v>
      </c>
      <c r="X77" s="210">
        <v>200</v>
      </c>
      <c r="Y77" s="169">
        <v>50</v>
      </c>
      <c r="Z77" s="210">
        <v>16</v>
      </c>
      <c r="AA77" s="210">
        <v>200</v>
      </c>
      <c r="AB77" s="28">
        <v>40</v>
      </c>
      <c r="AC77" s="210">
        <v>0</v>
      </c>
      <c r="AD77" s="26">
        <v>2</v>
      </c>
      <c r="AE77" s="169">
        <v>160</v>
      </c>
      <c r="AF77" s="169">
        <v>16</v>
      </c>
      <c r="AG77" s="26">
        <v>0</v>
      </c>
      <c r="AH77" s="169">
        <v>0</v>
      </c>
      <c r="AI77" s="169">
        <v>0</v>
      </c>
      <c r="AJ77" s="397">
        <v>2</v>
      </c>
      <c r="AK77" s="210">
        <v>2500</v>
      </c>
      <c r="AL77" s="210">
        <v>5000</v>
      </c>
      <c r="AM77" s="210" t="s">
        <v>2316</v>
      </c>
      <c r="AN77" s="210">
        <v>2500</v>
      </c>
      <c r="AO77" s="1143" t="s">
        <v>2320</v>
      </c>
      <c r="AP77" s="1143" t="s">
        <v>2321</v>
      </c>
      <c r="AQ77" s="1143"/>
      <c r="AR77" s="1143"/>
      <c r="AS77" s="1143"/>
      <c r="AT77" s="1143"/>
      <c r="AU77" s="1143"/>
      <c r="AV77" s="1109"/>
      <c r="AW77" s="1109"/>
      <c r="AX77" s="1109"/>
      <c r="AY77" s="1109"/>
      <c r="AZ77" s="1108">
        <v>8</v>
      </c>
      <c r="BA77" s="1108">
        <v>6</v>
      </c>
      <c r="BB77" s="1109"/>
      <c r="BC77" s="1168"/>
      <c r="BD77" s="210">
        <f>INDEX(Spec!$B$12:$P$58,MATCH(AO77,Spec!$A$12:$A$58,0),6)*100</f>
        <v>5021</v>
      </c>
      <c r="BE77" s="210">
        <f>INDEX(Spec!$B$12:$P$58,MATCH(AP77,Spec!$A$12:$A$58,0),6)*100</f>
        <v>1900</v>
      </c>
      <c r="BF77" s="881">
        <f t="shared" si="276"/>
        <v>1.8117883028477031</v>
      </c>
      <c r="BG77" s="881">
        <f t="shared" si="277"/>
        <v>47.243485714285718</v>
      </c>
      <c r="BH77" s="881"/>
      <c r="BI77" s="13" cm="1">
        <f t="array" ref="BI77">INDEX(Info!$AD$4:$AH$15,MATCH(Info!$I$13,Info!$AC$4:$AC$15,0),IF(H77&lt;=16,1,IF(H77&lt;=40,2,IF(H77&lt;=75,3,IF(H77&lt;=100,4,5)))))</f>
        <v>380</v>
      </c>
      <c r="BJ77" s="13" cm="1">
        <f t="array" ref="BJ77">INDEX(Info!$AD$4:$AH$15,MATCH(Info!$I$13,Info!$AC$4:$AC$15,0),IF(K77&lt;=16,1,IF(K77&lt;=40,2,IF(K77&lt;=75,3,IF(K77&lt;=100,4,5)))))</f>
        <v>380</v>
      </c>
      <c r="BK77" s="13" cm="1">
        <f t="array" ref="BK77">INDEX(Info!$AD$4:$AH$15,MATCH(Info!$I$14,Info!$AC$4:$AC$15,0),IF(N77&lt;=16,1,IF(N77&lt;=40,2,IF(N77&lt;=75,3,IF(N77&lt;=100,4,5)))))</f>
        <v>355</v>
      </c>
      <c r="BL77" s="13">
        <f>IF(Stress!C906="Positive",MAX(MIN(0.7*BI77,BK77),0.5*BI77),MAX(MIN(0.7*BJ77,BK77),0.5*BJ77))</f>
        <v>266</v>
      </c>
      <c r="BM77" s="13" cm="1">
        <f t="array" ref="BM77">INDEX(Info!$AD$4:$AH$15,MATCH(Info!$I$13,Info!$AC$4:$AC$15,0),IF(AI77&lt;=16,1,IF(AI77&lt;=40,2,IF(AI77&lt;=75,3,IF(AI77&lt;=100,4,5)))))</f>
        <v>380</v>
      </c>
      <c r="BN77" s="13" cm="1">
        <f t="array" ref="BN77">INDEX(Info!$AD$4:$AH$15,MATCH(Info!$I$13,Info!$AC$4:$AC$15,0),IF(AF77&lt;=16,1,IF(AF77&lt;=40,2,IF(AF77&lt;=75,3,IF(AF77&lt;=100,4,5)))))</f>
        <v>380</v>
      </c>
      <c r="BO77" s="13"/>
      <c r="BP77" s="13">
        <f t="shared" si="278"/>
        <v>0.125</v>
      </c>
      <c r="BQ77" s="13">
        <f t="shared" si="279"/>
        <v>2821.7902119044925</v>
      </c>
      <c r="BR77" s="13">
        <f t="shared" si="280"/>
        <v>3130</v>
      </c>
      <c r="BS77" s="13"/>
      <c r="BT77" s="136">
        <f t="shared" si="281"/>
        <v>0</v>
      </c>
      <c r="BU77" s="136">
        <f t="shared" si="282"/>
        <v>0</v>
      </c>
      <c r="BV77" s="136">
        <f t="shared" si="283"/>
        <v>1595000</v>
      </c>
      <c r="BW77" s="136">
        <f t="shared" si="284"/>
        <v>11178291666.666666</v>
      </c>
      <c r="BX77" s="136">
        <f t="shared" si="285"/>
        <v>0</v>
      </c>
      <c r="BY77" s="136">
        <f t="shared" si="286"/>
        <v>0</v>
      </c>
      <c r="BZ77" s="136">
        <f t="shared" si="287"/>
        <v>7655.2758986349281</v>
      </c>
      <c r="CA77" s="136">
        <f t="shared" si="288"/>
        <v>172722.16246295057</v>
      </c>
      <c r="CB77" s="136">
        <f t="shared" si="289"/>
        <v>5428.6721054031623</v>
      </c>
      <c r="CC77" s="136">
        <f t="shared" si="290"/>
        <v>86858.753686450596</v>
      </c>
      <c r="CE77" s="1137">
        <f t="shared" si="291"/>
        <v>346081987.77679139</v>
      </c>
      <c r="CF77" s="1136">
        <f t="shared" si="292"/>
        <v>411131448.88888884</v>
      </c>
      <c r="CG77" s="1136">
        <f t="shared" si="293"/>
        <v>0</v>
      </c>
      <c r="CH77" s="172">
        <f t="shared" si="294"/>
        <v>4020729166666.6665</v>
      </c>
      <c r="CJ77" s="136">
        <f t="shared" si="295"/>
        <v>198442.96508570784</v>
      </c>
      <c r="CK77" s="7">
        <f t="shared" si="296"/>
        <v>294458361973.75983</v>
      </c>
      <c r="CL77" s="6">
        <f t="shared" si="297"/>
        <v>1685.8661105921663</v>
      </c>
      <c r="CM77" s="6">
        <f t="shared" si="298"/>
        <v>1194.1338894078337</v>
      </c>
      <c r="CN77" s="164">
        <f t="shared" si="264"/>
        <v>174662958.18137676</v>
      </c>
      <c r="CO77" s="164">
        <f t="shared" si="265"/>
        <v>246587392.40687704</v>
      </c>
      <c r="CP77" s="1137">
        <f t="shared" si="299"/>
        <v>162354633405.19186</v>
      </c>
      <c r="CQ77" s="1136">
        <f t="shared" si="300"/>
        <v>72562465391.25</v>
      </c>
      <c r="CR77" s="22">
        <f t="shared" si="301"/>
        <v>198442.96508570784</v>
      </c>
      <c r="CS77" s="7">
        <f t="shared" si="302"/>
        <v>294458361973.75983</v>
      </c>
      <c r="CT77" s="6">
        <f t="shared" si="303"/>
        <v>1685.8661105921663</v>
      </c>
      <c r="CU77" s="12">
        <f t="shared" si="304"/>
        <v>1194.1338894078337</v>
      </c>
      <c r="CV77" s="164">
        <f t="shared" si="305"/>
        <v>174662958.18137676</v>
      </c>
      <c r="CW77" s="164">
        <f t="shared" si="306"/>
        <v>246587392.40687704</v>
      </c>
      <c r="CX77" s="1136">
        <f t="shared" si="307"/>
        <v>162354633405.19186</v>
      </c>
      <c r="CY77" s="1136">
        <f t="shared" si="308"/>
        <v>72562465391.25</v>
      </c>
      <c r="CZ77" s="22">
        <f t="shared" si="309"/>
        <v>198442.96508570784</v>
      </c>
      <c r="DA77" s="7">
        <f t="shared" si="310"/>
        <v>294458361973.75983</v>
      </c>
      <c r="DB77" s="6">
        <f t="shared" si="311"/>
        <v>1685.8661105921663</v>
      </c>
      <c r="DC77" s="12">
        <f t="shared" si="312"/>
        <v>1194.1338894078337</v>
      </c>
      <c r="DD77" s="164">
        <f t="shared" si="266"/>
        <v>174662958.18137676</v>
      </c>
      <c r="DE77" s="164">
        <f t="shared" si="267"/>
        <v>246587392.40687704</v>
      </c>
      <c r="DF77" s="1136">
        <f t="shared" si="313"/>
        <v>162354633405.19186</v>
      </c>
      <c r="DG77" s="1136">
        <f t="shared" si="314"/>
        <v>72562465391.25</v>
      </c>
      <c r="DH77" s="22">
        <f t="shared" si="315"/>
        <v>446354.65161772241</v>
      </c>
      <c r="DI77" s="172">
        <f t="shared" si="316"/>
        <v>649687231067.52405</v>
      </c>
      <c r="DJ77" s="12">
        <f t="shared" si="317"/>
        <v>691.19374362829694</v>
      </c>
      <c r="DK77" s="22">
        <f t="shared" si="318"/>
        <v>2188.8062563717031</v>
      </c>
      <c r="DL77" s="164">
        <f t="shared" si="268"/>
        <v>939949525.08844781</v>
      </c>
      <c r="DM77" s="164">
        <f t="shared" si="269"/>
        <v>296822630.6811114</v>
      </c>
      <c r="DN77" s="7">
        <f t="shared" si="319"/>
        <v>787298676537.97864</v>
      </c>
      <c r="DO77" s="1136">
        <f t="shared" si="320"/>
        <v>238639389909.96988</v>
      </c>
      <c r="DP77" s="22">
        <f t="shared" si="321"/>
        <v>281080.1939297127</v>
      </c>
      <c r="DQ77" s="172">
        <f t="shared" si="322"/>
        <v>482152011680.10175</v>
      </c>
      <c r="DR77" s="22">
        <f t="shared" si="323"/>
        <v>1159.3536924066825</v>
      </c>
      <c r="DS77" s="22">
        <f t="shared" si="324"/>
        <v>1720.6463075933175</v>
      </c>
      <c r="DT77" s="164">
        <f t="shared" si="270"/>
        <v>415879998.34563911</v>
      </c>
      <c r="DU77" s="164">
        <f t="shared" si="271"/>
        <v>280215643.12917501</v>
      </c>
      <c r="DV77" s="1136">
        <f t="shared" si="325"/>
        <v>370669314449.4541</v>
      </c>
      <c r="DW77" s="1136">
        <f t="shared" si="326"/>
        <v>238639389909.96988</v>
      </c>
      <c r="DX77" s="763">
        <f t="shared" si="327"/>
        <v>211526.91308974594</v>
      </c>
      <c r="DY77" s="7">
        <f t="shared" si="328"/>
        <v>334483056239.52264</v>
      </c>
      <c r="DZ77" s="13">
        <f t="shared" si="329"/>
        <v>1574.3491439427423</v>
      </c>
      <c r="EA77" s="763">
        <f t="shared" si="330"/>
        <v>1305.6508560572577</v>
      </c>
      <c r="EB77" s="164">
        <f t="shared" si="272"/>
        <v>212457990.99039462</v>
      </c>
      <c r="EC77" s="164">
        <f t="shared" si="273"/>
        <v>256181087.53022891</v>
      </c>
      <c r="ED77" s="1136">
        <f t="shared" si="331"/>
        <v>787298676537.97864</v>
      </c>
      <c r="EE77" s="1136">
        <f t="shared" si="332"/>
        <v>238639389909.96988</v>
      </c>
      <c r="EF77" s="763">
        <f t="shared" si="333"/>
        <v>202804.28108705388</v>
      </c>
      <c r="EG77" s="7">
        <f t="shared" si="334"/>
        <v>308371923533.24579</v>
      </c>
      <c r="EH77" s="13">
        <f t="shared" si="335"/>
        <v>1647.0950031545817</v>
      </c>
      <c r="EI77" s="763">
        <f t="shared" si="336"/>
        <v>1232.9049968454183</v>
      </c>
      <c r="EJ77" s="164">
        <f t="shared" si="274"/>
        <v>187221698.16716075</v>
      </c>
      <c r="EK77" s="164">
        <f t="shared" si="275"/>
        <v>250118155.35038298</v>
      </c>
      <c r="EL77" s="1136">
        <f t="shared" si="337"/>
        <v>370669314449.4541</v>
      </c>
      <c r="EM77" s="1136">
        <f t="shared" si="338"/>
        <v>238639389909.96988</v>
      </c>
      <c r="EN77" s="164"/>
      <c r="EO77" s="164"/>
    </row>
    <row r="78" spans="1:145" s="136" customFormat="1">
      <c r="B78" s="136" t="str">
        <f t="shared" ref="B78" si="348">LEFT(B76,3)+1&amp;"j"</f>
        <v>207j</v>
      </c>
      <c r="C78" s="136">
        <v>26.9</v>
      </c>
      <c r="D78" s="136">
        <v>0</v>
      </c>
      <c r="E78" s="136" t="s">
        <v>2107</v>
      </c>
      <c r="F78" s="26">
        <v>2</v>
      </c>
      <c r="G78" s="136">
        <v>600</v>
      </c>
      <c r="H78" s="136">
        <v>40</v>
      </c>
      <c r="I78" s="28">
        <v>250</v>
      </c>
      <c r="J78" s="26">
        <v>1940</v>
      </c>
      <c r="K78" s="136">
        <v>40</v>
      </c>
      <c r="L78" s="28">
        <v>120</v>
      </c>
      <c r="M78" s="26">
        <v>2800</v>
      </c>
      <c r="N78" s="28">
        <v>12</v>
      </c>
      <c r="O78" s="26">
        <v>0</v>
      </c>
      <c r="P78" s="26">
        <v>290</v>
      </c>
      <c r="Q78" s="397">
        <v>5500</v>
      </c>
      <c r="R78" s="169">
        <v>0</v>
      </c>
      <c r="S78" s="210">
        <v>0</v>
      </c>
      <c r="T78" s="169">
        <v>1200</v>
      </c>
      <c r="U78" s="169">
        <v>2400</v>
      </c>
      <c r="V78" s="28">
        <v>3800</v>
      </c>
      <c r="W78" s="210">
        <v>19</v>
      </c>
      <c r="X78" s="210">
        <v>200</v>
      </c>
      <c r="Y78" s="169">
        <v>50</v>
      </c>
      <c r="Z78" s="210">
        <v>16</v>
      </c>
      <c r="AA78" s="210">
        <v>200</v>
      </c>
      <c r="AB78" s="28">
        <v>40</v>
      </c>
      <c r="AC78" s="210">
        <v>0</v>
      </c>
      <c r="AD78" s="26">
        <v>2</v>
      </c>
      <c r="AE78" s="169">
        <v>160</v>
      </c>
      <c r="AF78" s="169">
        <v>16</v>
      </c>
      <c r="AG78" s="26">
        <v>0</v>
      </c>
      <c r="AH78" s="169">
        <v>0</v>
      </c>
      <c r="AI78" s="169">
        <v>0</v>
      </c>
      <c r="AJ78" s="397">
        <v>2</v>
      </c>
      <c r="AK78" s="210">
        <v>2500</v>
      </c>
      <c r="AL78" s="210">
        <v>5000</v>
      </c>
      <c r="AM78" s="210" t="s">
        <v>2316</v>
      </c>
      <c r="AN78" s="210">
        <v>2500</v>
      </c>
      <c r="AO78" s="1143" t="s">
        <v>2320</v>
      </c>
      <c r="AP78" s="1143" t="s">
        <v>2321</v>
      </c>
      <c r="AQ78" s="1143"/>
      <c r="AR78" s="1143"/>
      <c r="AS78" s="1143"/>
      <c r="AT78" s="1143"/>
      <c r="AU78" s="1143"/>
      <c r="AV78" s="1109"/>
      <c r="AW78" s="1109"/>
      <c r="AX78" s="1109"/>
      <c r="AY78" s="1109"/>
      <c r="AZ78" s="1108">
        <v>8</v>
      </c>
      <c r="BA78" s="1108">
        <v>6</v>
      </c>
      <c r="BB78" s="1109"/>
      <c r="BC78" s="1168"/>
      <c r="BD78" s="210">
        <f>INDEX(Spec!$B$12:$P$58,MATCH(AO78,Spec!$A$12:$A$58,0),6)*100</f>
        <v>5021</v>
      </c>
      <c r="BE78" s="210">
        <f>INDEX(Spec!$B$12:$P$58,MATCH(AP78,Spec!$A$12:$A$58,0),6)*100</f>
        <v>1900</v>
      </c>
      <c r="BF78" s="881">
        <f t="shared" si="276"/>
        <v>1.8117883028477031</v>
      </c>
      <c r="BG78" s="881">
        <f t="shared" si="277"/>
        <v>47.243485714285718</v>
      </c>
      <c r="BH78" s="881"/>
      <c r="BI78" s="13" cm="1">
        <f t="array" ref="BI78">INDEX(Info!$AD$4:$AH$15,MATCH(Info!$I$13,Info!$AC$4:$AC$15,0),IF(H78&lt;=16,1,IF(H78&lt;=40,2,IF(H78&lt;=75,3,IF(H78&lt;=100,4,5)))))</f>
        <v>380</v>
      </c>
      <c r="BJ78" s="13" cm="1">
        <f t="array" ref="BJ78">INDEX(Info!$AD$4:$AH$15,MATCH(Info!$I$13,Info!$AC$4:$AC$15,0),IF(K78&lt;=16,1,IF(K78&lt;=40,2,IF(K78&lt;=75,3,IF(K78&lt;=100,4,5)))))</f>
        <v>380</v>
      </c>
      <c r="BK78" s="13" cm="1">
        <f t="array" ref="BK78">INDEX(Info!$AD$4:$AH$15,MATCH(Info!$I$14,Info!$AC$4:$AC$15,0),IF(N78&lt;=16,1,IF(N78&lt;=40,2,IF(N78&lt;=75,3,IF(N78&lt;=100,4,5)))))</f>
        <v>355</v>
      </c>
      <c r="BL78" s="13">
        <f>IF(Stress!C907="Positive",MAX(MIN(0.7*BI78,BK78),0.5*BI78),MAX(MIN(0.7*BJ78,BK78),0.5*BJ78))</f>
        <v>266</v>
      </c>
      <c r="BM78" s="13" cm="1">
        <f t="array" ref="BM78">INDEX(Info!$AD$4:$AH$15,MATCH(Info!$I$13,Info!$AC$4:$AC$15,0),IF(AI78&lt;=16,1,IF(AI78&lt;=40,2,IF(AI78&lt;=75,3,IF(AI78&lt;=100,4,5)))))</f>
        <v>380</v>
      </c>
      <c r="BN78" s="13" cm="1">
        <f t="array" ref="BN78">INDEX(Info!$AD$4:$AH$15,MATCH(Info!$I$13,Info!$AC$4:$AC$15,0),IF(AF78&lt;=16,1,IF(AF78&lt;=40,2,IF(AF78&lt;=75,3,IF(AF78&lt;=100,4,5)))))</f>
        <v>380</v>
      </c>
      <c r="BO78" s="13"/>
      <c r="BP78" s="13">
        <f t="shared" si="278"/>
        <v>0.125</v>
      </c>
      <c r="BQ78" s="13">
        <f t="shared" si="279"/>
        <v>2821.7902119044925</v>
      </c>
      <c r="BR78" s="13">
        <f t="shared" si="280"/>
        <v>3130</v>
      </c>
      <c r="BS78" s="13"/>
      <c r="BT78" s="136">
        <f t="shared" si="281"/>
        <v>0</v>
      </c>
      <c r="BU78" s="136">
        <f t="shared" si="282"/>
        <v>0</v>
      </c>
      <c r="BV78" s="136">
        <f t="shared" si="283"/>
        <v>1595000</v>
      </c>
      <c r="BW78" s="136">
        <f t="shared" si="284"/>
        <v>11178291666.666666</v>
      </c>
      <c r="BX78" s="136">
        <f t="shared" si="285"/>
        <v>0</v>
      </c>
      <c r="BY78" s="136">
        <f t="shared" si="286"/>
        <v>0</v>
      </c>
      <c r="BZ78" s="136">
        <f t="shared" si="287"/>
        <v>7655.2758986349281</v>
      </c>
      <c r="CA78" s="136">
        <f t="shared" si="288"/>
        <v>172722.16246295057</v>
      </c>
      <c r="CB78" s="136">
        <f t="shared" si="289"/>
        <v>5428.6721054031623</v>
      </c>
      <c r="CC78" s="136">
        <f t="shared" si="290"/>
        <v>86858.753686450596</v>
      </c>
      <c r="CE78" s="1137">
        <f t="shared" si="291"/>
        <v>346081987.77679139</v>
      </c>
      <c r="CF78" s="1136">
        <f t="shared" si="292"/>
        <v>411131448.88888884</v>
      </c>
      <c r="CG78" s="1136">
        <f t="shared" si="293"/>
        <v>0</v>
      </c>
      <c r="CH78" s="172">
        <f t="shared" si="294"/>
        <v>4020729166666.6665</v>
      </c>
      <c r="CJ78" s="136">
        <f t="shared" si="295"/>
        <v>198442.96508570784</v>
      </c>
      <c r="CK78" s="7">
        <f t="shared" si="296"/>
        <v>294458361973.75983</v>
      </c>
      <c r="CL78" s="6">
        <f t="shared" si="297"/>
        <v>1685.8661105921663</v>
      </c>
      <c r="CM78" s="6">
        <f t="shared" si="298"/>
        <v>1194.1338894078337</v>
      </c>
      <c r="CN78" s="164">
        <f t="shared" si="264"/>
        <v>174662958.18137676</v>
      </c>
      <c r="CO78" s="164">
        <f t="shared" si="265"/>
        <v>246587392.40687704</v>
      </c>
      <c r="CP78" s="1137">
        <f t="shared" si="299"/>
        <v>162354633405.19186</v>
      </c>
      <c r="CQ78" s="1136">
        <f t="shared" si="300"/>
        <v>72562465391.25</v>
      </c>
      <c r="CR78" s="22">
        <f t="shared" si="301"/>
        <v>198442.96508570784</v>
      </c>
      <c r="CS78" s="7">
        <f t="shared" si="302"/>
        <v>294458361973.75983</v>
      </c>
      <c r="CT78" s="6">
        <f t="shared" si="303"/>
        <v>1685.8661105921663</v>
      </c>
      <c r="CU78" s="12">
        <f t="shared" si="304"/>
        <v>1194.1338894078337</v>
      </c>
      <c r="CV78" s="164">
        <f t="shared" si="305"/>
        <v>174662958.18137676</v>
      </c>
      <c r="CW78" s="164">
        <f t="shared" si="306"/>
        <v>246587392.40687704</v>
      </c>
      <c r="CX78" s="1136">
        <f t="shared" si="307"/>
        <v>162354633405.19186</v>
      </c>
      <c r="CY78" s="1136">
        <f t="shared" si="308"/>
        <v>72562465391.25</v>
      </c>
      <c r="CZ78" s="22">
        <f t="shared" si="309"/>
        <v>198442.96508570784</v>
      </c>
      <c r="DA78" s="7">
        <f t="shared" si="310"/>
        <v>294458361973.75983</v>
      </c>
      <c r="DB78" s="6">
        <f t="shared" si="311"/>
        <v>1685.8661105921663</v>
      </c>
      <c r="DC78" s="12">
        <f t="shared" si="312"/>
        <v>1194.1338894078337</v>
      </c>
      <c r="DD78" s="164">
        <f t="shared" si="266"/>
        <v>174662958.18137676</v>
      </c>
      <c r="DE78" s="164">
        <f t="shared" si="267"/>
        <v>246587392.40687704</v>
      </c>
      <c r="DF78" s="1136">
        <f t="shared" si="313"/>
        <v>162354633405.19186</v>
      </c>
      <c r="DG78" s="1136">
        <f t="shared" si="314"/>
        <v>72562465391.25</v>
      </c>
      <c r="DH78" s="22">
        <f t="shared" si="315"/>
        <v>446354.65161772241</v>
      </c>
      <c r="DI78" s="172">
        <f t="shared" si="316"/>
        <v>649687231067.52405</v>
      </c>
      <c r="DJ78" s="12">
        <f t="shared" si="317"/>
        <v>691.19374362829694</v>
      </c>
      <c r="DK78" s="22">
        <f t="shared" si="318"/>
        <v>2188.8062563717031</v>
      </c>
      <c r="DL78" s="164">
        <f t="shared" si="268"/>
        <v>939949525.08844781</v>
      </c>
      <c r="DM78" s="164">
        <f t="shared" si="269"/>
        <v>296822630.6811114</v>
      </c>
      <c r="DN78" s="7">
        <f t="shared" si="319"/>
        <v>787298676537.97864</v>
      </c>
      <c r="DO78" s="1136">
        <f t="shared" si="320"/>
        <v>238639389909.96988</v>
      </c>
      <c r="DP78" s="22">
        <f t="shared" si="321"/>
        <v>281080.1939297127</v>
      </c>
      <c r="DQ78" s="172">
        <f t="shared" si="322"/>
        <v>482152011680.10175</v>
      </c>
      <c r="DR78" s="22">
        <f t="shared" si="323"/>
        <v>1159.3536924066825</v>
      </c>
      <c r="DS78" s="22">
        <f t="shared" si="324"/>
        <v>1720.6463075933175</v>
      </c>
      <c r="DT78" s="164">
        <f t="shared" si="270"/>
        <v>415879998.34563911</v>
      </c>
      <c r="DU78" s="164">
        <f t="shared" si="271"/>
        <v>280215643.12917501</v>
      </c>
      <c r="DV78" s="1136">
        <f t="shared" si="325"/>
        <v>370669314449.4541</v>
      </c>
      <c r="DW78" s="1136">
        <f t="shared" si="326"/>
        <v>238639389909.96988</v>
      </c>
      <c r="DX78" s="763">
        <f t="shared" si="327"/>
        <v>211526.91308974594</v>
      </c>
      <c r="DY78" s="7">
        <f t="shared" si="328"/>
        <v>334483056239.52264</v>
      </c>
      <c r="DZ78" s="13">
        <f t="shared" si="329"/>
        <v>1574.3491439427423</v>
      </c>
      <c r="EA78" s="763">
        <f t="shared" si="330"/>
        <v>1305.6508560572577</v>
      </c>
      <c r="EB78" s="164">
        <f t="shared" si="272"/>
        <v>212457990.99039462</v>
      </c>
      <c r="EC78" s="164">
        <f t="shared" si="273"/>
        <v>256181087.53022891</v>
      </c>
      <c r="ED78" s="1136">
        <f t="shared" si="331"/>
        <v>787298676537.97864</v>
      </c>
      <c r="EE78" s="1136">
        <f t="shared" si="332"/>
        <v>238639389909.96988</v>
      </c>
      <c r="EF78" s="763">
        <f t="shared" si="333"/>
        <v>202804.28108705388</v>
      </c>
      <c r="EG78" s="7">
        <f t="shared" si="334"/>
        <v>308371923533.24579</v>
      </c>
      <c r="EH78" s="13">
        <f t="shared" si="335"/>
        <v>1647.0950031545817</v>
      </c>
      <c r="EI78" s="763">
        <f t="shared" si="336"/>
        <v>1232.9049968454183</v>
      </c>
      <c r="EJ78" s="164">
        <f t="shared" si="274"/>
        <v>187221698.16716075</v>
      </c>
      <c r="EK78" s="164">
        <f t="shared" si="275"/>
        <v>250118155.35038298</v>
      </c>
      <c r="EL78" s="1136">
        <f t="shared" si="337"/>
        <v>370669314449.4541</v>
      </c>
      <c r="EM78" s="1136">
        <f t="shared" si="338"/>
        <v>238639389909.96988</v>
      </c>
      <c r="EN78" s="164"/>
      <c r="EO78" s="164"/>
    </row>
    <row r="79" spans="1:145" s="136" customFormat="1">
      <c r="A79" s="136">
        <v>108</v>
      </c>
      <c r="B79" s="136" t="str">
        <f t="shared" ref="B79" si="349">LEFT(B77,3)+1&amp;"i"</f>
        <v>208i</v>
      </c>
      <c r="C79" s="136">
        <v>26.9</v>
      </c>
      <c r="D79" s="136">
        <v>0</v>
      </c>
      <c r="E79" s="136" t="s">
        <v>2107</v>
      </c>
      <c r="F79" s="26">
        <v>2</v>
      </c>
      <c r="G79" s="136">
        <v>600</v>
      </c>
      <c r="H79" s="136">
        <v>40</v>
      </c>
      <c r="I79" s="28">
        <v>250</v>
      </c>
      <c r="J79" s="26">
        <v>1940</v>
      </c>
      <c r="K79" s="136">
        <v>40</v>
      </c>
      <c r="L79" s="28">
        <v>120</v>
      </c>
      <c r="M79" s="26">
        <v>2800</v>
      </c>
      <c r="N79" s="28">
        <v>12</v>
      </c>
      <c r="O79" s="26">
        <v>0</v>
      </c>
      <c r="P79" s="26">
        <v>290</v>
      </c>
      <c r="Q79" s="397">
        <v>5500</v>
      </c>
      <c r="R79" s="169">
        <v>0</v>
      </c>
      <c r="S79" s="210">
        <v>0</v>
      </c>
      <c r="T79" s="169">
        <v>1200</v>
      </c>
      <c r="U79" s="169">
        <v>2400</v>
      </c>
      <c r="V79" s="28">
        <v>3800</v>
      </c>
      <c r="W79" s="210">
        <v>19</v>
      </c>
      <c r="X79" s="210">
        <v>200</v>
      </c>
      <c r="Y79" s="169">
        <v>50</v>
      </c>
      <c r="Z79" s="210">
        <v>16</v>
      </c>
      <c r="AA79" s="210">
        <v>200</v>
      </c>
      <c r="AB79" s="28">
        <v>40</v>
      </c>
      <c r="AC79" s="210">
        <v>0</v>
      </c>
      <c r="AD79" s="26">
        <v>2</v>
      </c>
      <c r="AE79" s="169">
        <v>160</v>
      </c>
      <c r="AF79" s="169">
        <v>16</v>
      </c>
      <c r="AG79" s="26">
        <v>0</v>
      </c>
      <c r="AH79" s="169">
        <v>0</v>
      </c>
      <c r="AI79" s="169">
        <v>0</v>
      </c>
      <c r="AJ79" s="397">
        <v>2</v>
      </c>
      <c r="AK79" s="210">
        <v>2500</v>
      </c>
      <c r="AL79" s="210">
        <v>5000</v>
      </c>
      <c r="AM79" s="210" t="s">
        <v>2316</v>
      </c>
      <c r="AN79" s="210">
        <v>2500</v>
      </c>
      <c r="AO79" s="1143" t="s">
        <v>2320</v>
      </c>
      <c r="AP79" s="1143" t="s">
        <v>2321</v>
      </c>
      <c r="AQ79" s="1143"/>
      <c r="AR79" s="1143"/>
      <c r="AS79" s="1143"/>
      <c r="AT79" s="1143"/>
      <c r="AU79" s="1143"/>
      <c r="AV79" s="1109"/>
      <c r="AW79" s="1109"/>
      <c r="AX79" s="1109"/>
      <c r="AY79" s="1109"/>
      <c r="AZ79" s="1108">
        <v>8</v>
      </c>
      <c r="BA79" s="1108">
        <v>6</v>
      </c>
      <c r="BB79" s="1109"/>
      <c r="BC79" s="1168"/>
      <c r="BD79" s="210">
        <f>INDEX(Spec!$B$12:$P$58,MATCH(AO79,Spec!$A$12:$A$58,0),6)*100</f>
        <v>5021</v>
      </c>
      <c r="BE79" s="210">
        <f>INDEX(Spec!$B$12:$P$58,MATCH(AP79,Spec!$A$12:$A$58,0),6)*100</f>
        <v>1900</v>
      </c>
      <c r="BF79" s="881">
        <f t="shared" si="276"/>
        <v>1.8117883028477031</v>
      </c>
      <c r="BG79" s="881">
        <f t="shared" si="277"/>
        <v>47.243485714285718</v>
      </c>
      <c r="BH79" s="881"/>
      <c r="BI79" s="13" cm="1">
        <f t="array" ref="BI79">INDEX(Info!$AD$4:$AH$15,MATCH(Info!$I$13,Info!$AC$4:$AC$15,0),IF(H79&lt;=16,1,IF(H79&lt;=40,2,IF(H79&lt;=75,3,IF(H79&lt;=100,4,5)))))</f>
        <v>380</v>
      </c>
      <c r="BJ79" s="13" cm="1">
        <f t="array" ref="BJ79">INDEX(Info!$AD$4:$AH$15,MATCH(Info!$I$13,Info!$AC$4:$AC$15,0),IF(K79&lt;=16,1,IF(K79&lt;=40,2,IF(K79&lt;=75,3,IF(K79&lt;=100,4,5)))))</f>
        <v>380</v>
      </c>
      <c r="BK79" s="13" cm="1">
        <f t="array" ref="BK79">INDEX(Info!$AD$4:$AH$15,MATCH(Info!$I$14,Info!$AC$4:$AC$15,0),IF(N79&lt;=16,1,IF(N79&lt;=40,2,IF(N79&lt;=75,3,IF(N79&lt;=100,4,5)))))</f>
        <v>355</v>
      </c>
      <c r="BL79" s="13">
        <f>IF(Stress!C908="Positive",MAX(MIN(0.7*BI79,BK79),0.5*BI79),MAX(MIN(0.7*BJ79,BK79),0.5*BJ79))</f>
        <v>266</v>
      </c>
      <c r="BM79" s="13" cm="1">
        <f t="array" ref="BM79">INDEX(Info!$AD$4:$AH$15,MATCH(Info!$I$13,Info!$AC$4:$AC$15,0),IF(AI79&lt;=16,1,IF(AI79&lt;=40,2,IF(AI79&lt;=75,3,IF(AI79&lt;=100,4,5)))))</f>
        <v>380</v>
      </c>
      <c r="BN79" s="13" cm="1">
        <f t="array" ref="BN79">INDEX(Info!$AD$4:$AH$15,MATCH(Info!$I$13,Info!$AC$4:$AC$15,0),IF(AF79&lt;=16,1,IF(AF79&lt;=40,2,IF(AF79&lt;=75,3,IF(AF79&lt;=100,4,5)))))</f>
        <v>380</v>
      </c>
      <c r="BO79" s="13"/>
      <c r="BP79" s="13">
        <f t="shared" si="278"/>
        <v>0.125</v>
      </c>
      <c r="BQ79" s="13">
        <f t="shared" si="279"/>
        <v>2821.7902119044925</v>
      </c>
      <c r="BR79" s="13">
        <f t="shared" si="280"/>
        <v>3130</v>
      </c>
      <c r="BS79" s="13"/>
      <c r="BT79" s="136">
        <f t="shared" si="281"/>
        <v>0</v>
      </c>
      <c r="BU79" s="136">
        <f t="shared" si="282"/>
        <v>0</v>
      </c>
      <c r="BV79" s="136">
        <f t="shared" si="283"/>
        <v>1595000</v>
      </c>
      <c r="BW79" s="136">
        <f t="shared" si="284"/>
        <v>11178291666.666666</v>
      </c>
      <c r="BX79" s="136">
        <f t="shared" si="285"/>
        <v>0</v>
      </c>
      <c r="BY79" s="136">
        <f t="shared" si="286"/>
        <v>0</v>
      </c>
      <c r="BZ79" s="136">
        <f t="shared" si="287"/>
        <v>7655.2758986349281</v>
      </c>
      <c r="CA79" s="136">
        <f t="shared" si="288"/>
        <v>172722.16246295057</v>
      </c>
      <c r="CB79" s="136">
        <f t="shared" si="289"/>
        <v>5428.6721054031623</v>
      </c>
      <c r="CC79" s="136">
        <f t="shared" si="290"/>
        <v>86858.753686450596</v>
      </c>
      <c r="CE79" s="1137">
        <f t="shared" si="291"/>
        <v>346081987.77679139</v>
      </c>
      <c r="CF79" s="1136">
        <f t="shared" si="292"/>
        <v>411131448.88888884</v>
      </c>
      <c r="CG79" s="1136">
        <f t="shared" si="293"/>
        <v>0</v>
      </c>
      <c r="CH79" s="172">
        <f t="shared" si="294"/>
        <v>4020729166666.6665</v>
      </c>
      <c r="CJ79" s="136">
        <f t="shared" si="295"/>
        <v>198442.96508570784</v>
      </c>
      <c r="CK79" s="7">
        <f t="shared" si="296"/>
        <v>294458361973.75983</v>
      </c>
      <c r="CL79" s="6">
        <f t="shared" si="297"/>
        <v>1685.8661105921663</v>
      </c>
      <c r="CM79" s="6">
        <f t="shared" si="298"/>
        <v>1194.1338894078337</v>
      </c>
      <c r="CN79" s="164">
        <f t="shared" si="264"/>
        <v>174662958.18137676</v>
      </c>
      <c r="CO79" s="164">
        <f t="shared" si="265"/>
        <v>246587392.40687704</v>
      </c>
      <c r="CP79" s="1137">
        <f t="shared" si="299"/>
        <v>162354633405.19186</v>
      </c>
      <c r="CQ79" s="1136">
        <f t="shared" si="300"/>
        <v>72562465391.25</v>
      </c>
      <c r="CR79" s="22">
        <f t="shared" si="301"/>
        <v>198442.96508570784</v>
      </c>
      <c r="CS79" s="7">
        <f t="shared" si="302"/>
        <v>294458361973.75983</v>
      </c>
      <c r="CT79" s="6">
        <f t="shared" si="303"/>
        <v>1685.8661105921663</v>
      </c>
      <c r="CU79" s="12">
        <f t="shared" si="304"/>
        <v>1194.1338894078337</v>
      </c>
      <c r="CV79" s="164">
        <f t="shared" si="305"/>
        <v>174662958.18137676</v>
      </c>
      <c r="CW79" s="164">
        <f t="shared" si="306"/>
        <v>246587392.40687704</v>
      </c>
      <c r="CX79" s="1136">
        <f t="shared" si="307"/>
        <v>162354633405.19186</v>
      </c>
      <c r="CY79" s="1136">
        <f t="shared" si="308"/>
        <v>72562465391.25</v>
      </c>
      <c r="CZ79" s="22">
        <f t="shared" si="309"/>
        <v>198442.96508570784</v>
      </c>
      <c r="DA79" s="7">
        <f t="shared" si="310"/>
        <v>294458361973.75983</v>
      </c>
      <c r="DB79" s="6">
        <f t="shared" si="311"/>
        <v>1685.8661105921663</v>
      </c>
      <c r="DC79" s="12">
        <f t="shared" si="312"/>
        <v>1194.1338894078337</v>
      </c>
      <c r="DD79" s="164">
        <f t="shared" si="266"/>
        <v>174662958.18137676</v>
      </c>
      <c r="DE79" s="164">
        <f t="shared" si="267"/>
        <v>246587392.40687704</v>
      </c>
      <c r="DF79" s="1136">
        <f t="shared" si="313"/>
        <v>162354633405.19186</v>
      </c>
      <c r="DG79" s="1136">
        <f t="shared" si="314"/>
        <v>72562465391.25</v>
      </c>
      <c r="DH79" s="22">
        <f t="shared" si="315"/>
        <v>446354.65161772241</v>
      </c>
      <c r="DI79" s="172">
        <f t="shared" si="316"/>
        <v>649687231067.52405</v>
      </c>
      <c r="DJ79" s="12">
        <f t="shared" si="317"/>
        <v>691.19374362829694</v>
      </c>
      <c r="DK79" s="22">
        <f t="shared" si="318"/>
        <v>2188.8062563717031</v>
      </c>
      <c r="DL79" s="164">
        <f t="shared" si="268"/>
        <v>939949525.08844781</v>
      </c>
      <c r="DM79" s="164">
        <f t="shared" si="269"/>
        <v>296822630.6811114</v>
      </c>
      <c r="DN79" s="7">
        <f t="shared" si="319"/>
        <v>787298676537.97864</v>
      </c>
      <c r="DO79" s="1136">
        <f t="shared" si="320"/>
        <v>238639389909.96988</v>
      </c>
      <c r="DP79" s="22">
        <f t="shared" si="321"/>
        <v>281080.1939297127</v>
      </c>
      <c r="DQ79" s="172">
        <f t="shared" si="322"/>
        <v>482152011680.10175</v>
      </c>
      <c r="DR79" s="22">
        <f t="shared" si="323"/>
        <v>1159.3536924066825</v>
      </c>
      <c r="DS79" s="22">
        <f t="shared" si="324"/>
        <v>1720.6463075933175</v>
      </c>
      <c r="DT79" s="164">
        <f t="shared" si="270"/>
        <v>415879998.34563911</v>
      </c>
      <c r="DU79" s="164">
        <f t="shared" si="271"/>
        <v>280215643.12917501</v>
      </c>
      <c r="DV79" s="1136">
        <f t="shared" si="325"/>
        <v>370669314449.4541</v>
      </c>
      <c r="DW79" s="1136">
        <f t="shared" si="326"/>
        <v>238639389909.96988</v>
      </c>
      <c r="DX79" s="763">
        <f t="shared" si="327"/>
        <v>211526.91308974594</v>
      </c>
      <c r="DY79" s="7">
        <f t="shared" si="328"/>
        <v>334483056239.52264</v>
      </c>
      <c r="DZ79" s="13">
        <f t="shared" si="329"/>
        <v>1574.3491439427423</v>
      </c>
      <c r="EA79" s="763">
        <f t="shared" si="330"/>
        <v>1305.6508560572577</v>
      </c>
      <c r="EB79" s="164">
        <f t="shared" si="272"/>
        <v>212457990.99039462</v>
      </c>
      <c r="EC79" s="164">
        <f t="shared" si="273"/>
        <v>256181087.53022891</v>
      </c>
      <c r="ED79" s="1136">
        <f t="shared" si="331"/>
        <v>787298676537.97864</v>
      </c>
      <c r="EE79" s="1136">
        <f t="shared" si="332"/>
        <v>238639389909.96988</v>
      </c>
      <c r="EF79" s="763">
        <f t="shared" si="333"/>
        <v>202804.28108705388</v>
      </c>
      <c r="EG79" s="7">
        <f t="shared" si="334"/>
        <v>308371923533.24579</v>
      </c>
      <c r="EH79" s="13">
        <f t="shared" si="335"/>
        <v>1647.0950031545817</v>
      </c>
      <c r="EI79" s="763">
        <f t="shared" si="336"/>
        <v>1232.9049968454183</v>
      </c>
      <c r="EJ79" s="164">
        <f t="shared" si="274"/>
        <v>187221698.16716075</v>
      </c>
      <c r="EK79" s="164">
        <f t="shared" si="275"/>
        <v>250118155.35038298</v>
      </c>
      <c r="EL79" s="1136">
        <f t="shared" si="337"/>
        <v>370669314449.4541</v>
      </c>
      <c r="EM79" s="1136">
        <f t="shared" si="338"/>
        <v>238639389909.96988</v>
      </c>
      <c r="EN79" s="164"/>
      <c r="EO79" s="164"/>
    </row>
    <row r="80" spans="1:145" s="136" customFormat="1">
      <c r="B80" s="136" t="str">
        <f t="shared" ref="B80" si="350">LEFT(B78,3)+1&amp;"j"</f>
        <v>208j</v>
      </c>
      <c r="C80" s="136">
        <v>31.9</v>
      </c>
      <c r="D80" s="136">
        <v>0</v>
      </c>
      <c r="E80" s="136" t="s">
        <v>2107</v>
      </c>
      <c r="F80" s="26">
        <v>2</v>
      </c>
      <c r="G80" s="136">
        <v>600</v>
      </c>
      <c r="H80" s="136">
        <v>40</v>
      </c>
      <c r="I80" s="28">
        <v>250</v>
      </c>
      <c r="J80" s="26">
        <v>1940</v>
      </c>
      <c r="K80" s="136">
        <v>40</v>
      </c>
      <c r="L80" s="28">
        <v>120</v>
      </c>
      <c r="M80" s="26">
        <v>2800</v>
      </c>
      <c r="N80" s="28">
        <v>12</v>
      </c>
      <c r="O80" s="26">
        <v>0</v>
      </c>
      <c r="P80" s="26">
        <v>290</v>
      </c>
      <c r="Q80" s="397">
        <v>5500</v>
      </c>
      <c r="R80" s="169">
        <v>0</v>
      </c>
      <c r="S80" s="210">
        <v>0</v>
      </c>
      <c r="T80" s="169">
        <v>1200</v>
      </c>
      <c r="U80" s="169">
        <v>2400</v>
      </c>
      <c r="V80" s="28">
        <v>3800</v>
      </c>
      <c r="W80" s="210">
        <v>19</v>
      </c>
      <c r="X80" s="210">
        <v>200</v>
      </c>
      <c r="Y80" s="169">
        <v>50</v>
      </c>
      <c r="Z80" s="210">
        <v>16</v>
      </c>
      <c r="AA80" s="210">
        <v>200</v>
      </c>
      <c r="AB80" s="28">
        <v>40</v>
      </c>
      <c r="AC80" s="210">
        <v>0</v>
      </c>
      <c r="AD80" s="26">
        <v>2</v>
      </c>
      <c r="AE80" s="169">
        <v>160</v>
      </c>
      <c r="AF80" s="169">
        <v>16</v>
      </c>
      <c r="AG80" s="26">
        <v>0</v>
      </c>
      <c r="AH80" s="169">
        <v>0</v>
      </c>
      <c r="AI80" s="169">
        <v>0</v>
      </c>
      <c r="AJ80" s="397">
        <v>2</v>
      </c>
      <c r="AK80" s="210">
        <v>2500</v>
      </c>
      <c r="AL80" s="210">
        <v>5000</v>
      </c>
      <c r="AM80" s="210" t="s">
        <v>2316</v>
      </c>
      <c r="AN80" s="210">
        <v>2500</v>
      </c>
      <c r="AO80" s="1143" t="s">
        <v>2320</v>
      </c>
      <c r="AP80" s="1143" t="s">
        <v>2321</v>
      </c>
      <c r="AQ80" s="1143"/>
      <c r="AR80" s="1143"/>
      <c r="AS80" s="1143"/>
      <c r="AT80" s="1143"/>
      <c r="AU80" s="1143"/>
      <c r="AV80" s="1109"/>
      <c r="AW80" s="1109"/>
      <c r="AX80" s="1109"/>
      <c r="AY80" s="1109"/>
      <c r="AZ80" s="1108">
        <v>8</v>
      </c>
      <c r="BA80" s="1108">
        <v>6</v>
      </c>
      <c r="BB80" s="1109"/>
      <c r="BC80" s="1168"/>
      <c r="BD80" s="210">
        <f>INDEX(Spec!$B$12:$P$58,MATCH(AO80,Spec!$A$12:$A$58,0),6)*100</f>
        <v>5021</v>
      </c>
      <c r="BE80" s="210">
        <f>INDEX(Spec!$B$12:$P$58,MATCH(AP80,Spec!$A$12:$A$58,0),6)*100</f>
        <v>1900</v>
      </c>
      <c r="BF80" s="881">
        <f t="shared" si="276"/>
        <v>1.8117883028477031</v>
      </c>
      <c r="BG80" s="881">
        <f t="shared" si="277"/>
        <v>47.243485714285718</v>
      </c>
      <c r="BH80" s="881"/>
      <c r="BI80" s="13" cm="1">
        <f t="array" ref="BI80">INDEX(Info!$AD$4:$AH$15,MATCH(Info!$I$13,Info!$AC$4:$AC$15,0),IF(H80&lt;=16,1,IF(H80&lt;=40,2,IF(H80&lt;=75,3,IF(H80&lt;=100,4,5)))))</f>
        <v>380</v>
      </c>
      <c r="BJ80" s="13" cm="1">
        <f t="array" ref="BJ80">INDEX(Info!$AD$4:$AH$15,MATCH(Info!$I$13,Info!$AC$4:$AC$15,0),IF(K80&lt;=16,1,IF(K80&lt;=40,2,IF(K80&lt;=75,3,IF(K80&lt;=100,4,5)))))</f>
        <v>380</v>
      </c>
      <c r="BK80" s="13" cm="1">
        <f t="array" ref="BK80">INDEX(Info!$AD$4:$AH$15,MATCH(Info!$I$14,Info!$AC$4:$AC$15,0),IF(N80&lt;=16,1,IF(N80&lt;=40,2,IF(N80&lt;=75,3,IF(N80&lt;=100,4,5)))))</f>
        <v>355</v>
      </c>
      <c r="BL80" s="13">
        <f>IF(Stress!C909="Positive",MAX(MIN(0.7*BI80,BK80),0.5*BI80),MAX(MIN(0.7*BJ80,BK80),0.5*BJ80))</f>
        <v>266</v>
      </c>
      <c r="BM80" s="13" cm="1">
        <f t="array" ref="BM80">INDEX(Info!$AD$4:$AH$15,MATCH(Info!$I$13,Info!$AC$4:$AC$15,0),IF(AI80&lt;=16,1,IF(AI80&lt;=40,2,IF(AI80&lt;=75,3,IF(AI80&lt;=100,4,5)))))</f>
        <v>380</v>
      </c>
      <c r="BN80" s="13" cm="1">
        <f t="array" ref="BN80">INDEX(Info!$AD$4:$AH$15,MATCH(Info!$I$13,Info!$AC$4:$AC$15,0),IF(AF80&lt;=16,1,IF(AF80&lt;=40,2,IF(AF80&lt;=75,3,IF(AF80&lt;=100,4,5)))))</f>
        <v>380</v>
      </c>
      <c r="BO80" s="13"/>
      <c r="BP80" s="13">
        <f t="shared" si="278"/>
        <v>0.125</v>
      </c>
      <c r="BQ80" s="13">
        <f t="shared" si="279"/>
        <v>2821.7902119044925</v>
      </c>
      <c r="BR80" s="13">
        <f t="shared" si="280"/>
        <v>3130</v>
      </c>
      <c r="BS80" s="13"/>
      <c r="BT80" s="136">
        <f t="shared" si="281"/>
        <v>0</v>
      </c>
      <c r="BU80" s="136">
        <f t="shared" si="282"/>
        <v>0</v>
      </c>
      <c r="BV80" s="136">
        <f t="shared" si="283"/>
        <v>1595000</v>
      </c>
      <c r="BW80" s="136">
        <f t="shared" si="284"/>
        <v>11178291666.666666</v>
      </c>
      <c r="BX80" s="136">
        <f t="shared" si="285"/>
        <v>0</v>
      </c>
      <c r="BY80" s="136">
        <f t="shared" si="286"/>
        <v>0</v>
      </c>
      <c r="BZ80" s="136">
        <f t="shared" si="287"/>
        <v>7655.2758986349281</v>
      </c>
      <c r="CA80" s="136">
        <f t="shared" si="288"/>
        <v>172722.16246295057</v>
      </c>
      <c r="CB80" s="136">
        <f t="shared" si="289"/>
        <v>5428.6721054031623</v>
      </c>
      <c r="CC80" s="136">
        <f t="shared" si="290"/>
        <v>86858.753686450596</v>
      </c>
      <c r="CE80" s="1137">
        <f t="shared" si="291"/>
        <v>346081987.77679139</v>
      </c>
      <c r="CF80" s="1136">
        <f t="shared" si="292"/>
        <v>411131448.88888884</v>
      </c>
      <c r="CG80" s="1136">
        <f t="shared" si="293"/>
        <v>0</v>
      </c>
      <c r="CH80" s="172">
        <f t="shared" si="294"/>
        <v>4020729166666.6665</v>
      </c>
      <c r="CJ80" s="136">
        <f t="shared" si="295"/>
        <v>198442.96508570784</v>
      </c>
      <c r="CK80" s="7">
        <f t="shared" si="296"/>
        <v>294458361973.75983</v>
      </c>
      <c r="CL80" s="6">
        <f t="shared" si="297"/>
        <v>1685.8661105921663</v>
      </c>
      <c r="CM80" s="6">
        <f t="shared" si="298"/>
        <v>1194.1338894078337</v>
      </c>
      <c r="CN80" s="164">
        <f t="shared" si="264"/>
        <v>174662958.18137676</v>
      </c>
      <c r="CO80" s="164">
        <f t="shared" si="265"/>
        <v>246587392.40687704</v>
      </c>
      <c r="CP80" s="1137">
        <f t="shared" si="299"/>
        <v>162354633405.19186</v>
      </c>
      <c r="CQ80" s="1136">
        <f t="shared" si="300"/>
        <v>72562465391.25</v>
      </c>
      <c r="CR80" s="22">
        <f t="shared" si="301"/>
        <v>198442.96508570784</v>
      </c>
      <c r="CS80" s="7">
        <f t="shared" si="302"/>
        <v>294458361973.75983</v>
      </c>
      <c r="CT80" s="6">
        <f t="shared" si="303"/>
        <v>1685.8661105921663</v>
      </c>
      <c r="CU80" s="12">
        <f t="shared" si="304"/>
        <v>1194.1338894078337</v>
      </c>
      <c r="CV80" s="164">
        <f t="shared" si="305"/>
        <v>174662958.18137676</v>
      </c>
      <c r="CW80" s="164">
        <f t="shared" si="306"/>
        <v>246587392.40687704</v>
      </c>
      <c r="CX80" s="1136">
        <f t="shared" si="307"/>
        <v>162354633405.19186</v>
      </c>
      <c r="CY80" s="1136">
        <f t="shared" si="308"/>
        <v>72562465391.25</v>
      </c>
      <c r="CZ80" s="22">
        <f t="shared" si="309"/>
        <v>198442.96508570784</v>
      </c>
      <c r="DA80" s="7">
        <f t="shared" si="310"/>
        <v>294458361973.75983</v>
      </c>
      <c r="DB80" s="6">
        <f t="shared" si="311"/>
        <v>1685.8661105921663</v>
      </c>
      <c r="DC80" s="12">
        <f t="shared" si="312"/>
        <v>1194.1338894078337</v>
      </c>
      <c r="DD80" s="164">
        <f t="shared" si="266"/>
        <v>174662958.18137676</v>
      </c>
      <c r="DE80" s="164">
        <f t="shared" si="267"/>
        <v>246587392.40687704</v>
      </c>
      <c r="DF80" s="1136">
        <f t="shared" si="313"/>
        <v>162354633405.19186</v>
      </c>
      <c r="DG80" s="1136">
        <f t="shared" si="314"/>
        <v>72562465391.25</v>
      </c>
      <c r="DH80" s="22">
        <f t="shared" si="315"/>
        <v>446354.65161772241</v>
      </c>
      <c r="DI80" s="172">
        <f t="shared" si="316"/>
        <v>649687231067.52405</v>
      </c>
      <c r="DJ80" s="12">
        <f t="shared" si="317"/>
        <v>691.19374362829694</v>
      </c>
      <c r="DK80" s="22">
        <f t="shared" si="318"/>
        <v>2188.8062563717031</v>
      </c>
      <c r="DL80" s="164">
        <f t="shared" si="268"/>
        <v>939949525.08844781</v>
      </c>
      <c r="DM80" s="164">
        <f t="shared" si="269"/>
        <v>296822630.6811114</v>
      </c>
      <c r="DN80" s="7">
        <f t="shared" si="319"/>
        <v>787298676537.97864</v>
      </c>
      <c r="DO80" s="1136">
        <f t="shared" si="320"/>
        <v>238639389909.96988</v>
      </c>
      <c r="DP80" s="22">
        <f t="shared" si="321"/>
        <v>281080.1939297127</v>
      </c>
      <c r="DQ80" s="172">
        <f t="shared" si="322"/>
        <v>482152011680.10175</v>
      </c>
      <c r="DR80" s="22">
        <f t="shared" si="323"/>
        <v>1159.3536924066825</v>
      </c>
      <c r="DS80" s="22">
        <f t="shared" si="324"/>
        <v>1720.6463075933175</v>
      </c>
      <c r="DT80" s="164">
        <f t="shared" si="270"/>
        <v>415879998.34563911</v>
      </c>
      <c r="DU80" s="164">
        <f t="shared" si="271"/>
        <v>280215643.12917501</v>
      </c>
      <c r="DV80" s="1136">
        <f t="shared" si="325"/>
        <v>370669314449.4541</v>
      </c>
      <c r="DW80" s="1136">
        <f t="shared" si="326"/>
        <v>238639389909.96988</v>
      </c>
      <c r="DX80" s="763">
        <f t="shared" si="327"/>
        <v>211526.91308974594</v>
      </c>
      <c r="DY80" s="7">
        <f t="shared" si="328"/>
        <v>334483056239.52264</v>
      </c>
      <c r="DZ80" s="13">
        <f t="shared" si="329"/>
        <v>1574.3491439427423</v>
      </c>
      <c r="EA80" s="763">
        <f t="shared" si="330"/>
        <v>1305.6508560572577</v>
      </c>
      <c r="EB80" s="164">
        <f t="shared" si="272"/>
        <v>212457990.99039462</v>
      </c>
      <c r="EC80" s="164">
        <f t="shared" si="273"/>
        <v>256181087.53022891</v>
      </c>
      <c r="ED80" s="1136">
        <f t="shared" si="331"/>
        <v>787298676537.97864</v>
      </c>
      <c r="EE80" s="1136">
        <f t="shared" si="332"/>
        <v>238639389909.96988</v>
      </c>
      <c r="EF80" s="763">
        <f t="shared" si="333"/>
        <v>202804.28108705388</v>
      </c>
      <c r="EG80" s="7">
        <f t="shared" si="334"/>
        <v>308371923533.24579</v>
      </c>
      <c r="EH80" s="13">
        <f t="shared" si="335"/>
        <v>1647.0950031545817</v>
      </c>
      <c r="EI80" s="763">
        <f t="shared" si="336"/>
        <v>1232.9049968454183</v>
      </c>
      <c r="EJ80" s="164">
        <f t="shared" si="274"/>
        <v>187221698.16716075</v>
      </c>
      <c r="EK80" s="164">
        <f t="shared" si="275"/>
        <v>250118155.35038298</v>
      </c>
      <c r="EL80" s="1136">
        <f t="shared" si="337"/>
        <v>370669314449.4541</v>
      </c>
      <c r="EM80" s="1136">
        <f t="shared" si="338"/>
        <v>238639389909.96988</v>
      </c>
      <c r="EN80" s="164"/>
      <c r="EO80" s="164"/>
    </row>
    <row r="81" spans="1:145" s="136" customFormat="1">
      <c r="A81" s="136">
        <v>109</v>
      </c>
      <c r="B81" s="136" t="str">
        <f t="shared" ref="B81" si="351">LEFT(B79,3)+1&amp;"i"</f>
        <v>209i</v>
      </c>
      <c r="C81" s="136">
        <v>31.9</v>
      </c>
      <c r="D81" s="136">
        <v>0</v>
      </c>
      <c r="E81" s="136" t="s">
        <v>2107</v>
      </c>
      <c r="F81" s="26">
        <v>2</v>
      </c>
      <c r="G81" s="136">
        <v>600</v>
      </c>
      <c r="H81" s="136">
        <v>40</v>
      </c>
      <c r="I81" s="28">
        <v>250</v>
      </c>
      <c r="J81" s="26">
        <v>1940</v>
      </c>
      <c r="K81" s="136">
        <v>40</v>
      </c>
      <c r="L81" s="28">
        <v>120</v>
      </c>
      <c r="M81" s="26">
        <v>2800</v>
      </c>
      <c r="N81" s="28">
        <v>12</v>
      </c>
      <c r="O81" s="26">
        <v>0</v>
      </c>
      <c r="P81" s="26">
        <v>290</v>
      </c>
      <c r="Q81" s="397">
        <v>5500</v>
      </c>
      <c r="R81" s="169">
        <v>0</v>
      </c>
      <c r="S81" s="210">
        <v>0</v>
      </c>
      <c r="T81" s="169">
        <v>1200</v>
      </c>
      <c r="U81" s="169">
        <v>2400</v>
      </c>
      <c r="V81" s="28">
        <v>3800</v>
      </c>
      <c r="W81" s="210">
        <v>19</v>
      </c>
      <c r="X81" s="210">
        <v>200</v>
      </c>
      <c r="Y81" s="169">
        <v>50</v>
      </c>
      <c r="Z81" s="210">
        <v>16</v>
      </c>
      <c r="AA81" s="210">
        <v>200</v>
      </c>
      <c r="AB81" s="28">
        <v>40</v>
      </c>
      <c r="AC81" s="210">
        <v>0</v>
      </c>
      <c r="AD81" s="26">
        <v>2</v>
      </c>
      <c r="AE81" s="169">
        <v>160</v>
      </c>
      <c r="AF81" s="169">
        <v>16</v>
      </c>
      <c r="AG81" s="26">
        <v>0</v>
      </c>
      <c r="AH81" s="169">
        <v>0</v>
      </c>
      <c r="AI81" s="169">
        <v>0</v>
      </c>
      <c r="AJ81" s="397">
        <v>2</v>
      </c>
      <c r="AK81" s="210">
        <v>2500</v>
      </c>
      <c r="AL81" s="210">
        <v>5000</v>
      </c>
      <c r="AM81" s="210" t="s">
        <v>2316</v>
      </c>
      <c r="AN81" s="210">
        <v>2500</v>
      </c>
      <c r="AO81" s="1143" t="s">
        <v>2320</v>
      </c>
      <c r="AP81" s="1143" t="s">
        <v>2321</v>
      </c>
      <c r="AQ81" s="1143"/>
      <c r="AR81" s="1143"/>
      <c r="AS81" s="1143"/>
      <c r="AT81" s="1143"/>
      <c r="AU81" s="1143"/>
      <c r="AV81" s="1109"/>
      <c r="AW81" s="1109"/>
      <c r="AX81" s="1109"/>
      <c r="AY81" s="1109"/>
      <c r="AZ81" s="1108">
        <v>8</v>
      </c>
      <c r="BA81" s="1108">
        <v>6</v>
      </c>
      <c r="BB81" s="1109"/>
      <c r="BC81" s="1168"/>
      <c r="BD81" s="210">
        <f>INDEX(Spec!$B$12:$P$58,MATCH(AO81,Spec!$A$12:$A$58,0),6)*100</f>
        <v>5021</v>
      </c>
      <c r="BE81" s="210">
        <f>INDEX(Spec!$B$12:$P$58,MATCH(AP81,Spec!$A$12:$A$58,0),6)*100</f>
        <v>1900</v>
      </c>
      <c r="BF81" s="881">
        <f t="shared" si="276"/>
        <v>1.8117883028477031</v>
      </c>
      <c r="BG81" s="881">
        <f t="shared" si="277"/>
        <v>47.243485714285718</v>
      </c>
      <c r="BH81" s="881"/>
      <c r="BI81" s="13" cm="1">
        <f t="array" ref="BI81">INDEX(Info!$AD$4:$AH$15,MATCH(Info!$I$13,Info!$AC$4:$AC$15,0),IF(H81&lt;=16,1,IF(H81&lt;=40,2,IF(H81&lt;=75,3,IF(H81&lt;=100,4,5)))))</f>
        <v>380</v>
      </c>
      <c r="BJ81" s="13" cm="1">
        <f t="array" ref="BJ81">INDEX(Info!$AD$4:$AH$15,MATCH(Info!$I$13,Info!$AC$4:$AC$15,0),IF(K81&lt;=16,1,IF(K81&lt;=40,2,IF(K81&lt;=75,3,IF(K81&lt;=100,4,5)))))</f>
        <v>380</v>
      </c>
      <c r="BK81" s="13" cm="1">
        <f t="array" ref="BK81">INDEX(Info!$AD$4:$AH$15,MATCH(Info!$I$14,Info!$AC$4:$AC$15,0),IF(N81&lt;=16,1,IF(N81&lt;=40,2,IF(N81&lt;=75,3,IF(N81&lt;=100,4,5)))))</f>
        <v>355</v>
      </c>
      <c r="BL81" s="13">
        <f>IF(Stress!C910="Positive",MAX(MIN(0.7*BI81,BK81),0.5*BI81),MAX(MIN(0.7*BJ81,BK81),0.5*BJ81))</f>
        <v>266</v>
      </c>
      <c r="BM81" s="13" cm="1">
        <f t="array" ref="BM81">INDEX(Info!$AD$4:$AH$15,MATCH(Info!$I$13,Info!$AC$4:$AC$15,0),IF(AI81&lt;=16,1,IF(AI81&lt;=40,2,IF(AI81&lt;=75,3,IF(AI81&lt;=100,4,5)))))</f>
        <v>380</v>
      </c>
      <c r="BN81" s="13" cm="1">
        <f t="array" ref="BN81">INDEX(Info!$AD$4:$AH$15,MATCH(Info!$I$13,Info!$AC$4:$AC$15,0),IF(AF81&lt;=16,1,IF(AF81&lt;=40,2,IF(AF81&lt;=75,3,IF(AF81&lt;=100,4,5)))))</f>
        <v>380</v>
      </c>
      <c r="BO81" s="13"/>
      <c r="BP81" s="13">
        <f t="shared" si="278"/>
        <v>0.125</v>
      </c>
      <c r="BQ81" s="13">
        <f t="shared" si="279"/>
        <v>2821.7902119044925</v>
      </c>
      <c r="BR81" s="13">
        <f t="shared" si="280"/>
        <v>3130</v>
      </c>
      <c r="BS81" s="13"/>
      <c r="BT81" s="136">
        <f t="shared" si="281"/>
        <v>0</v>
      </c>
      <c r="BU81" s="136">
        <f t="shared" si="282"/>
        <v>0</v>
      </c>
      <c r="BV81" s="136">
        <f t="shared" si="283"/>
        <v>1595000</v>
      </c>
      <c r="BW81" s="136">
        <f t="shared" si="284"/>
        <v>11178291666.666666</v>
      </c>
      <c r="BX81" s="136">
        <f t="shared" si="285"/>
        <v>0</v>
      </c>
      <c r="BY81" s="136">
        <f t="shared" si="286"/>
        <v>0</v>
      </c>
      <c r="BZ81" s="136">
        <f t="shared" si="287"/>
        <v>7655.2758986349281</v>
      </c>
      <c r="CA81" s="136">
        <f t="shared" si="288"/>
        <v>172722.16246295057</v>
      </c>
      <c r="CB81" s="136">
        <f t="shared" si="289"/>
        <v>5428.6721054031623</v>
      </c>
      <c r="CC81" s="136">
        <f t="shared" si="290"/>
        <v>86858.753686450596</v>
      </c>
      <c r="CE81" s="1137">
        <f t="shared" si="291"/>
        <v>346081987.77679139</v>
      </c>
      <c r="CF81" s="1136">
        <f t="shared" si="292"/>
        <v>411131448.88888884</v>
      </c>
      <c r="CG81" s="1136">
        <f t="shared" si="293"/>
        <v>0</v>
      </c>
      <c r="CH81" s="172">
        <f t="shared" si="294"/>
        <v>4020729166666.6665</v>
      </c>
      <c r="CJ81" s="136">
        <f t="shared" si="295"/>
        <v>198442.96508570784</v>
      </c>
      <c r="CK81" s="7">
        <f t="shared" si="296"/>
        <v>294458361973.75983</v>
      </c>
      <c r="CL81" s="6">
        <f t="shared" si="297"/>
        <v>1685.8661105921663</v>
      </c>
      <c r="CM81" s="6">
        <f t="shared" si="298"/>
        <v>1194.1338894078337</v>
      </c>
      <c r="CN81" s="164">
        <f t="shared" si="264"/>
        <v>174662958.18137676</v>
      </c>
      <c r="CO81" s="164">
        <f t="shared" si="265"/>
        <v>246587392.40687704</v>
      </c>
      <c r="CP81" s="1137">
        <f t="shared" si="299"/>
        <v>162354633405.19186</v>
      </c>
      <c r="CQ81" s="1136">
        <f t="shared" si="300"/>
        <v>72562465391.25</v>
      </c>
      <c r="CR81" s="22">
        <f t="shared" si="301"/>
        <v>198442.96508570784</v>
      </c>
      <c r="CS81" s="7">
        <f t="shared" si="302"/>
        <v>294458361973.75983</v>
      </c>
      <c r="CT81" s="6">
        <f t="shared" si="303"/>
        <v>1685.8661105921663</v>
      </c>
      <c r="CU81" s="12">
        <f t="shared" si="304"/>
        <v>1194.1338894078337</v>
      </c>
      <c r="CV81" s="164">
        <f t="shared" si="305"/>
        <v>174662958.18137676</v>
      </c>
      <c r="CW81" s="164">
        <f t="shared" si="306"/>
        <v>246587392.40687704</v>
      </c>
      <c r="CX81" s="1136">
        <f t="shared" si="307"/>
        <v>162354633405.19186</v>
      </c>
      <c r="CY81" s="1136">
        <f t="shared" si="308"/>
        <v>72562465391.25</v>
      </c>
      <c r="CZ81" s="22">
        <f t="shared" si="309"/>
        <v>198442.96508570784</v>
      </c>
      <c r="DA81" s="7">
        <f t="shared" si="310"/>
        <v>294458361973.75983</v>
      </c>
      <c r="DB81" s="6">
        <f t="shared" si="311"/>
        <v>1685.8661105921663</v>
      </c>
      <c r="DC81" s="12">
        <f t="shared" si="312"/>
        <v>1194.1338894078337</v>
      </c>
      <c r="DD81" s="164">
        <f t="shared" si="266"/>
        <v>174662958.18137676</v>
      </c>
      <c r="DE81" s="164">
        <f t="shared" si="267"/>
        <v>246587392.40687704</v>
      </c>
      <c r="DF81" s="1136">
        <f t="shared" si="313"/>
        <v>162354633405.19186</v>
      </c>
      <c r="DG81" s="1136">
        <f t="shared" si="314"/>
        <v>72562465391.25</v>
      </c>
      <c r="DH81" s="22">
        <f t="shared" si="315"/>
        <v>446354.65161772241</v>
      </c>
      <c r="DI81" s="172">
        <f t="shared" si="316"/>
        <v>649687231067.52405</v>
      </c>
      <c r="DJ81" s="12">
        <f t="shared" si="317"/>
        <v>691.19374362829694</v>
      </c>
      <c r="DK81" s="22">
        <f t="shared" si="318"/>
        <v>2188.8062563717031</v>
      </c>
      <c r="DL81" s="164">
        <f t="shared" si="268"/>
        <v>939949525.08844781</v>
      </c>
      <c r="DM81" s="164">
        <f t="shared" si="269"/>
        <v>296822630.6811114</v>
      </c>
      <c r="DN81" s="7">
        <f t="shared" si="319"/>
        <v>787298676537.97864</v>
      </c>
      <c r="DO81" s="1136">
        <f t="shared" si="320"/>
        <v>238639389909.96988</v>
      </c>
      <c r="DP81" s="22">
        <f t="shared" si="321"/>
        <v>281080.1939297127</v>
      </c>
      <c r="DQ81" s="172">
        <f t="shared" si="322"/>
        <v>482152011680.10175</v>
      </c>
      <c r="DR81" s="22">
        <f t="shared" si="323"/>
        <v>1159.3536924066825</v>
      </c>
      <c r="DS81" s="22">
        <f t="shared" si="324"/>
        <v>1720.6463075933175</v>
      </c>
      <c r="DT81" s="164">
        <f t="shared" si="270"/>
        <v>415879998.34563911</v>
      </c>
      <c r="DU81" s="164">
        <f t="shared" si="271"/>
        <v>280215643.12917501</v>
      </c>
      <c r="DV81" s="1136">
        <f t="shared" si="325"/>
        <v>370669314449.4541</v>
      </c>
      <c r="DW81" s="1136">
        <f t="shared" si="326"/>
        <v>238639389909.96988</v>
      </c>
      <c r="DX81" s="763">
        <f t="shared" si="327"/>
        <v>211526.91308974594</v>
      </c>
      <c r="DY81" s="7">
        <f t="shared" si="328"/>
        <v>334483056239.52264</v>
      </c>
      <c r="DZ81" s="13">
        <f t="shared" si="329"/>
        <v>1574.3491439427423</v>
      </c>
      <c r="EA81" s="763">
        <f t="shared" si="330"/>
        <v>1305.6508560572577</v>
      </c>
      <c r="EB81" s="164">
        <f t="shared" si="272"/>
        <v>212457990.99039462</v>
      </c>
      <c r="EC81" s="164">
        <f t="shared" si="273"/>
        <v>256181087.53022891</v>
      </c>
      <c r="ED81" s="1136">
        <f t="shared" si="331"/>
        <v>787298676537.97864</v>
      </c>
      <c r="EE81" s="1136">
        <f t="shared" si="332"/>
        <v>238639389909.96988</v>
      </c>
      <c r="EF81" s="763">
        <f t="shared" si="333"/>
        <v>202804.28108705388</v>
      </c>
      <c r="EG81" s="7">
        <f t="shared" si="334"/>
        <v>308371923533.24579</v>
      </c>
      <c r="EH81" s="13">
        <f t="shared" si="335"/>
        <v>1647.0950031545817</v>
      </c>
      <c r="EI81" s="763">
        <f t="shared" si="336"/>
        <v>1232.9049968454183</v>
      </c>
      <c r="EJ81" s="164">
        <f t="shared" si="274"/>
        <v>187221698.16716075</v>
      </c>
      <c r="EK81" s="164">
        <f t="shared" si="275"/>
        <v>250118155.35038298</v>
      </c>
      <c r="EL81" s="1136">
        <f t="shared" si="337"/>
        <v>370669314449.4541</v>
      </c>
      <c r="EM81" s="1136">
        <f t="shared" si="338"/>
        <v>238639389909.96988</v>
      </c>
      <c r="EN81" s="164"/>
      <c r="EO81" s="164"/>
    </row>
    <row r="82" spans="1:145" s="136" customFormat="1">
      <c r="B82" s="136" t="str">
        <f t="shared" ref="B82" si="352">LEFT(B80,3)+1&amp;"j"</f>
        <v>209j</v>
      </c>
      <c r="C82" s="136">
        <v>36.9</v>
      </c>
      <c r="D82" s="136">
        <v>0</v>
      </c>
      <c r="E82" s="136" t="s">
        <v>2107</v>
      </c>
      <c r="F82" s="26">
        <v>2</v>
      </c>
      <c r="G82" s="136">
        <v>600</v>
      </c>
      <c r="H82" s="136">
        <v>40</v>
      </c>
      <c r="I82" s="28">
        <v>250</v>
      </c>
      <c r="J82" s="26">
        <v>1940</v>
      </c>
      <c r="K82" s="136">
        <v>40</v>
      </c>
      <c r="L82" s="28">
        <v>120</v>
      </c>
      <c r="M82" s="26">
        <v>2800</v>
      </c>
      <c r="N82" s="28">
        <v>12</v>
      </c>
      <c r="O82" s="26">
        <v>0</v>
      </c>
      <c r="P82" s="26">
        <v>290</v>
      </c>
      <c r="Q82" s="397">
        <v>5500</v>
      </c>
      <c r="R82" s="169">
        <v>0</v>
      </c>
      <c r="S82" s="210">
        <v>0</v>
      </c>
      <c r="T82" s="169">
        <v>1200</v>
      </c>
      <c r="U82" s="169">
        <v>2400</v>
      </c>
      <c r="V82" s="28">
        <v>3800</v>
      </c>
      <c r="W82" s="210">
        <v>19</v>
      </c>
      <c r="X82" s="210">
        <v>200</v>
      </c>
      <c r="Y82" s="169">
        <v>50</v>
      </c>
      <c r="Z82" s="210">
        <v>16</v>
      </c>
      <c r="AA82" s="210">
        <v>200</v>
      </c>
      <c r="AB82" s="28">
        <v>40</v>
      </c>
      <c r="AC82" s="210">
        <v>0</v>
      </c>
      <c r="AD82" s="26">
        <v>2</v>
      </c>
      <c r="AE82" s="169">
        <v>160</v>
      </c>
      <c r="AF82" s="169">
        <v>16</v>
      </c>
      <c r="AG82" s="26">
        <v>0</v>
      </c>
      <c r="AH82" s="169">
        <v>0</v>
      </c>
      <c r="AI82" s="169">
        <v>0</v>
      </c>
      <c r="AJ82" s="397">
        <v>2</v>
      </c>
      <c r="AK82" s="210">
        <v>2500</v>
      </c>
      <c r="AL82" s="210">
        <v>5000</v>
      </c>
      <c r="AM82" s="210" t="s">
        <v>2316</v>
      </c>
      <c r="AN82" s="210">
        <v>2500</v>
      </c>
      <c r="AO82" s="1143" t="s">
        <v>2320</v>
      </c>
      <c r="AP82" s="1143" t="s">
        <v>2321</v>
      </c>
      <c r="AQ82" s="1143"/>
      <c r="AR82" s="1143"/>
      <c r="AS82" s="1143"/>
      <c r="AT82" s="1143"/>
      <c r="AU82" s="1143"/>
      <c r="AV82" s="1109"/>
      <c r="AW82" s="1109"/>
      <c r="AX82" s="1109"/>
      <c r="AY82" s="1109"/>
      <c r="AZ82" s="1108">
        <v>8</v>
      </c>
      <c r="BA82" s="1108">
        <v>6</v>
      </c>
      <c r="BB82" s="1109"/>
      <c r="BC82" s="1168"/>
      <c r="BD82" s="210">
        <f>INDEX(Spec!$B$12:$P$58,MATCH(AO82,Spec!$A$12:$A$58,0),6)*100</f>
        <v>5021</v>
      </c>
      <c r="BE82" s="210">
        <f>INDEX(Spec!$B$12:$P$58,MATCH(AP82,Spec!$A$12:$A$58,0),6)*100</f>
        <v>1900</v>
      </c>
      <c r="BF82" s="881">
        <f t="shared" si="276"/>
        <v>1.8117883028477031</v>
      </c>
      <c r="BG82" s="881">
        <f t="shared" si="277"/>
        <v>47.243485714285718</v>
      </c>
      <c r="BH82" s="881"/>
      <c r="BI82" s="13" cm="1">
        <f t="array" ref="BI82">INDEX(Info!$AD$4:$AH$15,MATCH(Info!$I$13,Info!$AC$4:$AC$15,0),IF(H82&lt;=16,1,IF(H82&lt;=40,2,IF(H82&lt;=75,3,IF(H82&lt;=100,4,5)))))</f>
        <v>380</v>
      </c>
      <c r="BJ82" s="13" cm="1">
        <f t="array" ref="BJ82">INDEX(Info!$AD$4:$AH$15,MATCH(Info!$I$13,Info!$AC$4:$AC$15,0),IF(K82&lt;=16,1,IF(K82&lt;=40,2,IF(K82&lt;=75,3,IF(K82&lt;=100,4,5)))))</f>
        <v>380</v>
      </c>
      <c r="BK82" s="13" cm="1">
        <f t="array" ref="BK82">INDEX(Info!$AD$4:$AH$15,MATCH(Info!$I$14,Info!$AC$4:$AC$15,0),IF(N82&lt;=16,1,IF(N82&lt;=40,2,IF(N82&lt;=75,3,IF(N82&lt;=100,4,5)))))</f>
        <v>355</v>
      </c>
      <c r="BL82" s="13">
        <f>IF(Stress!C911="Positive",MAX(MIN(0.7*BI82,BK82),0.5*BI82),MAX(MIN(0.7*BJ82,BK82),0.5*BJ82))</f>
        <v>266</v>
      </c>
      <c r="BM82" s="13" cm="1">
        <f t="array" ref="BM82">INDEX(Info!$AD$4:$AH$15,MATCH(Info!$I$13,Info!$AC$4:$AC$15,0),IF(AI82&lt;=16,1,IF(AI82&lt;=40,2,IF(AI82&lt;=75,3,IF(AI82&lt;=100,4,5)))))</f>
        <v>380</v>
      </c>
      <c r="BN82" s="13" cm="1">
        <f t="array" ref="BN82">INDEX(Info!$AD$4:$AH$15,MATCH(Info!$I$13,Info!$AC$4:$AC$15,0),IF(AF82&lt;=16,1,IF(AF82&lt;=40,2,IF(AF82&lt;=75,3,IF(AF82&lt;=100,4,5)))))</f>
        <v>380</v>
      </c>
      <c r="BO82" s="13"/>
      <c r="BP82" s="13">
        <f t="shared" si="278"/>
        <v>0.125</v>
      </c>
      <c r="BQ82" s="13">
        <f t="shared" si="279"/>
        <v>2821.7902119044925</v>
      </c>
      <c r="BR82" s="13">
        <f t="shared" si="280"/>
        <v>3130</v>
      </c>
      <c r="BS82" s="13"/>
      <c r="BT82" s="136">
        <f t="shared" si="281"/>
        <v>0</v>
      </c>
      <c r="BU82" s="136">
        <f t="shared" si="282"/>
        <v>0</v>
      </c>
      <c r="BV82" s="136">
        <f t="shared" si="283"/>
        <v>1595000</v>
      </c>
      <c r="BW82" s="136">
        <f t="shared" si="284"/>
        <v>11178291666.666666</v>
      </c>
      <c r="BX82" s="136">
        <f t="shared" si="285"/>
        <v>0</v>
      </c>
      <c r="BY82" s="136">
        <f t="shared" si="286"/>
        <v>0</v>
      </c>
      <c r="BZ82" s="136">
        <f t="shared" si="287"/>
        <v>7655.2758986349281</v>
      </c>
      <c r="CA82" s="136">
        <f t="shared" si="288"/>
        <v>172722.16246295057</v>
      </c>
      <c r="CB82" s="136">
        <f t="shared" si="289"/>
        <v>5428.6721054031623</v>
      </c>
      <c r="CC82" s="136">
        <f t="shared" si="290"/>
        <v>86858.753686450596</v>
      </c>
      <c r="CE82" s="1137">
        <f t="shared" si="291"/>
        <v>346081987.77679139</v>
      </c>
      <c r="CF82" s="1136">
        <f t="shared" si="292"/>
        <v>411131448.88888884</v>
      </c>
      <c r="CG82" s="1136">
        <f t="shared" si="293"/>
        <v>0</v>
      </c>
      <c r="CH82" s="172">
        <f t="shared" si="294"/>
        <v>4020729166666.6665</v>
      </c>
      <c r="CJ82" s="136">
        <f t="shared" si="295"/>
        <v>198442.96508570784</v>
      </c>
      <c r="CK82" s="7">
        <f t="shared" si="296"/>
        <v>294458361973.75983</v>
      </c>
      <c r="CL82" s="6">
        <f t="shared" si="297"/>
        <v>1685.8661105921663</v>
      </c>
      <c r="CM82" s="6">
        <f t="shared" si="298"/>
        <v>1194.1338894078337</v>
      </c>
      <c r="CN82" s="164">
        <f t="shared" si="264"/>
        <v>174662958.18137676</v>
      </c>
      <c r="CO82" s="164">
        <f t="shared" si="265"/>
        <v>246587392.40687704</v>
      </c>
      <c r="CP82" s="1137">
        <f t="shared" si="299"/>
        <v>162354633405.19186</v>
      </c>
      <c r="CQ82" s="1136">
        <f t="shared" si="300"/>
        <v>72562465391.25</v>
      </c>
      <c r="CR82" s="22">
        <f t="shared" si="301"/>
        <v>198442.96508570784</v>
      </c>
      <c r="CS82" s="7">
        <f t="shared" si="302"/>
        <v>294458361973.75983</v>
      </c>
      <c r="CT82" s="6">
        <f t="shared" si="303"/>
        <v>1685.8661105921663</v>
      </c>
      <c r="CU82" s="12">
        <f t="shared" si="304"/>
        <v>1194.1338894078337</v>
      </c>
      <c r="CV82" s="164">
        <f t="shared" si="305"/>
        <v>174662958.18137676</v>
      </c>
      <c r="CW82" s="164">
        <f t="shared" si="306"/>
        <v>246587392.40687704</v>
      </c>
      <c r="CX82" s="1136">
        <f t="shared" si="307"/>
        <v>162354633405.19186</v>
      </c>
      <c r="CY82" s="1136">
        <f t="shared" si="308"/>
        <v>72562465391.25</v>
      </c>
      <c r="CZ82" s="22">
        <f t="shared" si="309"/>
        <v>198442.96508570784</v>
      </c>
      <c r="DA82" s="7">
        <f t="shared" si="310"/>
        <v>294458361973.75983</v>
      </c>
      <c r="DB82" s="6">
        <f t="shared" si="311"/>
        <v>1685.8661105921663</v>
      </c>
      <c r="DC82" s="12">
        <f t="shared" si="312"/>
        <v>1194.1338894078337</v>
      </c>
      <c r="DD82" s="164">
        <f t="shared" si="266"/>
        <v>174662958.18137676</v>
      </c>
      <c r="DE82" s="164">
        <f t="shared" si="267"/>
        <v>246587392.40687704</v>
      </c>
      <c r="DF82" s="1136">
        <f t="shared" si="313"/>
        <v>162354633405.19186</v>
      </c>
      <c r="DG82" s="1136">
        <f t="shared" si="314"/>
        <v>72562465391.25</v>
      </c>
      <c r="DH82" s="22">
        <f t="shared" si="315"/>
        <v>446354.65161772241</v>
      </c>
      <c r="DI82" s="172">
        <f t="shared" si="316"/>
        <v>649687231067.52405</v>
      </c>
      <c r="DJ82" s="12">
        <f t="shared" si="317"/>
        <v>691.19374362829694</v>
      </c>
      <c r="DK82" s="22">
        <f t="shared" si="318"/>
        <v>2188.8062563717031</v>
      </c>
      <c r="DL82" s="164">
        <f t="shared" si="268"/>
        <v>939949525.08844781</v>
      </c>
      <c r="DM82" s="164">
        <f t="shared" si="269"/>
        <v>296822630.6811114</v>
      </c>
      <c r="DN82" s="7">
        <f t="shared" si="319"/>
        <v>787298676537.97864</v>
      </c>
      <c r="DO82" s="1136">
        <f t="shared" si="320"/>
        <v>238639389909.96988</v>
      </c>
      <c r="DP82" s="22">
        <f t="shared" si="321"/>
        <v>281080.1939297127</v>
      </c>
      <c r="DQ82" s="172">
        <f t="shared" si="322"/>
        <v>482152011680.10175</v>
      </c>
      <c r="DR82" s="22">
        <f t="shared" si="323"/>
        <v>1159.3536924066825</v>
      </c>
      <c r="DS82" s="22">
        <f t="shared" si="324"/>
        <v>1720.6463075933175</v>
      </c>
      <c r="DT82" s="164">
        <f t="shared" si="270"/>
        <v>415879998.34563911</v>
      </c>
      <c r="DU82" s="164">
        <f t="shared" si="271"/>
        <v>280215643.12917501</v>
      </c>
      <c r="DV82" s="1136">
        <f t="shared" si="325"/>
        <v>370669314449.4541</v>
      </c>
      <c r="DW82" s="1136">
        <f t="shared" si="326"/>
        <v>238639389909.96988</v>
      </c>
      <c r="DX82" s="763">
        <f t="shared" si="327"/>
        <v>211526.91308974594</v>
      </c>
      <c r="DY82" s="7">
        <f t="shared" si="328"/>
        <v>334483056239.52264</v>
      </c>
      <c r="DZ82" s="13">
        <f t="shared" si="329"/>
        <v>1574.3491439427423</v>
      </c>
      <c r="EA82" s="763">
        <f t="shared" si="330"/>
        <v>1305.6508560572577</v>
      </c>
      <c r="EB82" s="164">
        <f t="shared" si="272"/>
        <v>212457990.99039462</v>
      </c>
      <c r="EC82" s="164">
        <f t="shared" si="273"/>
        <v>256181087.53022891</v>
      </c>
      <c r="ED82" s="1136">
        <f t="shared" si="331"/>
        <v>787298676537.97864</v>
      </c>
      <c r="EE82" s="1136">
        <f t="shared" si="332"/>
        <v>238639389909.96988</v>
      </c>
      <c r="EF82" s="763">
        <f t="shared" si="333"/>
        <v>202804.28108705388</v>
      </c>
      <c r="EG82" s="7">
        <f t="shared" si="334"/>
        <v>308371923533.24579</v>
      </c>
      <c r="EH82" s="13">
        <f t="shared" si="335"/>
        <v>1647.0950031545817</v>
      </c>
      <c r="EI82" s="763">
        <f t="shared" si="336"/>
        <v>1232.9049968454183</v>
      </c>
      <c r="EJ82" s="164">
        <f t="shared" si="274"/>
        <v>187221698.16716075</v>
      </c>
      <c r="EK82" s="164">
        <f t="shared" si="275"/>
        <v>250118155.35038298</v>
      </c>
      <c r="EL82" s="1136">
        <f t="shared" si="337"/>
        <v>370669314449.4541</v>
      </c>
      <c r="EM82" s="1136">
        <f t="shared" si="338"/>
        <v>238639389909.96988</v>
      </c>
      <c r="EN82" s="164"/>
      <c r="EO82" s="164"/>
    </row>
    <row r="83" spans="1:145" s="136" customFormat="1">
      <c r="A83" s="136">
        <v>110</v>
      </c>
      <c r="B83" s="136" t="str">
        <f t="shared" ref="B83" si="353">LEFT(B81,3)+1&amp;"i"</f>
        <v>210i</v>
      </c>
      <c r="C83" s="136">
        <v>36.9</v>
      </c>
      <c r="D83" s="136">
        <v>0</v>
      </c>
      <c r="E83" s="136" t="s">
        <v>2107</v>
      </c>
      <c r="F83" s="26">
        <v>2</v>
      </c>
      <c r="G83" s="136">
        <v>600</v>
      </c>
      <c r="H83" s="136">
        <v>40</v>
      </c>
      <c r="I83" s="28">
        <v>250</v>
      </c>
      <c r="J83" s="26">
        <v>1940</v>
      </c>
      <c r="K83" s="136">
        <v>40</v>
      </c>
      <c r="L83" s="28">
        <v>120</v>
      </c>
      <c r="M83" s="26">
        <v>2800</v>
      </c>
      <c r="N83" s="28">
        <v>12</v>
      </c>
      <c r="O83" s="26">
        <v>0</v>
      </c>
      <c r="P83" s="26">
        <v>290</v>
      </c>
      <c r="Q83" s="397">
        <v>5500</v>
      </c>
      <c r="R83" s="169">
        <v>0</v>
      </c>
      <c r="S83" s="210">
        <v>0</v>
      </c>
      <c r="T83" s="169">
        <v>1200</v>
      </c>
      <c r="U83" s="169">
        <v>2400</v>
      </c>
      <c r="V83" s="28">
        <v>3800</v>
      </c>
      <c r="W83" s="210">
        <v>19</v>
      </c>
      <c r="X83" s="210">
        <v>200</v>
      </c>
      <c r="Y83" s="169">
        <v>50</v>
      </c>
      <c r="Z83" s="210">
        <v>16</v>
      </c>
      <c r="AA83" s="210">
        <v>200</v>
      </c>
      <c r="AB83" s="28">
        <v>40</v>
      </c>
      <c r="AC83" s="210">
        <v>0</v>
      </c>
      <c r="AD83" s="26">
        <v>2</v>
      </c>
      <c r="AE83" s="169">
        <v>160</v>
      </c>
      <c r="AF83" s="169">
        <v>16</v>
      </c>
      <c r="AG83" s="26">
        <v>0</v>
      </c>
      <c r="AH83" s="169">
        <v>0</v>
      </c>
      <c r="AI83" s="169">
        <v>0</v>
      </c>
      <c r="AJ83" s="397">
        <v>2</v>
      </c>
      <c r="AK83" s="210">
        <v>2500</v>
      </c>
      <c r="AL83" s="210">
        <v>5000</v>
      </c>
      <c r="AM83" s="210" t="s">
        <v>2316</v>
      </c>
      <c r="AN83" s="210">
        <v>2500</v>
      </c>
      <c r="AO83" s="1143" t="s">
        <v>2320</v>
      </c>
      <c r="AP83" s="1143" t="s">
        <v>2321</v>
      </c>
      <c r="AQ83" s="1143"/>
      <c r="AR83" s="1143"/>
      <c r="AS83" s="1143"/>
      <c r="AT83" s="1143"/>
      <c r="AU83" s="1143"/>
      <c r="AV83" s="1109"/>
      <c r="AW83" s="1109"/>
      <c r="AX83" s="1109"/>
      <c r="AY83" s="1109"/>
      <c r="AZ83" s="1108">
        <v>8</v>
      </c>
      <c r="BA83" s="1108">
        <v>6</v>
      </c>
      <c r="BB83" s="1109"/>
      <c r="BC83" s="1168"/>
      <c r="BD83" s="210">
        <f>INDEX(Spec!$B$12:$P$58,MATCH(AO83,Spec!$A$12:$A$58,0),6)*100</f>
        <v>5021</v>
      </c>
      <c r="BE83" s="210">
        <f>INDEX(Spec!$B$12:$P$58,MATCH(AP83,Spec!$A$12:$A$58,0),6)*100</f>
        <v>1900</v>
      </c>
      <c r="BF83" s="881">
        <f t="shared" si="276"/>
        <v>1.8117883028477031</v>
      </c>
      <c r="BG83" s="881">
        <f t="shared" si="277"/>
        <v>47.243485714285718</v>
      </c>
      <c r="BH83" s="881"/>
      <c r="BI83" s="13" cm="1">
        <f t="array" ref="BI83">INDEX(Info!$AD$4:$AH$15,MATCH(Info!$I$13,Info!$AC$4:$AC$15,0),IF(H83&lt;=16,1,IF(H83&lt;=40,2,IF(H83&lt;=75,3,IF(H83&lt;=100,4,5)))))</f>
        <v>380</v>
      </c>
      <c r="BJ83" s="13" cm="1">
        <f t="array" ref="BJ83">INDEX(Info!$AD$4:$AH$15,MATCH(Info!$I$13,Info!$AC$4:$AC$15,0),IF(K83&lt;=16,1,IF(K83&lt;=40,2,IF(K83&lt;=75,3,IF(K83&lt;=100,4,5)))))</f>
        <v>380</v>
      </c>
      <c r="BK83" s="13" cm="1">
        <f t="array" ref="BK83">INDEX(Info!$AD$4:$AH$15,MATCH(Info!$I$14,Info!$AC$4:$AC$15,0),IF(N83&lt;=16,1,IF(N83&lt;=40,2,IF(N83&lt;=75,3,IF(N83&lt;=100,4,5)))))</f>
        <v>355</v>
      </c>
      <c r="BL83" s="13">
        <f>IF(Stress!C912="Positive",MAX(MIN(0.7*BI83,BK83),0.5*BI83),MAX(MIN(0.7*BJ83,BK83),0.5*BJ83))</f>
        <v>266</v>
      </c>
      <c r="BM83" s="13" cm="1">
        <f t="array" ref="BM83">INDEX(Info!$AD$4:$AH$15,MATCH(Info!$I$13,Info!$AC$4:$AC$15,0),IF(AI83&lt;=16,1,IF(AI83&lt;=40,2,IF(AI83&lt;=75,3,IF(AI83&lt;=100,4,5)))))</f>
        <v>380</v>
      </c>
      <c r="BN83" s="13" cm="1">
        <f t="array" ref="BN83">INDEX(Info!$AD$4:$AH$15,MATCH(Info!$I$13,Info!$AC$4:$AC$15,0),IF(AF83&lt;=16,1,IF(AF83&lt;=40,2,IF(AF83&lt;=75,3,IF(AF83&lt;=100,4,5)))))</f>
        <v>380</v>
      </c>
      <c r="BO83" s="13"/>
      <c r="BP83" s="13">
        <f t="shared" si="278"/>
        <v>0.125</v>
      </c>
      <c r="BQ83" s="13">
        <f t="shared" si="279"/>
        <v>2821.7902119044925</v>
      </c>
      <c r="BR83" s="13">
        <f t="shared" si="280"/>
        <v>3130</v>
      </c>
      <c r="BS83" s="13"/>
      <c r="BT83" s="136">
        <f t="shared" si="281"/>
        <v>0</v>
      </c>
      <c r="BU83" s="136">
        <f t="shared" si="282"/>
        <v>0</v>
      </c>
      <c r="BV83" s="136">
        <f t="shared" si="283"/>
        <v>1595000</v>
      </c>
      <c r="BW83" s="136">
        <f t="shared" si="284"/>
        <v>11178291666.666666</v>
      </c>
      <c r="BX83" s="136">
        <f t="shared" si="285"/>
        <v>0</v>
      </c>
      <c r="BY83" s="136">
        <f t="shared" si="286"/>
        <v>0</v>
      </c>
      <c r="BZ83" s="136">
        <f t="shared" si="287"/>
        <v>7655.2758986349281</v>
      </c>
      <c r="CA83" s="136">
        <f t="shared" si="288"/>
        <v>172722.16246295057</v>
      </c>
      <c r="CB83" s="136">
        <f t="shared" si="289"/>
        <v>5428.6721054031623</v>
      </c>
      <c r="CC83" s="136">
        <f t="shared" si="290"/>
        <v>86858.753686450596</v>
      </c>
      <c r="CE83" s="1137">
        <f t="shared" si="291"/>
        <v>346081987.77679139</v>
      </c>
      <c r="CF83" s="1136">
        <f t="shared" si="292"/>
        <v>411131448.88888884</v>
      </c>
      <c r="CG83" s="1136">
        <f t="shared" si="293"/>
        <v>0</v>
      </c>
      <c r="CH83" s="172">
        <f t="shared" si="294"/>
        <v>4020729166666.6665</v>
      </c>
      <c r="CJ83" s="136">
        <f t="shared" si="295"/>
        <v>198442.96508570784</v>
      </c>
      <c r="CK83" s="7">
        <f t="shared" si="296"/>
        <v>294458361973.75983</v>
      </c>
      <c r="CL83" s="6">
        <f t="shared" si="297"/>
        <v>1685.8661105921663</v>
      </c>
      <c r="CM83" s="6">
        <f t="shared" si="298"/>
        <v>1194.1338894078337</v>
      </c>
      <c r="CN83" s="164">
        <f t="shared" si="264"/>
        <v>174662958.18137676</v>
      </c>
      <c r="CO83" s="164">
        <f t="shared" si="265"/>
        <v>246587392.40687704</v>
      </c>
      <c r="CP83" s="1137">
        <f t="shared" si="299"/>
        <v>162354633405.19186</v>
      </c>
      <c r="CQ83" s="1136">
        <f t="shared" si="300"/>
        <v>72562465391.25</v>
      </c>
      <c r="CR83" s="22">
        <f t="shared" si="301"/>
        <v>198442.96508570784</v>
      </c>
      <c r="CS83" s="7">
        <f t="shared" si="302"/>
        <v>294458361973.75983</v>
      </c>
      <c r="CT83" s="6">
        <f t="shared" si="303"/>
        <v>1685.8661105921663</v>
      </c>
      <c r="CU83" s="12">
        <f t="shared" si="304"/>
        <v>1194.1338894078337</v>
      </c>
      <c r="CV83" s="164">
        <f t="shared" si="305"/>
        <v>174662958.18137676</v>
      </c>
      <c r="CW83" s="164">
        <f t="shared" si="306"/>
        <v>246587392.40687704</v>
      </c>
      <c r="CX83" s="1136">
        <f t="shared" si="307"/>
        <v>162354633405.19186</v>
      </c>
      <c r="CY83" s="1136">
        <f t="shared" si="308"/>
        <v>72562465391.25</v>
      </c>
      <c r="CZ83" s="22">
        <f t="shared" si="309"/>
        <v>198442.96508570784</v>
      </c>
      <c r="DA83" s="7">
        <f t="shared" si="310"/>
        <v>294458361973.75983</v>
      </c>
      <c r="DB83" s="6">
        <f t="shared" si="311"/>
        <v>1685.8661105921663</v>
      </c>
      <c r="DC83" s="12">
        <f t="shared" si="312"/>
        <v>1194.1338894078337</v>
      </c>
      <c r="DD83" s="164">
        <f t="shared" si="266"/>
        <v>174662958.18137676</v>
      </c>
      <c r="DE83" s="164">
        <f t="shared" si="267"/>
        <v>246587392.40687704</v>
      </c>
      <c r="DF83" s="1136">
        <f t="shared" si="313"/>
        <v>162354633405.19186</v>
      </c>
      <c r="DG83" s="1136">
        <f t="shared" si="314"/>
        <v>72562465391.25</v>
      </c>
      <c r="DH83" s="22">
        <f t="shared" si="315"/>
        <v>446354.65161772241</v>
      </c>
      <c r="DI83" s="172">
        <f t="shared" si="316"/>
        <v>649687231067.52405</v>
      </c>
      <c r="DJ83" s="12">
        <f t="shared" si="317"/>
        <v>691.19374362829694</v>
      </c>
      <c r="DK83" s="22">
        <f t="shared" si="318"/>
        <v>2188.8062563717031</v>
      </c>
      <c r="DL83" s="164">
        <f t="shared" si="268"/>
        <v>939949525.08844781</v>
      </c>
      <c r="DM83" s="164">
        <f t="shared" si="269"/>
        <v>296822630.6811114</v>
      </c>
      <c r="DN83" s="7">
        <f t="shared" si="319"/>
        <v>787298676537.97864</v>
      </c>
      <c r="DO83" s="1136">
        <f t="shared" si="320"/>
        <v>238639389909.96988</v>
      </c>
      <c r="DP83" s="22">
        <f t="shared" si="321"/>
        <v>281080.1939297127</v>
      </c>
      <c r="DQ83" s="172">
        <f t="shared" si="322"/>
        <v>482152011680.10175</v>
      </c>
      <c r="DR83" s="22">
        <f t="shared" si="323"/>
        <v>1159.3536924066825</v>
      </c>
      <c r="DS83" s="22">
        <f t="shared" si="324"/>
        <v>1720.6463075933175</v>
      </c>
      <c r="DT83" s="164">
        <f t="shared" si="270"/>
        <v>415879998.34563911</v>
      </c>
      <c r="DU83" s="164">
        <f t="shared" si="271"/>
        <v>280215643.12917501</v>
      </c>
      <c r="DV83" s="1136">
        <f t="shared" si="325"/>
        <v>370669314449.4541</v>
      </c>
      <c r="DW83" s="1136">
        <f t="shared" si="326"/>
        <v>238639389909.96988</v>
      </c>
      <c r="DX83" s="763">
        <f t="shared" si="327"/>
        <v>211526.91308974594</v>
      </c>
      <c r="DY83" s="7">
        <f t="shared" si="328"/>
        <v>334483056239.52264</v>
      </c>
      <c r="DZ83" s="13">
        <f t="shared" si="329"/>
        <v>1574.3491439427423</v>
      </c>
      <c r="EA83" s="763">
        <f t="shared" si="330"/>
        <v>1305.6508560572577</v>
      </c>
      <c r="EB83" s="164">
        <f t="shared" si="272"/>
        <v>212457990.99039462</v>
      </c>
      <c r="EC83" s="164">
        <f t="shared" si="273"/>
        <v>256181087.53022891</v>
      </c>
      <c r="ED83" s="1136">
        <f t="shared" si="331"/>
        <v>787298676537.97864</v>
      </c>
      <c r="EE83" s="1136">
        <f t="shared" si="332"/>
        <v>238639389909.96988</v>
      </c>
      <c r="EF83" s="763">
        <f t="shared" si="333"/>
        <v>202804.28108705388</v>
      </c>
      <c r="EG83" s="7">
        <f t="shared" si="334"/>
        <v>308371923533.24579</v>
      </c>
      <c r="EH83" s="13">
        <f t="shared" si="335"/>
        <v>1647.0950031545817</v>
      </c>
      <c r="EI83" s="763">
        <f t="shared" si="336"/>
        <v>1232.9049968454183</v>
      </c>
      <c r="EJ83" s="164">
        <f t="shared" si="274"/>
        <v>187221698.16716075</v>
      </c>
      <c r="EK83" s="164">
        <f t="shared" si="275"/>
        <v>250118155.35038298</v>
      </c>
      <c r="EL83" s="1136">
        <f t="shared" si="337"/>
        <v>370669314449.4541</v>
      </c>
      <c r="EM83" s="1136">
        <f t="shared" si="338"/>
        <v>238639389909.96988</v>
      </c>
      <c r="EN83" s="164"/>
      <c r="EO83" s="164"/>
    </row>
    <row r="84" spans="1:145" s="136" customFormat="1">
      <c r="B84" s="136" t="str">
        <f t="shared" ref="B84" si="354">LEFT(B82,3)+1&amp;"j"</f>
        <v>210j</v>
      </c>
      <c r="C84" s="136">
        <v>41.9</v>
      </c>
      <c r="D84" s="136">
        <v>0</v>
      </c>
      <c r="E84" s="136" t="s">
        <v>2107</v>
      </c>
      <c r="F84" s="26">
        <v>2</v>
      </c>
      <c r="G84" s="136">
        <v>600</v>
      </c>
      <c r="H84" s="136">
        <v>40</v>
      </c>
      <c r="I84" s="28">
        <v>250</v>
      </c>
      <c r="J84" s="26">
        <v>1940</v>
      </c>
      <c r="K84" s="136">
        <v>40</v>
      </c>
      <c r="L84" s="28">
        <v>120</v>
      </c>
      <c r="M84" s="26">
        <v>2800</v>
      </c>
      <c r="N84" s="28">
        <v>12</v>
      </c>
      <c r="O84" s="26">
        <v>0</v>
      </c>
      <c r="P84" s="26">
        <v>290</v>
      </c>
      <c r="Q84" s="397">
        <v>5500</v>
      </c>
      <c r="R84" s="169">
        <v>0</v>
      </c>
      <c r="S84" s="210">
        <v>0</v>
      </c>
      <c r="T84" s="169">
        <v>1200</v>
      </c>
      <c r="U84" s="169">
        <v>2400</v>
      </c>
      <c r="V84" s="28">
        <v>3800</v>
      </c>
      <c r="W84" s="210">
        <v>19</v>
      </c>
      <c r="X84" s="210">
        <v>200</v>
      </c>
      <c r="Y84" s="169">
        <v>50</v>
      </c>
      <c r="Z84" s="210">
        <v>16</v>
      </c>
      <c r="AA84" s="210">
        <v>200</v>
      </c>
      <c r="AB84" s="28">
        <v>40</v>
      </c>
      <c r="AC84" s="210">
        <v>0</v>
      </c>
      <c r="AD84" s="26">
        <v>2</v>
      </c>
      <c r="AE84" s="169">
        <v>160</v>
      </c>
      <c r="AF84" s="169">
        <v>16</v>
      </c>
      <c r="AG84" s="26">
        <v>0</v>
      </c>
      <c r="AH84" s="169">
        <v>0</v>
      </c>
      <c r="AI84" s="169">
        <v>0</v>
      </c>
      <c r="AJ84" s="397">
        <v>2</v>
      </c>
      <c r="AK84" s="210">
        <v>2500</v>
      </c>
      <c r="AL84" s="210">
        <v>5000</v>
      </c>
      <c r="AM84" s="210" t="s">
        <v>2316</v>
      </c>
      <c r="AN84" s="210">
        <v>2500</v>
      </c>
      <c r="AO84" s="1143" t="s">
        <v>2320</v>
      </c>
      <c r="AP84" s="1143" t="s">
        <v>2321</v>
      </c>
      <c r="AQ84" s="1143"/>
      <c r="AR84" s="1143"/>
      <c r="AS84" s="1143"/>
      <c r="AT84" s="1143"/>
      <c r="AU84" s="1143"/>
      <c r="AV84" s="1109"/>
      <c r="AW84" s="1109"/>
      <c r="AX84" s="1109"/>
      <c r="AY84" s="1109"/>
      <c r="AZ84" s="1108">
        <v>8</v>
      </c>
      <c r="BA84" s="1108">
        <v>6</v>
      </c>
      <c r="BB84" s="1109"/>
      <c r="BC84" s="1168"/>
      <c r="BD84" s="210">
        <f>INDEX(Spec!$B$12:$P$58,MATCH(AO84,Spec!$A$12:$A$58,0),6)*100</f>
        <v>5021</v>
      </c>
      <c r="BE84" s="210">
        <f>INDEX(Spec!$B$12:$P$58,MATCH(AP84,Spec!$A$12:$A$58,0),6)*100</f>
        <v>1900</v>
      </c>
      <c r="BF84" s="881">
        <f t="shared" si="276"/>
        <v>1.8117883028477031</v>
      </c>
      <c r="BG84" s="881">
        <f t="shared" si="277"/>
        <v>47.243485714285718</v>
      </c>
      <c r="BH84" s="881"/>
      <c r="BI84" s="13" cm="1">
        <f t="array" ref="BI84">INDEX(Info!$AD$4:$AH$15,MATCH(Info!$I$13,Info!$AC$4:$AC$15,0),IF(H84&lt;=16,1,IF(H84&lt;=40,2,IF(H84&lt;=75,3,IF(H84&lt;=100,4,5)))))</f>
        <v>380</v>
      </c>
      <c r="BJ84" s="13" cm="1">
        <f t="array" ref="BJ84">INDEX(Info!$AD$4:$AH$15,MATCH(Info!$I$13,Info!$AC$4:$AC$15,0),IF(K84&lt;=16,1,IF(K84&lt;=40,2,IF(K84&lt;=75,3,IF(K84&lt;=100,4,5)))))</f>
        <v>380</v>
      </c>
      <c r="BK84" s="13" cm="1">
        <f t="array" ref="BK84">INDEX(Info!$AD$4:$AH$15,MATCH(Info!$I$14,Info!$AC$4:$AC$15,0),IF(N84&lt;=16,1,IF(N84&lt;=40,2,IF(N84&lt;=75,3,IF(N84&lt;=100,4,5)))))</f>
        <v>355</v>
      </c>
      <c r="BL84" s="13">
        <f>IF(Stress!C913="Positive",MAX(MIN(0.7*BI84,BK84),0.5*BI84),MAX(MIN(0.7*BJ84,BK84),0.5*BJ84))</f>
        <v>266</v>
      </c>
      <c r="BM84" s="13" cm="1">
        <f t="array" ref="BM84">INDEX(Info!$AD$4:$AH$15,MATCH(Info!$I$13,Info!$AC$4:$AC$15,0),IF(AI84&lt;=16,1,IF(AI84&lt;=40,2,IF(AI84&lt;=75,3,IF(AI84&lt;=100,4,5)))))</f>
        <v>380</v>
      </c>
      <c r="BN84" s="13" cm="1">
        <f t="array" ref="BN84">INDEX(Info!$AD$4:$AH$15,MATCH(Info!$I$13,Info!$AC$4:$AC$15,0),IF(AF84&lt;=16,1,IF(AF84&lt;=40,2,IF(AF84&lt;=75,3,IF(AF84&lt;=100,4,5)))))</f>
        <v>380</v>
      </c>
      <c r="BO84" s="13"/>
      <c r="BP84" s="13">
        <f t="shared" si="278"/>
        <v>0.125</v>
      </c>
      <c r="BQ84" s="13">
        <f t="shared" si="279"/>
        <v>2821.7902119044925</v>
      </c>
      <c r="BR84" s="13">
        <f t="shared" si="280"/>
        <v>3130</v>
      </c>
      <c r="BS84" s="13"/>
      <c r="BT84" s="136">
        <f t="shared" si="281"/>
        <v>0</v>
      </c>
      <c r="BU84" s="136">
        <f t="shared" si="282"/>
        <v>0</v>
      </c>
      <c r="BV84" s="136">
        <f t="shared" si="283"/>
        <v>1595000</v>
      </c>
      <c r="BW84" s="136">
        <f t="shared" si="284"/>
        <v>11178291666.666666</v>
      </c>
      <c r="BX84" s="136">
        <f t="shared" si="285"/>
        <v>0</v>
      </c>
      <c r="BY84" s="136">
        <f t="shared" si="286"/>
        <v>0</v>
      </c>
      <c r="BZ84" s="136">
        <f t="shared" si="287"/>
        <v>7655.2758986349281</v>
      </c>
      <c r="CA84" s="136">
        <f t="shared" si="288"/>
        <v>172722.16246295057</v>
      </c>
      <c r="CB84" s="136">
        <f t="shared" si="289"/>
        <v>5428.6721054031623</v>
      </c>
      <c r="CC84" s="136">
        <f t="shared" si="290"/>
        <v>86858.753686450596</v>
      </c>
      <c r="CE84" s="1137">
        <f t="shared" si="291"/>
        <v>346081987.77679139</v>
      </c>
      <c r="CF84" s="1136">
        <f t="shared" si="292"/>
        <v>411131448.88888884</v>
      </c>
      <c r="CG84" s="1136">
        <f t="shared" si="293"/>
        <v>0</v>
      </c>
      <c r="CH84" s="172">
        <f t="shared" si="294"/>
        <v>4020729166666.6665</v>
      </c>
      <c r="CJ84" s="136">
        <f t="shared" si="295"/>
        <v>198442.96508570784</v>
      </c>
      <c r="CK84" s="7">
        <f t="shared" si="296"/>
        <v>294458361973.75983</v>
      </c>
      <c r="CL84" s="6">
        <f t="shared" si="297"/>
        <v>1685.8661105921663</v>
      </c>
      <c r="CM84" s="6">
        <f t="shared" si="298"/>
        <v>1194.1338894078337</v>
      </c>
      <c r="CN84" s="164">
        <f t="shared" si="264"/>
        <v>174662958.18137676</v>
      </c>
      <c r="CO84" s="164">
        <f t="shared" si="265"/>
        <v>246587392.40687704</v>
      </c>
      <c r="CP84" s="1137">
        <f t="shared" si="299"/>
        <v>162354633405.19186</v>
      </c>
      <c r="CQ84" s="1136">
        <f t="shared" si="300"/>
        <v>72562465391.25</v>
      </c>
      <c r="CR84" s="22">
        <f t="shared" si="301"/>
        <v>198442.96508570784</v>
      </c>
      <c r="CS84" s="7">
        <f t="shared" si="302"/>
        <v>294458361973.75983</v>
      </c>
      <c r="CT84" s="6">
        <f t="shared" si="303"/>
        <v>1685.8661105921663</v>
      </c>
      <c r="CU84" s="12">
        <f t="shared" si="304"/>
        <v>1194.1338894078337</v>
      </c>
      <c r="CV84" s="164">
        <f t="shared" si="305"/>
        <v>174662958.18137676</v>
      </c>
      <c r="CW84" s="164">
        <f t="shared" si="306"/>
        <v>246587392.40687704</v>
      </c>
      <c r="CX84" s="1136">
        <f t="shared" si="307"/>
        <v>162354633405.19186</v>
      </c>
      <c r="CY84" s="1136">
        <f t="shared" si="308"/>
        <v>72562465391.25</v>
      </c>
      <c r="CZ84" s="22">
        <f t="shared" si="309"/>
        <v>198442.96508570784</v>
      </c>
      <c r="DA84" s="7">
        <f t="shared" si="310"/>
        <v>294458361973.75983</v>
      </c>
      <c r="DB84" s="6">
        <f t="shared" si="311"/>
        <v>1685.8661105921663</v>
      </c>
      <c r="DC84" s="12">
        <f t="shared" si="312"/>
        <v>1194.1338894078337</v>
      </c>
      <c r="DD84" s="164">
        <f t="shared" si="266"/>
        <v>174662958.18137676</v>
      </c>
      <c r="DE84" s="164">
        <f t="shared" si="267"/>
        <v>246587392.40687704</v>
      </c>
      <c r="DF84" s="1136">
        <f t="shared" si="313"/>
        <v>162354633405.19186</v>
      </c>
      <c r="DG84" s="1136">
        <f t="shared" si="314"/>
        <v>72562465391.25</v>
      </c>
      <c r="DH84" s="22">
        <f t="shared" si="315"/>
        <v>446354.65161772241</v>
      </c>
      <c r="DI84" s="172">
        <f t="shared" si="316"/>
        <v>649687231067.52405</v>
      </c>
      <c r="DJ84" s="12">
        <f t="shared" si="317"/>
        <v>691.19374362829694</v>
      </c>
      <c r="DK84" s="22">
        <f t="shared" si="318"/>
        <v>2188.8062563717031</v>
      </c>
      <c r="DL84" s="164">
        <f t="shared" si="268"/>
        <v>939949525.08844781</v>
      </c>
      <c r="DM84" s="164">
        <f t="shared" si="269"/>
        <v>296822630.6811114</v>
      </c>
      <c r="DN84" s="7">
        <f t="shared" si="319"/>
        <v>787298676537.97864</v>
      </c>
      <c r="DO84" s="1136">
        <f t="shared" si="320"/>
        <v>238639389909.96988</v>
      </c>
      <c r="DP84" s="22">
        <f t="shared" si="321"/>
        <v>281080.1939297127</v>
      </c>
      <c r="DQ84" s="172">
        <f t="shared" si="322"/>
        <v>482152011680.10175</v>
      </c>
      <c r="DR84" s="22">
        <f t="shared" si="323"/>
        <v>1159.3536924066825</v>
      </c>
      <c r="DS84" s="22">
        <f t="shared" si="324"/>
        <v>1720.6463075933175</v>
      </c>
      <c r="DT84" s="164">
        <f t="shared" si="270"/>
        <v>415879998.34563911</v>
      </c>
      <c r="DU84" s="164">
        <f t="shared" si="271"/>
        <v>280215643.12917501</v>
      </c>
      <c r="DV84" s="1136">
        <f t="shared" si="325"/>
        <v>370669314449.4541</v>
      </c>
      <c r="DW84" s="1136">
        <f t="shared" si="326"/>
        <v>238639389909.96988</v>
      </c>
      <c r="DX84" s="763">
        <f t="shared" si="327"/>
        <v>211526.91308974594</v>
      </c>
      <c r="DY84" s="7">
        <f t="shared" si="328"/>
        <v>334483056239.52264</v>
      </c>
      <c r="DZ84" s="13">
        <f t="shared" si="329"/>
        <v>1574.3491439427423</v>
      </c>
      <c r="EA84" s="763">
        <f t="shared" si="330"/>
        <v>1305.6508560572577</v>
      </c>
      <c r="EB84" s="164">
        <f t="shared" si="272"/>
        <v>212457990.99039462</v>
      </c>
      <c r="EC84" s="164">
        <f t="shared" si="273"/>
        <v>256181087.53022891</v>
      </c>
      <c r="ED84" s="1136">
        <f t="shared" si="331"/>
        <v>787298676537.97864</v>
      </c>
      <c r="EE84" s="1136">
        <f t="shared" si="332"/>
        <v>238639389909.96988</v>
      </c>
      <c r="EF84" s="763">
        <f t="shared" si="333"/>
        <v>202804.28108705388</v>
      </c>
      <c r="EG84" s="7">
        <f t="shared" si="334"/>
        <v>308371923533.24579</v>
      </c>
      <c r="EH84" s="13">
        <f t="shared" si="335"/>
        <v>1647.0950031545817</v>
      </c>
      <c r="EI84" s="763">
        <f t="shared" si="336"/>
        <v>1232.9049968454183</v>
      </c>
      <c r="EJ84" s="164">
        <f t="shared" si="274"/>
        <v>187221698.16716075</v>
      </c>
      <c r="EK84" s="164">
        <f t="shared" si="275"/>
        <v>250118155.35038298</v>
      </c>
      <c r="EL84" s="1136">
        <f t="shared" si="337"/>
        <v>370669314449.4541</v>
      </c>
      <c r="EM84" s="1136">
        <f t="shared" si="338"/>
        <v>238639389909.96988</v>
      </c>
      <c r="EN84" s="164"/>
      <c r="EO84" s="164"/>
    </row>
    <row r="85" spans="1:145" s="136" customFormat="1">
      <c r="A85" s="136">
        <v>111</v>
      </c>
      <c r="B85" s="136" t="str">
        <f t="shared" ref="B85" si="355">LEFT(B83,3)+1&amp;"i"</f>
        <v>211i</v>
      </c>
      <c r="C85" s="136">
        <v>41.9</v>
      </c>
      <c r="D85" s="136">
        <v>0</v>
      </c>
      <c r="E85" s="136" t="s">
        <v>2107</v>
      </c>
      <c r="F85" s="26">
        <v>2</v>
      </c>
      <c r="G85" s="136">
        <v>600</v>
      </c>
      <c r="H85" s="136">
        <v>40</v>
      </c>
      <c r="I85" s="28">
        <v>250</v>
      </c>
      <c r="J85" s="26">
        <v>1940</v>
      </c>
      <c r="K85" s="136">
        <v>40</v>
      </c>
      <c r="L85" s="28">
        <v>120</v>
      </c>
      <c r="M85" s="26">
        <v>2800</v>
      </c>
      <c r="N85" s="28">
        <v>12</v>
      </c>
      <c r="O85" s="26">
        <v>0</v>
      </c>
      <c r="P85" s="26">
        <v>290</v>
      </c>
      <c r="Q85" s="397">
        <v>5500</v>
      </c>
      <c r="R85" s="169">
        <v>0</v>
      </c>
      <c r="S85" s="210">
        <v>0</v>
      </c>
      <c r="T85" s="169">
        <v>1200</v>
      </c>
      <c r="U85" s="169">
        <v>2400</v>
      </c>
      <c r="V85" s="28">
        <v>3800</v>
      </c>
      <c r="W85" s="210">
        <v>19</v>
      </c>
      <c r="X85" s="210">
        <v>200</v>
      </c>
      <c r="Y85" s="169">
        <v>50</v>
      </c>
      <c r="Z85" s="210">
        <v>16</v>
      </c>
      <c r="AA85" s="210">
        <v>200</v>
      </c>
      <c r="AB85" s="28">
        <v>40</v>
      </c>
      <c r="AC85" s="210">
        <v>0</v>
      </c>
      <c r="AD85" s="26">
        <v>2</v>
      </c>
      <c r="AE85" s="169">
        <v>160</v>
      </c>
      <c r="AF85" s="169">
        <v>16</v>
      </c>
      <c r="AG85" s="26">
        <v>0</v>
      </c>
      <c r="AH85" s="169">
        <v>0</v>
      </c>
      <c r="AI85" s="169">
        <v>0</v>
      </c>
      <c r="AJ85" s="397">
        <v>2</v>
      </c>
      <c r="AK85" s="210">
        <v>2500</v>
      </c>
      <c r="AL85" s="210">
        <v>5000</v>
      </c>
      <c r="AM85" s="210" t="s">
        <v>2316</v>
      </c>
      <c r="AN85" s="210">
        <v>2500</v>
      </c>
      <c r="AO85" s="1143" t="s">
        <v>2320</v>
      </c>
      <c r="AP85" s="1143" t="s">
        <v>2321</v>
      </c>
      <c r="AQ85" s="1143"/>
      <c r="AR85" s="1143"/>
      <c r="AS85" s="1143"/>
      <c r="AT85" s="1143"/>
      <c r="AU85" s="1143"/>
      <c r="AV85" s="1109"/>
      <c r="AW85" s="1109"/>
      <c r="AX85" s="1109"/>
      <c r="AY85" s="1109"/>
      <c r="AZ85" s="1108">
        <v>8</v>
      </c>
      <c r="BA85" s="1108">
        <v>6</v>
      </c>
      <c r="BB85" s="1109"/>
      <c r="BC85" s="1168"/>
      <c r="BD85" s="210">
        <f>INDEX(Spec!$B$12:$P$58,MATCH(AO85,Spec!$A$12:$A$58,0),6)*100</f>
        <v>5021</v>
      </c>
      <c r="BE85" s="210">
        <f>INDEX(Spec!$B$12:$P$58,MATCH(AP85,Spec!$A$12:$A$58,0),6)*100</f>
        <v>1900</v>
      </c>
      <c r="BF85" s="881">
        <f t="shared" si="276"/>
        <v>1.8117883028477031</v>
      </c>
      <c r="BG85" s="881">
        <f t="shared" si="277"/>
        <v>47.243485714285718</v>
      </c>
      <c r="BH85" s="881"/>
      <c r="BI85" s="13" cm="1">
        <f t="array" ref="BI85">INDEX(Info!$AD$4:$AH$15,MATCH(Info!$I$13,Info!$AC$4:$AC$15,0),IF(H85&lt;=16,1,IF(H85&lt;=40,2,IF(H85&lt;=75,3,IF(H85&lt;=100,4,5)))))</f>
        <v>380</v>
      </c>
      <c r="BJ85" s="13" cm="1">
        <f t="array" ref="BJ85">INDEX(Info!$AD$4:$AH$15,MATCH(Info!$I$13,Info!$AC$4:$AC$15,0),IF(K85&lt;=16,1,IF(K85&lt;=40,2,IF(K85&lt;=75,3,IF(K85&lt;=100,4,5)))))</f>
        <v>380</v>
      </c>
      <c r="BK85" s="13" cm="1">
        <f t="array" ref="BK85">INDEX(Info!$AD$4:$AH$15,MATCH(Info!$I$14,Info!$AC$4:$AC$15,0),IF(N85&lt;=16,1,IF(N85&lt;=40,2,IF(N85&lt;=75,3,IF(N85&lt;=100,4,5)))))</f>
        <v>355</v>
      </c>
      <c r="BL85" s="13">
        <f>IF(Stress!C914="Positive",MAX(MIN(0.7*BI85,BK85),0.5*BI85),MAX(MIN(0.7*BJ85,BK85),0.5*BJ85))</f>
        <v>266</v>
      </c>
      <c r="BM85" s="13" cm="1">
        <f t="array" ref="BM85">INDEX(Info!$AD$4:$AH$15,MATCH(Info!$I$13,Info!$AC$4:$AC$15,0),IF(AI85&lt;=16,1,IF(AI85&lt;=40,2,IF(AI85&lt;=75,3,IF(AI85&lt;=100,4,5)))))</f>
        <v>380</v>
      </c>
      <c r="BN85" s="13" cm="1">
        <f t="array" ref="BN85">INDEX(Info!$AD$4:$AH$15,MATCH(Info!$I$13,Info!$AC$4:$AC$15,0),IF(AF85&lt;=16,1,IF(AF85&lt;=40,2,IF(AF85&lt;=75,3,IF(AF85&lt;=100,4,5)))))</f>
        <v>380</v>
      </c>
      <c r="BO85" s="13"/>
      <c r="BP85" s="13">
        <f t="shared" si="278"/>
        <v>0.125</v>
      </c>
      <c r="BQ85" s="13">
        <f t="shared" si="279"/>
        <v>2821.7902119044925</v>
      </c>
      <c r="BR85" s="13">
        <f t="shared" si="280"/>
        <v>3130</v>
      </c>
      <c r="BS85" s="13"/>
      <c r="BT85" s="136">
        <f t="shared" si="281"/>
        <v>0</v>
      </c>
      <c r="BU85" s="136">
        <f t="shared" si="282"/>
        <v>0</v>
      </c>
      <c r="BV85" s="136">
        <f t="shared" si="283"/>
        <v>1595000</v>
      </c>
      <c r="BW85" s="136">
        <f t="shared" si="284"/>
        <v>11178291666.666666</v>
      </c>
      <c r="BX85" s="136">
        <f t="shared" si="285"/>
        <v>0</v>
      </c>
      <c r="BY85" s="136">
        <f t="shared" si="286"/>
        <v>0</v>
      </c>
      <c r="BZ85" s="136">
        <f t="shared" si="287"/>
        <v>7655.2758986349281</v>
      </c>
      <c r="CA85" s="136">
        <f t="shared" si="288"/>
        <v>172722.16246295057</v>
      </c>
      <c r="CB85" s="136">
        <f t="shared" si="289"/>
        <v>5428.6721054031623</v>
      </c>
      <c r="CC85" s="136">
        <f t="shared" si="290"/>
        <v>86858.753686450596</v>
      </c>
      <c r="CE85" s="1137">
        <f t="shared" si="291"/>
        <v>346081987.77679139</v>
      </c>
      <c r="CF85" s="1136">
        <f t="shared" si="292"/>
        <v>411131448.88888884</v>
      </c>
      <c r="CG85" s="1136">
        <f t="shared" si="293"/>
        <v>0</v>
      </c>
      <c r="CH85" s="172">
        <f t="shared" si="294"/>
        <v>4020729166666.6665</v>
      </c>
      <c r="CJ85" s="136">
        <f t="shared" si="295"/>
        <v>198442.96508570784</v>
      </c>
      <c r="CK85" s="7">
        <f t="shared" si="296"/>
        <v>294458361973.75983</v>
      </c>
      <c r="CL85" s="6">
        <f t="shared" si="297"/>
        <v>1685.8661105921663</v>
      </c>
      <c r="CM85" s="6">
        <f t="shared" si="298"/>
        <v>1194.1338894078337</v>
      </c>
      <c r="CN85" s="164">
        <f t="shared" si="264"/>
        <v>174662958.18137676</v>
      </c>
      <c r="CO85" s="164">
        <f t="shared" si="265"/>
        <v>246587392.40687704</v>
      </c>
      <c r="CP85" s="1137">
        <f t="shared" si="299"/>
        <v>162354633405.19186</v>
      </c>
      <c r="CQ85" s="1136">
        <f t="shared" si="300"/>
        <v>72562465391.25</v>
      </c>
      <c r="CR85" s="22">
        <f t="shared" si="301"/>
        <v>198442.96508570784</v>
      </c>
      <c r="CS85" s="7">
        <f t="shared" si="302"/>
        <v>294458361973.75983</v>
      </c>
      <c r="CT85" s="6">
        <f t="shared" si="303"/>
        <v>1685.8661105921663</v>
      </c>
      <c r="CU85" s="12">
        <f t="shared" si="304"/>
        <v>1194.1338894078337</v>
      </c>
      <c r="CV85" s="164">
        <f t="shared" si="305"/>
        <v>174662958.18137676</v>
      </c>
      <c r="CW85" s="164">
        <f t="shared" si="306"/>
        <v>246587392.40687704</v>
      </c>
      <c r="CX85" s="1136">
        <f t="shared" si="307"/>
        <v>162354633405.19186</v>
      </c>
      <c r="CY85" s="1136">
        <f t="shared" si="308"/>
        <v>72562465391.25</v>
      </c>
      <c r="CZ85" s="22">
        <f t="shared" si="309"/>
        <v>198442.96508570784</v>
      </c>
      <c r="DA85" s="7">
        <f t="shared" si="310"/>
        <v>294458361973.75983</v>
      </c>
      <c r="DB85" s="6">
        <f t="shared" si="311"/>
        <v>1685.8661105921663</v>
      </c>
      <c r="DC85" s="12">
        <f t="shared" si="312"/>
        <v>1194.1338894078337</v>
      </c>
      <c r="DD85" s="164">
        <f t="shared" si="266"/>
        <v>174662958.18137676</v>
      </c>
      <c r="DE85" s="164">
        <f t="shared" si="267"/>
        <v>246587392.40687704</v>
      </c>
      <c r="DF85" s="1136">
        <f t="shared" si="313"/>
        <v>162354633405.19186</v>
      </c>
      <c r="DG85" s="1136">
        <f t="shared" si="314"/>
        <v>72562465391.25</v>
      </c>
      <c r="DH85" s="22">
        <f t="shared" si="315"/>
        <v>446354.65161772241</v>
      </c>
      <c r="DI85" s="172">
        <f t="shared" si="316"/>
        <v>649687231067.52405</v>
      </c>
      <c r="DJ85" s="12">
        <f t="shared" si="317"/>
        <v>691.19374362829694</v>
      </c>
      <c r="DK85" s="22">
        <f t="shared" si="318"/>
        <v>2188.8062563717031</v>
      </c>
      <c r="DL85" s="164">
        <f t="shared" si="268"/>
        <v>939949525.08844781</v>
      </c>
      <c r="DM85" s="164">
        <f t="shared" si="269"/>
        <v>296822630.6811114</v>
      </c>
      <c r="DN85" s="7">
        <f t="shared" si="319"/>
        <v>787298676537.97864</v>
      </c>
      <c r="DO85" s="1136">
        <f t="shared" si="320"/>
        <v>238639389909.96988</v>
      </c>
      <c r="DP85" s="22">
        <f t="shared" si="321"/>
        <v>281080.1939297127</v>
      </c>
      <c r="DQ85" s="172">
        <f t="shared" si="322"/>
        <v>482152011680.10175</v>
      </c>
      <c r="DR85" s="22">
        <f t="shared" si="323"/>
        <v>1159.3536924066825</v>
      </c>
      <c r="DS85" s="22">
        <f t="shared" si="324"/>
        <v>1720.6463075933175</v>
      </c>
      <c r="DT85" s="164">
        <f t="shared" si="270"/>
        <v>415879998.34563911</v>
      </c>
      <c r="DU85" s="164">
        <f t="shared" si="271"/>
        <v>280215643.12917501</v>
      </c>
      <c r="DV85" s="1136">
        <f t="shared" si="325"/>
        <v>370669314449.4541</v>
      </c>
      <c r="DW85" s="1136">
        <f t="shared" si="326"/>
        <v>238639389909.96988</v>
      </c>
      <c r="DX85" s="763">
        <f t="shared" si="327"/>
        <v>211526.91308974594</v>
      </c>
      <c r="DY85" s="7">
        <f t="shared" si="328"/>
        <v>334483056239.52264</v>
      </c>
      <c r="DZ85" s="13">
        <f t="shared" si="329"/>
        <v>1574.3491439427423</v>
      </c>
      <c r="EA85" s="763">
        <f t="shared" si="330"/>
        <v>1305.6508560572577</v>
      </c>
      <c r="EB85" s="164">
        <f t="shared" si="272"/>
        <v>212457990.99039462</v>
      </c>
      <c r="EC85" s="164">
        <f t="shared" si="273"/>
        <v>256181087.53022891</v>
      </c>
      <c r="ED85" s="1136">
        <f t="shared" si="331"/>
        <v>787298676537.97864</v>
      </c>
      <c r="EE85" s="1136">
        <f t="shared" si="332"/>
        <v>238639389909.96988</v>
      </c>
      <c r="EF85" s="763">
        <f t="shared" si="333"/>
        <v>202804.28108705388</v>
      </c>
      <c r="EG85" s="7">
        <f t="shared" si="334"/>
        <v>308371923533.24579</v>
      </c>
      <c r="EH85" s="13">
        <f t="shared" si="335"/>
        <v>1647.0950031545817</v>
      </c>
      <c r="EI85" s="763">
        <f t="shared" si="336"/>
        <v>1232.9049968454183</v>
      </c>
      <c r="EJ85" s="164">
        <f t="shared" si="274"/>
        <v>187221698.16716075</v>
      </c>
      <c r="EK85" s="164">
        <f t="shared" si="275"/>
        <v>250118155.35038298</v>
      </c>
      <c r="EL85" s="1136">
        <f t="shared" si="337"/>
        <v>370669314449.4541</v>
      </c>
      <c r="EM85" s="1136">
        <f t="shared" si="338"/>
        <v>238639389909.96988</v>
      </c>
      <c r="EN85" s="164"/>
      <c r="EO85" s="164"/>
    </row>
    <row r="86" spans="1:145" s="136" customFormat="1">
      <c r="B86" s="136" t="str">
        <f t="shared" ref="B86" si="356">LEFT(B84,3)+1&amp;"j"</f>
        <v>211j</v>
      </c>
      <c r="C86" s="136">
        <v>46.9</v>
      </c>
      <c r="D86" s="136">
        <v>0</v>
      </c>
      <c r="E86" s="136" t="s">
        <v>2107</v>
      </c>
      <c r="F86" s="26">
        <v>2</v>
      </c>
      <c r="G86" s="136">
        <v>600</v>
      </c>
      <c r="H86" s="136">
        <v>40</v>
      </c>
      <c r="I86" s="28">
        <v>250</v>
      </c>
      <c r="J86" s="26">
        <v>1940</v>
      </c>
      <c r="K86" s="136">
        <v>40</v>
      </c>
      <c r="L86" s="28">
        <v>120</v>
      </c>
      <c r="M86" s="26">
        <v>2800</v>
      </c>
      <c r="N86" s="28">
        <v>12</v>
      </c>
      <c r="O86" s="26">
        <v>0</v>
      </c>
      <c r="P86" s="26">
        <v>290</v>
      </c>
      <c r="Q86" s="397">
        <v>5500</v>
      </c>
      <c r="R86" s="169">
        <v>0</v>
      </c>
      <c r="S86" s="210">
        <v>0</v>
      </c>
      <c r="T86" s="169">
        <v>1200</v>
      </c>
      <c r="U86" s="169">
        <v>2400</v>
      </c>
      <c r="V86" s="28">
        <v>3800</v>
      </c>
      <c r="W86" s="210">
        <v>19</v>
      </c>
      <c r="X86" s="210">
        <v>200</v>
      </c>
      <c r="Y86" s="169">
        <v>50</v>
      </c>
      <c r="Z86" s="210">
        <v>16</v>
      </c>
      <c r="AA86" s="210">
        <v>200</v>
      </c>
      <c r="AB86" s="28">
        <v>40</v>
      </c>
      <c r="AC86" s="210">
        <v>0</v>
      </c>
      <c r="AD86" s="26">
        <v>2</v>
      </c>
      <c r="AE86" s="169">
        <v>160</v>
      </c>
      <c r="AF86" s="169">
        <v>16</v>
      </c>
      <c r="AG86" s="26">
        <v>0</v>
      </c>
      <c r="AH86" s="169">
        <v>0</v>
      </c>
      <c r="AI86" s="169">
        <v>0</v>
      </c>
      <c r="AJ86" s="397">
        <v>2</v>
      </c>
      <c r="AK86" s="210">
        <v>2500</v>
      </c>
      <c r="AL86" s="210">
        <v>5000</v>
      </c>
      <c r="AM86" s="210" t="s">
        <v>2316</v>
      </c>
      <c r="AN86" s="210">
        <v>2500</v>
      </c>
      <c r="AO86" s="1143" t="s">
        <v>2320</v>
      </c>
      <c r="AP86" s="1143" t="s">
        <v>2321</v>
      </c>
      <c r="AQ86" s="1143"/>
      <c r="AR86" s="1143"/>
      <c r="AS86" s="1143"/>
      <c r="AT86" s="1143"/>
      <c r="AU86" s="1143"/>
      <c r="AV86" s="1109"/>
      <c r="AW86" s="1109"/>
      <c r="AX86" s="1109"/>
      <c r="AY86" s="1109"/>
      <c r="AZ86" s="1108">
        <v>8</v>
      </c>
      <c r="BA86" s="1108">
        <v>6</v>
      </c>
      <c r="BB86" s="1109"/>
      <c r="BC86" s="1168"/>
      <c r="BD86" s="210">
        <f>INDEX(Spec!$B$12:$P$58,MATCH(AO86,Spec!$A$12:$A$58,0),6)*100</f>
        <v>5021</v>
      </c>
      <c r="BE86" s="210">
        <f>INDEX(Spec!$B$12:$P$58,MATCH(AP86,Spec!$A$12:$A$58,0),6)*100</f>
        <v>1900</v>
      </c>
      <c r="BF86" s="881">
        <f t="shared" si="276"/>
        <v>1.8117883028477031</v>
      </c>
      <c r="BG86" s="881">
        <f t="shared" si="277"/>
        <v>47.243485714285718</v>
      </c>
      <c r="BH86" s="881"/>
      <c r="BI86" s="13" cm="1">
        <f t="array" ref="BI86">INDEX(Info!$AD$4:$AH$15,MATCH(Info!$I$13,Info!$AC$4:$AC$15,0),IF(H86&lt;=16,1,IF(H86&lt;=40,2,IF(H86&lt;=75,3,IF(H86&lt;=100,4,5)))))</f>
        <v>380</v>
      </c>
      <c r="BJ86" s="13" cm="1">
        <f t="array" ref="BJ86">INDEX(Info!$AD$4:$AH$15,MATCH(Info!$I$13,Info!$AC$4:$AC$15,0),IF(K86&lt;=16,1,IF(K86&lt;=40,2,IF(K86&lt;=75,3,IF(K86&lt;=100,4,5)))))</f>
        <v>380</v>
      </c>
      <c r="BK86" s="13" cm="1">
        <f t="array" ref="BK86">INDEX(Info!$AD$4:$AH$15,MATCH(Info!$I$14,Info!$AC$4:$AC$15,0),IF(N86&lt;=16,1,IF(N86&lt;=40,2,IF(N86&lt;=75,3,IF(N86&lt;=100,4,5)))))</f>
        <v>355</v>
      </c>
      <c r="BL86" s="13">
        <f>IF(Stress!C915="Positive",MAX(MIN(0.7*BI86,BK86),0.5*BI86),MAX(MIN(0.7*BJ86,BK86),0.5*BJ86))</f>
        <v>266</v>
      </c>
      <c r="BM86" s="13" cm="1">
        <f t="array" ref="BM86">INDEX(Info!$AD$4:$AH$15,MATCH(Info!$I$13,Info!$AC$4:$AC$15,0),IF(AI86&lt;=16,1,IF(AI86&lt;=40,2,IF(AI86&lt;=75,3,IF(AI86&lt;=100,4,5)))))</f>
        <v>380</v>
      </c>
      <c r="BN86" s="13" cm="1">
        <f t="array" ref="BN86">INDEX(Info!$AD$4:$AH$15,MATCH(Info!$I$13,Info!$AC$4:$AC$15,0),IF(AF86&lt;=16,1,IF(AF86&lt;=40,2,IF(AF86&lt;=75,3,IF(AF86&lt;=100,4,5)))))</f>
        <v>380</v>
      </c>
      <c r="BO86" s="13"/>
      <c r="BP86" s="13">
        <f t="shared" si="278"/>
        <v>0.125</v>
      </c>
      <c r="BQ86" s="13">
        <f t="shared" si="279"/>
        <v>2821.7902119044925</v>
      </c>
      <c r="BR86" s="13">
        <f t="shared" si="280"/>
        <v>3130</v>
      </c>
      <c r="BS86" s="13"/>
      <c r="BT86" s="136">
        <f t="shared" si="281"/>
        <v>0</v>
      </c>
      <c r="BU86" s="136">
        <f t="shared" si="282"/>
        <v>0</v>
      </c>
      <c r="BV86" s="136">
        <f t="shared" si="283"/>
        <v>1595000</v>
      </c>
      <c r="BW86" s="136">
        <f t="shared" si="284"/>
        <v>11178291666.666666</v>
      </c>
      <c r="BX86" s="136">
        <f t="shared" si="285"/>
        <v>0</v>
      </c>
      <c r="BY86" s="136">
        <f t="shared" si="286"/>
        <v>0</v>
      </c>
      <c r="BZ86" s="136">
        <f t="shared" si="287"/>
        <v>7655.2758986349281</v>
      </c>
      <c r="CA86" s="136">
        <f t="shared" si="288"/>
        <v>172722.16246295057</v>
      </c>
      <c r="CB86" s="136">
        <f t="shared" si="289"/>
        <v>5428.6721054031623</v>
      </c>
      <c r="CC86" s="136">
        <f t="shared" si="290"/>
        <v>86858.753686450596</v>
      </c>
      <c r="CE86" s="1137">
        <f t="shared" si="291"/>
        <v>346081987.77679139</v>
      </c>
      <c r="CF86" s="1136">
        <f t="shared" si="292"/>
        <v>411131448.88888884</v>
      </c>
      <c r="CG86" s="1136">
        <f t="shared" si="293"/>
        <v>0</v>
      </c>
      <c r="CH86" s="172">
        <f t="shared" si="294"/>
        <v>4020729166666.6665</v>
      </c>
      <c r="CJ86" s="136">
        <f t="shared" si="295"/>
        <v>198442.96508570784</v>
      </c>
      <c r="CK86" s="7">
        <f t="shared" si="296"/>
        <v>294458361973.75983</v>
      </c>
      <c r="CL86" s="6">
        <f t="shared" si="297"/>
        <v>1685.8661105921663</v>
      </c>
      <c r="CM86" s="6">
        <f t="shared" si="298"/>
        <v>1194.1338894078337</v>
      </c>
      <c r="CN86" s="164">
        <f t="shared" si="264"/>
        <v>174662958.18137676</v>
      </c>
      <c r="CO86" s="164">
        <f t="shared" si="265"/>
        <v>246587392.40687704</v>
      </c>
      <c r="CP86" s="1137">
        <f t="shared" si="299"/>
        <v>162354633405.19186</v>
      </c>
      <c r="CQ86" s="1136">
        <f t="shared" si="300"/>
        <v>72562465391.25</v>
      </c>
      <c r="CR86" s="22">
        <f t="shared" si="301"/>
        <v>198442.96508570784</v>
      </c>
      <c r="CS86" s="7">
        <f t="shared" si="302"/>
        <v>294458361973.75983</v>
      </c>
      <c r="CT86" s="6">
        <f t="shared" si="303"/>
        <v>1685.8661105921663</v>
      </c>
      <c r="CU86" s="12">
        <f t="shared" si="304"/>
        <v>1194.1338894078337</v>
      </c>
      <c r="CV86" s="164">
        <f t="shared" si="305"/>
        <v>174662958.18137676</v>
      </c>
      <c r="CW86" s="164">
        <f t="shared" si="306"/>
        <v>246587392.40687704</v>
      </c>
      <c r="CX86" s="1136">
        <f t="shared" si="307"/>
        <v>162354633405.19186</v>
      </c>
      <c r="CY86" s="1136">
        <f t="shared" si="308"/>
        <v>72562465391.25</v>
      </c>
      <c r="CZ86" s="22">
        <f t="shared" si="309"/>
        <v>198442.96508570784</v>
      </c>
      <c r="DA86" s="7">
        <f t="shared" si="310"/>
        <v>294458361973.75983</v>
      </c>
      <c r="DB86" s="6">
        <f t="shared" si="311"/>
        <v>1685.8661105921663</v>
      </c>
      <c r="DC86" s="12">
        <f t="shared" si="312"/>
        <v>1194.1338894078337</v>
      </c>
      <c r="DD86" s="164">
        <f t="shared" si="266"/>
        <v>174662958.18137676</v>
      </c>
      <c r="DE86" s="164">
        <f t="shared" si="267"/>
        <v>246587392.40687704</v>
      </c>
      <c r="DF86" s="1136">
        <f t="shared" si="313"/>
        <v>162354633405.19186</v>
      </c>
      <c r="DG86" s="1136">
        <f t="shared" si="314"/>
        <v>72562465391.25</v>
      </c>
      <c r="DH86" s="22">
        <f t="shared" si="315"/>
        <v>446354.65161772241</v>
      </c>
      <c r="DI86" s="172">
        <f t="shared" si="316"/>
        <v>649687231067.52405</v>
      </c>
      <c r="DJ86" s="12">
        <f t="shared" si="317"/>
        <v>691.19374362829694</v>
      </c>
      <c r="DK86" s="22">
        <f t="shared" si="318"/>
        <v>2188.8062563717031</v>
      </c>
      <c r="DL86" s="164">
        <f t="shared" si="268"/>
        <v>939949525.08844781</v>
      </c>
      <c r="DM86" s="164">
        <f t="shared" si="269"/>
        <v>296822630.6811114</v>
      </c>
      <c r="DN86" s="7">
        <f t="shared" si="319"/>
        <v>787298676537.97864</v>
      </c>
      <c r="DO86" s="1136">
        <f t="shared" si="320"/>
        <v>238639389909.96988</v>
      </c>
      <c r="DP86" s="22">
        <f t="shared" si="321"/>
        <v>281080.1939297127</v>
      </c>
      <c r="DQ86" s="172">
        <f t="shared" si="322"/>
        <v>482152011680.10175</v>
      </c>
      <c r="DR86" s="22">
        <f t="shared" si="323"/>
        <v>1159.3536924066825</v>
      </c>
      <c r="DS86" s="22">
        <f t="shared" si="324"/>
        <v>1720.6463075933175</v>
      </c>
      <c r="DT86" s="164">
        <f t="shared" si="270"/>
        <v>415879998.34563911</v>
      </c>
      <c r="DU86" s="164">
        <f t="shared" si="271"/>
        <v>280215643.12917501</v>
      </c>
      <c r="DV86" s="1136">
        <f t="shared" si="325"/>
        <v>370669314449.4541</v>
      </c>
      <c r="DW86" s="1136">
        <f t="shared" si="326"/>
        <v>238639389909.96988</v>
      </c>
      <c r="DX86" s="763">
        <f t="shared" si="327"/>
        <v>211526.91308974594</v>
      </c>
      <c r="DY86" s="7">
        <f t="shared" si="328"/>
        <v>334483056239.52264</v>
      </c>
      <c r="DZ86" s="13">
        <f t="shared" si="329"/>
        <v>1574.3491439427423</v>
      </c>
      <c r="EA86" s="763">
        <f t="shared" si="330"/>
        <v>1305.6508560572577</v>
      </c>
      <c r="EB86" s="164">
        <f t="shared" si="272"/>
        <v>212457990.99039462</v>
      </c>
      <c r="EC86" s="164">
        <f t="shared" si="273"/>
        <v>256181087.53022891</v>
      </c>
      <c r="ED86" s="1136">
        <f t="shared" si="331"/>
        <v>787298676537.97864</v>
      </c>
      <c r="EE86" s="1136">
        <f t="shared" si="332"/>
        <v>238639389909.96988</v>
      </c>
      <c r="EF86" s="763">
        <f t="shared" si="333"/>
        <v>202804.28108705388</v>
      </c>
      <c r="EG86" s="7">
        <f t="shared" si="334"/>
        <v>308371923533.24579</v>
      </c>
      <c r="EH86" s="13">
        <f t="shared" si="335"/>
        <v>1647.0950031545817</v>
      </c>
      <c r="EI86" s="763">
        <f t="shared" si="336"/>
        <v>1232.9049968454183</v>
      </c>
      <c r="EJ86" s="164">
        <f t="shared" si="274"/>
        <v>187221698.16716075</v>
      </c>
      <c r="EK86" s="164">
        <f t="shared" si="275"/>
        <v>250118155.35038298</v>
      </c>
      <c r="EL86" s="1136">
        <f t="shared" si="337"/>
        <v>370669314449.4541</v>
      </c>
      <c r="EM86" s="1136">
        <f t="shared" si="338"/>
        <v>238639389909.96988</v>
      </c>
      <c r="EN86" s="164"/>
      <c r="EO86" s="164"/>
    </row>
    <row r="87" spans="1:145" s="136" customFormat="1">
      <c r="A87" s="136">
        <v>112</v>
      </c>
      <c r="B87" s="136" t="str">
        <f t="shared" ref="B87" si="357">LEFT(B85,3)+1&amp;"i"</f>
        <v>212i</v>
      </c>
      <c r="C87" s="136">
        <v>46.9</v>
      </c>
      <c r="D87" s="136">
        <v>0</v>
      </c>
      <c r="E87" s="136" t="s">
        <v>2108</v>
      </c>
      <c r="F87" s="26">
        <v>2</v>
      </c>
      <c r="G87" s="136">
        <v>500</v>
      </c>
      <c r="H87" s="136">
        <v>36</v>
      </c>
      <c r="I87" s="28">
        <v>250</v>
      </c>
      <c r="J87" s="26">
        <v>1940</v>
      </c>
      <c r="K87" s="136">
        <v>32</v>
      </c>
      <c r="L87" s="28">
        <v>120</v>
      </c>
      <c r="M87" s="26">
        <v>2800</v>
      </c>
      <c r="N87" s="28">
        <v>12</v>
      </c>
      <c r="O87" s="26">
        <v>0</v>
      </c>
      <c r="P87" s="26">
        <v>290</v>
      </c>
      <c r="Q87" s="397">
        <v>5500</v>
      </c>
      <c r="R87" s="169">
        <v>0</v>
      </c>
      <c r="S87" s="210">
        <v>0</v>
      </c>
      <c r="T87" s="169">
        <v>1200</v>
      </c>
      <c r="U87" s="169">
        <v>2400</v>
      </c>
      <c r="V87" s="28">
        <v>3800</v>
      </c>
      <c r="W87" s="210">
        <v>19</v>
      </c>
      <c r="X87" s="210">
        <v>200</v>
      </c>
      <c r="Y87" s="169">
        <v>50</v>
      </c>
      <c r="Z87" s="210">
        <v>16</v>
      </c>
      <c r="AA87" s="210">
        <v>200</v>
      </c>
      <c r="AB87" s="28">
        <v>40</v>
      </c>
      <c r="AC87" s="210">
        <v>0</v>
      </c>
      <c r="AD87" s="26">
        <v>2</v>
      </c>
      <c r="AE87" s="169">
        <v>160</v>
      </c>
      <c r="AF87" s="169">
        <v>16</v>
      </c>
      <c r="AG87" s="26">
        <v>0</v>
      </c>
      <c r="AH87" s="169">
        <v>0</v>
      </c>
      <c r="AI87" s="169">
        <v>0</v>
      </c>
      <c r="AJ87" s="397">
        <v>2</v>
      </c>
      <c r="AK87" s="210">
        <v>2500</v>
      </c>
      <c r="AL87" s="210">
        <v>5000</v>
      </c>
      <c r="AM87" s="210" t="s">
        <v>2316</v>
      </c>
      <c r="AN87" s="210">
        <v>2500</v>
      </c>
      <c r="AO87" s="1143" t="s">
        <v>2322</v>
      </c>
      <c r="AP87" s="1143" t="s">
        <v>2321</v>
      </c>
      <c r="AQ87" s="1143"/>
      <c r="AR87" s="1143"/>
      <c r="AS87" s="1143"/>
      <c r="AT87" s="1143"/>
      <c r="AU87" s="1143"/>
      <c r="AV87" s="1109"/>
      <c r="AW87" s="1109"/>
      <c r="AX87" s="1109"/>
      <c r="AY87" s="1109"/>
      <c r="AZ87" s="1108">
        <v>8</v>
      </c>
      <c r="BA87" s="1108">
        <v>6</v>
      </c>
      <c r="BB87" s="1109"/>
      <c r="BC87" s="1168"/>
      <c r="BD87" s="210">
        <f>INDEX(Spec!$B$12:$P$58,MATCH(AO87,Spec!$A$12:$A$58,0),6)*100</f>
        <v>2921</v>
      </c>
      <c r="BE87" s="210">
        <f>INDEX(Spec!$B$12:$P$58,MATCH(AP87,Spec!$A$12:$A$58,0),6)*100</f>
        <v>1900</v>
      </c>
      <c r="BF87" s="881">
        <f t="shared" si="276"/>
        <v>1.0653882658952631</v>
      </c>
      <c r="BG87" s="881">
        <f t="shared" si="277"/>
        <v>47.243485714285718</v>
      </c>
      <c r="BH87" s="881"/>
      <c r="BI87" s="13" cm="1">
        <f t="array" ref="BI87">INDEX(Info!$AD$4:$AH$15,MATCH(Info!$I$13,Info!$AC$4:$AC$15,0),IF(H87&lt;=16,1,IF(H87&lt;=40,2,IF(H87&lt;=75,3,IF(H87&lt;=100,4,5)))))</f>
        <v>380</v>
      </c>
      <c r="BJ87" s="13" cm="1">
        <f t="array" ref="BJ87">INDEX(Info!$AD$4:$AH$15,MATCH(Info!$I$13,Info!$AC$4:$AC$15,0),IF(K87&lt;=16,1,IF(K87&lt;=40,2,IF(K87&lt;=75,3,IF(K87&lt;=100,4,5)))))</f>
        <v>380</v>
      </c>
      <c r="BK87" s="13" cm="1">
        <f t="array" ref="BK87">INDEX(Info!$AD$4:$AH$15,MATCH(Info!$I$14,Info!$AC$4:$AC$15,0),IF(N87&lt;=16,1,IF(N87&lt;=40,2,IF(N87&lt;=75,3,IF(N87&lt;=100,4,5)))))</f>
        <v>355</v>
      </c>
      <c r="BL87" s="13">
        <f>IF(Stress!C916="Positive",MAX(MIN(0.7*BI87,BK87),0.5*BI87),MAX(MIN(0.7*BJ87,BK87),0.5*BJ87))</f>
        <v>266</v>
      </c>
      <c r="BM87" s="13" cm="1">
        <f t="array" ref="BM87">INDEX(Info!$AD$4:$AH$15,MATCH(Info!$I$13,Info!$AC$4:$AC$15,0),IF(AI87&lt;=16,1,IF(AI87&lt;=40,2,IF(AI87&lt;=75,3,IF(AI87&lt;=100,4,5)))))</f>
        <v>380</v>
      </c>
      <c r="BN87" s="13" cm="1">
        <f t="array" ref="BN87">INDEX(Info!$AD$4:$AH$15,MATCH(Info!$I$13,Info!$AC$4:$AC$15,0),IF(AF87&lt;=16,1,IF(AF87&lt;=40,2,IF(AF87&lt;=75,3,IF(AF87&lt;=100,4,5)))))</f>
        <v>380</v>
      </c>
      <c r="BO87" s="13"/>
      <c r="BP87" s="13">
        <f t="shared" si="278"/>
        <v>0.125</v>
      </c>
      <c r="BQ87" s="13">
        <f t="shared" si="279"/>
        <v>2821.7902119044925</v>
      </c>
      <c r="BR87" s="13">
        <f t="shared" si="280"/>
        <v>3122</v>
      </c>
      <c r="BS87" s="13"/>
      <c r="BT87" s="136">
        <f t="shared" si="281"/>
        <v>0</v>
      </c>
      <c r="BU87" s="136">
        <f t="shared" si="282"/>
        <v>0</v>
      </c>
      <c r="BV87" s="136">
        <f t="shared" si="283"/>
        <v>1595000</v>
      </c>
      <c r="BW87" s="136">
        <f t="shared" si="284"/>
        <v>11178291666.666666</v>
      </c>
      <c r="BX87" s="136">
        <f t="shared" si="285"/>
        <v>0</v>
      </c>
      <c r="BY87" s="136">
        <f t="shared" si="286"/>
        <v>0</v>
      </c>
      <c r="BZ87" s="136">
        <f t="shared" si="287"/>
        <v>7655.2758986349281</v>
      </c>
      <c r="CA87" s="136">
        <f t="shared" si="288"/>
        <v>172722.16246295057</v>
      </c>
      <c r="CB87" s="136">
        <f t="shared" si="289"/>
        <v>5428.6721054031623</v>
      </c>
      <c r="CC87" s="136">
        <f t="shared" si="290"/>
        <v>86858.753686450596</v>
      </c>
      <c r="CE87" s="1137">
        <f t="shared" si="291"/>
        <v>346081987.77679139</v>
      </c>
      <c r="CF87" s="1136">
        <f t="shared" si="292"/>
        <v>411131448.88888884</v>
      </c>
      <c r="CG87" s="1136">
        <f t="shared" si="293"/>
        <v>0</v>
      </c>
      <c r="CH87" s="172">
        <f t="shared" si="294"/>
        <v>4020729166666.6665</v>
      </c>
      <c r="CJ87" s="136">
        <f t="shared" si="295"/>
        <v>170922.96508570784</v>
      </c>
      <c r="CK87" s="7">
        <f t="shared" si="296"/>
        <v>238917070787.51535</v>
      </c>
      <c r="CL87" s="6">
        <f t="shared" si="297"/>
        <v>1691.1774126907367</v>
      </c>
      <c r="CM87" s="6">
        <f t="shared" si="298"/>
        <v>1176.8225873092633</v>
      </c>
      <c r="CN87" s="164">
        <f t="shared" si="264"/>
        <v>141272624.0278883</v>
      </c>
      <c r="CO87" s="164">
        <f t="shared" si="265"/>
        <v>203018767.1140689</v>
      </c>
      <c r="CP87" s="1137">
        <f t="shared" si="299"/>
        <v>145157044071.85852</v>
      </c>
      <c r="CQ87" s="1136">
        <f t="shared" si="300"/>
        <v>47905662980.39016</v>
      </c>
      <c r="CR87" s="22">
        <f t="shared" si="301"/>
        <v>170922.96508570784</v>
      </c>
      <c r="CS87" s="7">
        <f t="shared" si="302"/>
        <v>238917070787.51535</v>
      </c>
      <c r="CT87" s="6">
        <f t="shared" si="303"/>
        <v>1691.1774126907367</v>
      </c>
      <c r="CU87" s="12">
        <f t="shared" si="304"/>
        <v>1176.8225873092633</v>
      </c>
      <c r="CV87" s="164">
        <f t="shared" si="305"/>
        <v>141272624.0278883</v>
      </c>
      <c r="CW87" s="164">
        <f t="shared" si="306"/>
        <v>203018767.1140689</v>
      </c>
      <c r="CX87" s="1136">
        <f t="shared" si="307"/>
        <v>145157044071.85852</v>
      </c>
      <c r="CY87" s="1136">
        <f t="shared" si="308"/>
        <v>47905662980.39016</v>
      </c>
      <c r="CZ87" s="22">
        <f t="shared" si="309"/>
        <v>170922.96508570784</v>
      </c>
      <c r="DA87" s="7">
        <f t="shared" si="310"/>
        <v>238917070787.51535</v>
      </c>
      <c r="DB87" s="6">
        <f t="shared" si="311"/>
        <v>1691.1774126907367</v>
      </c>
      <c r="DC87" s="12">
        <f t="shared" si="312"/>
        <v>1176.8225873092633</v>
      </c>
      <c r="DD87" s="164">
        <f t="shared" si="266"/>
        <v>141272624.0278883</v>
      </c>
      <c r="DE87" s="164">
        <f t="shared" si="267"/>
        <v>203018767.1140689</v>
      </c>
      <c r="DF87" s="1136">
        <f t="shared" si="313"/>
        <v>145157044071.85852</v>
      </c>
      <c r="DG87" s="1136">
        <f t="shared" si="314"/>
        <v>47905662980.39016</v>
      </c>
      <c r="DH87" s="22">
        <f t="shared" si="315"/>
        <v>418834.65161772241</v>
      </c>
      <c r="DI87" s="172">
        <f t="shared" si="316"/>
        <v>568512249725.37402</v>
      </c>
      <c r="DJ87" s="12">
        <f t="shared" si="317"/>
        <v>625.63754698657112</v>
      </c>
      <c r="DK87" s="22">
        <f t="shared" si="318"/>
        <v>2242.3624530134289</v>
      </c>
      <c r="DL87" s="164">
        <f t="shared" si="268"/>
        <v>908692664.72841144</v>
      </c>
      <c r="DM87" s="164">
        <f t="shared" si="269"/>
        <v>253532719.01309764</v>
      </c>
      <c r="DN87" s="7">
        <f t="shared" si="319"/>
        <v>770101087204.64526</v>
      </c>
      <c r="DO87" s="1136">
        <f t="shared" si="320"/>
        <v>233008465685.25287</v>
      </c>
      <c r="DP87" s="22">
        <f t="shared" si="321"/>
        <v>253560.1939297127</v>
      </c>
      <c r="DQ87" s="172">
        <f t="shared" si="322"/>
        <v>420016377790.86359</v>
      </c>
      <c r="DR87" s="22">
        <f t="shared" si="323"/>
        <v>1104.4856670077768</v>
      </c>
      <c r="DS87" s="22">
        <f t="shared" si="324"/>
        <v>1763.5143329922232</v>
      </c>
      <c r="DT87" s="164">
        <f t="shared" si="270"/>
        <v>380282325.37299752</v>
      </c>
      <c r="DU87" s="164">
        <f t="shared" si="271"/>
        <v>238170095.88927212</v>
      </c>
      <c r="DV87" s="1136">
        <f t="shared" si="325"/>
        <v>353471725116.12073</v>
      </c>
      <c r="DW87" s="1136">
        <f t="shared" si="326"/>
        <v>233008465685.25287</v>
      </c>
      <c r="DX87" s="763">
        <f t="shared" si="327"/>
        <v>184006.91308974594</v>
      </c>
      <c r="DY87" s="7">
        <f t="shared" si="328"/>
        <v>278957443793.89447</v>
      </c>
      <c r="DZ87" s="13">
        <f t="shared" si="329"/>
        <v>1562.3199262688654</v>
      </c>
      <c r="EA87" s="763">
        <f t="shared" si="330"/>
        <v>1305.6800737311346</v>
      </c>
      <c r="EB87" s="164">
        <f t="shared" si="272"/>
        <v>178553341.79862958</v>
      </c>
      <c r="EC87" s="164">
        <f t="shared" si="273"/>
        <v>213649154.49520549</v>
      </c>
      <c r="ED87" s="1136">
        <f t="shared" si="331"/>
        <v>770101087204.64526</v>
      </c>
      <c r="EE87" s="1136">
        <f t="shared" si="332"/>
        <v>233008465685.25287</v>
      </c>
      <c r="EF87" s="763">
        <f t="shared" si="333"/>
        <v>175284.28108705388</v>
      </c>
      <c r="EG87" s="7">
        <f t="shared" si="334"/>
        <v>252925923365.1283</v>
      </c>
      <c r="EH87" s="13">
        <f t="shared" si="335"/>
        <v>1646.0874819071607</v>
      </c>
      <c r="EI87" s="763">
        <f t="shared" si="336"/>
        <v>1221.9125180928393</v>
      </c>
      <c r="EJ87" s="164">
        <f t="shared" si="274"/>
        <v>153652783.43049407</v>
      </c>
      <c r="EK87" s="164">
        <f t="shared" si="275"/>
        <v>206991842.39465442</v>
      </c>
      <c r="EL87" s="1136">
        <f t="shared" si="337"/>
        <v>353471725116.12073</v>
      </c>
      <c r="EM87" s="1136">
        <f t="shared" si="338"/>
        <v>233008465685.25287</v>
      </c>
      <c r="EN87" s="164"/>
      <c r="EO87" s="164"/>
    </row>
    <row r="88" spans="1:145" s="136" customFormat="1">
      <c r="B88" s="136" t="str">
        <f t="shared" ref="B88" si="358">LEFT(B86,3)+1&amp;"j"</f>
        <v>212j</v>
      </c>
      <c r="C88" s="136">
        <v>51.9</v>
      </c>
      <c r="D88" s="136">
        <v>0</v>
      </c>
      <c r="E88" s="136" t="s">
        <v>2108</v>
      </c>
      <c r="F88" s="26">
        <v>2</v>
      </c>
      <c r="G88" s="136">
        <v>500</v>
      </c>
      <c r="H88" s="136">
        <v>36</v>
      </c>
      <c r="I88" s="28">
        <v>250</v>
      </c>
      <c r="J88" s="26">
        <v>1940</v>
      </c>
      <c r="K88" s="136">
        <v>32</v>
      </c>
      <c r="L88" s="28">
        <v>120</v>
      </c>
      <c r="M88" s="26">
        <v>2800</v>
      </c>
      <c r="N88" s="28">
        <v>12</v>
      </c>
      <c r="O88" s="26">
        <v>0</v>
      </c>
      <c r="P88" s="26">
        <v>290</v>
      </c>
      <c r="Q88" s="397">
        <v>5500</v>
      </c>
      <c r="R88" s="169">
        <v>0</v>
      </c>
      <c r="S88" s="210">
        <v>0</v>
      </c>
      <c r="T88" s="169">
        <v>1200</v>
      </c>
      <c r="U88" s="169">
        <v>2400</v>
      </c>
      <c r="V88" s="28">
        <v>3800</v>
      </c>
      <c r="W88" s="210">
        <v>19</v>
      </c>
      <c r="X88" s="210">
        <v>200</v>
      </c>
      <c r="Y88" s="169">
        <v>50</v>
      </c>
      <c r="Z88" s="210">
        <v>16</v>
      </c>
      <c r="AA88" s="210">
        <v>200</v>
      </c>
      <c r="AB88" s="28">
        <v>40</v>
      </c>
      <c r="AC88" s="210">
        <v>0</v>
      </c>
      <c r="AD88" s="26">
        <v>2</v>
      </c>
      <c r="AE88" s="169">
        <v>160</v>
      </c>
      <c r="AF88" s="169">
        <v>16</v>
      </c>
      <c r="AG88" s="26">
        <v>0</v>
      </c>
      <c r="AH88" s="169">
        <v>0</v>
      </c>
      <c r="AI88" s="169">
        <v>0</v>
      </c>
      <c r="AJ88" s="397">
        <v>2</v>
      </c>
      <c r="AK88" s="210">
        <v>2500</v>
      </c>
      <c r="AL88" s="210">
        <v>5000</v>
      </c>
      <c r="AM88" s="210" t="s">
        <v>2316</v>
      </c>
      <c r="AN88" s="210">
        <v>2500</v>
      </c>
      <c r="AO88" s="1143" t="s">
        <v>2322</v>
      </c>
      <c r="AP88" s="1143" t="s">
        <v>2321</v>
      </c>
      <c r="AQ88" s="1143"/>
      <c r="AR88" s="1143"/>
      <c r="AS88" s="1143"/>
      <c r="AT88" s="1143"/>
      <c r="AU88" s="1143"/>
      <c r="AV88" s="1109"/>
      <c r="AW88" s="1109"/>
      <c r="AX88" s="1109"/>
      <c r="AY88" s="1109"/>
      <c r="AZ88" s="1108">
        <v>8</v>
      </c>
      <c r="BA88" s="1108">
        <v>6</v>
      </c>
      <c r="BB88" s="1109"/>
      <c r="BC88" s="1168"/>
      <c r="BD88" s="210">
        <f>INDEX(Spec!$B$12:$P$58,MATCH(AO88,Spec!$A$12:$A$58,0),6)*100</f>
        <v>2921</v>
      </c>
      <c r="BE88" s="210">
        <f>INDEX(Spec!$B$12:$P$58,MATCH(AP88,Spec!$A$12:$A$58,0),6)*100</f>
        <v>1900</v>
      </c>
      <c r="BF88" s="881">
        <f t="shared" si="276"/>
        <v>1.0653882658952631</v>
      </c>
      <c r="BG88" s="881">
        <f t="shared" si="277"/>
        <v>47.243485714285718</v>
      </c>
      <c r="BH88" s="881"/>
      <c r="BI88" s="13" cm="1">
        <f t="array" ref="BI88">INDEX(Info!$AD$4:$AH$15,MATCH(Info!$I$13,Info!$AC$4:$AC$15,0),IF(H88&lt;=16,1,IF(H88&lt;=40,2,IF(H88&lt;=75,3,IF(H88&lt;=100,4,5)))))</f>
        <v>380</v>
      </c>
      <c r="BJ88" s="13" cm="1">
        <f t="array" ref="BJ88">INDEX(Info!$AD$4:$AH$15,MATCH(Info!$I$13,Info!$AC$4:$AC$15,0),IF(K88&lt;=16,1,IF(K88&lt;=40,2,IF(K88&lt;=75,3,IF(K88&lt;=100,4,5)))))</f>
        <v>380</v>
      </c>
      <c r="BK88" s="13" cm="1">
        <f t="array" ref="BK88">INDEX(Info!$AD$4:$AH$15,MATCH(Info!$I$14,Info!$AC$4:$AC$15,0),IF(N88&lt;=16,1,IF(N88&lt;=40,2,IF(N88&lt;=75,3,IF(N88&lt;=100,4,5)))))</f>
        <v>355</v>
      </c>
      <c r="BL88" s="13">
        <f>IF(Stress!C917="Positive",MAX(MIN(0.7*BI88,BK88),0.5*BI88),MAX(MIN(0.7*BJ88,BK88),0.5*BJ88))</f>
        <v>266</v>
      </c>
      <c r="BM88" s="13" cm="1">
        <f t="array" ref="BM88">INDEX(Info!$AD$4:$AH$15,MATCH(Info!$I$13,Info!$AC$4:$AC$15,0),IF(AI88&lt;=16,1,IF(AI88&lt;=40,2,IF(AI88&lt;=75,3,IF(AI88&lt;=100,4,5)))))</f>
        <v>380</v>
      </c>
      <c r="BN88" s="13" cm="1">
        <f t="array" ref="BN88">INDEX(Info!$AD$4:$AH$15,MATCH(Info!$I$13,Info!$AC$4:$AC$15,0),IF(AF88&lt;=16,1,IF(AF88&lt;=40,2,IF(AF88&lt;=75,3,IF(AF88&lt;=100,4,5)))))</f>
        <v>380</v>
      </c>
      <c r="BO88" s="13"/>
      <c r="BP88" s="13">
        <f t="shared" si="278"/>
        <v>0.125</v>
      </c>
      <c r="BQ88" s="13">
        <f t="shared" si="279"/>
        <v>2821.7902119044925</v>
      </c>
      <c r="BR88" s="13">
        <f t="shared" si="280"/>
        <v>3122</v>
      </c>
      <c r="BS88" s="13"/>
      <c r="BT88" s="136">
        <f t="shared" si="281"/>
        <v>0</v>
      </c>
      <c r="BU88" s="136">
        <f t="shared" si="282"/>
        <v>0</v>
      </c>
      <c r="BV88" s="136">
        <f t="shared" si="283"/>
        <v>1595000</v>
      </c>
      <c r="BW88" s="136">
        <f t="shared" si="284"/>
        <v>11178291666.666666</v>
      </c>
      <c r="BX88" s="136">
        <f t="shared" si="285"/>
        <v>0</v>
      </c>
      <c r="BY88" s="136">
        <f t="shared" si="286"/>
        <v>0</v>
      </c>
      <c r="BZ88" s="136">
        <f t="shared" si="287"/>
        <v>7655.2758986349281</v>
      </c>
      <c r="CA88" s="136">
        <f t="shared" si="288"/>
        <v>172722.16246295057</v>
      </c>
      <c r="CB88" s="136">
        <f t="shared" si="289"/>
        <v>5428.6721054031623</v>
      </c>
      <c r="CC88" s="136">
        <f t="shared" si="290"/>
        <v>86858.753686450596</v>
      </c>
      <c r="CE88" s="1137">
        <f t="shared" si="291"/>
        <v>346081987.77679139</v>
      </c>
      <c r="CF88" s="1136">
        <f t="shared" si="292"/>
        <v>411131448.88888884</v>
      </c>
      <c r="CG88" s="1136">
        <f t="shared" si="293"/>
        <v>0</v>
      </c>
      <c r="CH88" s="172">
        <f t="shared" si="294"/>
        <v>4020729166666.6665</v>
      </c>
      <c r="CJ88" s="136">
        <f t="shared" si="295"/>
        <v>170922.96508570784</v>
      </c>
      <c r="CK88" s="7">
        <f t="shared" si="296"/>
        <v>238917070787.51535</v>
      </c>
      <c r="CL88" s="6">
        <f t="shared" si="297"/>
        <v>1691.1774126907367</v>
      </c>
      <c r="CM88" s="6">
        <f t="shared" si="298"/>
        <v>1176.8225873092633</v>
      </c>
      <c r="CN88" s="164">
        <f t="shared" si="264"/>
        <v>141272624.0278883</v>
      </c>
      <c r="CO88" s="164">
        <f t="shared" si="265"/>
        <v>203018767.1140689</v>
      </c>
      <c r="CP88" s="1137">
        <f t="shared" si="299"/>
        <v>145157044071.85852</v>
      </c>
      <c r="CQ88" s="1136">
        <f t="shared" si="300"/>
        <v>47905662980.39016</v>
      </c>
      <c r="CR88" s="22">
        <f t="shared" si="301"/>
        <v>170922.96508570784</v>
      </c>
      <c r="CS88" s="7">
        <f t="shared" si="302"/>
        <v>238917070787.51535</v>
      </c>
      <c r="CT88" s="6">
        <f t="shared" si="303"/>
        <v>1691.1774126907367</v>
      </c>
      <c r="CU88" s="12">
        <f t="shared" si="304"/>
        <v>1176.8225873092633</v>
      </c>
      <c r="CV88" s="164">
        <f t="shared" si="305"/>
        <v>141272624.0278883</v>
      </c>
      <c r="CW88" s="164">
        <f t="shared" si="306"/>
        <v>203018767.1140689</v>
      </c>
      <c r="CX88" s="1136">
        <f t="shared" si="307"/>
        <v>145157044071.85852</v>
      </c>
      <c r="CY88" s="1136">
        <f t="shared" si="308"/>
        <v>47905662980.39016</v>
      </c>
      <c r="CZ88" s="22">
        <f t="shared" si="309"/>
        <v>170922.96508570784</v>
      </c>
      <c r="DA88" s="7">
        <f t="shared" si="310"/>
        <v>238917070787.51535</v>
      </c>
      <c r="DB88" s="6">
        <f t="shared" si="311"/>
        <v>1691.1774126907367</v>
      </c>
      <c r="DC88" s="12">
        <f t="shared" si="312"/>
        <v>1176.8225873092633</v>
      </c>
      <c r="DD88" s="164">
        <f t="shared" si="266"/>
        <v>141272624.0278883</v>
      </c>
      <c r="DE88" s="164">
        <f t="shared" si="267"/>
        <v>203018767.1140689</v>
      </c>
      <c r="DF88" s="1136">
        <f t="shared" si="313"/>
        <v>145157044071.85852</v>
      </c>
      <c r="DG88" s="1136">
        <f t="shared" si="314"/>
        <v>47905662980.39016</v>
      </c>
      <c r="DH88" s="22">
        <f t="shared" si="315"/>
        <v>418834.65161772241</v>
      </c>
      <c r="DI88" s="172">
        <f t="shared" si="316"/>
        <v>568512249725.37402</v>
      </c>
      <c r="DJ88" s="12">
        <f t="shared" si="317"/>
        <v>625.63754698657112</v>
      </c>
      <c r="DK88" s="22">
        <f t="shared" si="318"/>
        <v>2242.3624530134289</v>
      </c>
      <c r="DL88" s="164">
        <f t="shared" si="268"/>
        <v>908692664.72841144</v>
      </c>
      <c r="DM88" s="164">
        <f t="shared" si="269"/>
        <v>253532719.01309764</v>
      </c>
      <c r="DN88" s="7">
        <f t="shared" si="319"/>
        <v>770101087204.64526</v>
      </c>
      <c r="DO88" s="1136">
        <f t="shared" si="320"/>
        <v>233008465685.25287</v>
      </c>
      <c r="DP88" s="22">
        <f t="shared" si="321"/>
        <v>253560.1939297127</v>
      </c>
      <c r="DQ88" s="172">
        <f t="shared" si="322"/>
        <v>420016377790.86359</v>
      </c>
      <c r="DR88" s="22">
        <f t="shared" si="323"/>
        <v>1104.4856670077768</v>
      </c>
      <c r="DS88" s="22">
        <f t="shared" si="324"/>
        <v>1763.5143329922232</v>
      </c>
      <c r="DT88" s="164">
        <f t="shared" si="270"/>
        <v>380282325.37299752</v>
      </c>
      <c r="DU88" s="164">
        <f t="shared" si="271"/>
        <v>238170095.88927212</v>
      </c>
      <c r="DV88" s="1136">
        <f t="shared" si="325"/>
        <v>353471725116.12073</v>
      </c>
      <c r="DW88" s="1136">
        <f t="shared" si="326"/>
        <v>233008465685.25287</v>
      </c>
      <c r="DX88" s="763">
        <f t="shared" si="327"/>
        <v>184006.91308974594</v>
      </c>
      <c r="DY88" s="7">
        <f t="shared" si="328"/>
        <v>278957443793.89447</v>
      </c>
      <c r="DZ88" s="13">
        <f t="shared" si="329"/>
        <v>1562.3199262688654</v>
      </c>
      <c r="EA88" s="763">
        <f t="shared" si="330"/>
        <v>1305.6800737311346</v>
      </c>
      <c r="EB88" s="164">
        <f t="shared" si="272"/>
        <v>178553341.79862958</v>
      </c>
      <c r="EC88" s="164">
        <f t="shared" si="273"/>
        <v>213649154.49520549</v>
      </c>
      <c r="ED88" s="1136">
        <f t="shared" si="331"/>
        <v>770101087204.64526</v>
      </c>
      <c r="EE88" s="1136">
        <f t="shared" si="332"/>
        <v>233008465685.25287</v>
      </c>
      <c r="EF88" s="763">
        <f t="shared" si="333"/>
        <v>175284.28108705388</v>
      </c>
      <c r="EG88" s="7">
        <f t="shared" si="334"/>
        <v>252925923365.1283</v>
      </c>
      <c r="EH88" s="13">
        <f t="shared" si="335"/>
        <v>1646.0874819071607</v>
      </c>
      <c r="EI88" s="763">
        <f t="shared" si="336"/>
        <v>1221.9125180928393</v>
      </c>
      <c r="EJ88" s="164">
        <f t="shared" si="274"/>
        <v>153652783.43049407</v>
      </c>
      <c r="EK88" s="164">
        <f t="shared" si="275"/>
        <v>206991842.39465442</v>
      </c>
      <c r="EL88" s="1136">
        <f t="shared" si="337"/>
        <v>353471725116.12073</v>
      </c>
      <c r="EM88" s="1136">
        <f t="shared" si="338"/>
        <v>233008465685.25287</v>
      </c>
      <c r="EN88" s="164"/>
      <c r="EO88" s="164"/>
    </row>
    <row r="89" spans="1:145" s="136" customFormat="1">
      <c r="A89" s="136">
        <v>113</v>
      </c>
      <c r="B89" s="136" t="str">
        <f t="shared" ref="B89" si="359">LEFT(B87,3)+1&amp;"i"</f>
        <v>213i</v>
      </c>
      <c r="C89" s="136">
        <v>51.9</v>
      </c>
      <c r="D89" s="136">
        <v>0</v>
      </c>
      <c r="E89" s="136" t="s">
        <v>2109</v>
      </c>
      <c r="F89" s="26">
        <v>2</v>
      </c>
      <c r="G89" s="136">
        <v>500</v>
      </c>
      <c r="H89" s="136">
        <v>30</v>
      </c>
      <c r="I89" s="28">
        <v>250</v>
      </c>
      <c r="J89" s="26">
        <v>1940</v>
      </c>
      <c r="K89" s="136">
        <v>32</v>
      </c>
      <c r="L89" s="28">
        <v>120</v>
      </c>
      <c r="M89" s="26">
        <v>2800</v>
      </c>
      <c r="N89" s="28">
        <v>12</v>
      </c>
      <c r="O89" s="26">
        <v>0</v>
      </c>
      <c r="P89" s="26">
        <v>290</v>
      </c>
      <c r="Q89" s="397">
        <v>5500</v>
      </c>
      <c r="R89" s="169">
        <v>0</v>
      </c>
      <c r="S89" s="210">
        <v>0</v>
      </c>
      <c r="T89" s="169">
        <v>1200</v>
      </c>
      <c r="U89" s="169">
        <v>2400</v>
      </c>
      <c r="V89" s="28">
        <v>3800</v>
      </c>
      <c r="W89" s="210">
        <v>19</v>
      </c>
      <c r="X89" s="210">
        <v>200</v>
      </c>
      <c r="Y89" s="169">
        <v>50</v>
      </c>
      <c r="Z89" s="210">
        <v>16</v>
      </c>
      <c r="AA89" s="210">
        <v>200</v>
      </c>
      <c r="AB89" s="28">
        <v>40</v>
      </c>
      <c r="AC89" s="210">
        <v>0</v>
      </c>
      <c r="AD89" s="26">
        <v>2</v>
      </c>
      <c r="AE89" s="169">
        <v>160</v>
      </c>
      <c r="AF89" s="169">
        <v>16</v>
      </c>
      <c r="AG89" s="26">
        <v>0</v>
      </c>
      <c r="AH89" s="169">
        <v>0</v>
      </c>
      <c r="AI89" s="169">
        <v>0</v>
      </c>
      <c r="AJ89" s="397">
        <v>2</v>
      </c>
      <c r="AK89" s="210">
        <v>2500</v>
      </c>
      <c r="AL89" s="210">
        <v>5000</v>
      </c>
      <c r="AM89" s="210" t="s">
        <v>2316</v>
      </c>
      <c r="AN89" s="210">
        <v>2500</v>
      </c>
      <c r="AO89" s="1143" t="s">
        <v>2322</v>
      </c>
      <c r="AP89" s="1143" t="s">
        <v>2321</v>
      </c>
      <c r="AQ89" s="1143"/>
      <c r="AR89" s="1143"/>
      <c r="AS89" s="1143"/>
      <c r="AT89" s="1143"/>
      <c r="AU89" s="1143"/>
      <c r="AV89" s="1109"/>
      <c r="AW89" s="1109"/>
      <c r="AX89" s="1109"/>
      <c r="AY89" s="1109"/>
      <c r="AZ89" s="1108">
        <v>8</v>
      </c>
      <c r="BA89" s="1108">
        <v>6</v>
      </c>
      <c r="BB89" s="1109"/>
      <c r="BC89" s="1168"/>
      <c r="BD89" s="210">
        <f>INDEX(Spec!$B$12:$P$58,MATCH(AO89,Spec!$A$12:$A$58,0),6)*100</f>
        <v>2921</v>
      </c>
      <c r="BE89" s="210">
        <f>INDEX(Spec!$B$12:$P$58,MATCH(AP89,Spec!$A$12:$A$58,0),6)*100</f>
        <v>1900</v>
      </c>
      <c r="BF89" s="881">
        <f t="shared" si="276"/>
        <v>1.0617395007654364</v>
      </c>
      <c r="BG89" s="881">
        <f t="shared" si="277"/>
        <v>47.243485714285718</v>
      </c>
      <c r="BH89" s="881"/>
      <c r="BI89" s="13" cm="1">
        <f t="array" ref="BI89">INDEX(Info!$AD$4:$AH$15,MATCH(Info!$I$13,Info!$AC$4:$AC$15,0),IF(H89&lt;=16,1,IF(H89&lt;=40,2,IF(H89&lt;=75,3,IF(H89&lt;=100,4,5)))))</f>
        <v>380</v>
      </c>
      <c r="BJ89" s="13" cm="1">
        <f t="array" ref="BJ89">INDEX(Info!$AD$4:$AH$15,MATCH(Info!$I$13,Info!$AC$4:$AC$15,0),IF(K89&lt;=16,1,IF(K89&lt;=40,2,IF(K89&lt;=75,3,IF(K89&lt;=100,4,5)))))</f>
        <v>380</v>
      </c>
      <c r="BK89" s="13" cm="1">
        <f t="array" ref="BK89">INDEX(Info!$AD$4:$AH$15,MATCH(Info!$I$14,Info!$AC$4:$AC$15,0),IF(N89&lt;=16,1,IF(N89&lt;=40,2,IF(N89&lt;=75,3,IF(N89&lt;=100,4,5)))))</f>
        <v>355</v>
      </c>
      <c r="BL89" s="13">
        <f>IF(Stress!C918="Positive",MAX(MIN(0.7*BI89,BK89),0.5*BI89),MAX(MIN(0.7*BJ89,BK89),0.5*BJ89))</f>
        <v>266</v>
      </c>
      <c r="BM89" s="13" cm="1">
        <f t="array" ref="BM89">INDEX(Info!$AD$4:$AH$15,MATCH(Info!$I$13,Info!$AC$4:$AC$15,0),IF(AI89&lt;=16,1,IF(AI89&lt;=40,2,IF(AI89&lt;=75,3,IF(AI89&lt;=100,4,5)))))</f>
        <v>380</v>
      </c>
      <c r="BN89" s="13" cm="1">
        <f t="array" ref="BN89">INDEX(Info!$AD$4:$AH$15,MATCH(Info!$I$13,Info!$AC$4:$AC$15,0),IF(AF89&lt;=16,1,IF(AF89&lt;=40,2,IF(AF89&lt;=75,3,IF(AF89&lt;=100,4,5)))))</f>
        <v>380</v>
      </c>
      <c r="BO89" s="13"/>
      <c r="BP89" s="13">
        <f t="shared" si="278"/>
        <v>0.125</v>
      </c>
      <c r="BQ89" s="13">
        <f t="shared" si="279"/>
        <v>2821.7902119044925</v>
      </c>
      <c r="BR89" s="13">
        <f t="shared" si="280"/>
        <v>3122</v>
      </c>
      <c r="BS89" s="13"/>
      <c r="BT89" s="136">
        <f t="shared" si="281"/>
        <v>0</v>
      </c>
      <c r="BU89" s="136">
        <f t="shared" si="282"/>
        <v>0</v>
      </c>
      <c r="BV89" s="136">
        <f t="shared" si="283"/>
        <v>1595000</v>
      </c>
      <c r="BW89" s="136">
        <f t="shared" si="284"/>
        <v>11178291666.666666</v>
      </c>
      <c r="BX89" s="136">
        <f t="shared" si="285"/>
        <v>0</v>
      </c>
      <c r="BY89" s="136">
        <f t="shared" si="286"/>
        <v>0</v>
      </c>
      <c r="BZ89" s="136">
        <f t="shared" si="287"/>
        <v>7655.2758986349281</v>
      </c>
      <c r="CA89" s="136">
        <f t="shared" si="288"/>
        <v>172722.16246295057</v>
      </c>
      <c r="CB89" s="136">
        <f t="shared" si="289"/>
        <v>5428.6721054031623</v>
      </c>
      <c r="CC89" s="136">
        <f t="shared" si="290"/>
        <v>86858.753686450596</v>
      </c>
      <c r="CE89" s="1137">
        <f t="shared" si="291"/>
        <v>346081987.77679139</v>
      </c>
      <c r="CF89" s="1136">
        <f t="shared" si="292"/>
        <v>411131448.88888884</v>
      </c>
      <c r="CG89" s="1136">
        <f t="shared" si="293"/>
        <v>0</v>
      </c>
      <c r="CH89" s="172">
        <f t="shared" si="294"/>
        <v>4020729166666.6665</v>
      </c>
      <c r="CJ89" s="136">
        <f t="shared" si="295"/>
        <v>164922.96508570784</v>
      </c>
      <c r="CK89" s="7">
        <f t="shared" si="296"/>
        <v>221195298743.63608</v>
      </c>
      <c r="CL89" s="6">
        <f t="shared" si="297"/>
        <v>1746.5943564794959</v>
      </c>
      <c r="CM89" s="6">
        <f t="shared" si="298"/>
        <v>1115.4056435205041</v>
      </c>
      <c r="CN89" s="164">
        <f t="shared" si="264"/>
        <v>126643772.73580913</v>
      </c>
      <c r="CO89" s="164">
        <f t="shared" si="265"/>
        <v>198309287.77219328</v>
      </c>
      <c r="CP89" s="1137">
        <f t="shared" si="299"/>
        <v>136392044071.85852</v>
      </c>
      <c r="CQ89" s="1136">
        <f t="shared" si="300"/>
        <v>47772738867.848671</v>
      </c>
      <c r="CR89" s="22">
        <f t="shared" si="301"/>
        <v>164922.96508570784</v>
      </c>
      <c r="CS89" s="7">
        <f t="shared" si="302"/>
        <v>221195298743.63608</v>
      </c>
      <c r="CT89" s="6">
        <f t="shared" si="303"/>
        <v>1746.5943564794959</v>
      </c>
      <c r="CU89" s="12">
        <f t="shared" si="304"/>
        <v>1115.4056435205041</v>
      </c>
      <c r="CV89" s="164">
        <f t="shared" si="305"/>
        <v>126643772.73580913</v>
      </c>
      <c r="CW89" s="164">
        <f t="shared" si="306"/>
        <v>198309287.77219328</v>
      </c>
      <c r="CX89" s="1136">
        <f t="shared" si="307"/>
        <v>136392044071.85852</v>
      </c>
      <c r="CY89" s="1136">
        <f t="shared" si="308"/>
        <v>47772738867.848671</v>
      </c>
      <c r="CZ89" s="22">
        <f t="shared" si="309"/>
        <v>164922.96508570784</v>
      </c>
      <c r="DA89" s="7">
        <f t="shared" si="310"/>
        <v>221195298743.63608</v>
      </c>
      <c r="DB89" s="6">
        <f t="shared" si="311"/>
        <v>1746.5943564794959</v>
      </c>
      <c r="DC89" s="12">
        <f t="shared" si="312"/>
        <v>1115.4056435205041</v>
      </c>
      <c r="DD89" s="164">
        <f t="shared" si="266"/>
        <v>126643772.73580913</v>
      </c>
      <c r="DE89" s="164">
        <f t="shared" si="267"/>
        <v>198309287.77219328</v>
      </c>
      <c r="DF89" s="1136">
        <f t="shared" si="313"/>
        <v>136392044071.85852</v>
      </c>
      <c r="DG89" s="1136">
        <f t="shared" si="314"/>
        <v>47772738867.848671</v>
      </c>
      <c r="DH89" s="22">
        <f t="shared" si="315"/>
        <v>412834.65161772241</v>
      </c>
      <c r="DI89" s="172">
        <f t="shared" si="316"/>
        <v>566152360388.05957</v>
      </c>
      <c r="DJ89" s="12">
        <f t="shared" si="317"/>
        <v>628.6867517160681</v>
      </c>
      <c r="DK89" s="22">
        <f t="shared" si="318"/>
        <v>2233.3132482839319</v>
      </c>
      <c r="DL89" s="164">
        <f t="shared" si="268"/>
        <v>900531717.65221047</v>
      </c>
      <c r="DM89" s="164">
        <f t="shared" si="269"/>
        <v>253503336.72317958</v>
      </c>
      <c r="DN89" s="7">
        <f t="shared" si="319"/>
        <v>761336087204.64526</v>
      </c>
      <c r="DO89" s="1136">
        <f t="shared" si="320"/>
        <v>233008465685.25287</v>
      </c>
      <c r="DP89" s="22">
        <f t="shared" si="321"/>
        <v>247560.1939297127</v>
      </c>
      <c r="DQ89" s="172">
        <f t="shared" si="322"/>
        <v>412560302918.47009</v>
      </c>
      <c r="DR89" s="22">
        <f t="shared" si="323"/>
        <v>1125.1818571227475</v>
      </c>
      <c r="DS89" s="22">
        <f t="shared" si="324"/>
        <v>1736.8181428772525</v>
      </c>
      <c r="DT89" s="164">
        <f t="shared" si="270"/>
        <v>366660998.2260524</v>
      </c>
      <c r="DU89" s="164">
        <f t="shared" si="271"/>
        <v>237537997.06111619</v>
      </c>
      <c r="DV89" s="1136">
        <f t="shared" si="325"/>
        <v>344706725116.12073</v>
      </c>
      <c r="DW89" s="1136">
        <f t="shared" si="326"/>
        <v>233008465685.25287</v>
      </c>
      <c r="DX89" s="763">
        <f t="shared" si="327"/>
        <v>178006.91308974594</v>
      </c>
      <c r="DY89" s="7">
        <f t="shared" si="328"/>
        <v>263876813373.73816</v>
      </c>
      <c r="DZ89" s="13">
        <f t="shared" si="329"/>
        <v>1608.8792308218083</v>
      </c>
      <c r="EA89" s="763">
        <f t="shared" si="330"/>
        <v>1253.1207691781917</v>
      </c>
      <c r="EB89" s="164">
        <f t="shared" si="272"/>
        <v>164012816.07628876</v>
      </c>
      <c r="EC89" s="164">
        <f t="shared" si="273"/>
        <v>210575724.11539474</v>
      </c>
      <c r="ED89" s="1136">
        <f t="shared" si="331"/>
        <v>761336087204.64526</v>
      </c>
      <c r="EE89" s="1136">
        <f t="shared" si="332"/>
        <v>233008465685.25287</v>
      </c>
      <c r="EF89" s="763">
        <f t="shared" si="333"/>
        <v>169284.28108705388</v>
      </c>
      <c r="EG89" s="7">
        <f t="shared" si="334"/>
        <v>236153360491.24203</v>
      </c>
      <c r="EH89" s="13">
        <f t="shared" si="335"/>
        <v>1698.3239869632519</v>
      </c>
      <c r="EI89" s="763">
        <f t="shared" si="336"/>
        <v>1163.6760130367481</v>
      </c>
      <c r="EJ89" s="164">
        <f t="shared" si="274"/>
        <v>139050830.29151839</v>
      </c>
      <c r="EK89" s="164">
        <f t="shared" si="275"/>
        <v>202937379.34407732</v>
      </c>
      <c r="EL89" s="1136">
        <f t="shared" si="337"/>
        <v>344706725116.12073</v>
      </c>
      <c r="EM89" s="1136">
        <f t="shared" si="338"/>
        <v>233008465685.25287</v>
      </c>
      <c r="EN89" s="164"/>
      <c r="EO89" s="164"/>
    </row>
    <row r="90" spans="1:145" s="136" customFormat="1">
      <c r="B90" s="136" t="str">
        <f t="shared" ref="B90" si="360">LEFT(B88,3)+1&amp;"j"</f>
        <v>213j</v>
      </c>
      <c r="C90" s="136">
        <v>56.9</v>
      </c>
      <c r="D90" s="136">
        <v>0</v>
      </c>
      <c r="E90" s="136" t="s">
        <v>2109</v>
      </c>
      <c r="F90" s="26">
        <v>2</v>
      </c>
      <c r="G90" s="136">
        <v>500</v>
      </c>
      <c r="H90" s="136">
        <v>30</v>
      </c>
      <c r="I90" s="28">
        <v>250</v>
      </c>
      <c r="J90" s="26">
        <v>1940</v>
      </c>
      <c r="K90" s="136">
        <v>32</v>
      </c>
      <c r="L90" s="28">
        <v>120</v>
      </c>
      <c r="M90" s="26">
        <v>2800</v>
      </c>
      <c r="N90" s="28">
        <v>12</v>
      </c>
      <c r="O90" s="26">
        <v>0</v>
      </c>
      <c r="P90" s="26">
        <v>290</v>
      </c>
      <c r="Q90" s="397">
        <v>5500</v>
      </c>
      <c r="R90" s="169">
        <v>0</v>
      </c>
      <c r="S90" s="210">
        <v>0</v>
      </c>
      <c r="T90" s="169">
        <v>1200</v>
      </c>
      <c r="U90" s="169">
        <v>2400</v>
      </c>
      <c r="V90" s="28">
        <v>3800</v>
      </c>
      <c r="W90" s="210">
        <v>19</v>
      </c>
      <c r="X90" s="210">
        <v>200</v>
      </c>
      <c r="Y90" s="169">
        <v>50</v>
      </c>
      <c r="Z90" s="210">
        <v>16</v>
      </c>
      <c r="AA90" s="210">
        <v>200</v>
      </c>
      <c r="AB90" s="28">
        <v>40</v>
      </c>
      <c r="AC90" s="210">
        <v>0</v>
      </c>
      <c r="AD90" s="26">
        <v>2</v>
      </c>
      <c r="AE90" s="169">
        <v>160</v>
      </c>
      <c r="AF90" s="169">
        <v>16</v>
      </c>
      <c r="AG90" s="26">
        <v>0</v>
      </c>
      <c r="AH90" s="169">
        <v>0</v>
      </c>
      <c r="AI90" s="169">
        <v>0</v>
      </c>
      <c r="AJ90" s="397">
        <v>2</v>
      </c>
      <c r="AK90" s="210">
        <v>2500</v>
      </c>
      <c r="AL90" s="210">
        <v>5000</v>
      </c>
      <c r="AM90" s="210" t="s">
        <v>2316</v>
      </c>
      <c r="AN90" s="210">
        <v>2500</v>
      </c>
      <c r="AO90" s="1143" t="s">
        <v>2322</v>
      </c>
      <c r="AP90" s="1143" t="s">
        <v>2321</v>
      </c>
      <c r="AQ90" s="1143"/>
      <c r="AR90" s="1143"/>
      <c r="AS90" s="1143"/>
      <c r="AT90" s="1143"/>
      <c r="AU90" s="1143"/>
      <c r="AV90" s="1109"/>
      <c r="AW90" s="1109"/>
      <c r="AX90" s="1109"/>
      <c r="AY90" s="1109"/>
      <c r="AZ90" s="1108">
        <v>8</v>
      </c>
      <c r="BA90" s="1108">
        <v>6</v>
      </c>
      <c r="BB90" s="1109"/>
      <c r="BC90" s="1168"/>
      <c r="BD90" s="210">
        <f>INDEX(Spec!$B$12:$P$58,MATCH(AO90,Spec!$A$12:$A$58,0),6)*100</f>
        <v>2921</v>
      </c>
      <c r="BE90" s="210">
        <f>INDEX(Spec!$B$12:$P$58,MATCH(AP90,Spec!$A$12:$A$58,0),6)*100</f>
        <v>1900</v>
      </c>
      <c r="BF90" s="881">
        <f t="shared" si="276"/>
        <v>1.0617395007654364</v>
      </c>
      <c r="BG90" s="881">
        <f t="shared" si="277"/>
        <v>47.243485714285718</v>
      </c>
      <c r="BH90" s="881"/>
      <c r="BI90" s="13" cm="1">
        <f t="array" ref="BI90">INDEX(Info!$AD$4:$AH$15,MATCH(Info!$I$13,Info!$AC$4:$AC$15,0),IF(H90&lt;=16,1,IF(H90&lt;=40,2,IF(H90&lt;=75,3,IF(H90&lt;=100,4,5)))))</f>
        <v>380</v>
      </c>
      <c r="BJ90" s="13" cm="1">
        <f t="array" ref="BJ90">INDEX(Info!$AD$4:$AH$15,MATCH(Info!$I$13,Info!$AC$4:$AC$15,0),IF(K90&lt;=16,1,IF(K90&lt;=40,2,IF(K90&lt;=75,3,IF(K90&lt;=100,4,5)))))</f>
        <v>380</v>
      </c>
      <c r="BK90" s="13" cm="1">
        <f t="array" ref="BK90">INDEX(Info!$AD$4:$AH$15,MATCH(Info!$I$14,Info!$AC$4:$AC$15,0),IF(N90&lt;=16,1,IF(N90&lt;=40,2,IF(N90&lt;=75,3,IF(N90&lt;=100,4,5)))))</f>
        <v>355</v>
      </c>
      <c r="BL90" s="13">
        <f>IF(Stress!C919="Positive",MAX(MIN(0.7*BI90,BK90),0.5*BI90),MAX(MIN(0.7*BJ90,BK90),0.5*BJ90))</f>
        <v>266</v>
      </c>
      <c r="BM90" s="13" cm="1">
        <f t="array" ref="BM90">INDEX(Info!$AD$4:$AH$15,MATCH(Info!$I$13,Info!$AC$4:$AC$15,0),IF(AI90&lt;=16,1,IF(AI90&lt;=40,2,IF(AI90&lt;=75,3,IF(AI90&lt;=100,4,5)))))</f>
        <v>380</v>
      </c>
      <c r="BN90" s="13" cm="1">
        <f t="array" ref="BN90">INDEX(Info!$AD$4:$AH$15,MATCH(Info!$I$13,Info!$AC$4:$AC$15,0),IF(AF90&lt;=16,1,IF(AF90&lt;=40,2,IF(AF90&lt;=75,3,IF(AF90&lt;=100,4,5)))))</f>
        <v>380</v>
      </c>
      <c r="BO90" s="13"/>
      <c r="BP90" s="13">
        <f t="shared" si="278"/>
        <v>0.125</v>
      </c>
      <c r="BQ90" s="13">
        <f t="shared" si="279"/>
        <v>2821.7902119044925</v>
      </c>
      <c r="BR90" s="13">
        <f t="shared" si="280"/>
        <v>3122</v>
      </c>
      <c r="BS90" s="13"/>
      <c r="BT90" s="136">
        <f t="shared" si="281"/>
        <v>0</v>
      </c>
      <c r="BU90" s="136">
        <f t="shared" si="282"/>
        <v>0</v>
      </c>
      <c r="BV90" s="136">
        <f t="shared" si="283"/>
        <v>1595000</v>
      </c>
      <c r="BW90" s="136">
        <f t="shared" si="284"/>
        <v>11178291666.666666</v>
      </c>
      <c r="BX90" s="136">
        <f t="shared" si="285"/>
        <v>0</v>
      </c>
      <c r="BY90" s="136">
        <f t="shared" si="286"/>
        <v>0</v>
      </c>
      <c r="BZ90" s="136">
        <f t="shared" si="287"/>
        <v>7655.2758986349281</v>
      </c>
      <c r="CA90" s="136">
        <f t="shared" si="288"/>
        <v>172722.16246295057</v>
      </c>
      <c r="CB90" s="136">
        <f t="shared" si="289"/>
        <v>5428.6721054031623</v>
      </c>
      <c r="CC90" s="136">
        <f t="shared" si="290"/>
        <v>86858.753686450596</v>
      </c>
      <c r="CE90" s="1137">
        <f t="shared" si="291"/>
        <v>346081987.77679139</v>
      </c>
      <c r="CF90" s="1136">
        <f t="shared" si="292"/>
        <v>411131448.88888884</v>
      </c>
      <c r="CG90" s="1136">
        <f t="shared" si="293"/>
        <v>0</v>
      </c>
      <c r="CH90" s="172">
        <f t="shared" si="294"/>
        <v>4020729166666.6665</v>
      </c>
      <c r="CJ90" s="136">
        <f t="shared" si="295"/>
        <v>164922.96508570784</v>
      </c>
      <c r="CK90" s="7">
        <f t="shared" si="296"/>
        <v>221195298743.63608</v>
      </c>
      <c r="CL90" s="6">
        <f t="shared" si="297"/>
        <v>1746.5943564794959</v>
      </c>
      <c r="CM90" s="6">
        <f t="shared" si="298"/>
        <v>1115.4056435205041</v>
      </c>
      <c r="CN90" s="164">
        <f t="shared" si="264"/>
        <v>126643772.73580913</v>
      </c>
      <c r="CO90" s="164">
        <f t="shared" si="265"/>
        <v>198309287.77219328</v>
      </c>
      <c r="CP90" s="1137">
        <f t="shared" si="299"/>
        <v>136392044071.85852</v>
      </c>
      <c r="CQ90" s="1136">
        <f t="shared" si="300"/>
        <v>47772738867.848671</v>
      </c>
      <c r="CR90" s="22">
        <f t="shared" si="301"/>
        <v>164922.96508570784</v>
      </c>
      <c r="CS90" s="7">
        <f t="shared" si="302"/>
        <v>221195298743.63608</v>
      </c>
      <c r="CT90" s="6">
        <f t="shared" si="303"/>
        <v>1746.5943564794959</v>
      </c>
      <c r="CU90" s="12">
        <f t="shared" si="304"/>
        <v>1115.4056435205041</v>
      </c>
      <c r="CV90" s="164">
        <f t="shared" si="305"/>
        <v>126643772.73580913</v>
      </c>
      <c r="CW90" s="164">
        <f t="shared" si="306"/>
        <v>198309287.77219328</v>
      </c>
      <c r="CX90" s="1136">
        <f t="shared" si="307"/>
        <v>136392044071.85852</v>
      </c>
      <c r="CY90" s="1136">
        <f t="shared" si="308"/>
        <v>47772738867.848671</v>
      </c>
      <c r="CZ90" s="22">
        <f t="shared" si="309"/>
        <v>164922.96508570784</v>
      </c>
      <c r="DA90" s="7">
        <f t="shared" si="310"/>
        <v>221195298743.63608</v>
      </c>
      <c r="DB90" s="6">
        <f t="shared" si="311"/>
        <v>1746.5943564794959</v>
      </c>
      <c r="DC90" s="12">
        <f t="shared" si="312"/>
        <v>1115.4056435205041</v>
      </c>
      <c r="DD90" s="164">
        <f t="shared" si="266"/>
        <v>126643772.73580913</v>
      </c>
      <c r="DE90" s="164">
        <f t="shared" si="267"/>
        <v>198309287.77219328</v>
      </c>
      <c r="DF90" s="1136">
        <f t="shared" si="313"/>
        <v>136392044071.85852</v>
      </c>
      <c r="DG90" s="1136">
        <f t="shared" si="314"/>
        <v>47772738867.848671</v>
      </c>
      <c r="DH90" s="22">
        <f t="shared" si="315"/>
        <v>412834.65161772241</v>
      </c>
      <c r="DI90" s="172">
        <f t="shared" si="316"/>
        <v>566152360388.05957</v>
      </c>
      <c r="DJ90" s="12">
        <f t="shared" si="317"/>
        <v>628.6867517160681</v>
      </c>
      <c r="DK90" s="22">
        <f t="shared" si="318"/>
        <v>2233.3132482839319</v>
      </c>
      <c r="DL90" s="164">
        <f t="shared" si="268"/>
        <v>900531717.65221047</v>
      </c>
      <c r="DM90" s="164">
        <f t="shared" si="269"/>
        <v>253503336.72317958</v>
      </c>
      <c r="DN90" s="7">
        <f t="shared" si="319"/>
        <v>761336087204.64526</v>
      </c>
      <c r="DO90" s="1136">
        <f t="shared" si="320"/>
        <v>233008465685.25287</v>
      </c>
      <c r="DP90" s="22">
        <f t="shared" si="321"/>
        <v>247560.1939297127</v>
      </c>
      <c r="DQ90" s="172">
        <f t="shared" si="322"/>
        <v>412560302918.47009</v>
      </c>
      <c r="DR90" s="22">
        <f t="shared" si="323"/>
        <v>1125.1818571227475</v>
      </c>
      <c r="DS90" s="22">
        <f t="shared" si="324"/>
        <v>1736.8181428772525</v>
      </c>
      <c r="DT90" s="164">
        <f t="shared" si="270"/>
        <v>366660998.2260524</v>
      </c>
      <c r="DU90" s="164">
        <f t="shared" si="271"/>
        <v>237537997.06111619</v>
      </c>
      <c r="DV90" s="1136">
        <f t="shared" si="325"/>
        <v>344706725116.12073</v>
      </c>
      <c r="DW90" s="1136">
        <f t="shared" si="326"/>
        <v>233008465685.25287</v>
      </c>
      <c r="DX90" s="763">
        <f t="shared" si="327"/>
        <v>178006.91308974594</v>
      </c>
      <c r="DY90" s="7">
        <f t="shared" si="328"/>
        <v>263876813373.73816</v>
      </c>
      <c r="DZ90" s="13">
        <f t="shared" si="329"/>
        <v>1608.8792308218083</v>
      </c>
      <c r="EA90" s="763">
        <f t="shared" si="330"/>
        <v>1253.1207691781917</v>
      </c>
      <c r="EB90" s="164">
        <f t="shared" si="272"/>
        <v>164012816.07628876</v>
      </c>
      <c r="EC90" s="164">
        <f t="shared" si="273"/>
        <v>210575724.11539474</v>
      </c>
      <c r="ED90" s="1136">
        <f t="shared" si="331"/>
        <v>761336087204.64526</v>
      </c>
      <c r="EE90" s="1136">
        <f t="shared" si="332"/>
        <v>233008465685.25287</v>
      </c>
      <c r="EF90" s="763">
        <f t="shared" si="333"/>
        <v>169284.28108705388</v>
      </c>
      <c r="EG90" s="7">
        <f t="shared" si="334"/>
        <v>236153360491.24203</v>
      </c>
      <c r="EH90" s="13">
        <f t="shared" si="335"/>
        <v>1698.3239869632519</v>
      </c>
      <c r="EI90" s="763">
        <f t="shared" si="336"/>
        <v>1163.6760130367481</v>
      </c>
      <c r="EJ90" s="164">
        <f t="shared" si="274"/>
        <v>139050830.29151839</v>
      </c>
      <c r="EK90" s="164">
        <f t="shared" si="275"/>
        <v>202937379.34407732</v>
      </c>
      <c r="EL90" s="1136">
        <f t="shared" si="337"/>
        <v>344706725116.12073</v>
      </c>
      <c r="EM90" s="1136">
        <f t="shared" si="338"/>
        <v>233008465685.25287</v>
      </c>
      <c r="EN90" s="164"/>
      <c r="EO90" s="164"/>
    </row>
    <row r="91" spans="1:145" s="136" customFormat="1">
      <c r="A91" s="136">
        <v>114</v>
      </c>
      <c r="B91" s="136" t="str">
        <f t="shared" ref="B91" si="361">LEFT(B89,3)+1&amp;"i"</f>
        <v>214i</v>
      </c>
      <c r="C91" s="136">
        <v>56.9</v>
      </c>
      <c r="D91" s="136">
        <v>0</v>
      </c>
      <c r="E91" s="136" t="s">
        <v>2109</v>
      </c>
      <c r="F91" s="26">
        <v>2</v>
      </c>
      <c r="G91" s="136">
        <v>500</v>
      </c>
      <c r="H91" s="136">
        <v>30</v>
      </c>
      <c r="I91" s="28">
        <v>250</v>
      </c>
      <c r="J91" s="26">
        <v>1940</v>
      </c>
      <c r="K91" s="136">
        <v>32</v>
      </c>
      <c r="L91" s="28">
        <v>120</v>
      </c>
      <c r="M91" s="26">
        <v>2800</v>
      </c>
      <c r="N91" s="28">
        <v>12</v>
      </c>
      <c r="O91" s="26">
        <v>0</v>
      </c>
      <c r="P91" s="26">
        <v>290</v>
      </c>
      <c r="Q91" s="397">
        <v>5500</v>
      </c>
      <c r="R91" s="169">
        <v>0</v>
      </c>
      <c r="S91" s="210">
        <v>0</v>
      </c>
      <c r="T91" s="169">
        <v>1200</v>
      </c>
      <c r="U91" s="169">
        <v>2400</v>
      </c>
      <c r="V91" s="28">
        <v>3800</v>
      </c>
      <c r="W91" s="210">
        <v>19</v>
      </c>
      <c r="X91" s="210">
        <v>200</v>
      </c>
      <c r="Y91" s="169">
        <v>50</v>
      </c>
      <c r="Z91" s="210">
        <v>16</v>
      </c>
      <c r="AA91" s="210">
        <v>200</v>
      </c>
      <c r="AB91" s="28">
        <v>40</v>
      </c>
      <c r="AC91" s="210">
        <v>0</v>
      </c>
      <c r="AD91" s="26">
        <v>2</v>
      </c>
      <c r="AE91" s="169">
        <v>160</v>
      </c>
      <c r="AF91" s="169">
        <v>16</v>
      </c>
      <c r="AG91" s="26">
        <v>0</v>
      </c>
      <c r="AH91" s="169">
        <v>0</v>
      </c>
      <c r="AI91" s="169">
        <v>0</v>
      </c>
      <c r="AJ91" s="397">
        <v>2</v>
      </c>
      <c r="AK91" s="210">
        <v>2500</v>
      </c>
      <c r="AL91" s="210">
        <v>5000</v>
      </c>
      <c r="AM91" s="210" t="s">
        <v>2316</v>
      </c>
      <c r="AN91" s="210">
        <v>2500</v>
      </c>
      <c r="AO91" s="1143" t="s">
        <v>2321</v>
      </c>
      <c r="AP91" s="1143" t="s">
        <v>2321</v>
      </c>
      <c r="AQ91" s="1143"/>
      <c r="AR91" s="1143"/>
      <c r="AS91" s="1143"/>
      <c r="AT91" s="1143"/>
      <c r="AU91" s="1143"/>
      <c r="AV91" s="1109"/>
      <c r="AW91" s="1109"/>
      <c r="AX91" s="1109"/>
      <c r="AY91" s="1109"/>
      <c r="AZ91" s="1108">
        <v>8</v>
      </c>
      <c r="BA91" s="1108">
        <v>6</v>
      </c>
      <c r="BB91" s="1109"/>
      <c r="BC91" s="1168"/>
      <c r="BD91" s="210">
        <f>INDEX(Spec!$B$12:$P$58,MATCH(AO91,Spec!$A$12:$A$58,0),6)*100</f>
        <v>1900</v>
      </c>
      <c r="BE91" s="210">
        <f>INDEX(Spec!$B$12:$P$58,MATCH(AP91,Spec!$A$12:$A$58,0),6)*100</f>
        <v>1900</v>
      </c>
      <c r="BF91" s="881">
        <f t="shared" si="276"/>
        <v>0.69799260626361248</v>
      </c>
      <c r="BG91" s="881">
        <f t="shared" si="277"/>
        <v>47.243485714285718</v>
      </c>
      <c r="BH91" s="881"/>
      <c r="BI91" s="13" cm="1">
        <f t="array" ref="BI91">INDEX(Info!$AD$4:$AH$15,MATCH(Info!$I$13,Info!$AC$4:$AC$15,0),IF(H91&lt;=16,1,IF(H91&lt;=40,2,IF(H91&lt;=75,3,IF(H91&lt;=100,4,5)))))</f>
        <v>380</v>
      </c>
      <c r="BJ91" s="13" cm="1">
        <f t="array" ref="BJ91">INDEX(Info!$AD$4:$AH$15,MATCH(Info!$I$13,Info!$AC$4:$AC$15,0),IF(K91&lt;=16,1,IF(K91&lt;=40,2,IF(K91&lt;=75,3,IF(K91&lt;=100,4,5)))))</f>
        <v>380</v>
      </c>
      <c r="BK91" s="13" cm="1">
        <f t="array" ref="BK91">INDEX(Info!$AD$4:$AH$15,MATCH(Info!$I$14,Info!$AC$4:$AC$15,0),IF(N91&lt;=16,1,IF(N91&lt;=40,2,IF(N91&lt;=75,3,IF(N91&lt;=100,4,5)))))</f>
        <v>355</v>
      </c>
      <c r="BL91" s="13">
        <f>IF(Stress!C920="Positive",MAX(MIN(0.7*BI91,BK91),0.5*BI91),MAX(MIN(0.7*BJ91,BK91),0.5*BJ91))</f>
        <v>266</v>
      </c>
      <c r="BM91" s="13" cm="1">
        <f t="array" ref="BM91">INDEX(Info!$AD$4:$AH$15,MATCH(Info!$I$13,Info!$AC$4:$AC$15,0),IF(AI91&lt;=16,1,IF(AI91&lt;=40,2,IF(AI91&lt;=75,3,IF(AI91&lt;=100,4,5)))))</f>
        <v>380</v>
      </c>
      <c r="BN91" s="13" cm="1">
        <f t="array" ref="BN91">INDEX(Info!$AD$4:$AH$15,MATCH(Info!$I$13,Info!$AC$4:$AC$15,0),IF(AF91&lt;=16,1,IF(AF91&lt;=40,2,IF(AF91&lt;=75,3,IF(AF91&lt;=100,4,5)))))</f>
        <v>380</v>
      </c>
      <c r="BO91" s="13"/>
      <c r="BP91" s="13">
        <f t="shared" si="278"/>
        <v>0.125</v>
      </c>
      <c r="BQ91" s="13">
        <f t="shared" si="279"/>
        <v>2821.7902119044925</v>
      </c>
      <c r="BR91" s="13">
        <f t="shared" si="280"/>
        <v>3122</v>
      </c>
      <c r="BS91" s="13"/>
      <c r="BT91" s="136">
        <f t="shared" si="281"/>
        <v>0</v>
      </c>
      <c r="BU91" s="136">
        <f t="shared" si="282"/>
        <v>0</v>
      </c>
      <c r="BV91" s="136">
        <f t="shared" si="283"/>
        <v>1595000</v>
      </c>
      <c r="BW91" s="136">
        <f t="shared" si="284"/>
        <v>11178291666.666666</v>
      </c>
      <c r="BX91" s="136">
        <f t="shared" si="285"/>
        <v>0</v>
      </c>
      <c r="BY91" s="136">
        <f t="shared" si="286"/>
        <v>0</v>
      </c>
      <c r="BZ91" s="136">
        <f t="shared" si="287"/>
        <v>7655.2758986349281</v>
      </c>
      <c r="CA91" s="136">
        <f t="shared" si="288"/>
        <v>172722.16246295057</v>
      </c>
      <c r="CB91" s="136">
        <f t="shared" si="289"/>
        <v>5428.6721054031623</v>
      </c>
      <c r="CC91" s="136">
        <f t="shared" si="290"/>
        <v>86858.753686450596</v>
      </c>
      <c r="CE91" s="1137">
        <f t="shared" si="291"/>
        <v>346081987.77679139</v>
      </c>
      <c r="CF91" s="1136">
        <f t="shared" si="292"/>
        <v>411131448.88888884</v>
      </c>
      <c r="CG91" s="1136">
        <f t="shared" si="293"/>
        <v>0</v>
      </c>
      <c r="CH91" s="172">
        <f t="shared" si="294"/>
        <v>4020729166666.6665</v>
      </c>
      <c r="CJ91" s="136">
        <f t="shared" si="295"/>
        <v>164922.96508570784</v>
      </c>
      <c r="CK91" s="7">
        <f t="shared" si="296"/>
        <v>221195298743.63608</v>
      </c>
      <c r="CL91" s="6">
        <f t="shared" si="297"/>
        <v>1746.5943564794959</v>
      </c>
      <c r="CM91" s="6">
        <f t="shared" si="298"/>
        <v>1115.4056435205041</v>
      </c>
      <c r="CN91" s="164">
        <f t="shared" si="264"/>
        <v>126643772.73580913</v>
      </c>
      <c r="CO91" s="164">
        <f t="shared" si="265"/>
        <v>198309287.77219328</v>
      </c>
      <c r="CP91" s="1137">
        <f t="shared" si="299"/>
        <v>136392044071.85852</v>
      </c>
      <c r="CQ91" s="1136">
        <f t="shared" si="300"/>
        <v>33590826549.172981</v>
      </c>
      <c r="CR91" s="22">
        <f t="shared" si="301"/>
        <v>164922.96508570784</v>
      </c>
      <c r="CS91" s="7">
        <f t="shared" si="302"/>
        <v>221195298743.63608</v>
      </c>
      <c r="CT91" s="6">
        <f t="shared" si="303"/>
        <v>1746.5943564794959</v>
      </c>
      <c r="CU91" s="12">
        <f t="shared" si="304"/>
        <v>1115.4056435205041</v>
      </c>
      <c r="CV91" s="164">
        <f t="shared" si="305"/>
        <v>126643772.73580913</v>
      </c>
      <c r="CW91" s="164">
        <f t="shared" si="306"/>
        <v>198309287.77219328</v>
      </c>
      <c r="CX91" s="1136">
        <f t="shared" si="307"/>
        <v>136392044071.85852</v>
      </c>
      <c r="CY91" s="1136">
        <f t="shared" si="308"/>
        <v>33590826549.172981</v>
      </c>
      <c r="CZ91" s="22">
        <f t="shared" si="309"/>
        <v>164922.96508570784</v>
      </c>
      <c r="DA91" s="7">
        <f t="shared" si="310"/>
        <v>221195298743.63608</v>
      </c>
      <c r="DB91" s="6">
        <f t="shared" si="311"/>
        <v>1746.5943564794959</v>
      </c>
      <c r="DC91" s="12">
        <f t="shared" si="312"/>
        <v>1115.4056435205041</v>
      </c>
      <c r="DD91" s="164">
        <f t="shared" si="266"/>
        <v>126643772.73580913</v>
      </c>
      <c r="DE91" s="164">
        <f t="shared" si="267"/>
        <v>198309287.77219328</v>
      </c>
      <c r="DF91" s="1136">
        <f t="shared" si="313"/>
        <v>136392044071.85852</v>
      </c>
      <c r="DG91" s="1136">
        <f t="shared" si="314"/>
        <v>33590826549.172981</v>
      </c>
      <c r="DH91" s="22">
        <f t="shared" si="315"/>
        <v>412834.65161772241</v>
      </c>
      <c r="DI91" s="172">
        <f t="shared" si="316"/>
        <v>566152360388.05957</v>
      </c>
      <c r="DJ91" s="12">
        <f t="shared" si="317"/>
        <v>628.6867517160681</v>
      </c>
      <c r="DK91" s="22">
        <f t="shared" si="318"/>
        <v>2233.3132482839319</v>
      </c>
      <c r="DL91" s="164">
        <f t="shared" si="268"/>
        <v>900531717.65221047</v>
      </c>
      <c r="DM91" s="164">
        <f t="shared" si="269"/>
        <v>253503336.72317958</v>
      </c>
      <c r="DN91" s="7">
        <f t="shared" si="319"/>
        <v>761336087204.64526</v>
      </c>
      <c r="DO91" s="1136">
        <f t="shared" si="320"/>
        <v>233008465685.25287</v>
      </c>
      <c r="DP91" s="22">
        <f t="shared" si="321"/>
        <v>247560.1939297127</v>
      </c>
      <c r="DQ91" s="172">
        <f t="shared" si="322"/>
        <v>412560302918.47009</v>
      </c>
      <c r="DR91" s="22">
        <f t="shared" si="323"/>
        <v>1125.1818571227475</v>
      </c>
      <c r="DS91" s="22">
        <f t="shared" si="324"/>
        <v>1736.8181428772525</v>
      </c>
      <c r="DT91" s="164">
        <f t="shared" si="270"/>
        <v>366660998.2260524</v>
      </c>
      <c r="DU91" s="164">
        <f t="shared" si="271"/>
        <v>237537997.06111619</v>
      </c>
      <c r="DV91" s="1136">
        <f t="shared" si="325"/>
        <v>344706725116.12073</v>
      </c>
      <c r="DW91" s="1136">
        <f t="shared" si="326"/>
        <v>233008465685.25287</v>
      </c>
      <c r="DX91" s="763">
        <f t="shared" si="327"/>
        <v>178006.91308974594</v>
      </c>
      <c r="DY91" s="7">
        <f t="shared" si="328"/>
        <v>263876813373.73816</v>
      </c>
      <c r="DZ91" s="13">
        <f t="shared" si="329"/>
        <v>1608.8792308218083</v>
      </c>
      <c r="EA91" s="763">
        <f t="shared" si="330"/>
        <v>1253.1207691781917</v>
      </c>
      <c r="EB91" s="164">
        <f t="shared" si="272"/>
        <v>164012816.07628876</v>
      </c>
      <c r="EC91" s="164">
        <f t="shared" si="273"/>
        <v>210575724.11539474</v>
      </c>
      <c r="ED91" s="1136">
        <f t="shared" si="331"/>
        <v>761336087204.64526</v>
      </c>
      <c r="EE91" s="1136">
        <f t="shared" si="332"/>
        <v>233008465685.25287</v>
      </c>
      <c r="EF91" s="763">
        <f t="shared" si="333"/>
        <v>169284.28108705388</v>
      </c>
      <c r="EG91" s="7">
        <f t="shared" si="334"/>
        <v>236153360491.24203</v>
      </c>
      <c r="EH91" s="13">
        <f t="shared" si="335"/>
        <v>1698.3239869632519</v>
      </c>
      <c r="EI91" s="763">
        <f t="shared" si="336"/>
        <v>1163.6760130367481</v>
      </c>
      <c r="EJ91" s="164">
        <f t="shared" si="274"/>
        <v>139050830.29151839</v>
      </c>
      <c r="EK91" s="164">
        <f t="shared" si="275"/>
        <v>202937379.34407732</v>
      </c>
      <c r="EL91" s="1136">
        <f t="shared" si="337"/>
        <v>344706725116.12073</v>
      </c>
      <c r="EM91" s="1136">
        <f t="shared" si="338"/>
        <v>233008465685.25287</v>
      </c>
      <c r="EN91" s="164"/>
      <c r="EO91" s="164"/>
    </row>
    <row r="92" spans="1:145" s="136" customFormat="1">
      <c r="B92" s="136" t="str">
        <f t="shared" ref="B92" si="362">LEFT(B90,3)+1&amp;"j"</f>
        <v>214j</v>
      </c>
      <c r="C92" s="136">
        <v>61.9</v>
      </c>
      <c r="D92" s="136">
        <v>0</v>
      </c>
      <c r="E92" s="136" t="s">
        <v>2109</v>
      </c>
      <c r="F92" s="26">
        <v>2</v>
      </c>
      <c r="G92" s="136">
        <v>500</v>
      </c>
      <c r="H92" s="136">
        <v>30</v>
      </c>
      <c r="I92" s="28">
        <v>250</v>
      </c>
      <c r="J92" s="26">
        <v>1940</v>
      </c>
      <c r="K92" s="136">
        <v>32</v>
      </c>
      <c r="L92" s="28">
        <v>120</v>
      </c>
      <c r="M92" s="26">
        <v>2800</v>
      </c>
      <c r="N92" s="28">
        <v>12</v>
      </c>
      <c r="O92" s="26">
        <v>0</v>
      </c>
      <c r="P92" s="26">
        <v>290</v>
      </c>
      <c r="Q92" s="397">
        <v>5500</v>
      </c>
      <c r="R92" s="169">
        <v>0</v>
      </c>
      <c r="S92" s="210">
        <v>0</v>
      </c>
      <c r="T92" s="169">
        <v>1200</v>
      </c>
      <c r="U92" s="169">
        <v>2400</v>
      </c>
      <c r="V92" s="28">
        <v>3800</v>
      </c>
      <c r="W92" s="210">
        <v>19</v>
      </c>
      <c r="X92" s="210">
        <v>200</v>
      </c>
      <c r="Y92" s="169">
        <v>50</v>
      </c>
      <c r="Z92" s="210">
        <v>16</v>
      </c>
      <c r="AA92" s="210">
        <v>200</v>
      </c>
      <c r="AB92" s="28">
        <v>40</v>
      </c>
      <c r="AC92" s="210">
        <v>0</v>
      </c>
      <c r="AD92" s="26">
        <v>2</v>
      </c>
      <c r="AE92" s="169">
        <v>160</v>
      </c>
      <c r="AF92" s="169">
        <v>16</v>
      </c>
      <c r="AG92" s="26">
        <v>0</v>
      </c>
      <c r="AH92" s="169">
        <v>0</v>
      </c>
      <c r="AI92" s="169">
        <v>0</v>
      </c>
      <c r="AJ92" s="397">
        <v>2</v>
      </c>
      <c r="AK92" s="210">
        <v>2500</v>
      </c>
      <c r="AL92" s="210">
        <v>5000</v>
      </c>
      <c r="AM92" s="210" t="s">
        <v>2316</v>
      </c>
      <c r="AN92" s="210">
        <v>2500</v>
      </c>
      <c r="AO92" s="1143" t="s">
        <v>2321</v>
      </c>
      <c r="AP92" s="1143" t="s">
        <v>2321</v>
      </c>
      <c r="AQ92" s="1143"/>
      <c r="AR92" s="1143"/>
      <c r="AS92" s="1143"/>
      <c r="AT92" s="1143"/>
      <c r="AU92" s="1143"/>
      <c r="AV92" s="1109"/>
      <c r="AW92" s="1109"/>
      <c r="AX92" s="1109"/>
      <c r="AY92" s="1109"/>
      <c r="AZ92" s="1108">
        <v>8</v>
      </c>
      <c r="BA92" s="1108">
        <v>6</v>
      </c>
      <c r="BB92" s="1109"/>
      <c r="BC92" s="1168"/>
      <c r="BD92" s="210">
        <f>INDEX(Spec!$B$12:$P$58,MATCH(AO92,Spec!$A$12:$A$58,0),6)*100</f>
        <v>1900</v>
      </c>
      <c r="BE92" s="210">
        <f>INDEX(Spec!$B$12:$P$58,MATCH(AP92,Spec!$A$12:$A$58,0),6)*100</f>
        <v>1900</v>
      </c>
      <c r="BF92" s="881">
        <f t="shared" si="276"/>
        <v>0.69799260626361248</v>
      </c>
      <c r="BG92" s="881">
        <f t="shared" si="277"/>
        <v>47.243485714285718</v>
      </c>
      <c r="BH92" s="881"/>
      <c r="BI92" s="13" cm="1">
        <f t="array" ref="BI92">INDEX(Info!$AD$4:$AH$15,MATCH(Info!$I$13,Info!$AC$4:$AC$15,0),IF(H92&lt;=16,1,IF(H92&lt;=40,2,IF(H92&lt;=75,3,IF(H92&lt;=100,4,5)))))</f>
        <v>380</v>
      </c>
      <c r="BJ92" s="13" cm="1">
        <f t="array" ref="BJ92">INDEX(Info!$AD$4:$AH$15,MATCH(Info!$I$13,Info!$AC$4:$AC$15,0),IF(K92&lt;=16,1,IF(K92&lt;=40,2,IF(K92&lt;=75,3,IF(K92&lt;=100,4,5)))))</f>
        <v>380</v>
      </c>
      <c r="BK92" s="13" cm="1">
        <f t="array" ref="BK92">INDEX(Info!$AD$4:$AH$15,MATCH(Info!$I$14,Info!$AC$4:$AC$15,0),IF(N92&lt;=16,1,IF(N92&lt;=40,2,IF(N92&lt;=75,3,IF(N92&lt;=100,4,5)))))</f>
        <v>355</v>
      </c>
      <c r="BL92" s="13">
        <f>IF(Stress!C921="Positive",MAX(MIN(0.7*BI92,BK92),0.5*BI92),MAX(MIN(0.7*BJ92,BK92),0.5*BJ92))</f>
        <v>266</v>
      </c>
      <c r="BM92" s="13" cm="1">
        <f t="array" ref="BM92">INDEX(Info!$AD$4:$AH$15,MATCH(Info!$I$13,Info!$AC$4:$AC$15,0),IF(AI92&lt;=16,1,IF(AI92&lt;=40,2,IF(AI92&lt;=75,3,IF(AI92&lt;=100,4,5)))))</f>
        <v>380</v>
      </c>
      <c r="BN92" s="13" cm="1">
        <f t="array" ref="BN92">INDEX(Info!$AD$4:$AH$15,MATCH(Info!$I$13,Info!$AC$4:$AC$15,0),IF(AF92&lt;=16,1,IF(AF92&lt;=40,2,IF(AF92&lt;=75,3,IF(AF92&lt;=100,4,5)))))</f>
        <v>380</v>
      </c>
      <c r="BO92" s="13"/>
      <c r="BP92" s="13">
        <f t="shared" si="278"/>
        <v>0.125</v>
      </c>
      <c r="BQ92" s="13">
        <f t="shared" si="279"/>
        <v>2821.7902119044925</v>
      </c>
      <c r="BR92" s="13">
        <f t="shared" si="280"/>
        <v>3122</v>
      </c>
      <c r="BS92" s="13"/>
      <c r="BT92" s="136">
        <f t="shared" si="281"/>
        <v>0</v>
      </c>
      <c r="BU92" s="136">
        <f t="shared" si="282"/>
        <v>0</v>
      </c>
      <c r="BV92" s="136">
        <f t="shared" si="283"/>
        <v>1595000</v>
      </c>
      <c r="BW92" s="136">
        <f t="shared" si="284"/>
        <v>11178291666.666666</v>
      </c>
      <c r="BX92" s="136">
        <f t="shared" si="285"/>
        <v>0</v>
      </c>
      <c r="BY92" s="136">
        <f t="shared" si="286"/>
        <v>0</v>
      </c>
      <c r="BZ92" s="136">
        <f t="shared" si="287"/>
        <v>7655.2758986349281</v>
      </c>
      <c r="CA92" s="136">
        <f t="shared" si="288"/>
        <v>172722.16246295057</v>
      </c>
      <c r="CB92" s="136">
        <f t="shared" si="289"/>
        <v>5428.6721054031623</v>
      </c>
      <c r="CC92" s="136">
        <f t="shared" si="290"/>
        <v>86858.753686450596</v>
      </c>
      <c r="CE92" s="1137">
        <f t="shared" si="291"/>
        <v>346081987.77679139</v>
      </c>
      <c r="CF92" s="1136">
        <f t="shared" si="292"/>
        <v>411131448.88888884</v>
      </c>
      <c r="CG92" s="1136">
        <f t="shared" si="293"/>
        <v>0</v>
      </c>
      <c r="CH92" s="172">
        <f t="shared" si="294"/>
        <v>4020729166666.6665</v>
      </c>
      <c r="CJ92" s="136">
        <f t="shared" si="295"/>
        <v>164922.96508570784</v>
      </c>
      <c r="CK92" s="7">
        <f t="shared" si="296"/>
        <v>221195298743.63608</v>
      </c>
      <c r="CL92" s="6">
        <f t="shared" si="297"/>
        <v>1746.5943564794959</v>
      </c>
      <c r="CM92" s="6">
        <f t="shared" si="298"/>
        <v>1115.4056435205041</v>
      </c>
      <c r="CN92" s="164">
        <f t="shared" si="264"/>
        <v>126643772.73580913</v>
      </c>
      <c r="CO92" s="164">
        <f t="shared" si="265"/>
        <v>198309287.77219328</v>
      </c>
      <c r="CP92" s="1137">
        <f t="shared" si="299"/>
        <v>136392044071.85852</v>
      </c>
      <c r="CQ92" s="1136">
        <f t="shared" si="300"/>
        <v>33590826549.172981</v>
      </c>
      <c r="CR92" s="22">
        <f t="shared" si="301"/>
        <v>164922.96508570784</v>
      </c>
      <c r="CS92" s="7">
        <f t="shared" si="302"/>
        <v>221195298743.63608</v>
      </c>
      <c r="CT92" s="6">
        <f t="shared" si="303"/>
        <v>1746.5943564794959</v>
      </c>
      <c r="CU92" s="12">
        <f t="shared" si="304"/>
        <v>1115.4056435205041</v>
      </c>
      <c r="CV92" s="164">
        <f t="shared" si="305"/>
        <v>126643772.73580913</v>
      </c>
      <c r="CW92" s="164">
        <f t="shared" si="306"/>
        <v>198309287.77219328</v>
      </c>
      <c r="CX92" s="1136">
        <f t="shared" si="307"/>
        <v>136392044071.85852</v>
      </c>
      <c r="CY92" s="1136">
        <f t="shared" si="308"/>
        <v>33590826549.172981</v>
      </c>
      <c r="CZ92" s="22">
        <f t="shared" si="309"/>
        <v>164922.96508570784</v>
      </c>
      <c r="DA92" s="7">
        <f t="shared" si="310"/>
        <v>221195298743.63608</v>
      </c>
      <c r="DB92" s="6">
        <f t="shared" si="311"/>
        <v>1746.5943564794959</v>
      </c>
      <c r="DC92" s="12">
        <f t="shared" si="312"/>
        <v>1115.4056435205041</v>
      </c>
      <c r="DD92" s="164">
        <f t="shared" si="266"/>
        <v>126643772.73580913</v>
      </c>
      <c r="DE92" s="164">
        <f t="shared" si="267"/>
        <v>198309287.77219328</v>
      </c>
      <c r="DF92" s="1136">
        <f t="shared" si="313"/>
        <v>136392044071.85852</v>
      </c>
      <c r="DG92" s="1136">
        <f t="shared" si="314"/>
        <v>33590826549.172981</v>
      </c>
      <c r="DH92" s="22">
        <f t="shared" si="315"/>
        <v>412834.65161772241</v>
      </c>
      <c r="DI92" s="172">
        <f t="shared" si="316"/>
        <v>566152360388.05957</v>
      </c>
      <c r="DJ92" s="12">
        <f t="shared" si="317"/>
        <v>628.6867517160681</v>
      </c>
      <c r="DK92" s="22">
        <f t="shared" si="318"/>
        <v>2233.3132482839319</v>
      </c>
      <c r="DL92" s="164">
        <f t="shared" si="268"/>
        <v>900531717.65221047</v>
      </c>
      <c r="DM92" s="164">
        <f t="shared" si="269"/>
        <v>253503336.72317958</v>
      </c>
      <c r="DN92" s="7">
        <f t="shared" si="319"/>
        <v>761336087204.64526</v>
      </c>
      <c r="DO92" s="1136">
        <f t="shared" si="320"/>
        <v>233008465685.25287</v>
      </c>
      <c r="DP92" s="22">
        <f t="shared" si="321"/>
        <v>247560.1939297127</v>
      </c>
      <c r="DQ92" s="172">
        <f t="shared" si="322"/>
        <v>412560302918.47009</v>
      </c>
      <c r="DR92" s="22">
        <f t="shared" si="323"/>
        <v>1125.1818571227475</v>
      </c>
      <c r="DS92" s="22">
        <f t="shared" si="324"/>
        <v>1736.8181428772525</v>
      </c>
      <c r="DT92" s="164">
        <f t="shared" si="270"/>
        <v>366660998.2260524</v>
      </c>
      <c r="DU92" s="164">
        <f t="shared" si="271"/>
        <v>237537997.06111619</v>
      </c>
      <c r="DV92" s="1136">
        <f t="shared" si="325"/>
        <v>344706725116.12073</v>
      </c>
      <c r="DW92" s="1136">
        <f t="shared" si="326"/>
        <v>233008465685.25287</v>
      </c>
      <c r="DX92" s="763">
        <f t="shared" si="327"/>
        <v>178006.91308974594</v>
      </c>
      <c r="DY92" s="7">
        <f t="shared" si="328"/>
        <v>263876813373.73816</v>
      </c>
      <c r="DZ92" s="13">
        <f t="shared" si="329"/>
        <v>1608.8792308218083</v>
      </c>
      <c r="EA92" s="763">
        <f t="shared" si="330"/>
        <v>1253.1207691781917</v>
      </c>
      <c r="EB92" s="164">
        <f t="shared" si="272"/>
        <v>164012816.07628876</v>
      </c>
      <c r="EC92" s="164">
        <f t="shared" si="273"/>
        <v>210575724.11539474</v>
      </c>
      <c r="ED92" s="1136">
        <f t="shared" si="331"/>
        <v>761336087204.64526</v>
      </c>
      <c r="EE92" s="1136">
        <f t="shared" si="332"/>
        <v>233008465685.25287</v>
      </c>
      <c r="EF92" s="763">
        <f t="shared" si="333"/>
        <v>169284.28108705388</v>
      </c>
      <c r="EG92" s="7">
        <f t="shared" si="334"/>
        <v>236153360491.24203</v>
      </c>
      <c r="EH92" s="13">
        <f t="shared" si="335"/>
        <v>1698.3239869632519</v>
      </c>
      <c r="EI92" s="763">
        <f t="shared" si="336"/>
        <v>1163.6760130367481</v>
      </c>
      <c r="EJ92" s="164">
        <f t="shared" si="274"/>
        <v>139050830.29151839</v>
      </c>
      <c r="EK92" s="164">
        <f t="shared" si="275"/>
        <v>202937379.34407732</v>
      </c>
      <c r="EL92" s="1136">
        <f t="shared" si="337"/>
        <v>344706725116.12073</v>
      </c>
      <c r="EM92" s="1136">
        <f t="shared" si="338"/>
        <v>233008465685.25287</v>
      </c>
      <c r="EN92" s="164"/>
      <c r="EO92" s="164"/>
    </row>
    <row r="93" spans="1:145" s="871" customFormat="1">
      <c r="A93" s="871">
        <v>115</v>
      </c>
      <c r="B93" s="871" t="str">
        <f t="shared" ref="B93" si="363">LEFT(B91,3)+1&amp;"i"</f>
        <v>215i</v>
      </c>
      <c r="C93" s="871">
        <v>61.9</v>
      </c>
      <c r="D93" s="871">
        <v>0</v>
      </c>
      <c r="E93" s="871" t="s">
        <v>2110</v>
      </c>
      <c r="F93" s="26">
        <v>2</v>
      </c>
      <c r="G93" s="136">
        <v>500</v>
      </c>
      <c r="H93" s="136">
        <v>22</v>
      </c>
      <c r="I93" s="28">
        <v>250</v>
      </c>
      <c r="J93" s="26">
        <v>1940</v>
      </c>
      <c r="K93" s="136">
        <v>18</v>
      </c>
      <c r="L93" s="28">
        <v>120</v>
      </c>
      <c r="M93" s="26">
        <v>2800</v>
      </c>
      <c r="N93" s="28">
        <v>12</v>
      </c>
      <c r="O93" s="397">
        <v>0</v>
      </c>
      <c r="P93" s="26">
        <v>290</v>
      </c>
      <c r="Q93" s="397">
        <v>5500</v>
      </c>
      <c r="R93" s="169">
        <v>0</v>
      </c>
      <c r="S93" s="210">
        <v>0</v>
      </c>
      <c r="T93" s="210">
        <v>1200</v>
      </c>
      <c r="U93" s="210">
        <v>2400</v>
      </c>
      <c r="V93" s="872">
        <v>3800</v>
      </c>
      <c r="W93" s="210">
        <v>19</v>
      </c>
      <c r="X93" s="210">
        <v>200</v>
      </c>
      <c r="Y93" s="210">
        <v>50</v>
      </c>
      <c r="Z93" s="210">
        <v>16</v>
      </c>
      <c r="AA93" s="210">
        <v>200</v>
      </c>
      <c r="AB93" s="872">
        <v>40</v>
      </c>
      <c r="AC93" s="210">
        <v>0</v>
      </c>
      <c r="AD93" s="397">
        <v>2</v>
      </c>
      <c r="AE93" s="210">
        <v>160</v>
      </c>
      <c r="AF93" s="210">
        <v>16</v>
      </c>
      <c r="AG93" s="397">
        <v>0</v>
      </c>
      <c r="AH93" s="210">
        <v>0</v>
      </c>
      <c r="AI93" s="210">
        <v>0</v>
      </c>
      <c r="AJ93" s="397">
        <v>2</v>
      </c>
      <c r="AK93" s="210">
        <v>2500</v>
      </c>
      <c r="AL93" s="210">
        <v>5000</v>
      </c>
      <c r="AM93" s="210" t="s">
        <v>2316</v>
      </c>
      <c r="AN93" s="210">
        <v>2500</v>
      </c>
      <c r="AO93" s="1143" t="s">
        <v>2321</v>
      </c>
      <c r="AP93" s="1143" t="s">
        <v>2321</v>
      </c>
      <c r="AQ93" s="1143"/>
      <c r="AR93" s="1143"/>
      <c r="AS93" s="1143"/>
      <c r="AT93" s="1143"/>
      <c r="AU93" s="1143"/>
      <c r="AV93" s="1111"/>
      <c r="AW93" s="1111"/>
      <c r="AX93" s="1111"/>
      <c r="AY93" s="1111"/>
      <c r="AZ93" s="1108">
        <v>8</v>
      </c>
      <c r="BA93" s="1108">
        <v>6</v>
      </c>
      <c r="BB93" s="1111"/>
      <c r="BC93" s="1168"/>
      <c r="BD93" s="210">
        <f>INDEX(Spec!$B$12:$P$58,MATCH(AO93,Spec!$A$12:$A$58,0),6)*100</f>
        <v>1900</v>
      </c>
      <c r="BE93" s="210">
        <f>INDEX(Spec!$B$12:$P$58,MATCH(AP93,Spec!$A$12:$A$58,0),6)*100</f>
        <v>1900</v>
      </c>
      <c r="BF93" s="881">
        <f t="shared" si="276"/>
        <v>0.69515529669535348</v>
      </c>
      <c r="BG93" s="881">
        <f t="shared" si="277"/>
        <v>47.243485714285718</v>
      </c>
      <c r="BH93" s="881"/>
      <c r="BI93" s="13" cm="1">
        <f t="array" ref="BI93">INDEX(Info!$AD$4:$AH$15,MATCH(Info!$I$13,Info!$AC$4:$AC$15,0),IF(H93&lt;=16,1,IF(H93&lt;=40,2,IF(H93&lt;=75,3,IF(H93&lt;=100,4,5)))))</f>
        <v>380</v>
      </c>
      <c r="BJ93" s="13" cm="1">
        <f t="array" ref="BJ93">INDEX(Info!$AD$4:$AH$15,MATCH(Info!$I$13,Info!$AC$4:$AC$15,0),IF(K93&lt;=16,1,IF(K93&lt;=40,2,IF(K93&lt;=75,3,IF(K93&lt;=100,4,5)))))</f>
        <v>380</v>
      </c>
      <c r="BK93" s="13" cm="1">
        <f t="array" ref="BK93">INDEX(Info!$AD$4:$AH$15,MATCH(Info!$I$14,Info!$AC$4:$AC$15,0),IF(N93&lt;=16,1,IF(N93&lt;=40,2,IF(N93&lt;=75,3,IF(N93&lt;=100,4,5)))))</f>
        <v>355</v>
      </c>
      <c r="BL93" s="13">
        <f>IF(Stress!C922="Positive",MAX(MIN(0.7*BI93,BK93),0.5*BI93),MAX(MIN(0.7*BJ93,BK93),0.5*BJ93))</f>
        <v>266</v>
      </c>
      <c r="BM93" s="13" cm="1">
        <f t="array" ref="BM93">INDEX(Info!$AD$4:$AH$15,MATCH(Info!$I$13,Info!$AC$4:$AC$15,0),IF(AI93&lt;=16,1,IF(AI93&lt;=40,2,IF(AI93&lt;=75,3,IF(AI93&lt;=100,4,5)))))</f>
        <v>380</v>
      </c>
      <c r="BN93" s="13" cm="1">
        <f t="array" ref="BN93">INDEX(Info!$AD$4:$AH$15,MATCH(Info!$I$13,Info!$AC$4:$AC$15,0),IF(AF93&lt;=16,1,IF(AF93&lt;=40,2,IF(AF93&lt;=75,3,IF(AF93&lt;=100,4,5)))))</f>
        <v>380</v>
      </c>
      <c r="BO93" s="13"/>
      <c r="BP93" s="873">
        <f t="shared" si="278"/>
        <v>0.125</v>
      </c>
      <c r="BQ93" s="873">
        <f t="shared" si="279"/>
        <v>2821.7902119044925</v>
      </c>
      <c r="BR93" s="873">
        <f t="shared" si="280"/>
        <v>3108</v>
      </c>
      <c r="BS93" s="873"/>
      <c r="BT93" s="871">
        <f t="shared" si="281"/>
        <v>0</v>
      </c>
      <c r="BU93" s="136">
        <f t="shared" si="282"/>
        <v>0</v>
      </c>
      <c r="BV93" s="871">
        <f t="shared" si="283"/>
        <v>1595000</v>
      </c>
      <c r="BW93" s="871">
        <f t="shared" si="284"/>
        <v>11178291666.666666</v>
      </c>
      <c r="BX93" s="871">
        <f t="shared" si="285"/>
        <v>0</v>
      </c>
      <c r="BY93" s="871">
        <f t="shared" si="286"/>
        <v>0</v>
      </c>
      <c r="BZ93" s="871">
        <f t="shared" si="287"/>
        <v>7655.2758986349281</v>
      </c>
      <c r="CA93" s="871">
        <f t="shared" si="288"/>
        <v>172722.16246295057</v>
      </c>
      <c r="CB93" s="871">
        <f t="shared" si="289"/>
        <v>5428.6721054031623</v>
      </c>
      <c r="CC93" s="871">
        <f t="shared" si="290"/>
        <v>86858.753686450596</v>
      </c>
      <c r="CE93" s="1137">
        <f t="shared" si="291"/>
        <v>346081987.77679139</v>
      </c>
      <c r="CF93" s="1136">
        <f t="shared" si="292"/>
        <v>411131448.88888884</v>
      </c>
      <c r="CG93" s="1136">
        <f t="shared" si="293"/>
        <v>0</v>
      </c>
      <c r="CH93" s="172">
        <f t="shared" si="294"/>
        <v>4020729166666.6665</v>
      </c>
      <c r="CJ93" s="136">
        <f t="shared" si="295"/>
        <v>129762.96508570782</v>
      </c>
      <c r="CK93" s="7">
        <f t="shared" si="296"/>
        <v>161520594572.24292</v>
      </c>
      <c r="CL93" s="875">
        <f t="shared" si="297"/>
        <v>1614.0322950661719</v>
      </c>
      <c r="CM93" s="6">
        <f t="shared" si="298"/>
        <v>1225.9677049338281</v>
      </c>
      <c r="CN93" s="876">
        <f t="shared" si="264"/>
        <v>100072715.43821304</v>
      </c>
      <c r="CO93" s="876">
        <f t="shared" si="265"/>
        <v>131749469.3556883</v>
      </c>
      <c r="CP93" s="1137">
        <f t="shared" si="299"/>
        <v>116187096071.85852</v>
      </c>
      <c r="CQ93" s="1136">
        <f t="shared" si="300"/>
        <v>32916617372.582115</v>
      </c>
      <c r="CR93" s="877">
        <f t="shared" si="301"/>
        <v>129762.96508570782</v>
      </c>
      <c r="CS93" s="874">
        <f t="shared" si="302"/>
        <v>161520594572.24292</v>
      </c>
      <c r="CT93" s="875">
        <f t="shared" si="303"/>
        <v>1614.0322950661719</v>
      </c>
      <c r="CU93" s="878">
        <f t="shared" si="304"/>
        <v>1225.9677049338281</v>
      </c>
      <c r="CV93" s="876">
        <f t="shared" si="305"/>
        <v>100072715.43821304</v>
      </c>
      <c r="CW93" s="876">
        <f t="shared" si="306"/>
        <v>131749469.3556883</v>
      </c>
      <c r="CX93" s="1136">
        <f t="shared" si="307"/>
        <v>116187096071.85852</v>
      </c>
      <c r="CY93" s="1136">
        <f t="shared" si="308"/>
        <v>32916617372.582115</v>
      </c>
      <c r="CZ93" s="877">
        <f t="shared" si="309"/>
        <v>129762.96508570782</v>
      </c>
      <c r="DA93" s="874">
        <f t="shared" si="310"/>
        <v>161520594572.24292</v>
      </c>
      <c r="DB93" s="875">
        <f t="shared" si="311"/>
        <v>1614.0322950661719</v>
      </c>
      <c r="DC93" s="878">
        <f t="shared" si="312"/>
        <v>1225.9677049338281</v>
      </c>
      <c r="DD93" s="876">
        <f t="shared" si="266"/>
        <v>100072715.43821304</v>
      </c>
      <c r="DE93" s="876">
        <f t="shared" si="267"/>
        <v>131749469.3556883</v>
      </c>
      <c r="DF93" s="1136">
        <f t="shared" si="313"/>
        <v>116187096071.85852</v>
      </c>
      <c r="DG93" s="1136">
        <f t="shared" si="314"/>
        <v>32916617372.582115</v>
      </c>
      <c r="DH93" s="877">
        <f t="shared" si="315"/>
        <v>377674.65161772241</v>
      </c>
      <c r="DI93" s="879">
        <f t="shared" si="316"/>
        <v>420265490240.5509</v>
      </c>
      <c r="DJ93" s="878">
        <f t="shared" si="317"/>
        <v>473.81649295745774</v>
      </c>
      <c r="DK93" s="877">
        <f t="shared" si="318"/>
        <v>2366.1835070425423</v>
      </c>
      <c r="DL93" s="876">
        <f t="shared" si="268"/>
        <v>886979445.60212898</v>
      </c>
      <c r="DM93" s="876">
        <f t="shared" si="269"/>
        <v>177613227.7947599</v>
      </c>
      <c r="DN93" s="7">
        <f t="shared" si="319"/>
        <v>741131139204.64526</v>
      </c>
      <c r="DO93" s="1136">
        <f t="shared" si="320"/>
        <v>214476299647.88208</v>
      </c>
      <c r="DP93" s="877">
        <f t="shared" si="321"/>
        <v>212400.1939297127</v>
      </c>
      <c r="DQ93" s="879">
        <f t="shared" si="322"/>
        <v>314430424509.01593</v>
      </c>
      <c r="DR93" s="877">
        <f t="shared" si="323"/>
        <v>938.2158910363737</v>
      </c>
      <c r="DS93" s="877">
        <f t="shared" si="324"/>
        <v>1901.7841089636263</v>
      </c>
      <c r="DT93" s="876">
        <f t="shared" si="270"/>
        <v>335136536.81743681</v>
      </c>
      <c r="DU93" s="876">
        <f t="shared" si="271"/>
        <v>165334447.28401071</v>
      </c>
      <c r="DV93" s="1136">
        <f t="shared" si="325"/>
        <v>324501777116.12073</v>
      </c>
      <c r="DW93" s="1136">
        <f t="shared" si="326"/>
        <v>214476299647.88208</v>
      </c>
      <c r="DX93" s="880">
        <f t="shared" si="327"/>
        <v>142846.91308974591</v>
      </c>
      <c r="DY93" s="874">
        <f t="shared" si="328"/>
        <v>198007849742.18506</v>
      </c>
      <c r="DZ93" s="873">
        <f t="shared" si="329"/>
        <v>1453.8294571168058</v>
      </c>
      <c r="EA93" s="880">
        <f t="shared" si="330"/>
        <v>1386.1705428831942</v>
      </c>
      <c r="EB93" s="876">
        <f t="shared" si="272"/>
        <v>136197439.64664793</v>
      </c>
      <c r="EC93" s="876">
        <f t="shared" si="273"/>
        <v>142845229.80147487</v>
      </c>
      <c r="ED93" s="1136">
        <f t="shared" si="331"/>
        <v>741131139204.64526</v>
      </c>
      <c r="EE93" s="1136">
        <f t="shared" si="332"/>
        <v>214476299647.88208</v>
      </c>
      <c r="EF93" s="880">
        <f t="shared" si="333"/>
        <v>134124.28108705385</v>
      </c>
      <c r="EG93" s="874">
        <f t="shared" si="334"/>
        <v>174471223269.76736</v>
      </c>
      <c r="EH93" s="873">
        <f t="shared" si="335"/>
        <v>1557.158474547349</v>
      </c>
      <c r="EI93" s="880">
        <f t="shared" si="336"/>
        <v>1282.841525452651</v>
      </c>
      <c r="EJ93" s="876">
        <f t="shared" si="274"/>
        <v>112044615.96016069</v>
      </c>
      <c r="EK93" s="876">
        <f t="shared" si="275"/>
        <v>136003722.8356832</v>
      </c>
      <c r="EL93" s="1136">
        <f t="shared" si="337"/>
        <v>324501777116.12073</v>
      </c>
      <c r="EM93" s="1136">
        <f t="shared" si="338"/>
        <v>214476299647.88208</v>
      </c>
      <c r="EN93" s="876"/>
      <c r="EO93" s="876"/>
    </row>
    <row r="94" spans="1:145" s="871" customFormat="1">
      <c r="B94" s="871" t="str">
        <f t="shared" ref="B94" si="364">LEFT(B92,3)+1&amp;"j"</f>
        <v>215j</v>
      </c>
      <c r="C94" s="871">
        <v>66.900000000000006</v>
      </c>
      <c r="D94" s="871">
        <v>0</v>
      </c>
      <c r="E94" s="871" t="s">
        <v>2110</v>
      </c>
      <c r="F94" s="26">
        <v>2</v>
      </c>
      <c r="G94" s="136">
        <v>500</v>
      </c>
      <c r="H94" s="136">
        <v>22</v>
      </c>
      <c r="I94" s="28">
        <v>250</v>
      </c>
      <c r="J94" s="26">
        <v>1940</v>
      </c>
      <c r="K94" s="136">
        <v>18</v>
      </c>
      <c r="L94" s="28">
        <v>120</v>
      </c>
      <c r="M94" s="26">
        <v>2800</v>
      </c>
      <c r="N94" s="28">
        <v>12</v>
      </c>
      <c r="O94" s="397">
        <v>0</v>
      </c>
      <c r="P94" s="26">
        <v>290</v>
      </c>
      <c r="Q94" s="397">
        <v>5500</v>
      </c>
      <c r="R94" s="169">
        <v>0</v>
      </c>
      <c r="S94" s="210">
        <v>0</v>
      </c>
      <c r="T94" s="210">
        <v>1200</v>
      </c>
      <c r="U94" s="210">
        <v>2400</v>
      </c>
      <c r="V94" s="872">
        <v>3800</v>
      </c>
      <c r="W94" s="210">
        <v>19</v>
      </c>
      <c r="X94" s="210">
        <v>200</v>
      </c>
      <c r="Y94" s="210">
        <v>50</v>
      </c>
      <c r="Z94" s="210">
        <v>16</v>
      </c>
      <c r="AA94" s="210">
        <v>200</v>
      </c>
      <c r="AB94" s="872">
        <v>40</v>
      </c>
      <c r="AC94" s="210">
        <v>0</v>
      </c>
      <c r="AD94" s="397">
        <v>2</v>
      </c>
      <c r="AE94" s="210">
        <v>160</v>
      </c>
      <c r="AF94" s="210">
        <v>16</v>
      </c>
      <c r="AG94" s="397">
        <v>0</v>
      </c>
      <c r="AH94" s="210">
        <v>0</v>
      </c>
      <c r="AI94" s="210">
        <v>0</v>
      </c>
      <c r="AJ94" s="397">
        <v>2</v>
      </c>
      <c r="AK94" s="210">
        <v>2500</v>
      </c>
      <c r="AL94" s="210">
        <v>5000</v>
      </c>
      <c r="AM94" s="210" t="s">
        <v>2316</v>
      </c>
      <c r="AN94" s="210">
        <v>2500</v>
      </c>
      <c r="AO94" s="1143" t="s">
        <v>2321</v>
      </c>
      <c r="AP94" s="1143" t="s">
        <v>2321</v>
      </c>
      <c r="AQ94" s="1143"/>
      <c r="AR94" s="1143"/>
      <c r="AS94" s="1143"/>
      <c r="AT94" s="1143"/>
      <c r="AU94" s="1143"/>
      <c r="AV94" s="1111"/>
      <c r="AW94" s="1111"/>
      <c r="AX94" s="1111"/>
      <c r="AY94" s="1111"/>
      <c r="AZ94" s="1108">
        <v>8</v>
      </c>
      <c r="BA94" s="1108">
        <v>6</v>
      </c>
      <c r="BB94" s="1111"/>
      <c r="BC94" s="1168"/>
      <c r="BD94" s="210">
        <f>INDEX(Spec!$B$12:$P$58,MATCH(AO94,Spec!$A$12:$A$58,0),6)*100</f>
        <v>1900</v>
      </c>
      <c r="BE94" s="210">
        <f>INDEX(Spec!$B$12:$P$58,MATCH(AP94,Spec!$A$12:$A$58,0),6)*100</f>
        <v>1900</v>
      </c>
      <c r="BF94" s="881">
        <f t="shared" si="276"/>
        <v>0.69515529669535348</v>
      </c>
      <c r="BG94" s="881">
        <f t="shared" si="277"/>
        <v>47.243485714285718</v>
      </c>
      <c r="BH94" s="881"/>
      <c r="BI94" s="13" cm="1">
        <f t="array" ref="BI94">INDEX(Info!$AD$4:$AH$15,MATCH(Info!$I$13,Info!$AC$4:$AC$15,0),IF(H94&lt;=16,1,IF(H94&lt;=40,2,IF(H94&lt;=75,3,IF(H94&lt;=100,4,5)))))</f>
        <v>380</v>
      </c>
      <c r="BJ94" s="13" cm="1">
        <f t="array" ref="BJ94">INDEX(Info!$AD$4:$AH$15,MATCH(Info!$I$13,Info!$AC$4:$AC$15,0),IF(K94&lt;=16,1,IF(K94&lt;=40,2,IF(K94&lt;=75,3,IF(K94&lt;=100,4,5)))))</f>
        <v>380</v>
      </c>
      <c r="BK94" s="13" cm="1">
        <f t="array" ref="BK94">INDEX(Info!$AD$4:$AH$15,MATCH(Info!$I$14,Info!$AC$4:$AC$15,0),IF(N94&lt;=16,1,IF(N94&lt;=40,2,IF(N94&lt;=75,3,IF(N94&lt;=100,4,5)))))</f>
        <v>355</v>
      </c>
      <c r="BL94" s="13">
        <f>IF(Stress!C923="Positive",MAX(MIN(0.7*BI94,BK94),0.5*BI94),MAX(MIN(0.7*BJ94,BK94),0.5*BJ94))</f>
        <v>266</v>
      </c>
      <c r="BM94" s="13" cm="1">
        <f t="array" ref="BM94">INDEX(Info!$AD$4:$AH$15,MATCH(Info!$I$13,Info!$AC$4:$AC$15,0),IF(AI94&lt;=16,1,IF(AI94&lt;=40,2,IF(AI94&lt;=75,3,IF(AI94&lt;=100,4,5)))))</f>
        <v>380</v>
      </c>
      <c r="BN94" s="13" cm="1">
        <f t="array" ref="BN94">INDEX(Info!$AD$4:$AH$15,MATCH(Info!$I$13,Info!$AC$4:$AC$15,0),IF(AF94&lt;=16,1,IF(AF94&lt;=40,2,IF(AF94&lt;=75,3,IF(AF94&lt;=100,4,5)))))</f>
        <v>380</v>
      </c>
      <c r="BO94" s="13"/>
      <c r="BP94" s="873">
        <f t="shared" si="278"/>
        <v>0.125</v>
      </c>
      <c r="BQ94" s="873">
        <f t="shared" si="279"/>
        <v>2821.7902119044925</v>
      </c>
      <c r="BR94" s="873">
        <f t="shared" si="280"/>
        <v>3108</v>
      </c>
      <c r="BS94" s="873"/>
      <c r="BT94" s="871">
        <f t="shared" si="281"/>
        <v>0</v>
      </c>
      <c r="BU94" s="136">
        <f t="shared" si="282"/>
        <v>0</v>
      </c>
      <c r="BV94" s="871">
        <f t="shared" si="283"/>
        <v>1595000</v>
      </c>
      <c r="BW94" s="871">
        <f t="shared" si="284"/>
        <v>11178291666.666666</v>
      </c>
      <c r="BX94" s="871">
        <f t="shared" si="285"/>
        <v>0</v>
      </c>
      <c r="BY94" s="871">
        <f t="shared" si="286"/>
        <v>0</v>
      </c>
      <c r="BZ94" s="871">
        <f t="shared" si="287"/>
        <v>7655.2758986349281</v>
      </c>
      <c r="CA94" s="871">
        <f t="shared" si="288"/>
        <v>172722.16246295057</v>
      </c>
      <c r="CB94" s="871">
        <f t="shared" si="289"/>
        <v>5428.6721054031623</v>
      </c>
      <c r="CC94" s="871">
        <f t="shared" si="290"/>
        <v>86858.753686450596</v>
      </c>
      <c r="CE94" s="1137">
        <f t="shared" si="291"/>
        <v>346081987.77679139</v>
      </c>
      <c r="CF94" s="1136">
        <f t="shared" si="292"/>
        <v>411131448.88888884</v>
      </c>
      <c r="CG94" s="1136">
        <f t="shared" si="293"/>
        <v>0</v>
      </c>
      <c r="CH94" s="172">
        <f t="shared" si="294"/>
        <v>4020729166666.6665</v>
      </c>
      <c r="CJ94" s="136">
        <f t="shared" si="295"/>
        <v>129762.96508570782</v>
      </c>
      <c r="CK94" s="7">
        <f t="shared" si="296"/>
        <v>161520594572.24292</v>
      </c>
      <c r="CL94" s="875">
        <f t="shared" si="297"/>
        <v>1614.0322950661719</v>
      </c>
      <c r="CM94" s="6">
        <f t="shared" si="298"/>
        <v>1225.9677049338281</v>
      </c>
      <c r="CN94" s="876">
        <f t="shared" si="264"/>
        <v>100072715.43821304</v>
      </c>
      <c r="CO94" s="876">
        <f t="shared" si="265"/>
        <v>131749469.3556883</v>
      </c>
      <c r="CP94" s="1137">
        <f t="shared" si="299"/>
        <v>116187096071.85852</v>
      </c>
      <c r="CQ94" s="1136">
        <f t="shared" si="300"/>
        <v>32916617372.582115</v>
      </c>
      <c r="CR94" s="877">
        <f t="shared" si="301"/>
        <v>129762.96508570782</v>
      </c>
      <c r="CS94" s="874">
        <f t="shared" si="302"/>
        <v>161520594572.24292</v>
      </c>
      <c r="CT94" s="875">
        <f t="shared" si="303"/>
        <v>1614.0322950661719</v>
      </c>
      <c r="CU94" s="878">
        <f t="shared" si="304"/>
        <v>1225.9677049338281</v>
      </c>
      <c r="CV94" s="876">
        <f t="shared" si="305"/>
        <v>100072715.43821304</v>
      </c>
      <c r="CW94" s="876">
        <f t="shared" si="306"/>
        <v>131749469.3556883</v>
      </c>
      <c r="CX94" s="1136">
        <f t="shared" si="307"/>
        <v>116187096071.85852</v>
      </c>
      <c r="CY94" s="1136">
        <f t="shared" si="308"/>
        <v>32916617372.582115</v>
      </c>
      <c r="CZ94" s="877">
        <f t="shared" si="309"/>
        <v>129762.96508570782</v>
      </c>
      <c r="DA94" s="874">
        <f t="shared" si="310"/>
        <v>161520594572.24292</v>
      </c>
      <c r="DB94" s="875">
        <f t="shared" si="311"/>
        <v>1614.0322950661719</v>
      </c>
      <c r="DC94" s="878">
        <f t="shared" si="312"/>
        <v>1225.9677049338281</v>
      </c>
      <c r="DD94" s="876">
        <f t="shared" si="266"/>
        <v>100072715.43821304</v>
      </c>
      <c r="DE94" s="876">
        <f t="shared" si="267"/>
        <v>131749469.3556883</v>
      </c>
      <c r="DF94" s="1136">
        <f t="shared" si="313"/>
        <v>116187096071.85852</v>
      </c>
      <c r="DG94" s="1136">
        <f t="shared" si="314"/>
        <v>32916617372.582115</v>
      </c>
      <c r="DH94" s="877">
        <f t="shared" si="315"/>
        <v>377674.65161772241</v>
      </c>
      <c r="DI94" s="879">
        <f t="shared" si="316"/>
        <v>420265490240.5509</v>
      </c>
      <c r="DJ94" s="878">
        <f t="shared" si="317"/>
        <v>473.81649295745774</v>
      </c>
      <c r="DK94" s="877">
        <f t="shared" si="318"/>
        <v>2366.1835070425423</v>
      </c>
      <c r="DL94" s="876">
        <f t="shared" si="268"/>
        <v>886979445.60212898</v>
      </c>
      <c r="DM94" s="876">
        <f t="shared" si="269"/>
        <v>177613227.7947599</v>
      </c>
      <c r="DN94" s="7">
        <f t="shared" si="319"/>
        <v>741131139204.64526</v>
      </c>
      <c r="DO94" s="1136">
        <f t="shared" si="320"/>
        <v>214476299647.88208</v>
      </c>
      <c r="DP94" s="877">
        <f t="shared" si="321"/>
        <v>212400.1939297127</v>
      </c>
      <c r="DQ94" s="879">
        <f t="shared" si="322"/>
        <v>314430424509.01593</v>
      </c>
      <c r="DR94" s="877">
        <f t="shared" si="323"/>
        <v>938.2158910363737</v>
      </c>
      <c r="DS94" s="877">
        <f t="shared" si="324"/>
        <v>1901.7841089636263</v>
      </c>
      <c r="DT94" s="876">
        <f t="shared" si="270"/>
        <v>335136536.81743681</v>
      </c>
      <c r="DU94" s="876">
        <f t="shared" si="271"/>
        <v>165334447.28401071</v>
      </c>
      <c r="DV94" s="1136">
        <f t="shared" si="325"/>
        <v>324501777116.12073</v>
      </c>
      <c r="DW94" s="1136">
        <f t="shared" si="326"/>
        <v>214476299647.88208</v>
      </c>
      <c r="DX94" s="880">
        <f t="shared" si="327"/>
        <v>142846.91308974591</v>
      </c>
      <c r="DY94" s="874">
        <f t="shared" si="328"/>
        <v>198007849742.18506</v>
      </c>
      <c r="DZ94" s="873">
        <f t="shared" si="329"/>
        <v>1453.8294571168058</v>
      </c>
      <c r="EA94" s="880">
        <f t="shared" si="330"/>
        <v>1386.1705428831942</v>
      </c>
      <c r="EB94" s="876">
        <f t="shared" si="272"/>
        <v>136197439.64664793</v>
      </c>
      <c r="EC94" s="876">
        <f t="shared" si="273"/>
        <v>142845229.80147487</v>
      </c>
      <c r="ED94" s="1136">
        <f t="shared" si="331"/>
        <v>741131139204.64526</v>
      </c>
      <c r="EE94" s="1136">
        <f t="shared" si="332"/>
        <v>214476299647.88208</v>
      </c>
      <c r="EF94" s="880">
        <f t="shared" si="333"/>
        <v>134124.28108705385</v>
      </c>
      <c r="EG94" s="874">
        <f t="shared" si="334"/>
        <v>174471223269.76736</v>
      </c>
      <c r="EH94" s="873">
        <f t="shared" si="335"/>
        <v>1557.158474547349</v>
      </c>
      <c r="EI94" s="880">
        <f t="shared" si="336"/>
        <v>1282.841525452651</v>
      </c>
      <c r="EJ94" s="876">
        <f t="shared" si="274"/>
        <v>112044615.96016069</v>
      </c>
      <c r="EK94" s="876">
        <f t="shared" si="275"/>
        <v>136003722.8356832</v>
      </c>
      <c r="EL94" s="1136">
        <f t="shared" si="337"/>
        <v>324501777116.12073</v>
      </c>
      <c r="EM94" s="1136">
        <f t="shared" si="338"/>
        <v>214476299647.88208</v>
      </c>
      <c r="EN94" s="876"/>
      <c r="EO94" s="876"/>
    </row>
    <row r="95" spans="1:145" s="871" customFormat="1">
      <c r="A95" s="871">
        <v>116</v>
      </c>
      <c r="B95" s="871" t="str">
        <f t="shared" ref="B95" si="365">LEFT(B93,3)+1&amp;"i"</f>
        <v>216i</v>
      </c>
      <c r="C95" s="871">
        <v>66.900000000000006</v>
      </c>
      <c r="D95" s="871">
        <v>0</v>
      </c>
      <c r="E95" s="871" t="s">
        <v>2111</v>
      </c>
      <c r="F95" s="26">
        <v>2</v>
      </c>
      <c r="G95" s="136">
        <v>600</v>
      </c>
      <c r="H95" s="136">
        <v>26</v>
      </c>
      <c r="I95" s="28">
        <v>250</v>
      </c>
      <c r="J95" s="26">
        <v>1937</v>
      </c>
      <c r="K95" s="136">
        <v>24</v>
      </c>
      <c r="L95" s="28">
        <v>120</v>
      </c>
      <c r="M95" s="26">
        <v>2814</v>
      </c>
      <c r="N95" s="28">
        <v>12</v>
      </c>
      <c r="O95" s="397">
        <v>0</v>
      </c>
      <c r="P95" s="26">
        <v>290</v>
      </c>
      <c r="Q95" s="397">
        <v>5500</v>
      </c>
      <c r="R95" s="169">
        <v>0</v>
      </c>
      <c r="S95" s="210">
        <v>0</v>
      </c>
      <c r="T95" s="210">
        <v>1200</v>
      </c>
      <c r="U95" s="210">
        <v>2400</v>
      </c>
      <c r="V95" s="872">
        <v>3800</v>
      </c>
      <c r="W95" s="210">
        <v>19</v>
      </c>
      <c r="X95" s="210">
        <v>200</v>
      </c>
      <c r="Y95" s="210">
        <v>50</v>
      </c>
      <c r="Z95" s="210">
        <v>16</v>
      </c>
      <c r="AA95" s="210">
        <v>200</v>
      </c>
      <c r="AB95" s="872">
        <v>40</v>
      </c>
      <c r="AC95" s="210">
        <v>0</v>
      </c>
      <c r="AD95" s="397">
        <v>2</v>
      </c>
      <c r="AE95" s="210">
        <v>160</v>
      </c>
      <c r="AF95" s="210">
        <v>16</v>
      </c>
      <c r="AG95" s="397">
        <v>0</v>
      </c>
      <c r="AH95" s="210">
        <v>0</v>
      </c>
      <c r="AI95" s="210">
        <v>0</v>
      </c>
      <c r="AJ95" s="397">
        <v>2</v>
      </c>
      <c r="AK95" s="210">
        <v>2500</v>
      </c>
      <c r="AL95" s="210">
        <v>5000</v>
      </c>
      <c r="AM95" s="210" t="s">
        <v>2316</v>
      </c>
      <c r="AN95" s="210">
        <v>2500</v>
      </c>
      <c r="AO95" s="1143" t="s">
        <v>2321</v>
      </c>
      <c r="AP95" s="1143" t="s">
        <v>2321</v>
      </c>
      <c r="AQ95" s="1143"/>
      <c r="AR95" s="1143"/>
      <c r="AS95" s="1143"/>
      <c r="AT95" s="1143"/>
      <c r="AU95" s="1143"/>
      <c r="AV95" s="1111"/>
      <c r="AW95" s="1111"/>
      <c r="AX95" s="1111"/>
      <c r="AY95" s="1111"/>
      <c r="AZ95" s="1108">
        <v>8</v>
      </c>
      <c r="BA95" s="1108">
        <v>6</v>
      </c>
      <c r="BB95" s="1111"/>
      <c r="BC95" s="1168"/>
      <c r="BD95" s="210">
        <f>INDEX(Spec!$B$12:$P$58,MATCH(AO95,Spec!$A$12:$A$58,0),6)*100</f>
        <v>1900</v>
      </c>
      <c r="BE95" s="210">
        <f>INDEX(Spec!$B$12:$P$58,MATCH(AP95,Spec!$A$12:$A$58,0),6)*100</f>
        <v>1900</v>
      </c>
      <c r="BF95" s="881">
        <f t="shared" si="276"/>
        <v>0.6983621343021752</v>
      </c>
      <c r="BG95" s="881">
        <f t="shared" si="277"/>
        <v>47.243485714285718</v>
      </c>
      <c r="BH95" s="881"/>
      <c r="BI95" s="13" cm="1">
        <f t="array" ref="BI95">INDEX(Info!$AD$4:$AH$15,MATCH(Info!$I$13,Info!$AC$4:$AC$15,0),IF(H95&lt;=16,1,IF(H95&lt;=40,2,IF(H95&lt;=75,3,IF(H95&lt;=100,4,5)))))</f>
        <v>380</v>
      </c>
      <c r="BJ95" s="13" cm="1">
        <f t="array" ref="BJ95">INDEX(Info!$AD$4:$AH$15,MATCH(Info!$I$13,Info!$AC$4:$AC$15,0),IF(K95&lt;=16,1,IF(K95&lt;=40,2,IF(K95&lt;=75,3,IF(K95&lt;=100,4,5)))))</f>
        <v>380</v>
      </c>
      <c r="BK95" s="13" cm="1">
        <f t="array" ref="BK95">INDEX(Info!$AD$4:$AH$15,MATCH(Info!$I$14,Info!$AC$4:$AC$15,0),IF(N95&lt;=16,1,IF(N95&lt;=40,2,IF(N95&lt;=75,3,IF(N95&lt;=100,4,5)))))</f>
        <v>355</v>
      </c>
      <c r="BL95" s="13">
        <f>IF(Stress!C924="Positive",MAX(MIN(0.7*BI95,BK95),0.5*BI95),MAX(MIN(0.7*BJ95,BK95),0.5*BJ95))</f>
        <v>266</v>
      </c>
      <c r="BM95" s="13" cm="1">
        <f t="array" ref="BM95">INDEX(Info!$AD$4:$AH$15,MATCH(Info!$I$13,Info!$AC$4:$AC$15,0),IF(AI95&lt;=16,1,IF(AI95&lt;=40,2,IF(AI95&lt;=75,3,IF(AI95&lt;=100,4,5)))))</f>
        <v>380</v>
      </c>
      <c r="BN95" s="13" cm="1">
        <f t="array" ref="BN95">INDEX(Info!$AD$4:$AH$15,MATCH(Info!$I$13,Info!$AC$4:$AC$15,0),IF(AF95&lt;=16,1,IF(AF95&lt;=40,2,IF(AF95&lt;=75,3,IF(AF95&lt;=100,4,5)))))</f>
        <v>380</v>
      </c>
      <c r="BO95" s="13"/>
      <c r="BP95" s="873">
        <f t="shared" si="278"/>
        <v>0.12491115849324805</v>
      </c>
      <c r="BQ95" s="873">
        <f t="shared" si="279"/>
        <v>2835.8681651303891</v>
      </c>
      <c r="BR95" s="873">
        <f t="shared" si="280"/>
        <v>3128</v>
      </c>
      <c r="BS95" s="873"/>
      <c r="BT95" s="871">
        <f t="shared" si="281"/>
        <v>0</v>
      </c>
      <c r="BU95" s="136">
        <f t="shared" si="282"/>
        <v>0</v>
      </c>
      <c r="BV95" s="871">
        <f t="shared" si="283"/>
        <v>1595000</v>
      </c>
      <c r="BW95" s="871">
        <f t="shared" si="284"/>
        <v>11178291666.666666</v>
      </c>
      <c r="BX95" s="871">
        <f t="shared" si="285"/>
        <v>0</v>
      </c>
      <c r="BY95" s="871">
        <f t="shared" si="286"/>
        <v>0</v>
      </c>
      <c r="BZ95" s="871">
        <f t="shared" si="287"/>
        <v>7655.2758986349281</v>
      </c>
      <c r="CA95" s="871">
        <f t="shared" si="288"/>
        <v>172722.16246295057</v>
      </c>
      <c r="CB95" s="871">
        <f t="shared" si="289"/>
        <v>5428.6721054031623</v>
      </c>
      <c r="CC95" s="871">
        <f t="shared" si="290"/>
        <v>86858.753686450596</v>
      </c>
      <c r="CE95" s="1137">
        <f t="shared" si="291"/>
        <v>350792629.15766376</v>
      </c>
      <c r="CF95" s="1136">
        <f t="shared" si="292"/>
        <v>409682062.22222221</v>
      </c>
      <c r="CG95" s="1136">
        <f t="shared" si="293"/>
        <v>0</v>
      </c>
      <c r="CH95" s="172">
        <f t="shared" si="294"/>
        <v>4020729166666.6665</v>
      </c>
      <c r="CJ95" s="136">
        <f t="shared" si="295"/>
        <v>150868.83596312936</v>
      </c>
      <c r="CK95" s="7">
        <f t="shared" si="296"/>
        <v>205093687196.7587</v>
      </c>
      <c r="CL95" s="875">
        <f t="shared" si="297"/>
        <v>1621.6188875146788</v>
      </c>
      <c r="CM95" s="6">
        <f t="shared" si="298"/>
        <v>1242.3811124853212</v>
      </c>
      <c r="CN95" s="876">
        <f t="shared" si="264"/>
        <v>126474653.67839223</v>
      </c>
      <c r="CO95" s="876">
        <f t="shared" si="265"/>
        <v>165081137.45103469</v>
      </c>
      <c r="CP95" s="1137">
        <f t="shared" si="299"/>
        <v>130091730802.94354</v>
      </c>
      <c r="CQ95" s="1136">
        <f t="shared" si="300"/>
        <v>33605814213.029976</v>
      </c>
      <c r="CR95" s="877">
        <f t="shared" si="301"/>
        <v>150868.83596312936</v>
      </c>
      <c r="CS95" s="874">
        <f t="shared" si="302"/>
        <v>205093687196.7587</v>
      </c>
      <c r="CT95" s="875">
        <f t="shared" si="303"/>
        <v>1621.6188875146788</v>
      </c>
      <c r="CU95" s="878">
        <f t="shared" si="304"/>
        <v>1242.3811124853212</v>
      </c>
      <c r="CV95" s="876">
        <f t="shared" si="305"/>
        <v>126474653.67839223</v>
      </c>
      <c r="CW95" s="876">
        <f t="shared" si="306"/>
        <v>165081137.45103469</v>
      </c>
      <c r="CX95" s="1136">
        <f t="shared" si="307"/>
        <v>130091730802.94354</v>
      </c>
      <c r="CY95" s="1136">
        <f t="shared" si="308"/>
        <v>33605814213.029976</v>
      </c>
      <c r="CZ95" s="877">
        <f t="shared" si="309"/>
        <v>150868.83596312936</v>
      </c>
      <c r="DA95" s="874">
        <f t="shared" si="310"/>
        <v>205093687196.7587</v>
      </c>
      <c r="DB95" s="875">
        <f t="shared" si="311"/>
        <v>1621.6188875146788</v>
      </c>
      <c r="DC95" s="878">
        <f t="shared" si="312"/>
        <v>1242.3811124853212</v>
      </c>
      <c r="DD95" s="876">
        <f t="shared" si="266"/>
        <v>126474653.67839223</v>
      </c>
      <c r="DE95" s="876">
        <f t="shared" si="267"/>
        <v>165081137.45103469</v>
      </c>
      <c r="DF95" s="1136">
        <f t="shared" si="313"/>
        <v>130091730802.94354</v>
      </c>
      <c r="DG95" s="1136">
        <f t="shared" si="314"/>
        <v>33605814213.029976</v>
      </c>
      <c r="DH95" s="877">
        <f t="shared" si="315"/>
        <v>398780.52249514393</v>
      </c>
      <c r="DI95" s="879">
        <f t="shared" si="316"/>
        <v>490995741742.52405</v>
      </c>
      <c r="DJ95" s="878">
        <f t="shared" si="317"/>
        <v>539.52049084963664</v>
      </c>
      <c r="DK95" s="877">
        <f t="shared" si="318"/>
        <v>2324.4795091503634</v>
      </c>
      <c r="DL95" s="876">
        <f t="shared" si="268"/>
        <v>910059488.13789105</v>
      </c>
      <c r="DM95" s="876">
        <f t="shared" si="269"/>
        <v>211228251.2320323</v>
      </c>
      <c r="DN95" s="7">
        <f t="shared" si="319"/>
        <v>755035773935.73022</v>
      </c>
      <c r="DO95" s="1136">
        <f t="shared" si="320"/>
        <v>225610305113.07498</v>
      </c>
      <c r="DP95" s="877">
        <f t="shared" si="321"/>
        <v>233506.06480713421</v>
      </c>
      <c r="DQ95" s="879">
        <f t="shared" si="322"/>
        <v>367437814540.55322</v>
      </c>
      <c r="DR95" s="877">
        <f t="shared" si="323"/>
        <v>1005.6180934601296</v>
      </c>
      <c r="DS95" s="877">
        <f t="shared" si="324"/>
        <v>1858.3819065398704</v>
      </c>
      <c r="DT95" s="876">
        <f t="shared" si="270"/>
        <v>365385047.1964696</v>
      </c>
      <c r="DU95" s="876">
        <f t="shared" si="271"/>
        <v>197719216.51168427</v>
      </c>
      <c r="DV95" s="1136">
        <f t="shared" si="325"/>
        <v>338406411847.20581</v>
      </c>
      <c r="DW95" s="1136">
        <f t="shared" si="326"/>
        <v>225610305113.07498</v>
      </c>
      <c r="DX95" s="880">
        <f t="shared" si="327"/>
        <v>163952.78396716746</v>
      </c>
      <c r="DY95" s="874">
        <f t="shared" si="328"/>
        <v>242204101540.91312</v>
      </c>
      <c r="DZ95" s="873">
        <f t="shared" si="329"/>
        <v>1481.7529632923504</v>
      </c>
      <c r="EA95" s="880">
        <f t="shared" si="330"/>
        <v>1382.2470367076496</v>
      </c>
      <c r="EB95" s="876">
        <f t="shared" si="272"/>
        <v>163457814.85920078</v>
      </c>
      <c r="EC95" s="876">
        <f t="shared" si="273"/>
        <v>175224901.9956772</v>
      </c>
      <c r="ED95" s="1136">
        <f t="shared" si="331"/>
        <v>755035773935.73022</v>
      </c>
      <c r="EE95" s="1136">
        <f t="shared" si="332"/>
        <v>225610305113.07498</v>
      </c>
      <c r="EF95" s="880">
        <f t="shared" si="333"/>
        <v>155230.1519644754</v>
      </c>
      <c r="EG95" s="874">
        <f t="shared" si="334"/>
        <v>218156538693.52585</v>
      </c>
      <c r="EH95" s="873">
        <f t="shared" si="335"/>
        <v>1572.3771489989135</v>
      </c>
      <c r="EI95" s="880">
        <f t="shared" si="336"/>
        <v>1291.6228510010865</v>
      </c>
      <c r="EJ95" s="876">
        <f t="shared" si="274"/>
        <v>138743137.31436488</v>
      </c>
      <c r="EK95" s="876">
        <f t="shared" si="275"/>
        <v>168901114.22575191</v>
      </c>
      <c r="EL95" s="1136">
        <f t="shared" si="337"/>
        <v>338406411847.20581</v>
      </c>
      <c r="EM95" s="1136">
        <f t="shared" si="338"/>
        <v>225610305113.07498</v>
      </c>
      <c r="EN95" s="876"/>
      <c r="EO95" s="876"/>
    </row>
    <row r="96" spans="1:145" s="871" customFormat="1">
      <c r="B96" s="871" t="str">
        <f t="shared" ref="B96" si="366">LEFT(B94,3)+1&amp;"j"</f>
        <v>216j</v>
      </c>
      <c r="C96" s="871">
        <v>71.900000000000006</v>
      </c>
      <c r="D96" s="871">
        <v>0</v>
      </c>
      <c r="E96" s="871" t="s">
        <v>2111</v>
      </c>
      <c r="F96" s="26">
        <v>2</v>
      </c>
      <c r="G96" s="136">
        <v>600</v>
      </c>
      <c r="H96" s="136">
        <v>26</v>
      </c>
      <c r="I96" s="28">
        <v>250</v>
      </c>
      <c r="J96" s="26">
        <v>1937</v>
      </c>
      <c r="K96" s="136">
        <v>24</v>
      </c>
      <c r="L96" s="28">
        <v>120</v>
      </c>
      <c r="M96" s="26">
        <v>2814</v>
      </c>
      <c r="N96" s="28">
        <v>12</v>
      </c>
      <c r="O96" s="397">
        <v>0</v>
      </c>
      <c r="P96" s="26">
        <v>290</v>
      </c>
      <c r="Q96" s="397">
        <v>5500</v>
      </c>
      <c r="R96" s="169">
        <v>0</v>
      </c>
      <c r="S96" s="210">
        <v>0</v>
      </c>
      <c r="T96" s="210">
        <v>1200</v>
      </c>
      <c r="U96" s="210">
        <v>2400</v>
      </c>
      <c r="V96" s="872">
        <v>3800</v>
      </c>
      <c r="W96" s="210">
        <v>19</v>
      </c>
      <c r="X96" s="210">
        <v>200</v>
      </c>
      <c r="Y96" s="210">
        <v>50</v>
      </c>
      <c r="Z96" s="210">
        <v>16</v>
      </c>
      <c r="AA96" s="210">
        <v>200</v>
      </c>
      <c r="AB96" s="872">
        <v>40</v>
      </c>
      <c r="AC96" s="210">
        <v>0</v>
      </c>
      <c r="AD96" s="397">
        <v>2</v>
      </c>
      <c r="AE96" s="210">
        <v>160</v>
      </c>
      <c r="AF96" s="210">
        <v>16</v>
      </c>
      <c r="AG96" s="397">
        <v>0</v>
      </c>
      <c r="AH96" s="210">
        <v>0</v>
      </c>
      <c r="AI96" s="210">
        <v>0</v>
      </c>
      <c r="AJ96" s="397">
        <v>2</v>
      </c>
      <c r="AK96" s="210">
        <v>2500</v>
      </c>
      <c r="AL96" s="210">
        <v>5000</v>
      </c>
      <c r="AM96" s="210" t="s">
        <v>2316</v>
      </c>
      <c r="AN96" s="210">
        <v>2500</v>
      </c>
      <c r="AO96" s="1143" t="s">
        <v>2321</v>
      </c>
      <c r="AP96" s="1143" t="s">
        <v>2321</v>
      </c>
      <c r="AQ96" s="1143"/>
      <c r="AR96" s="1143"/>
      <c r="AS96" s="1143"/>
      <c r="AT96" s="1143"/>
      <c r="AU96" s="1143"/>
      <c r="AV96" s="1111"/>
      <c r="AW96" s="1111"/>
      <c r="AX96" s="1111"/>
      <c r="AY96" s="1111"/>
      <c r="AZ96" s="1108">
        <v>8</v>
      </c>
      <c r="BA96" s="1108">
        <v>6</v>
      </c>
      <c r="BB96" s="1111"/>
      <c r="BC96" s="1168"/>
      <c r="BD96" s="210">
        <f>INDEX(Spec!$B$12:$P$58,MATCH(AO96,Spec!$A$12:$A$58,0),6)*100</f>
        <v>1900</v>
      </c>
      <c r="BE96" s="210">
        <f>INDEX(Spec!$B$12:$P$58,MATCH(AP96,Spec!$A$12:$A$58,0),6)*100</f>
        <v>1900</v>
      </c>
      <c r="BF96" s="881">
        <f t="shared" si="276"/>
        <v>0.6983621343021752</v>
      </c>
      <c r="BG96" s="881">
        <f t="shared" si="277"/>
        <v>47.243485714285718</v>
      </c>
      <c r="BH96" s="881"/>
      <c r="BI96" s="13" cm="1">
        <f t="array" ref="BI96">INDEX(Info!$AD$4:$AH$15,MATCH(Info!$I$13,Info!$AC$4:$AC$15,0),IF(H96&lt;=16,1,IF(H96&lt;=40,2,IF(H96&lt;=75,3,IF(H96&lt;=100,4,5)))))</f>
        <v>380</v>
      </c>
      <c r="BJ96" s="13" cm="1">
        <f t="array" ref="BJ96">INDEX(Info!$AD$4:$AH$15,MATCH(Info!$I$13,Info!$AC$4:$AC$15,0),IF(K96&lt;=16,1,IF(K96&lt;=40,2,IF(K96&lt;=75,3,IF(K96&lt;=100,4,5)))))</f>
        <v>380</v>
      </c>
      <c r="BK96" s="13" cm="1">
        <f t="array" ref="BK96">INDEX(Info!$AD$4:$AH$15,MATCH(Info!$I$14,Info!$AC$4:$AC$15,0),IF(N96&lt;=16,1,IF(N96&lt;=40,2,IF(N96&lt;=75,3,IF(N96&lt;=100,4,5)))))</f>
        <v>355</v>
      </c>
      <c r="BL96" s="13">
        <f>IF(Stress!C925="Positive",MAX(MIN(0.7*BI96,BK96),0.5*BI96),MAX(MIN(0.7*BJ96,BK96),0.5*BJ96))</f>
        <v>266</v>
      </c>
      <c r="BM96" s="13" cm="1">
        <f t="array" ref="BM96">INDEX(Info!$AD$4:$AH$15,MATCH(Info!$I$13,Info!$AC$4:$AC$15,0),IF(AI96&lt;=16,1,IF(AI96&lt;=40,2,IF(AI96&lt;=75,3,IF(AI96&lt;=100,4,5)))))</f>
        <v>380</v>
      </c>
      <c r="BN96" s="13" cm="1">
        <f t="array" ref="BN96">INDEX(Info!$AD$4:$AH$15,MATCH(Info!$I$13,Info!$AC$4:$AC$15,0),IF(AF96&lt;=16,1,IF(AF96&lt;=40,2,IF(AF96&lt;=75,3,IF(AF96&lt;=100,4,5)))))</f>
        <v>380</v>
      </c>
      <c r="BO96" s="13"/>
      <c r="BP96" s="873">
        <f t="shared" si="278"/>
        <v>0.12491115849324805</v>
      </c>
      <c r="BQ96" s="873">
        <f t="shared" si="279"/>
        <v>2835.8681651303891</v>
      </c>
      <c r="BR96" s="873">
        <f t="shared" si="280"/>
        <v>3128</v>
      </c>
      <c r="BS96" s="873"/>
      <c r="BT96" s="871">
        <f t="shared" si="281"/>
        <v>0</v>
      </c>
      <c r="BU96" s="136">
        <f t="shared" si="282"/>
        <v>0</v>
      </c>
      <c r="BV96" s="871">
        <f t="shared" si="283"/>
        <v>1595000</v>
      </c>
      <c r="BW96" s="871">
        <f t="shared" si="284"/>
        <v>11178291666.666666</v>
      </c>
      <c r="BX96" s="871">
        <f t="shared" si="285"/>
        <v>0</v>
      </c>
      <c r="BY96" s="871">
        <f t="shared" si="286"/>
        <v>0</v>
      </c>
      <c r="BZ96" s="871">
        <f t="shared" si="287"/>
        <v>7655.2758986349281</v>
      </c>
      <c r="CA96" s="871">
        <f t="shared" si="288"/>
        <v>172722.16246295057</v>
      </c>
      <c r="CB96" s="871">
        <f t="shared" si="289"/>
        <v>5428.6721054031623</v>
      </c>
      <c r="CC96" s="871">
        <f t="shared" si="290"/>
        <v>86858.753686450596</v>
      </c>
      <c r="CE96" s="1137">
        <f t="shared" si="291"/>
        <v>350792629.15766376</v>
      </c>
      <c r="CF96" s="1136">
        <f t="shared" si="292"/>
        <v>409682062.22222221</v>
      </c>
      <c r="CG96" s="1136">
        <f t="shared" si="293"/>
        <v>0</v>
      </c>
      <c r="CH96" s="172">
        <f t="shared" si="294"/>
        <v>4020729166666.6665</v>
      </c>
      <c r="CJ96" s="136">
        <f t="shared" si="295"/>
        <v>150868.83596312936</v>
      </c>
      <c r="CK96" s="7">
        <f t="shared" si="296"/>
        <v>205093687196.7587</v>
      </c>
      <c r="CL96" s="875">
        <f t="shared" si="297"/>
        <v>1621.6188875146788</v>
      </c>
      <c r="CM96" s="6">
        <f t="shared" si="298"/>
        <v>1242.3811124853212</v>
      </c>
      <c r="CN96" s="876">
        <f t="shared" si="264"/>
        <v>126474653.67839223</v>
      </c>
      <c r="CO96" s="876">
        <f t="shared" si="265"/>
        <v>165081137.45103469</v>
      </c>
      <c r="CP96" s="1137">
        <f t="shared" si="299"/>
        <v>130091730802.94354</v>
      </c>
      <c r="CQ96" s="1136">
        <f t="shared" si="300"/>
        <v>33605814213.029976</v>
      </c>
      <c r="CR96" s="877">
        <f t="shared" si="301"/>
        <v>150868.83596312936</v>
      </c>
      <c r="CS96" s="874">
        <f t="shared" si="302"/>
        <v>205093687196.7587</v>
      </c>
      <c r="CT96" s="875">
        <f t="shared" si="303"/>
        <v>1621.6188875146788</v>
      </c>
      <c r="CU96" s="878">
        <f t="shared" si="304"/>
        <v>1242.3811124853212</v>
      </c>
      <c r="CV96" s="876">
        <f t="shared" si="305"/>
        <v>126474653.67839223</v>
      </c>
      <c r="CW96" s="876">
        <f t="shared" si="306"/>
        <v>165081137.45103469</v>
      </c>
      <c r="CX96" s="1136">
        <f t="shared" si="307"/>
        <v>130091730802.94354</v>
      </c>
      <c r="CY96" s="1136">
        <f t="shared" si="308"/>
        <v>33605814213.029976</v>
      </c>
      <c r="CZ96" s="877">
        <f t="shared" si="309"/>
        <v>150868.83596312936</v>
      </c>
      <c r="DA96" s="874">
        <f t="shared" si="310"/>
        <v>205093687196.7587</v>
      </c>
      <c r="DB96" s="875">
        <f t="shared" si="311"/>
        <v>1621.6188875146788</v>
      </c>
      <c r="DC96" s="878">
        <f t="shared" si="312"/>
        <v>1242.3811124853212</v>
      </c>
      <c r="DD96" s="876">
        <f t="shared" si="266"/>
        <v>126474653.67839223</v>
      </c>
      <c r="DE96" s="876">
        <f t="shared" si="267"/>
        <v>165081137.45103469</v>
      </c>
      <c r="DF96" s="1136">
        <f t="shared" si="313"/>
        <v>130091730802.94354</v>
      </c>
      <c r="DG96" s="1136">
        <f t="shared" si="314"/>
        <v>33605814213.029976</v>
      </c>
      <c r="DH96" s="877">
        <f t="shared" si="315"/>
        <v>398780.52249514393</v>
      </c>
      <c r="DI96" s="879">
        <f t="shared" si="316"/>
        <v>490995741742.52405</v>
      </c>
      <c r="DJ96" s="878">
        <f t="shared" si="317"/>
        <v>539.52049084963664</v>
      </c>
      <c r="DK96" s="877">
        <f t="shared" si="318"/>
        <v>2324.4795091503634</v>
      </c>
      <c r="DL96" s="876">
        <f t="shared" si="268"/>
        <v>910059488.13789105</v>
      </c>
      <c r="DM96" s="876">
        <f t="shared" si="269"/>
        <v>211228251.2320323</v>
      </c>
      <c r="DN96" s="7">
        <f t="shared" si="319"/>
        <v>755035773935.73022</v>
      </c>
      <c r="DO96" s="1136">
        <f t="shared" si="320"/>
        <v>225610305113.07498</v>
      </c>
      <c r="DP96" s="877">
        <f t="shared" si="321"/>
        <v>233506.06480713421</v>
      </c>
      <c r="DQ96" s="879">
        <f t="shared" si="322"/>
        <v>367437814540.55322</v>
      </c>
      <c r="DR96" s="877">
        <f t="shared" si="323"/>
        <v>1005.6180934601296</v>
      </c>
      <c r="DS96" s="877">
        <f t="shared" si="324"/>
        <v>1858.3819065398704</v>
      </c>
      <c r="DT96" s="876">
        <f t="shared" si="270"/>
        <v>365385047.1964696</v>
      </c>
      <c r="DU96" s="876">
        <f t="shared" si="271"/>
        <v>197719216.51168427</v>
      </c>
      <c r="DV96" s="1136">
        <f t="shared" si="325"/>
        <v>338406411847.20581</v>
      </c>
      <c r="DW96" s="1136">
        <f t="shared" si="326"/>
        <v>225610305113.07498</v>
      </c>
      <c r="DX96" s="880">
        <f t="shared" si="327"/>
        <v>163952.78396716746</v>
      </c>
      <c r="DY96" s="874">
        <f t="shared" si="328"/>
        <v>242204101540.91312</v>
      </c>
      <c r="DZ96" s="873">
        <f t="shared" si="329"/>
        <v>1481.7529632923504</v>
      </c>
      <c r="EA96" s="880">
        <f t="shared" si="330"/>
        <v>1382.2470367076496</v>
      </c>
      <c r="EB96" s="876">
        <f t="shared" si="272"/>
        <v>163457814.85920078</v>
      </c>
      <c r="EC96" s="876">
        <f t="shared" si="273"/>
        <v>175224901.9956772</v>
      </c>
      <c r="ED96" s="1136">
        <f t="shared" si="331"/>
        <v>755035773935.73022</v>
      </c>
      <c r="EE96" s="1136">
        <f t="shared" si="332"/>
        <v>225610305113.07498</v>
      </c>
      <c r="EF96" s="880">
        <f t="shared" si="333"/>
        <v>155230.1519644754</v>
      </c>
      <c r="EG96" s="874">
        <f t="shared" si="334"/>
        <v>218156538693.52585</v>
      </c>
      <c r="EH96" s="873">
        <f t="shared" si="335"/>
        <v>1572.3771489989135</v>
      </c>
      <c r="EI96" s="880">
        <f t="shared" si="336"/>
        <v>1291.6228510010865</v>
      </c>
      <c r="EJ96" s="876">
        <f t="shared" si="274"/>
        <v>138743137.31436488</v>
      </c>
      <c r="EK96" s="876">
        <f t="shared" si="275"/>
        <v>168901114.22575191</v>
      </c>
      <c r="EL96" s="1136">
        <f t="shared" si="337"/>
        <v>338406411847.20581</v>
      </c>
      <c r="EM96" s="1136">
        <f t="shared" si="338"/>
        <v>225610305113.07498</v>
      </c>
      <c r="EN96" s="876"/>
      <c r="EO96" s="876"/>
    </row>
    <row r="97" spans="1:145" s="871" customFormat="1">
      <c r="A97" s="871">
        <v>117</v>
      </c>
      <c r="B97" s="871" t="str">
        <f t="shared" ref="B97" si="367">LEFT(B95,3)+1&amp;"i"</f>
        <v>217i</v>
      </c>
      <c r="C97" s="871">
        <v>71.900000000000006</v>
      </c>
      <c r="D97" s="871">
        <v>0</v>
      </c>
      <c r="E97" s="871" t="s">
        <v>2112</v>
      </c>
      <c r="F97" s="26">
        <v>2</v>
      </c>
      <c r="G97" s="136">
        <v>800</v>
      </c>
      <c r="H97" s="136">
        <v>36</v>
      </c>
      <c r="I97" s="28">
        <v>250</v>
      </c>
      <c r="J97" s="26">
        <v>1909</v>
      </c>
      <c r="K97" s="136">
        <v>28</v>
      </c>
      <c r="L97" s="28">
        <v>120</v>
      </c>
      <c r="M97" s="26">
        <v>2924</v>
      </c>
      <c r="N97" s="28">
        <v>12</v>
      </c>
      <c r="O97" s="397">
        <v>356</v>
      </c>
      <c r="P97" s="26">
        <v>290</v>
      </c>
      <c r="Q97" s="397">
        <v>5500</v>
      </c>
      <c r="R97" s="169">
        <v>0</v>
      </c>
      <c r="S97" s="210">
        <v>0</v>
      </c>
      <c r="T97" s="210">
        <v>1200</v>
      </c>
      <c r="U97" s="210">
        <v>2400</v>
      </c>
      <c r="V97" s="872">
        <v>3800</v>
      </c>
      <c r="W97" s="210">
        <v>19</v>
      </c>
      <c r="X97" s="210">
        <v>200</v>
      </c>
      <c r="Y97" s="210">
        <v>50</v>
      </c>
      <c r="Z97" s="210">
        <v>16</v>
      </c>
      <c r="AA97" s="210">
        <v>200</v>
      </c>
      <c r="AB97" s="872">
        <v>40</v>
      </c>
      <c r="AC97" s="881">
        <f>10*3*0.25*PI()*16^2</f>
        <v>6031.8578948924023</v>
      </c>
      <c r="AD97" s="397">
        <v>2</v>
      </c>
      <c r="AE97" s="210">
        <v>160</v>
      </c>
      <c r="AF97" s="210">
        <v>16</v>
      </c>
      <c r="AG97" s="397">
        <v>0</v>
      </c>
      <c r="AH97" s="210">
        <v>0</v>
      </c>
      <c r="AI97" s="210">
        <v>0</v>
      </c>
      <c r="AJ97" s="397">
        <v>2</v>
      </c>
      <c r="AK97" s="210">
        <v>2500</v>
      </c>
      <c r="AL97" s="210">
        <v>5000</v>
      </c>
      <c r="AM97" s="210" t="s">
        <v>2316</v>
      </c>
      <c r="AN97" s="210">
        <v>2500</v>
      </c>
      <c r="AO97" s="1143" t="s">
        <v>2321</v>
      </c>
      <c r="AP97" s="1143" t="s">
        <v>2321</v>
      </c>
      <c r="AQ97" s="1143"/>
      <c r="AR97" s="1143"/>
      <c r="AS97" s="1143"/>
      <c r="AT97" s="1143"/>
      <c r="AU97" s="1143"/>
      <c r="AV97" s="1111"/>
      <c r="AW97" s="1111"/>
      <c r="AX97" s="1111"/>
      <c r="AY97" s="1111"/>
      <c r="AZ97" s="1108">
        <v>8</v>
      </c>
      <c r="BA97" s="1108">
        <v>6</v>
      </c>
      <c r="BB97" s="1111"/>
      <c r="BC97" s="1168"/>
      <c r="BD97" s="210">
        <f>INDEX(Spec!$B$12:$P$58,MATCH(AO97,Spec!$A$12:$A$58,0),6)*100</f>
        <v>1900</v>
      </c>
      <c r="BE97" s="210">
        <f>INDEX(Spec!$B$12:$P$58,MATCH(AP97,Spec!$A$12:$A$58,0),6)*100</f>
        <v>1900</v>
      </c>
      <c r="BF97" s="881">
        <f t="shared" si="276"/>
        <v>0.7032528545897504</v>
      </c>
      <c r="BG97" s="881">
        <f t="shared" si="277"/>
        <v>47.243485714285718</v>
      </c>
      <c r="BH97" s="881"/>
      <c r="BI97" s="13" cm="1">
        <f t="array" ref="BI97">INDEX(Info!$AD$4:$AH$15,MATCH(Info!$I$13,Info!$AC$4:$AC$15,0),IF(H97&lt;=16,1,IF(H97&lt;=40,2,IF(H97&lt;=75,3,IF(H97&lt;=100,4,5)))))</f>
        <v>380</v>
      </c>
      <c r="BJ97" s="13" cm="1">
        <f t="array" ref="BJ97">INDEX(Info!$AD$4:$AH$15,MATCH(Info!$I$13,Info!$AC$4:$AC$15,0),IF(K97&lt;=16,1,IF(K97&lt;=40,2,IF(K97&lt;=75,3,IF(K97&lt;=100,4,5)))))</f>
        <v>380</v>
      </c>
      <c r="BK97" s="13" cm="1">
        <f t="array" ref="BK97">INDEX(Info!$AD$4:$AH$15,MATCH(Info!$I$14,Info!$AC$4:$AC$15,0),IF(N97&lt;=16,1,IF(N97&lt;=40,2,IF(N97&lt;=75,3,IF(N97&lt;=100,4,5)))))</f>
        <v>355</v>
      </c>
      <c r="BL97" s="13">
        <f>IF(Stress!C926="Positive",MAX(MIN(0.7*BI97,BK97),0.5*BI97),MAX(MIN(0.7*BJ97,BK97),0.5*BJ97))</f>
        <v>266</v>
      </c>
      <c r="BM97" s="13" cm="1">
        <f t="array" ref="BM97">INDEX(Info!$AD$4:$AH$15,MATCH(Info!$I$13,Info!$AC$4:$AC$15,0),IF(AI97&lt;=16,1,IF(AI97&lt;=40,2,IF(AI97&lt;=75,3,IF(AI97&lt;=100,4,5)))))</f>
        <v>380</v>
      </c>
      <c r="BN97" s="13" cm="1">
        <f t="array" ref="BN97">INDEX(Info!$AD$4:$AH$15,MATCH(Info!$I$13,Info!$AC$4:$AC$15,0),IF(AF97&lt;=16,1,IF(AF97&lt;=40,2,IF(AF97&lt;=75,3,IF(AF97&lt;=100,4,5)))))</f>
        <v>380</v>
      </c>
      <c r="BO97" s="13"/>
      <c r="BP97" s="873">
        <f t="shared" si="278"/>
        <v>0.125</v>
      </c>
      <c r="BQ97" s="873">
        <f t="shared" si="279"/>
        <v>2946.7552070031197</v>
      </c>
      <c r="BR97" s="873">
        <f t="shared" si="280"/>
        <v>3242</v>
      </c>
      <c r="BS97" s="873"/>
      <c r="BT97" s="871">
        <f t="shared" si="281"/>
        <v>610006</v>
      </c>
      <c r="BU97" s="136">
        <f t="shared" si="282"/>
        <v>6441028318.3747358</v>
      </c>
      <c r="BV97" s="871">
        <f t="shared" si="283"/>
        <v>1595000</v>
      </c>
      <c r="BW97" s="871">
        <f t="shared" si="284"/>
        <v>11178291666.666666</v>
      </c>
      <c r="BX97" s="871">
        <f t="shared" si="285"/>
        <v>0</v>
      </c>
      <c r="BY97" s="871">
        <f t="shared" si="286"/>
        <v>0</v>
      </c>
      <c r="BZ97" s="871">
        <f t="shared" si="287"/>
        <v>7655.2758986349281</v>
      </c>
      <c r="CA97" s="871">
        <f t="shared" si="288"/>
        <v>172722.16246295057</v>
      </c>
      <c r="CB97" s="871">
        <f t="shared" si="289"/>
        <v>5428.6721054031623</v>
      </c>
      <c r="CC97" s="871">
        <f t="shared" si="290"/>
        <v>86858.753686450596</v>
      </c>
      <c r="CE97" s="1137">
        <f t="shared" si="291"/>
        <v>394088727.74137288</v>
      </c>
      <c r="CF97" s="1136">
        <f t="shared" si="292"/>
        <v>396277902.22222227</v>
      </c>
      <c r="CG97" s="1136">
        <f t="shared" si="293"/>
        <v>149352979447.91666</v>
      </c>
      <c r="CH97" s="172">
        <f t="shared" si="294"/>
        <v>4020729166666.6665</v>
      </c>
      <c r="CJ97" s="136">
        <f t="shared" si="295"/>
        <v>186894.12496807487</v>
      </c>
      <c r="CK97" s="7">
        <f t="shared" si="296"/>
        <v>302801127925.51624</v>
      </c>
      <c r="CL97" s="875">
        <f t="shared" si="297"/>
        <v>1501.8684576100159</v>
      </c>
      <c r="CM97" s="6">
        <f t="shared" si="298"/>
        <v>1486.1315423899841</v>
      </c>
      <c r="CN97" s="876">
        <f t="shared" si="264"/>
        <v>201616277.6381734</v>
      </c>
      <c r="CO97" s="876">
        <f t="shared" si="265"/>
        <v>203751228.80344361</v>
      </c>
      <c r="CP97" s="1137">
        <f t="shared" si="299"/>
        <v>158048989409.01672</v>
      </c>
      <c r="CQ97" s="1136">
        <f t="shared" si="300"/>
        <v>35989166548.324066</v>
      </c>
      <c r="CR97" s="877">
        <f t="shared" si="301"/>
        <v>293859.9123835814</v>
      </c>
      <c r="CS97" s="874">
        <f t="shared" si="302"/>
        <v>415413767204.64978</v>
      </c>
      <c r="CT97" s="875">
        <f t="shared" si="303"/>
        <v>1967.839733911336</v>
      </c>
      <c r="CU97" s="878">
        <f t="shared" si="304"/>
        <v>1020.160266088664</v>
      </c>
      <c r="CV97" s="876">
        <f t="shared" si="305"/>
        <v>211101422.56298545</v>
      </c>
      <c r="CW97" s="876">
        <f t="shared" si="306"/>
        <v>407204417.78953326</v>
      </c>
      <c r="CX97" s="1136">
        <f t="shared" si="307"/>
        <v>184238336808.05603</v>
      </c>
      <c r="CY97" s="1136">
        <f t="shared" si="308"/>
        <v>35989166548.324066</v>
      </c>
      <c r="CZ97" s="877">
        <f t="shared" si="309"/>
        <v>222549.38743991038</v>
      </c>
      <c r="DA97" s="874">
        <f t="shared" si="310"/>
        <v>352246031230.67206</v>
      </c>
      <c r="DB97" s="875">
        <f t="shared" si="311"/>
        <v>1706.9619277266859</v>
      </c>
      <c r="DC97" s="878">
        <f t="shared" si="312"/>
        <v>1281.0380722733141</v>
      </c>
      <c r="DD97" s="876">
        <f t="shared" si="266"/>
        <v>206358457.97673392</v>
      </c>
      <c r="DE97" s="876">
        <f t="shared" si="267"/>
        <v>274969213.52663678</v>
      </c>
      <c r="DF97" s="1136">
        <f t="shared" si="313"/>
        <v>166778771875.36316</v>
      </c>
      <c r="DG97" s="1136">
        <f t="shared" si="314"/>
        <v>35989166548.324066</v>
      </c>
      <c r="DH97" s="877">
        <f t="shared" si="315"/>
        <v>434805.81150008948</v>
      </c>
      <c r="DI97" s="879">
        <f t="shared" si="316"/>
        <v>581052792095.00635</v>
      </c>
      <c r="DJ97" s="878">
        <f t="shared" si="317"/>
        <v>583.40530568123404</v>
      </c>
      <c r="DK97" s="877">
        <f t="shared" si="318"/>
        <v>2404.594694318766</v>
      </c>
      <c r="DL97" s="876">
        <f t="shared" si="268"/>
        <v>995967617.0865798</v>
      </c>
      <c r="DM97" s="876">
        <f t="shared" si="269"/>
        <v>241642715.70083523</v>
      </c>
      <c r="DN97" s="7">
        <f t="shared" si="319"/>
        <v>782993032541.80347</v>
      </c>
      <c r="DO97" s="1136">
        <f t="shared" si="320"/>
        <v>238029019871.50217</v>
      </c>
      <c r="DP97" s="877">
        <f t="shared" si="321"/>
        <v>269531.35381207976</v>
      </c>
      <c r="DQ97" s="879">
        <f t="shared" si="322"/>
        <v>452070446937.92261</v>
      </c>
      <c r="DR97" s="877">
        <f t="shared" si="323"/>
        <v>1007.9826684935513</v>
      </c>
      <c r="DS97" s="877">
        <f t="shared" si="324"/>
        <v>1980.0173315064487</v>
      </c>
      <c r="DT97" s="876">
        <f t="shared" si="270"/>
        <v>448490297.56984836</v>
      </c>
      <c r="DU97" s="876">
        <f t="shared" si="271"/>
        <v>228316409.02555922</v>
      </c>
      <c r="DV97" s="1136">
        <f t="shared" si="325"/>
        <v>366363670453.27893</v>
      </c>
      <c r="DW97" s="1136">
        <f t="shared" si="326"/>
        <v>238029019871.50217</v>
      </c>
      <c r="DX97" s="880">
        <f t="shared" si="327"/>
        <v>306943.86038761947</v>
      </c>
      <c r="DY97" s="874">
        <f t="shared" si="328"/>
        <v>470197078608.39197</v>
      </c>
      <c r="DZ97" s="873">
        <f t="shared" si="329"/>
        <v>1878.7990093436404</v>
      </c>
      <c r="EA97" s="880">
        <f t="shared" si="330"/>
        <v>1109.2009906563596</v>
      </c>
      <c r="EB97" s="876">
        <f t="shared" si="272"/>
        <v>250264704.3510288</v>
      </c>
      <c r="EC97" s="876">
        <f t="shared" si="273"/>
        <v>423906111.30824643</v>
      </c>
      <c r="ED97" s="1136">
        <f t="shared" si="331"/>
        <v>782993032541.80347</v>
      </c>
      <c r="EE97" s="1136">
        <f t="shared" si="332"/>
        <v>238029019871.50217</v>
      </c>
      <c r="EF97" s="880">
        <f t="shared" si="333"/>
        <v>226910.70344125642</v>
      </c>
      <c r="EG97" s="874">
        <f t="shared" si="334"/>
        <v>366581742522.76697</v>
      </c>
      <c r="EH97" s="873">
        <f t="shared" si="335"/>
        <v>1671.8274134056028</v>
      </c>
      <c r="EI97" s="880">
        <f t="shared" si="336"/>
        <v>1316.1725865943972</v>
      </c>
      <c r="EJ97" s="876">
        <f t="shared" si="274"/>
        <v>219270087.08154878</v>
      </c>
      <c r="EK97" s="876">
        <f t="shared" si="275"/>
        <v>278521028.51594788</v>
      </c>
      <c r="EL97" s="1136">
        <f t="shared" si="337"/>
        <v>366363670453.27893</v>
      </c>
      <c r="EM97" s="1136">
        <f t="shared" si="338"/>
        <v>238029019871.50217</v>
      </c>
      <c r="EN97" s="876"/>
      <c r="EO97" s="876"/>
    </row>
    <row r="98" spans="1:145" s="871" customFormat="1">
      <c r="B98" s="871" t="str">
        <f t="shared" ref="B98" si="368">LEFT(B96,3)+1&amp;"j"</f>
        <v>217j</v>
      </c>
      <c r="C98" s="871">
        <v>76.900000000000006</v>
      </c>
      <c r="D98" s="871">
        <v>0</v>
      </c>
      <c r="E98" s="871" t="s">
        <v>2112</v>
      </c>
      <c r="F98" s="26">
        <v>2</v>
      </c>
      <c r="G98" s="136">
        <v>800</v>
      </c>
      <c r="H98" s="136">
        <v>36</v>
      </c>
      <c r="I98" s="28">
        <v>250</v>
      </c>
      <c r="J98" s="26">
        <v>1909</v>
      </c>
      <c r="K98" s="136">
        <v>28</v>
      </c>
      <c r="L98" s="28">
        <v>120</v>
      </c>
      <c r="M98" s="26">
        <v>2924</v>
      </c>
      <c r="N98" s="28">
        <v>12</v>
      </c>
      <c r="O98" s="397">
        <v>356</v>
      </c>
      <c r="P98" s="26">
        <v>290</v>
      </c>
      <c r="Q98" s="397">
        <v>5500</v>
      </c>
      <c r="R98" s="169">
        <v>0</v>
      </c>
      <c r="S98" s="210">
        <v>0</v>
      </c>
      <c r="T98" s="210">
        <v>1200</v>
      </c>
      <c r="U98" s="210">
        <v>2400</v>
      </c>
      <c r="V98" s="872">
        <v>3800</v>
      </c>
      <c r="W98" s="210">
        <v>19</v>
      </c>
      <c r="X98" s="210">
        <v>200</v>
      </c>
      <c r="Y98" s="210">
        <v>50</v>
      </c>
      <c r="Z98" s="210">
        <v>16</v>
      </c>
      <c r="AA98" s="210">
        <v>200</v>
      </c>
      <c r="AB98" s="872">
        <v>40</v>
      </c>
      <c r="AC98" s="881">
        <f t="shared" ref="AC98:AC108" si="369">10*3*0.25*PI()*16^2</f>
        <v>6031.8578948924023</v>
      </c>
      <c r="AD98" s="397">
        <v>2</v>
      </c>
      <c r="AE98" s="210">
        <v>160</v>
      </c>
      <c r="AF98" s="210">
        <v>16</v>
      </c>
      <c r="AG98" s="397">
        <v>0</v>
      </c>
      <c r="AH98" s="210">
        <v>0</v>
      </c>
      <c r="AI98" s="210">
        <v>0</v>
      </c>
      <c r="AJ98" s="397">
        <v>2</v>
      </c>
      <c r="AK98" s="210">
        <v>2500</v>
      </c>
      <c r="AL98" s="210">
        <v>5000</v>
      </c>
      <c r="AM98" s="210" t="s">
        <v>2316</v>
      </c>
      <c r="AN98" s="210">
        <v>2500</v>
      </c>
      <c r="AO98" s="1143" t="s">
        <v>2321</v>
      </c>
      <c r="AP98" s="1143" t="s">
        <v>2321</v>
      </c>
      <c r="AQ98" s="1143"/>
      <c r="AR98" s="1143"/>
      <c r="AS98" s="1143"/>
      <c r="AT98" s="1143"/>
      <c r="AU98" s="1143"/>
      <c r="AV98" s="1111"/>
      <c r="AW98" s="1111"/>
      <c r="AX98" s="1111"/>
      <c r="AY98" s="1111"/>
      <c r="AZ98" s="1108">
        <v>8</v>
      </c>
      <c r="BA98" s="1108">
        <v>6</v>
      </c>
      <c r="BB98" s="1111"/>
      <c r="BC98" s="1168"/>
      <c r="BD98" s="210">
        <f>INDEX(Spec!$B$12:$P$58,MATCH(AO98,Spec!$A$12:$A$58,0),6)*100</f>
        <v>1900</v>
      </c>
      <c r="BE98" s="210">
        <f>INDEX(Spec!$B$12:$P$58,MATCH(AP98,Spec!$A$12:$A$58,0),6)*100</f>
        <v>1900</v>
      </c>
      <c r="BF98" s="881">
        <f t="shared" si="276"/>
        <v>0.7032528545897504</v>
      </c>
      <c r="BG98" s="881">
        <f t="shared" si="277"/>
        <v>47.243485714285718</v>
      </c>
      <c r="BH98" s="881"/>
      <c r="BI98" s="13" cm="1">
        <f t="array" ref="BI98">INDEX(Info!$AD$4:$AH$15,MATCH(Info!$I$13,Info!$AC$4:$AC$15,0),IF(H98&lt;=16,1,IF(H98&lt;=40,2,IF(H98&lt;=75,3,IF(H98&lt;=100,4,5)))))</f>
        <v>380</v>
      </c>
      <c r="BJ98" s="13" cm="1">
        <f t="array" ref="BJ98">INDEX(Info!$AD$4:$AH$15,MATCH(Info!$I$13,Info!$AC$4:$AC$15,0),IF(K98&lt;=16,1,IF(K98&lt;=40,2,IF(K98&lt;=75,3,IF(K98&lt;=100,4,5)))))</f>
        <v>380</v>
      </c>
      <c r="BK98" s="13" cm="1">
        <f t="array" ref="BK98">INDEX(Info!$AD$4:$AH$15,MATCH(Info!$I$14,Info!$AC$4:$AC$15,0),IF(N98&lt;=16,1,IF(N98&lt;=40,2,IF(N98&lt;=75,3,IF(N98&lt;=100,4,5)))))</f>
        <v>355</v>
      </c>
      <c r="BL98" s="13">
        <f>IF(Stress!C927="Positive",MAX(MIN(0.7*BI98,BK98),0.5*BI98),MAX(MIN(0.7*BJ98,BK98),0.5*BJ98))</f>
        <v>266</v>
      </c>
      <c r="BM98" s="13" cm="1">
        <f t="array" ref="BM98">INDEX(Info!$AD$4:$AH$15,MATCH(Info!$I$13,Info!$AC$4:$AC$15,0),IF(AI98&lt;=16,1,IF(AI98&lt;=40,2,IF(AI98&lt;=75,3,IF(AI98&lt;=100,4,5)))))</f>
        <v>380</v>
      </c>
      <c r="BN98" s="13" cm="1">
        <f t="array" ref="BN98">INDEX(Info!$AD$4:$AH$15,MATCH(Info!$I$13,Info!$AC$4:$AC$15,0),IF(AF98&lt;=16,1,IF(AF98&lt;=40,2,IF(AF98&lt;=75,3,IF(AF98&lt;=100,4,5)))))</f>
        <v>380</v>
      </c>
      <c r="BO98" s="13"/>
      <c r="BP98" s="873">
        <f t="shared" si="278"/>
        <v>0.125</v>
      </c>
      <c r="BQ98" s="873">
        <f t="shared" si="279"/>
        <v>2946.7552070031197</v>
      </c>
      <c r="BR98" s="873">
        <f t="shared" si="280"/>
        <v>3242</v>
      </c>
      <c r="BS98" s="873"/>
      <c r="BT98" s="871">
        <f t="shared" si="281"/>
        <v>610006</v>
      </c>
      <c r="BU98" s="136">
        <f t="shared" si="282"/>
        <v>6441028318.3747358</v>
      </c>
      <c r="BV98" s="871">
        <f t="shared" si="283"/>
        <v>1595000</v>
      </c>
      <c r="BW98" s="871">
        <f t="shared" si="284"/>
        <v>11178291666.666666</v>
      </c>
      <c r="BX98" s="871">
        <f t="shared" si="285"/>
        <v>0</v>
      </c>
      <c r="BY98" s="871">
        <f t="shared" si="286"/>
        <v>0</v>
      </c>
      <c r="BZ98" s="871">
        <f t="shared" si="287"/>
        <v>7655.2758986349281</v>
      </c>
      <c r="CA98" s="871">
        <f t="shared" si="288"/>
        <v>172722.16246295057</v>
      </c>
      <c r="CB98" s="871">
        <f t="shared" si="289"/>
        <v>5428.6721054031623</v>
      </c>
      <c r="CC98" s="871">
        <f t="shared" si="290"/>
        <v>86858.753686450596</v>
      </c>
      <c r="CE98" s="1137">
        <f t="shared" si="291"/>
        <v>394088727.74137288</v>
      </c>
      <c r="CF98" s="1136">
        <f t="shared" si="292"/>
        <v>396277902.22222227</v>
      </c>
      <c r="CG98" s="1136">
        <f t="shared" si="293"/>
        <v>149352979447.91666</v>
      </c>
      <c r="CH98" s="172">
        <f t="shared" si="294"/>
        <v>4020729166666.6665</v>
      </c>
      <c r="CJ98" s="136">
        <f t="shared" si="295"/>
        <v>186894.12496807487</v>
      </c>
      <c r="CK98" s="7">
        <f t="shared" si="296"/>
        <v>302801127925.51624</v>
      </c>
      <c r="CL98" s="875">
        <f t="shared" si="297"/>
        <v>1501.8684576100159</v>
      </c>
      <c r="CM98" s="6">
        <f t="shared" si="298"/>
        <v>1486.1315423899841</v>
      </c>
      <c r="CN98" s="876">
        <f t="shared" si="264"/>
        <v>201616277.6381734</v>
      </c>
      <c r="CO98" s="876">
        <f t="shared" si="265"/>
        <v>203751228.80344361</v>
      </c>
      <c r="CP98" s="1137">
        <f t="shared" si="299"/>
        <v>158048989409.01672</v>
      </c>
      <c r="CQ98" s="1136">
        <f t="shared" si="300"/>
        <v>35989166548.324066</v>
      </c>
      <c r="CR98" s="877">
        <f t="shared" si="301"/>
        <v>293859.9123835814</v>
      </c>
      <c r="CS98" s="874">
        <f t="shared" si="302"/>
        <v>415413767204.64978</v>
      </c>
      <c r="CT98" s="875">
        <f t="shared" si="303"/>
        <v>1967.839733911336</v>
      </c>
      <c r="CU98" s="878">
        <f t="shared" si="304"/>
        <v>1020.160266088664</v>
      </c>
      <c r="CV98" s="876">
        <f t="shared" si="305"/>
        <v>211101422.56298545</v>
      </c>
      <c r="CW98" s="876">
        <f t="shared" si="306"/>
        <v>407204417.78953326</v>
      </c>
      <c r="CX98" s="1136">
        <f t="shared" si="307"/>
        <v>184238336808.05603</v>
      </c>
      <c r="CY98" s="1136">
        <f t="shared" si="308"/>
        <v>35989166548.324066</v>
      </c>
      <c r="CZ98" s="877">
        <f t="shared" si="309"/>
        <v>222549.38743991038</v>
      </c>
      <c r="DA98" s="874">
        <f t="shared" si="310"/>
        <v>352246031230.67206</v>
      </c>
      <c r="DB98" s="875">
        <f t="shared" si="311"/>
        <v>1706.9619277266859</v>
      </c>
      <c r="DC98" s="878">
        <f t="shared" si="312"/>
        <v>1281.0380722733141</v>
      </c>
      <c r="DD98" s="876">
        <f t="shared" si="266"/>
        <v>206358457.97673392</v>
      </c>
      <c r="DE98" s="876">
        <f t="shared" si="267"/>
        <v>274969213.52663678</v>
      </c>
      <c r="DF98" s="1136">
        <f t="shared" si="313"/>
        <v>166778771875.36316</v>
      </c>
      <c r="DG98" s="1136">
        <f t="shared" si="314"/>
        <v>35989166548.324066</v>
      </c>
      <c r="DH98" s="877">
        <f t="shared" si="315"/>
        <v>434805.81150008948</v>
      </c>
      <c r="DI98" s="879">
        <f t="shared" si="316"/>
        <v>581052792095.00635</v>
      </c>
      <c r="DJ98" s="878">
        <f t="shared" si="317"/>
        <v>583.40530568123404</v>
      </c>
      <c r="DK98" s="877">
        <f t="shared" si="318"/>
        <v>2404.594694318766</v>
      </c>
      <c r="DL98" s="876">
        <f t="shared" si="268"/>
        <v>995967617.0865798</v>
      </c>
      <c r="DM98" s="876">
        <f t="shared" si="269"/>
        <v>241642715.70083523</v>
      </c>
      <c r="DN98" s="7">
        <f t="shared" si="319"/>
        <v>782993032541.80347</v>
      </c>
      <c r="DO98" s="1136">
        <f t="shared" si="320"/>
        <v>238029019871.50217</v>
      </c>
      <c r="DP98" s="877">
        <f t="shared" si="321"/>
        <v>269531.35381207976</v>
      </c>
      <c r="DQ98" s="879">
        <f t="shared" si="322"/>
        <v>452070446937.92261</v>
      </c>
      <c r="DR98" s="877">
        <f t="shared" si="323"/>
        <v>1007.9826684935513</v>
      </c>
      <c r="DS98" s="877">
        <f t="shared" si="324"/>
        <v>1980.0173315064487</v>
      </c>
      <c r="DT98" s="876">
        <f t="shared" si="270"/>
        <v>448490297.56984836</v>
      </c>
      <c r="DU98" s="876">
        <f t="shared" si="271"/>
        <v>228316409.02555922</v>
      </c>
      <c r="DV98" s="1136">
        <f t="shared" si="325"/>
        <v>366363670453.27893</v>
      </c>
      <c r="DW98" s="1136">
        <f t="shared" si="326"/>
        <v>238029019871.50217</v>
      </c>
      <c r="DX98" s="880">
        <f t="shared" si="327"/>
        <v>306943.86038761947</v>
      </c>
      <c r="DY98" s="874">
        <f t="shared" si="328"/>
        <v>470197078608.39197</v>
      </c>
      <c r="DZ98" s="873">
        <f t="shared" si="329"/>
        <v>1878.7990093436404</v>
      </c>
      <c r="EA98" s="880">
        <f t="shared" si="330"/>
        <v>1109.2009906563596</v>
      </c>
      <c r="EB98" s="876">
        <f t="shared" si="272"/>
        <v>250264704.3510288</v>
      </c>
      <c r="EC98" s="876">
        <f t="shared" si="273"/>
        <v>423906111.30824643</v>
      </c>
      <c r="ED98" s="1136">
        <f t="shared" si="331"/>
        <v>782993032541.80347</v>
      </c>
      <c r="EE98" s="1136">
        <f t="shared" si="332"/>
        <v>238029019871.50217</v>
      </c>
      <c r="EF98" s="880">
        <f t="shared" si="333"/>
        <v>226910.70344125642</v>
      </c>
      <c r="EG98" s="874">
        <f t="shared" si="334"/>
        <v>366581742522.76697</v>
      </c>
      <c r="EH98" s="873">
        <f t="shared" si="335"/>
        <v>1671.8274134056028</v>
      </c>
      <c r="EI98" s="880">
        <f t="shared" si="336"/>
        <v>1316.1725865943972</v>
      </c>
      <c r="EJ98" s="876">
        <f t="shared" si="274"/>
        <v>219270087.08154878</v>
      </c>
      <c r="EK98" s="876">
        <f t="shared" si="275"/>
        <v>278521028.51594788</v>
      </c>
      <c r="EL98" s="1136">
        <f t="shared" si="337"/>
        <v>366363670453.27893</v>
      </c>
      <c r="EM98" s="1136">
        <f t="shared" si="338"/>
        <v>238029019871.50217</v>
      </c>
      <c r="EN98" s="876"/>
      <c r="EO98" s="876"/>
    </row>
    <row r="99" spans="1:145" s="871" customFormat="1">
      <c r="A99" s="871">
        <v>118</v>
      </c>
      <c r="B99" s="871" t="str">
        <f t="shared" ref="B99" si="370">LEFT(B97,3)+1&amp;"i"</f>
        <v>218i</v>
      </c>
      <c r="C99" s="871">
        <v>76.900000000000006</v>
      </c>
      <c r="D99" s="871">
        <v>0</v>
      </c>
      <c r="E99" s="871" t="s">
        <v>2113</v>
      </c>
      <c r="F99" s="26">
        <v>1</v>
      </c>
      <c r="G99" s="136">
        <v>2900</v>
      </c>
      <c r="H99" s="136">
        <v>40</v>
      </c>
      <c r="I99" s="28">
        <v>250</v>
      </c>
      <c r="J99" s="26">
        <v>1864</v>
      </c>
      <c r="K99" s="136">
        <v>30</v>
      </c>
      <c r="L99" s="28">
        <v>120</v>
      </c>
      <c r="M99" s="26">
        <v>3103</v>
      </c>
      <c r="N99" s="28">
        <v>14</v>
      </c>
      <c r="O99" s="397">
        <v>512</v>
      </c>
      <c r="P99" s="26">
        <v>290</v>
      </c>
      <c r="Q99" s="397">
        <v>5450</v>
      </c>
      <c r="R99" s="169">
        <v>0</v>
      </c>
      <c r="S99" s="210">
        <v>0</v>
      </c>
      <c r="T99" s="210">
        <v>1150</v>
      </c>
      <c r="U99" s="210">
        <v>2400</v>
      </c>
      <c r="V99" s="872">
        <v>3800</v>
      </c>
      <c r="W99" s="210">
        <v>19</v>
      </c>
      <c r="X99" s="210">
        <v>200</v>
      </c>
      <c r="Y99" s="210">
        <v>50</v>
      </c>
      <c r="Z99" s="210">
        <v>16</v>
      </c>
      <c r="AA99" s="210">
        <v>200</v>
      </c>
      <c r="AB99" s="872">
        <v>40</v>
      </c>
      <c r="AC99" s="881">
        <f t="shared" si="369"/>
        <v>6031.8578948924023</v>
      </c>
      <c r="AD99" s="397">
        <v>2</v>
      </c>
      <c r="AE99" s="210">
        <v>160</v>
      </c>
      <c r="AF99" s="210">
        <v>16</v>
      </c>
      <c r="AG99" s="397">
        <v>0</v>
      </c>
      <c r="AH99" s="210">
        <v>0</v>
      </c>
      <c r="AI99" s="210">
        <v>0</v>
      </c>
      <c r="AJ99" s="397">
        <v>2</v>
      </c>
      <c r="AK99" s="210">
        <v>2500</v>
      </c>
      <c r="AL99" s="210">
        <v>5000</v>
      </c>
      <c r="AM99" s="1143" t="s">
        <v>2323</v>
      </c>
      <c r="AN99" s="210">
        <v>0</v>
      </c>
      <c r="AO99" s="1143" t="s">
        <v>2323</v>
      </c>
      <c r="AP99" s="1143" t="s">
        <v>2323</v>
      </c>
      <c r="AQ99" s="1143"/>
      <c r="AR99" s="1143"/>
      <c r="AS99" s="1143"/>
      <c r="AT99" s="1143"/>
      <c r="AU99" s="1143"/>
      <c r="AV99" s="1111"/>
      <c r="AW99" s="1111"/>
      <c r="AX99" s="1111"/>
      <c r="AY99" s="1111"/>
      <c r="AZ99" s="1108">
        <v>8</v>
      </c>
      <c r="BA99" s="1108">
        <v>6</v>
      </c>
      <c r="BB99" s="1111"/>
      <c r="BC99" s="1168"/>
      <c r="BD99" s="210">
        <f>INDEX(Spec!$B$12:$P$58,MATCH(AO99,Spec!$A$12:$A$58,0),6)*100</f>
        <v>0</v>
      </c>
      <c r="BE99" s="210">
        <f>INDEX(Spec!$B$12:$P$58,MATCH(AP99,Spec!$A$12:$A$58,0),6)*100</f>
        <v>0</v>
      </c>
      <c r="BF99" s="881">
        <f t="shared" ref="BF99:BF126" si="371">IF(AM99="W",2.6*AN99*U99/((SQRT(AN99^2+U99^2))^3/BD99+AN99^3/3*2/(G99*H99+N99*BQ99/4)),0)</f>
        <v>0</v>
      </c>
      <c r="BG99" s="881">
        <f t="shared" ref="BG99:BG126" si="372">P99*(30702/(2*(1+1/6)))/(210000/(2*(1+0.3)))</f>
        <v>47.243485714285718</v>
      </c>
      <c r="BH99" s="881"/>
      <c r="BI99" s="13" cm="1">
        <f t="array" ref="BI99">INDEX(Info!$AD$4:$AH$15,MATCH(Info!$I$13,Info!$AC$4:$AC$15,0),IF(H99&lt;=16,1,IF(H99&lt;=40,2,IF(H99&lt;=75,3,IF(H99&lt;=100,4,5)))))</f>
        <v>380</v>
      </c>
      <c r="BJ99" s="13" cm="1">
        <f t="array" ref="BJ99">INDEX(Info!$AD$4:$AH$15,MATCH(Info!$I$13,Info!$AC$4:$AC$15,0),IF(K99&lt;=16,1,IF(K99&lt;=40,2,IF(K99&lt;=75,3,IF(K99&lt;=100,4,5)))))</f>
        <v>380</v>
      </c>
      <c r="BK99" s="13" cm="1">
        <f t="array" ref="BK99">INDEX(Info!$AD$4:$AH$15,MATCH(Info!$I$14,Info!$AC$4:$AC$15,0),IF(N99&lt;=16,1,IF(N99&lt;=40,2,IF(N99&lt;=75,3,IF(N99&lt;=100,4,5)))))</f>
        <v>355</v>
      </c>
      <c r="BL99" s="13">
        <f>IF(Stress!C928="Positive",MAX(MIN(0.7*BI99,BK99),0.5*BI99),MAX(MIN(0.7*BJ99,BK99),0.5*BJ99))</f>
        <v>266</v>
      </c>
      <c r="BM99" s="13" cm="1">
        <f t="array" ref="BM99">INDEX(Info!$AD$4:$AH$15,MATCH(Info!$I$13,Info!$AC$4:$AC$15,0),IF(AI99&lt;=16,1,IF(AI99&lt;=40,2,IF(AI99&lt;=75,3,IF(AI99&lt;=100,4,5)))))</f>
        <v>380</v>
      </c>
      <c r="BN99" s="13" cm="1">
        <f t="array" ref="BN99">INDEX(Info!$AD$4:$AH$15,MATCH(Info!$I$13,Info!$AC$4:$AC$15,0),IF(AF99&lt;=16,1,IF(AF99&lt;=40,2,IF(AF99&lt;=75,3,IF(AF99&lt;=100,4,5)))))</f>
        <v>380</v>
      </c>
      <c r="BO99" s="13"/>
      <c r="BP99" s="873">
        <f t="shared" ref="BP99:BP126" si="373">+(U99/2-0.5*(J99-2*L99))/M99</f>
        <v>0.1250402835965195</v>
      </c>
      <c r="BQ99" s="873">
        <f t="shared" ref="BQ99:BQ126" si="374">+SQRT(M99^2+(M99*BP99)^2)</f>
        <v>3127.1637309229591</v>
      </c>
      <c r="BR99" s="873">
        <f t="shared" ref="BR99:BR126" si="375">+K99+R99+P99+M99</f>
        <v>3423</v>
      </c>
      <c r="BS99" s="873"/>
      <c r="BT99" s="871">
        <f t="shared" ref="BT99:BT126" si="376">(J99-2*L99)*O99+O99*O99*BP99</f>
        <v>864266.56010312599</v>
      </c>
      <c r="BU99" s="136">
        <f t="shared" ref="BU99:BU126" si="377">((J99-2*L99)^2+4*(J99-2*L99)*((J99-2*L99)+2*O99*BP99)+((J99-2*L99)+2*O99*BP99)^2)/36/((J99-2*L99)+((J99-2*L99)+2*O99*BP99))*O99^3</f>
        <v>18871138575.090694</v>
      </c>
      <c r="BV99" s="871">
        <f t="shared" ref="BV99:BV126" si="378">P99*Q99</f>
        <v>1580500</v>
      </c>
      <c r="BW99" s="871">
        <f t="shared" ref="BW99:BW126" si="379">Q99/12*P99^3</f>
        <v>11076670833.333334</v>
      </c>
      <c r="BX99" s="871">
        <f t="shared" ref="BX99:BX126" si="380">R99*S99*2</f>
        <v>0</v>
      </c>
      <c r="BY99" s="871">
        <f t="shared" ref="BY99:BY126" si="381">4/36*S99*R99^3</f>
        <v>0</v>
      </c>
      <c r="BZ99" s="871">
        <f t="shared" ref="BZ99:BZ126" si="382">ROUNDDOWN(Q99/X99,0)*0.25*PI()*W99^2</f>
        <v>7655.2758986349281</v>
      </c>
      <c r="CA99" s="871">
        <f t="shared" ref="CA99:CA126" si="383">ROUNDDOWN(Q99/X99,0)*1/64*PI()*W99^4</f>
        <v>172722.16246295057</v>
      </c>
      <c r="CB99" s="871">
        <f t="shared" ref="CB99:CB126" si="384">ROUNDDOWN(Q99/AA99,0)*0.25*PI()*Z99^2</f>
        <v>5428.6721054031623</v>
      </c>
      <c r="CC99" s="871">
        <f t="shared" ref="CC99:CC126" si="385">ROUNDDOWN(Q99/AA99,0)*1/64*PI()*Z99^4</f>
        <v>86858.753686450596</v>
      </c>
      <c r="CE99" s="1137">
        <f t="shared" ref="CE99:CE126" si="386">(M99/COS(ATAN(BP99))*N99/COS(ATAN(BP99))*COS(ATAN(BP99))*((N99/COS(ATAN(BP99)))^2+(M99/COS(ATAN(BP99)))^2*(SIN(ATAN(BP99)))^2))/12</f>
        <v>549964617.89726794</v>
      </c>
      <c r="CF99" s="1136">
        <f t="shared" ref="CF99:CF126" si="387">AG99*1/12*AH99*AI99^3+AD99*1/12*AE99*AF99^3+IF(AD99=1,0,IF(AD99=2,2*AE99*AF99*((J99-2*L99)/6)^2,IF(AD99=3,2*AE99*AF99*((J99-2*L99)/4)^2,IF(AD99=4,2*AE99*AF99*((J99-2*L99)/10)^2+2*AE99*AF99*((J99-2*L99)*3/10)^2,0))))</f>
        <v>375202702.22222227</v>
      </c>
      <c r="CG99" s="1136">
        <f t="shared" ref="CG99:CG126" si="388">(O99*((J99-2*L99)+(J99-2*L99)+2*O99*BP99)*((J99-2*L99)^2+((J99-2*L99)+2*O99*BP99)^2))/48</f>
        <v>205516269595.85425</v>
      </c>
      <c r="CH99" s="172">
        <f t="shared" ref="CH99:CH126" si="389">1/12*P99*Q99^3</f>
        <v>3912066770833.333</v>
      </c>
      <c r="CJ99" s="136">
        <f t="shared" ref="CJ99:CJ126" si="390">+F99*G99*H99+J99*K99+BQ99*N99*2+AD99*AE99*AF99+AG99*AH99*AI99</f>
        <v>264600.58446584287</v>
      </c>
      <c r="CK99" s="7">
        <f t="shared" ref="CK99:CK126" si="391">1/12*F99*G99*(H99^3)+F99*G99*H99*(CL99-0.5*H99)^2+1/12*J99*K99^3+J99*K99*(CM99-0.5*K99)^2+1/6*N99*BQ99^3*(1/(1+BP99^2))+2*BQ99*N99*(CM99-K99-0.5*M99)^2+1/12*AD99*AF99*AE99^3+AD99*AE99*AF99*(CM99-K99-0.5*AE99)^2+1/12*AG99*AI99*AH99^3+AG99*AH99*AI99*(CL99-H99-AH99/2)^2</f>
        <v>476361046724.83496</v>
      </c>
      <c r="CL99" s="875">
        <f t="shared" ref="CL99:CL126" si="392">+H99+K99+M99-CM99</f>
        <v>1262.0931690364366</v>
      </c>
      <c r="CM99" s="6">
        <f t="shared" ref="CM99:CM126" si="393">+(F99*G99*H99*(0.5*H99+M99+K99)+2*BQ99*N99*(0.5*M99+K99)+J99*K99*0.5*K99+AD99*AE99*AF99*(0.5*AE99+K99) + AG99*AH99*AI99*(M99-0.5*AH99+K99))/CJ99</f>
        <v>1910.9068309635634</v>
      </c>
      <c r="CN99" s="876">
        <f t="shared" si="264"/>
        <v>377437306.85787624</v>
      </c>
      <c r="CO99" s="876">
        <f t="shared" si="265"/>
        <v>249285333.54220769</v>
      </c>
      <c r="CP99" s="1137">
        <f t="shared" ref="CP99:CP126" si="394">1/12*K99*J99^3+IF(F99=1,1/12*H99*G99^3,2*1/12*H99*G99^3+2*H99*G99*(U99/2+I99-G99/2)^2)+2*CE99+2*M99*N99/COS(ATAN(BP99))*(J99/2-L99+N99/COS(ATAN(BP99))/2+M99/2*BP99)^2+CF99</f>
        <v>188824577667.32001</v>
      </c>
      <c r="CQ99" s="1136">
        <f t="shared" ref="CQ99:CQ126" si="395">IF(F99=1,4*((J99-2*L99+M99*BP99)*(K99/2+M99+H99/2))^2/(U99/H99+J99/K99+2*BQ99/N99),4*((J99-2*L99+M99*BP99)*(K99/2+M99+BF99/2))^2/(U99/BF99+J99/K99+2*BQ99/N99))</f>
        <v>280290269274.4538</v>
      </c>
      <c r="CR99" s="877">
        <f t="shared" ref="CR99:CR126" si="396">BT99/$CU$1+CJ99</f>
        <v>416151.47599530662</v>
      </c>
      <c r="CS99" s="874">
        <f t="shared" ref="CS99:CS126" si="397">+CK99+CJ99*(CM99-CU99)^2+BU99/$CU$1+BT99/$CU$1*(CU99-K99-O99/2)^2</f>
        <v>734092210525.72168</v>
      </c>
      <c r="CT99" s="875">
        <f t="shared" ref="CT99:CT126" si="398">+H99+K99+M99-CU99</f>
        <v>1853.8394275253072</v>
      </c>
      <c r="CU99" s="878">
        <f t="shared" ref="CU99:CU126" si="399">+(BT99/$CU$1*(O99/2+K99)+CJ99*CM99)/CR99</f>
        <v>1319.1605724746928</v>
      </c>
      <c r="CV99" s="876">
        <f t="shared" ref="CV99:CV126" si="400">+CS99/CT99</f>
        <v>395984786.83003438</v>
      </c>
      <c r="CW99" s="876">
        <f t="shared" ref="CW99:CW126" si="401">+CS99/CU99</f>
        <v>556484347.57915318</v>
      </c>
      <c r="CX99" s="1136">
        <f t="shared" ref="CX99:CX126" si="402">+CP99+CG99/$CU$1</f>
        <v>224862271729.37524</v>
      </c>
      <c r="CY99" s="1136">
        <f t="shared" ref="CY99:CY126" si="403">+CQ99</f>
        <v>280290269274.4538</v>
      </c>
      <c r="CZ99" s="877">
        <f t="shared" ref="CZ99:CZ126" si="404">BT99/$DC$1+CJ99</f>
        <v>315117.54830899747</v>
      </c>
      <c r="DA99" s="874">
        <f t="shared" ref="DA99:DA126" si="405">+CK99+CJ99*(CM99-DC99)^2+BU99/$DC$1+BT99/$DC$1*(DC99-K99-O99/2)^2</f>
        <v>589462622312.31006</v>
      </c>
      <c r="DB99" s="875">
        <f t="shared" ref="DB99:DB126" si="406">+H99+K99+M99-DC99</f>
        <v>1522.5844049856012</v>
      </c>
      <c r="DC99" s="878">
        <f t="shared" ref="DC99:DC126" si="407">+(BT99/$DC$1*(O99/2+K99)+CJ99*CM99)/CZ99</f>
        <v>1650.4155950143988</v>
      </c>
      <c r="DD99" s="876">
        <f t="shared" si="266"/>
        <v>387146105.25508732</v>
      </c>
      <c r="DE99" s="876">
        <f t="shared" si="267"/>
        <v>357160114.15122831</v>
      </c>
      <c r="DF99" s="1136">
        <f t="shared" ref="DF99:DF126" si="408">+CP99+CG99/$DC$1</f>
        <v>200837142354.67175</v>
      </c>
      <c r="DG99" s="1136">
        <f t="shared" ref="DG99:DG126" si="409">CQ99</f>
        <v>280290269274.4538</v>
      </c>
      <c r="DH99" s="877">
        <f t="shared" ref="DH99:DH126" si="410">+(BV99+BX99)/$DJ$1+CJ99</f>
        <v>510258.52839302097</v>
      </c>
      <c r="DI99" s="879">
        <f t="shared" ref="DI99:DI126" si="411">BW99/$DJ$1+BV99/$DJ$1*(K99+M99+R99+P99/2-DK99)^2+BY99/$DJ$1+BX99/$DJ$1*(K99+M99+2*R99/3-DK99)^2+CK99+CJ99*(CM99-DK99)^2</f>
        <v>716165249859.62256</v>
      </c>
      <c r="DJ99" s="878">
        <f t="shared" ref="DJ99:DJ126" si="412">+H99+K99+M99-DK99</f>
        <v>603.92230392606234</v>
      </c>
      <c r="DK99" s="877">
        <f t="shared" ref="DK99:DK126" si="413">+(BV99/$DJ$1*(K99+M99+R99+P99/2)+BX99/$DJ$1*(K99+M99+2*R99/3)+CJ99*CM99)/DH99</f>
        <v>2569.0776960739377</v>
      </c>
      <c r="DL99" s="876">
        <f t="shared" si="268"/>
        <v>1185856599.7709899</v>
      </c>
      <c r="DM99" s="876">
        <f t="shared" si="269"/>
        <v>278763562.09625953</v>
      </c>
      <c r="DN99" s="7">
        <f t="shared" ref="DN99:DN126" si="414">+CP99+CH99/$DJ$1</f>
        <v>796879167625.40381</v>
      </c>
      <c r="DO99" s="1136">
        <f t="shared" ref="DO99:DO126" si="415">4*((J99-2*L99+M99*BP99)*(K99/2+M99+BG99/2))^2/(U99/BG99+J99/K99+2*BQ99/N99)</f>
        <v>285555423439.00122</v>
      </c>
      <c r="DP99" s="877">
        <f t="shared" ref="DP99:DP126" si="416">+(BV99+BX99)/$DR$1+CJ99</f>
        <v>346486.56577490224</v>
      </c>
      <c r="DQ99" s="879">
        <f t="shared" ref="DQ99:DQ126" si="417">BW99/$DR$1+BV99/$DR$1*(K99+M99+R99+P99/2-DS99)^2+BY99/$DR$1+BX99/$DR$1*(K99+M99+2*R99/3-DS99)^2+CK99+CJ99*(CM99-DS99)^2</f>
        <v>593806852134.37146</v>
      </c>
      <c r="DR99" s="877">
        <f t="shared" ref="DR99:DR126" si="418">+H99+K99+M99-DS99</f>
        <v>939.00483966037973</v>
      </c>
      <c r="DS99" s="877">
        <f t="shared" ref="DS99:DS126" si="419">+(BV99/$DR$1*(K99+M99+R99+P99/2)+BX99/$DR$1*(K99+M99+2*R99/3)+CJ99*CM99)/DP99</f>
        <v>2233.9951603396203</v>
      </c>
      <c r="DT99" s="876">
        <f t="shared" si="270"/>
        <v>632378904.82986236</v>
      </c>
      <c r="DU99" s="876">
        <f t="shared" si="271"/>
        <v>265804896.39203101</v>
      </c>
      <c r="DV99" s="1136">
        <f t="shared" ref="DV99:DV126" si="420">+CP99+CH99/$DR$1</f>
        <v>391509440986.68127</v>
      </c>
      <c r="DW99" s="1136">
        <f t="shared" ref="DW99:DW126" si="421">DO99</f>
        <v>285555423439.00122</v>
      </c>
      <c r="DX99" s="880">
        <f t="shared" ref="DX99:DX126" si="422">BZ99+CB99+CR99</f>
        <v>429235.4239993447</v>
      </c>
      <c r="DY99" s="874">
        <f t="shared" ref="DY99:DY126" si="423">+CS99+CR99*(CU99-EA99)^2+CA99+BZ99*(DZ99-H99+R99+P99-Y99)^2+CC99+CB99*(DZ99-H99+R99+AB99)^2</f>
        <v>783492069802.26025</v>
      </c>
      <c r="DZ99" s="873">
        <f t="shared" ref="DZ99:DZ126" si="424">+M99+H99+K99-EA99</f>
        <v>1793.7637850793956</v>
      </c>
      <c r="EA99" s="880">
        <f t="shared" ref="EA99:EA126" si="425">(BZ99*(K99+M99+R99+P99-Y99)+CB99*(K99+M99+R99+AB99)+CR99*CU99)/DX99</f>
        <v>1379.2362149206044</v>
      </c>
      <c r="EB99" s="876">
        <f t="shared" si="272"/>
        <v>436786647.33861893</v>
      </c>
      <c r="EC99" s="876">
        <f t="shared" si="273"/>
        <v>568062280.6495564</v>
      </c>
      <c r="ED99" s="1136">
        <f t="shared" ref="ED99:ED126" si="426">DN99</f>
        <v>796879167625.40381</v>
      </c>
      <c r="EE99" s="1136">
        <f t="shared" ref="EE99:EE126" si="427">DO99</f>
        <v>285555423439.00122</v>
      </c>
      <c r="EF99" s="880">
        <f t="shared" ref="EF99:EF126" si="428">BZ99/3+CB99/3+CZ99</f>
        <v>319478.86431034352</v>
      </c>
      <c r="EG99" s="874">
        <f t="shared" ref="EG99:EG126" si="429">+DA99+CZ99*(DC99-EI99)^2+CA99/3+BZ99/3*(EH99-H99+R99+P99-Y99)^2+CC99/3+CB99/3*(EH99-H99+R99+AB99)^2</f>
        <v>601069509769.9563</v>
      </c>
      <c r="EH99" s="873">
        <f t="shared" ref="EH99:EH126" si="430">+M99+H99+K99-EI99</f>
        <v>1500.201630241251</v>
      </c>
      <c r="EI99" s="880">
        <f t="shared" ref="EI99:EI126" si="431">(BZ99/3*(K99+M99+R99+P99-Y99)+CB99/3*(K99+M99+R99+AB99)+CZ99*DC99)/EF99</f>
        <v>1672.798369758749</v>
      </c>
      <c r="EJ99" s="876">
        <f t="shared" si="274"/>
        <v>400659149.84594232</v>
      </c>
      <c r="EK99" s="876">
        <f t="shared" si="275"/>
        <v>359319760.60966784</v>
      </c>
      <c r="EL99" s="1136">
        <f t="shared" si="337"/>
        <v>391509440986.68127</v>
      </c>
      <c r="EM99" s="1136">
        <f t="shared" si="338"/>
        <v>285555423439.00122</v>
      </c>
      <c r="EN99" s="876"/>
      <c r="EO99" s="876"/>
    </row>
    <row r="100" spans="1:145" s="871" customFormat="1">
      <c r="B100" s="871" t="str">
        <f t="shared" ref="B100" si="432">LEFT(B98,3)+1&amp;"j"</f>
        <v>218j</v>
      </c>
      <c r="C100" s="871">
        <v>80.400000000000006</v>
      </c>
      <c r="D100" s="871">
        <v>0</v>
      </c>
      <c r="E100" s="871" t="s">
        <v>2113</v>
      </c>
      <c r="F100" s="26">
        <v>1</v>
      </c>
      <c r="G100" s="136">
        <v>2900</v>
      </c>
      <c r="H100" s="136">
        <v>40</v>
      </c>
      <c r="I100" s="28">
        <v>250</v>
      </c>
      <c r="J100" s="26">
        <v>1864</v>
      </c>
      <c r="K100" s="136">
        <v>30</v>
      </c>
      <c r="L100" s="28">
        <v>120</v>
      </c>
      <c r="M100" s="26">
        <v>3103</v>
      </c>
      <c r="N100" s="28">
        <v>14</v>
      </c>
      <c r="O100" s="397">
        <v>512</v>
      </c>
      <c r="P100" s="26">
        <v>290</v>
      </c>
      <c r="Q100" s="397">
        <v>5450</v>
      </c>
      <c r="R100" s="169">
        <v>0</v>
      </c>
      <c r="S100" s="210">
        <v>0</v>
      </c>
      <c r="T100" s="210">
        <v>1150</v>
      </c>
      <c r="U100" s="210">
        <v>2400</v>
      </c>
      <c r="V100" s="872">
        <v>3800</v>
      </c>
      <c r="W100" s="210">
        <v>19</v>
      </c>
      <c r="X100" s="210">
        <v>200</v>
      </c>
      <c r="Y100" s="210">
        <v>50</v>
      </c>
      <c r="Z100" s="210">
        <v>16</v>
      </c>
      <c r="AA100" s="210">
        <v>200</v>
      </c>
      <c r="AB100" s="872">
        <v>40</v>
      </c>
      <c r="AC100" s="881">
        <f t="shared" si="369"/>
        <v>6031.8578948924023</v>
      </c>
      <c r="AD100" s="397">
        <v>2</v>
      </c>
      <c r="AE100" s="210">
        <v>160</v>
      </c>
      <c r="AF100" s="210">
        <v>16</v>
      </c>
      <c r="AG100" s="397">
        <v>0</v>
      </c>
      <c r="AH100" s="210">
        <v>0</v>
      </c>
      <c r="AI100" s="210">
        <v>0</v>
      </c>
      <c r="AJ100" s="397">
        <v>2</v>
      </c>
      <c r="AK100" s="210">
        <v>2500</v>
      </c>
      <c r="AL100" s="210">
        <v>5000</v>
      </c>
      <c r="AM100" s="1143" t="s">
        <v>2323</v>
      </c>
      <c r="AN100" s="210">
        <v>0</v>
      </c>
      <c r="AO100" s="1143" t="s">
        <v>2323</v>
      </c>
      <c r="AP100" s="1143" t="s">
        <v>2323</v>
      </c>
      <c r="AQ100" s="1143"/>
      <c r="AR100" s="1143"/>
      <c r="AS100" s="1143"/>
      <c r="AT100" s="1143"/>
      <c r="AU100" s="1143"/>
      <c r="AV100" s="1111"/>
      <c r="AW100" s="1111"/>
      <c r="AX100" s="1111"/>
      <c r="AY100" s="1111"/>
      <c r="AZ100" s="1108">
        <v>8</v>
      </c>
      <c r="BA100" s="1108">
        <v>6</v>
      </c>
      <c r="BB100" s="1111"/>
      <c r="BC100" s="1168"/>
      <c r="BD100" s="210">
        <f>INDEX(Spec!$B$12:$P$58,MATCH(AO100,Spec!$A$12:$A$58,0),6)*100</f>
        <v>0</v>
      </c>
      <c r="BE100" s="210">
        <f>INDEX(Spec!$B$12:$P$58,MATCH(AP100,Spec!$A$12:$A$58,0),6)*100</f>
        <v>0</v>
      </c>
      <c r="BF100" s="881">
        <f t="shared" si="371"/>
        <v>0</v>
      </c>
      <c r="BG100" s="881">
        <f t="shared" si="372"/>
        <v>47.243485714285718</v>
      </c>
      <c r="BH100" s="881"/>
      <c r="BI100" s="13" cm="1">
        <f t="array" ref="BI100">INDEX(Info!$AD$4:$AH$15,MATCH(Info!$I$13,Info!$AC$4:$AC$15,0),IF(H100&lt;=16,1,IF(H100&lt;=40,2,IF(H100&lt;=75,3,IF(H100&lt;=100,4,5)))))</f>
        <v>380</v>
      </c>
      <c r="BJ100" s="13" cm="1">
        <f t="array" ref="BJ100">INDEX(Info!$AD$4:$AH$15,MATCH(Info!$I$13,Info!$AC$4:$AC$15,0),IF(K100&lt;=16,1,IF(K100&lt;=40,2,IF(K100&lt;=75,3,IF(K100&lt;=100,4,5)))))</f>
        <v>380</v>
      </c>
      <c r="BK100" s="13" cm="1">
        <f t="array" ref="BK100">INDEX(Info!$AD$4:$AH$15,MATCH(Info!$I$14,Info!$AC$4:$AC$15,0),IF(N100&lt;=16,1,IF(N100&lt;=40,2,IF(N100&lt;=75,3,IF(N100&lt;=100,4,5)))))</f>
        <v>355</v>
      </c>
      <c r="BL100" s="13">
        <f>IF(Stress!C929="Positive",MAX(MIN(0.7*BI100,BK100),0.5*BI100),MAX(MIN(0.7*BJ100,BK100),0.5*BJ100))</f>
        <v>266</v>
      </c>
      <c r="BM100" s="13" cm="1">
        <f t="array" ref="BM100">INDEX(Info!$AD$4:$AH$15,MATCH(Info!$I$13,Info!$AC$4:$AC$15,0),IF(AI100&lt;=16,1,IF(AI100&lt;=40,2,IF(AI100&lt;=75,3,IF(AI100&lt;=100,4,5)))))</f>
        <v>380</v>
      </c>
      <c r="BN100" s="13" cm="1">
        <f t="array" ref="BN100">INDEX(Info!$AD$4:$AH$15,MATCH(Info!$I$13,Info!$AC$4:$AC$15,0),IF(AF100&lt;=16,1,IF(AF100&lt;=40,2,IF(AF100&lt;=75,3,IF(AF100&lt;=100,4,5)))))</f>
        <v>380</v>
      </c>
      <c r="BO100" s="13"/>
      <c r="BP100" s="873">
        <f t="shared" si="373"/>
        <v>0.1250402835965195</v>
      </c>
      <c r="BQ100" s="873">
        <f t="shared" si="374"/>
        <v>3127.1637309229591</v>
      </c>
      <c r="BR100" s="873">
        <f t="shared" si="375"/>
        <v>3423</v>
      </c>
      <c r="BS100" s="873"/>
      <c r="BT100" s="871">
        <f t="shared" si="376"/>
        <v>864266.56010312599</v>
      </c>
      <c r="BU100" s="136">
        <f t="shared" si="377"/>
        <v>18871138575.090694</v>
      </c>
      <c r="BV100" s="871">
        <f t="shared" si="378"/>
        <v>1580500</v>
      </c>
      <c r="BW100" s="871">
        <f t="shared" si="379"/>
        <v>11076670833.333334</v>
      </c>
      <c r="BX100" s="871">
        <f t="shared" si="380"/>
        <v>0</v>
      </c>
      <c r="BY100" s="871">
        <f t="shared" si="381"/>
        <v>0</v>
      </c>
      <c r="BZ100" s="871">
        <f t="shared" si="382"/>
        <v>7655.2758986349281</v>
      </c>
      <c r="CA100" s="871">
        <f t="shared" si="383"/>
        <v>172722.16246295057</v>
      </c>
      <c r="CB100" s="871">
        <f t="shared" si="384"/>
        <v>5428.6721054031623</v>
      </c>
      <c r="CC100" s="871">
        <f t="shared" si="385"/>
        <v>86858.753686450596</v>
      </c>
      <c r="CE100" s="1137">
        <f t="shared" si="386"/>
        <v>549964617.89726794</v>
      </c>
      <c r="CF100" s="1136">
        <f t="shared" si="387"/>
        <v>375202702.22222227</v>
      </c>
      <c r="CG100" s="1136">
        <f t="shared" si="388"/>
        <v>205516269595.85425</v>
      </c>
      <c r="CH100" s="172">
        <f t="shared" si="389"/>
        <v>3912066770833.333</v>
      </c>
      <c r="CJ100" s="136">
        <f t="shared" si="390"/>
        <v>264600.58446584287</v>
      </c>
      <c r="CK100" s="7">
        <f t="shared" si="391"/>
        <v>476361046724.83496</v>
      </c>
      <c r="CL100" s="875">
        <f t="shared" si="392"/>
        <v>1262.0931690364366</v>
      </c>
      <c r="CM100" s="6">
        <f t="shared" si="393"/>
        <v>1910.9068309635634</v>
      </c>
      <c r="CN100" s="876">
        <f t="shared" si="264"/>
        <v>377437306.85787624</v>
      </c>
      <c r="CO100" s="876">
        <f t="shared" si="265"/>
        <v>249285333.54220769</v>
      </c>
      <c r="CP100" s="1137">
        <f t="shared" si="394"/>
        <v>188824577667.32001</v>
      </c>
      <c r="CQ100" s="1136">
        <f t="shared" si="395"/>
        <v>280290269274.4538</v>
      </c>
      <c r="CR100" s="877">
        <f t="shared" si="396"/>
        <v>416151.47599530662</v>
      </c>
      <c r="CS100" s="874">
        <f t="shared" si="397"/>
        <v>734092210525.72168</v>
      </c>
      <c r="CT100" s="875">
        <f t="shared" si="398"/>
        <v>1853.8394275253072</v>
      </c>
      <c r="CU100" s="878">
        <f t="shared" si="399"/>
        <v>1319.1605724746928</v>
      </c>
      <c r="CV100" s="876">
        <f t="shared" si="400"/>
        <v>395984786.83003438</v>
      </c>
      <c r="CW100" s="876">
        <f t="shared" si="401"/>
        <v>556484347.57915318</v>
      </c>
      <c r="CX100" s="1136">
        <f t="shared" si="402"/>
        <v>224862271729.37524</v>
      </c>
      <c r="CY100" s="1136">
        <f t="shared" si="403"/>
        <v>280290269274.4538</v>
      </c>
      <c r="CZ100" s="877">
        <f t="shared" si="404"/>
        <v>315117.54830899747</v>
      </c>
      <c r="DA100" s="874">
        <f t="shared" si="405"/>
        <v>589462622312.31006</v>
      </c>
      <c r="DB100" s="875">
        <f t="shared" si="406"/>
        <v>1522.5844049856012</v>
      </c>
      <c r="DC100" s="878">
        <f t="shared" si="407"/>
        <v>1650.4155950143988</v>
      </c>
      <c r="DD100" s="876">
        <f t="shared" si="266"/>
        <v>387146105.25508732</v>
      </c>
      <c r="DE100" s="876">
        <f t="shared" si="267"/>
        <v>357160114.15122831</v>
      </c>
      <c r="DF100" s="1136">
        <f t="shared" si="408"/>
        <v>200837142354.67175</v>
      </c>
      <c r="DG100" s="1136">
        <f t="shared" si="409"/>
        <v>280290269274.4538</v>
      </c>
      <c r="DH100" s="877">
        <f t="shared" si="410"/>
        <v>510258.52839302097</v>
      </c>
      <c r="DI100" s="879">
        <f t="shared" si="411"/>
        <v>716165249859.62256</v>
      </c>
      <c r="DJ100" s="878">
        <f t="shared" si="412"/>
        <v>603.92230392606234</v>
      </c>
      <c r="DK100" s="877">
        <f t="shared" si="413"/>
        <v>2569.0776960739377</v>
      </c>
      <c r="DL100" s="876">
        <f t="shared" si="268"/>
        <v>1185856599.7709899</v>
      </c>
      <c r="DM100" s="876">
        <f t="shared" si="269"/>
        <v>278763562.09625953</v>
      </c>
      <c r="DN100" s="7">
        <f t="shared" si="414"/>
        <v>796879167625.40381</v>
      </c>
      <c r="DO100" s="1136">
        <f t="shared" si="415"/>
        <v>285555423439.00122</v>
      </c>
      <c r="DP100" s="877">
        <f t="shared" si="416"/>
        <v>346486.56577490224</v>
      </c>
      <c r="DQ100" s="879">
        <f t="shared" si="417"/>
        <v>593806852134.37146</v>
      </c>
      <c r="DR100" s="877">
        <f t="shared" si="418"/>
        <v>939.00483966037973</v>
      </c>
      <c r="DS100" s="877">
        <f t="shared" si="419"/>
        <v>2233.9951603396203</v>
      </c>
      <c r="DT100" s="876">
        <f t="shared" si="270"/>
        <v>632378904.82986236</v>
      </c>
      <c r="DU100" s="876">
        <f t="shared" si="271"/>
        <v>265804896.39203101</v>
      </c>
      <c r="DV100" s="1136">
        <f t="shared" si="420"/>
        <v>391509440986.68127</v>
      </c>
      <c r="DW100" s="1136">
        <f t="shared" si="421"/>
        <v>285555423439.00122</v>
      </c>
      <c r="DX100" s="880">
        <f t="shared" si="422"/>
        <v>429235.4239993447</v>
      </c>
      <c r="DY100" s="874">
        <f t="shared" si="423"/>
        <v>783492069802.26025</v>
      </c>
      <c r="DZ100" s="873">
        <f t="shared" si="424"/>
        <v>1793.7637850793956</v>
      </c>
      <c r="EA100" s="880">
        <f t="shared" si="425"/>
        <v>1379.2362149206044</v>
      </c>
      <c r="EB100" s="876">
        <f t="shared" si="272"/>
        <v>436786647.33861893</v>
      </c>
      <c r="EC100" s="876">
        <f t="shared" si="273"/>
        <v>568062280.6495564</v>
      </c>
      <c r="ED100" s="1136">
        <f t="shared" si="426"/>
        <v>796879167625.40381</v>
      </c>
      <c r="EE100" s="1136">
        <f t="shared" si="427"/>
        <v>285555423439.00122</v>
      </c>
      <c r="EF100" s="880">
        <f t="shared" si="428"/>
        <v>319478.86431034352</v>
      </c>
      <c r="EG100" s="874">
        <f t="shared" si="429"/>
        <v>601069509769.9563</v>
      </c>
      <c r="EH100" s="873">
        <f t="shared" si="430"/>
        <v>1500.201630241251</v>
      </c>
      <c r="EI100" s="880">
        <f t="shared" si="431"/>
        <v>1672.798369758749</v>
      </c>
      <c r="EJ100" s="876">
        <f t="shared" si="274"/>
        <v>400659149.84594232</v>
      </c>
      <c r="EK100" s="876">
        <f t="shared" si="275"/>
        <v>359319760.60966784</v>
      </c>
      <c r="EL100" s="1136">
        <f t="shared" si="337"/>
        <v>391509440986.68127</v>
      </c>
      <c r="EM100" s="1136">
        <f t="shared" si="338"/>
        <v>285555423439.00122</v>
      </c>
      <c r="EN100" s="876"/>
      <c r="EO100" s="876"/>
    </row>
    <row r="101" spans="1:145" s="871" customFormat="1">
      <c r="A101" s="871">
        <v>119</v>
      </c>
      <c r="B101" s="871" t="str">
        <f t="shared" ref="B101" si="433">LEFT(B99,3)+1&amp;"i"</f>
        <v>219i</v>
      </c>
      <c r="C101" s="871">
        <v>80.400000000000006</v>
      </c>
      <c r="D101" s="871">
        <v>0</v>
      </c>
      <c r="E101" s="871" t="s">
        <v>2114</v>
      </c>
      <c r="F101" s="26">
        <v>1</v>
      </c>
      <c r="G101" s="136">
        <v>2900</v>
      </c>
      <c r="H101" s="136">
        <v>40</v>
      </c>
      <c r="I101" s="28">
        <v>250</v>
      </c>
      <c r="J101" s="26">
        <v>1840</v>
      </c>
      <c r="K101" s="136">
        <v>30</v>
      </c>
      <c r="L101" s="28">
        <v>120</v>
      </c>
      <c r="M101" s="26">
        <v>3200</v>
      </c>
      <c r="N101" s="28">
        <v>14</v>
      </c>
      <c r="O101" s="397">
        <v>600</v>
      </c>
      <c r="P101" s="26">
        <v>290</v>
      </c>
      <c r="Q101" s="397">
        <v>5450</v>
      </c>
      <c r="R101" s="169">
        <v>0</v>
      </c>
      <c r="S101" s="210">
        <v>0</v>
      </c>
      <c r="T101" s="210">
        <v>1150</v>
      </c>
      <c r="U101" s="210">
        <v>2400</v>
      </c>
      <c r="V101" s="872">
        <v>3800</v>
      </c>
      <c r="W101" s="210">
        <v>19</v>
      </c>
      <c r="X101" s="210">
        <v>200</v>
      </c>
      <c r="Y101" s="210">
        <v>50</v>
      </c>
      <c r="Z101" s="210">
        <v>16</v>
      </c>
      <c r="AA101" s="210">
        <v>200</v>
      </c>
      <c r="AB101" s="872">
        <v>40</v>
      </c>
      <c r="AC101" s="881">
        <f t="shared" si="369"/>
        <v>6031.8578948924023</v>
      </c>
      <c r="AD101" s="397">
        <v>2</v>
      </c>
      <c r="AE101" s="210">
        <v>160</v>
      </c>
      <c r="AF101" s="210">
        <v>16</v>
      </c>
      <c r="AG101" s="397">
        <v>0</v>
      </c>
      <c r="AH101" s="210">
        <v>0</v>
      </c>
      <c r="AI101" s="210">
        <v>0</v>
      </c>
      <c r="AJ101" s="397">
        <v>2</v>
      </c>
      <c r="AK101" s="210">
        <v>2500</v>
      </c>
      <c r="AL101" s="210">
        <v>5000</v>
      </c>
      <c r="AM101" s="1143" t="s">
        <v>2323</v>
      </c>
      <c r="AN101" s="210">
        <v>0</v>
      </c>
      <c r="AO101" s="1143" t="s">
        <v>2323</v>
      </c>
      <c r="AP101" s="1143" t="s">
        <v>2323</v>
      </c>
      <c r="AQ101" s="1143"/>
      <c r="AR101" s="1143"/>
      <c r="AS101" s="1143"/>
      <c r="AT101" s="1143"/>
      <c r="AU101" s="1143"/>
      <c r="AV101" s="1111"/>
      <c r="AW101" s="1111"/>
      <c r="AX101" s="1111"/>
      <c r="AY101" s="1111"/>
      <c r="AZ101" s="1108">
        <v>8</v>
      </c>
      <c r="BA101" s="1108">
        <v>6</v>
      </c>
      <c r="BB101" s="1111"/>
      <c r="BC101" s="1168"/>
      <c r="BD101" s="210">
        <f>INDEX(Spec!$B$12:$P$58,MATCH(AO101,Spec!$A$12:$A$58,0),6)*100</f>
        <v>0</v>
      </c>
      <c r="BE101" s="210">
        <f>INDEX(Spec!$B$12:$P$58,MATCH(AP101,Spec!$A$12:$A$58,0),6)*100</f>
        <v>0</v>
      </c>
      <c r="BF101" s="881">
        <f t="shared" si="371"/>
        <v>0</v>
      </c>
      <c r="BG101" s="881">
        <f t="shared" si="372"/>
        <v>47.243485714285718</v>
      </c>
      <c r="BH101" s="881"/>
      <c r="BI101" s="13" cm="1">
        <f t="array" ref="BI101">INDEX(Info!$AD$4:$AH$15,MATCH(Info!$I$13,Info!$AC$4:$AC$15,0),IF(H101&lt;=16,1,IF(H101&lt;=40,2,IF(H101&lt;=75,3,IF(H101&lt;=100,4,5)))))</f>
        <v>380</v>
      </c>
      <c r="BJ101" s="13" cm="1">
        <f t="array" ref="BJ101">INDEX(Info!$AD$4:$AH$15,MATCH(Info!$I$13,Info!$AC$4:$AC$15,0),IF(K101&lt;=16,1,IF(K101&lt;=40,2,IF(K101&lt;=75,3,IF(K101&lt;=100,4,5)))))</f>
        <v>380</v>
      </c>
      <c r="BK101" s="13" cm="1">
        <f t="array" ref="BK101">INDEX(Info!$AD$4:$AH$15,MATCH(Info!$I$14,Info!$AC$4:$AC$15,0),IF(N101&lt;=16,1,IF(N101&lt;=40,2,IF(N101&lt;=75,3,IF(N101&lt;=100,4,5)))))</f>
        <v>355</v>
      </c>
      <c r="BL101" s="13">
        <f>IF(Stress!C930="Positive",MAX(MIN(0.7*BI101,BK101),0.5*BI101),MAX(MIN(0.7*BJ101,BK101),0.5*BJ101))</f>
        <v>266</v>
      </c>
      <c r="BM101" s="13" cm="1">
        <f t="array" ref="BM101">INDEX(Info!$AD$4:$AH$15,MATCH(Info!$I$13,Info!$AC$4:$AC$15,0),IF(AI101&lt;=16,1,IF(AI101&lt;=40,2,IF(AI101&lt;=75,3,IF(AI101&lt;=100,4,5)))))</f>
        <v>380</v>
      </c>
      <c r="BN101" s="13" cm="1">
        <f t="array" ref="BN101">INDEX(Info!$AD$4:$AH$15,MATCH(Info!$I$13,Info!$AC$4:$AC$15,0),IF(AF101&lt;=16,1,IF(AF101&lt;=40,2,IF(AF101&lt;=75,3,IF(AF101&lt;=100,4,5)))))</f>
        <v>380</v>
      </c>
      <c r="BO101" s="13"/>
      <c r="BP101" s="873">
        <f t="shared" si="373"/>
        <v>0.125</v>
      </c>
      <c r="BQ101" s="873">
        <f t="shared" si="374"/>
        <v>3224.9030993194197</v>
      </c>
      <c r="BR101" s="873">
        <f t="shared" si="375"/>
        <v>3520</v>
      </c>
      <c r="BS101" s="873"/>
      <c r="BT101" s="871">
        <f t="shared" si="376"/>
        <v>1005000</v>
      </c>
      <c r="BU101" s="136">
        <f t="shared" si="377"/>
        <v>30129850746.268658</v>
      </c>
      <c r="BV101" s="871">
        <f t="shared" si="378"/>
        <v>1580500</v>
      </c>
      <c r="BW101" s="871">
        <f t="shared" si="379"/>
        <v>11076670833.333334</v>
      </c>
      <c r="BX101" s="871">
        <f t="shared" si="380"/>
        <v>0</v>
      </c>
      <c r="BY101" s="871">
        <f t="shared" si="381"/>
        <v>0</v>
      </c>
      <c r="BZ101" s="871">
        <f t="shared" si="382"/>
        <v>7655.2758986349281</v>
      </c>
      <c r="CA101" s="871">
        <f t="shared" si="383"/>
        <v>172722.16246295057</v>
      </c>
      <c r="CB101" s="871">
        <f t="shared" si="384"/>
        <v>5428.6721054031623</v>
      </c>
      <c r="CC101" s="871">
        <f t="shared" si="385"/>
        <v>86858.753686450596</v>
      </c>
      <c r="CE101" s="1137">
        <f t="shared" si="386"/>
        <v>602730862.02503479</v>
      </c>
      <c r="CF101" s="1136">
        <f t="shared" si="387"/>
        <v>364198115.55555564</v>
      </c>
      <c r="CG101" s="1136">
        <f t="shared" si="388"/>
        <v>235442187500</v>
      </c>
      <c r="CH101" s="172">
        <f t="shared" si="389"/>
        <v>3912066770833.333</v>
      </c>
      <c r="CJ101" s="136">
        <f t="shared" si="390"/>
        <v>266617.28678094374</v>
      </c>
      <c r="CK101" s="7">
        <f t="shared" si="391"/>
        <v>506265479532.14233</v>
      </c>
      <c r="CL101" s="875">
        <f t="shared" si="392"/>
        <v>1298.725804697134</v>
      </c>
      <c r="CM101" s="6">
        <f t="shared" si="393"/>
        <v>1971.274195302866</v>
      </c>
      <c r="CN101" s="876">
        <f t="shared" si="264"/>
        <v>389817063.54114115</v>
      </c>
      <c r="CO101" s="876">
        <f t="shared" si="265"/>
        <v>256821441.04481611</v>
      </c>
      <c r="CP101" s="1137">
        <f t="shared" si="394"/>
        <v>190015866988.12848</v>
      </c>
      <c r="CQ101" s="1136">
        <f t="shared" si="395"/>
        <v>287687084285.59143</v>
      </c>
      <c r="CR101" s="877">
        <f t="shared" si="396"/>
        <v>442846.07199384994</v>
      </c>
      <c r="CS101" s="874">
        <f t="shared" si="397"/>
        <v>797356979103.35107</v>
      </c>
      <c r="CT101" s="875">
        <f t="shared" si="398"/>
        <v>1951.8641657020185</v>
      </c>
      <c r="CU101" s="878">
        <f t="shared" si="399"/>
        <v>1318.1358342979815</v>
      </c>
      <c r="CV101" s="876">
        <f t="shared" si="400"/>
        <v>408510486.08526975</v>
      </c>
      <c r="CW101" s="876">
        <f t="shared" si="401"/>
        <v>604912603.35700595</v>
      </c>
      <c r="CX101" s="1136">
        <f t="shared" si="402"/>
        <v>231301131357.27704</v>
      </c>
      <c r="CY101" s="1136">
        <f t="shared" si="403"/>
        <v>287687084285.59143</v>
      </c>
      <c r="CZ101" s="877">
        <f t="shared" si="404"/>
        <v>325360.21518524585</v>
      </c>
      <c r="DA101" s="874">
        <f t="shared" si="405"/>
        <v>637697253297.72803</v>
      </c>
      <c r="DB101" s="875">
        <f t="shared" si="406"/>
        <v>1595.0535302354619</v>
      </c>
      <c r="DC101" s="878">
        <f t="shared" si="407"/>
        <v>1674.9464697645381</v>
      </c>
      <c r="DD101" s="876">
        <f t="shared" si="266"/>
        <v>399796772.46543008</v>
      </c>
      <c r="DE101" s="876">
        <f t="shared" si="267"/>
        <v>380726945.4929952</v>
      </c>
      <c r="DF101" s="1136">
        <f t="shared" si="408"/>
        <v>203777621777.84467</v>
      </c>
      <c r="DG101" s="1136">
        <f t="shared" si="409"/>
        <v>287687084285.59143</v>
      </c>
      <c r="DH101" s="877">
        <f t="shared" si="410"/>
        <v>512275.23070812179</v>
      </c>
      <c r="DI101" s="879">
        <f t="shared" si="411"/>
        <v>759917387621.1991</v>
      </c>
      <c r="DJ101" s="878">
        <f t="shared" si="412"/>
        <v>625.57907741392819</v>
      </c>
      <c r="DK101" s="877">
        <f t="shared" si="413"/>
        <v>2644.4209225860718</v>
      </c>
      <c r="DL101" s="876">
        <f t="shared" si="268"/>
        <v>1214742332.4363885</v>
      </c>
      <c r="DM101" s="876">
        <f t="shared" si="269"/>
        <v>287366274.07941139</v>
      </c>
      <c r="DN101" s="7">
        <f t="shared" si="414"/>
        <v>798070456946.2124</v>
      </c>
      <c r="DO101" s="1136">
        <f t="shared" si="415"/>
        <v>292962021310.45001</v>
      </c>
      <c r="DP101" s="877">
        <f t="shared" si="416"/>
        <v>348503.26809000311</v>
      </c>
      <c r="DQ101" s="879">
        <f t="shared" si="417"/>
        <v>630279267595.50842</v>
      </c>
      <c r="DR101" s="877">
        <f t="shared" si="418"/>
        <v>968.89972978988681</v>
      </c>
      <c r="DS101" s="877">
        <f t="shared" si="419"/>
        <v>2301.1002702101132</v>
      </c>
      <c r="DT101" s="876">
        <f t="shared" si="270"/>
        <v>650510314.13971937</v>
      </c>
      <c r="DU101" s="876">
        <f t="shared" si="271"/>
        <v>273903434.698201</v>
      </c>
      <c r="DV101" s="1136">
        <f t="shared" si="420"/>
        <v>392700730307.48975</v>
      </c>
      <c r="DW101" s="1136">
        <f t="shared" si="421"/>
        <v>292962021310.45001</v>
      </c>
      <c r="DX101" s="880">
        <f t="shared" si="422"/>
        <v>455930.01999788801</v>
      </c>
      <c r="DY101" s="874">
        <f t="shared" si="423"/>
        <v>851880024989.76282</v>
      </c>
      <c r="DZ101" s="873">
        <f t="shared" si="424"/>
        <v>1892.4928954468974</v>
      </c>
      <c r="EA101" s="880">
        <f t="shared" si="425"/>
        <v>1377.5071045531026</v>
      </c>
      <c r="EB101" s="876">
        <f t="shared" si="272"/>
        <v>450136445.44678622</v>
      </c>
      <c r="EC101" s="876">
        <f t="shared" si="273"/>
        <v>618421510.98460853</v>
      </c>
      <c r="ED101" s="1136">
        <f t="shared" si="426"/>
        <v>798070456946.2124</v>
      </c>
      <c r="EE101" s="1136">
        <f t="shared" si="427"/>
        <v>292962021310.45001</v>
      </c>
      <c r="EF101" s="880">
        <f t="shared" si="428"/>
        <v>329721.53118659189</v>
      </c>
      <c r="EG101" s="874">
        <f t="shared" si="429"/>
        <v>650354433218.04102</v>
      </c>
      <c r="EH101" s="873">
        <f t="shared" si="430"/>
        <v>1572.4074986459461</v>
      </c>
      <c r="EI101" s="880">
        <f t="shared" si="431"/>
        <v>1697.5925013540539</v>
      </c>
      <c r="EJ101" s="876">
        <f t="shared" si="274"/>
        <v>413604255.7530942</v>
      </c>
      <c r="EK101" s="876">
        <f t="shared" si="275"/>
        <v>383103973.83311814</v>
      </c>
      <c r="EL101" s="1136">
        <f t="shared" si="337"/>
        <v>392700730307.48975</v>
      </c>
      <c r="EM101" s="1136">
        <f t="shared" si="338"/>
        <v>292962021310.45001</v>
      </c>
      <c r="EN101" s="876"/>
      <c r="EO101" s="876"/>
    </row>
    <row r="102" spans="1:145" s="871" customFormat="1">
      <c r="B102" s="871" t="str">
        <f t="shared" ref="B102" si="434">LEFT(B100,3)+1&amp;"j"</f>
        <v>219j</v>
      </c>
      <c r="C102" s="871">
        <v>81.900000000000006</v>
      </c>
      <c r="D102" s="871">
        <v>0</v>
      </c>
      <c r="E102" s="871" t="s">
        <v>2114</v>
      </c>
      <c r="F102" s="26">
        <v>1</v>
      </c>
      <c r="G102" s="136">
        <v>2900</v>
      </c>
      <c r="H102" s="136">
        <v>40</v>
      </c>
      <c r="I102" s="28">
        <v>250</v>
      </c>
      <c r="J102" s="26">
        <v>1840</v>
      </c>
      <c r="K102" s="136">
        <v>30</v>
      </c>
      <c r="L102" s="28">
        <v>120</v>
      </c>
      <c r="M102" s="26">
        <v>3200</v>
      </c>
      <c r="N102" s="28">
        <v>14</v>
      </c>
      <c r="O102" s="397">
        <v>600</v>
      </c>
      <c r="P102" s="26">
        <v>290</v>
      </c>
      <c r="Q102" s="397">
        <v>5450</v>
      </c>
      <c r="R102" s="169">
        <v>0</v>
      </c>
      <c r="S102" s="210">
        <v>0</v>
      </c>
      <c r="T102" s="210">
        <v>1150</v>
      </c>
      <c r="U102" s="210">
        <v>2400</v>
      </c>
      <c r="V102" s="872">
        <v>3800</v>
      </c>
      <c r="W102" s="210">
        <v>19</v>
      </c>
      <c r="X102" s="210">
        <v>200</v>
      </c>
      <c r="Y102" s="210">
        <v>50</v>
      </c>
      <c r="Z102" s="210">
        <v>16</v>
      </c>
      <c r="AA102" s="210">
        <v>200</v>
      </c>
      <c r="AB102" s="872">
        <v>40</v>
      </c>
      <c r="AC102" s="881">
        <f t="shared" si="369"/>
        <v>6031.8578948924023</v>
      </c>
      <c r="AD102" s="397">
        <v>2</v>
      </c>
      <c r="AE102" s="210">
        <v>160</v>
      </c>
      <c r="AF102" s="210">
        <v>16</v>
      </c>
      <c r="AG102" s="397">
        <v>0</v>
      </c>
      <c r="AH102" s="210">
        <v>0</v>
      </c>
      <c r="AI102" s="210">
        <v>0</v>
      </c>
      <c r="AJ102" s="397">
        <v>2</v>
      </c>
      <c r="AK102" s="210">
        <v>2500</v>
      </c>
      <c r="AL102" s="210">
        <v>5000</v>
      </c>
      <c r="AM102" s="1143" t="s">
        <v>2323</v>
      </c>
      <c r="AN102" s="210">
        <v>0</v>
      </c>
      <c r="AO102" s="1143" t="s">
        <v>2323</v>
      </c>
      <c r="AP102" s="1143" t="s">
        <v>2323</v>
      </c>
      <c r="AQ102" s="1143"/>
      <c r="AR102" s="1143"/>
      <c r="AS102" s="1143"/>
      <c r="AT102" s="1143"/>
      <c r="AU102" s="1143"/>
      <c r="AV102" s="1111"/>
      <c r="AW102" s="1111"/>
      <c r="AX102" s="1111"/>
      <c r="AY102" s="1111"/>
      <c r="AZ102" s="1108">
        <v>8</v>
      </c>
      <c r="BA102" s="1108">
        <v>6</v>
      </c>
      <c r="BB102" s="1111"/>
      <c r="BC102" s="1168"/>
      <c r="BD102" s="210">
        <f>INDEX(Spec!$B$12:$P$58,MATCH(AO102,Spec!$A$12:$A$58,0),6)*100</f>
        <v>0</v>
      </c>
      <c r="BE102" s="210">
        <f>INDEX(Spec!$B$12:$P$58,MATCH(AP102,Spec!$A$12:$A$58,0),6)*100</f>
        <v>0</v>
      </c>
      <c r="BF102" s="881">
        <f t="shared" si="371"/>
        <v>0</v>
      </c>
      <c r="BG102" s="881">
        <f t="shared" si="372"/>
        <v>47.243485714285718</v>
      </c>
      <c r="BH102" s="881"/>
      <c r="BI102" s="13" cm="1">
        <f t="array" ref="BI102">INDEX(Info!$AD$4:$AH$15,MATCH(Info!$I$13,Info!$AC$4:$AC$15,0),IF(H102&lt;=16,1,IF(H102&lt;=40,2,IF(H102&lt;=75,3,IF(H102&lt;=100,4,5)))))</f>
        <v>380</v>
      </c>
      <c r="BJ102" s="13" cm="1">
        <f t="array" ref="BJ102">INDEX(Info!$AD$4:$AH$15,MATCH(Info!$I$13,Info!$AC$4:$AC$15,0),IF(K102&lt;=16,1,IF(K102&lt;=40,2,IF(K102&lt;=75,3,IF(K102&lt;=100,4,5)))))</f>
        <v>380</v>
      </c>
      <c r="BK102" s="13" cm="1">
        <f t="array" ref="BK102">INDEX(Info!$AD$4:$AH$15,MATCH(Info!$I$14,Info!$AC$4:$AC$15,0),IF(N102&lt;=16,1,IF(N102&lt;=40,2,IF(N102&lt;=75,3,IF(N102&lt;=100,4,5)))))</f>
        <v>355</v>
      </c>
      <c r="BL102" s="13">
        <f>IF(Stress!C931="Positive",MAX(MIN(0.7*BI102,BK102),0.5*BI102),MAX(MIN(0.7*BJ102,BK102),0.5*BJ102))</f>
        <v>266</v>
      </c>
      <c r="BM102" s="13" cm="1">
        <f t="array" ref="BM102">INDEX(Info!$AD$4:$AH$15,MATCH(Info!$I$13,Info!$AC$4:$AC$15,0),IF(AI102&lt;=16,1,IF(AI102&lt;=40,2,IF(AI102&lt;=75,3,IF(AI102&lt;=100,4,5)))))</f>
        <v>380</v>
      </c>
      <c r="BN102" s="13" cm="1">
        <f t="array" ref="BN102">INDEX(Info!$AD$4:$AH$15,MATCH(Info!$I$13,Info!$AC$4:$AC$15,0),IF(AF102&lt;=16,1,IF(AF102&lt;=40,2,IF(AF102&lt;=75,3,IF(AF102&lt;=100,4,5)))))</f>
        <v>380</v>
      </c>
      <c r="BO102" s="13"/>
      <c r="BP102" s="873">
        <f t="shared" si="373"/>
        <v>0.125</v>
      </c>
      <c r="BQ102" s="873">
        <f t="shared" si="374"/>
        <v>3224.9030993194197</v>
      </c>
      <c r="BR102" s="873">
        <f t="shared" si="375"/>
        <v>3520</v>
      </c>
      <c r="BS102" s="873"/>
      <c r="BT102" s="871">
        <f t="shared" si="376"/>
        <v>1005000</v>
      </c>
      <c r="BU102" s="136">
        <f t="shared" si="377"/>
        <v>30129850746.268658</v>
      </c>
      <c r="BV102" s="871">
        <f t="shared" si="378"/>
        <v>1580500</v>
      </c>
      <c r="BW102" s="871">
        <f t="shared" si="379"/>
        <v>11076670833.333334</v>
      </c>
      <c r="BX102" s="871">
        <f t="shared" si="380"/>
        <v>0</v>
      </c>
      <c r="BY102" s="871">
        <f t="shared" si="381"/>
        <v>0</v>
      </c>
      <c r="BZ102" s="871">
        <f t="shared" si="382"/>
        <v>7655.2758986349281</v>
      </c>
      <c r="CA102" s="871">
        <f t="shared" si="383"/>
        <v>172722.16246295057</v>
      </c>
      <c r="CB102" s="871">
        <f t="shared" si="384"/>
        <v>5428.6721054031623</v>
      </c>
      <c r="CC102" s="871">
        <f t="shared" si="385"/>
        <v>86858.753686450596</v>
      </c>
      <c r="CE102" s="1137">
        <f t="shared" si="386"/>
        <v>602730862.02503479</v>
      </c>
      <c r="CF102" s="1136">
        <f t="shared" si="387"/>
        <v>364198115.55555564</v>
      </c>
      <c r="CG102" s="1136">
        <f t="shared" si="388"/>
        <v>235442187500</v>
      </c>
      <c r="CH102" s="172">
        <f t="shared" si="389"/>
        <v>3912066770833.333</v>
      </c>
      <c r="CJ102" s="136">
        <f t="shared" si="390"/>
        <v>266617.28678094374</v>
      </c>
      <c r="CK102" s="7">
        <f t="shared" si="391"/>
        <v>506265479532.14233</v>
      </c>
      <c r="CL102" s="875">
        <f t="shared" si="392"/>
        <v>1298.725804697134</v>
      </c>
      <c r="CM102" s="6">
        <f t="shared" si="393"/>
        <v>1971.274195302866</v>
      </c>
      <c r="CN102" s="876">
        <f t="shared" si="264"/>
        <v>389817063.54114115</v>
      </c>
      <c r="CO102" s="876">
        <f t="shared" si="265"/>
        <v>256821441.04481611</v>
      </c>
      <c r="CP102" s="1137">
        <f t="shared" si="394"/>
        <v>190015866988.12848</v>
      </c>
      <c r="CQ102" s="1136">
        <f t="shared" si="395"/>
        <v>287687084285.59143</v>
      </c>
      <c r="CR102" s="877">
        <f t="shared" si="396"/>
        <v>442846.07199384994</v>
      </c>
      <c r="CS102" s="874">
        <f t="shared" si="397"/>
        <v>797356979103.35107</v>
      </c>
      <c r="CT102" s="875">
        <f t="shared" si="398"/>
        <v>1951.8641657020185</v>
      </c>
      <c r="CU102" s="878">
        <f t="shared" si="399"/>
        <v>1318.1358342979815</v>
      </c>
      <c r="CV102" s="876">
        <f t="shared" si="400"/>
        <v>408510486.08526975</v>
      </c>
      <c r="CW102" s="876">
        <f t="shared" si="401"/>
        <v>604912603.35700595</v>
      </c>
      <c r="CX102" s="1136">
        <f t="shared" si="402"/>
        <v>231301131357.27704</v>
      </c>
      <c r="CY102" s="1136">
        <f t="shared" si="403"/>
        <v>287687084285.59143</v>
      </c>
      <c r="CZ102" s="877">
        <f t="shared" si="404"/>
        <v>325360.21518524585</v>
      </c>
      <c r="DA102" s="874">
        <f t="shared" si="405"/>
        <v>637697253297.72803</v>
      </c>
      <c r="DB102" s="875">
        <f t="shared" si="406"/>
        <v>1595.0535302354619</v>
      </c>
      <c r="DC102" s="878">
        <f t="shared" si="407"/>
        <v>1674.9464697645381</v>
      </c>
      <c r="DD102" s="876">
        <f t="shared" si="266"/>
        <v>399796772.46543008</v>
      </c>
      <c r="DE102" s="876">
        <f t="shared" si="267"/>
        <v>380726945.4929952</v>
      </c>
      <c r="DF102" s="1136">
        <f t="shared" si="408"/>
        <v>203777621777.84467</v>
      </c>
      <c r="DG102" s="1136">
        <f t="shared" si="409"/>
        <v>287687084285.59143</v>
      </c>
      <c r="DH102" s="877">
        <f t="shared" si="410"/>
        <v>512275.23070812179</v>
      </c>
      <c r="DI102" s="879">
        <f t="shared" si="411"/>
        <v>759917387621.1991</v>
      </c>
      <c r="DJ102" s="878">
        <f t="shared" si="412"/>
        <v>625.57907741392819</v>
      </c>
      <c r="DK102" s="877">
        <f t="shared" si="413"/>
        <v>2644.4209225860718</v>
      </c>
      <c r="DL102" s="876">
        <f t="shared" si="268"/>
        <v>1214742332.4363885</v>
      </c>
      <c r="DM102" s="876">
        <f t="shared" si="269"/>
        <v>287366274.07941139</v>
      </c>
      <c r="DN102" s="7">
        <f t="shared" si="414"/>
        <v>798070456946.2124</v>
      </c>
      <c r="DO102" s="1136">
        <f t="shared" si="415"/>
        <v>292962021310.45001</v>
      </c>
      <c r="DP102" s="877">
        <f t="shared" si="416"/>
        <v>348503.26809000311</v>
      </c>
      <c r="DQ102" s="879">
        <f t="shared" si="417"/>
        <v>630279267595.50842</v>
      </c>
      <c r="DR102" s="877">
        <f t="shared" si="418"/>
        <v>968.89972978988681</v>
      </c>
      <c r="DS102" s="877">
        <f t="shared" si="419"/>
        <v>2301.1002702101132</v>
      </c>
      <c r="DT102" s="876">
        <f t="shared" si="270"/>
        <v>650510314.13971937</v>
      </c>
      <c r="DU102" s="876">
        <f t="shared" si="271"/>
        <v>273903434.698201</v>
      </c>
      <c r="DV102" s="1136">
        <f t="shared" si="420"/>
        <v>392700730307.48975</v>
      </c>
      <c r="DW102" s="1136">
        <f t="shared" si="421"/>
        <v>292962021310.45001</v>
      </c>
      <c r="DX102" s="880">
        <f t="shared" si="422"/>
        <v>455930.01999788801</v>
      </c>
      <c r="DY102" s="874">
        <f t="shared" si="423"/>
        <v>851880024989.76282</v>
      </c>
      <c r="DZ102" s="873">
        <f t="shared" si="424"/>
        <v>1892.4928954468974</v>
      </c>
      <c r="EA102" s="880">
        <f t="shared" si="425"/>
        <v>1377.5071045531026</v>
      </c>
      <c r="EB102" s="876">
        <f t="shared" si="272"/>
        <v>450136445.44678622</v>
      </c>
      <c r="EC102" s="876">
        <f t="shared" si="273"/>
        <v>618421510.98460853</v>
      </c>
      <c r="ED102" s="1136">
        <f t="shared" si="426"/>
        <v>798070456946.2124</v>
      </c>
      <c r="EE102" s="1136">
        <f t="shared" si="427"/>
        <v>292962021310.45001</v>
      </c>
      <c r="EF102" s="880">
        <f t="shared" si="428"/>
        <v>329721.53118659189</v>
      </c>
      <c r="EG102" s="874">
        <f t="shared" si="429"/>
        <v>650354433218.04102</v>
      </c>
      <c r="EH102" s="873">
        <f t="shared" si="430"/>
        <v>1572.4074986459461</v>
      </c>
      <c r="EI102" s="880">
        <f t="shared" si="431"/>
        <v>1697.5925013540539</v>
      </c>
      <c r="EJ102" s="876">
        <f t="shared" si="274"/>
        <v>413604255.7530942</v>
      </c>
      <c r="EK102" s="876">
        <f t="shared" si="275"/>
        <v>383103973.83311814</v>
      </c>
      <c r="EL102" s="1136">
        <f t="shared" si="337"/>
        <v>392700730307.48975</v>
      </c>
      <c r="EM102" s="1136">
        <f t="shared" si="338"/>
        <v>292962021310.45001</v>
      </c>
      <c r="EN102" s="876"/>
      <c r="EO102" s="876"/>
    </row>
    <row r="103" spans="1:145" s="871" customFormat="1">
      <c r="A103" s="871">
        <v>120</v>
      </c>
      <c r="B103" s="871" t="str">
        <f t="shared" ref="B103" si="435">LEFT(B101,3)+1&amp;"i"</f>
        <v>220i</v>
      </c>
      <c r="C103" s="871">
        <v>81.900000000000006</v>
      </c>
      <c r="D103" s="871">
        <v>0</v>
      </c>
      <c r="E103" s="871" t="s">
        <v>2114</v>
      </c>
      <c r="F103" s="26">
        <v>1</v>
      </c>
      <c r="G103" s="136">
        <v>2900</v>
      </c>
      <c r="H103" s="136">
        <v>40</v>
      </c>
      <c r="I103" s="28">
        <v>250</v>
      </c>
      <c r="J103" s="26">
        <v>1840</v>
      </c>
      <c r="K103" s="136">
        <v>30</v>
      </c>
      <c r="L103" s="28">
        <v>120</v>
      </c>
      <c r="M103" s="26">
        <v>3200</v>
      </c>
      <c r="N103" s="28">
        <v>14</v>
      </c>
      <c r="O103" s="397">
        <v>600</v>
      </c>
      <c r="P103" s="26">
        <v>290</v>
      </c>
      <c r="Q103" s="397">
        <v>5450</v>
      </c>
      <c r="R103" s="169">
        <v>0</v>
      </c>
      <c r="S103" s="210">
        <v>0</v>
      </c>
      <c r="T103" s="210">
        <v>1150</v>
      </c>
      <c r="U103" s="210">
        <v>2400</v>
      </c>
      <c r="V103" s="872">
        <v>3800</v>
      </c>
      <c r="W103" s="210">
        <v>19</v>
      </c>
      <c r="X103" s="210">
        <v>200</v>
      </c>
      <c r="Y103" s="210">
        <v>50</v>
      </c>
      <c r="Z103" s="210">
        <v>16</v>
      </c>
      <c r="AA103" s="210">
        <v>200</v>
      </c>
      <c r="AB103" s="872">
        <v>40</v>
      </c>
      <c r="AC103" s="881">
        <f t="shared" si="369"/>
        <v>6031.8578948924023</v>
      </c>
      <c r="AD103" s="397">
        <v>2</v>
      </c>
      <c r="AE103" s="210">
        <v>160</v>
      </c>
      <c r="AF103" s="210">
        <v>16</v>
      </c>
      <c r="AG103" s="397">
        <v>0</v>
      </c>
      <c r="AH103" s="210">
        <v>0</v>
      </c>
      <c r="AI103" s="210">
        <v>0</v>
      </c>
      <c r="AJ103" s="397">
        <v>2</v>
      </c>
      <c r="AK103" s="210">
        <v>2500</v>
      </c>
      <c r="AL103" s="210">
        <v>5000</v>
      </c>
      <c r="AM103" s="1143" t="s">
        <v>2323</v>
      </c>
      <c r="AN103" s="210">
        <v>0</v>
      </c>
      <c r="AO103" s="1143" t="s">
        <v>2323</v>
      </c>
      <c r="AP103" s="1143" t="s">
        <v>2323</v>
      </c>
      <c r="AQ103" s="1143"/>
      <c r="AR103" s="1143"/>
      <c r="AS103" s="1143"/>
      <c r="AT103" s="1143"/>
      <c r="AU103" s="1143"/>
      <c r="AV103" s="1111"/>
      <c r="AW103" s="1111"/>
      <c r="AX103" s="1111"/>
      <c r="AY103" s="1111"/>
      <c r="AZ103" s="1108">
        <v>8</v>
      </c>
      <c r="BA103" s="1108">
        <v>6</v>
      </c>
      <c r="BB103" s="1111"/>
      <c r="BC103" s="1168"/>
      <c r="BD103" s="210">
        <f>INDEX(Spec!$B$12:$P$58,MATCH(AO103,Spec!$A$12:$A$58,0),6)*100</f>
        <v>0</v>
      </c>
      <c r="BE103" s="210">
        <f>INDEX(Spec!$B$12:$P$58,MATCH(AP103,Spec!$A$12:$A$58,0),6)*100</f>
        <v>0</v>
      </c>
      <c r="BF103" s="881">
        <f t="shared" si="371"/>
        <v>0</v>
      </c>
      <c r="BG103" s="881">
        <f t="shared" si="372"/>
        <v>47.243485714285718</v>
      </c>
      <c r="BH103" s="881"/>
      <c r="BI103" s="13" cm="1">
        <f t="array" ref="BI103">INDEX(Info!$AD$4:$AH$15,MATCH(Info!$I$13,Info!$AC$4:$AC$15,0),IF(H103&lt;=16,1,IF(H103&lt;=40,2,IF(H103&lt;=75,3,IF(H103&lt;=100,4,5)))))</f>
        <v>380</v>
      </c>
      <c r="BJ103" s="13" cm="1">
        <f t="array" ref="BJ103">INDEX(Info!$AD$4:$AH$15,MATCH(Info!$I$13,Info!$AC$4:$AC$15,0),IF(K103&lt;=16,1,IF(K103&lt;=40,2,IF(K103&lt;=75,3,IF(K103&lt;=100,4,5)))))</f>
        <v>380</v>
      </c>
      <c r="BK103" s="13" cm="1">
        <f t="array" ref="BK103">INDEX(Info!$AD$4:$AH$15,MATCH(Info!$I$14,Info!$AC$4:$AC$15,0),IF(N103&lt;=16,1,IF(N103&lt;=40,2,IF(N103&lt;=75,3,IF(N103&lt;=100,4,5)))))</f>
        <v>355</v>
      </c>
      <c r="BL103" s="13">
        <f>IF(Stress!C932="Positive",MAX(MIN(0.7*BI103,BK103),0.5*BI103),MAX(MIN(0.7*BJ103,BK103),0.5*BJ103))</f>
        <v>266</v>
      </c>
      <c r="BM103" s="13" cm="1">
        <f t="array" ref="BM103">INDEX(Info!$AD$4:$AH$15,MATCH(Info!$I$13,Info!$AC$4:$AC$15,0),IF(AI103&lt;=16,1,IF(AI103&lt;=40,2,IF(AI103&lt;=75,3,IF(AI103&lt;=100,4,5)))))</f>
        <v>380</v>
      </c>
      <c r="BN103" s="13" cm="1">
        <f t="array" ref="BN103">INDEX(Info!$AD$4:$AH$15,MATCH(Info!$I$13,Info!$AC$4:$AC$15,0),IF(AF103&lt;=16,1,IF(AF103&lt;=40,2,IF(AF103&lt;=75,3,IF(AF103&lt;=100,4,5)))))</f>
        <v>380</v>
      </c>
      <c r="BO103" s="13"/>
      <c r="BP103" s="873">
        <f t="shared" si="373"/>
        <v>0.125</v>
      </c>
      <c r="BQ103" s="873">
        <f t="shared" si="374"/>
        <v>3224.9030993194197</v>
      </c>
      <c r="BR103" s="873">
        <f t="shared" si="375"/>
        <v>3520</v>
      </c>
      <c r="BS103" s="873"/>
      <c r="BT103" s="871">
        <f t="shared" si="376"/>
        <v>1005000</v>
      </c>
      <c r="BU103" s="136">
        <f t="shared" si="377"/>
        <v>30129850746.268658</v>
      </c>
      <c r="BV103" s="871">
        <f t="shared" si="378"/>
        <v>1580500</v>
      </c>
      <c r="BW103" s="871">
        <f t="shared" si="379"/>
        <v>11076670833.333334</v>
      </c>
      <c r="BX103" s="871">
        <f t="shared" si="380"/>
        <v>0</v>
      </c>
      <c r="BY103" s="871">
        <f t="shared" si="381"/>
        <v>0</v>
      </c>
      <c r="BZ103" s="871">
        <f t="shared" si="382"/>
        <v>7655.2758986349281</v>
      </c>
      <c r="CA103" s="871">
        <f t="shared" si="383"/>
        <v>172722.16246295057</v>
      </c>
      <c r="CB103" s="871">
        <f t="shared" si="384"/>
        <v>5428.6721054031623</v>
      </c>
      <c r="CC103" s="871">
        <f t="shared" si="385"/>
        <v>86858.753686450596</v>
      </c>
      <c r="CE103" s="1137">
        <f t="shared" si="386"/>
        <v>602730862.02503479</v>
      </c>
      <c r="CF103" s="1136">
        <f t="shared" si="387"/>
        <v>364198115.55555564</v>
      </c>
      <c r="CG103" s="1136">
        <f t="shared" si="388"/>
        <v>235442187500</v>
      </c>
      <c r="CH103" s="172">
        <f t="shared" si="389"/>
        <v>3912066770833.333</v>
      </c>
      <c r="CJ103" s="136">
        <f t="shared" si="390"/>
        <v>266617.28678094374</v>
      </c>
      <c r="CK103" s="7">
        <f t="shared" si="391"/>
        <v>506265479532.14233</v>
      </c>
      <c r="CL103" s="875">
        <f t="shared" si="392"/>
        <v>1298.725804697134</v>
      </c>
      <c r="CM103" s="6">
        <f t="shared" si="393"/>
        <v>1971.274195302866</v>
      </c>
      <c r="CN103" s="876">
        <f t="shared" si="264"/>
        <v>389817063.54114115</v>
      </c>
      <c r="CO103" s="876">
        <f t="shared" si="265"/>
        <v>256821441.04481611</v>
      </c>
      <c r="CP103" s="1137">
        <f t="shared" si="394"/>
        <v>190015866988.12848</v>
      </c>
      <c r="CQ103" s="1136">
        <f t="shared" si="395"/>
        <v>287687084285.59143</v>
      </c>
      <c r="CR103" s="877">
        <f t="shared" si="396"/>
        <v>442846.07199384994</v>
      </c>
      <c r="CS103" s="874">
        <f t="shared" si="397"/>
        <v>797356979103.35107</v>
      </c>
      <c r="CT103" s="875">
        <f t="shared" si="398"/>
        <v>1951.8641657020185</v>
      </c>
      <c r="CU103" s="878">
        <f t="shared" si="399"/>
        <v>1318.1358342979815</v>
      </c>
      <c r="CV103" s="876">
        <f t="shared" si="400"/>
        <v>408510486.08526975</v>
      </c>
      <c r="CW103" s="876">
        <f t="shared" si="401"/>
        <v>604912603.35700595</v>
      </c>
      <c r="CX103" s="1136">
        <f t="shared" si="402"/>
        <v>231301131357.27704</v>
      </c>
      <c r="CY103" s="1136">
        <f t="shared" si="403"/>
        <v>287687084285.59143</v>
      </c>
      <c r="CZ103" s="877">
        <f t="shared" si="404"/>
        <v>325360.21518524585</v>
      </c>
      <c r="DA103" s="874">
        <f t="shared" si="405"/>
        <v>637697253297.72803</v>
      </c>
      <c r="DB103" s="875">
        <f t="shared" si="406"/>
        <v>1595.0535302354619</v>
      </c>
      <c r="DC103" s="878">
        <f t="shared" si="407"/>
        <v>1674.9464697645381</v>
      </c>
      <c r="DD103" s="876">
        <f t="shared" si="266"/>
        <v>399796772.46543008</v>
      </c>
      <c r="DE103" s="876">
        <f t="shared" si="267"/>
        <v>380726945.4929952</v>
      </c>
      <c r="DF103" s="1136">
        <f t="shared" si="408"/>
        <v>203777621777.84467</v>
      </c>
      <c r="DG103" s="1136">
        <f t="shared" si="409"/>
        <v>287687084285.59143</v>
      </c>
      <c r="DH103" s="877">
        <f t="shared" si="410"/>
        <v>512275.23070812179</v>
      </c>
      <c r="DI103" s="879">
        <f t="shared" si="411"/>
        <v>759917387621.1991</v>
      </c>
      <c r="DJ103" s="878">
        <f t="shared" si="412"/>
        <v>625.57907741392819</v>
      </c>
      <c r="DK103" s="877">
        <f t="shared" si="413"/>
        <v>2644.4209225860718</v>
      </c>
      <c r="DL103" s="876">
        <f t="shared" si="268"/>
        <v>1214742332.4363885</v>
      </c>
      <c r="DM103" s="876">
        <f t="shared" si="269"/>
        <v>287366274.07941139</v>
      </c>
      <c r="DN103" s="7">
        <f t="shared" si="414"/>
        <v>798070456946.2124</v>
      </c>
      <c r="DO103" s="1136">
        <f t="shared" si="415"/>
        <v>292962021310.45001</v>
      </c>
      <c r="DP103" s="877">
        <f t="shared" si="416"/>
        <v>348503.26809000311</v>
      </c>
      <c r="DQ103" s="879">
        <f t="shared" si="417"/>
        <v>630279267595.50842</v>
      </c>
      <c r="DR103" s="877">
        <f t="shared" si="418"/>
        <v>968.89972978988681</v>
      </c>
      <c r="DS103" s="877">
        <f t="shared" si="419"/>
        <v>2301.1002702101132</v>
      </c>
      <c r="DT103" s="876">
        <f t="shared" si="270"/>
        <v>650510314.13971937</v>
      </c>
      <c r="DU103" s="876">
        <f t="shared" si="271"/>
        <v>273903434.698201</v>
      </c>
      <c r="DV103" s="1136">
        <f t="shared" si="420"/>
        <v>392700730307.48975</v>
      </c>
      <c r="DW103" s="1136">
        <f t="shared" si="421"/>
        <v>292962021310.45001</v>
      </c>
      <c r="DX103" s="880">
        <f t="shared" si="422"/>
        <v>455930.01999788801</v>
      </c>
      <c r="DY103" s="874">
        <f t="shared" si="423"/>
        <v>851880024989.76282</v>
      </c>
      <c r="DZ103" s="873">
        <f t="shared" si="424"/>
        <v>1892.4928954468974</v>
      </c>
      <c r="EA103" s="880">
        <f t="shared" si="425"/>
        <v>1377.5071045531026</v>
      </c>
      <c r="EB103" s="876">
        <f t="shared" si="272"/>
        <v>450136445.44678622</v>
      </c>
      <c r="EC103" s="876">
        <f t="shared" si="273"/>
        <v>618421510.98460853</v>
      </c>
      <c r="ED103" s="1136">
        <f t="shared" si="426"/>
        <v>798070456946.2124</v>
      </c>
      <c r="EE103" s="1136">
        <f t="shared" si="427"/>
        <v>292962021310.45001</v>
      </c>
      <c r="EF103" s="880">
        <f t="shared" si="428"/>
        <v>329721.53118659189</v>
      </c>
      <c r="EG103" s="874">
        <f t="shared" si="429"/>
        <v>650354433218.04102</v>
      </c>
      <c r="EH103" s="873">
        <f t="shared" si="430"/>
        <v>1572.4074986459461</v>
      </c>
      <c r="EI103" s="880">
        <f t="shared" si="431"/>
        <v>1697.5925013540539</v>
      </c>
      <c r="EJ103" s="876">
        <f t="shared" si="274"/>
        <v>413604255.7530942</v>
      </c>
      <c r="EK103" s="876">
        <f t="shared" si="275"/>
        <v>383103973.83311814</v>
      </c>
      <c r="EL103" s="1136">
        <f t="shared" si="337"/>
        <v>392700730307.48975</v>
      </c>
      <c r="EM103" s="1136">
        <f t="shared" si="338"/>
        <v>292962021310.45001</v>
      </c>
      <c r="EN103" s="876"/>
      <c r="EO103" s="876"/>
    </row>
    <row r="104" spans="1:145" s="871" customFormat="1">
      <c r="B104" s="871" t="str">
        <f t="shared" ref="B104" si="436">LEFT(B102,3)+1&amp;"j"</f>
        <v>220j</v>
      </c>
      <c r="C104" s="871">
        <v>83.4</v>
      </c>
      <c r="D104" s="871">
        <v>0</v>
      </c>
      <c r="E104" s="871" t="s">
        <v>2114</v>
      </c>
      <c r="F104" s="26">
        <v>1</v>
      </c>
      <c r="G104" s="136">
        <v>2900</v>
      </c>
      <c r="H104" s="136">
        <v>40</v>
      </c>
      <c r="I104" s="28">
        <v>250</v>
      </c>
      <c r="J104" s="26">
        <v>1840</v>
      </c>
      <c r="K104" s="136">
        <v>30</v>
      </c>
      <c r="L104" s="28">
        <v>120</v>
      </c>
      <c r="M104" s="26">
        <v>3200</v>
      </c>
      <c r="N104" s="28">
        <v>14</v>
      </c>
      <c r="O104" s="397">
        <v>600</v>
      </c>
      <c r="P104" s="26">
        <v>290</v>
      </c>
      <c r="Q104" s="397">
        <v>5450</v>
      </c>
      <c r="R104" s="169">
        <v>0</v>
      </c>
      <c r="S104" s="210">
        <v>0</v>
      </c>
      <c r="T104" s="210">
        <v>1150</v>
      </c>
      <c r="U104" s="210">
        <v>2400</v>
      </c>
      <c r="V104" s="872">
        <v>3800</v>
      </c>
      <c r="W104" s="210">
        <v>19</v>
      </c>
      <c r="X104" s="210">
        <v>200</v>
      </c>
      <c r="Y104" s="210">
        <v>50</v>
      </c>
      <c r="Z104" s="210">
        <v>16</v>
      </c>
      <c r="AA104" s="210">
        <v>200</v>
      </c>
      <c r="AB104" s="872">
        <v>40</v>
      </c>
      <c r="AC104" s="881">
        <f t="shared" si="369"/>
        <v>6031.8578948924023</v>
      </c>
      <c r="AD104" s="397">
        <v>2</v>
      </c>
      <c r="AE104" s="210">
        <v>160</v>
      </c>
      <c r="AF104" s="210">
        <v>16</v>
      </c>
      <c r="AG104" s="397">
        <v>0</v>
      </c>
      <c r="AH104" s="210">
        <v>0</v>
      </c>
      <c r="AI104" s="210">
        <v>0</v>
      </c>
      <c r="AJ104" s="397">
        <v>2</v>
      </c>
      <c r="AK104" s="210">
        <v>2500</v>
      </c>
      <c r="AL104" s="210">
        <v>5000</v>
      </c>
      <c r="AM104" s="1143" t="s">
        <v>2323</v>
      </c>
      <c r="AN104" s="210">
        <v>0</v>
      </c>
      <c r="AO104" s="1143" t="s">
        <v>2323</v>
      </c>
      <c r="AP104" s="1143" t="s">
        <v>2323</v>
      </c>
      <c r="AQ104" s="1143"/>
      <c r="AR104" s="1143"/>
      <c r="AS104" s="1143"/>
      <c r="AT104" s="1143"/>
      <c r="AU104" s="1143"/>
      <c r="AV104" s="1111"/>
      <c r="AW104" s="1111"/>
      <c r="AX104" s="1111"/>
      <c r="AY104" s="1111"/>
      <c r="AZ104" s="1108">
        <v>8</v>
      </c>
      <c r="BA104" s="1108">
        <v>6</v>
      </c>
      <c r="BB104" s="1111"/>
      <c r="BC104" s="1168"/>
      <c r="BD104" s="210">
        <f>INDEX(Spec!$B$12:$P$58,MATCH(AO104,Spec!$A$12:$A$58,0),6)*100</f>
        <v>0</v>
      </c>
      <c r="BE104" s="210">
        <f>INDEX(Spec!$B$12:$P$58,MATCH(AP104,Spec!$A$12:$A$58,0),6)*100</f>
        <v>0</v>
      </c>
      <c r="BF104" s="881">
        <f t="shared" si="371"/>
        <v>0</v>
      </c>
      <c r="BG104" s="881">
        <f t="shared" si="372"/>
        <v>47.243485714285718</v>
      </c>
      <c r="BH104" s="881"/>
      <c r="BI104" s="13" cm="1">
        <f t="array" ref="BI104">INDEX(Info!$AD$4:$AH$15,MATCH(Info!$I$13,Info!$AC$4:$AC$15,0),IF(H104&lt;=16,1,IF(H104&lt;=40,2,IF(H104&lt;=75,3,IF(H104&lt;=100,4,5)))))</f>
        <v>380</v>
      </c>
      <c r="BJ104" s="13" cm="1">
        <f t="array" ref="BJ104">INDEX(Info!$AD$4:$AH$15,MATCH(Info!$I$13,Info!$AC$4:$AC$15,0),IF(K104&lt;=16,1,IF(K104&lt;=40,2,IF(K104&lt;=75,3,IF(K104&lt;=100,4,5)))))</f>
        <v>380</v>
      </c>
      <c r="BK104" s="13" cm="1">
        <f t="array" ref="BK104">INDEX(Info!$AD$4:$AH$15,MATCH(Info!$I$14,Info!$AC$4:$AC$15,0),IF(N104&lt;=16,1,IF(N104&lt;=40,2,IF(N104&lt;=75,3,IF(N104&lt;=100,4,5)))))</f>
        <v>355</v>
      </c>
      <c r="BL104" s="13">
        <f>IF(Stress!C933="Positive",MAX(MIN(0.7*BI104,BK104),0.5*BI104),MAX(MIN(0.7*BJ104,BK104),0.5*BJ104))</f>
        <v>266</v>
      </c>
      <c r="BM104" s="13" cm="1">
        <f t="array" ref="BM104">INDEX(Info!$AD$4:$AH$15,MATCH(Info!$I$13,Info!$AC$4:$AC$15,0),IF(AI104&lt;=16,1,IF(AI104&lt;=40,2,IF(AI104&lt;=75,3,IF(AI104&lt;=100,4,5)))))</f>
        <v>380</v>
      </c>
      <c r="BN104" s="13" cm="1">
        <f t="array" ref="BN104">INDEX(Info!$AD$4:$AH$15,MATCH(Info!$I$13,Info!$AC$4:$AC$15,0),IF(AF104&lt;=16,1,IF(AF104&lt;=40,2,IF(AF104&lt;=75,3,IF(AF104&lt;=100,4,5)))))</f>
        <v>380</v>
      </c>
      <c r="BO104" s="13"/>
      <c r="BP104" s="873">
        <f t="shared" si="373"/>
        <v>0.125</v>
      </c>
      <c r="BQ104" s="873">
        <f t="shared" si="374"/>
        <v>3224.9030993194197</v>
      </c>
      <c r="BR104" s="873">
        <f t="shared" si="375"/>
        <v>3520</v>
      </c>
      <c r="BS104" s="873"/>
      <c r="BT104" s="871">
        <f t="shared" si="376"/>
        <v>1005000</v>
      </c>
      <c r="BU104" s="136">
        <f t="shared" si="377"/>
        <v>30129850746.268658</v>
      </c>
      <c r="BV104" s="871">
        <f t="shared" si="378"/>
        <v>1580500</v>
      </c>
      <c r="BW104" s="871">
        <f t="shared" si="379"/>
        <v>11076670833.333334</v>
      </c>
      <c r="BX104" s="871">
        <f t="shared" si="380"/>
        <v>0</v>
      </c>
      <c r="BY104" s="871">
        <f t="shared" si="381"/>
        <v>0</v>
      </c>
      <c r="BZ104" s="871">
        <f t="shared" si="382"/>
        <v>7655.2758986349281</v>
      </c>
      <c r="CA104" s="871">
        <f t="shared" si="383"/>
        <v>172722.16246295057</v>
      </c>
      <c r="CB104" s="871">
        <f t="shared" si="384"/>
        <v>5428.6721054031623</v>
      </c>
      <c r="CC104" s="871">
        <f t="shared" si="385"/>
        <v>86858.753686450596</v>
      </c>
      <c r="CE104" s="1137">
        <f t="shared" si="386"/>
        <v>602730862.02503479</v>
      </c>
      <c r="CF104" s="1136">
        <f t="shared" si="387"/>
        <v>364198115.55555564</v>
      </c>
      <c r="CG104" s="1136">
        <f t="shared" si="388"/>
        <v>235442187500</v>
      </c>
      <c r="CH104" s="172">
        <f t="shared" si="389"/>
        <v>3912066770833.333</v>
      </c>
      <c r="CJ104" s="136">
        <f t="shared" si="390"/>
        <v>266617.28678094374</v>
      </c>
      <c r="CK104" s="7">
        <f t="shared" si="391"/>
        <v>506265479532.14233</v>
      </c>
      <c r="CL104" s="875">
        <f t="shared" si="392"/>
        <v>1298.725804697134</v>
      </c>
      <c r="CM104" s="6">
        <f t="shared" si="393"/>
        <v>1971.274195302866</v>
      </c>
      <c r="CN104" s="876">
        <f t="shared" si="264"/>
        <v>389817063.54114115</v>
      </c>
      <c r="CO104" s="876">
        <f t="shared" si="265"/>
        <v>256821441.04481611</v>
      </c>
      <c r="CP104" s="1137">
        <f t="shared" si="394"/>
        <v>190015866988.12848</v>
      </c>
      <c r="CQ104" s="1136">
        <f t="shared" si="395"/>
        <v>287687084285.59143</v>
      </c>
      <c r="CR104" s="877">
        <f t="shared" si="396"/>
        <v>442846.07199384994</v>
      </c>
      <c r="CS104" s="874">
        <f t="shared" si="397"/>
        <v>797356979103.35107</v>
      </c>
      <c r="CT104" s="875">
        <f t="shared" si="398"/>
        <v>1951.8641657020185</v>
      </c>
      <c r="CU104" s="878">
        <f t="shared" si="399"/>
        <v>1318.1358342979815</v>
      </c>
      <c r="CV104" s="876">
        <f t="shared" si="400"/>
        <v>408510486.08526975</v>
      </c>
      <c r="CW104" s="876">
        <f t="shared" si="401"/>
        <v>604912603.35700595</v>
      </c>
      <c r="CX104" s="1136">
        <f t="shared" si="402"/>
        <v>231301131357.27704</v>
      </c>
      <c r="CY104" s="1136">
        <f t="shared" si="403"/>
        <v>287687084285.59143</v>
      </c>
      <c r="CZ104" s="877">
        <f t="shared" si="404"/>
        <v>325360.21518524585</v>
      </c>
      <c r="DA104" s="874">
        <f t="shared" si="405"/>
        <v>637697253297.72803</v>
      </c>
      <c r="DB104" s="875">
        <f t="shared" si="406"/>
        <v>1595.0535302354619</v>
      </c>
      <c r="DC104" s="878">
        <f t="shared" si="407"/>
        <v>1674.9464697645381</v>
      </c>
      <c r="DD104" s="876">
        <f t="shared" si="266"/>
        <v>399796772.46543008</v>
      </c>
      <c r="DE104" s="876">
        <f t="shared" si="267"/>
        <v>380726945.4929952</v>
      </c>
      <c r="DF104" s="1136">
        <f t="shared" si="408"/>
        <v>203777621777.84467</v>
      </c>
      <c r="DG104" s="1136">
        <f t="shared" si="409"/>
        <v>287687084285.59143</v>
      </c>
      <c r="DH104" s="877">
        <f t="shared" si="410"/>
        <v>512275.23070812179</v>
      </c>
      <c r="DI104" s="879">
        <f t="shared" si="411"/>
        <v>759917387621.1991</v>
      </c>
      <c r="DJ104" s="878">
        <f t="shared" si="412"/>
        <v>625.57907741392819</v>
      </c>
      <c r="DK104" s="877">
        <f t="shared" si="413"/>
        <v>2644.4209225860718</v>
      </c>
      <c r="DL104" s="876">
        <f t="shared" si="268"/>
        <v>1214742332.4363885</v>
      </c>
      <c r="DM104" s="876">
        <f t="shared" si="269"/>
        <v>287366274.07941139</v>
      </c>
      <c r="DN104" s="7">
        <f t="shared" si="414"/>
        <v>798070456946.2124</v>
      </c>
      <c r="DO104" s="1136">
        <f t="shared" si="415"/>
        <v>292962021310.45001</v>
      </c>
      <c r="DP104" s="877">
        <f t="shared" si="416"/>
        <v>348503.26809000311</v>
      </c>
      <c r="DQ104" s="879">
        <f t="shared" si="417"/>
        <v>630279267595.50842</v>
      </c>
      <c r="DR104" s="877">
        <f t="shared" si="418"/>
        <v>968.89972978988681</v>
      </c>
      <c r="DS104" s="877">
        <f t="shared" si="419"/>
        <v>2301.1002702101132</v>
      </c>
      <c r="DT104" s="876">
        <f t="shared" si="270"/>
        <v>650510314.13971937</v>
      </c>
      <c r="DU104" s="876">
        <f t="shared" si="271"/>
        <v>273903434.698201</v>
      </c>
      <c r="DV104" s="1136">
        <f t="shared" si="420"/>
        <v>392700730307.48975</v>
      </c>
      <c r="DW104" s="1136">
        <f t="shared" si="421"/>
        <v>292962021310.45001</v>
      </c>
      <c r="DX104" s="880">
        <f t="shared" si="422"/>
        <v>455930.01999788801</v>
      </c>
      <c r="DY104" s="874">
        <f t="shared" si="423"/>
        <v>851880024989.76282</v>
      </c>
      <c r="DZ104" s="873">
        <f t="shared" si="424"/>
        <v>1892.4928954468974</v>
      </c>
      <c r="EA104" s="880">
        <f t="shared" si="425"/>
        <v>1377.5071045531026</v>
      </c>
      <c r="EB104" s="876">
        <f t="shared" si="272"/>
        <v>450136445.44678622</v>
      </c>
      <c r="EC104" s="876">
        <f t="shared" si="273"/>
        <v>618421510.98460853</v>
      </c>
      <c r="ED104" s="1136">
        <f t="shared" si="426"/>
        <v>798070456946.2124</v>
      </c>
      <c r="EE104" s="1136">
        <f t="shared" si="427"/>
        <v>292962021310.45001</v>
      </c>
      <c r="EF104" s="880">
        <f t="shared" si="428"/>
        <v>329721.53118659189</v>
      </c>
      <c r="EG104" s="874">
        <f t="shared" si="429"/>
        <v>650354433218.04102</v>
      </c>
      <c r="EH104" s="873">
        <f t="shared" si="430"/>
        <v>1572.4074986459461</v>
      </c>
      <c r="EI104" s="880">
        <f t="shared" si="431"/>
        <v>1697.5925013540539</v>
      </c>
      <c r="EJ104" s="876">
        <f t="shared" si="274"/>
        <v>413604255.7530942</v>
      </c>
      <c r="EK104" s="876">
        <f t="shared" si="275"/>
        <v>383103973.83311814</v>
      </c>
      <c r="EL104" s="1136">
        <f t="shared" si="337"/>
        <v>392700730307.48975</v>
      </c>
      <c r="EM104" s="1136">
        <f t="shared" si="338"/>
        <v>292962021310.45001</v>
      </c>
      <c r="EN104" s="876"/>
      <c r="EO104" s="876"/>
    </row>
    <row r="105" spans="1:145" s="871" customFormat="1">
      <c r="A105" s="871">
        <v>121</v>
      </c>
      <c r="B105" s="871" t="str">
        <f t="shared" ref="B105" si="437">LEFT(B103,3)+1&amp;"i"</f>
        <v>221i</v>
      </c>
      <c r="C105" s="871">
        <v>83.4</v>
      </c>
      <c r="D105" s="871">
        <v>0</v>
      </c>
      <c r="E105" s="871" t="s">
        <v>2115</v>
      </c>
      <c r="F105" s="26">
        <v>1</v>
      </c>
      <c r="G105" s="136">
        <v>2900</v>
      </c>
      <c r="H105" s="136">
        <v>40</v>
      </c>
      <c r="I105" s="28">
        <v>250</v>
      </c>
      <c r="J105" s="26">
        <v>1864</v>
      </c>
      <c r="K105" s="136">
        <v>30</v>
      </c>
      <c r="L105" s="28">
        <v>120</v>
      </c>
      <c r="M105" s="26">
        <v>3103</v>
      </c>
      <c r="N105" s="28">
        <v>14</v>
      </c>
      <c r="O105" s="397">
        <v>512</v>
      </c>
      <c r="P105" s="26">
        <v>290</v>
      </c>
      <c r="Q105" s="397">
        <v>5450</v>
      </c>
      <c r="R105" s="169">
        <v>0</v>
      </c>
      <c r="S105" s="210">
        <v>0</v>
      </c>
      <c r="T105" s="210">
        <v>1150</v>
      </c>
      <c r="U105" s="210">
        <v>2400</v>
      </c>
      <c r="V105" s="872">
        <v>3800</v>
      </c>
      <c r="W105" s="210">
        <v>19</v>
      </c>
      <c r="X105" s="210">
        <v>200</v>
      </c>
      <c r="Y105" s="210">
        <v>50</v>
      </c>
      <c r="Z105" s="210">
        <v>16</v>
      </c>
      <c r="AA105" s="210">
        <v>200</v>
      </c>
      <c r="AB105" s="872">
        <v>40</v>
      </c>
      <c r="AC105" s="881">
        <f t="shared" si="369"/>
        <v>6031.8578948924023</v>
      </c>
      <c r="AD105" s="397">
        <v>2</v>
      </c>
      <c r="AE105" s="210">
        <v>160</v>
      </c>
      <c r="AF105" s="210">
        <v>16</v>
      </c>
      <c r="AG105" s="397">
        <v>0</v>
      </c>
      <c r="AH105" s="210">
        <v>0</v>
      </c>
      <c r="AI105" s="210">
        <v>0</v>
      </c>
      <c r="AJ105" s="397">
        <v>2</v>
      </c>
      <c r="AK105" s="210">
        <v>2500</v>
      </c>
      <c r="AL105" s="210">
        <v>5000</v>
      </c>
      <c r="AM105" s="1143" t="s">
        <v>2323</v>
      </c>
      <c r="AN105" s="210">
        <v>0</v>
      </c>
      <c r="AO105" s="1143" t="s">
        <v>2323</v>
      </c>
      <c r="AP105" s="1143" t="s">
        <v>2323</v>
      </c>
      <c r="AQ105" s="1143"/>
      <c r="AR105" s="1143"/>
      <c r="AS105" s="1143"/>
      <c r="AT105" s="1143"/>
      <c r="AU105" s="1143"/>
      <c r="AV105" s="1111"/>
      <c r="AW105" s="1111"/>
      <c r="AX105" s="1111"/>
      <c r="AY105" s="1111"/>
      <c r="AZ105" s="1108">
        <v>8</v>
      </c>
      <c r="BA105" s="1108">
        <v>6</v>
      </c>
      <c r="BB105" s="1111"/>
      <c r="BC105" s="1168"/>
      <c r="BD105" s="210">
        <f>INDEX(Spec!$B$12:$P$58,MATCH(AO105,Spec!$A$12:$A$58,0),6)*100</f>
        <v>0</v>
      </c>
      <c r="BE105" s="210">
        <f>INDEX(Spec!$B$12:$P$58,MATCH(AP105,Spec!$A$12:$A$58,0),6)*100</f>
        <v>0</v>
      </c>
      <c r="BF105" s="881">
        <f t="shared" si="371"/>
        <v>0</v>
      </c>
      <c r="BG105" s="881">
        <f t="shared" si="372"/>
        <v>47.243485714285718</v>
      </c>
      <c r="BH105" s="881"/>
      <c r="BI105" s="13" cm="1">
        <f t="array" ref="BI105">INDEX(Info!$AD$4:$AH$15,MATCH(Info!$I$13,Info!$AC$4:$AC$15,0),IF(H105&lt;=16,1,IF(H105&lt;=40,2,IF(H105&lt;=75,3,IF(H105&lt;=100,4,5)))))</f>
        <v>380</v>
      </c>
      <c r="BJ105" s="13" cm="1">
        <f t="array" ref="BJ105">INDEX(Info!$AD$4:$AH$15,MATCH(Info!$I$13,Info!$AC$4:$AC$15,0),IF(K105&lt;=16,1,IF(K105&lt;=40,2,IF(K105&lt;=75,3,IF(K105&lt;=100,4,5)))))</f>
        <v>380</v>
      </c>
      <c r="BK105" s="13" cm="1">
        <f t="array" ref="BK105">INDEX(Info!$AD$4:$AH$15,MATCH(Info!$I$14,Info!$AC$4:$AC$15,0),IF(N105&lt;=16,1,IF(N105&lt;=40,2,IF(N105&lt;=75,3,IF(N105&lt;=100,4,5)))))</f>
        <v>355</v>
      </c>
      <c r="BL105" s="13">
        <f>IF(Stress!C934="Positive",MAX(MIN(0.7*BI105,BK105),0.5*BI105),MAX(MIN(0.7*BJ105,BK105),0.5*BJ105))</f>
        <v>266</v>
      </c>
      <c r="BM105" s="13" cm="1">
        <f t="array" ref="BM105">INDEX(Info!$AD$4:$AH$15,MATCH(Info!$I$13,Info!$AC$4:$AC$15,0),IF(AI105&lt;=16,1,IF(AI105&lt;=40,2,IF(AI105&lt;=75,3,IF(AI105&lt;=100,4,5)))))</f>
        <v>380</v>
      </c>
      <c r="BN105" s="13" cm="1">
        <f t="array" ref="BN105">INDEX(Info!$AD$4:$AH$15,MATCH(Info!$I$13,Info!$AC$4:$AC$15,0),IF(AF105&lt;=16,1,IF(AF105&lt;=40,2,IF(AF105&lt;=75,3,IF(AF105&lt;=100,4,5)))))</f>
        <v>380</v>
      </c>
      <c r="BO105" s="13"/>
      <c r="BP105" s="873">
        <f t="shared" si="373"/>
        <v>0.1250402835965195</v>
      </c>
      <c r="BQ105" s="873">
        <f t="shared" si="374"/>
        <v>3127.1637309229591</v>
      </c>
      <c r="BR105" s="873">
        <f t="shared" si="375"/>
        <v>3423</v>
      </c>
      <c r="BS105" s="873"/>
      <c r="BT105" s="871">
        <f t="shared" si="376"/>
        <v>864266.56010312599</v>
      </c>
      <c r="BU105" s="136">
        <f t="shared" si="377"/>
        <v>18871138575.090694</v>
      </c>
      <c r="BV105" s="871">
        <f t="shared" si="378"/>
        <v>1580500</v>
      </c>
      <c r="BW105" s="871">
        <f t="shared" si="379"/>
        <v>11076670833.333334</v>
      </c>
      <c r="BX105" s="871">
        <f t="shared" si="380"/>
        <v>0</v>
      </c>
      <c r="BY105" s="871">
        <f t="shared" si="381"/>
        <v>0</v>
      </c>
      <c r="BZ105" s="871">
        <f t="shared" si="382"/>
        <v>7655.2758986349281</v>
      </c>
      <c r="CA105" s="871">
        <f t="shared" si="383"/>
        <v>172722.16246295057</v>
      </c>
      <c r="CB105" s="871">
        <f t="shared" si="384"/>
        <v>5428.6721054031623</v>
      </c>
      <c r="CC105" s="871">
        <f t="shared" si="385"/>
        <v>86858.753686450596</v>
      </c>
      <c r="CE105" s="1137">
        <f t="shared" si="386"/>
        <v>549964617.89726794</v>
      </c>
      <c r="CF105" s="1136">
        <f t="shared" si="387"/>
        <v>375202702.22222227</v>
      </c>
      <c r="CG105" s="1136">
        <f t="shared" si="388"/>
        <v>205516269595.85425</v>
      </c>
      <c r="CH105" s="172">
        <f t="shared" si="389"/>
        <v>3912066770833.333</v>
      </c>
      <c r="CJ105" s="136">
        <f t="shared" si="390"/>
        <v>264600.58446584287</v>
      </c>
      <c r="CK105" s="7">
        <f t="shared" si="391"/>
        <v>476361046724.83496</v>
      </c>
      <c r="CL105" s="875">
        <f t="shared" si="392"/>
        <v>1262.0931690364366</v>
      </c>
      <c r="CM105" s="6">
        <f t="shared" si="393"/>
        <v>1910.9068309635634</v>
      </c>
      <c r="CN105" s="876">
        <f t="shared" si="264"/>
        <v>377437306.85787624</v>
      </c>
      <c r="CO105" s="876">
        <f t="shared" si="265"/>
        <v>249285333.54220769</v>
      </c>
      <c r="CP105" s="1137">
        <f t="shared" si="394"/>
        <v>188824577667.32001</v>
      </c>
      <c r="CQ105" s="1136">
        <f t="shared" si="395"/>
        <v>280290269274.4538</v>
      </c>
      <c r="CR105" s="877">
        <f t="shared" si="396"/>
        <v>416151.47599530662</v>
      </c>
      <c r="CS105" s="874">
        <f t="shared" si="397"/>
        <v>734092210525.72168</v>
      </c>
      <c r="CT105" s="875">
        <f t="shared" si="398"/>
        <v>1853.8394275253072</v>
      </c>
      <c r="CU105" s="878">
        <f t="shared" si="399"/>
        <v>1319.1605724746928</v>
      </c>
      <c r="CV105" s="876">
        <f t="shared" si="400"/>
        <v>395984786.83003438</v>
      </c>
      <c r="CW105" s="876">
        <f t="shared" si="401"/>
        <v>556484347.57915318</v>
      </c>
      <c r="CX105" s="1136">
        <f t="shared" si="402"/>
        <v>224862271729.37524</v>
      </c>
      <c r="CY105" s="1136">
        <f t="shared" si="403"/>
        <v>280290269274.4538</v>
      </c>
      <c r="CZ105" s="877">
        <f t="shared" si="404"/>
        <v>315117.54830899747</v>
      </c>
      <c r="DA105" s="874">
        <f t="shared" si="405"/>
        <v>589462622312.31006</v>
      </c>
      <c r="DB105" s="875">
        <f t="shared" si="406"/>
        <v>1522.5844049856012</v>
      </c>
      <c r="DC105" s="878">
        <f t="shared" si="407"/>
        <v>1650.4155950143988</v>
      </c>
      <c r="DD105" s="876">
        <f t="shared" si="266"/>
        <v>387146105.25508732</v>
      </c>
      <c r="DE105" s="876">
        <f t="shared" si="267"/>
        <v>357160114.15122831</v>
      </c>
      <c r="DF105" s="1136">
        <f t="shared" si="408"/>
        <v>200837142354.67175</v>
      </c>
      <c r="DG105" s="1136">
        <f t="shared" si="409"/>
        <v>280290269274.4538</v>
      </c>
      <c r="DH105" s="877">
        <f t="shared" si="410"/>
        <v>510258.52839302097</v>
      </c>
      <c r="DI105" s="879">
        <f t="shared" si="411"/>
        <v>716165249859.62256</v>
      </c>
      <c r="DJ105" s="878">
        <f t="shared" si="412"/>
        <v>603.92230392606234</v>
      </c>
      <c r="DK105" s="877">
        <f t="shared" si="413"/>
        <v>2569.0776960739377</v>
      </c>
      <c r="DL105" s="876">
        <f t="shared" si="268"/>
        <v>1185856599.7709899</v>
      </c>
      <c r="DM105" s="876">
        <f t="shared" si="269"/>
        <v>278763562.09625953</v>
      </c>
      <c r="DN105" s="7">
        <f t="shared" si="414"/>
        <v>796879167625.40381</v>
      </c>
      <c r="DO105" s="1136">
        <f t="shared" si="415"/>
        <v>285555423439.00122</v>
      </c>
      <c r="DP105" s="877">
        <f t="shared" si="416"/>
        <v>346486.56577490224</v>
      </c>
      <c r="DQ105" s="879">
        <f t="shared" si="417"/>
        <v>593806852134.37146</v>
      </c>
      <c r="DR105" s="877">
        <f t="shared" si="418"/>
        <v>939.00483966037973</v>
      </c>
      <c r="DS105" s="877">
        <f t="shared" si="419"/>
        <v>2233.9951603396203</v>
      </c>
      <c r="DT105" s="876">
        <f t="shared" si="270"/>
        <v>632378904.82986236</v>
      </c>
      <c r="DU105" s="876">
        <f t="shared" si="271"/>
        <v>265804896.39203101</v>
      </c>
      <c r="DV105" s="1136">
        <f t="shared" si="420"/>
        <v>391509440986.68127</v>
      </c>
      <c r="DW105" s="1136">
        <f t="shared" si="421"/>
        <v>285555423439.00122</v>
      </c>
      <c r="DX105" s="880">
        <f t="shared" si="422"/>
        <v>429235.4239993447</v>
      </c>
      <c r="DY105" s="874">
        <f t="shared" si="423"/>
        <v>783492069802.26025</v>
      </c>
      <c r="DZ105" s="873">
        <f t="shared" si="424"/>
        <v>1793.7637850793956</v>
      </c>
      <c r="EA105" s="880">
        <f t="shared" si="425"/>
        <v>1379.2362149206044</v>
      </c>
      <c r="EB105" s="876">
        <f t="shared" si="272"/>
        <v>436786647.33861893</v>
      </c>
      <c r="EC105" s="876">
        <f t="shared" si="273"/>
        <v>568062280.6495564</v>
      </c>
      <c r="ED105" s="1136">
        <f t="shared" si="426"/>
        <v>796879167625.40381</v>
      </c>
      <c r="EE105" s="1136">
        <f t="shared" si="427"/>
        <v>285555423439.00122</v>
      </c>
      <c r="EF105" s="880">
        <f t="shared" si="428"/>
        <v>319478.86431034352</v>
      </c>
      <c r="EG105" s="874">
        <f t="shared" si="429"/>
        <v>601069509769.9563</v>
      </c>
      <c r="EH105" s="873">
        <f t="shared" si="430"/>
        <v>1500.201630241251</v>
      </c>
      <c r="EI105" s="880">
        <f t="shared" si="431"/>
        <v>1672.798369758749</v>
      </c>
      <c r="EJ105" s="876">
        <f t="shared" si="274"/>
        <v>400659149.84594232</v>
      </c>
      <c r="EK105" s="876">
        <f t="shared" si="275"/>
        <v>359319760.60966784</v>
      </c>
      <c r="EL105" s="1136">
        <f t="shared" si="337"/>
        <v>391509440986.68127</v>
      </c>
      <c r="EM105" s="1136">
        <f t="shared" si="338"/>
        <v>285555423439.00122</v>
      </c>
      <c r="EN105" s="876"/>
      <c r="EO105" s="876"/>
    </row>
    <row r="106" spans="1:145" s="871" customFormat="1">
      <c r="B106" s="871" t="str">
        <f t="shared" ref="B106" si="438">LEFT(B104,3)+1&amp;"j"</f>
        <v>221j</v>
      </c>
      <c r="C106" s="871">
        <v>86.9</v>
      </c>
      <c r="D106" s="871">
        <v>0</v>
      </c>
      <c r="E106" s="871" t="s">
        <v>2115</v>
      </c>
      <c r="F106" s="26">
        <v>1</v>
      </c>
      <c r="G106" s="136">
        <v>2900</v>
      </c>
      <c r="H106" s="136">
        <v>40</v>
      </c>
      <c r="I106" s="28">
        <v>250</v>
      </c>
      <c r="J106" s="26">
        <v>1864</v>
      </c>
      <c r="K106" s="136">
        <v>30</v>
      </c>
      <c r="L106" s="28">
        <v>120</v>
      </c>
      <c r="M106" s="26">
        <v>3103</v>
      </c>
      <c r="N106" s="28">
        <v>14</v>
      </c>
      <c r="O106" s="397">
        <v>512</v>
      </c>
      <c r="P106" s="26">
        <v>290</v>
      </c>
      <c r="Q106" s="397">
        <v>5450</v>
      </c>
      <c r="R106" s="169">
        <v>0</v>
      </c>
      <c r="S106" s="210">
        <v>0</v>
      </c>
      <c r="T106" s="210">
        <v>1150</v>
      </c>
      <c r="U106" s="210">
        <v>2400</v>
      </c>
      <c r="V106" s="872">
        <v>3800</v>
      </c>
      <c r="W106" s="210">
        <v>19</v>
      </c>
      <c r="X106" s="210">
        <v>200</v>
      </c>
      <c r="Y106" s="210">
        <v>50</v>
      </c>
      <c r="Z106" s="210">
        <v>16</v>
      </c>
      <c r="AA106" s="210">
        <v>200</v>
      </c>
      <c r="AB106" s="872">
        <v>40</v>
      </c>
      <c r="AC106" s="881">
        <f t="shared" si="369"/>
        <v>6031.8578948924023</v>
      </c>
      <c r="AD106" s="397">
        <v>2</v>
      </c>
      <c r="AE106" s="210">
        <v>160</v>
      </c>
      <c r="AF106" s="210">
        <v>16</v>
      </c>
      <c r="AG106" s="397">
        <v>0</v>
      </c>
      <c r="AH106" s="210">
        <v>0</v>
      </c>
      <c r="AI106" s="210">
        <v>0</v>
      </c>
      <c r="AJ106" s="397">
        <v>2</v>
      </c>
      <c r="AK106" s="210">
        <v>2500</v>
      </c>
      <c r="AL106" s="210">
        <v>5000</v>
      </c>
      <c r="AM106" s="1143" t="s">
        <v>2323</v>
      </c>
      <c r="AN106" s="210">
        <v>0</v>
      </c>
      <c r="AO106" s="1143" t="s">
        <v>2323</v>
      </c>
      <c r="AP106" s="1143" t="s">
        <v>2323</v>
      </c>
      <c r="AQ106" s="1143"/>
      <c r="AR106" s="1143"/>
      <c r="AS106" s="1143"/>
      <c r="AT106" s="1143"/>
      <c r="AU106" s="1143"/>
      <c r="AV106" s="1111"/>
      <c r="AW106" s="1111"/>
      <c r="AX106" s="1111"/>
      <c r="AY106" s="1111"/>
      <c r="AZ106" s="1108">
        <v>8</v>
      </c>
      <c r="BA106" s="1108">
        <v>6</v>
      </c>
      <c r="BB106" s="1111"/>
      <c r="BC106" s="1168"/>
      <c r="BD106" s="210">
        <f>INDEX(Spec!$B$12:$P$58,MATCH(AO106,Spec!$A$12:$A$58,0),6)*100</f>
        <v>0</v>
      </c>
      <c r="BE106" s="210">
        <f>INDEX(Spec!$B$12:$P$58,MATCH(AP106,Spec!$A$12:$A$58,0),6)*100</f>
        <v>0</v>
      </c>
      <c r="BF106" s="881">
        <f t="shared" si="371"/>
        <v>0</v>
      </c>
      <c r="BG106" s="881">
        <f t="shared" si="372"/>
        <v>47.243485714285718</v>
      </c>
      <c r="BH106" s="881"/>
      <c r="BI106" s="13" cm="1">
        <f t="array" ref="BI106">INDEX(Info!$AD$4:$AH$15,MATCH(Info!$I$13,Info!$AC$4:$AC$15,0),IF(H106&lt;=16,1,IF(H106&lt;=40,2,IF(H106&lt;=75,3,IF(H106&lt;=100,4,5)))))</f>
        <v>380</v>
      </c>
      <c r="BJ106" s="13" cm="1">
        <f t="array" ref="BJ106">INDEX(Info!$AD$4:$AH$15,MATCH(Info!$I$13,Info!$AC$4:$AC$15,0),IF(K106&lt;=16,1,IF(K106&lt;=40,2,IF(K106&lt;=75,3,IF(K106&lt;=100,4,5)))))</f>
        <v>380</v>
      </c>
      <c r="BK106" s="13" cm="1">
        <f t="array" ref="BK106">INDEX(Info!$AD$4:$AH$15,MATCH(Info!$I$14,Info!$AC$4:$AC$15,0),IF(N106&lt;=16,1,IF(N106&lt;=40,2,IF(N106&lt;=75,3,IF(N106&lt;=100,4,5)))))</f>
        <v>355</v>
      </c>
      <c r="BL106" s="13">
        <f>IF(Stress!C935="Positive",MAX(MIN(0.7*BI106,BK106),0.5*BI106),MAX(MIN(0.7*BJ106,BK106),0.5*BJ106))</f>
        <v>266</v>
      </c>
      <c r="BM106" s="13" cm="1">
        <f t="array" ref="BM106">INDEX(Info!$AD$4:$AH$15,MATCH(Info!$I$13,Info!$AC$4:$AC$15,0),IF(AI106&lt;=16,1,IF(AI106&lt;=40,2,IF(AI106&lt;=75,3,IF(AI106&lt;=100,4,5)))))</f>
        <v>380</v>
      </c>
      <c r="BN106" s="13" cm="1">
        <f t="array" ref="BN106">INDEX(Info!$AD$4:$AH$15,MATCH(Info!$I$13,Info!$AC$4:$AC$15,0),IF(AF106&lt;=16,1,IF(AF106&lt;=40,2,IF(AF106&lt;=75,3,IF(AF106&lt;=100,4,5)))))</f>
        <v>380</v>
      </c>
      <c r="BO106" s="13"/>
      <c r="BP106" s="873">
        <f t="shared" si="373"/>
        <v>0.1250402835965195</v>
      </c>
      <c r="BQ106" s="873">
        <f t="shared" si="374"/>
        <v>3127.1637309229591</v>
      </c>
      <c r="BR106" s="873">
        <f t="shared" si="375"/>
        <v>3423</v>
      </c>
      <c r="BS106" s="873"/>
      <c r="BT106" s="871">
        <f t="shared" si="376"/>
        <v>864266.56010312599</v>
      </c>
      <c r="BU106" s="136">
        <f t="shared" si="377"/>
        <v>18871138575.090694</v>
      </c>
      <c r="BV106" s="871">
        <f t="shared" si="378"/>
        <v>1580500</v>
      </c>
      <c r="BW106" s="871">
        <f t="shared" si="379"/>
        <v>11076670833.333334</v>
      </c>
      <c r="BX106" s="871">
        <f t="shared" si="380"/>
        <v>0</v>
      </c>
      <c r="BY106" s="871">
        <f t="shared" si="381"/>
        <v>0</v>
      </c>
      <c r="BZ106" s="871">
        <f t="shared" si="382"/>
        <v>7655.2758986349281</v>
      </c>
      <c r="CA106" s="871">
        <f t="shared" si="383"/>
        <v>172722.16246295057</v>
      </c>
      <c r="CB106" s="871">
        <f t="shared" si="384"/>
        <v>5428.6721054031623</v>
      </c>
      <c r="CC106" s="871">
        <f t="shared" si="385"/>
        <v>86858.753686450596</v>
      </c>
      <c r="CE106" s="1137">
        <f t="shared" si="386"/>
        <v>549964617.89726794</v>
      </c>
      <c r="CF106" s="1136">
        <f t="shared" si="387"/>
        <v>375202702.22222227</v>
      </c>
      <c r="CG106" s="1136">
        <f t="shared" si="388"/>
        <v>205516269595.85425</v>
      </c>
      <c r="CH106" s="172">
        <f t="shared" si="389"/>
        <v>3912066770833.333</v>
      </c>
      <c r="CJ106" s="136">
        <f t="shared" si="390"/>
        <v>264600.58446584287</v>
      </c>
      <c r="CK106" s="7">
        <f t="shared" si="391"/>
        <v>476361046724.83496</v>
      </c>
      <c r="CL106" s="875">
        <f t="shared" si="392"/>
        <v>1262.0931690364366</v>
      </c>
      <c r="CM106" s="6">
        <f t="shared" si="393"/>
        <v>1910.9068309635634</v>
      </c>
      <c r="CN106" s="876">
        <f t="shared" si="264"/>
        <v>377437306.85787624</v>
      </c>
      <c r="CO106" s="876">
        <f t="shared" si="265"/>
        <v>249285333.54220769</v>
      </c>
      <c r="CP106" s="1137">
        <f t="shared" si="394"/>
        <v>188824577667.32001</v>
      </c>
      <c r="CQ106" s="1136">
        <f t="shared" si="395"/>
        <v>280290269274.4538</v>
      </c>
      <c r="CR106" s="877">
        <f t="shared" si="396"/>
        <v>416151.47599530662</v>
      </c>
      <c r="CS106" s="874">
        <f t="shared" si="397"/>
        <v>734092210525.72168</v>
      </c>
      <c r="CT106" s="875">
        <f t="shared" si="398"/>
        <v>1853.8394275253072</v>
      </c>
      <c r="CU106" s="878">
        <f t="shared" si="399"/>
        <v>1319.1605724746928</v>
      </c>
      <c r="CV106" s="876">
        <f t="shared" si="400"/>
        <v>395984786.83003438</v>
      </c>
      <c r="CW106" s="876">
        <f t="shared" si="401"/>
        <v>556484347.57915318</v>
      </c>
      <c r="CX106" s="1136">
        <f t="shared" si="402"/>
        <v>224862271729.37524</v>
      </c>
      <c r="CY106" s="1136">
        <f t="shared" si="403"/>
        <v>280290269274.4538</v>
      </c>
      <c r="CZ106" s="877">
        <f t="shared" si="404"/>
        <v>315117.54830899747</v>
      </c>
      <c r="DA106" s="874">
        <f t="shared" si="405"/>
        <v>589462622312.31006</v>
      </c>
      <c r="DB106" s="875">
        <f t="shared" si="406"/>
        <v>1522.5844049856012</v>
      </c>
      <c r="DC106" s="878">
        <f t="shared" si="407"/>
        <v>1650.4155950143988</v>
      </c>
      <c r="DD106" s="876">
        <f t="shared" si="266"/>
        <v>387146105.25508732</v>
      </c>
      <c r="DE106" s="876">
        <f t="shared" si="267"/>
        <v>357160114.15122831</v>
      </c>
      <c r="DF106" s="1136">
        <f t="shared" si="408"/>
        <v>200837142354.67175</v>
      </c>
      <c r="DG106" s="1136">
        <f t="shared" si="409"/>
        <v>280290269274.4538</v>
      </c>
      <c r="DH106" s="877">
        <f t="shared" si="410"/>
        <v>510258.52839302097</v>
      </c>
      <c r="DI106" s="879">
        <f t="shared" si="411"/>
        <v>716165249859.62256</v>
      </c>
      <c r="DJ106" s="878">
        <f t="shared" si="412"/>
        <v>603.92230392606234</v>
      </c>
      <c r="DK106" s="877">
        <f t="shared" si="413"/>
        <v>2569.0776960739377</v>
      </c>
      <c r="DL106" s="876">
        <f t="shared" si="268"/>
        <v>1185856599.7709899</v>
      </c>
      <c r="DM106" s="876">
        <f t="shared" si="269"/>
        <v>278763562.09625953</v>
      </c>
      <c r="DN106" s="7">
        <f t="shared" si="414"/>
        <v>796879167625.40381</v>
      </c>
      <c r="DO106" s="1136">
        <f t="shared" si="415"/>
        <v>285555423439.00122</v>
      </c>
      <c r="DP106" s="877">
        <f t="shared" si="416"/>
        <v>346486.56577490224</v>
      </c>
      <c r="DQ106" s="879">
        <f t="shared" si="417"/>
        <v>593806852134.37146</v>
      </c>
      <c r="DR106" s="877">
        <f t="shared" si="418"/>
        <v>939.00483966037973</v>
      </c>
      <c r="DS106" s="877">
        <f t="shared" si="419"/>
        <v>2233.9951603396203</v>
      </c>
      <c r="DT106" s="876">
        <f t="shared" si="270"/>
        <v>632378904.82986236</v>
      </c>
      <c r="DU106" s="876">
        <f t="shared" si="271"/>
        <v>265804896.39203101</v>
      </c>
      <c r="DV106" s="1136">
        <f t="shared" si="420"/>
        <v>391509440986.68127</v>
      </c>
      <c r="DW106" s="1136">
        <f t="shared" si="421"/>
        <v>285555423439.00122</v>
      </c>
      <c r="DX106" s="880">
        <f t="shared" si="422"/>
        <v>429235.4239993447</v>
      </c>
      <c r="DY106" s="874">
        <f t="shared" si="423"/>
        <v>783492069802.26025</v>
      </c>
      <c r="DZ106" s="873">
        <f t="shared" si="424"/>
        <v>1793.7637850793956</v>
      </c>
      <c r="EA106" s="880">
        <f t="shared" si="425"/>
        <v>1379.2362149206044</v>
      </c>
      <c r="EB106" s="876">
        <f t="shared" si="272"/>
        <v>436786647.33861893</v>
      </c>
      <c r="EC106" s="876">
        <f t="shared" si="273"/>
        <v>568062280.6495564</v>
      </c>
      <c r="ED106" s="1136">
        <f t="shared" si="426"/>
        <v>796879167625.40381</v>
      </c>
      <c r="EE106" s="1136">
        <f t="shared" si="427"/>
        <v>285555423439.00122</v>
      </c>
      <c r="EF106" s="880">
        <f t="shared" si="428"/>
        <v>319478.86431034352</v>
      </c>
      <c r="EG106" s="874">
        <f t="shared" si="429"/>
        <v>601069509769.9563</v>
      </c>
      <c r="EH106" s="873">
        <f t="shared" si="430"/>
        <v>1500.201630241251</v>
      </c>
      <c r="EI106" s="880">
        <f t="shared" si="431"/>
        <v>1672.798369758749</v>
      </c>
      <c r="EJ106" s="876">
        <f t="shared" si="274"/>
        <v>400659149.84594232</v>
      </c>
      <c r="EK106" s="876">
        <f t="shared" si="275"/>
        <v>359319760.60966784</v>
      </c>
      <c r="EL106" s="1136">
        <f t="shared" si="337"/>
        <v>391509440986.68127</v>
      </c>
      <c r="EM106" s="1136">
        <f t="shared" si="338"/>
        <v>285555423439.00122</v>
      </c>
      <c r="EN106" s="876"/>
      <c r="EO106" s="876"/>
    </row>
    <row r="107" spans="1:145" s="871" customFormat="1">
      <c r="A107" s="871">
        <v>122</v>
      </c>
      <c r="B107" s="871" t="str">
        <f t="shared" ref="B107" si="439">LEFT(B105,3)+1&amp;"i"</f>
        <v>222i</v>
      </c>
      <c r="C107" s="871">
        <v>86.9</v>
      </c>
      <c r="D107" s="871">
        <v>0</v>
      </c>
      <c r="E107" s="871" t="s">
        <v>2116</v>
      </c>
      <c r="F107" s="26">
        <v>2</v>
      </c>
      <c r="G107" s="136">
        <v>800</v>
      </c>
      <c r="H107" s="136">
        <v>40</v>
      </c>
      <c r="I107" s="28">
        <v>250</v>
      </c>
      <c r="J107" s="26">
        <v>1909</v>
      </c>
      <c r="K107" s="136">
        <v>30</v>
      </c>
      <c r="L107" s="28">
        <v>120</v>
      </c>
      <c r="M107" s="26">
        <v>2924</v>
      </c>
      <c r="N107" s="28">
        <v>12</v>
      </c>
      <c r="O107" s="397">
        <v>356</v>
      </c>
      <c r="P107" s="26">
        <v>290</v>
      </c>
      <c r="Q107" s="397">
        <v>5500</v>
      </c>
      <c r="R107" s="169">
        <v>0</v>
      </c>
      <c r="S107" s="210">
        <v>0</v>
      </c>
      <c r="T107" s="210">
        <v>1200</v>
      </c>
      <c r="U107" s="210">
        <v>2400</v>
      </c>
      <c r="V107" s="872">
        <v>3800</v>
      </c>
      <c r="W107" s="210">
        <v>19</v>
      </c>
      <c r="X107" s="210">
        <v>200</v>
      </c>
      <c r="Y107" s="210">
        <v>50</v>
      </c>
      <c r="Z107" s="210">
        <v>16</v>
      </c>
      <c r="AA107" s="210">
        <v>200</v>
      </c>
      <c r="AB107" s="872">
        <v>40</v>
      </c>
      <c r="AC107" s="881">
        <f t="shared" si="369"/>
        <v>6031.8578948924023</v>
      </c>
      <c r="AD107" s="397">
        <v>2</v>
      </c>
      <c r="AE107" s="210">
        <v>160</v>
      </c>
      <c r="AF107" s="210">
        <v>16</v>
      </c>
      <c r="AG107" s="397">
        <v>0</v>
      </c>
      <c r="AH107" s="210">
        <v>0</v>
      </c>
      <c r="AI107" s="210">
        <v>0</v>
      </c>
      <c r="AJ107" s="397">
        <v>2</v>
      </c>
      <c r="AK107" s="210">
        <v>2500</v>
      </c>
      <c r="AL107" s="210">
        <v>5000</v>
      </c>
      <c r="AM107" s="210" t="s">
        <v>2316</v>
      </c>
      <c r="AN107" s="210">
        <v>2500</v>
      </c>
      <c r="AO107" s="1143" t="s">
        <v>2321</v>
      </c>
      <c r="AP107" s="1143" t="s">
        <v>2321</v>
      </c>
      <c r="AQ107" s="1143"/>
      <c r="AR107" s="1143"/>
      <c r="AS107" s="1143"/>
      <c r="AT107" s="1143"/>
      <c r="AU107" s="1143"/>
      <c r="AV107" s="1111"/>
      <c r="AW107" s="1111"/>
      <c r="AX107" s="1111"/>
      <c r="AY107" s="1111"/>
      <c r="AZ107" s="1108">
        <v>8</v>
      </c>
      <c r="BA107" s="1108">
        <v>6</v>
      </c>
      <c r="BB107" s="1111"/>
      <c r="BC107" s="1168"/>
      <c r="BD107" s="210">
        <f>INDEX(Spec!$B$12:$P$58,MATCH(AO107,Spec!$A$12:$A$58,0),6)*100</f>
        <v>1900</v>
      </c>
      <c r="BE107" s="210">
        <f>INDEX(Spec!$B$12:$P$58,MATCH(AP107,Spec!$A$12:$A$58,0),6)*100</f>
        <v>1900</v>
      </c>
      <c r="BF107" s="881">
        <f t="shared" si="371"/>
        <v>0.70394096900309189</v>
      </c>
      <c r="BG107" s="881">
        <f t="shared" si="372"/>
        <v>47.243485714285718</v>
      </c>
      <c r="BH107" s="881"/>
      <c r="BI107" s="13" cm="1">
        <f t="array" ref="BI107">INDEX(Info!$AD$4:$AH$15,MATCH(Info!$I$13,Info!$AC$4:$AC$15,0),IF(H107&lt;=16,1,IF(H107&lt;=40,2,IF(H107&lt;=75,3,IF(H107&lt;=100,4,5)))))</f>
        <v>380</v>
      </c>
      <c r="BJ107" s="13" cm="1">
        <f t="array" ref="BJ107">INDEX(Info!$AD$4:$AH$15,MATCH(Info!$I$13,Info!$AC$4:$AC$15,0),IF(K107&lt;=16,1,IF(K107&lt;=40,2,IF(K107&lt;=75,3,IF(K107&lt;=100,4,5)))))</f>
        <v>380</v>
      </c>
      <c r="BK107" s="13" cm="1">
        <f t="array" ref="BK107">INDEX(Info!$AD$4:$AH$15,MATCH(Info!$I$14,Info!$AC$4:$AC$15,0),IF(N107&lt;=16,1,IF(N107&lt;=40,2,IF(N107&lt;=75,3,IF(N107&lt;=100,4,5)))))</f>
        <v>355</v>
      </c>
      <c r="BL107" s="13">
        <f>IF(Stress!C936="Positive",MAX(MIN(0.7*BI107,BK107),0.5*BI107),MAX(MIN(0.7*BJ107,BK107),0.5*BJ107))</f>
        <v>266</v>
      </c>
      <c r="BM107" s="13" cm="1">
        <f t="array" ref="BM107">INDEX(Info!$AD$4:$AH$15,MATCH(Info!$I$13,Info!$AC$4:$AC$15,0),IF(AI107&lt;=16,1,IF(AI107&lt;=40,2,IF(AI107&lt;=75,3,IF(AI107&lt;=100,4,5)))))</f>
        <v>380</v>
      </c>
      <c r="BN107" s="13" cm="1">
        <f t="array" ref="BN107">INDEX(Info!$AD$4:$AH$15,MATCH(Info!$I$13,Info!$AC$4:$AC$15,0),IF(AF107&lt;=16,1,IF(AF107&lt;=40,2,IF(AF107&lt;=75,3,IF(AF107&lt;=100,4,5)))))</f>
        <v>380</v>
      </c>
      <c r="BO107" s="13"/>
      <c r="BP107" s="873">
        <f t="shared" si="373"/>
        <v>0.125</v>
      </c>
      <c r="BQ107" s="873">
        <f t="shared" si="374"/>
        <v>2946.7552070031197</v>
      </c>
      <c r="BR107" s="873">
        <f t="shared" si="375"/>
        <v>3244</v>
      </c>
      <c r="BS107" s="873"/>
      <c r="BT107" s="871">
        <f t="shared" si="376"/>
        <v>610006</v>
      </c>
      <c r="BU107" s="136">
        <f t="shared" si="377"/>
        <v>6441028318.3747358</v>
      </c>
      <c r="BV107" s="871">
        <f t="shared" si="378"/>
        <v>1595000</v>
      </c>
      <c r="BW107" s="871">
        <f t="shared" si="379"/>
        <v>11178291666.666666</v>
      </c>
      <c r="BX107" s="871">
        <f t="shared" si="380"/>
        <v>0</v>
      </c>
      <c r="BY107" s="871">
        <f t="shared" si="381"/>
        <v>0</v>
      </c>
      <c r="BZ107" s="871">
        <f t="shared" si="382"/>
        <v>7655.2758986349281</v>
      </c>
      <c r="CA107" s="871">
        <f t="shared" si="383"/>
        <v>172722.16246295057</v>
      </c>
      <c r="CB107" s="871">
        <f t="shared" si="384"/>
        <v>5428.6721054031623</v>
      </c>
      <c r="CC107" s="871">
        <f t="shared" si="385"/>
        <v>86858.753686450596</v>
      </c>
      <c r="CE107" s="1137">
        <f t="shared" si="386"/>
        <v>394088727.74137288</v>
      </c>
      <c r="CF107" s="1136">
        <f t="shared" si="387"/>
        <v>396277902.22222227</v>
      </c>
      <c r="CG107" s="1136">
        <f t="shared" si="388"/>
        <v>149352979447.91666</v>
      </c>
      <c r="CH107" s="172">
        <f t="shared" si="389"/>
        <v>4020729166666.6665</v>
      </c>
      <c r="CJ107" s="136">
        <f t="shared" si="390"/>
        <v>197112.12496807487</v>
      </c>
      <c r="CK107" s="7">
        <f t="shared" si="391"/>
        <v>325640213974.46826</v>
      </c>
      <c r="CL107" s="875">
        <f t="shared" si="392"/>
        <v>1485.8448801639383</v>
      </c>
      <c r="CM107" s="6">
        <f t="shared" si="393"/>
        <v>1508.1551198360617</v>
      </c>
      <c r="CN107" s="876">
        <f t="shared" si="264"/>
        <v>219161648.91892299</v>
      </c>
      <c r="CO107" s="876">
        <f t="shared" si="265"/>
        <v>215919575.97164524</v>
      </c>
      <c r="CP107" s="1137">
        <f t="shared" si="394"/>
        <v>166605811480.51672</v>
      </c>
      <c r="CQ107" s="1136">
        <f t="shared" si="395"/>
        <v>36085275229.906258</v>
      </c>
      <c r="CR107" s="877">
        <f t="shared" si="396"/>
        <v>304077.9123835814</v>
      </c>
      <c r="CS107" s="874">
        <f t="shared" si="397"/>
        <v>443979400215.18604</v>
      </c>
      <c r="CT107" s="875">
        <f t="shared" si="398"/>
        <v>1943.2017301416934</v>
      </c>
      <c r="CU107" s="878">
        <f t="shared" si="399"/>
        <v>1050.7982698583066</v>
      </c>
      <c r="CV107" s="876">
        <f t="shared" si="400"/>
        <v>228478285.77366087</v>
      </c>
      <c r="CW107" s="876">
        <f t="shared" si="401"/>
        <v>422516303.03412449</v>
      </c>
      <c r="CX107" s="1136">
        <f t="shared" si="402"/>
        <v>192795158879.55603</v>
      </c>
      <c r="CY107" s="1136">
        <f t="shared" si="403"/>
        <v>36085275229.906258</v>
      </c>
      <c r="CZ107" s="877">
        <f t="shared" si="404"/>
        <v>232767.38743991038</v>
      </c>
      <c r="DA107" s="874">
        <f t="shared" si="405"/>
        <v>377056052501.86511</v>
      </c>
      <c r="DB107" s="875">
        <f t="shared" si="406"/>
        <v>1685.0023848372373</v>
      </c>
      <c r="DC107" s="878">
        <f t="shared" si="407"/>
        <v>1308.9976151627627</v>
      </c>
      <c r="DD107" s="876">
        <f t="shared" si="266"/>
        <v>223771821.27150926</v>
      </c>
      <c r="DE107" s="876">
        <f t="shared" si="267"/>
        <v>288049457.18329775</v>
      </c>
      <c r="DF107" s="1136">
        <f t="shared" si="408"/>
        <v>175335593946.86316</v>
      </c>
      <c r="DG107" s="1136">
        <f t="shared" si="409"/>
        <v>36085275229.906258</v>
      </c>
      <c r="DH107" s="877">
        <f t="shared" si="410"/>
        <v>445023.81150008948</v>
      </c>
      <c r="DI107" s="879">
        <f t="shared" si="411"/>
        <v>605273958783.20898</v>
      </c>
      <c r="DJ107" s="878">
        <f t="shared" si="412"/>
        <v>599.62480146106373</v>
      </c>
      <c r="DK107" s="877">
        <f t="shared" si="413"/>
        <v>2394.3751985389363</v>
      </c>
      <c r="DL107" s="876">
        <f t="shared" si="268"/>
        <v>1009421153.5419822</v>
      </c>
      <c r="DM107" s="876">
        <f t="shared" si="269"/>
        <v>252789938.33236796</v>
      </c>
      <c r="DN107" s="7">
        <f t="shared" si="414"/>
        <v>791549854613.30347</v>
      </c>
      <c r="DO107" s="1136">
        <f t="shared" si="415"/>
        <v>239977604872.8819</v>
      </c>
      <c r="DP107" s="877">
        <f t="shared" si="416"/>
        <v>279749.35381207976</v>
      </c>
      <c r="DQ107" s="879">
        <f t="shared" si="417"/>
        <v>473578022724.30658</v>
      </c>
      <c r="DR107" s="877">
        <f t="shared" si="418"/>
        <v>1015.9134553867054</v>
      </c>
      <c r="DS107" s="877">
        <f t="shared" si="419"/>
        <v>1978.0865446132946</v>
      </c>
      <c r="DT107" s="876">
        <f t="shared" si="270"/>
        <v>466159809.39443314</v>
      </c>
      <c r="DU107" s="876">
        <f t="shared" si="271"/>
        <v>239412185.4849827</v>
      </c>
      <c r="DV107" s="1136">
        <f t="shared" si="420"/>
        <v>374920492524.77893</v>
      </c>
      <c r="DW107" s="1136">
        <f t="shared" si="421"/>
        <v>239977604872.8819</v>
      </c>
      <c r="DX107" s="880">
        <f t="shared" si="422"/>
        <v>317161.86038761947</v>
      </c>
      <c r="DY107" s="874">
        <f t="shared" si="423"/>
        <v>497350595408.77948</v>
      </c>
      <c r="DZ107" s="873">
        <f t="shared" si="424"/>
        <v>1858.2110394410092</v>
      </c>
      <c r="EA107" s="880">
        <f t="shared" si="425"/>
        <v>1135.7889605589908</v>
      </c>
      <c r="EB107" s="876">
        <f t="shared" si="272"/>
        <v>267650221.0203172</v>
      </c>
      <c r="EC107" s="876">
        <f t="shared" si="273"/>
        <v>437889971.35876638</v>
      </c>
      <c r="ED107" s="1136">
        <f t="shared" si="426"/>
        <v>791549854613.30347</v>
      </c>
      <c r="EE107" s="1136">
        <f t="shared" si="427"/>
        <v>239977604872.8819</v>
      </c>
      <c r="EF107" s="880">
        <f t="shared" si="428"/>
        <v>237128.70344125642</v>
      </c>
      <c r="EG107" s="874">
        <f t="shared" si="429"/>
        <v>391000412051.83636</v>
      </c>
      <c r="EH107" s="873">
        <f t="shared" si="430"/>
        <v>1651.8592879627608</v>
      </c>
      <c r="EI107" s="880">
        <f t="shared" si="431"/>
        <v>1342.1407120372392</v>
      </c>
      <c r="EJ107" s="876">
        <f t="shared" si="274"/>
        <v>236703219.76035708</v>
      </c>
      <c r="EK107" s="876">
        <f t="shared" si="275"/>
        <v>291325945.59205031</v>
      </c>
      <c r="EL107" s="1136">
        <f t="shared" si="337"/>
        <v>374920492524.77893</v>
      </c>
      <c r="EM107" s="1136">
        <f t="shared" si="338"/>
        <v>239977604872.8819</v>
      </c>
      <c r="EN107" s="876"/>
      <c r="EO107" s="876"/>
    </row>
    <row r="108" spans="1:145" s="871" customFormat="1">
      <c r="B108" s="871" t="str">
        <f t="shared" ref="B108" si="440">LEFT(B106,3)+1&amp;"j"</f>
        <v>222j</v>
      </c>
      <c r="C108" s="871">
        <v>91.9</v>
      </c>
      <c r="D108" s="871">
        <v>0</v>
      </c>
      <c r="E108" s="871" t="s">
        <v>2116</v>
      </c>
      <c r="F108" s="26">
        <v>2</v>
      </c>
      <c r="G108" s="136">
        <v>800</v>
      </c>
      <c r="H108" s="136">
        <v>40</v>
      </c>
      <c r="I108" s="28">
        <v>250</v>
      </c>
      <c r="J108" s="26">
        <v>1909</v>
      </c>
      <c r="K108" s="136">
        <v>30</v>
      </c>
      <c r="L108" s="28">
        <v>120</v>
      </c>
      <c r="M108" s="26">
        <v>2924</v>
      </c>
      <c r="N108" s="28">
        <v>12</v>
      </c>
      <c r="O108" s="397">
        <v>356</v>
      </c>
      <c r="P108" s="26">
        <v>290</v>
      </c>
      <c r="Q108" s="397">
        <v>5500</v>
      </c>
      <c r="R108" s="169">
        <v>0</v>
      </c>
      <c r="S108" s="210">
        <v>0</v>
      </c>
      <c r="T108" s="210">
        <v>1200</v>
      </c>
      <c r="U108" s="210">
        <v>2400</v>
      </c>
      <c r="V108" s="872">
        <v>3800</v>
      </c>
      <c r="W108" s="210">
        <v>19</v>
      </c>
      <c r="X108" s="210">
        <v>200</v>
      </c>
      <c r="Y108" s="210">
        <v>50</v>
      </c>
      <c r="Z108" s="210">
        <v>16</v>
      </c>
      <c r="AA108" s="210">
        <v>200</v>
      </c>
      <c r="AB108" s="872">
        <v>40</v>
      </c>
      <c r="AC108" s="881">
        <f t="shared" si="369"/>
        <v>6031.8578948924023</v>
      </c>
      <c r="AD108" s="397">
        <v>2</v>
      </c>
      <c r="AE108" s="210">
        <v>160</v>
      </c>
      <c r="AF108" s="210">
        <v>16</v>
      </c>
      <c r="AG108" s="397">
        <v>0</v>
      </c>
      <c r="AH108" s="210">
        <v>0</v>
      </c>
      <c r="AI108" s="210">
        <v>0</v>
      </c>
      <c r="AJ108" s="397">
        <v>2</v>
      </c>
      <c r="AK108" s="210">
        <v>2500</v>
      </c>
      <c r="AL108" s="210">
        <v>5000</v>
      </c>
      <c r="AM108" s="210" t="s">
        <v>2316</v>
      </c>
      <c r="AN108" s="210">
        <v>2500</v>
      </c>
      <c r="AO108" s="1143" t="s">
        <v>2321</v>
      </c>
      <c r="AP108" s="1143" t="s">
        <v>2321</v>
      </c>
      <c r="AQ108" s="1143"/>
      <c r="AR108" s="1143"/>
      <c r="AS108" s="1143"/>
      <c r="AT108" s="1143"/>
      <c r="AU108" s="1143"/>
      <c r="AV108" s="1111"/>
      <c r="AW108" s="1111"/>
      <c r="AX108" s="1111"/>
      <c r="AY108" s="1111"/>
      <c r="AZ108" s="1108">
        <v>8</v>
      </c>
      <c r="BA108" s="1108">
        <v>6</v>
      </c>
      <c r="BB108" s="1111"/>
      <c r="BC108" s="1168"/>
      <c r="BD108" s="210">
        <f>INDEX(Spec!$B$12:$P$58,MATCH(AO108,Spec!$A$12:$A$58,0),6)*100</f>
        <v>1900</v>
      </c>
      <c r="BE108" s="210">
        <f>INDEX(Spec!$B$12:$P$58,MATCH(AP108,Spec!$A$12:$A$58,0),6)*100</f>
        <v>1900</v>
      </c>
      <c r="BF108" s="881">
        <f t="shared" si="371"/>
        <v>0.70394096900309189</v>
      </c>
      <c r="BG108" s="881">
        <f t="shared" si="372"/>
        <v>47.243485714285718</v>
      </c>
      <c r="BH108" s="881"/>
      <c r="BI108" s="13" cm="1">
        <f t="array" ref="BI108">INDEX(Info!$AD$4:$AH$15,MATCH(Info!$I$13,Info!$AC$4:$AC$15,0),IF(H108&lt;=16,1,IF(H108&lt;=40,2,IF(H108&lt;=75,3,IF(H108&lt;=100,4,5)))))</f>
        <v>380</v>
      </c>
      <c r="BJ108" s="13" cm="1">
        <f t="array" ref="BJ108">INDEX(Info!$AD$4:$AH$15,MATCH(Info!$I$13,Info!$AC$4:$AC$15,0),IF(K108&lt;=16,1,IF(K108&lt;=40,2,IF(K108&lt;=75,3,IF(K108&lt;=100,4,5)))))</f>
        <v>380</v>
      </c>
      <c r="BK108" s="13" cm="1">
        <f t="array" ref="BK108">INDEX(Info!$AD$4:$AH$15,MATCH(Info!$I$14,Info!$AC$4:$AC$15,0),IF(N108&lt;=16,1,IF(N108&lt;=40,2,IF(N108&lt;=75,3,IF(N108&lt;=100,4,5)))))</f>
        <v>355</v>
      </c>
      <c r="BL108" s="13">
        <f>IF(Stress!C937="Positive",MAX(MIN(0.7*BI108,BK108),0.5*BI108),MAX(MIN(0.7*BJ108,BK108),0.5*BJ108))</f>
        <v>266</v>
      </c>
      <c r="BM108" s="13" cm="1">
        <f t="array" ref="BM108">INDEX(Info!$AD$4:$AH$15,MATCH(Info!$I$13,Info!$AC$4:$AC$15,0),IF(AI108&lt;=16,1,IF(AI108&lt;=40,2,IF(AI108&lt;=75,3,IF(AI108&lt;=100,4,5)))))</f>
        <v>380</v>
      </c>
      <c r="BN108" s="13" cm="1">
        <f t="array" ref="BN108">INDEX(Info!$AD$4:$AH$15,MATCH(Info!$I$13,Info!$AC$4:$AC$15,0),IF(AF108&lt;=16,1,IF(AF108&lt;=40,2,IF(AF108&lt;=75,3,IF(AF108&lt;=100,4,5)))))</f>
        <v>380</v>
      </c>
      <c r="BO108" s="13"/>
      <c r="BP108" s="873">
        <f t="shared" si="373"/>
        <v>0.125</v>
      </c>
      <c r="BQ108" s="873">
        <f t="shared" si="374"/>
        <v>2946.7552070031197</v>
      </c>
      <c r="BR108" s="873">
        <f t="shared" si="375"/>
        <v>3244</v>
      </c>
      <c r="BS108" s="873"/>
      <c r="BT108" s="871">
        <f t="shared" si="376"/>
        <v>610006</v>
      </c>
      <c r="BU108" s="136">
        <f t="shared" si="377"/>
        <v>6441028318.3747358</v>
      </c>
      <c r="BV108" s="871">
        <f t="shared" si="378"/>
        <v>1595000</v>
      </c>
      <c r="BW108" s="871">
        <f t="shared" si="379"/>
        <v>11178291666.666666</v>
      </c>
      <c r="BX108" s="871">
        <f t="shared" si="380"/>
        <v>0</v>
      </c>
      <c r="BY108" s="871">
        <f t="shared" si="381"/>
        <v>0</v>
      </c>
      <c r="BZ108" s="871">
        <f t="shared" si="382"/>
        <v>7655.2758986349281</v>
      </c>
      <c r="CA108" s="871">
        <f t="shared" si="383"/>
        <v>172722.16246295057</v>
      </c>
      <c r="CB108" s="871">
        <f t="shared" si="384"/>
        <v>5428.6721054031623</v>
      </c>
      <c r="CC108" s="871">
        <f t="shared" si="385"/>
        <v>86858.753686450596</v>
      </c>
      <c r="CE108" s="1137">
        <f t="shared" si="386"/>
        <v>394088727.74137288</v>
      </c>
      <c r="CF108" s="1136">
        <f t="shared" si="387"/>
        <v>396277902.22222227</v>
      </c>
      <c r="CG108" s="1136">
        <f t="shared" si="388"/>
        <v>149352979447.91666</v>
      </c>
      <c r="CH108" s="172">
        <f t="shared" si="389"/>
        <v>4020729166666.6665</v>
      </c>
      <c r="CJ108" s="136">
        <f t="shared" si="390"/>
        <v>197112.12496807487</v>
      </c>
      <c r="CK108" s="7">
        <f t="shared" si="391"/>
        <v>325640213974.46826</v>
      </c>
      <c r="CL108" s="875">
        <f t="shared" si="392"/>
        <v>1485.8448801639383</v>
      </c>
      <c r="CM108" s="6">
        <f t="shared" si="393"/>
        <v>1508.1551198360617</v>
      </c>
      <c r="CN108" s="876">
        <f t="shared" si="264"/>
        <v>219161648.91892299</v>
      </c>
      <c r="CO108" s="876">
        <f t="shared" si="265"/>
        <v>215919575.97164524</v>
      </c>
      <c r="CP108" s="1137">
        <f t="shared" si="394"/>
        <v>166605811480.51672</v>
      </c>
      <c r="CQ108" s="1136">
        <f t="shared" si="395"/>
        <v>36085275229.906258</v>
      </c>
      <c r="CR108" s="877">
        <f t="shared" si="396"/>
        <v>304077.9123835814</v>
      </c>
      <c r="CS108" s="874">
        <f t="shared" si="397"/>
        <v>443979400215.18604</v>
      </c>
      <c r="CT108" s="875">
        <f t="shared" si="398"/>
        <v>1943.2017301416934</v>
      </c>
      <c r="CU108" s="878">
        <f t="shared" si="399"/>
        <v>1050.7982698583066</v>
      </c>
      <c r="CV108" s="876">
        <f t="shared" si="400"/>
        <v>228478285.77366087</v>
      </c>
      <c r="CW108" s="876">
        <f t="shared" si="401"/>
        <v>422516303.03412449</v>
      </c>
      <c r="CX108" s="1136">
        <f t="shared" si="402"/>
        <v>192795158879.55603</v>
      </c>
      <c r="CY108" s="1136">
        <f t="shared" si="403"/>
        <v>36085275229.906258</v>
      </c>
      <c r="CZ108" s="877">
        <f t="shared" si="404"/>
        <v>232767.38743991038</v>
      </c>
      <c r="DA108" s="874">
        <f t="shared" si="405"/>
        <v>377056052501.86511</v>
      </c>
      <c r="DB108" s="875">
        <f t="shared" si="406"/>
        <v>1685.0023848372373</v>
      </c>
      <c r="DC108" s="878">
        <f t="shared" si="407"/>
        <v>1308.9976151627627</v>
      </c>
      <c r="DD108" s="876">
        <f t="shared" si="266"/>
        <v>223771821.27150926</v>
      </c>
      <c r="DE108" s="876">
        <f t="shared" si="267"/>
        <v>288049457.18329775</v>
      </c>
      <c r="DF108" s="1136">
        <f t="shared" si="408"/>
        <v>175335593946.86316</v>
      </c>
      <c r="DG108" s="1136">
        <f t="shared" si="409"/>
        <v>36085275229.906258</v>
      </c>
      <c r="DH108" s="877">
        <f t="shared" si="410"/>
        <v>445023.81150008948</v>
      </c>
      <c r="DI108" s="879">
        <f t="shared" si="411"/>
        <v>605273958783.20898</v>
      </c>
      <c r="DJ108" s="878">
        <f t="shared" si="412"/>
        <v>599.62480146106373</v>
      </c>
      <c r="DK108" s="877">
        <f t="shared" si="413"/>
        <v>2394.3751985389363</v>
      </c>
      <c r="DL108" s="876">
        <f t="shared" si="268"/>
        <v>1009421153.5419822</v>
      </c>
      <c r="DM108" s="876">
        <f t="shared" si="269"/>
        <v>252789938.33236796</v>
      </c>
      <c r="DN108" s="7">
        <f t="shared" si="414"/>
        <v>791549854613.30347</v>
      </c>
      <c r="DO108" s="1136">
        <f t="shared" si="415"/>
        <v>239977604872.8819</v>
      </c>
      <c r="DP108" s="877">
        <f t="shared" si="416"/>
        <v>279749.35381207976</v>
      </c>
      <c r="DQ108" s="879">
        <f t="shared" si="417"/>
        <v>473578022724.30658</v>
      </c>
      <c r="DR108" s="877">
        <f t="shared" si="418"/>
        <v>1015.9134553867054</v>
      </c>
      <c r="DS108" s="877">
        <f t="shared" si="419"/>
        <v>1978.0865446132946</v>
      </c>
      <c r="DT108" s="876">
        <f t="shared" si="270"/>
        <v>466159809.39443314</v>
      </c>
      <c r="DU108" s="876">
        <f t="shared" si="271"/>
        <v>239412185.4849827</v>
      </c>
      <c r="DV108" s="1136">
        <f t="shared" si="420"/>
        <v>374920492524.77893</v>
      </c>
      <c r="DW108" s="1136">
        <f t="shared" si="421"/>
        <v>239977604872.8819</v>
      </c>
      <c r="DX108" s="880">
        <f t="shared" si="422"/>
        <v>317161.86038761947</v>
      </c>
      <c r="DY108" s="874">
        <f t="shared" si="423"/>
        <v>497350595408.77948</v>
      </c>
      <c r="DZ108" s="873">
        <f t="shared" si="424"/>
        <v>1858.2110394410092</v>
      </c>
      <c r="EA108" s="880">
        <f t="shared" si="425"/>
        <v>1135.7889605589908</v>
      </c>
      <c r="EB108" s="876">
        <f t="shared" si="272"/>
        <v>267650221.0203172</v>
      </c>
      <c r="EC108" s="876">
        <f t="shared" si="273"/>
        <v>437889971.35876638</v>
      </c>
      <c r="ED108" s="1136">
        <f t="shared" si="426"/>
        <v>791549854613.30347</v>
      </c>
      <c r="EE108" s="1136">
        <f t="shared" si="427"/>
        <v>239977604872.8819</v>
      </c>
      <c r="EF108" s="880">
        <f t="shared" si="428"/>
        <v>237128.70344125642</v>
      </c>
      <c r="EG108" s="874">
        <f t="shared" si="429"/>
        <v>391000412051.83636</v>
      </c>
      <c r="EH108" s="873">
        <f t="shared" si="430"/>
        <v>1651.8592879627608</v>
      </c>
      <c r="EI108" s="880">
        <f t="shared" si="431"/>
        <v>1342.1407120372392</v>
      </c>
      <c r="EJ108" s="876">
        <f t="shared" si="274"/>
        <v>236703219.76035708</v>
      </c>
      <c r="EK108" s="876">
        <f t="shared" si="275"/>
        <v>291325945.59205031</v>
      </c>
      <c r="EL108" s="1136">
        <f t="shared" si="337"/>
        <v>374920492524.77893</v>
      </c>
      <c r="EM108" s="1136">
        <f t="shared" si="338"/>
        <v>239977604872.8819</v>
      </c>
      <c r="EN108" s="876"/>
      <c r="EO108" s="876"/>
    </row>
    <row r="109" spans="1:145" s="871" customFormat="1">
      <c r="A109" s="871">
        <v>123</v>
      </c>
      <c r="B109" s="871" t="str">
        <f t="shared" ref="B109" si="441">LEFT(B107,3)+1&amp;"i"</f>
        <v>223i</v>
      </c>
      <c r="C109" s="871">
        <v>91.9</v>
      </c>
      <c r="D109" s="871">
        <v>0</v>
      </c>
      <c r="E109" s="871" t="s">
        <v>2117</v>
      </c>
      <c r="F109" s="26">
        <v>2</v>
      </c>
      <c r="G109" s="136">
        <v>600</v>
      </c>
      <c r="H109" s="136">
        <v>40</v>
      </c>
      <c r="I109" s="28">
        <v>250</v>
      </c>
      <c r="J109" s="26">
        <v>1937</v>
      </c>
      <c r="K109" s="136">
        <v>30</v>
      </c>
      <c r="L109" s="28">
        <v>120</v>
      </c>
      <c r="M109" s="26">
        <v>2814</v>
      </c>
      <c r="N109" s="28">
        <v>12</v>
      </c>
      <c r="O109" s="397">
        <v>0</v>
      </c>
      <c r="P109" s="26">
        <v>290</v>
      </c>
      <c r="Q109" s="397">
        <v>5500</v>
      </c>
      <c r="R109" s="169">
        <v>0</v>
      </c>
      <c r="S109" s="210">
        <v>0</v>
      </c>
      <c r="T109" s="210">
        <v>1200</v>
      </c>
      <c r="U109" s="210">
        <v>2400</v>
      </c>
      <c r="V109" s="872">
        <v>3800</v>
      </c>
      <c r="W109" s="210">
        <v>19</v>
      </c>
      <c r="X109" s="210">
        <v>200</v>
      </c>
      <c r="Y109" s="210">
        <v>50</v>
      </c>
      <c r="Z109" s="210">
        <v>16</v>
      </c>
      <c r="AA109" s="210">
        <v>200</v>
      </c>
      <c r="AB109" s="872">
        <v>40</v>
      </c>
      <c r="AC109" s="210">
        <v>0</v>
      </c>
      <c r="AD109" s="397">
        <v>2</v>
      </c>
      <c r="AE109" s="210">
        <v>160</v>
      </c>
      <c r="AF109" s="210">
        <v>16</v>
      </c>
      <c r="AG109" s="397">
        <v>0</v>
      </c>
      <c r="AH109" s="210">
        <v>0</v>
      </c>
      <c r="AI109" s="210">
        <v>0</v>
      </c>
      <c r="AJ109" s="397">
        <v>2</v>
      </c>
      <c r="AK109" s="210">
        <v>2500</v>
      </c>
      <c r="AL109" s="210">
        <v>5000</v>
      </c>
      <c r="AM109" s="210" t="s">
        <v>2316</v>
      </c>
      <c r="AN109" s="210">
        <v>2500</v>
      </c>
      <c r="AO109" s="1143" t="s">
        <v>2321</v>
      </c>
      <c r="AP109" s="1143" t="s">
        <v>2321</v>
      </c>
      <c r="AQ109" s="1143"/>
      <c r="AR109" s="1143"/>
      <c r="AS109" s="1143"/>
      <c r="AT109" s="1143"/>
      <c r="AU109" s="1143"/>
      <c r="AV109" s="1111"/>
      <c r="AW109" s="1111"/>
      <c r="AX109" s="1111"/>
      <c r="AY109" s="1111"/>
      <c r="AZ109" s="1108">
        <v>8</v>
      </c>
      <c r="BA109" s="1108">
        <v>6</v>
      </c>
      <c r="BB109" s="1111"/>
      <c r="BC109" s="1168"/>
      <c r="BD109" s="210">
        <f>INDEX(Spec!$B$12:$P$58,MATCH(AO109,Spec!$A$12:$A$58,0),6)*100</f>
        <v>1900</v>
      </c>
      <c r="BE109" s="210">
        <f>INDEX(Spec!$B$12:$P$58,MATCH(AP109,Spec!$A$12:$A$58,0),6)*100</f>
        <v>1900</v>
      </c>
      <c r="BF109" s="881">
        <f t="shared" si="371"/>
        <v>0.70187031526833676</v>
      </c>
      <c r="BG109" s="881">
        <f t="shared" si="372"/>
        <v>47.243485714285718</v>
      </c>
      <c r="BH109" s="881"/>
      <c r="BI109" s="13" cm="1">
        <f t="array" ref="BI109">INDEX(Info!$AD$4:$AH$15,MATCH(Info!$I$13,Info!$AC$4:$AC$15,0),IF(H109&lt;=16,1,IF(H109&lt;=40,2,IF(H109&lt;=75,3,IF(H109&lt;=100,4,5)))))</f>
        <v>380</v>
      </c>
      <c r="BJ109" s="13" cm="1">
        <f t="array" ref="BJ109">INDEX(Info!$AD$4:$AH$15,MATCH(Info!$I$13,Info!$AC$4:$AC$15,0),IF(K109&lt;=16,1,IF(K109&lt;=40,2,IF(K109&lt;=75,3,IF(K109&lt;=100,4,5)))))</f>
        <v>380</v>
      </c>
      <c r="BK109" s="13" cm="1">
        <f t="array" ref="BK109">INDEX(Info!$AD$4:$AH$15,MATCH(Info!$I$14,Info!$AC$4:$AC$15,0),IF(N109&lt;=16,1,IF(N109&lt;=40,2,IF(N109&lt;=75,3,IF(N109&lt;=100,4,5)))))</f>
        <v>355</v>
      </c>
      <c r="BL109" s="13">
        <f>IF(Stress!C938="Positive",MAX(MIN(0.7*BI109,BK109),0.5*BI109),MAX(MIN(0.7*BJ109,BK109),0.5*BJ109))</f>
        <v>266</v>
      </c>
      <c r="BM109" s="13" cm="1">
        <f t="array" ref="BM109">INDEX(Info!$AD$4:$AH$15,MATCH(Info!$I$13,Info!$AC$4:$AC$15,0),IF(AI109&lt;=16,1,IF(AI109&lt;=40,2,IF(AI109&lt;=75,3,IF(AI109&lt;=100,4,5)))))</f>
        <v>380</v>
      </c>
      <c r="BN109" s="13" cm="1">
        <f t="array" ref="BN109">INDEX(Info!$AD$4:$AH$15,MATCH(Info!$I$13,Info!$AC$4:$AC$15,0),IF(AF109&lt;=16,1,IF(AF109&lt;=40,2,IF(AF109&lt;=75,3,IF(AF109&lt;=100,4,5)))))</f>
        <v>380</v>
      </c>
      <c r="BO109" s="13"/>
      <c r="BP109" s="873">
        <f t="shared" si="373"/>
        <v>0.12491115849324805</v>
      </c>
      <c r="BQ109" s="873">
        <f t="shared" si="374"/>
        <v>2835.8681651303891</v>
      </c>
      <c r="BR109" s="873">
        <f t="shared" si="375"/>
        <v>3134</v>
      </c>
      <c r="BS109" s="873"/>
      <c r="BT109" s="871">
        <f t="shared" si="376"/>
        <v>0</v>
      </c>
      <c r="BU109" s="136">
        <f t="shared" si="377"/>
        <v>0</v>
      </c>
      <c r="BV109" s="871">
        <f t="shared" si="378"/>
        <v>1595000</v>
      </c>
      <c r="BW109" s="871">
        <f t="shared" si="379"/>
        <v>11178291666.666666</v>
      </c>
      <c r="BX109" s="871">
        <f t="shared" si="380"/>
        <v>0</v>
      </c>
      <c r="BY109" s="871">
        <f t="shared" si="381"/>
        <v>0</v>
      </c>
      <c r="BZ109" s="871">
        <f t="shared" si="382"/>
        <v>7655.2758986349281</v>
      </c>
      <c r="CA109" s="871">
        <f t="shared" si="383"/>
        <v>172722.16246295057</v>
      </c>
      <c r="CB109" s="871">
        <f t="shared" si="384"/>
        <v>5428.6721054031623</v>
      </c>
      <c r="CC109" s="871">
        <f t="shared" si="385"/>
        <v>86858.753686450596</v>
      </c>
      <c r="CE109" s="1137">
        <f t="shared" si="386"/>
        <v>350792629.15766376</v>
      </c>
      <c r="CF109" s="1136">
        <f t="shared" si="387"/>
        <v>409682062.22222221</v>
      </c>
      <c r="CG109" s="1136">
        <f t="shared" si="388"/>
        <v>0</v>
      </c>
      <c r="CH109" s="172">
        <f t="shared" si="389"/>
        <v>4020729166666.6665</v>
      </c>
      <c r="CJ109" s="136">
        <f t="shared" si="390"/>
        <v>179290.83596312936</v>
      </c>
      <c r="CK109" s="7">
        <f t="shared" si="391"/>
        <v>266753445076.4816</v>
      </c>
      <c r="CL109" s="875">
        <f t="shared" si="392"/>
        <v>1563.7413821658145</v>
      </c>
      <c r="CM109" s="6">
        <f t="shared" si="393"/>
        <v>1320.2586178341855</v>
      </c>
      <c r="CN109" s="876">
        <f t="shared" si="264"/>
        <v>170586676.3639794</v>
      </c>
      <c r="CO109" s="876">
        <f t="shared" si="265"/>
        <v>202046357.79168516</v>
      </c>
      <c r="CP109" s="1137">
        <f t="shared" si="394"/>
        <v>156447512779.44354</v>
      </c>
      <c r="CQ109" s="1136">
        <f t="shared" si="395"/>
        <v>33960831594.010143</v>
      </c>
      <c r="CR109" s="877">
        <f t="shared" si="396"/>
        <v>179290.83596312936</v>
      </c>
      <c r="CS109" s="874">
        <f t="shared" si="397"/>
        <v>266753445076.4816</v>
      </c>
      <c r="CT109" s="875">
        <f t="shared" si="398"/>
        <v>1563.7413821658145</v>
      </c>
      <c r="CU109" s="878">
        <f t="shared" si="399"/>
        <v>1320.2586178341855</v>
      </c>
      <c r="CV109" s="876">
        <f t="shared" si="400"/>
        <v>170586676.3639794</v>
      </c>
      <c r="CW109" s="876">
        <f t="shared" si="401"/>
        <v>202046357.79168516</v>
      </c>
      <c r="CX109" s="1136">
        <f t="shared" si="402"/>
        <v>156447512779.44354</v>
      </c>
      <c r="CY109" s="1136">
        <f t="shared" si="403"/>
        <v>33960831594.010143</v>
      </c>
      <c r="CZ109" s="877">
        <f t="shared" si="404"/>
        <v>179290.83596312936</v>
      </c>
      <c r="DA109" s="874">
        <f t="shared" si="405"/>
        <v>266753445076.4816</v>
      </c>
      <c r="DB109" s="875">
        <f t="shared" si="406"/>
        <v>1563.7413821658145</v>
      </c>
      <c r="DC109" s="878">
        <f t="shared" si="407"/>
        <v>1320.2586178341855</v>
      </c>
      <c r="DD109" s="876">
        <f t="shared" si="266"/>
        <v>170586676.3639794</v>
      </c>
      <c r="DE109" s="876">
        <f t="shared" si="267"/>
        <v>202046357.79168516</v>
      </c>
      <c r="DF109" s="1136">
        <f t="shared" si="408"/>
        <v>156447512779.44354</v>
      </c>
      <c r="DG109" s="1136">
        <f t="shared" si="409"/>
        <v>33960831594.010143</v>
      </c>
      <c r="DH109" s="877">
        <f t="shared" si="410"/>
        <v>427202.52249514393</v>
      </c>
      <c r="DI109" s="879">
        <f t="shared" si="411"/>
        <v>558224821559.12451</v>
      </c>
      <c r="DJ109" s="878">
        <f t="shared" si="412"/>
        <v>595.34707582555939</v>
      </c>
      <c r="DK109" s="877">
        <f t="shared" si="413"/>
        <v>2288.6529241744406</v>
      </c>
      <c r="DL109" s="876">
        <f t="shared" si="268"/>
        <v>937646029.05799448</v>
      </c>
      <c r="DM109" s="876">
        <f t="shared" si="269"/>
        <v>243909775.77366236</v>
      </c>
      <c r="DN109" s="7">
        <f t="shared" si="414"/>
        <v>781391555912.23022</v>
      </c>
      <c r="DO109" s="1136">
        <f t="shared" si="415"/>
        <v>232291919953.91696</v>
      </c>
      <c r="DP109" s="877">
        <f t="shared" si="416"/>
        <v>261928.06480713421</v>
      </c>
      <c r="DQ109" s="879">
        <f t="shared" si="417"/>
        <v>424850480392.37915</v>
      </c>
      <c r="DR109" s="877">
        <f t="shared" si="418"/>
        <v>1037.2603287474358</v>
      </c>
      <c r="DS109" s="877">
        <f t="shared" si="419"/>
        <v>1846.7396712525642</v>
      </c>
      <c r="DT109" s="876">
        <f t="shared" si="270"/>
        <v>409589057.46006477</v>
      </c>
      <c r="DU109" s="876">
        <f t="shared" si="271"/>
        <v>230054342.25833321</v>
      </c>
      <c r="DV109" s="1136">
        <f t="shared" si="420"/>
        <v>364762193823.70581</v>
      </c>
      <c r="DW109" s="1136">
        <f t="shared" si="421"/>
        <v>232291919953.91696</v>
      </c>
      <c r="DX109" s="880">
        <f t="shared" si="422"/>
        <v>192374.78396716746</v>
      </c>
      <c r="DY109" s="874">
        <f t="shared" si="423"/>
        <v>301328417339.36444</v>
      </c>
      <c r="DZ109" s="873">
        <f t="shared" si="424"/>
        <v>1449.4282395478074</v>
      </c>
      <c r="EA109" s="880">
        <f t="shared" si="425"/>
        <v>1434.5717604521926</v>
      </c>
      <c r="EB109" s="876">
        <f t="shared" si="272"/>
        <v>207894678.13416749</v>
      </c>
      <c r="EC109" s="876">
        <f t="shared" si="273"/>
        <v>210047643.23841316</v>
      </c>
      <c r="ED109" s="1136">
        <f t="shared" si="426"/>
        <v>781391555912.23022</v>
      </c>
      <c r="EE109" s="1136">
        <f t="shared" si="427"/>
        <v>232291919953.91696</v>
      </c>
      <c r="EF109" s="880">
        <f t="shared" si="428"/>
        <v>183652.1519644754</v>
      </c>
      <c r="EG109" s="874">
        <f t="shared" si="429"/>
        <v>278823804306.33636</v>
      </c>
      <c r="EH109" s="873">
        <f t="shared" si="430"/>
        <v>1523.8272185681001</v>
      </c>
      <c r="EI109" s="880">
        <f t="shared" si="431"/>
        <v>1360.1727814318999</v>
      </c>
      <c r="EJ109" s="876">
        <f t="shared" si="274"/>
        <v>182975996.82484978</v>
      </c>
      <c r="EK109" s="876">
        <f t="shared" si="275"/>
        <v>204991459.99143514</v>
      </c>
      <c r="EL109" s="1136">
        <f t="shared" si="337"/>
        <v>364762193823.70581</v>
      </c>
      <c r="EM109" s="1136">
        <f t="shared" si="338"/>
        <v>232291919953.91696</v>
      </c>
      <c r="EN109" s="876"/>
      <c r="EO109" s="876"/>
    </row>
    <row r="110" spans="1:145" s="871" customFormat="1">
      <c r="B110" s="871" t="str">
        <f t="shared" ref="B110" si="442">LEFT(B108,3)+1&amp;"j"</f>
        <v>223j</v>
      </c>
      <c r="C110" s="871">
        <v>96.9</v>
      </c>
      <c r="D110" s="871">
        <v>0</v>
      </c>
      <c r="E110" s="871" t="s">
        <v>2117</v>
      </c>
      <c r="F110" s="26">
        <v>2</v>
      </c>
      <c r="G110" s="136">
        <v>600</v>
      </c>
      <c r="H110" s="136">
        <v>40</v>
      </c>
      <c r="I110" s="28">
        <v>250</v>
      </c>
      <c r="J110" s="26">
        <v>1937</v>
      </c>
      <c r="K110" s="136">
        <v>30</v>
      </c>
      <c r="L110" s="28">
        <v>120</v>
      </c>
      <c r="M110" s="26">
        <v>2814</v>
      </c>
      <c r="N110" s="28">
        <v>12</v>
      </c>
      <c r="O110" s="397">
        <v>0</v>
      </c>
      <c r="P110" s="26">
        <v>290</v>
      </c>
      <c r="Q110" s="397">
        <v>5500</v>
      </c>
      <c r="R110" s="169">
        <v>0</v>
      </c>
      <c r="S110" s="210">
        <v>0</v>
      </c>
      <c r="T110" s="210">
        <v>1200</v>
      </c>
      <c r="U110" s="210">
        <v>2400</v>
      </c>
      <c r="V110" s="872">
        <v>3800</v>
      </c>
      <c r="W110" s="210">
        <v>19</v>
      </c>
      <c r="X110" s="210">
        <v>200</v>
      </c>
      <c r="Y110" s="210">
        <v>50</v>
      </c>
      <c r="Z110" s="210">
        <v>16</v>
      </c>
      <c r="AA110" s="210">
        <v>200</v>
      </c>
      <c r="AB110" s="872">
        <v>40</v>
      </c>
      <c r="AC110" s="210">
        <v>0</v>
      </c>
      <c r="AD110" s="397">
        <v>2</v>
      </c>
      <c r="AE110" s="210">
        <v>160</v>
      </c>
      <c r="AF110" s="210">
        <v>16</v>
      </c>
      <c r="AG110" s="397">
        <v>0</v>
      </c>
      <c r="AH110" s="210">
        <v>0</v>
      </c>
      <c r="AI110" s="210">
        <v>0</v>
      </c>
      <c r="AJ110" s="397">
        <v>2</v>
      </c>
      <c r="AK110" s="210">
        <v>2500</v>
      </c>
      <c r="AL110" s="210">
        <v>5000</v>
      </c>
      <c r="AM110" s="210" t="s">
        <v>2316</v>
      </c>
      <c r="AN110" s="210">
        <v>2500</v>
      </c>
      <c r="AO110" s="1143" t="s">
        <v>2321</v>
      </c>
      <c r="AP110" s="1143" t="s">
        <v>2321</v>
      </c>
      <c r="AQ110" s="1143"/>
      <c r="AR110" s="1143"/>
      <c r="AS110" s="1143"/>
      <c r="AT110" s="1143"/>
      <c r="AU110" s="1143"/>
      <c r="AV110" s="1111"/>
      <c r="AW110" s="1111"/>
      <c r="AX110" s="1111"/>
      <c r="AY110" s="1111"/>
      <c r="AZ110" s="1108">
        <v>8</v>
      </c>
      <c r="BA110" s="1108">
        <v>6</v>
      </c>
      <c r="BB110" s="1111"/>
      <c r="BC110" s="1168"/>
      <c r="BD110" s="210">
        <f>INDEX(Spec!$B$12:$P$58,MATCH(AO110,Spec!$A$12:$A$58,0),6)*100</f>
        <v>1900</v>
      </c>
      <c r="BE110" s="210">
        <f>INDEX(Spec!$B$12:$P$58,MATCH(AP110,Spec!$A$12:$A$58,0),6)*100</f>
        <v>1900</v>
      </c>
      <c r="BF110" s="881">
        <f t="shared" si="371"/>
        <v>0.70187031526833676</v>
      </c>
      <c r="BG110" s="881">
        <f t="shared" si="372"/>
        <v>47.243485714285718</v>
      </c>
      <c r="BH110" s="881"/>
      <c r="BI110" s="13" cm="1">
        <f t="array" ref="BI110">INDEX(Info!$AD$4:$AH$15,MATCH(Info!$I$13,Info!$AC$4:$AC$15,0),IF(H110&lt;=16,1,IF(H110&lt;=40,2,IF(H110&lt;=75,3,IF(H110&lt;=100,4,5)))))</f>
        <v>380</v>
      </c>
      <c r="BJ110" s="13" cm="1">
        <f t="array" ref="BJ110">INDEX(Info!$AD$4:$AH$15,MATCH(Info!$I$13,Info!$AC$4:$AC$15,0),IF(K110&lt;=16,1,IF(K110&lt;=40,2,IF(K110&lt;=75,3,IF(K110&lt;=100,4,5)))))</f>
        <v>380</v>
      </c>
      <c r="BK110" s="13" cm="1">
        <f t="array" ref="BK110">INDEX(Info!$AD$4:$AH$15,MATCH(Info!$I$14,Info!$AC$4:$AC$15,0),IF(N110&lt;=16,1,IF(N110&lt;=40,2,IF(N110&lt;=75,3,IF(N110&lt;=100,4,5)))))</f>
        <v>355</v>
      </c>
      <c r="BL110" s="13">
        <f>IF(Stress!C939="Positive",MAX(MIN(0.7*BI110,BK110),0.5*BI110),MAX(MIN(0.7*BJ110,BK110),0.5*BJ110))</f>
        <v>266</v>
      </c>
      <c r="BM110" s="13" cm="1">
        <f t="array" ref="BM110">INDEX(Info!$AD$4:$AH$15,MATCH(Info!$I$13,Info!$AC$4:$AC$15,0),IF(AI110&lt;=16,1,IF(AI110&lt;=40,2,IF(AI110&lt;=75,3,IF(AI110&lt;=100,4,5)))))</f>
        <v>380</v>
      </c>
      <c r="BN110" s="13" cm="1">
        <f t="array" ref="BN110">INDEX(Info!$AD$4:$AH$15,MATCH(Info!$I$13,Info!$AC$4:$AC$15,0),IF(AF110&lt;=16,1,IF(AF110&lt;=40,2,IF(AF110&lt;=75,3,IF(AF110&lt;=100,4,5)))))</f>
        <v>380</v>
      </c>
      <c r="BO110" s="13"/>
      <c r="BP110" s="873">
        <f t="shared" si="373"/>
        <v>0.12491115849324805</v>
      </c>
      <c r="BQ110" s="873">
        <f t="shared" si="374"/>
        <v>2835.8681651303891</v>
      </c>
      <c r="BR110" s="873">
        <f t="shared" si="375"/>
        <v>3134</v>
      </c>
      <c r="BS110" s="873"/>
      <c r="BT110" s="871">
        <f t="shared" si="376"/>
        <v>0</v>
      </c>
      <c r="BU110" s="136">
        <f t="shared" si="377"/>
        <v>0</v>
      </c>
      <c r="BV110" s="871">
        <f t="shared" si="378"/>
        <v>1595000</v>
      </c>
      <c r="BW110" s="871">
        <f t="shared" si="379"/>
        <v>11178291666.666666</v>
      </c>
      <c r="BX110" s="871">
        <f t="shared" si="380"/>
        <v>0</v>
      </c>
      <c r="BY110" s="871">
        <f t="shared" si="381"/>
        <v>0</v>
      </c>
      <c r="BZ110" s="871">
        <f t="shared" si="382"/>
        <v>7655.2758986349281</v>
      </c>
      <c r="CA110" s="871">
        <f t="shared" si="383"/>
        <v>172722.16246295057</v>
      </c>
      <c r="CB110" s="871">
        <f t="shared" si="384"/>
        <v>5428.6721054031623</v>
      </c>
      <c r="CC110" s="871">
        <f t="shared" si="385"/>
        <v>86858.753686450596</v>
      </c>
      <c r="CE110" s="1137">
        <f t="shared" si="386"/>
        <v>350792629.15766376</v>
      </c>
      <c r="CF110" s="1136">
        <f t="shared" si="387"/>
        <v>409682062.22222221</v>
      </c>
      <c r="CG110" s="1136">
        <f t="shared" si="388"/>
        <v>0</v>
      </c>
      <c r="CH110" s="172">
        <f t="shared" si="389"/>
        <v>4020729166666.6665</v>
      </c>
      <c r="CJ110" s="136">
        <f t="shared" si="390"/>
        <v>179290.83596312936</v>
      </c>
      <c r="CK110" s="7">
        <f t="shared" si="391"/>
        <v>266753445076.4816</v>
      </c>
      <c r="CL110" s="875">
        <f t="shared" si="392"/>
        <v>1563.7413821658145</v>
      </c>
      <c r="CM110" s="6">
        <f t="shared" si="393"/>
        <v>1320.2586178341855</v>
      </c>
      <c r="CN110" s="876">
        <f t="shared" si="264"/>
        <v>170586676.3639794</v>
      </c>
      <c r="CO110" s="876">
        <f t="shared" si="265"/>
        <v>202046357.79168516</v>
      </c>
      <c r="CP110" s="1137">
        <f t="shared" si="394"/>
        <v>156447512779.44354</v>
      </c>
      <c r="CQ110" s="1136">
        <f t="shared" si="395"/>
        <v>33960831594.010143</v>
      </c>
      <c r="CR110" s="877">
        <f t="shared" si="396"/>
        <v>179290.83596312936</v>
      </c>
      <c r="CS110" s="874">
        <f t="shared" si="397"/>
        <v>266753445076.4816</v>
      </c>
      <c r="CT110" s="875">
        <f t="shared" si="398"/>
        <v>1563.7413821658145</v>
      </c>
      <c r="CU110" s="878">
        <f t="shared" si="399"/>
        <v>1320.2586178341855</v>
      </c>
      <c r="CV110" s="876">
        <f t="shared" si="400"/>
        <v>170586676.3639794</v>
      </c>
      <c r="CW110" s="876">
        <f t="shared" si="401"/>
        <v>202046357.79168516</v>
      </c>
      <c r="CX110" s="1136">
        <f t="shared" si="402"/>
        <v>156447512779.44354</v>
      </c>
      <c r="CY110" s="1136">
        <f t="shared" si="403"/>
        <v>33960831594.010143</v>
      </c>
      <c r="CZ110" s="877">
        <f t="shared" si="404"/>
        <v>179290.83596312936</v>
      </c>
      <c r="DA110" s="874">
        <f t="shared" si="405"/>
        <v>266753445076.4816</v>
      </c>
      <c r="DB110" s="875">
        <f t="shared" si="406"/>
        <v>1563.7413821658145</v>
      </c>
      <c r="DC110" s="878">
        <f t="shared" si="407"/>
        <v>1320.2586178341855</v>
      </c>
      <c r="DD110" s="876">
        <f t="shared" si="266"/>
        <v>170586676.3639794</v>
      </c>
      <c r="DE110" s="876">
        <f t="shared" si="267"/>
        <v>202046357.79168516</v>
      </c>
      <c r="DF110" s="1136">
        <f t="shared" si="408"/>
        <v>156447512779.44354</v>
      </c>
      <c r="DG110" s="1136">
        <f t="shared" si="409"/>
        <v>33960831594.010143</v>
      </c>
      <c r="DH110" s="877">
        <f t="shared" si="410"/>
        <v>427202.52249514393</v>
      </c>
      <c r="DI110" s="879">
        <f t="shared" si="411"/>
        <v>558224821559.12451</v>
      </c>
      <c r="DJ110" s="878">
        <f t="shared" si="412"/>
        <v>595.34707582555939</v>
      </c>
      <c r="DK110" s="877">
        <f t="shared" si="413"/>
        <v>2288.6529241744406</v>
      </c>
      <c r="DL110" s="876">
        <f t="shared" si="268"/>
        <v>937646029.05799448</v>
      </c>
      <c r="DM110" s="876">
        <f t="shared" si="269"/>
        <v>243909775.77366236</v>
      </c>
      <c r="DN110" s="7">
        <f t="shared" si="414"/>
        <v>781391555912.23022</v>
      </c>
      <c r="DO110" s="1136">
        <f t="shared" si="415"/>
        <v>232291919953.91696</v>
      </c>
      <c r="DP110" s="877">
        <f t="shared" si="416"/>
        <v>261928.06480713421</v>
      </c>
      <c r="DQ110" s="879">
        <f t="shared" si="417"/>
        <v>424850480392.37915</v>
      </c>
      <c r="DR110" s="877">
        <f t="shared" si="418"/>
        <v>1037.2603287474358</v>
      </c>
      <c r="DS110" s="877">
        <f t="shared" si="419"/>
        <v>1846.7396712525642</v>
      </c>
      <c r="DT110" s="876">
        <f t="shared" si="270"/>
        <v>409589057.46006477</v>
      </c>
      <c r="DU110" s="876">
        <f t="shared" si="271"/>
        <v>230054342.25833321</v>
      </c>
      <c r="DV110" s="1136">
        <f t="shared" si="420"/>
        <v>364762193823.70581</v>
      </c>
      <c r="DW110" s="1136">
        <f t="shared" si="421"/>
        <v>232291919953.91696</v>
      </c>
      <c r="DX110" s="880">
        <f t="shared" si="422"/>
        <v>192374.78396716746</v>
      </c>
      <c r="DY110" s="874">
        <f t="shared" si="423"/>
        <v>301328417339.36444</v>
      </c>
      <c r="DZ110" s="873">
        <f t="shared" si="424"/>
        <v>1449.4282395478074</v>
      </c>
      <c r="EA110" s="880">
        <f t="shared" si="425"/>
        <v>1434.5717604521926</v>
      </c>
      <c r="EB110" s="876">
        <f t="shared" si="272"/>
        <v>207894678.13416749</v>
      </c>
      <c r="EC110" s="876">
        <f t="shared" si="273"/>
        <v>210047643.23841316</v>
      </c>
      <c r="ED110" s="1136">
        <f t="shared" si="426"/>
        <v>781391555912.23022</v>
      </c>
      <c r="EE110" s="1136">
        <f t="shared" si="427"/>
        <v>232291919953.91696</v>
      </c>
      <c r="EF110" s="880">
        <f t="shared" si="428"/>
        <v>183652.1519644754</v>
      </c>
      <c r="EG110" s="874">
        <f t="shared" si="429"/>
        <v>278823804306.33636</v>
      </c>
      <c r="EH110" s="873">
        <f t="shared" si="430"/>
        <v>1523.8272185681001</v>
      </c>
      <c r="EI110" s="880">
        <f t="shared" si="431"/>
        <v>1360.1727814318999</v>
      </c>
      <c r="EJ110" s="876">
        <f t="shared" si="274"/>
        <v>182975996.82484978</v>
      </c>
      <c r="EK110" s="876">
        <f t="shared" si="275"/>
        <v>204991459.99143514</v>
      </c>
      <c r="EL110" s="1136">
        <f t="shared" si="337"/>
        <v>364762193823.70581</v>
      </c>
      <c r="EM110" s="1136">
        <f t="shared" si="338"/>
        <v>232291919953.91696</v>
      </c>
      <c r="EN110" s="876"/>
      <c r="EO110" s="876"/>
    </row>
    <row r="111" spans="1:145" s="871" customFormat="1">
      <c r="A111" s="871">
        <v>124</v>
      </c>
      <c r="B111" s="871" t="str">
        <f t="shared" ref="B111" si="443">LEFT(B109,3)+1&amp;"i"</f>
        <v>224i</v>
      </c>
      <c r="C111" s="871">
        <v>96.9</v>
      </c>
      <c r="D111" s="871">
        <v>0</v>
      </c>
      <c r="E111" s="871" t="s">
        <v>2118</v>
      </c>
      <c r="F111" s="26">
        <v>2</v>
      </c>
      <c r="G111" s="136">
        <v>500</v>
      </c>
      <c r="H111" s="136">
        <v>26</v>
      </c>
      <c r="I111" s="28">
        <v>250</v>
      </c>
      <c r="J111" s="26">
        <v>1940</v>
      </c>
      <c r="K111" s="136">
        <v>24</v>
      </c>
      <c r="L111" s="28">
        <v>120</v>
      </c>
      <c r="M111" s="26">
        <v>2800</v>
      </c>
      <c r="N111" s="28">
        <v>12</v>
      </c>
      <c r="O111" s="397">
        <v>0</v>
      </c>
      <c r="P111" s="26">
        <v>290</v>
      </c>
      <c r="Q111" s="397">
        <v>5500</v>
      </c>
      <c r="R111" s="169">
        <v>0</v>
      </c>
      <c r="S111" s="210">
        <v>0</v>
      </c>
      <c r="T111" s="210">
        <v>1200</v>
      </c>
      <c r="U111" s="210">
        <v>2400</v>
      </c>
      <c r="V111" s="872">
        <v>3800</v>
      </c>
      <c r="W111" s="210">
        <v>19</v>
      </c>
      <c r="X111" s="210">
        <v>200</v>
      </c>
      <c r="Y111" s="210">
        <v>50</v>
      </c>
      <c r="Z111" s="210">
        <v>16</v>
      </c>
      <c r="AA111" s="210">
        <v>200</v>
      </c>
      <c r="AB111" s="872">
        <v>40</v>
      </c>
      <c r="AC111" s="210">
        <v>0</v>
      </c>
      <c r="AD111" s="397">
        <v>2</v>
      </c>
      <c r="AE111" s="210">
        <v>160</v>
      </c>
      <c r="AF111" s="210">
        <v>16</v>
      </c>
      <c r="AG111" s="397">
        <v>0</v>
      </c>
      <c r="AH111" s="210">
        <v>0</v>
      </c>
      <c r="AI111" s="210">
        <v>0</v>
      </c>
      <c r="AJ111" s="397">
        <v>2</v>
      </c>
      <c r="AK111" s="210">
        <v>2500</v>
      </c>
      <c r="AL111" s="210">
        <v>5000</v>
      </c>
      <c r="AM111" s="210" t="s">
        <v>2316</v>
      </c>
      <c r="AN111" s="210">
        <v>2500</v>
      </c>
      <c r="AO111" s="1143" t="s">
        <v>2321</v>
      </c>
      <c r="AP111" s="1143" t="s">
        <v>2321</v>
      </c>
      <c r="AQ111" s="1143"/>
      <c r="AR111" s="1143"/>
      <c r="AS111" s="1143"/>
      <c r="AT111" s="1143"/>
      <c r="AU111" s="1143"/>
      <c r="AV111" s="1111"/>
      <c r="AW111" s="1111"/>
      <c r="AX111" s="1111"/>
      <c r="AY111" s="1111"/>
      <c r="AZ111" s="1108">
        <v>8</v>
      </c>
      <c r="BA111" s="1108">
        <v>6</v>
      </c>
      <c r="BB111" s="1111"/>
      <c r="BC111" s="1168"/>
      <c r="BD111" s="210">
        <f>INDEX(Spec!$B$12:$P$58,MATCH(AO111,Spec!$A$12:$A$58,0),6)*100</f>
        <v>1900</v>
      </c>
      <c r="BE111" s="210">
        <f>INDEX(Spec!$B$12:$P$58,MATCH(AP111,Spec!$A$12:$A$58,0),6)*100</f>
        <v>1900</v>
      </c>
      <c r="BF111" s="881">
        <f t="shared" si="371"/>
        <v>0.69670326754723877</v>
      </c>
      <c r="BG111" s="881">
        <f t="shared" si="372"/>
        <v>47.243485714285718</v>
      </c>
      <c r="BH111" s="881"/>
      <c r="BI111" s="13" cm="1">
        <f t="array" ref="BI111">INDEX(Info!$AD$4:$AH$15,MATCH(Info!$I$13,Info!$AC$4:$AC$15,0),IF(H111&lt;=16,1,IF(H111&lt;=40,2,IF(H111&lt;=75,3,IF(H111&lt;=100,4,5)))))</f>
        <v>380</v>
      </c>
      <c r="BJ111" s="13" cm="1">
        <f t="array" ref="BJ111">INDEX(Info!$AD$4:$AH$15,MATCH(Info!$I$13,Info!$AC$4:$AC$15,0),IF(K111&lt;=16,1,IF(K111&lt;=40,2,IF(K111&lt;=75,3,IF(K111&lt;=100,4,5)))))</f>
        <v>380</v>
      </c>
      <c r="BK111" s="13" cm="1">
        <f t="array" ref="BK111">INDEX(Info!$AD$4:$AH$15,MATCH(Info!$I$14,Info!$AC$4:$AC$15,0),IF(N111&lt;=16,1,IF(N111&lt;=40,2,IF(N111&lt;=75,3,IF(N111&lt;=100,4,5)))))</f>
        <v>355</v>
      </c>
      <c r="BL111" s="13">
        <f>IF(Stress!C940="Positive",MAX(MIN(0.7*BI111,BK111),0.5*BI111),MAX(MIN(0.7*BJ111,BK111),0.5*BJ111))</f>
        <v>266</v>
      </c>
      <c r="BM111" s="13" cm="1">
        <f t="array" ref="BM111">INDEX(Info!$AD$4:$AH$15,MATCH(Info!$I$13,Info!$AC$4:$AC$15,0),IF(AI111&lt;=16,1,IF(AI111&lt;=40,2,IF(AI111&lt;=75,3,IF(AI111&lt;=100,4,5)))))</f>
        <v>380</v>
      </c>
      <c r="BN111" s="13" cm="1">
        <f t="array" ref="BN111">INDEX(Info!$AD$4:$AH$15,MATCH(Info!$I$13,Info!$AC$4:$AC$15,0),IF(AF111&lt;=16,1,IF(AF111&lt;=40,2,IF(AF111&lt;=75,3,IF(AF111&lt;=100,4,5)))))</f>
        <v>380</v>
      </c>
      <c r="BO111" s="13"/>
      <c r="BP111" s="873">
        <f t="shared" si="373"/>
        <v>0.125</v>
      </c>
      <c r="BQ111" s="873">
        <f t="shared" si="374"/>
        <v>2821.7902119044925</v>
      </c>
      <c r="BR111" s="873">
        <f t="shared" si="375"/>
        <v>3114</v>
      </c>
      <c r="BS111" s="873"/>
      <c r="BT111" s="871">
        <f t="shared" si="376"/>
        <v>0</v>
      </c>
      <c r="BU111" s="136">
        <f t="shared" si="377"/>
        <v>0</v>
      </c>
      <c r="BV111" s="871">
        <f t="shared" si="378"/>
        <v>1595000</v>
      </c>
      <c r="BW111" s="871">
        <f t="shared" si="379"/>
        <v>11178291666.666666</v>
      </c>
      <c r="BX111" s="871">
        <f t="shared" si="380"/>
        <v>0</v>
      </c>
      <c r="BY111" s="871">
        <f t="shared" si="381"/>
        <v>0</v>
      </c>
      <c r="BZ111" s="871">
        <f t="shared" si="382"/>
        <v>7655.2758986349281</v>
      </c>
      <c r="CA111" s="871">
        <f t="shared" si="383"/>
        <v>172722.16246295057</v>
      </c>
      <c r="CB111" s="871">
        <f t="shared" si="384"/>
        <v>5428.6721054031623</v>
      </c>
      <c r="CC111" s="871">
        <f t="shared" si="385"/>
        <v>86858.753686450596</v>
      </c>
      <c r="CE111" s="1137">
        <f t="shared" si="386"/>
        <v>346081987.77679139</v>
      </c>
      <c r="CF111" s="1136">
        <f t="shared" si="387"/>
        <v>411131448.88888884</v>
      </c>
      <c r="CG111" s="1136">
        <f t="shared" si="388"/>
        <v>0</v>
      </c>
      <c r="CH111" s="172">
        <f t="shared" si="389"/>
        <v>4020729166666.6665</v>
      </c>
      <c r="CJ111" s="136">
        <f t="shared" si="390"/>
        <v>145402.96508570784</v>
      </c>
      <c r="CK111" s="7">
        <f t="shared" si="391"/>
        <v>189124645922.75742</v>
      </c>
      <c r="CL111" s="875">
        <f t="shared" si="392"/>
        <v>1671.9586706427854</v>
      </c>
      <c r="CM111" s="6">
        <f t="shared" si="393"/>
        <v>1178.0413293572146</v>
      </c>
      <c r="CN111" s="876">
        <f t="shared" si="264"/>
        <v>113115622.55904828</v>
      </c>
      <c r="CO111" s="876">
        <f t="shared" si="265"/>
        <v>160541605.12853247</v>
      </c>
      <c r="CP111" s="1137">
        <f t="shared" si="394"/>
        <v>125681121405.19185</v>
      </c>
      <c r="CQ111" s="1136">
        <f t="shared" si="395"/>
        <v>33272728541.30838</v>
      </c>
      <c r="CR111" s="877">
        <f t="shared" si="396"/>
        <v>145402.96508570784</v>
      </c>
      <c r="CS111" s="874">
        <f t="shared" si="397"/>
        <v>189124645922.75742</v>
      </c>
      <c r="CT111" s="875">
        <f t="shared" si="398"/>
        <v>1671.9586706427854</v>
      </c>
      <c r="CU111" s="878">
        <f t="shared" si="399"/>
        <v>1178.0413293572146</v>
      </c>
      <c r="CV111" s="876">
        <f t="shared" si="400"/>
        <v>113115622.55904828</v>
      </c>
      <c r="CW111" s="876">
        <f t="shared" si="401"/>
        <v>160541605.12853247</v>
      </c>
      <c r="CX111" s="1136">
        <f t="shared" si="402"/>
        <v>125681121405.19185</v>
      </c>
      <c r="CY111" s="1136">
        <f t="shared" si="403"/>
        <v>33272728541.30838</v>
      </c>
      <c r="CZ111" s="877">
        <f t="shared" si="404"/>
        <v>145402.96508570784</v>
      </c>
      <c r="DA111" s="874">
        <f t="shared" si="405"/>
        <v>189124645922.75742</v>
      </c>
      <c r="DB111" s="875">
        <f t="shared" si="406"/>
        <v>1671.9586706427854</v>
      </c>
      <c r="DC111" s="878">
        <f t="shared" si="407"/>
        <v>1178.0413293572146</v>
      </c>
      <c r="DD111" s="876">
        <f t="shared" si="266"/>
        <v>113115622.55904828</v>
      </c>
      <c r="DE111" s="876">
        <f t="shared" si="267"/>
        <v>160541605.12853247</v>
      </c>
      <c r="DF111" s="1136">
        <f t="shared" si="408"/>
        <v>125681121405.19185</v>
      </c>
      <c r="DG111" s="1136">
        <f t="shared" si="409"/>
        <v>33272728541.30838</v>
      </c>
      <c r="DH111" s="877">
        <f t="shared" si="410"/>
        <v>393314.65161772241</v>
      </c>
      <c r="DI111" s="879">
        <f t="shared" si="411"/>
        <v>484830911260.67322</v>
      </c>
      <c r="DJ111" s="878">
        <f t="shared" si="412"/>
        <v>543.09255105635339</v>
      </c>
      <c r="DK111" s="877">
        <f t="shared" si="413"/>
        <v>2306.9074489436466</v>
      </c>
      <c r="DL111" s="876">
        <f t="shared" si="268"/>
        <v>892722447.24705362</v>
      </c>
      <c r="DM111" s="876">
        <f t="shared" si="269"/>
        <v>210164873.09999436</v>
      </c>
      <c r="DN111" s="7">
        <f t="shared" si="414"/>
        <v>750625164537.97864</v>
      </c>
      <c r="DO111" s="1136">
        <f t="shared" si="415"/>
        <v>224551840849.69873</v>
      </c>
      <c r="DP111" s="877">
        <f t="shared" si="416"/>
        <v>228040.1939297127</v>
      </c>
      <c r="DQ111" s="879">
        <f t="shared" si="417"/>
        <v>358712367866.07629</v>
      </c>
      <c r="DR111" s="877">
        <f t="shared" si="418"/>
        <v>1022.9508840519725</v>
      </c>
      <c r="DS111" s="877">
        <f t="shared" si="419"/>
        <v>1827.0491159480275</v>
      </c>
      <c r="DT111" s="876">
        <f t="shared" si="270"/>
        <v>350664311.9024387</v>
      </c>
      <c r="DU111" s="876">
        <f t="shared" si="271"/>
        <v>196334277.35189593</v>
      </c>
      <c r="DV111" s="1136">
        <f t="shared" si="420"/>
        <v>333995802449.4541</v>
      </c>
      <c r="DW111" s="1136">
        <f t="shared" si="421"/>
        <v>224551840849.69873</v>
      </c>
      <c r="DX111" s="880">
        <f t="shared" si="422"/>
        <v>158486.91308974594</v>
      </c>
      <c r="DY111" s="874">
        <f t="shared" si="423"/>
        <v>228272991963.38809</v>
      </c>
      <c r="DZ111" s="873">
        <f t="shared" si="424"/>
        <v>1523.1132530402854</v>
      </c>
      <c r="EA111" s="880">
        <f t="shared" si="425"/>
        <v>1326.8867469597146</v>
      </c>
      <c r="EB111" s="876">
        <f t="shared" si="272"/>
        <v>149872631.93182287</v>
      </c>
      <c r="EC111" s="876">
        <f t="shared" si="273"/>
        <v>172036530.23623022</v>
      </c>
      <c r="ED111" s="1136">
        <f t="shared" si="426"/>
        <v>750625164537.97864</v>
      </c>
      <c r="EE111" s="1136">
        <f t="shared" si="427"/>
        <v>224551840849.69873</v>
      </c>
      <c r="EF111" s="880">
        <f t="shared" si="428"/>
        <v>149764.28108705388</v>
      </c>
      <c r="EG111" s="874">
        <f t="shared" si="429"/>
        <v>202931654274.86081</v>
      </c>
      <c r="EH111" s="873">
        <f t="shared" si="430"/>
        <v>1619.4538263809727</v>
      </c>
      <c r="EI111" s="880">
        <f t="shared" si="431"/>
        <v>1230.5461736190273</v>
      </c>
      <c r="EJ111" s="876">
        <f t="shared" si="274"/>
        <v>125308700.35878479</v>
      </c>
      <c r="EK111" s="876">
        <f t="shared" si="275"/>
        <v>164911856.72297066</v>
      </c>
      <c r="EL111" s="1136">
        <f t="shared" si="337"/>
        <v>333995802449.4541</v>
      </c>
      <c r="EM111" s="1136">
        <f t="shared" si="338"/>
        <v>224551840849.69873</v>
      </c>
      <c r="EN111" s="876"/>
      <c r="EO111" s="876"/>
    </row>
    <row r="112" spans="1:145" s="871" customFormat="1">
      <c r="B112" s="871" t="str">
        <f t="shared" ref="B112" si="444">LEFT(B110,3)+1&amp;"j"</f>
        <v>224j</v>
      </c>
      <c r="C112" s="871">
        <v>101.9</v>
      </c>
      <c r="D112" s="871">
        <v>0</v>
      </c>
      <c r="E112" s="871" t="s">
        <v>2118</v>
      </c>
      <c r="F112" s="26">
        <v>2</v>
      </c>
      <c r="G112" s="136">
        <v>500</v>
      </c>
      <c r="H112" s="136">
        <v>26</v>
      </c>
      <c r="I112" s="28">
        <v>250</v>
      </c>
      <c r="J112" s="26">
        <v>1940</v>
      </c>
      <c r="K112" s="136">
        <v>24</v>
      </c>
      <c r="L112" s="28">
        <v>120</v>
      </c>
      <c r="M112" s="26">
        <v>2800</v>
      </c>
      <c r="N112" s="28">
        <v>12</v>
      </c>
      <c r="O112" s="397">
        <v>0</v>
      </c>
      <c r="P112" s="26">
        <v>290</v>
      </c>
      <c r="Q112" s="397">
        <v>5500</v>
      </c>
      <c r="R112" s="169">
        <v>0</v>
      </c>
      <c r="S112" s="210">
        <v>0</v>
      </c>
      <c r="T112" s="210">
        <v>1200</v>
      </c>
      <c r="U112" s="210">
        <v>2400</v>
      </c>
      <c r="V112" s="872">
        <v>3800</v>
      </c>
      <c r="W112" s="210">
        <v>19</v>
      </c>
      <c r="X112" s="210">
        <v>200</v>
      </c>
      <c r="Y112" s="210">
        <v>50</v>
      </c>
      <c r="Z112" s="210">
        <v>16</v>
      </c>
      <c r="AA112" s="210">
        <v>200</v>
      </c>
      <c r="AB112" s="872">
        <v>40</v>
      </c>
      <c r="AC112" s="210">
        <v>0</v>
      </c>
      <c r="AD112" s="397">
        <v>2</v>
      </c>
      <c r="AE112" s="210">
        <v>160</v>
      </c>
      <c r="AF112" s="210">
        <v>16</v>
      </c>
      <c r="AG112" s="397">
        <v>0</v>
      </c>
      <c r="AH112" s="210">
        <v>0</v>
      </c>
      <c r="AI112" s="210">
        <v>0</v>
      </c>
      <c r="AJ112" s="397">
        <v>2</v>
      </c>
      <c r="AK112" s="210">
        <v>2500</v>
      </c>
      <c r="AL112" s="210">
        <v>5000</v>
      </c>
      <c r="AM112" s="210" t="s">
        <v>2316</v>
      </c>
      <c r="AN112" s="210">
        <v>2500</v>
      </c>
      <c r="AO112" s="1143" t="s">
        <v>2321</v>
      </c>
      <c r="AP112" s="1143" t="s">
        <v>2321</v>
      </c>
      <c r="AQ112" s="1143"/>
      <c r="AR112" s="1143"/>
      <c r="AS112" s="1143"/>
      <c r="AT112" s="1143"/>
      <c r="AU112" s="1143"/>
      <c r="AV112" s="1111"/>
      <c r="AW112" s="1111"/>
      <c r="AX112" s="1111"/>
      <c r="AY112" s="1111"/>
      <c r="AZ112" s="1108">
        <v>8</v>
      </c>
      <c r="BA112" s="1108">
        <v>6</v>
      </c>
      <c r="BB112" s="1111"/>
      <c r="BC112" s="1168"/>
      <c r="BD112" s="210">
        <f>INDEX(Spec!$B$12:$P$58,MATCH(AO112,Spec!$A$12:$A$58,0),6)*100</f>
        <v>1900</v>
      </c>
      <c r="BE112" s="210">
        <f>INDEX(Spec!$B$12:$P$58,MATCH(AP112,Spec!$A$12:$A$58,0),6)*100</f>
        <v>1900</v>
      </c>
      <c r="BF112" s="881">
        <f t="shared" si="371"/>
        <v>0.69670326754723877</v>
      </c>
      <c r="BG112" s="881">
        <f t="shared" si="372"/>
        <v>47.243485714285718</v>
      </c>
      <c r="BH112" s="881"/>
      <c r="BI112" s="13" cm="1">
        <f t="array" ref="BI112">INDEX(Info!$AD$4:$AH$15,MATCH(Info!$I$13,Info!$AC$4:$AC$15,0),IF(H112&lt;=16,1,IF(H112&lt;=40,2,IF(H112&lt;=75,3,IF(H112&lt;=100,4,5)))))</f>
        <v>380</v>
      </c>
      <c r="BJ112" s="13" cm="1">
        <f t="array" ref="BJ112">INDEX(Info!$AD$4:$AH$15,MATCH(Info!$I$13,Info!$AC$4:$AC$15,0),IF(K112&lt;=16,1,IF(K112&lt;=40,2,IF(K112&lt;=75,3,IF(K112&lt;=100,4,5)))))</f>
        <v>380</v>
      </c>
      <c r="BK112" s="13" cm="1">
        <f t="array" ref="BK112">INDEX(Info!$AD$4:$AH$15,MATCH(Info!$I$14,Info!$AC$4:$AC$15,0),IF(N112&lt;=16,1,IF(N112&lt;=40,2,IF(N112&lt;=75,3,IF(N112&lt;=100,4,5)))))</f>
        <v>355</v>
      </c>
      <c r="BL112" s="13">
        <f>IF(Stress!C941="Positive",MAX(MIN(0.7*BI112,BK112),0.5*BI112),MAX(MIN(0.7*BJ112,BK112),0.5*BJ112))</f>
        <v>266</v>
      </c>
      <c r="BM112" s="13" cm="1">
        <f t="array" ref="BM112">INDEX(Info!$AD$4:$AH$15,MATCH(Info!$I$13,Info!$AC$4:$AC$15,0),IF(AI112&lt;=16,1,IF(AI112&lt;=40,2,IF(AI112&lt;=75,3,IF(AI112&lt;=100,4,5)))))</f>
        <v>380</v>
      </c>
      <c r="BN112" s="13" cm="1">
        <f t="array" ref="BN112">INDEX(Info!$AD$4:$AH$15,MATCH(Info!$I$13,Info!$AC$4:$AC$15,0),IF(AF112&lt;=16,1,IF(AF112&lt;=40,2,IF(AF112&lt;=75,3,IF(AF112&lt;=100,4,5)))))</f>
        <v>380</v>
      </c>
      <c r="BO112" s="13"/>
      <c r="BP112" s="873">
        <f t="shared" si="373"/>
        <v>0.125</v>
      </c>
      <c r="BQ112" s="873">
        <f t="shared" si="374"/>
        <v>2821.7902119044925</v>
      </c>
      <c r="BR112" s="873">
        <f t="shared" si="375"/>
        <v>3114</v>
      </c>
      <c r="BS112" s="873"/>
      <c r="BT112" s="871">
        <f t="shared" si="376"/>
        <v>0</v>
      </c>
      <c r="BU112" s="136">
        <f t="shared" si="377"/>
        <v>0</v>
      </c>
      <c r="BV112" s="871">
        <f t="shared" si="378"/>
        <v>1595000</v>
      </c>
      <c r="BW112" s="871">
        <f t="shared" si="379"/>
        <v>11178291666.666666</v>
      </c>
      <c r="BX112" s="871">
        <f t="shared" si="380"/>
        <v>0</v>
      </c>
      <c r="BY112" s="871">
        <f t="shared" si="381"/>
        <v>0</v>
      </c>
      <c r="BZ112" s="871">
        <f t="shared" si="382"/>
        <v>7655.2758986349281</v>
      </c>
      <c r="CA112" s="871">
        <f t="shared" si="383"/>
        <v>172722.16246295057</v>
      </c>
      <c r="CB112" s="871">
        <f t="shared" si="384"/>
        <v>5428.6721054031623</v>
      </c>
      <c r="CC112" s="871">
        <f t="shared" si="385"/>
        <v>86858.753686450596</v>
      </c>
      <c r="CE112" s="1137">
        <f t="shared" si="386"/>
        <v>346081987.77679139</v>
      </c>
      <c r="CF112" s="1136">
        <f t="shared" si="387"/>
        <v>411131448.88888884</v>
      </c>
      <c r="CG112" s="1136">
        <f t="shared" si="388"/>
        <v>0</v>
      </c>
      <c r="CH112" s="172">
        <f t="shared" si="389"/>
        <v>4020729166666.6665</v>
      </c>
      <c r="CJ112" s="136">
        <f t="shared" si="390"/>
        <v>145402.96508570784</v>
      </c>
      <c r="CK112" s="7">
        <f t="shared" si="391"/>
        <v>189124645922.75742</v>
      </c>
      <c r="CL112" s="875">
        <f t="shared" si="392"/>
        <v>1671.9586706427854</v>
      </c>
      <c r="CM112" s="6">
        <f t="shared" si="393"/>
        <v>1178.0413293572146</v>
      </c>
      <c r="CN112" s="876">
        <f t="shared" si="264"/>
        <v>113115622.55904828</v>
      </c>
      <c r="CO112" s="876">
        <f t="shared" si="265"/>
        <v>160541605.12853247</v>
      </c>
      <c r="CP112" s="1137">
        <f t="shared" si="394"/>
        <v>125681121405.19185</v>
      </c>
      <c r="CQ112" s="1136">
        <f t="shared" si="395"/>
        <v>33272728541.30838</v>
      </c>
      <c r="CR112" s="877">
        <f t="shared" si="396"/>
        <v>145402.96508570784</v>
      </c>
      <c r="CS112" s="874">
        <f t="shared" si="397"/>
        <v>189124645922.75742</v>
      </c>
      <c r="CT112" s="875">
        <f t="shared" si="398"/>
        <v>1671.9586706427854</v>
      </c>
      <c r="CU112" s="878">
        <f t="shared" si="399"/>
        <v>1178.0413293572146</v>
      </c>
      <c r="CV112" s="876">
        <f t="shared" si="400"/>
        <v>113115622.55904828</v>
      </c>
      <c r="CW112" s="876">
        <f t="shared" si="401"/>
        <v>160541605.12853247</v>
      </c>
      <c r="CX112" s="1136">
        <f t="shared" si="402"/>
        <v>125681121405.19185</v>
      </c>
      <c r="CY112" s="1136">
        <f t="shared" si="403"/>
        <v>33272728541.30838</v>
      </c>
      <c r="CZ112" s="877">
        <f t="shared" si="404"/>
        <v>145402.96508570784</v>
      </c>
      <c r="DA112" s="874">
        <f t="shared" si="405"/>
        <v>189124645922.75742</v>
      </c>
      <c r="DB112" s="875">
        <f t="shared" si="406"/>
        <v>1671.9586706427854</v>
      </c>
      <c r="DC112" s="878">
        <f t="shared" si="407"/>
        <v>1178.0413293572146</v>
      </c>
      <c r="DD112" s="876">
        <f t="shared" si="266"/>
        <v>113115622.55904828</v>
      </c>
      <c r="DE112" s="876">
        <f t="shared" si="267"/>
        <v>160541605.12853247</v>
      </c>
      <c r="DF112" s="1136">
        <f t="shared" si="408"/>
        <v>125681121405.19185</v>
      </c>
      <c r="DG112" s="1136">
        <f t="shared" si="409"/>
        <v>33272728541.30838</v>
      </c>
      <c r="DH112" s="877">
        <f t="shared" si="410"/>
        <v>393314.65161772241</v>
      </c>
      <c r="DI112" s="879">
        <f t="shared" si="411"/>
        <v>484830911260.67322</v>
      </c>
      <c r="DJ112" s="878">
        <f t="shared" si="412"/>
        <v>543.09255105635339</v>
      </c>
      <c r="DK112" s="877">
        <f t="shared" si="413"/>
        <v>2306.9074489436466</v>
      </c>
      <c r="DL112" s="876">
        <f t="shared" si="268"/>
        <v>892722447.24705362</v>
      </c>
      <c r="DM112" s="876">
        <f t="shared" si="269"/>
        <v>210164873.09999436</v>
      </c>
      <c r="DN112" s="7">
        <f t="shared" si="414"/>
        <v>750625164537.97864</v>
      </c>
      <c r="DO112" s="1136">
        <f t="shared" si="415"/>
        <v>224551840849.69873</v>
      </c>
      <c r="DP112" s="877">
        <f t="shared" si="416"/>
        <v>228040.1939297127</v>
      </c>
      <c r="DQ112" s="879">
        <f t="shared" si="417"/>
        <v>358712367866.07629</v>
      </c>
      <c r="DR112" s="877">
        <f t="shared" si="418"/>
        <v>1022.9508840519725</v>
      </c>
      <c r="DS112" s="877">
        <f t="shared" si="419"/>
        <v>1827.0491159480275</v>
      </c>
      <c r="DT112" s="876">
        <f t="shared" si="270"/>
        <v>350664311.9024387</v>
      </c>
      <c r="DU112" s="876">
        <f t="shared" si="271"/>
        <v>196334277.35189593</v>
      </c>
      <c r="DV112" s="1136">
        <f t="shared" si="420"/>
        <v>333995802449.4541</v>
      </c>
      <c r="DW112" s="1136">
        <f t="shared" si="421"/>
        <v>224551840849.69873</v>
      </c>
      <c r="DX112" s="880">
        <f t="shared" si="422"/>
        <v>158486.91308974594</v>
      </c>
      <c r="DY112" s="874">
        <f t="shared" si="423"/>
        <v>228272991963.38809</v>
      </c>
      <c r="DZ112" s="873">
        <f t="shared" si="424"/>
        <v>1523.1132530402854</v>
      </c>
      <c r="EA112" s="880">
        <f t="shared" si="425"/>
        <v>1326.8867469597146</v>
      </c>
      <c r="EB112" s="876">
        <f t="shared" si="272"/>
        <v>149872631.93182287</v>
      </c>
      <c r="EC112" s="876">
        <f t="shared" si="273"/>
        <v>172036530.23623022</v>
      </c>
      <c r="ED112" s="1136">
        <f t="shared" si="426"/>
        <v>750625164537.97864</v>
      </c>
      <c r="EE112" s="1136">
        <f t="shared" si="427"/>
        <v>224551840849.69873</v>
      </c>
      <c r="EF112" s="880">
        <f t="shared" si="428"/>
        <v>149764.28108705388</v>
      </c>
      <c r="EG112" s="874">
        <f t="shared" si="429"/>
        <v>202931654274.86081</v>
      </c>
      <c r="EH112" s="873">
        <f t="shared" si="430"/>
        <v>1619.4538263809727</v>
      </c>
      <c r="EI112" s="880">
        <f t="shared" si="431"/>
        <v>1230.5461736190273</v>
      </c>
      <c r="EJ112" s="876">
        <f t="shared" si="274"/>
        <v>125308700.35878479</v>
      </c>
      <c r="EK112" s="876">
        <f t="shared" si="275"/>
        <v>164911856.72297066</v>
      </c>
      <c r="EL112" s="1136">
        <f t="shared" si="337"/>
        <v>333995802449.4541</v>
      </c>
      <c r="EM112" s="1136">
        <f t="shared" si="338"/>
        <v>224551840849.69873</v>
      </c>
      <c r="EN112" s="876"/>
      <c r="EO112" s="876"/>
    </row>
    <row r="113" spans="1:145" s="871" customFormat="1">
      <c r="A113" s="871">
        <v>125</v>
      </c>
      <c r="B113" s="871" t="str">
        <f t="shared" ref="B113" si="445">LEFT(B111,3)+1&amp;"i"</f>
        <v>225i</v>
      </c>
      <c r="C113" s="871">
        <v>101.9</v>
      </c>
      <c r="D113" s="871">
        <v>0</v>
      </c>
      <c r="E113" s="871" t="s">
        <v>2119</v>
      </c>
      <c r="F113" s="26">
        <v>2</v>
      </c>
      <c r="G113" s="136">
        <v>500</v>
      </c>
      <c r="H113" s="136">
        <v>22</v>
      </c>
      <c r="I113" s="28">
        <v>250</v>
      </c>
      <c r="J113" s="26">
        <v>1940</v>
      </c>
      <c r="K113" s="136">
        <v>18</v>
      </c>
      <c r="L113" s="28">
        <v>120</v>
      </c>
      <c r="M113" s="26">
        <v>2800</v>
      </c>
      <c r="N113" s="28">
        <v>12</v>
      </c>
      <c r="O113" s="397">
        <v>0</v>
      </c>
      <c r="P113" s="26">
        <v>290</v>
      </c>
      <c r="Q113" s="397">
        <v>5500</v>
      </c>
      <c r="R113" s="169">
        <v>0</v>
      </c>
      <c r="S113" s="210">
        <v>0</v>
      </c>
      <c r="T113" s="210">
        <v>1200</v>
      </c>
      <c r="U113" s="210">
        <v>2400</v>
      </c>
      <c r="V113" s="872">
        <v>3800</v>
      </c>
      <c r="W113" s="210">
        <v>19</v>
      </c>
      <c r="X113" s="210">
        <v>200</v>
      </c>
      <c r="Y113" s="210">
        <v>50</v>
      </c>
      <c r="Z113" s="210">
        <v>16</v>
      </c>
      <c r="AA113" s="210">
        <v>200</v>
      </c>
      <c r="AB113" s="872">
        <v>40</v>
      </c>
      <c r="AC113" s="210">
        <v>0</v>
      </c>
      <c r="AD113" s="397">
        <v>2</v>
      </c>
      <c r="AE113" s="210">
        <v>160</v>
      </c>
      <c r="AF113" s="210">
        <v>16</v>
      </c>
      <c r="AG113" s="397">
        <v>0</v>
      </c>
      <c r="AH113" s="210">
        <v>0</v>
      </c>
      <c r="AI113" s="210">
        <v>0</v>
      </c>
      <c r="AJ113" s="397">
        <v>2</v>
      </c>
      <c r="AK113" s="210">
        <v>2500</v>
      </c>
      <c r="AL113" s="210">
        <v>5000</v>
      </c>
      <c r="AM113" s="210" t="s">
        <v>2316</v>
      </c>
      <c r="AN113" s="210">
        <v>2500</v>
      </c>
      <c r="AO113" s="1143" t="s">
        <v>2321</v>
      </c>
      <c r="AP113" s="1143" t="s">
        <v>2321</v>
      </c>
      <c r="AQ113" s="1143"/>
      <c r="AR113" s="1143"/>
      <c r="AS113" s="1143"/>
      <c r="AT113" s="1143"/>
      <c r="AU113" s="1143"/>
      <c r="AV113" s="1111"/>
      <c r="AW113" s="1111"/>
      <c r="AX113" s="1111"/>
      <c r="AY113" s="1111"/>
      <c r="AZ113" s="1108">
        <v>8</v>
      </c>
      <c r="BA113" s="1108">
        <v>6</v>
      </c>
      <c r="BB113" s="1111"/>
      <c r="BC113" s="1168"/>
      <c r="BD113" s="210">
        <f>INDEX(Spec!$B$12:$P$58,MATCH(AO113,Spec!$A$12:$A$58,0),6)*100</f>
        <v>1900</v>
      </c>
      <c r="BE113" s="210">
        <f>INDEX(Spec!$B$12:$P$58,MATCH(AP113,Spec!$A$12:$A$58,0),6)*100</f>
        <v>1900</v>
      </c>
      <c r="BF113" s="881">
        <f t="shared" si="371"/>
        <v>0.69515529669535348</v>
      </c>
      <c r="BG113" s="881">
        <f t="shared" si="372"/>
        <v>47.243485714285718</v>
      </c>
      <c r="BH113" s="881"/>
      <c r="BI113" s="13" cm="1">
        <f t="array" ref="BI113">INDEX(Info!$AD$4:$AH$15,MATCH(Info!$I$13,Info!$AC$4:$AC$15,0),IF(H113&lt;=16,1,IF(H113&lt;=40,2,IF(H113&lt;=75,3,IF(H113&lt;=100,4,5)))))</f>
        <v>380</v>
      </c>
      <c r="BJ113" s="13" cm="1">
        <f t="array" ref="BJ113">INDEX(Info!$AD$4:$AH$15,MATCH(Info!$I$13,Info!$AC$4:$AC$15,0),IF(K113&lt;=16,1,IF(K113&lt;=40,2,IF(K113&lt;=75,3,IF(K113&lt;=100,4,5)))))</f>
        <v>380</v>
      </c>
      <c r="BK113" s="13" cm="1">
        <f t="array" ref="BK113">INDEX(Info!$AD$4:$AH$15,MATCH(Info!$I$14,Info!$AC$4:$AC$15,0),IF(N113&lt;=16,1,IF(N113&lt;=40,2,IF(N113&lt;=75,3,IF(N113&lt;=100,4,5)))))</f>
        <v>355</v>
      </c>
      <c r="BL113" s="13">
        <f>IF(Stress!C942="Positive",MAX(MIN(0.7*BI113,BK113),0.5*BI113),MAX(MIN(0.7*BJ113,BK113),0.5*BJ113))</f>
        <v>266</v>
      </c>
      <c r="BM113" s="13" cm="1">
        <f t="array" ref="BM113">INDEX(Info!$AD$4:$AH$15,MATCH(Info!$I$13,Info!$AC$4:$AC$15,0),IF(AI113&lt;=16,1,IF(AI113&lt;=40,2,IF(AI113&lt;=75,3,IF(AI113&lt;=100,4,5)))))</f>
        <v>380</v>
      </c>
      <c r="BN113" s="13" cm="1">
        <f t="array" ref="BN113">INDEX(Info!$AD$4:$AH$15,MATCH(Info!$I$13,Info!$AC$4:$AC$15,0),IF(AF113&lt;=16,1,IF(AF113&lt;=40,2,IF(AF113&lt;=75,3,IF(AF113&lt;=100,4,5)))))</f>
        <v>380</v>
      </c>
      <c r="BO113" s="13"/>
      <c r="BP113" s="873">
        <f t="shared" si="373"/>
        <v>0.125</v>
      </c>
      <c r="BQ113" s="873">
        <f t="shared" si="374"/>
        <v>2821.7902119044925</v>
      </c>
      <c r="BR113" s="873">
        <f t="shared" si="375"/>
        <v>3108</v>
      </c>
      <c r="BS113" s="873"/>
      <c r="BT113" s="871">
        <f t="shared" si="376"/>
        <v>0</v>
      </c>
      <c r="BU113" s="136">
        <f t="shared" si="377"/>
        <v>0</v>
      </c>
      <c r="BV113" s="871">
        <f t="shared" si="378"/>
        <v>1595000</v>
      </c>
      <c r="BW113" s="871">
        <f t="shared" si="379"/>
        <v>11178291666.666666</v>
      </c>
      <c r="BX113" s="871">
        <f t="shared" si="380"/>
        <v>0</v>
      </c>
      <c r="BY113" s="871">
        <f t="shared" si="381"/>
        <v>0</v>
      </c>
      <c r="BZ113" s="871">
        <f t="shared" si="382"/>
        <v>7655.2758986349281</v>
      </c>
      <c r="CA113" s="871">
        <f t="shared" si="383"/>
        <v>172722.16246295057</v>
      </c>
      <c r="CB113" s="871">
        <f t="shared" si="384"/>
        <v>5428.6721054031623</v>
      </c>
      <c r="CC113" s="871">
        <f t="shared" si="385"/>
        <v>86858.753686450596</v>
      </c>
      <c r="CE113" s="1137">
        <f t="shared" si="386"/>
        <v>346081987.77679139</v>
      </c>
      <c r="CF113" s="1136">
        <f t="shared" si="387"/>
        <v>411131448.88888884</v>
      </c>
      <c r="CG113" s="1136">
        <f t="shared" si="388"/>
        <v>0</v>
      </c>
      <c r="CH113" s="172">
        <f t="shared" si="389"/>
        <v>4020729166666.6665</v>
      </c>
      <c r="CJ113" s="136">
        <f t="shared" si="390"/>
        <v>129762.96508570782</v>
      </c>
      <c r="CK113" s="7">
        <f t="shared" si="391"/>
        <v>161520594572.24292</v>
      </c>
      <c r="CL113" s="875">
        <f t="shared" si="392"/>
        <v>1614.0322950661719</v>
      </c>
      <c r="CM113" s="6">
        <f t="shared" si="393"/>
        <v>1225.9677049338281</v>
      </c>
      <c r="CN113" s="876">
        <f t="shared" si="264"/>
        <v>100072715.43821304</v>
      </c>
      <c r="CO113" s="876">
        <f t="shared" si="265"/>
        <v>131749469.3556883</v>
      </c>
      <c r="CP113" s="1137">
        <f t="shared" si="394"/>
        <v>116187096071.85852</v>
      </c>
      <c r="CQ113" s="1136">
        <f t="shared" si="395"/>
        <v>32916617372.582115</v>
      </c>
      <c r="CR113" s="877">
        <f t="shared" si="396"/>
        <v>129762.96508570782</v>
      </c>
      <c r="CS113" s="874">
        <f t="shared" si="397"/>
        <v>161520594572.24292</v>
      </c>
      <c r="CT113" s="875">
        <f t="shared" si="398"/>
        <v>1614.0322950661719</v>
      </c>
      <c r="CU113" s="878">
        <f t="shared" si="399"/>
        <v>1225.9677049338281</v>
      </c>
      <c r="CV113" s="876">
        <f t="shared" si="400"/>
        <v>100072715.43821304</v>
      </c>
      <c r="CW113" s="876">
        <f t="shared" si="401"/>
        <v>131749469.3556883</v>
      </c>
      <c r="CX113" s="1136">
        <f t="shared" si="402"/>
        <v>116187096071.85852</v>
      </c>
      <c r="CY113" s="1136">
        <f t="shared" si="403"/>
        <v>32916617372.582115</v>
      </c>
      <c r="CZ113" s="877">
        <f t="shared" si="404"/>
        <v>129762.96508570782</v>
      </c>
      <c r="DA113" s="874">
        <f t="shared" si="405"/>
        <v>161520594572.24292</v>
      </c>
      <c r="DB113" s="875">
        <f t="shared" si="406"/>
        <v>1614.0322950661719</v>
      </c>
      <c r="DC113" s="878">
        <f t="shared" si="407"/>
        <v>1225.9677049338281</v>
      </c>
      <c r="DD113" s="876">
        <f t="shared" si="266"/>
        <v>100072715.43821304</v>
      </c>
      <c r="DE113" s="876">
        <f t="shared" si="267"/>
        <v>131749469.3556883</v>
      </c>
      <c r="DF113" s="1136">
        <f t="shared" si="408"/>
        <v>116187096071.85852</v>
      </c>
      <c r="DG113" s="1136">
        <f t="shared" si="409"/>
        <v>32916617372.582115</v>
      </c>
      <c r="DH113" s="877">
        <f t="shared" si="410"/>
        <v>377674.65161772241</v>
      </c>
      <c r="DI113" s="879">
        <f t="shared" si="411"/>
        <v>420265490240.5509</v>
      </c>
      <c r="DJ113" s="878">
        <f t="shared" si="412"/>
        <v>473.81649295745774</v>
      </c>
      <c r="DK113" s="877">
        <f t="shared" si="413"/>
        <v>2366.1835070425423</v>
      </c>
      <c r="DL113" s="876">
        <f t="shared" si="268"/>
        <v>886979445.60212898</v>
      </c>
      <c r="DM113" s="876">
        <f t="shared" si="269"/>
        <v>177613227.7947599</v>
      </c>
      <c r="DN113" s="7">
        <f t="shared" si="414"/>
        <v>741131139204.64526</v>
      </c>
      <c r="DO113" s="1136">
        <f t="shared" si="415"/>
        <v>214476299647.88208</v>
      </c>
      <c r="DP113" s="877">
        <f t="shared" si="416"/>
        <v>212400.1939297127</v>
      </c>
      <c r="DQ113" s="879">
        <f t="shared" si="417"/>
        <v>314430424509.01593</v>
      </c>
      <c r="DR113" s="877">
        <f t="shared" si="418"/>
        <v>938.2158910363737</v>
      </c>
      <c r="DS113" s="877">
        <f t="shared" si="419"/>
        <v>1901.7841089636263</v>
      </c>
      <c r="DT113" s="876">
        <f t="shared" si="270"/>
        <v>335136536.81743681</v>
      </c>
      <c r="DU113" s="876">
        <f t="shared" si="271"/>
        <v>165334447.28401071</v>
      </c>
      <c r="DV113" s="1136">
        <f t="shared" si="420"/>
        <v>324501777116.12073</v>
      </c>
      <c r="DW113" s="1136">
        <f t="shared" si="421"/>
        <v>214476299647.88208</v>
      </c>
      <c r="DX113" s="880">
        <f t="shared" si="422"/>
        <v>142846.91308974591</v>
      </c>
      <c r="DY113" s="874">
        <f t="shared" si="423"/>
        <v>198007849742.18506</v>
      </c>
      <c r="DZ113" s="873">
        <f t="shared" si="424"/>
        <v>1453.8294571168058</v>
      </c>
      <c r="EA113" s="880">
        <f t="shared" si="425"/>
        <v>1386.1705428831942</v>
      </c>
      <c r="EB113" s="876">
        <f t="shared" si="272"/>
        <v>136197439.64664793</v>
      </c>
      <c r="EC113" s="876">
        <f t="shared" si="273"/>
        <v>142845229.80147487</v>
      </c>
      <c r="ED113" s="1136">
        <f t="shared" si="426"/>
        <v>741131139204.64526</v>
      </c>
      <c r="EE113" s="1136">
        <f t="shared" si="427"/>
        <v>214476299647.88208</v>
      </c>
      <c r="EF113" s="880">
        <f t="shared" si="428"/>
        <v>134124.28108705385</v>
      </c>
      <c r="EG113" s="874">
        <f t="shared" si="429"/>
        <v>174471223269.76736</v>
      </c>
      <c r="EH113" s="873">
        <f t="shared" si="430"/>
        <v>1557.158474547349</v>
      </c>
      <c r="EI113" s="880">
        <f t="shared" si="431"/>
        <v>1282.841525452651</v>
      </c>
      <c r="EJ113" s="876">
        <f t="shared" si="274"/>
        <v>112044615.96016069</v>
      </c>
      <c r="EK113" s="876">
        <f t="shared" si="275"/>
        <v>136003722.8356832</v>
      </c>
      <c r="EL113" s="1136">
        <f t="shared" si="337"/>
        <v>324501777116.12073</v>
      </c>
      <c r="EM113" s="1136">
        <f t="shared" si="338"/>
        <v>214476299647.88208</v>
      </c>
      <c r="EN113" s="876"/>
      <c r="EO113" s="876"/>
    </row>
    <row r="114" spans="1:145" s="871" customFormat="1">
      <c r="B114" s="871" t="str">
        <f t="shared" ref="B114" si="446">LEFT(B112,3)+1&amp;"j"</f>
        <v>225j</v>
      </c>
      <c r="C114" s="871">
        <v>106.9</v>
      </c>
      <c r="D114" s="871">
        <v>0</v>
      </c>
      <c r="E114" s="871" t="s">
        <v>2119</v>
      </c>
      <c r="F114" s="26">
        <v>2</v>
      </c>
      <c r="G114" s="136">
        <v>500</v>
      </c>
      <c r="H114" s="136">
        <v>22</v>
      </c>
      <c r="I114" s="28">
        <v>250</v>
      </c>
      <c r="J114" s="26">
        <v>1940</v>
      </c>
      <c r="K114" s="136">
        <v>18</v>
      </c>
      <c r="L114" s="28">
        <v>120</v>
      </c>
      <c r="M114" s="26">
        <v>2800</v>
      </c>
      <c r="N114" s="28">
        <v>12</v>
      </c>
      <c r="O114" s="397">
        <v>0</v>
      </c>
      <c r="P114" s="26">
        <v>290</v>
      </c>
      <c r="Q114" s="397">
        <v>5500</v>
      </c>
      <c r="R114" s="169">
        <v>0</v>
      </c>
      <c r="S114" s="210">
        <v>0</v>
      </c>
      <c r="T114" s="210">
        <v>1200</v>
      </c>
      <c r="U114" s="210">
        <v>2400</v>
      </c>
      <c r="V114" s="872">
        <v>3800</v>
      </c>
      <c r="W114" s="210">
        <v>19</v>
      </c>
      <c r="X114" s="210">
        <v>200</v>
      </c>
      <c r="Y114" s="210">
        <v>50</v>
      </c>
      <c r="Z114" s="210">
        <v>16</v>
      </c>
      <c r="AA114" s="210">
        <v>200</v>
      </c>
      <c r="AB114" s="872">
        <v>40</v>
      </c>
      <c r="AC114" s="210">
        <v>0</v>
      </c>
      <c r="AD114" s="397">
        <v>2</v>
      </c>
      <c r="AE114" s="210">
        <v>160</v>
      </c>
      <c r="AF114" s="210">
        <v>16</v>
      </c>
      <c r="AG114" s="397">
        <v>0</v>
      </c>
      <c r="AH114" s="210">
        <v>0</v>
      </c>
      <c r="AI114" s="210">
        <v>0</v>
      </c>
      <c r="AJ114" s="397">
        <v>2</v>
      </c>
      <c r="AK114" s="210">
        <v>2500</v>
      </c>
      <c r="AL114" s="210">
        <v>5000</v>
      </c>
      <c r="AM114" s="210" t="s">
        <v>2316</v>
      </c>
      <c r="AN114" s="210">
        <v>2500</v>
      </c>
      <c r="AO114" s="1143" t="s">
        <v>2321</v>
      </c>
      <c r="AP114" s="1143" t="s">
        <v>2321</v>
      </c>
      <c r="AQ114" s="1143"/>
      <c r="AR114" s="1143"/>
      <c r="AS114" s="1143"/>
      <c r="AT114" s="1143"/>
      <c r="AU114" s="1143"/>
      <c r="AV114" s="1111"/>
      <c r="AW114" s="1111"/>
      <c r="AX114" s="1111"/>
      <c r="AY114" s="1111"/>
      <c r="AZ114" s="1108">
        <v>8</v>
      </c>
      <c r="BA114" s="1108">
        <v>6</v>
      </c>
      <c r="BB114" s="1111"/>
      <c r="BC114" s="1168"/>
      <c r="BD114" s="210">
        <f>INDEX(Spec!$B$12:$P$58,MATCH(AO114,Spec!$A$12:$A$58,0),6)*100</f>
        <v>1900</v>
      </c>
      <c r="BE114" s="210">
        <f>INDEX(Spec!$B$12:$P$58,MATCH(AP114,Spec!$A$12:$A$58,0),6)*100</f>
        <v>1900</v>
      </c>
      <c r="BF114" s="881">
        <f t="shared" si="371"/>
        <v>0.69515529669535348</v>
      </c>
      <c r="BG114" s="881">
        <f t="shared" si="372"/>
        <v>47.243485714285718</v>
      </c>
      <c r="BH114" s="881"/>
      <c r="BI114" s="13" cm="1">
        <f t="array" ref="BI114">INDEX(Info!$AD$4:$AH$15,MATCH(Info!$I$13,Info!$AC$4:$AC$15,0),IF(H114&lt;=16,1,IF(H114&lt;=40,2,IF(H114&lt;=75,3,IF(H114&lt;=100,4,5)))))</f>
        <v>380</v>
      </c>
      <c r="BJ114" s="13" cm="1">
        <f t="array" ref="BJ114">INDEX(Info!$AD$4:$AH$15,MATCH(Info!$I$13,Info!$AC$4:$AC$15,0),IF(K114&lt;=16,1,IF(K114&lt;=40,2,IF(K114&lt;=75,3,IF(K114&lt;=100,4,5)))))</f>
        <v>380</v>
      </c>
      <c r="BK114" s="13" cm="1">
        <f t="array" ref="BK114">INDEX(Info!$AD$4:$AH$15,MATCH(Info!$I$14,Info!$AC$4:$AC$15,0),IF(N114&lt;=16,1,IF(N114&lt;=40,2,IF(N114&lt;=75,3,IF(N114&lt;=100,4,5)))))</f>
        <v>355</v>
      </c>
      <c r="BL114" s="13">
        <f>IF(Stress!C943="Positive",MAX(MIN(0.7*BI114,BK114),0.5*BI114),MAX(MIN(0.7*BJ114,BK114),0.5*BJ114))</f>
        <v>266</v>
      </c>
      <c r="BM114" s="13" cm="1">
        <f t="array" ref="BM114">INDEX(Info!$AD$4:$AH$15,MATCH(Info!$I$13,Info!$AC$4:$AC$15,0),IF(AI114&lt;=16,1,IF(AI114&lt;=40,2,IF(AI114&lt;=75,3,IF(AI114&lt;=100,4,5)))))</f>
        <v>380</v>
      </c>
      <c r="BN114" s="13" cm="1">
        <f t="array" ref="BN114">INDEX(Info!$AD$4:$AH$15,MATCH(Info!$I$13,Info!$AC$4:$AC$15,0),IF(AF114&lt;=16,1,IF(AF114&lt;=40,2,IF(AF114&lt;=75,3,IF(AF114&lt;=100,4,5)))))</f>
        <v>380</v>
      </c>
      <c r="BO114" s="13"/>
      <c r="BP114" s="873">
        <f t="shared" si="373"/>
        <v>0.125</v>
      </c>
      <c r="BQ114" s="873">
        <f t="shared" si="374"/>
        <v>2821.7902119044925</v>
      </c>
      <c r="BR114" s="873">
        <f t="shared" si="375"/>
        <v>3108</v>
      </c>
      <c r="BS114" s="873"/>
      <c r="BT114" s="871">
        <f t="shared" si="376"/>
        <v>0</v>
      </c>
      <c r="BU114" s="136">
        <f t="shared" si="377"/>
        <v>0</v>
      </c>
      <c r="BV114" s="871">
        <f t="shared" si="378"/>
        <v>1595000</v>
      </c>
      <c r="BW114" s="871">
        <f t="shared" si="379"/>
        <v>11178291666.666666</v>
      </c>
      <c r="BX114" s="871">
        <f t="shared" si="380"/>
        <v>0</v>
      </c>
      <c r="BY114" s="871">
        <f t="shared" si="381"/>
        <v>0</v>
      </c>
      <c r="BZ114" s="871">
        <f t="shared" si="382"/>
        <v>7655.2758986349281</v>
      </c>
      <c r="CA114" s="871">
        <f t="shared" si="383"/>
        <v>172722.16246295057</v>
      </c>
      <c r="CB114" s="871">
        <f t="shared" si="384"/>
        <v>5428.6721054031623</v>
      </c>
      <c r="CC114" s="871">
        <f t="shared" si="385"/>
        <v>86858.753686450596</v>
      </c>
      <c r="CE114" s="1137">
        <f t="shared" si="386"/>
        <v>346081987.77679139</v>
      </c>
      <c r="CF114" s="1136">
        <f t="shared" si="387"/>
        <v>411131448.88888884</v>
      </c>
      <c r="CG114" s="1136">
        <f t="shared" si="388"/>
        <v>0</v>
      </c>
      <c r="CH114" s="172">
        <f t="shared" si="389"/>
        <v>4020729166666.6665</v>
      </c>
      <c r="CJ114" s="136">
        <f t="shared" si="390"/>
        <v>129762.96508570782</v>
      </c>
      <c r="CK114" s="7">
        <f t="shared" si="391"/>
        <v>161520594572.24292</v>
      </c>
      <c r="CL114" s="875">
        <f t="shared" si="392"/>
        <v>1614.0322950661719</v>
      </c>
      <c r="CM114" s="6">
        <f t="shared" si="393"/>
        <v>1225.9677049338281</v>
      </c>
      <c r="CN114" s="876">
        <f t="shared" si="264"/>
        <v>100072715.43821304</v>
      </c>
      <c r="CO114" s="876">
        <f t="shared" si="265"/>
        <v>131749469.3556883</v>
      </c>
      <c r="CP114" s="1137">
        <f t="shared" si="394"/>
        <v>116187096071.85852</v>
      </c>
      <c r="CQ114" s="1136">
        <f t="shared" si="395"/>
        <v>32916617372.582115</v>
      </c>
      <c r="CR114" s="877">
        <f t="shared" si="396"/>
        <v>129762.96508570782</v>
      </c>
      <c r="CS114" s="874">
        <f t="shared" si="397"/>
        <v>161520594572.24292</v>
      </c>
      <c r="CT114" s="875">
        <f t="shared" si="398"/>
        <v>1614.0322950661719</v>
      </c>
      <c r="CU114" s="878">
        <f t="shared" si="399"/>
        <v>1225.9677049338281</v>
      </c>
      <c r="CV114" s="876">
        <f t="shared" si="400"/>
        <v>100072715.43821304</v>
      </c>
      <c r="CW114" s="876">
        <f t="shared" si="401"/>
        <v>131749469.3556883</v>
      </c>
      <c r="CX114" s="1136">
        <f t="shared" si="402"/>
        <v>116187096071.85852</v>
      </c>
      <c r="CY114" s="1136">
        <f t="shared" si="403"/>
        <v>32916617372.582115</v>
      </c>
      <c r="CZ114" s="877">
        <f t="shared" si="404"/>
        <v>129762.96508570782</v>
      </c>
      <c r="DA114" s="874">
        <f t="shared" si="405"/>
        <v>161520594572.24292</v>
      </c>
      <c r="DB114" s="875">
        <f t="shared" si="406"/>
        <v>1614.0322950661719</v>
      </c>
      <c r="DC114" s="878">
        <f t="shared" si="407"/>
        <v>1225.9677049338281</v>
      </c>
      <c r="DD114" s="876">
        <f t="shared" si="266"/>
        <v>100072715.43821304</v>
      </c>
      <c r="DE114" s="876">
        <f t="shared" si="267"/>
        <v>131749469.3556883</v>
      </c>
      <c r="DF114" s="1136">
        <f t="shared" si="408"/>
        <v>116187096071.85852</v>
      </c>
      <c r="DG114" s="1136">
        <f t="shared" si="409"/>
        <v>32916617372.582115</v>
      </c>
      <c r="DH114" s="877">
        <f t="shared" si="410"/>
        <v>377674.65161772241</v>
      </c>
      <c r="DI114" s="879">
        <f t="shared" si="411"/>
        <v>420265490240.5509</v>
      </c>
      <c r="DJ114" s="878">
        <f t="shared" si="412"/>
        <v>473.81649295745774</v>
      </c>
      <c r="DK114" s="877">
        <f t="shared" si="413"/>
        <v>2366.1835070425423</v>
      </c>
      <c r="DL114" s="876">
        <f t="shared" si="268"/>
        <v>886979445.60212898</v>
      </c>
      <c r="DM114" s="876">
        <f t="shared" si="269"/>
        <v>177613227.7947599</v>
      </c>
      <c r="DN114" s="7">
        <f t="shared" si="414"/>
        <v>741131139204.64526</v>
      </c>
      <c r="DO114" s="1136">
        <f t="shared" si="415"/>
        <v>214476299647.88208</v>
      </c>
      <c r="DP114" s="877">
        <f t="shared" si="416"/>
        <v>212400.1939297127</v>
      </c>
      <c r="DQ114" s="879">
        <f t="shared" si="417"/>
        <v>314430424509.01593</v>
      </c>
      <c r="DR114" s="877">
        <f t="shared" si="418"/>
        <v>938.2158910363737</v>
      </c>
      <c r="DS114" s="877">
        <f t="shared" si="419"/>
        <v>1901.7841089636263</v>
      </c>
      <c r="DT114" s="876">
        <f t="shared" si="270"/>
        <v>335136536.81743681</v>
      </c>
      <c r="DU114" s="876">
        <f t="shared" si="271"/>
        <v>165334447.28401071</v>
      </c>
      <c r="DV114" s="1136">
        <f t="shared" si="420"/>
        <v>324501777116.12073</v>
      </c>
      <c r="DW114" s="1136">
        <f t="shared" si="421"/>
        <v>214476299647.88208</v>
      </c>
      <c r="DX114" s="880">
        <f t="shared" si="422"/>
        <v>142846.91308974591</v>
      </c>
      <c r="DY114" s="874">
        <f t="shared" si="423"/>
        <v>198007849742.18506</v>
      </c>
      <c r="DZ114" s="873">
        <f t="shared" si="424"/>
        <v>1453.8294571168058</v>
      </c>
      <c r="EA114" s="880">
        <f t="shared" si="425"/>
        <v>1386.1705428831942</v>
      </c>
      <c r="EB114" s="876">
        <f t="shared" si="272"/>
        <v>136197439.64664793</v>
      </c>
      <c r="EC114" s="876">
        <f t="shared" si="273"/>
        <v>142845229.80147487</v>
      </c>
      <c r="ED114" s="1136">
        <f t="shared" si="426"/>
        <v>741131139204.64526</v>
      </c>
      <c r="EE114" s="1136">
        <f t="shared" si="427"/>
        <v>214476299647.88208</v>
      </c>
      <c r="EF114" s="880">
        <f t="shared" si="428"/>
        <v>134124.28108705385</v>
      </c>
      <c r="EG114" s="874">
        <f t="shared" si="429"/>
        <v>174471223269.76736</v>
      </c>
      <c r="EH114" s="873">
        <f t="shared" si="430"/>
        <v>1557.158474547349</v>
      </c>
      <c r="EI114" s="880">
        <f t="shared" si="431"/>
        <v>1282.841525452651</v>
      </c>
      <c r="EJ114" s="876">
        <f t="shared" si="274"/>
        <v>112044615.96016069</v>
      </c>
      <c r="EK114" s="876">
        <f t="shared" si="275"/>
        <v>136003722.8356832</v>
      </c>
      <c r="EL114" s="1136">
        <f t="shared" si="337"/>
        <v>324501777116.12073</v>
      </c>
      <c r="EM114" s="1136">
        <f t="shared" si="338"/>
        <v>214476299647.88208</v>
      </c>
      <c r="EN114" s="876"/>
      <c r="EO114" s="876"/>
    </row>
    <row r="115" spans="1:145" s="871" customFormat="1">
      <c r="A115" s="871">
        <v>126</v>
      </c>
      <c r="B115" s="871" t="str">
        <f t="shared" ref="B115" si="447">LEFT(B113,3)+1&amp;"i"</f>
        <v>226i</v>
      </c>
      <c r="C115" s="871">
        <v>106.9</v>
      </c>
      <c r="D115" s="871">
        <v>0</v>
      </c>
      <c r="E115" s="871" t="s">
        <v>2119</v>
      </c>
      <c r="F115" s="26">
        <v>2</v>
      </c>
      <c r="G115" s="136">
        <v>500</v>
      </c>
      <c r="H115" s="136">
        <v>22</v>
      </c>
      <c r="I115" s="28">
        <v>250</v>
      </c>
      <c r="J115" s="26">
        <v>1940</v>
      </c>
      <c r="K115" s="136">
        <v>18</v>
      </c>
      <c r="L115" s="28">
        <v>120</v>
      </c>
      <c r="M115" s="26">
        <v>2800</v>
      </c>
      <c r="N115" s="28">
        <v>12</v>
      </c>
      <c r="O115" s="397">
        <v>0</v>
      </c>
      <c r="P115" s="26">
        <v>290</v>
      </c>
      <c r="Q115" s="397">
        <v>5500</v>
      </c>
      <c r="R115" s="169">
        <v>0</v>
      </c>
      <c r="S115" s="210">
        <v>0</v>
      </c>
      <c r="T115" s="210">
        <v>1200</v>
      </c>
      <c r="U115" s="210">
        <v>2400</v>
      </c>
      <c r="V115" s="872">
        <v>3800</v>
      </c>
      <c r="W115" s="210">
        <v>19</v>
      </c>
      <c r="X115" s="210">
        <v>200</v>
      </c>
      <c r="Y115" s="210">
        <v>50</v>
      </c>
      <c r="Z115" s="210">
        <v>16</v>
      </c>
      <c r="AA115" s="210">
        <v>200</v>
      </c>
      <c r="AB115" s="872">
        <v>40</v>
      </c>
      <c r="AC115" s="210">
        <v>0</v>
      </c>
      <c r="AD115" s="397">
        <v>2</v>
      </c>
      <c r="AE115" s="210">
        <v>160</v>
      </c>
      <c r="AF115" s="210">
        <v>16</v>
      </c>
      <c r="AG115" s="397">
        <v>0</v>
      </c>
      <c r="AH115" s="210">
        <v>0</v>
      </c>
      <c r="AI115" s="210">
        <v>0</v>
      </c>
      <c r="AJ115" s="397">
        <v>2</v>
      </c>
      <c r="AK115" s="210">
        <v>2500</v>
      </c>
      <c r="AL115" s="210">
        <v>5000</v>
      </c>
      <c r="AM115" s="210" t="s">
        <v>2316</v>
      </c>
      <c r="AN115" s="210">
        <v>2500</v>
      </c>
      <c r="AO115" s="1143" t="s">
        <v>2321</v>
      </c>
      <c r="AP115" s="1143" t="s">
        <v>2321</v>
      </c>
      <c r="AQ115" s="1143"/>
      <c r="AR115" s="1143"/>
      <c r="AS115" s="1143"/>
      <c r="AT115" s="1143"/>
      <c r="AU115" s="1143"/>
      <c r="AV115" s="1111"/>
      <c r="AW115" s="1111"/>
      <c r="AX115" s="1111"/>
      <c r="AY115" s="1111"/>
      <c r="AZ115" s="1108">
        <v>8</v>
      </c>
      <c r="BA115" s="1108">
        <v>6</v>
      </c>
      <c r="BB115" s="1111"/>
      <c r="BC115" s="1168"/>
      <c r="BD115" s="210">
        <f>INDEX(Spec!$B$12:$P$58,MATCH(AO115,Spec!$A$12:$A$58,0),6)*100</f>
        <v>1900</v>
      </c>
      <c r="BE115" s="210">
        <f>INDEX(Spec!$B$12:$P$58,MATCH(AP115,Spec!$A$12:$A$58,0),6)*100</f>
        <v>1900</v>
      </c>
      <c r="BF115" s="881">
        <f t="shared" si="371"/>
        <v>0.69515529669535348</v>
      </c>
      <c r="BG115" s="881">
        <f t="shared" si="372"/>
        <v>47.243485714285718</v>
      </c>
      <c r="BH115" s="881"/>
      <c r="BI115" s="13" cm="1">
        <f t="array" ref="BI115">INDEX(Info!$AD$4:$AH$15,MATCH(Info!$I$13,Info!$AC$4:$AC$15,0),IF(H115&lt;=16,1,IF(H115&lt;=40,2,IF(H115&lt;=75,3,IF(H115&lt;=100,4,5)))))</f>
        <v>380</v>
      </c>
      <c r="BJ115" s="13" cm="1">
        <f t="array" ref="BJ115">INDEX(Info!$AD$4:$AH$15,MATCH(Info!$I$13,Info!$AC$4:$AC$15,0),IF(K115&lt;=16,1,IF(K115&lt;=40,2,IF(K115&lt;=75,3,IF(K115&lt;=100,4,5)))))</f>
        <v>380</v>
      </c>
      <c r="BK115" s="13" cm="1">
        <f t="array" ref="BK115">INDEX(Info!$AD$4:$AH$15,MATCH(Info!$I$14,Info!$AC$4:$AC$15,0),IF(N115&lt;=16,1,IF(N115&lt;=40,2,IF(N115&lt;=75,3,IF(N115&lt;=100,4,5)))))</f>
        <v>355</v>
      </c>
      <c r="BL115" s="13">
        <f>IF(Stress!C944="Positive",MAX(MIN(0.7*BI115,BK115),0.5*BI115),MAX(MIN(0.7*BJ115,BK115),0.5*BJ115))</f>
        <v>266</v>
      </c>
      <c r="BM115" s="13" cm="1">
        <f t="array" ref="BM115">INDEX(Info!$AD$4:$AH$15,MATCH(Info!$I$13,Info!$AC$4:$AC$15,0),IF(AI115&lt;=16,1,IF(AI115&lt;=40,2,IF(AI115&lt;=75,3,IF(AI115&lt;=100,4,5)))))</f>
        <v>380</v>
      </c>
      <c r="BN115" s="13" cm="1">
        <f t="array" ref="BN115">INDEX(Info!$AD$4:$AH$15,MATCH(Info!$I$13,Info!$AC$4:$AC$15,0),IF(AF115&lt;=16,1,IF(AF115&lt;=40,2,IF(AF115&lt;=75,3,IF(AF115&lt;=100,4,5)))))</f>
        <v>380</v>
      </c>
      <c r="BO115" s="13"/>
      <c r="BP115" s="873">
        <f t="shared" si="373"/>
        <v>0.125</v>
      </c>
      <c r="BQ115" s="873">
        <f t="shared" si="374"/>
        <v>2821.7902119044925</v>
      </c>
      <c r="BR115" s="873">
        <f t="shared" si="375"/>
        <v>3108</v>
      </c>
      <c r="BS115" s="873"/>
      <c r="BT115" s="871">
        <f t="shared" si="376"/>
        <v>0</v>
      </c>
      <c r="BU115" s="136">
        <f t="shared" si="377"/>
        <v>0</v>
      </c>
      <c r="BV115" s="871">
        <f t="shared" si="378"/>
        <v>1595000</v>
      </c>
      <c r="BW115" s="871">
        <f t="shared" si="379"/>
        <v>11178291666.666666</v>
      </c>
      <c r="BX115" s="871">
        <f t="shared" si="380"/>
        <v>0</v>
      </c>
      <c r="BY115" s="871">
        <f t="shared" si="381"/>
        <v>0</v>
      </c>
      <c r="BZ115" s="871">
        <f t="shared" si="382"/>
        <v>7655.2758986349281</v>
      </c>
      <c r="CA115" s="871">
        <f t="shared" si="383"/>
        <v>172722.16246295057</v>
      </c>
      <c r="CB115" s="871">
        <f t="shared" si="384"/>
        <v>5428.6721054031623</v>
      </c>
      <c r="CC115" s="871">
        <f t="shared" si="385"/>
        <v>86858.753686450596</v>
      </c>
      <c r="CE115" s="1137">
        <f t="shared" si="386"/>
        <v>346081987.77679139</v>
      </c>
      <c r="CF115" s="1136">
        <f t="shared" si="387"/>
        <v>411131448.88888884</v>
      </c>
      <c r="CG115" s="1136">
        <f t="shared" si="388"/>
        <v>0</v>
      </c>
      <c r="CH115" s="172">
        <f t="shared" si="389"/>
        <v>4020729166666.6665</v>
      </c>
      <c r="CJ115" s="136">
        <f t="shared" si="390"/>
        <v>129762.96508570782</v>
      </c>
      <c r="CK115" s="7">
        <f t="shared" si="391"/>
        <v>161520594572.24292</v>
      </c>
      <c r="CL115" s="875">
        <f t="shared" si="392"/>
        <v>1614.0322950661719</v>
      </c>
      <c r="CM115" s="6">
        <f t="shared" si="393"/>
        <v>1225.9677049338281</v>
      </c>
      <c r="CN115" s="876">
        <f t="shared" si="264"/>
        <v>100072715.43821304</v>
      </c>
      <c r="CO115" s="876">
        <f t="shared" si="265"/>
        <v>131749469.3556883</v>
      </c>
      <c r="CP115" s="1137">
        <f t="shared" si="394"/>
        <v>116187096071.85852</v>
      </c>
      <c r="CQ115" s="1136">
        <f t="shared" si="395"/>
        <v>32916617372.582115</v>
      </c>
      <c r="CR115" s="877">
        <f t="shared" si="396"/>
        <v>129762.96508570782</v>
      </c>
      <c r="CS115" s="874">
        <f t="shared" si="397"/>
        <v>161520594572.24292</v>
      </c>
      <c r="CT115" s="875">
        <f t="shared" si="398"/>
        <v>1614.0322950661719</v>
      </c>
      <c r="CU115" s="878">
        <f t="shared" si="399"/>
        <v>1225.9677049338281</v>
      </c>
      <c r="CV115" s="876">
        <f t="shared" si="400"/>
        <v>100072715.43821304</v>
      </c>
      <c r="CW115" s="876">
        <f t="shared" si="401"/>
        <v>131749469.3556883</v>
      </c>
      <c r="CX115" s="1136">
        <f t="shared" si="402"/>
        <v>116187096071.85852</v>
      </c>
      <c r="CY115" s="1136">
        <f t="shared" si="403"/>
        <v>32916617372.582115</v>
      </c>
      <c r="CZ115" s="877">
        <f t="shared" si="404"/>
        <v>129762.96508570782</v>
      </c>
      <c r="DA115" s="874">
        <f t="shared" si="405"/>
        <v>161520594572.24292</v>
      </c>
      <c r="DB115" s="875">
        <f t="shared" si="406"/>
        <v>1614.0322950661719</v>
      </c>
      <c r="DC115" s="878">
        <f t="shared" si="407"/>
        <v>1225.9677049338281</v>
      </c>
      <c r="DD115" s="876">
        <f t="shared" si="266"/>
        <v>100072715.43821304</v>
      </c>
      <c r="DE115" s="876">
        <f t="shared" si="267"/>
        <v>131749469.3556883</v>
      </c>
      <c r="DF115" s="1136">
        <f t="shared" si="408"/>
        <v>116187096071.85852</v>
      </c>
      <c r="DG115" s="1136">
        <f t="shared" si="409"/>
        <v>32916617372.582115</v>
      </c>
      <c r="DH115" s="877">
        <f t="shared" si="410"/>
        <v>377674.65161772241</v>
      </c>
      <c r="DI115" s="879">
        <f t="shared" si="411"/>
        <v>420265490240.5509</v>
      </c>
      <c r="DJ115" s="878">
        <f t="shared" si="412"/>
        <v>473.81649295745774</v>
      </c>
      <c r="DK115" s="877">
        <f t="shared" si="413"/>
        <v>2366.1835070425423</v>
      </c>
      <c r="DL115" s="876">
        <f t="shared" si="268"/>
        <v>886979445.60212898</v>
      </c>
      <c r="DM115" s="876">
        <f t="shared" si="269"/>
        <v>177613227.7947599</v>
      </c>
      <c r="DN115" s="7">
        <f t="shared" si="414"/>
        <v>741131139204.64526</v>
      </c>
      <c r="DO115" s="1136">
        <f t="shared" si="415"/>
        <v>214476299647.88208</v>
      </c>
      <c r="DP115" s="877">
        <f t="shared" si="416"/>
        <v>212400.1939297127</v>
      </c>
      <c r="DQ115" s="879">
        <f t="shared" si="417"/>
        <v>314430424509.01593</v>
      </c>
      <c r="DR115" s="877">
        <f t="shared" si="418"/>
        <v>938.2158910363737</v>
      </c>
      <c r="DS115" s="877">
        <f t="shared" si="419"/>
        <v>1901.7841089636263</v>
      </c>
      <c r="DT115" s="876">
        <f t="shared" si="270"/>
        <v>335136536.81743681</v>
      </c>
      <c r="DU115" s="876">
        <f t="shared" si="271"/>
        <v>165334447.28401071</v>
      </c>
      <c r="DV115" s="1136">
        <f t="shared" si="420"/>
        <v>324501777116.12073</v>
      </c>
      <c r="DW115" s="1136">
        <f t="shared" si="421"/>
        <v>214476299647.88208</v>
      </c>
      <c r="DX115" s="880">
        <f t="shared" si="422"/>
        <v>142846.91308974591</v>
      </c>
      <c r="DY115" s="874">
        <f t="shared" si="423"/>
        <v>198007849742.18506</v>
      </c>
      <c r="DZ115" s="873">
        <f t="shared" si="424"/>
        <v>1453.8294571168058</v>
      </c>
      <c r="EA115" s="880">
        <f t="shared" si="425"/>
        <v>1386.1705428831942</v>
      </c>
      <c r="EB115" s="876">
        <f t="shared" si="272"/>
        <v>136197439.64664793</v>
      </c>
      <c r="EC115" s="876">
        <f t="shared" si="273"/>
        <v>142845229.80147487</v>
      </c>
      <c r="ED115" s="1136">
        <f t="shared" si="426"/>
        <v>741131139204.64526</v>
      </c>
      <c r="EE115" s="1136">
        <f t="shared" si="427"/>
        <v>214476299647.88208</v>
      </c>
      <c r="EF115" s="880">
        <f t="shared" si="428"/>
        <v>134124.28108705385</v>
      </c>
      <c r="EG115" s="874">
        <f t="shared" si="429"/>
        <v>174471223269.76736</v>
      </c>
      <c r="EH115" s="873">
        <f t="shared" si="430"/>
        <v>1557.158474547349</v>
      </c>
      <c r="EI115" s="880">
        <f t="shared" si="431"/>
        <v>1282.841525452651</v>
      </c>
      <c r="EJ115" s="876">
        <f t="shared" si="274"/>
        <v>112044615.96016069</v>
      </c>
      <c r="EK115" s="876">
        <f t="shared" si="275"/>
        <v>136003722.8356832</v>
      </c>
      <c r="EL115" s="1136">
        <f t="shared" si="337"/>
        <v>324501777116.12073</v>
      </c>
      <c r="EM115" s="1136">
        <f t="shared" si="338"/>
        <v>214476299647.88208</v>
      </c>
      <c r="EN115" s="876"/>
      <c r="EO115" s="876"/>
    </row>
    <row r="116" spans="1:145" s="871" customFormat="1">
      <c r="B116" s="871" t="str">
        <f t="shared" ref="B116" si="448">LEFT(B114,3)+1&amp;"j"</f>
        <v>226j</v>
      </c>
      <c r="C116" s="871">
        <v>111.9</v>
      </c>
      <c r="D116" s="871">
        <v>0</v>
      </c>
      <c r="E116" s="871" t="s">
        <v>2119</v>
      </c>
      <c r="F116" s="26">
        <v>2</v>
      </c>
      <c r="G116" s="136">
        <v>500</v>
      </c>
      <c r="H116" s="136">
        <v>22</v>
      </c>
      <c r="I116" s="28">
        <v>250</v>
      </c>
      <c r="J116" s="26">
        <v>1940</v>
      </c>
      <c r="K116" s="136">
        <v>18</v>
      </c>
      <c r="L116" s="28">
        <v>120</v>
      </c>
      <c r="M116" s="26">
        <v>2800</v>
      </c>
      <c r="N116" s="28">
        <v>12</v>
      </c>
      <c r="O116" s="397">
        <v>0</v>
      </c>
      <c r="P116" s="26">
        <v>290</v>
      </c>
      <c r="Q116" s="397">
        <v>5500</v>
      </c>
      <c r="R116" s="169">
        <v>0</v>
      </c>
      <c r="S116" s="210">
        <v>0</v>
      </c>
      <c r="T116" s="210">
        <v>1200</v>
      </c>
      <c r="U116" s="210">
        <v>2400</v>
      </c>
      <c r="V116" s="872">
        <v>3800</v>
      </c>
      <c r="W116" s="210">
        <v>19</v>
      </c>
      <c r="X116" s="210">
        <v>200</v>
      </c>
      <c r="Y116" s="210">
        <v>50</v>
      </c>
      <c r="Z116" s="210">
        <v>16</v>
      </c>
      <c r="AA116" s="210">
        <v>200</v>
      </c>
      <c r="AB116" s="872">
        <v>40</v>
      </c>
      <c r="AC116" s="210">
        <v>0</v>
      </c>
      <c r="AD116" s="397">
        <v>2</v>
      </c>
      <c r="AE116" s="210">
        <v>160</v>
      </c>
      <c r="AF116" s="210">
        <v>16</v>
      </c>
      <c r="AG116" s="397">
        <v>0</v>
      </c>
      <c r="AH116" s="210">
        <v>0</v>
      </c>
      <c r="AI116" s="210">
        <v>0</v>
      </c>
      <c r="AJ116" s="397">
        <v>2</v>
      </c>
      <c r="AK116" s="210">
        <v>2500</v>
      </c>
      <c r="AL116" s="210">
        <v>5000</v>
      </c>
      <c r="AM116" s="210" t="s">
        <v>2316</v>
      </c>
      <c r="AN116" s="210">
        <v>2500</v>
      </c>
      <c r="AO116" s="1143" t="s">
        <v>2321</v>
      </c>
      <c r="AP116" s="1143" t="s">
        <v>2321</v>
      </c>
      <c r="AQ116" s="1143"/>
      <c r="AR116" s="1143"/>
      <c r="AS116" s="1143"/>
      <c r="AT116" s="1143"/>
      <c r="AU116" s="1143"/>
      <c r="AV116" s="1111"/>
      <c r="AW116" s="1111"/>
      <c r="AX116" s="1111"/>
      <c r="AY116" s="1111"/>
      <c r="AZ116" s="1108">
        <v>8</v>
      </c>
      <c r="BA116" s="1108">
        <v>6</v>
      </c>
      <c r="BB116" s="1111"/>
      <c r="BC116" s="1168"/>
      <c r="BD116" s="210">
        <f>INDEX(Spec!$B$12:$P$58,MATCH(AO116,Spec!$A$12:$A$58,0),6)*100</f>
        <v>1900</v>
      </c>
      <c r="BE116" s="210">
        <f>INDEX(Spec!$B$12:$P$58,MATCH(AP116,Spec!$A$12:$A$58,0),6)*100</f>
        <v>1900</v>
      </c>
      <c r="BF116" s="881">
        <f t="shared" si="371"/>
        <v>0.69515529669535348</v>
      </c>
      <c r="BG116" s="881">
        <f t="shared" si="372"/>
        <v>47.243485714285718</v>
      </c>
      <c r="BH116" s="881"/>
      <c r="BI116" s="13" cm="1">
        <f t="array" ref="BI116">INDEX(Info!$AD$4:$AH$15,MATCH(Info!$I$13,Info!$AC$4:$AC$15,0),IF(H116&lt;=16,1,IF(H116&lt;=40,2,IF(H116&lt;=75,3,IF(H116&lt;=100,4,5)))))</f>
        <v>380</v>
      </c>
      <c r="BJ116" s="13" cm="1">
        <f t="array" ref="BJ116">INDEX(Info!$AD$4:$AH$15,MATCH(Info!$I$13,Info!$AC$4:$AC$15,0),IF(K116&lt;=16,1,IF(K116&lt;=40,2,IF(K116&lt;=75,3,IF(K116&lt;=100,4,5)))))</f>
        <v>380</v>
      </c>
      <c r="BK116" s="13" cm="1">
        <f t="array" ref="BK116">INDEX(Info!$AD$4:$AH$15,MATCH(Info!$I$14,Info!$AC$4:$AC$15,0),IF(N116&lt;=16,1,IF(N116&lt;=40,2,IF(N116&lt;=75,3,IF(N116&lt;=100,4,5)))))</f>
        <v>355</v>
      </c>
      <c r="BL116" s="13">
        <f>IF(Stress!C945="Positive",MAX(MIN(0.7*BI116,BK116),0.5*BI116),MAX(MIN(0.7*BJ116,BK116),0.5*BJ116))</f>
        <v>266</v>
      </c>
      <c r="BM116" s="13" cm="1">
        <f t="array" ref="BM116">INDEX(Info!$AD$4:$AH$15,MATCH(Info!$I$13,Info!$AC$4:$AC$15,0),IF(AI116&lt;=16,1,IF(AI116&lt;=40,2,IF(AI116&lt;=75,3,IF(AI116&lt;=100,4,5)))))</f>
        <v>380</v>
      </c>
      <c r="BN116" s="13" cm="1">
        <f t="array" ref="BN116">INDEX(Info!$AD$4:$AH$15,MATCH(Info!$I$13,Info!$AC$4:$AC$15,0),IF(AF116&lt;=16,1,IF(AF116&lt;=40,2,IF(AF116&lt;=75,3,IF(AF116&lt;=100,4,5)))))</f>
        <v>380</v>
      </c>
      <c r="BO116" s="13"/>
      <c r="BP116" s="873">
        <f t="shared" si="373"/>
        <v>0.125</v>
      </c>
      <c r="BQ116" s="873">
        <f t="shared" si="374"/>
        <v>2821.7902119044925</v>
      </c>
      <c r="BR116" s="873">
        <f t="shared" si="375"/>
        <v>3108</v>
      </c>
      <c r="BS116" s="873"/>
      <c r="BT116" s="871">
        <f t="shared" si="376"/>
        <v>0</v>
      </c>
      <c r="BU116" s="136">
        <f t="shared" si="377"/>
        <v>0</v>
      </c>
      <c r="BV116" s="871">
        <f t="shared" si="378"/>
        <v>1595000</v>
      </c>
      <c r="BW116" s="871">
        <f t="shared" si="379"/>
        <v>11178291666.666666</v>
      </c>
      <c r="BX116" s="871">
        <f t="shared" si="380"/>
        <v>0</v>
      </c>
      <c r="BY116" s="871">
        <f t="shared" si="381"/>
        <v>0</v>
      </c>
      <c r="BZ116" s="871">
        <f t="shared" si="382"/>
        <v>7655.2758986349281</v>
      </c>
      <c r="CA116" s="871">
        <f t="shared" si="383"/>
        <v>172722.16246295057</v>
      </c>
      <c r="CB116" s="871">
        <f t="shared" si="384"/>
        <v>5428.6721054031623</v>
      </c>
      <c r="CC116" s="871">
        <f t="shared" si="385"/>
        <v>86858.753686450596</v>
      </c>
      <c r="CE116" s="1137">
        <f t="shared" si="386"/>
        <v>346081987.77679139</v>
      </c>
      <c r="CF116" s="1136">
        <f t="shared" si="387"/>
        <v>411131448.88888884</v>
      </c>
      <c r="CG116" s="1136">
        <f t="shared" si="388"/>
        <v>0</v>
      </c>
      <c r="CH116" s="172">
        <f t="shared" si="389"/>
        <v>4020729166666.6665</v>
      </c>
      <c r="CJ116" s="136">
        <f t="shared" si="390"/>
        <v>129762.96508570782</v>
      </c>
      <c r="CK116" s="7">
        <f t="shared" si="391"/>
        <v>161520594572.24292</v>
      </c>
      <c r="CL116" s="875">
        <f t="shared" si="392"/>
        <v>1614.0322950661719</v>
      </c>
      <c r="CM116" s="6">
        <f t="shared" si="393"/>
        <v>1225.9677049338281</v>
      </c>
      <c r="CN116" s="876">
        <f t="shared" si="264"/>
        <v>100072715.43821304</v>
      </c>
      <c r="CO116" s="876">
        <f t="shared" si="265"/>
        <v>131749469.3556883</v>
      </c>
      <c r="CP116" s="1137">
        <f t="shared" si="394"/>
        <v>116187096071.85852</v>
      </c>
      <c r="CQ116" s="1136">
        <f t="shared" si="395"/>
        <v>32916617372.582115</v>
      </c>
      <c r="CR116" s="877">
        <f t="shared" si="396"/>
        <v>129762.96508570782</v>
      </c>
      <c r="CS116" s="874">
        <f t="shared" si="397"/>
        <v>161520594572.24292</v>
      </c>
      <c r="CT116" s="875">
        <f t="shared" si="398"/>
        <v>1614.0322950661719</v>
      </c>
      <c r="CU116" s="878">
        <f t="shared" si="399"/>
        <v>1225.9677049338281</v>
      </c>
      <c r="CV116" s="876">
        <f t="shared" si="400"/>
        <v>100072715.43821304</v>
      </c>
      <c r="CW116" s="876">
        <f t="shared" si="401"/>
        <v>131749469.3556883</v>
      </c>
      <c r="CX116" s="1136">
        <f t="shared" si="402"/>
        <v>116187096071.85852</v>
      </c>
      <c r="CY116" s="1136">
        <f t="shared" si="403"/>
        <v>32916617372.582115</v>
      </c>
      <c r="CZ116" s="877">
        <f t="shared" si="404"/>
        <v>129762.96508570782</v>
      </c>
      <c r="DA116" s="874">
        <f t="shared" si="405"/>
        <v>161520594572.24292</v>
      </c>
      <c r="DB116" s="875">
        <f t="shared" si="406"/>
        <v>1614.0322950661719</v>
      </c>
      <c r="DC116" s="878">
        <f t="shared" si="407"/>
        <v>1225.9677049338281</v>
      </c>
      <c r="DD116" s="876">
        <f t="shared" si="266"/>
        <v>100072715.43821304</v>
      </c>
      <c r="DE116" s="876">
        <f t="shared" si="267"/>
        <v>131749469.3556883</v>
      </c>
      <c r="DF116" s="1136">
        <f t="shared" si="408"/>
        <v>116187096071.85852</v>
      </c>
      <c r="DG116" s="1136">
        <f t="shared" si="409"/>
        <v>32916617372.582115</v>
      </c>
      <c r="DH116" s="877">
        <f t="shared" si="410"/>
        <v>377674.65161772241</v>
      </c>
      <c r="DI116" s="879">
        <f t="shared" si="411"/>
        <v>420265490240.5509</v>
      </c>
      <c r="DJ116" s="878">
        <f t="shared" si="412"/>
        <v>473.81649295745774</v>
      </c>
      <c r="DK116" s="877">
        <f t="shared" si="413"/>
        <v>2366.1835070425423</v>
      </c>
      <c r="DL116" s="876">
        <f t="shared" si="268"/>
        <v>886979445.60212898</v>
      </c>
      <c r="DM116" s="876">
        <f t="shared" si="269"/>
        <v>177613227.7947599</v>
      </c>
      <c r="DN116" s="7">
        <f t="shared" si="414"/>
        <v>741131139204.64526</v>
      </c>
      <c r="DO116" s="1136">
        <f t="shared" si="415"/>
        <v>214476299647.88208</v>
      </c>
      <c r="DP116" s="877">
        <f t="shared" si="416"/>
        <v>212400.1939297127</v>
      </c>
      <c r="DQ116" s="879">
        <f t="shared" si="417"/>
        <v>314430424509.01593</v>
      </c>
      <c r="DR116" s="877">
        <f t="shared" si="418"/>
        <v>938.2158910363737</v>
      </c>
      <c r="DS116" s="877">
        <f t="shared" si="419"/>
        <v>1901.7841089636263</v>
      </c>
      <c r="DT116" s="876">
        <f t="shared" si="270"/>
        <v>335136536.81743681</v>
      </c>
      <c r="DU116" s="876">
        <f t="shared" si="271"/>
        <v>165334447.28401071</v>
      </c>
      <c r="DV116" s="1136">
        <f t="shared" si="420"/>
        <v>324501777116.12073</v>
      </c>
      <c r="DW116" s="1136">
        <f t="shared" si="421"/>
        <v>214476299647.88208</v>
      </c>
      <c r="DX116" s="880">
        <f t="shared" si="422"/>
        <v>142846.91308974591</v>
      </c>
      <c r="DY116" s="874">
        <f t="shared" si="423"/>
        <v>198007849742.18506</v>
      </c>
      <c r="DZ116" s="873">
        <f t="shared" si="424"/>
        <v>1453.8294571168058</v>
      </c>
      <c r="EA116" s="880">
        <f t="shared" si="425"/>
        <v>1386.1705428831942</v>
      </c>
      <c r="EB116" s="876">
        <f t="shared" si="272"/>
        <v>136197439.64664793</v>
      </c>
      <c r="EC116" s="876">
        <f t="shared" si="273"/>
        <v>142845229.80147487</v>
      </c>
      <c r="ED116" s="1136">
        <f t="shared" si="426"/>
        <v>741131139204.64526</v>
      </c>
      <c r="EE116" s="1136">
        <f t="shared" si="427"/>
        <v>214476299647.88208</v>
      </c>
      <c r="EF116" s="880">
        <f t="shared" si="428"/>
        <v>134124.28108705385</v>
      </c>
      <c r="EG116" s="874">
        <f t="shared" si="429"/>
        <v>174471223269.76736</v>
      </c>
      <c r="EH116" s="873">
        <f t="shared" si="430"/>
        <v>1557.158474547349</v>
      </c>
      <c r="EI116" s="880">
        <f t="shared" si="431"/>
        <v>1282.841525452651</v>
      </c>
      <c r="EJ116" s="876">
        <f t="shared" si="274"/>
        <v>112044615.96016069</v>
      </c>
      <c r="EK116" s="876">
        <f t="shared" si="275"/>
        <v>136003722.8356832</v>
      </c>
      <c r="EL116" s="1136">
        <f t="shared" si="337"/>
        <v>324501777116.12073</v>
      </c>
      <c r="EM116" s="1136">
        <f t="shared" si="338"/>
        <v>214476299647.88208</v>
      </c>
      <c r="EN116" s="876"/>
      <c r="EO116" s="876"/>
    </row>
    <row r="117" spans="1:145" s="871" customFormat="1">
      <c r="A117" s="871">
        <v>127</v>
      </c>
      <c r="B117" s="871" t="str">
        <f t="shared" ref="B117" si="449">LEFT(B115,3)+1&amp;"i"</f>
        <v>227i</v>
      </c>
      <c r="C117" s="871">
        <v>111.9</v>
      </c>
      <c r="D117" s="871">
        <v>0</v>
      </c>
      <c r="E117" s="871" t="s">
        <v>2120</v>
      </c>
      <c r="F117" s="26">
        <v>2</v>
      </c>
      <c r="G117" s="136">
        <v>500</v>
      </c>
      <c r="H117" s="136">
        <v>22</v>
      </c>
      <c r="I117" s="28">
        <v>250</v>
      </c>
      <c r="J117" s="26">
        <v>1940</v>
      </c>
      <c r="K117" s="136">
        <v>10</v>
      </c>
      <c r="L117" s="28">
        <v>120</v>
      </c>
      <c r="M117" s="26">
        <v>2800</v>
      </c>
      <c r="N117" s="28">
        <v>12</v>
      </c>
      <c r="O117" s="397">
        <v>0</v>
      </c>
      <c r="P117" s="26">
        <v>290</v>
      </c>
      <c r="Q117" s="397">
        <v>5500</v>
      </c>
      <c r="R117" s="169">
        <v>0</v>
      </c>
      <c r="S117" s="210">
        <v>0</v>
      </c>
      <c r="T117" s="210">
        <v>1200</v>
      </c>
      <c r="U117" s="210">
        <v>2400</v>
      </c>
      <c r="V117" s="872">
        <v>3800</v>
      </c>
      <c r="W117" s="210">
        <v>19</v>
      </c>
      <c r="X117" s="210">
        <v>200</v>
      </c>
      <c r="Y117" s="210">
        <v>50</v>
      </c>
      <c r="Z117" s="210">
        <v>16</v>
      </c>
      <c r="AA117" s="210">
        <v>200</v>
      </c>
      <c r="AB117" s="872">
        <v>40</v>
      </c>
      <c r="AC117" s="210">
        <v>0</v>
      </c>
      <c r="AD117" s="397">
        <v>2</v>
      </c>
      <c r="AE117" s="210">
        <v>160</v>
      </c>
      <c r="AF117" s="210">
        <v>16</v>
      </c>
      <c r="AG117" s="397">
        <v>0</v>
      </c>
      <c r="AH117" s="210">
        <v>0</v>
      </c>
      <c r="AI117" s="210">
        <v>0</v>
      </c>
      <c r="AJ117" s="397">
        <v>2</v>
      </c>
      <c r="AK117" s="210">
        <v>2500</v>
      </c>
      <c r="AL117" s="210">
        <v>5000</v>
      </c>
      <c r="AM117" s="210" t="s">
        <v>2316</v>
      </c>
      <c r="AN117" s="210">
        <v>2500</v>
      </c>
      <c r="AO117" s="1143" t="s">
        <v>2321</v>
      </c>
      <c r="AP117" s="1143" t="s">
        <v>2321</v>
      </c>
      <c r="AQ117" s="1143"/>
      <c r="AR117" s="1143"/>
      <c r="AS117" s="1143"/>
      <c r="AT117" s="1143"/>
      <c r="AU117" s="1143"/>
      <c r="AV117" s="1111"/>
      <c r="AW117" s="1111"/>
      <c r="AX117" s="1111"/>
      <c r="AY117" s="1111"/>
      <c r="AZ117" s="1108">
        <v>8</v>
      </c>
      <c r="BA117" s="1108">
        <v>6</v>
      </c>
      <c r="BB117" s="1111"/>
      <c r="BC117" s="1168"/>
      <c r="BD117" s="210">
        <f>INDEX(Spec!$B$12:$P$58,MATCH(AO117,Spec!$A$12:$A$58,0),6)*100</f>
        <v>1900</v>
      </c>
      <c r="BE117" s="210">
        <f>INDEX(Spec!$B$12:$P$58,MATCH(AP117,Spec!$A$12:$A$58,0),6)*100</f>
        <v>1900</v>
      </c>
      <c r="BF117" s="881">
        <f t="shared" si="371"/>
        <v>0.69515529669535348</v>
      </c>
      <c r="BG117" s="881">
        <f t="shared" si="372"/>
        <v>47.243485714285718</v>
      </c>
      <c r="BH117" s="881"/>
      <c r="BI117" s="13" cm="1">
        <f t="array" ref="BI117">INDEX(Info!$AD$4:$AH$15,MATCH(Info!$I$13,Info!$AC$4:$AC$15,0),IF(H117&lt;=16,1,IF(H117&lt;=40,2,IF(H117&lt;=75,3,IF(H117&lt;=100,4,5)))))</f>
        <v>380</v>
      </c>
      <c r="BJ117" s="13" cm="1">
        <f t="array" ref="BJ117">INDEX(Info!$AD$4:$AH$15,MATCH(Info!$I$13,Info!$AC$4:$AC$15,0),IF(K117&lt;=16,1,IF(K117&lt;=40,2,IF(K117&lt;=75,3,IF(K117&lt;=100,4,5)))))</f>
        <v>380</v>
      </c>
      <c r="BK117" s="13" cm="1">
        <f t="array" ref="BK117">INDEX(Info!$AD$4:$AH$15,MATCH(Info!$I$14,Info!$AC$4:$AC$15,0),IF(N117&lt;=16,1,IF(N117&lt;=40,2,IF(N117&lt;=75,3,IF(N117&lt;=100,4,5)))))</f>
        <v>355</v>
      </c>
      <c r="BL117" s="13">
        <f>IF(Stress!C946="Positive",MAX(MIN(0.7*BI117,BK117),0.5*BI117),MAX(MIN(0.7*BJ117,BK117),0.5*BJ117))</f>
        <v>266</v>
      </c>
      <c r="BM117" s="13" cm="1">
        <f t="array" ref="BM117">INDEX(Info!$AD$4:$AH$15,MATCH(Info!$I$13,Info!$AC$4:$AC$15,0),IF(AI117&lt;=16,1,IF(AI117&lt;=40,2,IF(AI117&lt;=75,3,IF(AI117&lt;=100,4,5)))))</f>
        <v>380</v>
      </c>
      <c r="BN117" s="13" cm="1">
        <f t="array" ref="BN117">INDEX(Info!$AD$4:$AH$15,MATCH(Info!$I$13,Info!$AC$4:$AC$15,0),IF(AF117&lt;=16,1,IF(AF117&lt;=40,2,IF(AF117&lt;=75,3,IF(AF117&lt;=100,4,5)))))</f>
        <v>380</v>
      </c>
      <c r="BO117" s="13"/>
      <c r="BP117" s="873">
        <f t="shared" si="373"/>
        <v>0.125</v>
      </c>
      <c r="BQ117" s="873">
        <f t="shared" si="374"/>
        <v>2821.7902119044925</v>
      </c>
      <c r="BR117" s="873">
        <f t="shared" si="375"/>
        <v>3100</v>
      </c>
      <c r="BS117" s="873"/>
      <c r="BT117" s="871">
        <f t="shared" si="376"/>
        <v>0</v>
      </c>
      <c r="BU117" s="136">
        <f t="shared" si="377"/>
        <v>0</v>
      </c>
      <c r="BV117" s="871">
        <f t="shared" si="378"/>
        <v>1595000</v>
      </c>
      <c r="BW117" s="871">
        <f t="shared" si="379"/>
        <v>11178291666.666666</v>
      </c>
      <c r="BX117" s="871">
        <f t="shared" si="380"/>
        <v>0</v>
      </c>
      <c r="BY117" s="871">
        <f t="shared" si="381"/>
        <v>0</v>
      </c>
      <c r="BZ117" s="871">
        <f t="shared" si="382"/>
        <v>7655.2758986349281</v>
      </c>
      <c r="CA117" s="871">
        <f t="shared" si="383"/>
        <v>172722.16246295057</v>
      </c>
      <c r="CB117" s="871">
        <f t="shared" si="384"/>
        <v>5428.6721054031623</v>
      </c>
      <c r="CC117" s="871">
        <f t="shared" si="385"/>
        <v>86858.753686450596</v>
      </c>
      <c r="CE117" s="1137">
        <f t="shared" si="386"/>
        <v>346081987.77679139</v>
      </c>
      <c r="CF117" s="1136">
        <f t="shared" si="387"/>
        <v>411131448.88888884</v>
      </c>
      <c r="CG117" s="1136">
        <f t="shared" si="388"/>
        <v>0</v>
      </c>
      <c r="CH117" s="172">
        <f t="shared" si="389"/>
        <v>4020729166666.6665</v>
      </c>
      <c r="CJ117" s="136">
        <f t="shared" si="390"/>
        <v>114242.96508570782</v>
      </c>
      <c r="CK117" s="7">
        <f t="shared" si="391"/>
        <v>135197688550.53313</v>
      </c>
      <c r="CL117" s="875">
        <f t="shared" si="392"/>
        <v>1448.02698553709</v>
      </c>
      <c r="CM117" s="6">
        <f t="shared" si="393"/>
        <v>1383.97301446291</v>
      </c>
      <c r="CN117" s="876">
        <f t="shared" si="264"/>
        <v>93366829.417468861</v>
      </c>
      <c r="CO117" s="876">
        <f t="shared" si="265"/>
        <v>97688095.893257305</v>
      </c>
      <c r="CP117" s="1137">
        <f t="shared" si="394"/>
        <v>111319506738.52518</v>
      </c>
      <c r="CQ117" s="1136">
        <f t="shared" si="395"/>
        <v>32135500033.324783</v>
      </c>
      <c r="CR117" s="877">
        <f t="shared" si="396"/>
        <v>114242.96508570782</v>
      </c>
      <c r="CS117" s="874">
        <f t="shared" si="397"/>
        <v>135197688550.53313</v>
      </c>
      <c r="CT117" s="875">
        <f t="shared" si="398"/>
        <v>1448.02698553709</v>
      </c>
      <c r="CU117" s="878">
        <f t="shared" si="399"/>
        <v>1383.97301446291</v>
      </c>
      <c r="CV117" s="876">
        <f t="shared" si="400"/>
        <v>93366829.417468861</v>
      </c>
      <c r="CW117" s="876">
        <f t="shared" si="401"/>
        <v>97688095.893257305</v>
      </c>
      <c r="CX117" s="1136">
        <f t="shared" si="402"/>
        <v>111319506738.52518</v>
      </c>
      <c r="CY117" s="1136">
        <f t="shared" si="403"/>
        <v>32135500033.324783</v>
      </c>
      <c r="CZ117" s="877">
        <f t="shared" si="404"/>
        <v>114242.96508570782</v>
      </c>
      <c r="DA117" s="874">
        <f t="shared" si="405"/>
        <v>135197688550.53313</v>
      </c>
      <c r="DB117" s="875">
        <f t="shared" si="406"/>
        <v>1448.02698553709</v>
      </c>
      <c r="DC117" s="878">
        <f t="shared" si="407"/>
        <v>1383.97301446291</v>
      </c>
      <c r="DD117" s="876">
        <f t="shared" si="266"/>
        <v>93366829.417468861</v>
      </c>
      <c r="DE117" s="876">
        <f t="shared" si="267"/>
        <v>97688095.893257305</v>
      </c>
      <c r="DF117" s="1136">
        <f t="shared" si="408"/>
        <v>111319506738.52518</v>
      </c>
      <c r="DG117" s="1136">
        <f t="shared" si="409"/>
        <v>32135500033.324783</v>
      </c>
      <c r="DH117" s="877">
        <f t="shared" si="410"/>
        <v>362154.65161772241</v>
      </c>
      <c r="DI117" s="879">
        <f t="shared" si="411"/>
        <v>329953970555.92291</v>
      </c>
      <c r="DJ117" s="878">
        <f t="shared" si="412"/>
        <v>372.58601623836148</v>
      </c>
      <c r="DK117" s="877">
        <f t="shared" si="413"/>
        <v>2459.4139837616385</v>
      </c>
      <c r="DL117" s="876">
        <f t="shared" si="268"/>
        <v>885577977.09948206</v>
      </c>
      <c r="DM117" s="876">
        <f t="shared" si="269"/>
        <v>134159589.53411455</v>
      </c>
      <c r="DN117" s="7">
        <f t="shared" si="414"/>
        <v>736263549871.31189</v>
      </c>
      <c r="DO117" s="1136">
        <f t="shared" si="415"/>
        <v>188083751807.79175</v>
      </c>
      <c r="DP117" s="877">
        <f t="shared" si="416"/>
        <v>196880.1939297127</v>
      </c>
      <c r="DQ117" s="879">
        <f t="shared" si="417"/>
        <v>254127440236.13666</v>
      </c>
      <c r="DR117" s="877">
        <f t="shared" si="418"/>
        <v>788.61420290704064</v>
      </c>
      <c r="DS117" s="877">
        <f t="shared" si="419"/>
        <v>2043.3857970929594</v>
      </c>
      <c r="DT117" s="876">
        <f t="shared" si="270"/>
        <v>322245578.76253772</v>
      </c>
      <c r="DU117" s="876">
        <f t="shared" si="271"/>
        <v>124365864.04665887</v>
      </c>
      <c r="DV117" s="1136">
        <f t="shared" si="420"/>
        <v>319634187782.78741</v>
      </c>
      <c r="DW117" s="1136">
        <f t="shared" si="421"/>
        <v>188083751807.79175</v>
      </c>
      <c r="DX117" s="880">
        <f t="shared" si="422"/>
        <v>127326.91308974591</v>
      </c>
      <c r="DY117" s="874">
        <f t="shared" si="423"/>
        <v>164744444014.17923</v>
      </c>
      <c r="DZ117" s="873">
        <f t="shared" si="424"/>
        <v>1285.3553591825589</v>
      </c>
      <c r="EA117" s="880">
        <f t="shared" si="425"/>
        <v>1546.6446408174411</v>
      </c>
      <c r="EB117" s="876">
        <f t="shared" si="272"/>
        <v>128170348.25213701</v>
      </c>
      <c r="EC117" s="876">
        <f t="shared" si="273"/>
        <v>106517321.21679069</v>
      </c>
      <c r="ED117" s="1136">
        <f t="shared" si="426"/>
        <v>736263549871.31189</v>
      </c>
      <c r="EE117" s="1136">
        <f t="shared" si="427"/>
        <v>188083751807.79175</v>
      </c>
      <c r="EF117" s="880">
        <f t="shared" si="428"/>
        <v>118604.28108705385</v>
      </c>
      <c r="EG117" s="874">
        <f t="shared" si="429"/>
        <v>145767814837.80017</v>
      </c>
      <c r="EH117" s="873">
        <f t="shared" si="430"/>
        <v>1389.8152699588293</v>
      </c>
      <c r="EI117" s="880">
        <f t="shared" si="431"/>
        <v>1442.1847300411707</v>
      </c>
      <c r="EJ117" s="876">
        <f t="shared" si="274"/>
        <v>104882870.39911303</v>
      </c>
      <c r="EK117" s="876">
        <f t="shared" si="275"/>
        <v>101074301.92638281</v>
      </c>
      <c r="EL117" s="1136">
        <f t="shared" si="337"/>
        <v>319634187782.78741</v>
      </c>
      <c r="EM117" s="1136">
        <f t="shared" si="338"/>
        <v>188083751807.79175</v>
      </c>
      <c r="EN117" s="876"/>
      <c r="EO117" s="876"/>
    </row>
    <row r="118" spans="1:145" s="871" customFormat="1">
      <c r="B118" s="871" t="str">
        <f t="shared" ref="B118" si="450">LEFT(B116,3)+1&amp;"j"</f>
        <v>227j</v>
      </c>
      <c r="C118" s="871">
        <v>116.9</v>
      </c>
      <c r="D118" s="871">
        <v>0</v>
      </c>
      <c r="E118" s="871" t="s">
        <v>2120</v>
      </c>
      <c r="F118" s="26">
        <v>2</v>
      </c>
      <c r="G118" s="136">
        <v>500</v>
      </c>
      <c r="H118" s="136">
        <v>22</v>
      </c>
      <c r="I118" s="28">
        <v>250</v>
      </c>
      <c r="J118" s="26">
        <v>1940</v>
      </c>
      <c r="K118" s="136">
        <v>10</v>
      </c>
      <c r="L118" s="28">
        <v>120</v>
      </c>
      <c r="M118" s="26">
        <v>2800</v>
      </c>
      <c r="N118" s="28">
        <v>12</v>
      </c>
      <c r="O118" s="397">
        <v>0</v>
      </c>
      <c r="P118" s="26">
        <v>290</v>
      </c>
      <c r="Q118" s="397">
        <v>5500</v>
      </c>
      <c r="R118" s="169">
        <v>0</v>
      </c>
      <c r="S118" s="210">
        <v>0</v>
      </c>
      <c r="T118" s="210">
        <v>1200</v>
      </c>
      <c r="U118" s="210">
        <v>2400</v>
      </c>
      <c r="V118" s="872">
        <v>3800</v>
      </c>
      <c r="W118" s="210">
        <v>19</v>
      </c>
      <c r="X118" s="210">
        <v>200</v>
      </c>
      <c r="Y118" s="210">
        <v>50</v>
      </c>
      <c r="Z118" s="210">
        <v>16</v>
      </c>
      <c r="AA118" s="210">
        <v>200</v>
      </c>
      <c r="AB118" s="872">
        <v>40</v>
      </c>
      <c r="AC118" s="210">
        <v>0</v>
      </c>
      <c r="AD118" s="397">
        <v>2</v>
      </c>
      <c r="AE118" s="210">
        <v>160</v>
      </c>
      <c r="AF118" s="210">
        <v>16</v>
      </c>
      <c r="AG118" s="397">
        <v>0</v>
      </c>
      <c r="AH118" s="210">
        <v>0</v>
      </c>
      <c r="AI118" s="210">
        <v>0</v>
      </c>
      <c r="AJ118" s="397">
        <v>2</v>
      </c>
      <c r="AK118" s="210">
        <v>2500</v>
      </c>
      <c r="AL118" s="210">
        <v>5000</v>
      </c>
      <c r="AM118" s="210" t="s">
        <v>2316</v>
      </c>
      <c r="AN118" s="210">
        <v>2500</v>
      </c>
      <c r="AO118" s="1143" t="s">
        <v>2321</v>
      </c>
      <c r="AP118" s="1143" t="s">
        <v>2321</v>
      </c>
      <c r="AQ118" s="1143"/>
      <c r="AR118" s="1143"/>
      <c r="AS118" s="1143"/>
      <c r="AT118" s="1143"/>
      <c r="AU118" s="1143"/>
      <c r="AV118" s="1111"/>
      <c r="AW118" s="1111"/>
      <c r="AX118" s="1111"/>
      <c r="AY118" s="1111"/>
      <c r="AZ118" s="1108">
        <v>8</v>
      </c>
      <c r="BA118" s="1108">
        <v>6</v>
      </c>
      <c r="BB118" s="1111"/>
      <c r="BC118" s="1168"/>
      <c r="BD118" s="210">
        <f>INDEX(Spec!$B$12:$P$58,MATCH(AO118,Spec!$A$12:$A$58,0),6)*100</f>
        <v>1900</v>
      </c>
      <c r="BE118" s="210">
        <f>INDEX(Spec!$B$12:$P$58,MATCH(AP118,Spec!$A$12:$A$58,0),6)*100</f>
        <v>1900</v>
      </c>
      <c r="BF118" s="881">
        <f t="shared" si="371"/>
        <v>0.69515529669535348</v>
      </c>
      <c r="BG118" s="881">
        <f t="shared" si="372"/>
        <v>47.243485714285718</v>
      </c>
      <c r="BH118" s="881"/>
      <c r="BI118" s="13" cm="1">
        <f t="array" ref="BI118">INDEX(Info!$AD$4:$AH$15,MATCH(Info!$I$13,Info!$AC$4:$AC$15,0),IF(H118&lt;=16,1,IF(H118&lt;=40,2,IF(H118&lt;=75,3,IF(H118&lt;=100,4,5)))))</f>
        <v>380</v>
      </c>
      <c r="BJ118" s="13" cm="1">
        <f t="array" ref="BJ118">INDEX(Info!$AD$4:$AH$15,MATCH(Info!$I$13,Info!$AC$4:$AC$15,0),IF(K118&lt;=16,1,IF(K118&lt;=40,2,IF(K118&lt;=75,3,IF(K118&lt;=100,4,5)))))</f>
        <v>380</v>
      </c>
      <c r="BK118" s="13" cm="1">
        <f t="array" ref="BK118">INDEX(Info!$AD$4:$AH$15,MATCH(Info!$I$14,Info!$AC$4:$AC$15,0),IF(N118&lt;=16,1,IF(N118&lt;=40,2,IF(N118&lt;=75,3,IF(N118&lt;=100,4,5)))))</f>
        <v>355</v>
      </c>
      <c r="BL118" s="13">
        <f>IF(Stress!C947="Positive",MAX(MIN(0.7*BI118,BK118),0.5*BI118),MAX(MIN(0.7*BJ118,BK118),0.5*BJ118))</f>
        <v>266</v>
      </c>
      <c r="BM118" s="13" cm="1">
        <f t="array" ref="BM118">INDEX(Info!$AD$4:$AH$15,MATCH(Info!$I$13,Info!$AC$4:$AC$15,0),IF(AI118&lt;=16,1,IF(AI118&lt;=40,2,IF(AI118&lt;=75,3,IF(AI118&lt;=100,4,5)))))</f>
        <v>380</v>
      </c>
      <c r="BN118" s="13" cm="1">
        <f t="array" ref="BN118">INDEX(Info!$AD$4:$AH$15,MATCH(Info!$I$13,Info!$AC$4:$AC$15,0),IF(AF118&lt;=16,1,IF(AF118&lt;=40,2,IF(AF118&lt;=75,3,IF(AF118&lt;=100,4,5)))))</f>
        <v>380</v>
      </c>
      <c r="BO118" s="13"/>
      <c r="BP118" s="873">
        <f t="shared" si="373"/>
        <v>0.125</v>
      </c>
      <c r="BQ118" s="873">
        <f t="shared" si="374"/>
        <v>2821.7902119044925</v>
      </c>
      <c r="BR118" s="873">
        <f t="shared" si="375"/>
        <v>3100</v>
      </c>
      <c r="BS118" s="873"/>
      <c r="BT118" s="871">
        <f t="shared" si="376"/>
        <v>0</v>
      </c>
      <c r="BU118" s="136">
        <f t="shared" si="377"/>
        <v>0</v>
      </c>
      <c r="BV118" s="871">
        <f t="shared" si="378"/>
        <v>1595000</v>
      </c>
      <c r="BW118" s="871">
        <f t="shared" si="379"/>
        <v>11178291666.666666</v>
      </c>
      <c r="BX118" s="871">
        <f t="shared" si="380"/>
        <v>0</v>
      </c>
      <c r="BY118" s="871">
        <f t="shared" si="381"/>
        <v>0</v>
      </c>
      <c r="BZ118" s="871">
        <f t="shared" si="382"/>
        <v>7655.2758986349281</v>
      </c>
      <c r="CA118" s="871">
        <f t="shared" si="383"/>
        <v>172722.16246295057</v>
      </c>
      <c r="CB118" s="871">
        <f t="shared" si="384"/>
        <v>5428.6721054031623</v>
      </c>
      <c r="CC118" s="871">
        <f t="shared" si="385"/>
        <v>86858.753686450596</v>
      </c>
      <c r="CE118" s="1137">
        <f t="shared" si="386"/>
        <v>346081987.77679139</v>
      </c>
      <c r="CF118" s="1136">
        <f t="shared" si="387"/>
        <v>411131448.88888884</v>
      </c>
      <c r="CG118" s="1136">
        <f t="shared" si="388"/>
        <v>0</v>
      </c>
      <c r="CH118" s="172">
        <f t="shared" si="389"/>
        <v>4020729166666.6665</v>
      </c>
      <c r="CJ118" s="136">
        <f t="shared" si="390"/>
        <v>114242.96508570782</v>
      </c>
      <c r="CK118" s="7">
        <f t="shared" si="391"/>
        <v>135197688550.53313</v>
      </c>
      <c r="CL118" s="875">
        <f t="shared" si="392"/>
        <v>1448.02698553709</v>
      </c>
      <c r="CM118" s="6">
        <f t="shared" si="393"/>
        <v>1383.97301446291</v>
      </c>
      <c r="CN118" s="876">
        <f t="shared" si="264"/>
        <v>93366829.417468861</v>
      </c>
      <c r="CO118" s="876">
        <f t="shared" si="265"/>
        <v>97688095.893257305</v>
      </c>
      <c r="CP118" s="1137">
        <f t="shared" si="394"/>
        <v>111319506738.52518</v>
      </c>
      <c r="CQ118" s="1136">
        <f t="shared" si="395"/>
        <v>32135500033.324783</v>
      </c>
      <c r="CR118" s="877">
        <f t="shared" si="396"/>
        <v>114242.96508570782</v>
      </c>
      <c r="CS118" s="874">
        <f t="shared" si="397"/>
        <v>135197688550.53313</v>
      </c>
      <c r="CT118" s="875">
        <f t="shared" si="398"/>
        <v>1448.02698553709</v>
      </c>
      <c r="CU118" s="878">
        <f t="shared" si="399"/>
        <v>1383.97301446291</v>
      </c>
      <c r="CV118" s="876">
        <f t="shared" si="400"/>
        <v>93366829.417468861</v>
      </c>
      <c r="CW118" s="876">
        <f t="shared" si="401"/>
        <v>97688095.893257305</v>
      </c>
      <c r="CX118" s="1136">
        <f t="shared" si="402"/>
        <v>111319506738.52518</v>
      </c>
      <c r="CY118" s="1136">
        <f t="shared" si="403"/>
        <v>32135500033.324783</v>
      </c>
      <c r="CZ118" s="877">
        <f t="shared" si="404"/>
        <v>114242.96508570782</v>
      </c>
      <c r="DA118" s="874">
        <f t="shared" si="405"/>
        <v>135197688550.53313</v>
      </c>
      <c r="DB118" s="875">
        <f t="shared" si="406"/>
        <v>1448.02698553709</v>
      </c>
      <c r="DC118" s="878">
        <f t="shared" si="407"/>
        <v>1383.97301446291</v>
      </c>
      <c r="DD118" s="876">
        <f t="shared" si="266"/>
        <v>93366829.417468861</v>
      </c>
      <c r="DE118" s="876">
        <f t="shared" si="267"/>
        <v>97688095.893257305</v>
      </c>
      <c r="DF118" s="1136">
        <f t="shared" si="408"/>
        <v>111319506738.52518</v>
      </c>
      <c r="DG118" s="1136">
        <f t="shared" si="409"/>
        <v>32135500033.324783</v>
      </c>
      <c r="DH118" s="877">
        <f t="shared" si="410"/>
        <v>362154.65161772241</v>
      </c>
      <c r="DI118" s="879">
        <f t="shared" si="411"/>
        <v>329953970555.92291</v>
      </c>
      <c r="DJ118" s="878">
        <f t="shared" si="412"/>
        <v>372.58601623836148</v>
      </c>
      <c r="DK118" s="877">
        <f t="shared" si="413"/>
        <v>2459.4139837616385</v>
      </c>
      <c r="DL118" s="876">
        <f t="shared" si="268"/>
        <v>885577977.09948206</v>
      </c>
      <c r="DM118" s="876">
        <f t="shared" si="269"/>
        <v>134159589.53411455</v>
      </c>
      <c r="DN118" s="7">
        <f t="shared" si="414"/>
        <v>736263549871.31189</v>
      </c>
      <c r="DO118" s="1136">
        <f t="shared" si="415"/>
        <v>188083751807.79175</v>
      </c>
      <c r="DP118" s="877">
        <f t="shared" si="416"/>
        <v>196880.1939297127</v>
      </c>
      <c r="DQ118" s="879">
        <f t="shared" si="417"/>
        <v>254127440236.13666</v>
      </c>
      <c r="DR118" s="877">
        <f t="shared" si="418"/>
        <v>788.61420290704064</v>
      </c>
      <c r="DS118" s="877">
        <f t="shared" si="419"/>
        <v>2043.3857970929594</v>
      </c>
      <c r="DT118" s="876">
        <f t="shared" si="270"/>
        <v>322245578.76253772</v>
      </c>
      <c r="DU118" s="876">
        <f t="shared" si="271"/>
        <v>124365864.04665887</v>
      </c>
      <c r="DV118" s="1136">
        <f t="shared" si="420"/>
        <v>319634187782.78741</v>
      </c>
      <c r="DW118" s="1136">
        <f t="shared" si="421"/>
        <v>188083751807.79175</v>
      </c>
      <c r="DX118" s="880">
        <f t="shared" si="422"/>
        <v>127326.91308974591</v>
      </c>
      <c r="DY118" s="874">
        <f t="shared" si="423"/>
        <v>164744444014.17923</v>
      </c>
      <c r="DZ118" s="873">
        <f t="shared" si="424"/>
        <v>1285.3553591825589</v>
      </c>
      <c r="EA118" s="880">
        <f t="shared" si="425"/>
        <v>1546.6446408174411</v>
      </c>
      <c r="EB118" s="876">
        <f t="shared" si="272"/>
        <v>128170348.25213701</v>
      </c>
      <c r="EC118" s="876">
        <f t="shared" si="273"/>
        <v>106517321.21679069</v>
      </c>
      <c r="ED118" s="1136">
        <f t="shared" si="426"/>
        <v>736263549871.31189</v>
      </c>
      <c r="EE118" s="1136">
        <f t="shared" si="427"/>
        <v>188083751807.79175</v>
      </c>
      <c r="EF118" s="880">
        <f t="shared" si="428"/>
        <v>118604.28108705385</v>
      </c>
      <c r="EG118" s="874">
        <f t="shared" si="429"/>
        <v>145767814837.80017</v>
      </c>
      <c r="EH118" s="873">
        <f t="shared" si="430"/>
        <v>1389.8152699588293</v>
      </c>
      <c r="EI118" s="880">
        <f t="shared" si="431"/>
        <v>1442.1847300411707</v>
      </c>
      <c r="EJ118" s="876">
        <f t="shared" si="274"/>
        <v>104882870.39911303</v>
      </c>
      <c r="EK118" s="876">
        <f t="shared" si="275"/>
        <v>101074301.92638281</v>
      </c>
      <c r="EL118" s="1136">
        <f t="shared" si="337"/>
        <v>319634187782.78741</v>
      </c>
      <c r="EM118" s="1136">
        <f t="shared" si="338"/>
        <v>188083751807.79175</v>
      </c>
      <c r="EN118" s="876"/>
      <c r="EO118" s="876"/>
    </row>
    <row r="119" spans="1:145" s="136" customFormat="1">
      <c r="A119" s="136">
        <v>128</v>
      </c>
      <c r="B119" s="136" t="str">
        <f t="shared" ref="B119" si="451">LEFT(B117,3)+1&amp;"i"</f>
        <v>228i</v>
      </c>
      <c r="C119" s="136">
        <v>116.9</v>
      </c>
      <c r="D119" s="136">
        <v>0</v>
      </c>
      <c r="E119" s="136" t="s">
        <v>2120</v>
      </c>
      <c r="F119" s="26">
        <v>2</v>
      </c>
      <c r="G119" s="136">
        <v>500</v>
      </c>
      <c r="H119" s="136">
        <v>22</v>
      </c>
      <c r="I119" s="28">
        <v>250</v>
      </c>
      <c r="J119" s="26">
        <v>1940</v>
      </c>
      <c r="K119" s="136">
        <v>10</v>
      </c>
      <c r="L119" s="28">
        <v>120</v>
      </c>
      <c r="M119" s="26">
        <v>2800</v>
      </c>
      <c r="N119" s="28">
        <v>12</v>
      </c>
      <c r="O119" s="26">
        <v>0</v>
      </c>
      <c r="P119" s="26">
        <v>290</v>
      </c>
      <c r="Q119" s="397">
        <v>5500</v>
      </c>
      <c r="R119" s="169">
        <v>0</v>
      </c>
      <c r="S119" s="210">
        <v>0</v>
      </c>
      <c r="T119" s="169">
        <v>1200</v>
      </c>
      <c r="U119" s="169">
        <v>2400</v>
      </c>
      <c r="V119" s="28">
        <v>3800</v>
      </c>
      <c r="W119" s="210">
        <v>19</v>
      </c>
      <c r="X119" s="210">
        <v>200</v>
      </c>
      <c r="Y119" s="169">
        <v>50</v>
      </c>
      <c r="Z119" s="210">
        <v>16</v>
      </c>
      <c r="AA119" s="210">
        <v>200</v>
      </c>
      <c r="AB119" s="28">
        <v>40</v>
      </c>
      <c r="AC119" s="210">
        <v>0</v>
      </c>
      <c r="AD119" s="26">
        <v>2</v>
      </c>
      <c r="AE119" s="169">
        <v>160</v>
      </c>
      <c r="AF119" s="169">
        <v>16</v>
      </c>
      <c r="AG119" s="26">
        <v>0</v>
      </c>
      <c r="AH119" s="169">
        <v>0</v>
      </c>
      <c r="AI119" s="169">
        <v>0</v>
      </c>
      <c r="AJ119" s="397">
        <v>2</v>
      </c>
      <c r="AK119" s="210">
        <v>2500</v>
      </c>
      <c r="AL119" s="210">
        <v>5000</v>
      </c>
      <c r="AM119" s="210" t="s">
        <v>2316</v>
      </c>
      <c r="AN119" s="210">
        <v>2500</v>
      </c>
      <c r="AO119" s="1143" t="s">
        <v>2321</v>
      </c>
      <c r="AP119" s="1143" t="s">
        <v>2321</v>
      </c>
      <c r="AQ119" s="1143"/>
      <c r="AR119" s="1143"/>
      <c r="AS119" s="1143"/>
      <c r="AT119" s="1143"/>
      <c r="AU119" s="1143"/>
      <c r="AV119" s="1109"/>
      <c r="AW119" s="1109"/>
      <c r="AX119" s="1109"/>
      <c r="AY119" s="1109"/>
      <c r="AZ119" s="1108">
        <v>8</v>
      </c>
      <c r="BA119" s="1108">
        <v>6</v>
      </c>
      <c r="BB119" s="1109"/>
      <c r="BC119" s="1168"/>
      <c r="BD119" s="210">
        <f>INDEX(Spec!$B$12:$P$58,MATCH(AO119,Spec!$A$12:$A$58,0),6)*100</f>
        <v>1900</v>
      </c>
      <c r="BE119" s="210">
        <f>INDEX(Spec!$B$12:$P$58,MATCH(AP119,Spec!$A$12:$A$58,0),6)*100</f>
        <v>1900</v>
      </c>
      <c r="BF119" s="881">
        <f t="shared" si="371"/>
        <v>0.69515529669535348</v>
      </c>
      <c r="BG119" s="881">
        <f t="shared" si="372"/>
        <v>47.243485714285718</v>
      </c>
      <c r="BH119" s="881"/>
      <c r="BI119" s="13" cm="1">
        <f t="array" ref="BI119">INDEX(Info!$AD$4:$AH$15,MATCH(Info!$I$13,Info!$AC$4:$AC$15,0),IF(H119&lt;=16,1,IF(H119&lt;=40,2,IF(H119&lt;=75,3,IF(H119&lt;=100,4,5)))))</f>
        <v>380</v>
      </c>
      <c r="BJ119" s="13" cm="1">
        <f t="array" ref="BJ119">INDEX(Info!$AD$4:$AH$15,MATCH(Info!$I$13,Info!$AC$4:$AC$15,0),IF(K119&lt;=16,1,IF(K119&lt;=40,2,IF(K119&lt;=75,3,IF(K119&lt;=100,4,5)))))</f>
        <v>380</v>
      </c>
      <c r="BK119" s="13" cm="1">
        <f t="array" ref="BK119">INDEX(Info!$AD$4:$AH$15,MATCH(Info!$I$14,Info!$AC$4:$AC$15,0),IF(N119&lt;=16,1,IF(N119&lt;=40,2,IF(N119&lt;=75,3,IF(N119&lt;=100,4,5)))))</f>
        <v>355</v>
      </c>
      <c r="BL119" s="13">
        <f>IF(Stress!C948="Positive",MAX(MIN(0.7*BI119,BK119),0.5*BI119),MAX(MIN(0.7*BJ119,BK119),0.5*BJ119))</f>
        <v>266</v>
      </c>
      <c r="BM119" s="13" cm="1">
        <f t="array" ref="BM119">INDEX(Info!$AD$4:$AH$15,MATCH(Info!$I$13,Info!$AC$4:$AC$15,0),IF(AI119&lt;=16,1,IF(AI119&lt;=40,2,IF(AI119&lt;=75,3,IF(AI119&lt;=100,4,5)))))</f>
        <v>380</v>
      </c>
      <c r="BN119" s="13" cm="1">
        <f t="array" ref="BN119">INDEX(Info!$AD$4:$AH$15,MATCH(Info!$I$13,Info!$AC$4:$AC$15,0),IF(AF119&lt;=16,1,IF(AF119&lt;=40,2,IF(AF119&lt;=75,3,IF(AF119&lt;=100,4,5)))))</f>
        <v>380</v>
      </c>
      <c r="BO119" s="13"/>
      <c r="BP119" s="13">
        <f t="shared" si="373"/>
        <v>0.125</v>
      </c>
      <c r="BQ119" s="13">
        <f t="shared" si="374"/>
        <v>2821.7902119044925</v>
      </c>
      <c r="BR119" s="13">
        <f t="shared" si="375"/>
        <v>3100</v>
      </c>
      <c r="BS119" s="13"/>
      <c r="BT119" s="136">
        <f t="shared" si="376"/>
        <v>0</v>
      </c>
      <c r="BU119" s="136">
        <f t="shared" si="377"/>
        <v>0</v>
      </c>
      <c r="BV119" s="136">
        <f t="shared" si="378"/>
        <v>1595000</v>
      </c>
      <c r="BW119" s="136">
        <f t="shared" si="379"/>
        <v>11178291666.666666</v>
      </c>
      <c r="BX119" s="136">
        <f t="shared" si="380"/>
        <v>0</v>
      </c>
      <c r="BY119" s="136">
        <f t="shared" si="381"/>
        <v>0</v>
      </c>
      <c r="BZ119" s="136">
        <f t="shared" si="382"/>
        <v>7655.2758986349281</v>
      </c>
      <c r="CA119" s="136">
        <f t="shared" si="383"/>
        <v>172722.16246295057</v>
      </c>
      <c r="CB119" s="136">
        <f t="shared" si="384"/>
        <v>5428.6721054031623</v>
      </c>
      <c r="CC119" s="136">
        <f t="shared" si="385"/>
        <v>86858.753686450596</v>
      </c>
      <c r="CE119" s="1137">
        <f t="shared" si="386"/>
        <v>346081987.77679139</v>
      </c>
      <c r="CF119" s="1136">
        <f t="shared" si="387"/>
        <v>411131448.88888884</v>
      </c>
      <c r="CG119" s="1136">
        <f t="shared" si="388"/>
        <v>0</v>
      </c>
      <c r="CH119" s="172">
        <f t="shared" si="389"/>
        <v>4020729166666.6665</v>
      </c>
      <c r="CJ119" s="136">
        <f t="shared" si="390"/>
        <v>114242.96508570782</v>
      </c>
      <c r="CK119" s="7">
        <f t="shared" si="391"/>
        <v>135197688550.53313</v>
      </c>
      <c r="CL119" s="6">
        <f t="shared" si="392"/>
        <v>1448.02698553709</v>
      </c>
      <c r="CM119" s="6">
        <f t="shared" si="393"/>
        <v>1383.97301446291</v>
      </c>
      <c r="CN119" s="164">
        <f t="shared" si="264"/>
        <v>93366829.417468861</v>
      </c>
      <c r="CO119" s="164">
        <f t="shared" si="265"/>
        <v>97688095.893257305</v>
      </c>
      <c r="CP119" s="1137">
        <f t="shared" si="394"/>
        <v>111319506738.52518</v>
      </c>
      <c r="CQ119" s="1136">
        <f t="shared" si="395"/>
        <v>32135500033.324783</v>
      </c>
      <c r="CR119" s="22">
        <f t="shared" si="396"/>
        <v>114242.96508570782</v>
      </c>
      <c r="CS119" s="7">
        <f t="shared" si="397"/>
        <v>135197688550.53313</v>
      </c>
      <c r="CT119" s="6">
        <f t="shared" si="398"/>
        <v>1448.02698553709</v>
      </c>
      <c r="CU119" s="12">
        <f t="shared" si="399"/>
        <v>1383.97301446291</v>
      </c>
      <c r="CV119" s="164">
        <f t="shared" si="400"/>
        <v>93366829.417468861</v>
      </c>
      <c r="CW119" s="164">
        <f t="shared" si="401"/>
        <v>97688095.893257305</v>
      </c>
      <c r="CX119" s="1136">
        <f t="shared" si="402"/>
        <v>111319506738.52518</v>
      </c>
      <c r="CY119" s="1136">
        <f t="shared" si="403"/>
        <v>32135500033.324783</v>
      </c>
      <c r="CZ119" s="22">
        <f t="shared" si="404"/>
        <v>114242.96508570782</v>
      </c>
      <c r="DA119" s="7">
        <f t="shared" si="405"/>
        <v>135197688550.53313</v>
      </c>
      <c r="DB119" s="6">
        <f t="shared" si="406"/>
        <v>1448.02698553709</v>
      </c>
      <c r="DC119" s="12">
        <f t="shared" si="407"/>
        <v>1383.97301446291</v>
      </c>
      <c r="DD119" s="164">
        <f t="shared" si="266"/>
        <v>93366829.417468861</v>
      </c>
      <c r="DE119" s="164">
        <f t="shared" si="267"/>
        <v>97688095.893257305</v>
      </c>
      <c r="DF119" s="1136">
        <f t="shared" si="408"/>
        <v>111319506738.52518</v>
      </c>
      <c r="DG119" s="1136">
        <f t="shared" si="409"/>
        <v>32135500033.324783</v>
      </c>
      <c r="DH119" s="22">
        <f t="shared" si="410"/>
        <v>362154.65161772241</v>
      </c>
      <c r="DI119" s="172">
        <f t="shared" si="411"/>
        <v>329953970555.92291</v>
      </c>
      <c r="DJ119" s="12">
        <f t="shared" si="412"/>
        <v>372.58601623836148</v>
      </c>
      <c r="DK119" s="22">
        <f t="shared" si="413"/>
        <v>2459.4139837616385</v>
      </c>
      <c r="DL119" s="164">
        <f t="shared" si="268"/>
        <v>885577977.09948206</v>
      </c>
      <c r="DM119" s="164">
        <f t="shared" si="269"/>
        <v>134159589.53411455</v>
      </c>
      <c r="DN119" s="7">
        <f t="shared" si="414"/>
        <v>736263549871.31189</v>
      </c>
      <c r="DO119" s="1136">
        <f t="shared" si="415"/>
        <v>188083751807.79175</v>
      </c>
      <c r="DP119" s="22">
        <f t="shared" si="416"/>
        <v>196880.1939297127</v>
      </c>
      <c r="DQ119" s="172">
        <f t="shared" si="417"/>
        <v>254127440236.13666</v>
      </c>
      <c r="DR119" s="22">
        <f t="shared" si="418"/>
        <v>788.61420290704064</v>
      </c>
      <c r="DS119" s="22">
        <f t="shared" si="419"/>
        <v>2043.3857970929594</v>
      </c>
      <c r="DT119" s="164">
        <f t="shared" si="270"/>
        <v>322245578.76253772</v>
      </c>
      <c r="DU119" s="164">
        <f t="shared" si="271"/>
        <v>124365864.04665887</v>
      </c>
      <c r="DV119" s="1136">
        <f t="shared" si="420"/>
        <v>319634187782.78741</v>
      </c>
      <c r="DW119" s="1136">
        <f t="shared" si="421"/>
        <v>188083751807.79175</v>
      </c>
      <c r="DX119" s="763">
        <f t="shared" si="422"/>
        <v>127326.91308974591</v>
      </c>
      <c r="DY119" s="7">
        <f t="shared" si="423"/>
        <v>164744444014.17923</v>
      </c>
      <c r="DZ119" s="13">
        <f t="shared" si="424"/>
        <v>1285.3553591825589</v>
      </c>
      <c r="EA119" s="763">
        <f t="shared" si="425"/>
        <v>1546.6446408174411</v>
      </c>
      <c r="EB119" s="164">
        <f t="shared" si="272"/>
        <v>128170348.25213701</v>
      </c>
      <c r="EC119" s="164">
        <f t="shared" si="273"/>
        <v>106517321.21679069</v>
      </c>
      <c r="ED119" s="1136">
        <f t="shared" si="426"/>
        <v>736263549871.31189</v>
      </c>
      <c r="EE119" s="1136">
        <f t="shared" si="427"/>
        <v>188083751807.79175</v>
      </c>
      <c r="EF119" s="763">
        <f t="shared" si="428"/>
        <v>118604.28108705385</v>
      </c>
      <c r="EG119" s="7">
        <f t="shared" si="429"/>
        <v>145767814837.80017</v>
      </c>
      <c r="EH119" s="13">
        <f t="shared" si="430"/>
        <v>1389.8152699588293</v>
      </c>
      <c r="EI119" s="763">
        <f t="shared" si="431"/>
        <v>1442.1847300411707</v>
      </c>
      <c r="EJ119" s="164">
        <f t="shared" si="274"/>
        <v>104882870.39911303</v>
      </c>
      <c r="EK119" s="164">
        <f t="shared" si="275"/>
        <v>101074301.92638281</v>
      </c>
      <c r="EL119" s="1136">
        <f t="shared" si="337"/>
        <v>319634187782.78741</v>
      </c>
      <c r="EM119" s="1136">
        <f t="shared" si="338"/>
        <v>188083751807.79175</v>
      </c>
      <c r="EN119" s="164"/>
      <c r="EO119" s="164"/>
    </row>
    <row r="120" spans="1:145" s="136" customFormat="1">
      <c r="B120" s="136" t="str">
        <f t="shared" ref="B120" si="452">LEFT(B118,3)+1&amp;"j"</f>
        <v>228j</v>
      </c>
      <c r="C120" s="136">
        <v>121.9</v>
      </c>
      <c r="D120" s="136">
        <v>0</v>
      </c>
      <c r="E120" s="136" t="s">
        <v>2120</v>
      </c>
      <c r="F120" s="26">
        <v>2</v>
      </c>
      <c r="G120" s="136">
        <v>500</v>
      </c>
      <c r="H120" s="136">
        <v>22</v>
      </c>
      <c r="I120" s="28">
        <v>250</v>
      </c>
      <c r="J120" s="26">
        <v>1940</v>
      </c>
      <c r="K120" s="136">
        <v>10</v>
      </c>
      <c r="L120" s="28">
        <v>120</v>
      </c>
      <c r="M120" s="26">
        <v>2800</v>
      </c>
      <c r="N120" s="28">
        <v>12</v>
      </c>
      <c r="O120" s="26">
        <v>0</v>
      </c>
      <c r="P120" s="26">
        <v>290</v>
      </c>
      <c r="Q120" s="397">
        <v>5500</v>
      </c>
      <c r="R120" s="169">
        <v>0</v>
      </c>
      <c r="S120" s="210">
        <v>0</v>
      </c>
      <c r="T120" s="169">
        <v>1200</v>
      </c>
      <c r="U120" s="169">
        <v>2400</v>
      </c>
      <c r="V120" s="28">
        <v>3800</v>
      </c>
      <c r="W120" s="210">
        <v>19</v>
      </c>
      <c r="X120" s="210">
        <v>200</v>
      </c>
      <c r="Y120" s="169">
        <v>50</v>
      </c>
      <c r="Z120" s="210">
        <v>16</v>
      </c>
      <c r="AA120" s="210">
        <v>200</v>
      </c>
      <c r="AB120" s="28">
        <v>40</v>
      </c>
      <c r="AC120" s="210">
        <v>0</v>
      </c>
      <c r="AD120" s="26">
        <v>2</v>
      </c>
      <c r="AE120" s="169">
        <v>160</v>
      </c>
      <c r="AF120" s="169">
        <v>16</v>
      </c>
      <c r="AG120" s="26">
        <v>0</v>
      </c>
      <c r="AH120" s="169">
        <v>0</v>
      </c>
      <c r="AI120" s="169">
        <v>0</v>
      </c>
      <c r="AJ120" s="397">
        <v>2</v>
      </c>
      <c r="AK120" s="210">
        <v>2500</v>
      </c>
      <c r="AL120" s="210">
        <v>5000</v>
      </c>
      <c r="AM120" s="210" t="s">
        <v>2316</v>
      </c>
      <c r="AN120" s="210">
        <v>2500</v>
      </c>
      <c r="AO120" s="1143" t="s">
        <v>2321</v>
      </c>
      <c r="AP120" s="1143" t="s">
        <v>2321</v>
      </c>
      <c r="AQ120" s="1143"/>
      <c r="AR120" s="1143"/>
      <c r="AS120" s="1143"/>
      <c r="AT120" s="1143"/>
      <c r="AU120" s="1143"/>
      <c r="AV120" s="1109"/>
      <c r="AW120" s="1109"/>
      <c r="AX120" s="1109"/>
      <c r="AY120" s="1109"/>
      <c r="AZ120" s="1108">
        <v>8</v>
      </c>
      <c r="BA120" s="1108">
        <v>6</v>
      </c>
      <c r="BB120" s="1109"/>
      <c r="BC120" s="1168"/>
      <c r="BD120" s="210">
        <f>INDEX(Spec!$B$12:$P$58,MATCH(AO120,Spec!$A$12:$A$58,0),6)*100</f>
        <v>1900</v>
      </c>
      <c r="BE120" s="210">
        <f>INDEX(Spec!$B$12:$P$58,MATCH(AP120,Spec!$A$12:$A$58,0),6)*100</f>
        <v>1900</v>
      </c>
      <c r="BF120" s="881">
        <f t="shared" si="371"/>
        <v>0.69515529669535348</v>
      </c>
      <c r="BG120" s="881">
        <f t="shared" si="372"/>
        <v>47.243485714285718</v>
      </c>
      <c r="BH120" s="881"/>
      <c r="BI120" s="13" cm="1">
        <f t="array" ref="BI120">INDEX(Info!$AD$4:$AH$15,MATCH(Info!$I$13,Info!$AC$4:$AC$15,0),IF(H120&lt;=16,1,IF(H120&lt;=40,2,IF(H120&lt;=75,3,IF(H120&lt;=100,4,5)))))</f>
        <v>380</v>
      </c>
      <c r="BJ120" s="13" cm="1">
        <f t="array" ref="BJ120">INDEX(Info!$AD$4:$AH$15,MATCH(Info!$I$13,Info!$AC$4:$AC$15,0),IF(K120&lt;=16,1,IF(K120&lt;=40,2,IF(K120&lt;=75,3,IF(K120&lt;=100,4,5)))))</f>
        <v>380</v>
      </c>
      <c r="BK120" s="13" cm="1">
        <f t="array" ref="BK120">INDEX(Info!$AD$4:$AH$15,MATCH(Info!$I$14,Info!$AC$4:$AC$15,0),IF(N120&lt;=16,1,IF(N120&lt;=40,2,IF(N120&lt;=75,3,IF(N120&lt;=100,4,5)))))</f>
        <v>355</v>
      </c>
      <c r="BL120" s="13">
        <f>IF(Stress!C949="Positive",MAX(MIN(0.7*BI120,BK120),0.5*BI120),MAX(MIN(0.7*BJ120,BK120),0.5*BJ120))</f>
        <v>266</v>
      </c>
      <c r="BM120" s="13" cm="1">
        <f t="array" ref="BM120">INDEX(Info!$AD$4:$AH$15,MATCH(Info!$I$13,Info!$AC$4:$AC$15,0),IF(AI120&lt;=16,1,IF(AI120&lt;=40,2,IF(AI120&lt;=75,3,IF(AI120&lt;=100,4,5)))))</f>
        <v>380</v>
      </c>
      <c r="BN120" s="13" cm="1">
        <f t="array" ref="BN120">INDEX(Info!$AD$4:$AH$15,MATCH(Info!$I$13,Info!$AC$4:$AC$15,0),IF(AF120&lt;=16,1,IF(AF120&lt;=40,2,IF(AF120&lt;=75,3,IF(AF120&lt;=100,4,5)))))</f>
        <v>380</v>
      </c>
      <c r="BO120" s="13"/>
      <c r="BP120" s="13">
        <f t="shared" si="373"/>
        <v>0.125</v>
      </c>
      <c r="BQ120" s="13">
        <f t="shared" si="374"/>
        <v>2821.7902119044925</v>
      </c>
      <c r="BR120" s="13">
        <f t="shared" si="375"/>
        <v>3100</v>
      </c>
      <c r="BS120" s="13"/>
      <c r="BT120" s="136">
        <f t="shared" si="376"/>
        <v>0</v>
      </c>
      <c r="BU120" s="136">
        <f t="shared" si="377"/>
        <v>0</v>
      </c>
      <c r="BV120" s="136">
        <f t="shared" si="378"/>
        <v>1595000</v>
      </c>
      <c r="BW120" s="136">
        <f t="shared" si="379"/>
        <v>11178291666.666666</v>
      </c>
      <c r="BX120" s="136">
        <f t="shared" si="380"/>
        <v>0</v>
      </c>
      <c r="BY120" s="136">
        <f t="shared" si="381"/>
        <v>0</v>
      </c>
      <c r="BZ120" s="136">
        <f t="shared" si="382"/>
        <v>7655.2758986349281</v>
      </c>
      <c r="CA120" s="136">
        <f t="shared" si="383"/>
        <v>172722.16246295057</v>
      </c>
      <c r="CB120" s="136">
        <f t="shared" si="384"/>
        <v>5428.6721054031623</v>
      </c>
      <c r="CC120" s="136">
        <f t="shared" si="385"/>
        <v>86858.753686450596</v>
      </c>
      <c r="CE120" s="1137">
        <f t="shared" si="386"/>
        <v>346081987.77679139</v>
      </c>
      <c r="CF120" s="1136">
        <f t="shared" si="387"/>
        <v>411131448.88888884</v>
      </c>
      <c r="CG120" s="1136">
        <f t="shared" si="388"/>
        <v>0</v>
      </c>
      <c r="CH120" s="172">
        <f t="shared" si="389"/>
        <v>4020729166666.6665</v>
      </c>
      <c r="CJ120" s="136">
        <f t="shared" si="390"/>
        <v>114242.96508570782</v>
      </c>
      <c r="CK120" s="7">
        <f t="shared" si="391"/>
        <v>135197688550.53313</v>
      </c>
      <c r="CL120" s="6">
        <f t="shared" si="392"/>
        <v>1448.02698553709</v>
      </c>
      <c r="CM120" s="6">
        <f t="shared" si="393"/>
        <v>1383.97301446291</v>
      </c>
      <c r="CN120" s="164">
        <f t="shared" si="264"/>
        <v>93366829.417468861</v>
      </c>
      <c r="CO120" s="164">
        <f t="shared" si="265"/>
        <v>97688095.893257305</v>
      </c>
      <c r="CP120" s="1137">
        <f t="shared" si="394"/>
        <v>111319506738.52518</v>
      </c>
      <c r="CQ120" s="1136">
        <f t="shared" si="395"/>
        <v>32135500033.324783</v>
      </c>
      <c r="CR120" s="22">
        <f t="shared" si="396"/>
        <v>114242.96508570782</v>
      </c>
      <c r="CS120" s="7">
        <f t="shared" si="397"/>
        <v>135197688550.53313</v>
      </c>
      <c r="CT120" s="6">
        <f t="shared" si="398"/>
        <v>1448.02698553709</v>
      </c>
      <c r="CU120" s="12">
        <f t="shared" si="399"/>
        <v>1383.97301446291</v>
      </c>
      <c r="CV120" s="164">
        <f t="shared" si="400"/>
        <v>93366829.417468861</v>
      </c>
      <c r="CW120" s="164">
        <f t="shared" si="401"/>
        <v>97688095.893257305</v>
      </c>
      <c r="CX120" s="1136">
        <f t="shared" si="402"/>
        <v>111319506738.52518</v>
      </c>
      <c r="CY120" s="1136">
        <f t="shared" si="403"/>
        <v>32135500033.324783</v>
      </c>
      <c r="CZ120" s="22">
        <f t="shared" si="404"/>
        <v>114242.96508570782</v>
      </c>
      <c r="DA120" s="7">
        <f t="shared" si="405"/>
        <v>135197688550.53313</v>
      </c>
      <c r="DB120" s="6">
        <f t="shared" si="406"/>
        <v>1448.02698553709</v>
      </c>
      <c r="DC120" s="12">
        <f t="shared" si="407"/>
        <v>1383.97301446291</v>
      </c>
      <c r="DD120" s="164">
        <f t="shared" si="266"/>
        <v>93366829.417468861</v>
      </c>
      <c r="DE120" s="164">
        <f t="shared" si="267"/>
        <v>97688095.893257305</v>
      </c>
      <c r="DF120" s="1136">
        <f t="shared" si="408"/>
        <v>111319506738.52518</v>
      </c>
      <c r="DG120" s="1136">
        <f t="shared" si="409"/>
        <v>32135500033.324783</v>
      </c>
      <c r="DH120" s="22">
        <f t="shared" si="410"/>
        <v>362154.65161772241</v>
      </c>
      <c r="DI120" s="172">
        <f t="shared" si="411"/>
        <v>329953970555.92291</v>
      </c>
      <c r="DJ120" s="12">
        <f t="shared" si="412"/>
        <v>372.58601623836148</v>
      </c>
      <c r="DK120" s="22">
        <f t="shared" si="413"/>
        <v>2459.4139837616385</v>
      </c>
      <c r="DL120" s="164">
        <f t="shared" si="268"/>
        <v>885577977.09948206</v>
      </c>
      <c r="DM120" s="164">
        <f t="shared" si="269"/>
        <v>134159589.53411455</v>
      </c>
      <c r="DN120" s="7">
        <f t="shared" si="414"/>
        <v>736263549871.31189</v>
      </c>
      <c r="DO120" s="1136">
        <f t="shared" si="415"/>
        <v>188083751807.79175</v>
      </c>
      <c r="DP120" s="22">
        <f t="shared" si="416"/>
        <v>196880.1939297127</v>
      </c>
      <c r="DQ120" s="172">
        <f t="shared" si="417"/>
        <v>254127440236.13666</v>
      </c>
      <c r="DR120" s="22">
        <f t="shared" si="418"/>
        <v>788.61420290704064</v>
      </c>
      <c r="DS120" s="22">
        <f t="shared" si="419"/>
        <v>2043.3857970929594</v>
      </c>
      <c r="DT120" s="164">
        <f t="shared" si="270"/>
        <v>322245578.76253772</v>
      </c>
      <c r="DU120" s="164">
        <f t="shared" si="271"/>
        <v>124365864.04665887</v>
      </c>
      <c r="DV120" s="1136">
        <f t="shared" si="420"/>
        <v>319634187782.78741</v>
      </c>
      <c r="DW120" s="1136">
        <f t="shared" si="421"/>
        <v>188083751807.79175</v>
      </c>
      <c r="DX120" s="763">
        <f t="shared" si="422"/>
        <v>127326.91308974591</v>
      </c>
      <c r="DY120" s="7">
        <f t="shared" si="423"/>
        <v>164744444014.17923</v>
      </c>
      <c r="DZ120" s="13">
        <f t="shared" si="424"/>
        <v>1285.3553591825589</v>
      </c>
      <c r="EA120" s="763">
        <f t="shared" si="425"/>
        <v>1546.6446408174411</v>
      </c>
      <c r="EB120" s="164">
        <f t="shared" si="272"/>
        <v>128170348.25213701</v>
      </c>
      <c r="EC120" s="164">
        <f t="shared" si="273"/>
        <v>106517321.21679069</v>
      </c>
      <c r="ED120" s="1136">
        <f t="shared" si="426"/>
        <v>736263549871.31189</v>
      </c>
      <c r="EE120" s="1136">
        <f t="shared" si="427"/>
        <v>188083751807.79175</v>
      </c>
      <c r="EF120" s="763">
        <f t="shared" si="428"/>
        <v>118604.28108705385</v>
      </c>
      <c r="EG120" s="7">
        <f t="shared" si="429"/>
        <v>145767814837.80017</v>
      </c>
      <c r="EH120" s="13">
        <f t="shared" si="430"/>
        <v>1389.8152699588293</v>
      </c>
      <c r="EI120" s="763">
        <f t="shared" si="431"/>
        <v>1442.1847300411707</v>
      </c>
      <c r="EJ120" s="164">
        <f t="shared" si="274"/>
        <v>104882870.39911303</v>
      </c>
      <c r="EK120" s="164">
        <f t="shared" si="275"/>
        <v>101074301.92638281</v>
      </c>
      <c r="EL120" s="1136">
        <f t="shared" si="337"/>
        <v>319634187782.78741</v>
      </c>
      <c r="EM120" s="1136">
        <f t="shared" si="338"/>
        <v>188083751807.79175</v>
      </c>
      <c r="EN120" s="164"/>
      <c r="EO120" s="164"/>
    </row>
    <row r="121" spans="1:145" s="136" customFormat="1">
      <c r="A121" s="136">
        <v>129</v>
      </c>
      <c r="B121" s="136" t="str">
        <f t="shared" ref="B121" si="453">LEFT(B119,3)+1&amp;"i"</f>
        <v>229i</v>
      </c>
      <c r="C121" s="136">
        <v>121.9</v>
      </c>
      <c r="D121" s="136">
        <v>0</v>
      </c>
      <c r="E121" s="136" t="s">
        <v>2121</v>
      </c>
      <c r="F121" s="26">
        <v>2</v>
      </c>
      <c r="G121" s="136">
        <v>500</v>
      </c>
      <c r="H121" s="136">
        <v>22</v>
      </c>
      <c r="I121" s="28">
        <v>250</v>
      </c>
      <c r="J121" s="26">
        <v>1940</v>
      </c>
      <c r="K121" s="136">
        <v>10</v>
      </c>
      <c r="L121" s="28">
        <v>120</v>
      </c>
      <c r="M121" s="26">
        <v>2800</v>
      </c>
      <c r="N121" s="28">
        <v>12</v>
      </c>
      <c r="O121" s="26">
        <v>0</v>
      </c>
      <c r="P121" s="26">
        <v>290</v>
      </c>
      <c r="Q121" s="397">
        <v>5500</v>
      </c>
      <c r="R121" s="169">
        <v>0</v>
      </c>
      <c r="S121" s="210">
        <v>0</v>
      </c>
      <c r="T121" s="169">
        <v>1200</v>
      </c>
      <c r="U121" s="169">
        <v>2400</v>
      </c>
      <c r="V121" s="28">
        <v>3800</v>
      </c>
      <c r="W121" s="210">
        <v>19</v>
      </c>
      <c r="X121" s="210">
        <v>200</v>
      </c>
      <c r="Y121" s="169">
        <v>50</v>
      </c>
      <c r="Z121" s="210">
        <v>16</v>
      </c>
      <c r="AA121" s="210">
        <v>200</v>
      </c>
      <c r="AB121" s="28">
        <v>40</v>
      </c>
      <c r="AC121" s="210">
        <v>0</v>
      </c>
      <c r="AD121" s="26">
        <v>2</v>
      </c>
      <c r="AE121" s="169">
        <v>160</v>
      </c>
      <c r="AF121" s="169">
        <v>16</v>
      </c>
      <c r="AG121" s="26">
        <v>0</v>
      </c>
      <c r="AH121" s="169">
        <v>0</v>
      </c>
      <c r="AI121" s="169">
        <v>0</v>
      </c>
      <c r="AJ121" s="397">
        <v>2</v>
      </c>
      <c r="AK121" s="210">
        <v>2500</v>
      </c>
      <c r="AL121" s="210">
        <v>5000</v>
      </c>
      <c r="AM121" s="210" t="s">
        <v>2316</v>
      </c>
      <c r="AN121" s="210">
        <v>2342</v>
      </c>
      <c r="AO121" s="1143" t="s">
        <v>2321</v>
      </c>
      <c r="AP121" s="1143" t="s">
        <v>2321</v>
      </c>
      <c r="AQ121" s="1143"/>
      <c r="AR121" s="1143"/>
      <c r="AS121" s="1143"/>
      <c r="AT121" s="1143"/>
      <c r="AU121" s="1143"/>
      <c r="AV121" s="1109"/>
      <c r="AW121" s="1109"/>
      <c r="AX121" s="1109"/>
      <c r="AY121" s="1109"/>
      <c r="AZ121" s="1108">
        <v>8</v>
      </c>
      <c r="BA121" s="1108">
        <v>6</v>
      </c>
      <c r="BB121" s="1109"/>
      <c r="BC121" s="1168"/>
      <c r="BD121" s="210">
        <f>INDEX(Spec!$B$12:$P$58,MATCH(AO121,Spec!$A$12:$A$58,0),6)*100</f>
        <v>1900</v>
      </c>
      <c r="BE121" s="210">
        <f>INDEX(Spec!$B$12:$P$58,MATCH(AP121,Spec!$A$12:$A$58,0),6)*100</f>
        <v>1900</v>
      </c>
      <c r="BF121" s="881">
        <f t="shared" si="371"/>
        <v>0.72038683510107826</v>
      </c>
      <c r="BG121" s="881">
        <f t="shared" si="372"/>
        <v>47.243485714285718</v>
      </c>
      <c r="BH121" s="881"/>
      <c r="BI121" s="13" cm="1">
        <f t="array" ref="BI121">INDEX(Info!$AD$4:$AH$15,MATCH(Info!$I$13,Info!$AC$4:$AC$15,0),IF(H121&lt;=16,1,IF(H121&lt;=40,2,IF(H121&lt;=75,3,IF(H121&lt;=100,4,5)))))</f>
        <v>380</v>
      </c>
      <c r="BJ121" s="13" cm="1">
        <f t="array" ref="BJ121">INDEX(Info!$AD$4:$AH$15,MATCH(Info!$I$13,Info!$AC$4:$AC$15,0),IF(K121&lt;=16,1,IF(K121&lt;=40,2,IF(K121&lt;=75,3,IF(K121&lt;=100,4,5)))))</f>
        <v>380</v>
      </c>
      <c r="BK121" s="13" cm="1">
        <f t="array" ref="BK121">INDEX(Info!$AD$4:$AH$15,MATCH(Info!$I$14,Info!$AC$4:$AC$15,0),IF(N121&lt;=16,1,IF(N121&lt;=40,2,IF(N121&lt;=75,3,IF(N121&lt;=100,4,5)))))</f>
        <v>355</v>
      </c>
      <c r="BL121" s="13">
        <f>IF(Stress!C950="Positive",MAX(MIN(0.7*BI121,BK121),0.5*BI121),MAX(MIN(0.7*BJ121,BK121),0.5*BJ121))</f>
        <v>266</v>
      </c>
      <c r="BM121" s="13" cm="1">
        <f t="array" ref="BM121">INDEX(Info!$AD$4:$AH$15,MATCH(Info!$I$13,Info!$AC$4:$AC$15,0),IF(AI121&lt;=16,1,IF(AI121&lt;=40,2,IF(AI121&lt;=75,3,IF(AI121&lt;=100,4,5)))))</f>
        <v>380</v>
      </c>
      <c r="BN121" s="13" cm="1">
        <f t="array" ref="BN121">INDEX(Info!$AD$4:$AH$15,MATCH(Info!$I$13,Info!$AC$4:$AC$15,0),IF(AF121&lt;=16,1,IF(AF121&lt;=40,2,IF(AF121&lt;=75,3,IF(AF121&lt;=100,4,5)))))</f>
        <v>380</v>
      </c>
      <c r="BO121" s="13"/>
      <c r="BP121" s="13">
        <f t="shared" si="373"/>
        <v>0.125</v>
      </c>
      <c r="BQ121" s="13">
        <f t="shared" si="374"/>
        <v>2821.7902119044925</v>
      </c>
      <c r="BR121" s="13">
        <f t="shared" si="375"/>
        <v>3100</v>
      </c>
      <c r="BS121" s="13"/>
      <c r="BT121" s="136">
        <f t="shared" si="376"/>
        <v>0</v>
      </c>
      <c r="BU121" s="136">
        <f t="shared" si="377"/>
        <v>0</v>
      </c>
      <c r="BV121" s="136">
        <f t="shared" si="378"/>
        <v>1595000</v>
      </c>
      <c r="BW121" s="136">
        <f t="shared" si="379"/>
        <v>11178291666.666666</v>
      </c>
      <c r="BX121" s="136">
        <f t="shared" si="380"/>
        <v>0</v>
      </c>
      <c r="BY121" s="136">
        <f t="shared" si="381"/>
        <v>0</v>
      </c>
      <c r="BZ121" s="136">
        <f t="shared" si="382"/>
        <v>7655.2758986349281</v>
      </c>
      <c r="CA121" s="136">
        <f t="shared" si="383"/>
        <v>172722.16246295057</v>
      </c>
      <c r="CB121" s="136">
        <f t="shared" si="384"/>
        <v>5428.6721054031623</v>
      </c>
      <c r="CC121" s="136">
        <f t="shared" si="385"/>
        <v>86858.753686450596</v>
      </c>
      <c r="CE121" s="1137">
        <f t="shared" si="386"/>
        <v>346081987.77679139</v>
      </c>
      <c r="CF121" s="1136">
        <f t="shared" si="387"/>
        <v>411131448.88888884</v>
      </c>
      <c r="CG121" s="1136">
        <f t="shared" si="388"/>
        <v>0</v>
      </c>
      <c r="CH121" s="172">
        <f t="shared" si="389"/>
        <v>4020729166666.6665</v>
      </c>
      <c r="CJ121" s="136">
        <f t="shared" si="390"/>
        <v>114242.96508570782</v>
      </c>
      <c r="CK121" s="7">
        <f t="shared" si="391"/>
        <v>135197688550.53313</v>
      </c>
      <c r="CL121" s="6">
        <f t="shared" si="392"/>
        <v>1448.02698553709</v>
      </c>
      <c r="CM121" s="6">
        <f t="shared" si="393"/>
        <v>1383.97301446291</v>
      </c>
      <c r="CN121" s="164">
        <f t="shared" si="264"/>
        <v>93366829.417468861</v>
      </c>
      <c r="CO121" s="164">
        <f t="shared" si="265"/>
        <v>97688095.893257305</v>
      </c>
      <c r="CP121" s="1137">
        <f t="shared" si="394"/>
        <v>111319506738.52518</v>
      </c>
      <c r="CQ121" s="1136">
        <f t="shared" si="395"/>
        <v>33108285582.613773</v>
      </c>
      <c r="CR121" s="22">
        <f t="shared" si="396"/>
        <v>114242.96508570782</v>
      </c>
      <c r="CS121" s="7">
        <f t="shared" si="397"/>
        <v>135197688550.53313</v>
      </c>
      <c r="CT121" s="6">
        <f t="shared" si="398"/>
        <v>1448.02698553709</v>
      </c>
      <c r="CU121" s="12">
        <f t="shared" si="399"/>
        <v>1383.97301446291</v>
      </c>
      <c r="CV121" s="164">
        <f t="shared" si="400"/>
        <v>93366829.417468861</v>
      </c>
      <c r="CW121" s="164">
        <f t="shared" si="401"/>
        <v>97688095.893257305</v>
      </c>
      <c r="CX121" s="1136">
        <f t="shared" si="402"/>
        <v>111319506738.52518</v>
      </c>
      <c r="CY121" s="1136">
        <f t="shared" si="403"/>
        <v>33108285582.613773</v>
      </c>
      <c r="CZ121" s="22">
        <f t="shared" si="404"/>
        <v>114242.96508570782</v>
      </c>
      <c r="DA121" s="7">
        <f t="shared" si="405"/>
        <v>135197688550.53313</v>
      </c>
      <c r="DB121" s="6">
        <f t="shared" si="406"/>
        <v>1448.02698553709</v>
      </c>
      <c r="DC121" s="12">
        <f t="shared" si="407"/>
        <v>1383.97301446291</v>
      </c>
      <c r="DD121" s="164">
        <f t="shared" si="266"/>
        <v>93366829.417468861</v>
      </c>
      <c r="DE121" s="164">
        <f t="shared" si="267"/>
        <v>97688095.893257305</v>
      </c>
      <c r="DF121" s="1136">
        <f t="shared" si="408"/>
        <v>111319506738.52518</v>
      </c>
      <c r="DG121" s="1136">
        <f t="shared" si="409"/>
        <v>33108285582.613773</v>
      </c>
      <c r="DH121" s="22">
        <f t="shared" si="410"/>
        <v>362154.65161772241</v>
      </c>
      <c r="DI121" s="172">
        <f t="shared" si="411"/>
        <v>329953970555.92291</v>
      </c>
      <c r="DJ121" s="12">
        <f t="shared" si="412"/>
        <v>372.58601623836148</v>
      </c>
      <c r="DK121" s="22">
        <f t="shared" si="413"/>
        <v>2459.4139837616385</v>
      </c>
      <c r="DL121" s="164">
        <f t="shared" si="268"/>
        <v>885577977.09948206</v>
      </c>
      <c r="DM121" s="164">
        <f t="shared" si="269"/>
        <v>134159589.53411455</v>
      </c>
      <c r="DN121" s="7">
        <f t="shared" si="414"/>
        <v>736263549871.31189</v>
      </c>
      <c r="DO121" s="1136">
        <f t="shared" si="415"/>
        <v>188083751807.79175</v>
      </c>
      <c r="DP121" s="22">
        <f t="shared" si="416"/>
        <v>196880.1939297127</v>
      </c>
      <c r="DQ121" s="172">
        <f t="shared" si="417"/>
        <v>254127440236.13666</v>
      </c>
      <c r="DR121" s="22">
        <f t="shared" si="418"/>
        <v>788.61420290704064</v>
      </c>
      <c r="DS121" s="22">
        <f t="shared" si="419"/>
        <v>2043.3857970929594</v>
      </c>
      <c r="DT121" s="164">
        <f t="shared" si="270"/>
        <v>322245578.76253772</v>
      </c>
      <c r="DU121" s="164">
        <f t="shared" si="271"/>
        <v>124365864.04665887</v>
      </c>
      <c r="DV121" s="1136">
        <f t="shared" si="420"/>
        <v>319634187782.78741</v>
      </c>
      <c r="DW121" s="1136">
        <f t="shared" si="421"/>
        <v>188083751807.79175</v>
      </c>
      <c r="DX121" s="763">
        <f t="shared" si="422"/>
        <v>127326.91308974591</v>
      </c>
      <c r="DY121" s="7">
        <f t="shared" si="423"/>
        <v>164744444014.17923</v>
      </c>
      <c r="DZ121" s="13">
        <f t="shared" si="424"/>
        <v>1285.3553591825589</v>
      </c>
      <c r="EA121" s="763">
        <f t="shared" si="425"/>
        <v>1546.6446408174411</v>
      </c>
      <c r="EB121" s="164">
        <f t="shared" si="272"/>
        <v>128170348.25213701</v>
      </c>
      <c r="EC121" s="164">
        <f t="shared" si="273"/>
        <v>106517321.21679069</v>
      </c>
      <c r="ED121" s="1136">
        <f t="shared" si="426"/>
        <v>736263549871.31189</v>
      </c>
      <c r="EE121" s="1136">
        <f t="shared" si="427"/>
        <v>188083751807.79175</v>
      </c>
      <c r="EF121" s="763">
        <f t="shared" si="428"/>
        <v>118604.28108705385</v>
      </c>
      <c r="EG121" s="7">
        <f t="shared" si="429"/>
        <v>145767814837.80017</v>
      </c>
      <c r="EH121" s="13">
        <f t="shared" si="430"/>
        <v>1389.8152699588293</v>
      </c>
      <c r="EI121" s="763">
        <f t="shared" si="431"/>
        <v>1442.1847300411707</v>
      </c>
      <c r="EJ121" s="164">
        <f t="shared" si="274"/>
        <v>104882870.39911303</v>
      </c>
      <c r="EK121" s="164">
        <f t="shared" si="275"/>
        <v>101074301.92638281</v>
      </c>
      <c r="EL121" s="1136">
        <f t="shared" si="337"/>
        <v>319634187782.78741</v>
      </c>
      <c r="EM121" s="1136">
        <f t="shared" si="338"/>
        <v>188083751807.79175</v>
      </c>
      <c r="EN121" s="164"/>
      <c r="EO121" s="164"/>
    </row>
    <row r="122" spans="1:145" s="136" customFormat="1">
      <c r="B122" s="136" t="str">
        <f t="shared" ref="B122" si="454">LEFT(B120,3)+1&amp;"j"</f>
        <v>229j</v>
      </c>
      <c r="C122" s="136">
        <v>128.37</v>
      </c>
      <c r="D122" s="136">
        <v>0</v>
      </c>
      <c r="E122" s="136" t="s">
        <v>2121</v>
      </c>
      <c r="F122" s="26">
        <v>2</v>
      </c>
      <c r="G122" s="136">
        <v>500</v>
      </c>
      <c r="H122" s="136">
        <v>22</v>
      </c>
      <c r="I122" s="28">
        <v>250</v>
      </c>
      <c r="J122" s="26">
        <v>1940</v>
      </c>
      <c r="K122" s="136">
        <v>10</v>
      </c>
      <c r="L122" s="28">
        <v>120</v>
      </c>
      <c r="M122" s="26">
        <v>2800</v>
      </c>
      <c r="N122" s="28">
        <v>12</v>
      </c>
      <c r="O122" s="26">
        <v>0</v>
      </c>
      <c r="P122" s="26">
        <v>290</v>
      </c>
      <c r="Q122" s="397">
        <v>5500</v>
      </c>
      <c r="R122" s="169">
        <v>0</v>
      </c>
      <c r="S122" s="210">
        <v>0</v>
      </c>
      <c r="T122" s="169">
        <v>1200</v>
      </c>
      <c r="U122" s="169">
        <v>2400</v>
      </c>
      <c r="V122" s="28">
        <v>3800</v>
      </c>
      <c r="W122" s="210">
        <v>19</v>
      </c>
      <c r="X122" s="210">
        <v>200</v>
      </c>
      <c r="Y122" s="169">
        <v>50</v>
      </c>
      <c r="Z122" s="210">
        <v>16</v>
      </c>
      <c r="AA122" s="210">
        <v>200</v>
      </c>
      <c r="AB122" s="28">
        <v>40</v>
      </c>
      <c r="AC122" s="210">
        <v>0</v>
      </c>
      <c r="AD122" s="26">
        <v>2</v>
      </c>
      <c r="AE122" s="169">
        <v>160</v>
      </c>
      <c r="AF122" s="169">
        <v>16</v>
      </c>
      <c r="AG122" s="26">
        <v>0</v>
      </c>
      <c r="AH122" s="169">
        <v>0</v>
      </c>
      <c r="AI122" s="169">
        <v>0</v>
      </c>
      <c r="AJ122" s="397">
        <v>2</v>
      </c>
      <c r="AK122" s="210">
        <v>2500</v>
      </c>
      <c r="AL122" s="210">
        <v>5000</v>
      </c>
      <c r="AM122" s="210" t="s">
        <v>2316</v>
      </c>
      <c r="AN122" s="210">
        <v>2342</v>
      </c>
      <c r="AO122" s="1143" t="s">
        <v>2321</v>
      </c>
      <c r="AP122" s="1143" t="s">
        <v>2321</v>
      </c>
      <c r="AQ122" s="1143"/>
      <c r="AR122" s="1143"/>
      <c r="AS122" s="1143"/>
      <c r="AT122" s="1143"/>
      <c r="AU122" s="1143"/>
      <c r="AV122" s="1109"/>
      <c r="AW122" s="1109"/>
      <c r="AX122" s="1109"/>
      <c r="AY122" s="1109"/>
      <c r="AZ122" s="1108">
        <v>8</v>
      </c>
      <c r="BA122" s="1108">
        <v>6</v>
      </c>
      <c r="BB122" s="1109"/>
      <c r="BC122" s="1168"/>
      <c r="BD122" s="210">
        <f>INDEX(Spec!$B$12:$P$58,MATCH(AO122,Spec!$A$12:$A$58,0),6)*100</f>
        <v>1900</v>
      </c>
      <c r="BE122" s="210">
        <f>INDEX(Spec!$B$12:$P$58,MATCH(AP122,Spec!$A$12:$A$58,0),6)*100</f>
        <v>1900</v>
      </c>
      <c r="BF122" s="881">
        <f t="shared" si="371"/>
        <v>0.72038683510107826</v>
      </c>
      <c r="BG122" s="881">
        <f t="shared" si="372"/>
        <v>47.243485714285718</v>
      </c>
      <c r="BH122" s="881"/>
      <c r="BI122" s="13" cm="1">
        <f t="array" ref="BI122">INDEX(Info!$AD$4:$AH$15,MATCH(Info!$I$13,Info!$AC$4:$AC$15,0),IF(H122&lt;=16,1,IF(H122&lt;=40,2,IF(H122&lt;=75,3,IF(H122&lt;=100,4,5)))))</f>
        <v>380</v>
      </c>
      <c r="BJ122" s="13" cm="1">
        <f t="array" ref="BJ122">INDEX(Info!$AD$4:$AH$15,MATCH(Info!$I$13,Info!$AC$4:$AC$15,0),IF(K122&lt;=16,1,IF(K122&lt;=40,2,IF(K122&lt;=75,3,IF(K122&lt;=100,4,5)))))</f>
        <v>380</v>
      </c>
      <c r="BK122" s="13" cm="1">
        <f t="array" ref="BK122">INDEX(Info!$AD$4:$AH$15,MATCH(Info!$I$14,Info!$AC$4:$AC$15,0),IF(N122&lt;=16,1,IF(N122&lt;=40,2,IF(N122&lt;=75,3,IF(N122&lt;=100,4,5)))))</f>
        <v>355</v>
      </c>
      <c r="BL122" s="13">
        <f>IF(Stress!C951="Positive",MAX(MIN(0.7*BI122,BK122),0.5*BI122),MAX(MIN(0.7*BJ122,BK122),0.5*BJ122))</f>
        <v>266</v>
      </c>
      <c r="BM122" s="13" cm="1">
        <f t="array" ref="BM122">INDEX(Info!$AD$4:$AH$15,MATCH(Info!$I$13,Info!$AC$4:$AC$15,0),IF(AI122&lt;=16,1,IF(AI122&lt;=40,2,IF(AI122&lt;=75,3,IF(AI122&lt;=100,4,5)))))</f>
        <v>380</v>
      </c>
      <c r="BN122" s="13" cm="1">
        <f t="array" ref="BN122">INDEX(Info!$AD$4:$AH$15,MATCH(Info!$I$13,Info!$AC$4:$AC$15,0),IF(AF122&lt;=16,1,IF(AF122&lt;=40,2,IF(AF122&lt;=75,3,IF(AF122&lt;=100,4,5)))))</f>
        <v>380</v>
      </c>
      <c r="BO122" s="13"/>
      <c r="BP122" s="13">
        <f t="shared" si="373"/>
        <v>0.125</v>
      </c>
      <c r="BQ122" s="13">
        <f t="shared" si="374"/>
        <v>2821.7902119044925</v>
      </c>
      <c r="BR122" s="13">
        <f t="shared" si="375"/>
        <v>3100</v>
      </c>
      <c r="BS122" s="13"/>
      <c r="BT122" s="136">
        <f t="shared" si="376"/>
        <v>0</v>
      </c>
      <c r="BU122" s="136">
        <f t="shared" si="377"/>
        <v>0</v>
      </c>
      <c r="BV122" s="136">
        <f t="shared" si="378"/>
        <v>1595000</v>
      </c>
      <c r="BW122" s="136">
        <f t="shared" si="379"/>
        <v>11178291666.666666</v>
      </c>
      <c r="BX122" s="136">
        <f t="shared" si="380"/>
        <v>0</v>
      </c>
      <c r="BY122" s="136">
        <f t="shared" si="381"/>
        <v>0</v>
      </c>
      <c r="BZ122" s="136">
        <f t="shared" si="382"/>
        <v>7655.2758986349281</v>
      </c>
      <c r="CA122" s="136">
        <f t="shared" si="383"/>
        <v>172722.16246295057</v>
      </c>
      <c r="CB122" s="136">
        <f t="shared" si="384"/>
        <v>5428.6721054031623</v>
      </c>
      <c r="CC122" s="136">
        <f t="shared" si="385"/>
        <v>86858.753686450596</v>
      </c>
      <c r="CE122" s="1137">
        <f t="shared" si="386"/>
        <v>346081987.77679139</v>
      </c>
      <c r="CF122" s="1136">
        <f t="shared" si="387"/>
        <v>411131448.88888884</v>
      </c>
      <c r="CG122" s="1136">
        <f t="shared" si="388"/>
        <v>0</v>
      </c>
      <c r="CH122" s="172">
        <f t="shared" si="389"/>
        <v>4020729166666.6665</v>
      </c>
      <c r="CJ122" s="136">
        <f t="shared" si="390"/>
        <v>114242.96508570782</v>
      </c>
      <c r="CK122" s="7">
        <f t="shared" si="391"/>
        <v>135197688550.53313</v>
      </c>
      <c r="CL122" s="6">
        <f t="shared" si="392"/>
        <v>1448.02698553709</v>
      </c>
      <c r="CM122" s="6">
        <f t="shared" si="393"/>
        <v>1383.97301446291</v>
      </c>
      <c r="CN122" s="164">
        <f t="shared" si="264"/>
        <v>93366829.417468861</v>
      </c>
      <c r="CO122" s="164">
        <f t="shared" si="265"/>
        <v>97688095.893257305</v>
      </c>
      <c r="CP122" s="1137">
        <f t="shared" si="394"/>
        <v>111319506738.52518</v>
      </c>
      <c r="CQ122" s="1136">
        <f t="shared" si="395"/>
        <v>33108285582.613773</v>
      </c>
      <c r="CR122" s="22">
        <f t="shared" si="396"/>
        <v>114242.96508570782</v>
      </c>
      <c r="CS122" s="7">
        <f t="shared" si="397"/>
        <v>135197688550.53313</v>
      </c>
      <c r="CT122" s="6">
        <f t="shared" si="398"/>
        <v>1448.02698553709</v>
      </c>
      <c r="CU122" s="12">
        <f t="shared" si="399"/>
        <v>1383.97301446291</v>
      </c>
      <c r="CV122" s="164">
        <f t="shared" si="400"/>
        <v>93366829.417468861</v>
      </c>
      <c r="CW122" s="164">
        <f t="shared" si="401"/>
        <v>97688095.893257305</v>
      </c>
      <c r="CX122" s="1136">
        <f t="shared" si="402"/>
        <v>111319506738.52518</v>
      </c>
      <c r="CY122" s="1136">
        <f t="shared" si="403"/>
        <v>33108285582.613773</v>
      </c>
      <c r="CZ122" s="22">
        <f t="shared" si="404"/>
        <v>114242.96508570782</v>
      </c>
      <c r="DA122" s="7">
        <f t="shared" si="405"/>
        <v>135197688550.53313</v>
      </c>
      <c r="DB122" s="6">
        <f t="shared" si="406"/>
        <v>1448.02698553709</v>
      </c>
      <c r="DC122" s="12">
        <f t="shared" si="407"/>
        <v>1383.97301446291</v>
      </c>
      <c r="DD122" s="164">
        <f t="shared" si="266"/>
        <v>93366829.417468861</v>
      </c>
      <c r="DE122" s="164">
        <f t="shared" si="267"/>
        <v>97688095.893257305</v>
      </c>
      <c r="DF122" s="1136">
        <f t="shared" si="408"/>
        <v>111319506738.52518</v>
      </c>
      <c r="DG122" s="1136">
        <f t="shared" si="409"/>
        <v>33108285582.613773</v>
      </c>
      <c r="DH122" s="22">
        <f t="shared" si="410"/>
        <v>362154.65161772241</v>
      </c>
      <c r="DI122" s="172">
        <f t="shared" si="411"/>
        <v>329953970555.92291</v>
      </c>
      <c r="DJ122" s="12">
        <f t="shared" si="412"/>
        <v>372.58601623836148</v>
      </c>
      <c r="DK122" s="22">
        <f t="shared" si="413"/>
        <v>2459.4139837616385</v>
      </c>
      <c r="DL122" s="164">
        <f t="shared" si="268"/>
        <v>885577977.09948206</v>
      </c>
      <c r="DM122" s="164">
        <f t="shared" si="269"/>
        <v>134159589.53411455</v>
      </c>
      <c r="DN122" s="7">
        <f t="shared" si="414"/>
        <v>736263549871.31189</v>
      </c>
      <c r="DO122" s="1136">
        <f t="shared" si="415"/>
        <v>188083751807.79175</v>
      </c>
      <c r="DP122" s="22">
        <f t="shared" si="416"/>
        <v>196880.1939297127</v>
      </c>
      <c r="DQ122" s="172">
        <f t="shared" si="417"/>
        <v>254127440236.13666</v>
      </c>
      <c r="DR122" s="22">
        <f t="shared" si="418"/>
        <v>788.61420290704064</v>
      </c>
      <c r="DS122" s="22">
        <f t="shared" si="419"/>
        <v>2043.3857970929594</v>
      </c>
      <c r="DT122" s="164">
        <f t="shared" si="270"/>
        <v>322245578.76253772</v>
      </c>
      <c r="DU122" s="164">
        <f t="shared" si="271"/>
        <v>124365864.04665887</v>
      </c>
      <c r="DV122" s="1136">
        <f t="shared" si="420"/>
        <v>319634187782.78741</v>
      </c>
      <c r="DW122" s="1136">
        <f t="shared" si="421"/>
        <v>188083751807.79175</v>
      </c>
      <c r="DX122" s="763">
        <f t="shared" si="422"/>
        <v>127326.91308974591</v>
      </c>
      <c r="DY122" s="7">
        <f t="shared" si="423"/>
        <v>164744444014.17923</v>
      </c>
      <c r="DZ122" s="13">
        <f t="shared" si="424"/>
        <v>1285.3553591825589</v>
      </c>
      <c r="EA122" s="763">
        <f t="shared" si="425"/>
        <v>1546.6446408174411</v>
      </c>
      <c r="EB122" s="164">
        <f t="shared" si="272"/>
        <v>128170348.25213701</v>
      </c>
      <c r="EC122" s="164">
        <f t="shared" si="273"/>
        <v>106517321.21679069</v>
      </c>
      <c r="ED122" s="1136">
        <f t="shared" si="426"/>
        <v>736263549871.31189</v>
      </c>
      <c r="EE122" s="1136">
        <f t="shared" si="427"/>
        <v>188083751807.79175</v>
      </c>
      <c r="EF122" s="763">
        <f t="shared" si="428"/>
        <v>118604.28108705385</v>
      </c>
      <c r="EG122" s="7">
        <f t="shared" si="429"/>
        <v>145767814837.80017</v>
      </c>
      <c r="EH122" s="13">
        <f t="shared" si="430"/>
        <v>1389.8152699588293</v>
      </c>
      <c r="EI122" s="763">
        <f t="shared" si="431"/>
        <v>1442.1847300411707</v>
      </c>
      <c r="EJ122" s="164">
        <f t="shared" si="274"/>
        <v>104882870.39911303</v>
      </c>
      <c r="EK122" s="164">
        <f t="shared" si="275"/>
        <v>101074301.92638281</v>
      </c>
      <c r="EL122" s="1136">
        <f t="shared" si="337"/>
        <v>319634187782.78741</v>
      </c>
      <c r="EM122" s="1136">
        <f t="shared" si="338"/>
        <v>188083751807.79175</v>
      </c>
      <c r="EN122" s="164"/>
      <c r="EO122" s="164"/>
    </row>
    <row r="123" spans="1:145" s="136" customFormat="1">
      <c r="A123" s="136">
        <v>130</v>
      </c>
      <c r="B123" s="136" t="str">
        <f t="shared" ref="B123" si="455">LEFT(B121,3)+1&amp;"i"</f>
        <v>230i</v>
      </c>
      <c r="C123" s="136">
        <v>128.37</v>
      </c>
      <c r="D123" s="136">
        <v>0</v>
      </c>
      <c r="E123" s="136" t="s">
        <v>2122</v>
      </c>
      <c r="F123" s="26">
        <v>2</v>
      </c>
      <c r="G123" s="136">
        <v>500</v>
      </c>
      <c r="H123" s="136">
        <v>22</v>
      </c>
      <c r="I123" s="28">
        <v>250</v>
      </c>
      <c r="J123" s="26">
        <v>1940</v>
      </c>
      <c r="K123" s="136">
        <v>10</v>
      </c>
      <c r="L123" s="28">
        <v>120</v>
      </c>
      <c r="M123" s="26">
        <v>2600</v>
      </c>
      <c r="N123" s="28">
        <v>12</v>
      </c>
      <c r="O123" s="26">
        <v>0</v>
      </c>
      <c r="P123" s="26">
        <v>290</v>
      </c>
      <c r="Q123" s="397">
        <v>5450</v>
      </c>
      <c r="R123" s="169">
        <v>0</v>
      </c>
      <c r="S123" s="210">
        <v>0</v>
      </c>
      <c r="T123" s="169">
        <v>1175</v>
      </c>
      <c r="U123" s="169">
        <v>2350</v>
      </c>
      <c r="V123" s="28">
        <v>3850</v>
      </c>
      <c r="W123" s="210">
        <v>19</v>
      </c>
      <c r="X123" s="210">
        <v>200</v>
      </c>
      <c r="Y123" s="169">
        <v>50</v>
      </c>
      <c r="Z123" s="210">
        <v>16</v>
      </c>
      <c r="AA123" s="210">
        <v>200</v>
      </c>
      <c r="AB123" s="28">
        <v>40</v>
      </c>
      <c r="AC123" s="210">
        <v>0</v>
      </c>
      <c r="AD123" s="26">
        <v>2</v>
      </c>
      <c r="AE123" s="169">
        <v>160</v>
      </c>
      <c r="AF123" s="169">
        <v>16</v>
      </c>
      <c r="AG123" s="26">
        <v>0</v>
      </c>
      <c r="AH123" s="169">
        <v>0</v>
      </c>
      <c r="AI123" s="169">
        <v>0</v>
      </c>
      <c r="AJ123" s="397">
        <v>2</v>
      </c>
      <c r="AK123" s="210">
        <v>2500</v>
      </c>
      <c r="AL123" s="210">
        <v>5000</v>
      </c>
      <c r="AM123" s="210" t="s">
        <v>2316</v>
      </c>
      <c r="AN123" s="210">
        <v>2342</v>
      </c>
      <c r="AO123" s="1143" t="s">
        <v>2321</v>
      </c>
      <c r="AP123" s="1143" t="s">
        <v>2321</v>
      </c>
      <c r="AQ123" s="1143"/>
      <c r="AR123" s="1143"/>
      <c r="AS123" s="1143"/>
      <c r="AT123" s="1143"/>
      <c r="AU123" s="1143"/>
      <c r="AV123" s="1109"/>
      <c r="AW123" s="1109"/>
      <c r="AX123" s="1109"/>
      <c r="AY123" s="1109"/>
      <c r="AZ123" s="1108">
        <v>8</v>
      </c>
      <c r="BA123" s="1108">
        <v>6</v>
      </c>
      <c r="BB123" s="1109"/>
      <c r="BC123" s="1168"/>
      <c r="BD123" s="210">
        <f>INDEX(Spec!$B$12:$P$58,MATCH(AO123,Spec!$A$12:$A$58,0),6)*100</f>
        <v>1900</v>
      </c>
      <c r="BE123" s="210">
        <f>INDEX(Spec!$B$12:$P$58,MATCH(AP123,Spec!$A$12:$A$58,0),6)*100</f>
        <v>1900</v>
      </c>
      <c r="BF123" s="881">
        <f t="shared" si="371"/>
        <v>0.72729528785068354</v>
      </c>
      <c r="BG123" s="881">
        <f t="shared" si="372"/>
        <v>47.243485714285718</v>
      </c>
      <c r="BH123" s="881"/>
      <c r="BI123" s="13" cm="1">
        <f t="array" ref="BI123">INDEX(Info!$AD$4:$AH$15,MATCH(Info!$I$13,Info!$AC$4:$AC$15,0),IF(H123&lt;=16,1,IF(H123&lt;=40,2,IF(H123&lt;=75,3,IF(H123&lt;=100,4,5)))))</f>
        <v>380</v>
      </c>
      <c r="BJ123" s="13" cm="1">
        <f t="array" ref="BJ123">INDEX(Info!$AD$4:$AH$15,MATCH(Info!$I$13,Info!$AC$4:$AC$15,0),IF(K123&lt;=16,1,IF(K123&lt;=40,2,IF(K123&lt;=75,3,IF(K123&lt;=100,4,5)))))</f>
        <v>380</v>
      </c>
      <c r="BK123" s="13" cm="1">
        <f t="array" ref="BK123">INDEX(Info!$AD$4:$AH$15,MATCH(Info!$I$14,Info!$AC$4:$AC$15,0),IF(N123&lt;=16,1,IF(N123&lt;=40,2,IF(N123&lt;=75,3,IF(N123&lt;=100,4,5)))))</f>
        <v>355</v>
      </c>
      <c r="BL123" s="13">
        <f>IF(Stress!C952="Positive",MAX(MIN(0.7*BI123,BK123),0.5*BI123),MAX(MIN(0.7*BJ123,BK123),0.5*BJ123))</f>
        <v>266</v>
      </c>
      <c r="BM123" s="13" cm="1">
        <f t="array" ref="BM123">INDEX(Info!$AD$4:$AH$15,MATCH(Info!$I$13,Info!$AC$4:$AC$15,0),IF(AI123&lt;=16,1,IF(AI123&lt;=40,2,IF(AI123&lt;=75,3,IF(AI123&lt;=100,4,5)))))</f>
        <v>380</v>
      </c>
      <c r="BN123" s="13" cm="1">
        <f t="array" ref="BN123">INDEX(Info!$AD$4:$AH$15,MATCH(Info!$I$13,Info!$AC$4:$AC$15,0),IF(AF123&lt;=16,1,IF(AF123&lt;=40,2,IF(AF123&lt;=75,3,IF(AF123&lt;=100,4,5)))))</f>
        <v>380</v>
      </c>
      <c r="BO123" s="13"/>
      <c r="BP123" s="13">
        <f t="shared" si="373"/>
        <v>0.125</v>
      </c>
      <c r="BQ123" s="13">
        <f t="shared" si="374"/>
        <v>2620.2337681970284</v>
      </c>
      <c r="BR123" s="13">
        <f t="shared" si="375"/>
        <v>2900</v>
      </c>
      <c r="BS123" s="13"/>
      <c r="BT123" s="136">
        <f t="shared" si="376"/>
        <v>0</v>
      </c>
      <c r="BU123" s="136">
        <f t="shared" si="377"/>
        <v>0</v>
      </c>
      <c r="BV123" s="136">
        <f t="shared" si="378"/>
        <v>1580500</v>
      </c>
      <c r="BW123" s="136">
        <f t="shared" si="379"/>
        <v>11076670833.333334</v>
      </c>
      <c r="BX123" s="136">
        <f t="shared" si="380"/>
        <v>0</v>
      </c>
      <c r="BY123" s="136">
        <f t="shared" si="381"/>
        <v>0</v>
      </c>
      <c r="BZ123" s="136">
        <f t="shared" si="382"/>
        <v>7655.2758986349281</v>
      </c>
      <c r="CA123" s="136">
        <f t="shared" si="383"/>
        <v>172722.16246295057</v>
      </c>
      <c r="CB123" s="136">
        <f t="shared" si="384"/>
        <v>5428.6721054031623</v>
      </c>
      <c r="CC123" s="136">
        <f t="shared" si="385"/>
        <v>86858.753686450596</v>
      </c>
      <c r="CE123" s="1137">
        <f t="shared" si="386"/>
        <v>277145400.95441002</v>
      </c>
      <c r="CF123" s="1136">
        <f t="shared" si="387"/>
        <v>411131448.88888884</v>
      </c>
      <c r="CG123" s="1136">
        <f t="shared" si="388"/>
        <v>0</v>
      </c>
      <c r="CH123" s="172">
        <f t="shared" si="389"/>
        <v>3912066770833.333</v>
      </c>
      <c r="CJ123" s="136">
        <f t="shared" si="390"/>
        <v>109405.61043672869</v>
      </c>
      <c r="CK123" s="7">
        <f t="shared" si="391"/>
        <v>113840993993.57278</v>
      </c>
      <c r="CL123" s="6">
        <f t="shared" si="392"/>
        <v>1346.8744099058233</v>
      </c>
      <c r="CM123" s="6">
        <f t="shared" si="393"/>
        <v>1285.1255900941767</v>
      </c>
      <c r="CN123" s="164">
        <f t="shared" si="264"/>
        <v>84522352.757101402</v>
      </c>
      <c r="CO123" s="164">
        <f t="shared" si="265"/>
        <v>88583555.468092635</v>
      </c>
      <c r="CP123" s="1137">
        <f t="shared" si="394"/>
        <v>103121874330.20694</v>
      </c>
      <c r="CQ123" s="1136">
        <f t="shared" si="395"/>
        <v>28830404581.115204</v>
      </c>
      <c r="CR123" s="22">
        <f t="shared" si="396"/>
        <v>109405.61043672869</v>
      </c>
      <c r="CS123" s="7">
        <f t="shared" si="397"/>
        <v>113840993993.57278</v>
      </c>
      <c r="CT123" s="6">
        <f t="shared" si="398"/>
        <v>1346.8744099058233</v>
      </c>
      <c r="CU123" s="12">
        <f t="shared" si="399"/>
        <v>1285.1255900941767</v>
      </c>
      <c r="CV123" s="164">
        <f t="shared" si="400"/>
        <v>84522352.757101402</v>
      </c>
      <c r="CW123" s="164">
        <f t="shared" si="401"/>
        <v>88583555.468092635</v>
      </c>
      <c r="CX123" s="1136">
        <f t="shared" si="402"/>
        <v>103121874330.20694</v>
      </c>
      <c r="CY123" s="1136">
        <f t="shared" si="403"/>
        <v>28830404581.115204</v>
      </c>
      <c r="CZ123" s="22">
        <f t="shared" si="404"/>
        <v>109405.61043672869</v>
      </c>
      <c r="DA123" s="7">
        <f t="shared" si="405"/>
        <v>113840993993.57278</v>
      </c>
      <c r="DB123" s="6">
        <f t="shared" si="406"/>
        <v>1346.8744099058233</v>
      </c>
      <c r="DC123" s="12">
        <f t="shared" si="407"/>
        <v>1285.1255900941767</v>
      </c>
      <c r="DD123" s="164">
        <f t="shared" si="266"/>
        <v>84522352.757101402</v>
      </c>
      <c r="DE123" s="164">
        <f t="shared" si="267"/>
        <v>88583555.468092635</v>
      </c>
      <c r="DF123" s="1136">
        <f t="shared" si="408"/>
        <v>103121874330.20694</v>
      </c>
      <c r="DG123" s="1136">
        <f t="shared" si="409"/>
        <v>28830404581.115204</v>
      </c>
      <c r="DH123" s="22">
        <f t="shared" si="410"/>
        <v>355063.55436390673</v>
      </c>
      <c r="DI123" s="172">
        <f t="shared" si="411"/>
        <v>279102938457.66693</v>
      </c>
      <c r="DJ123" s="12">
        <f t="shared" si="412"/>
        <v>329.91189451749597</v>
      </c>
      <c r="DK123" s="22">
        <f t="shared" si="413"/>
        <v>2302.088105482504</v>
      </c>
      <c r="DL123" s="164">
        <f t="shared" si="268"/>
        <v>845992348.55069911</v>
      </c>
      <c r="DM123" s="164">
        <f t="shared" si="269"/>
        <v>121239034.15901999</v>
      </c>
      <c r="DN123" s="7">
        <f t="shared" si="414"/>
        <v>711176464288.29077</v>
      </c>
      <c r="DO123" s="1136">
        <f t="shared" si="415"/>
        <v>166560239761.92953</v>
      </c>
      <c r="DP123" s="22">
        <f t="shared" si="416"/>
        <v>191291.59174578806</v>
      </c>
      <c r="DQ123" s="172">
        <f t="shared" si="417"/>
        <v>215599317361.93048</v>
      </c>
      <c r="DR123" s="22">
        <f t="shared" si="418"/>
        <v>717.66688772594102</v>
      </c>
      <c r="DS123" s="22">
        <f t="shared" si="419"/>
        <v>1914.333112274059</v>
      </c>
      <c r="DT123" s="164">
        <f t="shared" si="270"/>
        <v>300416977.63860393</v>
      </c>
      <c r="DU123" s="164">
        <f t="shared" si="271"/>
        <v>112623720.49022205</v>
      </c>
      <c r="DV123" s="1136">
        <f t="shared" si="420"/>
        <v>305806737649.56824</v>
      </c>
      <c r="DW123" s="1136">
        <f t="shared" si="421"/>
        <v>166560239761.92953</v>
      </c>
      <c r="DX123" s="763">
        <f t="shared" si="422"/>
        <v>122489.55844076678</v>
      </c>
      <c r="DY123" s="7">
        <f t="shared" si="423"/>
        <v>139631608579.18436</v>
      </c>
      <c r="DZ123" s="13">
        <f t="shared" si="424"/>
        <v>1188.5833585069154</v>
      </c>
      <c r="EA123" s="763">
        <f t="shared" si="425"/>
        <v>1443.4166414930846</v>
      </c>
      <c r="EB123" s="164">
        <f t="shared" si="272"/>
        <v>117477337.6892875</v>
      </c>
      <c r="EC123" s="164">
        <f t="shared" si="273"/>
        <v>96736870.398520574</v>
      </c>
      <c r="ED123" s="1136">
        <f t="shared" si="426"/>
        <v>711176464288.29077</v>
      </c>
      <c r="EE123" s="1136">
        <f t="shared" si="427"/>
        <v>166560239761.92953</v>
      </c>
      <c r="EF123" s="763">
        <f t="shared" si="428"/>
        <v>113766.92643807472</v>
      </c>
      <c r="EG123" s="7">
        <f t="shared" si="429"/>
        <v>123093743201.32808</v>
      </c>
      <c r="EH123" s="13">
        <f t="shared" si="430"/>
        <v>1290.0652780018902</v>
      </c>
      <c r="EI123" s="763">
        <f t="shared" si="431"/>
        <v>1341.9347219981098</v>
      </c>
      <c r="EJ123" s="164">
        <f t="shared" si="274"/>
        <v>95416677.97770752</v>
      </c>
      <c r="EK123" s="164">
        <f t="shared" si="275"/>
        <v>91728562.636820614</v>
      </c>
      <c r="EL123" s="1136">
        <f t="shared" si="337"/>
        <v>305806737649.56824</v>
      </c>
      <c r="EM123" s="1136">
        <f t="shared" si="338"/>
        <v>166560239761.92953</v>
      </c>
      <c r="EN123" s="164"/>
      <c r="EO123" s="164"/>
    </row>
    <row r="124" spans="1:145" s="136" customFormat="1">
      <c r="B124" s="136" t="str">
        <f t="shared" ref="B124" si="456">LEFT(B122,3)+1&amp;"j"</f>
        <v>230j</v>
      </c>
      <c r="C124" s="136">
        <v>131.27000000000001</v>
      </c>
      <c r="D124" s="136">
        <v>0</v>
      </c>
      <c r="E124" s="136" t="s">
        <v>2122</v>
      </c>
      <c r="F124" s="26">
        <v>2</v>
      </c>
      <c r="G124" s="136">
        <v>500</v>
      </c>
      <c r="H124" s="136">
        <v>22</v>
      </c>
      <c r="I124" s="28">
        <v>250</v>
      </c>
      <c r="J124" s="26">
        <v>1940</v>
      </c>
      <c r="K124" s="136">
        <v>10</v>
      </c>
      <c r="L124" s="28">
        <v>120</v>
      </c>
      <c r="M124" s="26">
        <v>2600</v>
      </c>
      <c r="N124" s="28">
        <v>12</v>
      </c>
      <c r="O124" s="26">
        <v>0</v>
      </c>
      <c r="P124" s="26">
        <v>290</v>
      </c>
      <c r="Q124" s="397">
        <v>5450</v>
      </c>
      <c r="R124" s="169">
        <v>0</v>
      </c>
      <c r="S124" s="210">
        <v>0</v>
      </c>
      <c r="T124" s="169">
        <v>1175</v>
      </c>
      <c r="U124" s="169">
        <v>2350</v>
      </c>
      <c r="V124" s="28">
        <v>3850</v>
      </c>
      <c r="W124" s="210">
        <v>19</v>
      </c>
      <c r="X124" s="210">
        <v>200</v>
      </c>
      <c r="Y124" s="169">
        <v>50</v>
      </c>
      <c r="Z124" s="210">
        <v>16</v>
      </c>
      <c r="AA124" s="210">
        <v>200</v>
      </c>
      <c r="AB124" s="28">
        <v>40</v>
      </c>
      <c r="AC124" s="210">
        <v>0</v>
      </c>
      <c r="AD124" s="26">
        <v>2</v>
      </c>
      <c r="AE124" s="169">
        <v>160</v>
      </c>
      <c r="AF124" s="169">
        <v>16</v>
      </c>
      <c r="AG124" s="26">
        <v>0</v>
      </c>
      <c r="AH124" s="169">
        <v>0</v>
      </c>
      <c r="AI124" s="169">
        <v>0</v>
      </c>
      <c r="AJ124" s="397">
        <v>2</v>
      </c>
      <c r="AK124" s="210">
        <v>2500</v>
      </c>
      <c r="AL124" s="210">
        <v>5000</v>
      </c>
      <c r="AM124" s="210" t="s">
        <v>2316</v>
      </c>
      <c r="AN124" s="210">
        <v>2342</v>
      </c>
      <c r="AO124" s="1143" t="s">
        <v>2321</v>
      </c>
      <c r="AP124" s="1143" t="s">
        <v>2321</v>
      </c>
      <c r="AQ124" s="1143"/>
      <c r="AR124" s="1143"/>
      <c r="AS124" s="1143"/>
      <c r="AT124" s="1143"/>
      <c r="AU124" s="1143"/>
      <c r="AV124" s="1109"/>
      <c r="AW124" s="1109"/>
      <c r="AX124" s="1109"/>
      <c r="AY124" s="1109"/>
      <c r="AZ124" s="1108">
        <v>8</v>
      </c>
      <c r="BA124" s="1108">
        <v>6</v>
      </c>
      <c r="BB124" s="1109"/>
      <c r="BC124" s="1168"/>
      <c r="BD124" s="210">
        <f>INDEX(Spec!$B$12:$P$58,MATCH(AO124,Spec!$A$12:$A$58,0),6)*100</f>
        <v>1900</v>
      </c>
      <c r="BE124" s="210">
        <f>INDEX(Spec!$B$12:$P$58,MATCH(AP124,Spec!$A$12:$A$58,0),6)*100</f>
        <v>1900</v>
      </c>
      <c r="BF124" s="881">
        <f t="shared" si="371"/>
        <v>0.72729528785068354</v>
      </c>
      <c r="BG124" s="881">
        <f t="shared" si="372"/>
        <v>47.243485714285718</v>
      </c>
      <c r="BH124" s="881"/>
      <c r="BI124" s="13" cm="1">
        <f t="array" ref="BI124">INDEX(Info!$AD$4:$AH$15,MATCH(Info!$I$13,Info!$AC$4:$AC$15,0),IF(H124&lt;=16,1,IF(H124&lt;=40,2,IF(H124&lt;=75,3,IF(H124&lt;=100,4,5)))))</f>
        <v>380</v>
      </c>
      <c r="BJ124" s="13" cm="1">
        <f t="array" ref="BJ124">INDEX(Info!$AD$4:$AH$15,MATCH(Info!$I$13,Info!$AC$4:$AC$15,0),IF(K124&lt;=16,1,IF(K124&lt;=40,2,IF(K124&lt;=75,3,IF(K124&lt;=100,4,5)))))</f>
        <v>380</v>
      </c>
      <c r="BK124" s="13" cm="1">
        <f t="array" ref="BK124">INDEX(Info!$AD$4:$AH$15,MATCH(Info!$I$14,Info!$AC$4:$AC$15,0),IF(N124&lt;=16,1,IF(N124&lt;=40,2,IF(N124&lt;=75,3,IF(N124&lt;=100,4,5)))))</f>
        <v>355</v>
      </c>
      <c r="BL124" s="13">
        <f>IF(Stress!C953="Positive",MAX(MIN(0.7*BI124,BK124),0.5*BI124),MAX(MIN(0.7*BJ124,BK124),0.5*BJ124))</f>
        <v>266</v>
      </c>
      <c r="BM124" s="13" cm="1">
        <f t="array" ref="BM124">INDEX(Info!$AD$4:$AH$15,MATCH(Info!$I$13,Info!$AC$4:$AC$15,0),IF(AI124&lt;=16,1,IF(AI124&lt;=40,2,IF(AI124&lt;=75,3,IF(AI124&lt;=100,4,5)))))</f>
        <v>380</v>
      </c>
      <c r="BN124" s="13" cm="1">
        <f t="array" ref="BN124">INDEX(Info!$AD$4:$AH$15,MATCH(Info!$I$13,Info!$AC$4:$AC$15,0),IF(AF124&lt;=16,1,IF(AF124&lt;=40,2,IF(AF124&lt;=75,3,IF(AF124&lt;=100,4,5)))))</f>
        <v>380</v>
      </c>
      <c r="BO124" s="13"/>
      <c r="BP124" s="13">
        <f t="shared" si="373"/>
        <v>0.125</v>
      </c>
      <c r="BQ124" s="13">
        <f t="shared" si="374"/>
        <v>2620.2337681970284</v>
      </c>
      <c r="BR124" s="13">
        <f t="shared" si="375"/>
        <v>2900</v>
      </c>
      <c r="BS124" s="13"/>
      <c r="BT124" s="136">
        <f t="shared" si="376"/>
        <v>0</v>
      </c>
      <c r="BU124" s="136">
        <f t="shared" si="377"/>
        <v>0</v>
      </c>
      <c r="BV124" s="136">
        <f t="shared" si="378"/>
        <v>1580500</v>
      </c>
      <c r="BW124" s="136">
        <f t="shared" si="379"/>
        <v>11076670833.333334</v>
      </c>
      <c r="BX124" s="136">
        <f t="shared" si="380"/>
        <v>0</v>
      </c>
      <c r="BY124" s="136">
        <f t="shared" si="381"/>
        <v>0</v>
      </c>
      <c r="BZ124" s="136">
        <f t="shared" si="382"/>
        <v>7655.2758986349281</v>
      </c>
      <c r="CA124" s="136">
        <f t="shared" si="383"/>
        <v>172722.16246295057</v>
      </c>
      <c r="CB124" s="136">
        <f t="shared" si="384"/>
        <v>5428.6721054031623</v>
      </c>
      <c r="CC124" s="136">
        <f t="shared" si="385"/>
        <v>86858.753686450596</v>
      </c>
      <c r="CE124" s="1137">
        <f t="shared" si="386"/>
        <v>277145400.95441002</v>
      </c>
      <c r="CF124" s="1136">
        <f t="shared" si="387"/>
        <v>411131448.88888884</v>
      </c>
      <c r="CG124" s="1136">
        <f t="shared" si="388"/>
        <v>0</v>
      </c>
      <c r="CH124" s="172">
        <f t="shared" si="389"/>
        <v>3912066770833.333</v>
      </c>
      <c r="CJ124" s="136">
        <f t="shared" si="390"/>
        <v>109405.61043672869</v>
      </c>
      <c r="CK124" s="7">
        <f t="shared" si="391"/>
        <v>113840993993.57278</v>
      </c>
      <c r="CL124" s="6">
        <f t="shared" si="392"/>
        <v>1346.8744099058233</v>
      </c>
      <c r="CM124" s="6">
        <f t="shared" si="393"/>
        <v>1285.1255900941767</v>
      </c>
      <c r="CN124" s="164">
        <f t="shared" si="264"/>
        <v>84522352.757101402</v>
      </c>
      <c r="CO124" s="164">
        <f t="shared" si="265"/>
        <v>88583555.468092635</v>
      </c>
      <c r="CP124" s="1137">
        <f t="shared" si="394"/>
        <v>103121874330.20694</v>
      </c>
      <c r="CQ124" s="1136">
        <f t="shared" si="395"/>
        <v>28830404581.115204</v>
      </c>
      <c r="CR124" s="22">
        <f t="shared" si="396"/>
        <v>109405.61043672869</v>
      </c>
      <c r="CS124" s="7">
        <f t="shared" si="397"/>
        <v>113840993993.57278</v>
      </c>
      <c r="CT124" s="6">
        <f t="shared" si="398"/>
        <v>1346.8744099058233</v>
      </c>
      <c r="CU124" s="12">
        <f t="shared" si="399"/>
        <v>1285.1255900941767</v>
      </c>
      <c r="CV124" s="164">
        <f t="shared" si="400"/>
        <v>84522352.757101402</v>
      </c>
      <c r="CW124" s="164">
        <f t="shared" si="401"/>
        <v>88583555.468092635</v>
      </c>
      <c r="CX124" s="1136">
        <f t="shared" si="402"/>
        <v>103121874330.20694</v>
      </c>
      <c r="CY124" s="1136">
        <f t="shared" si="403"/>
        <v>28830404581.115204</v>
      </c>
      <c r="CZ124" s="22">
        <f t="shared" si="404"/>
        <v>109405.61043672869</v>
      </c>
      <c r="DA124" s="7">
        <f t="shared" si="405"/>
        <v>113840993993.57278</v>
      </c>
      <c r="DB124" s="6">
        <f t="shared" si="406"/>
        <v>1346.8744099058233</v>
      </c>
      <c r="DC124" s="12">
        <f t="shared" si="407"/>
        <v>1285.1255900941767</v>
      </c>
      <c r="DD124" s="164">
        <f t="shared" si="266"/>
        <v>84522352.757101402</v>
      </c>
      <c r="DE124" s="164">
        <f t="shared" si="267"/>
        <v>88583555.468092635</v>
      </c>
      <c r="DF124" s="1136">
        <f t="shared" si="408"/>
        <v>103121874330.20694</v>
      </c>
      <c r="DG124" s="1136">
        <f t="shared" si="409"/>
        <v>28830404581.115204</v>
      </c>
      <c r="DH124" s="22">
        <f t="shared" si="410"/>
        <v>355063.55436390673</v>
      </c>
      <c r="DI124" s="172">
        <f t="shared" si="411"/>
        <v>279102938457.66693</v>
      </c>
      <c r="DJ124" s="12">
        <f t="shared" si="412"/>
        <v>329.91189451749597</v>
      </c>
      <c r="DK124" s="22">
        <f t="shared" si="413"/>
        <v>2302.088105482504</v>
      </c>
      <c r="DL124" s="164">
        <f t="shared" si="268"/>
        <v>845992348.55069911</v>
      </c>
      <c r="DM124" s="164">
        <f t="shared" si="269"/>
        <v>121239034.15901999</v>
      </c>
      <c r="DN124" s="7">
        <f t="shared" si="414"/>
        <v>711176464288.29077</v>
      </c>
      <c r="DO124" s="1136">
        <f t="shared" si="415"/>
        <v>166560239761.92953</v>
      </c>
      <c r="DP124" s="22">
        <f t="shared" si="416"/>
        <v>191291.59174578806</v>
      </c>
      <c r="DQ124" s="172">
        <f t="shared" si="417"/>
        <v>215599317361.93048</v>
      </c>
      <c r="DR124" s="22">
        <f t="shared" si="418"/>
        <v>717.66688772594102</v>
      </c>
      <c r="DS124" s="22">
        <f t="shared" si="419"/>
        <v>1914.333112274059</v>
      </c>
      <c r="DT124" s="164">
        <f t="shared" si="270"/>
        <v>300416977.63860393</v>
      </c>
      <c r="DU124" s="164">
        <f t="shared" si="271"/>
        <v>112623720.49022205</v>
      </c>
      <c r="DV124" s="1136">
        <f t="shared" si="420"/>
        <v>305806737649.56824</v>
      </c>
      <c r="DW124" s="1136">
        <f t="shared" si="421"/>
        <v>166560239761.92953</v>
      </c>
      <c r="DX124" s="763">
        <f t="shared" si="422"/>
        <v>122489.55844076678</v>
      </c>
      <c r="DY124" s="7">
        <f t="shared" si="423"/>
        <v>139631608579.18436</v>
      </c>
      <c r="DZ124" s="13">
        <f t="shared" si="424"/>
        <v>1188.5833585069154</v>
      </c>
      <c r="EA124" s="763">
        <f t="shared" si="425"/>
        <v>1443.4166414930846</v>
      </c>
      <c r="EB124" s="164">
        <f t="shared" si="272"/>
        <v>117477337.6892875</v>
      </c>
      <c r="EC124" s="164">
        <f t="shared" si="273"/>
        <v>96736870.398520574</v>
      </c>
      <c r="ED124" s="1136">
        <f t="shared" si="426"/>
        <v>711176464288.29077</v>
      </c>
      <c r="EE124" s="1136">
        <f t="shared" si="427"/>
        <v>166560239761.92953</v>
      </c>
      <c r="EF124" s="763">
        <f t="shared" si="428"/>
        <v>113766.92643807472</v>
      </c>
      <c r="EG124" s="7">
        <f t="shared" si="429"/>
        <v>123093743201.32808</v>
      </c>
      <c r="EH124" s="13">
        <f t="shared" si="430"/>
        <v>1290.0652780018902</v>
      </c>
      <c r="EI124" s="763">
        <f t="shared" si="431"/>
        <v>1341.9347219981098</v>
      </c>
      <c r="EJ124" s="164">
        <f t="shared" si="274"/>
        <v>95416677.97770752</v>
      </c>
      <c r="EK124" s="164">
        <f t="shared" si="275"/>
        <v>91728562.636820614</v>
      </c>
      <c r="EL124" s="1136">
        <f t="shared" si="337"/>
        <v>305806737649.56824</v>
      </c>
      <c r="EM124" s="1136">
        <f t="shared" si="338"/>
        <v>166560239761.92953</v>
      </c>
      <c r="EN124" s="164"/>
      <c r="EO124" s="164"/>
    </row>
    <row r="125" spans="1:145" s="136" customFormat="1">
      <c r="A125" s="136">
        <v>131</v>
      </c>
      <c r="B125" s="136" t="str">
        <f t="shared" ref="B125" si="457">LEFT(B123,3)+1&amp;"i"</f>
        <v>231i</v>
      </c>
      <c r="C125" s="136">
        <v>131.27000000000001</v>
      </c>
      <c r="D125" s="136">
        <v>0</v>
      </c>
      <c r="E125" s="136" t="s">
        <v>2122</v>
      </c>
      <c r="F125" s="26">
        <v>2</v>
      </c>
      <c r="G125" s="136">
        <v>500</v>
      </c>
      <c r="H125" s="136">
        <v>22</v>
      </c>
      <c r="I125" s="28">
        <v>250</v>
      </c>
      <c r="J125" s="26">
        <v>1940</v>
      </c>
      <c r="K125" s="136">
        <v>10</v>
      </c>
      <c r="L125" s="28">
        <v>120</v>
      </c>
      <c r="M125" s="26">
        <v>2600</v>
      </c>
      <c r="N125" s="28">
        <v>12</v>
      </c>
      <c r="O125" s="26">
        <v>0</v>
      </c>
      <c r="P125" s="26">
        <v>290</v>
      </c>
      <c r="Q125" s="397">
        <v>5450</v>
      </c>
      <c r="R125" s="169">
        <v>0</v>
      </c>
      <c r="S125" s="210">
        <v>0</v>
      </c>
      <c r="T125" s="169">
        <v>1175</v>
      </c>
      <c r="U125" s="169">
        <v>2350</v>
      </c>
      <c r="V125" s="28">
        <v>3850</v>
      </c>
      <c r="W125" s="210">
        <v>19</v>
      </c>
      <c r="X125" s="210">
        <v>200</v>
      </c>
      <c r="Y125" s="169">
        <v>50</v>
      </c>
      <c r="Z125" s="210">
        <v>16</v>
      </c>
      <c r="AA125" s="210">
        <v>200</v>
      </c>
      <c r="AB125" s="28">
        <v>40</v>
      </c>
      <c r="AC125" s="210">
        <v>0</v>
      </c>
      <c r="AD125" s="26">
        <v>2</v>
      </c>
      <c r="AE125" s="169">
        <v>160</v>
      </c>
      <c r="AF125" s="169">
        <v>16</v>
      </c>
      <c r="AG125" s="26">
        <v>0</v>
      </c>
      <c r="AH125" s="169">
        <v>0</v>
      </c>
      <c r="AI125" s="169">
        <v>0</v>
      </c>
      <c r="AJ125" s="397">
        <v>2</v>
      </c>
      <c r="AK125" s="210">
        <v>2500</v>
      </c>
      <c r="AL125" s="210">
        <v>5000</v>
      </c>
      <c r="AM125" s="210" t="s">
        <v>2316</v>
      </c>
      <c r="AN125" s="210">
        <v>2342</v>
      </c>
      <c r="AO125" s="1143" t="s">
        <v>2321</v>
      </c>
      <c r="AP125" s="1143" t="s">
        <v>2321</v>
      </c>
      <c r="AQ125" s="1143"/>
      <c r="AR125" s="1143"/>
      <c r="AS125" s="1143"/>
      <c r="AT125" s="1143"/>
      <c r="AU125" s="1143"/>
      <c r="AV125" s="1109"/>
      <c r="AW125" s="1109"/>
      <c r="AX125" s="1109"/>
      <c r="AY125" s="1109"/>
      <c r="AZ125" s="1108">
        <v>8</v>
      </c>
      <c r="BA125" s="1108">
        <v>6</v>
      </c>
      <c r="BB125" s="1109"/>
      <c r="BC125" s="1168"/>
      <c r="BD125" s="210">
        <f>INDEX(Spec!$B$12:$P$58,MATCH(AO125,Spec!$A$12:$A$58,0),6)*100</f>
        <v>1900</v>
      </c>
      <c r="BE125" s="210">
        <f>INDEX(Spec!$B$12:$P$58,MATCH(AP125,Spec!$A$12:$A$58,0),6)*100</f>
        <v>1900</v>
      </c>
      <c r="BF125" s="881">
        <f t="shared" si="371"/>
        <v>0.72729528785068354</v>
      </c>
      <c r="BG125" s="881">
        <f t="shared" si="372"/>
        <v>47.243485714285718</v>
      </c>
      <c r="BH125" s="881"/>
      <c r="BI125" s="13" cm="1">
        <f t="array" ref="BI125">INDEX(Info!$AD$4:$AH$15,MATCH(Info!$I$13,Info!$AC$4:$AC$15,0),IF(H125&lt;=16,1,IF(H125&lt;=40,2,IF(H125&lt;=75,3,IF(H125&lt;=100,4,5)))))</f>
        <v>380</v>
      </c>
      <c r="BJ125" s="13" cm="1">
        <f t="array" ref="BJ125">INDEX(Info!$AD$4:$AH$15,MATCH(Info!$I$13,Info!$AC$4:$AC$15,0),IF(K125&lt;=16,1,IF(K125&lt;=40,2,IF(K125&lt;=75,3,IF(K125&lt;=100,4,5)))))</f>
        <v>380</v>
      </c>
      <c r="BK125" s="13" cm="1">
        <f t="array" ref="BK125">INDEX(Info!$AD$4:$AH$15,MATCH(Info!$I$14,Info!$AC$4:$AC$15,0),IF(N125&lt;=16,1,IF(N125&lt;=40,2,IF(N125&lt;=75,3,IF(N125&lt;=100,4,5)))))</f>
        <v>355</v>
      </c>
      <c r="BL125" s="13">
        <f>IF(Stress!C954="Positive",MAX(MIN(0.7*BI125,BK125),0.5*BI125),MAX(MIN(0.7*BJ125,BK125),0.5*BJ125))</f>
        <v>266</v>
      </c>
      <c r="BM125" s="13" cm="1">
        <f t="array" ref="BM125">INDEX(Info!$AD$4:$AH$15,MATCH(Info!$I$13,Info!$AC$4:$AC$15,0),IF(AI125&lt;=16,1,IF(AI125&lt;=40,2,IF(AI125&lt;=75,3,IF(AI125&lt;=100,4,5)))))</f>
        <v>380</v>
      </c>
      <c r="BN125" s="13" cm="1">
        <f t="array" ref="BN125">INDEX(Info!$AD$4:$AH$15,MATCH(Info!$I$13,Info!$AC$4:$AC$15,0),IF(AF125&lt;=16,1,IF(AF125&lt;=40,2,IF(AF125&lt;=75,3,IF(AF125&lt;=100,4,5)))))</f>
        <v>380</v>
      </c>
      <c r="BO125" s="13"/>
      <c r="BP125" s="13">
        <f t="shared" si="373"/>
        <v>0.125</v>
      </c>
      <c r="BQ125" s="13">
        <f t="shared" si="374"/>
        <v>2620.2337681970284</v>
      </c>
      <c r="BR125" s="13">
        <f t="shared" si="375"/>
        <v>2900</v>
      </c>
      <c r="BS125" s="13"/>
      <c r="BT125" s="136">
        <f t="shared" si="376"/>
        <v>0</v>
      </c>
      <c r="BU125" s="136">
        <f t="shared" si="377"/>
        <v>0</v>
      </c>
      <c r="BV125" s="136">
        <f t="shared" si="378"/>
        <v>1580500</v>
      </c>
      <c r="BW125" s="136">
        <f t="shared" si="379"/>
        <v>11076670833.333334</v>
      </c>
      <c r="BX125" s="136">
        <f t="shared" si="380"/>
        <v>0</v>
      </c>
      <c r="BY125" s="136">
        <f t="shared" si="381"/>
        <v>0</v>
      </c>
      <c r="BZ125" s="136">
        <f t="shared" si="382"/>
        <v>7655.2758986349281</v>
      </c>
      <c r="CA125" s="136">
        <f t="shared" si="383"/>
        <v>172722.16246295057</v>
      </c>
      <c r="CB125" s="136">
        <f t="shared" si="384"/>
        <v>5428.6721054031623</v>
      </c>
      <c r="CC125" s="136">
        <f t="shared" si="385"/>
        <v>86858.753686450596</v>
      </c>
      <c r="CE125" s="1137">
        <f t="shared" si="386"/>
        <v>277145400.95441002</v>
      </c>
      <c r="CF125" s="1136">
        <f t="shared" si="387"/>
        <v>411131448.88888884</v>
      </c>
      <c r="CG125" s="1136">
        <f t="shared" si="388"/>
        <v>0</v>
      </c>
      <c r="CH125" s="172">
        <f t="shared" si="389"/>
        <v>3912066770833.333</v>
      </c>
      <c r="CJ125" s="136">
        <f t="shared" si="390"/>
        <v>109405.61043672869</v>
      </c>
      <c r="CK125" s="7">
        <f t="shared" si="391"/>
        <v>113840993993.57278</v>
      </c>
      <c r="CL125" s="6">
        <f t="shared" si="392"/>
        <v>1346.8744099058233</v>
      </c>
      <c r="CM125" s="6">
        <f t="shared" si="393"/>
        <v>1285.1255900941767</v>
      </c>
      <c r="CN125" s="164">
        <f t="shared" si="264"/>
        <v>84522352.757101402</v>
      </c>
      <c r="CO125" s="164">
        <f t="shared" si="265"/>
        <v>88583555.468092635</v>
      </c>
      <c r="CP125" s="1137">
        <f t="shared" si="394"/>
        <v>103121874330.20694</v>
      </c>
      <c r="CQ125" s="1136">
        <f t="shared" si="395"/>
        <v>28830404581.115204</v>
      </c>
      <c r="CR125" s="22">
        <f t="shared" si="396"/>
        <v>109405.61043672869</v>
      </c>
      <c r="CS125" s="7">
        <f t="shared" si="397"/>
        <v>113840993993.57278</v>
      </c>
      <c r="CT125" s="6">
        <f t="shared" si="398"/>
        <v>1346.8744099058233</v>
      </c>
      <c r="CU125" s="12">
        <f t="shared" si="399"/>
        <v>1285.1255900941767</v>
      </c>
      <c r="CV125" s="164">
        <f t="shared" si="400"/>
        <v>84522352.757101402</v>
      </c>
      <c r="CW125" s="164">
        <f t="shared" si="401"/>
        <v>88583555.468092635</v>
      </c>
      <c r="CX125" s="1136">
        <f t="shared" si="402"/>
        <v>103121874330.20694</v>
      </c>
      <c r="CY125" s="1136">
        <f t="shared" si="403"/>
        <v>28830404581.115204</v>
      </c>
      <c r="CZ125" s="22">
        <f t="shared" si="404"/>
        <v>109405.61043672869</v>
      </c>
      <c r="DA125" s="7">
        <f t="shared" si="405"/>
        <v>113840993993.57278</v>
      </c>
      <c r="DB125" s="6">
        <f t="shared" si="406"/>
        <v>1346.8744099058233</v>
      </c>
      <c r="DC125" s="12">
        <f t="shared" si="407"/>
        <v>1285.1255900941767</v>
      </c>
      <c r="DD125" s="164">
        <f t="shared" si="266"/>
        <v>84522352.757101402</v>
      </c>
      <c r="DE125" s="164">
        <f t="shared" si="267"/>
        <v>88583555.468092635</v>
      </c>
      <c r="DF125" s="1136">
        <f t="shared" si="408"/>
        <v>103121874330.20694</v>
      </c>
      <c r="DG125" s="1136">
        <f t="shared" si="409"/>
        <v>28830404581.115204</v>
      </c>
      <c r="DH125" s="22">
        <f t="shared" si="410"/>
        <v>355063.55436390673</v>
      </c>
      <c r="DI125" s="172">
        <f t="shared" si="411"/>
        <v>279102938457.66693</v>
      </c>
      <c r="DJ125" s="12">
        <f t="shared" si="412"/>
        <v>329.91189451749597</v>
      </c>
      <c r="DK125" s="22">
        <f t="shared" si="413"/>
        <v>2302.088105482504</v>
      </c>
      <c r="DL125" s="164">
        <f t="shared" si="268"/>
        <v>845992348.55069911</v>
      </c>
      <c r="DM125" s="164">
        <f t="shared" si="269"/>
        <v>121239034.15901999</v>
      </c>
      <c r="DN125" s="7">
        <f t="shared" si="414"/>
        <v>711176464288.29077</v>
      </c>
      <c r="DO125" s="1136">
        <f t="shared" si="415"/>
        <v>166560239761.92953</v>
      </c>
      <c r="DP125" s="22">
        <f t="shared" si="416"/>
        <v>191291.59174578806</v>
      </c>
      <c r="DQ125" s="172">
        <f t="shared" si="417"/>
        <v>215599317361.93048</v>
      </c>
      <c r="DR125" s="22">
        <f t="shared" si="418"/>
        <v>717.66688772594102</v>
      </c>
      <c r="DS125" s="22">
        <f t="shared" si="419"/>
        <v>1914.333112274059</v>
      </c>
      <c r="DT125" s="164">
        <f t="shared" si="270"/>
        <v>300416977.63860393</v>
      </c>
      <c r="DU125" s="164">
        <f t="shared" si="271"/>
        <v>112623720.49022205</v>
      </c>
      <c r="DV125" s="1136">
        <f t="shared" si="420"/>
        <v>305806737649.56824</v>
      </c>
      <c r="DW125" s="1136">
        <f t="shared" si="421"/>
        <v>166560239761.92953</v>
      </c>
      <c r="DX125" s="763">
        <f t="shared" si="422"/>
        <v>122489.55844076678</v>
      </c>
      <c r="DY125" s="7">
        <f t="shared" si="423"/>
        <v>139631608579.18436</v>
      </c>
      <c r="DZ125" s="13">
        <f t="shared" si="424"/>
        <v>1188.5833585069154</v>
      </c>
      <c r="EA125" s="763">
        <f t="shared" si="425"/>
        <v>1443.4166414930846</v>
      </c>
      <c r="EB125" s="164">
        <f t="shared" si="272"/>
        <v>117477337.6892875</v>
      </c>
      <c r="EC125" s="164">
        <f t="shared" si="273"/>
        <v>96736870.398520574</v>
      </c>
      <c r="ED125" s="1136">
        <f t="shared" si="426"/>
        <v>711176464288.29077</v>
      </c>
      <c r="EE125" s="1136">
        <f t="shared" si="427"/>
        <v>166560239761.92953</v>
      </c>
      <c r="EF125" s="763">
        <f t="shared" si="428"/>
        <v>113766.92643807472</v>
      </c>
      <c r="EG125" s="7">
        <f t="shared" si="429"/>
        <v>123093743201.32808</v>
      </c>
      <c r="EH125" s="13">
        <f t="shared" si="430"/>
        <v>1290.0652780018902</v>
      </c>
      <c r="EI125" s="763">
        <f t="shared" si="431"/>
        <v>1341.9347219981098</v>
      </c>
      <c r="EJ125" s="164">
        <f t="shared" si="274"/>
        <v>95416677.97770752</v>
      </c>
      <c r="EK125" s="164">
        <f t="shared" si="275"/>
        <v>91728562.636820614</v>
      </c>
      <c r="EL125" s="1136">
        <f t="shared" si="337"/>
        <v>305806737649.56824</v>
      </c>
      <c r="EM125" s="1136">
        <f t="shared" si="338"/>
        <v>166560239761.92953</v>
      </c>
      <c r="EN125" s="164"/>
      <c r="EO125" s="164"/>
    </row>
    <row r="126" spans="1:145" s="136" customFormat="1">
      <c r="B126" s="136" t="str">
        <f t="shared" ref="B126" si="458">LEFT(B124,3)+1&amp;"j"</f>
        <v>231j</v>
      </c>
      <c r="C126" s="136">
        <v>131.82</v>
      </c>
      <c r="D126" s="136">
        <v>0</v>
      </c>
      <c r="E126" s="136" t="s">
        <v>2122</v>
      </c>
      <c r="F126" s="26">
        <v>2</v>
      </c>
      <c r="G126" s="136">
        <v>500</v>
      </c>
      <c r="H126" s="136">
        <v>22</v>
      </c>
      <c r="I126" s="28">
        <v>250</v>
      </c>
      <c r="J126" s="26">
        <v>1940</v>
      </c>
      <c r="K126" s="136">
        <v>10</v>
      </c>
      <c r="L126" s="28">
        <v>120</v>
      </c>
      <c r="M126" s="26">
        <v>2600</v>
      </c>
      <c r="N126" s="28">
        <v>12</v>
      </c>
      <c r="O126" s="26">
        <v>0</v>
      </c>
      <c r="P126" s="26">
        <v>290</v>
      </c>
      <c r="Q126" s="397">
        <v>5450</v>
      </c>
      <c r="R126" s="169">
        <v>0</v>
      </c>
      <c r="S126" s="210">
        <v>0</v>
      </c>
      <c r="T126" s="169">
        <v>1175</v>
      </c>
      <c r="U126" s="169">
        <v>2350</v>
      </c>
      <c r="V126" s="28">
        <v>3850</v>
      </c>
      <c r="W126" s="210">
        <v>19</v>
      </c>
      <c r="X126" s="210">
        <v>200</v>
      </c>
      <c r="Y126" s="169">
        <v>50</v>
      </c>
      <c r="Z126" s="210">
        <v>16</v>
      </c>
      <c r="AA126" s="210">
        <v>200</v>
      </c>
      <c r="AB126" s="28">
        <v>40</v>
      </c>
      <c r="AC126" s="210">
        <v>0</v>
      </c>
      <c r="AD126" s="26">
        <v>2</v>
      </c>
      <c r="AE126" s="169">
        <v>160</v>
      </c>
      <c r="AF126" s="169">
        <v>16</v>
      </c>
      <c r="AG126" s="26">
        <v>0</v>
      </c>
      <c r="AH126" s="169">
        <v>0</v>
      </c>
      <c r="AI126" s="169">
        <v>0</v>
      </c>
      <c r="AJ126" s="397">
        <v>2</v>
      </c>
      <c r="AK126" s="210">
        <v>2500</v>
      </c>
      <c r="AL126" s="210">
        <v>5000</v>
      </c>
      <c r="AM126" s="210" t="s">
        <v>2316</v>
      </c>
      <c r="AN126" s="210">
        <v>2342</v>
      </c>
      <c r="AO126" s="1143" t="s">
        <v>2321</v>
      </c>
      <c r="AP126" s="1143" t="s">
        <v>2321</v>
      </c>
      <c r="AQ126" s="1143"/>
      <c r="AR126" s="1143"/>
      <c r="AS126" s="1143"/>
      <c r="AT126" s="1143"/>
      <c r="AU126" s="1143"/>
      <c r="AV126" s="1109"/>
      <c r="AW126" s="1109"/>
      <c r="AX126" s="1109"/>
      <c r="AY126" s="1109"/>
      <c r="AZ126" s="1108">
        <v>8</v>
      </c>
      <c r="BA126" s="1108">
        <v>6</v>
      </c>
      <c r="BB126" s="1109"/>
      <c r="BC126" s="1168"/>
      <c r="BD126" s="210">
        <f>INDEX(Spec!$B$12:$P$58,MATCH(AO126,Spec!$A$12:$A$58,0),6)*100</f>
        <v>1900</v>
      </c>
      <c r="BE126" s="210">
        <f>INDEX(Spec!$B$12:$P$58,MATCH(AP126,Spec!$A$12:$A$58,0),6)*100</f>
        <v>1900</v>
      </c>
      <c r="BF126" s="881">
        <f t="shared" si="371"/>
        <v>0.72729528785068354</v>
      </c>
      <c r="BG126" s="881">
        <f t="shared" si="372"/>
        <v>47.243485714285718</v>
      </c>
      <c r="BH126" s="881"/>
      <c r="BI126" s="13" cm="1">
        <f t="array" ref="BI126">INDEX(Info!$AD$4:$AH$15,MATCH(Info!$I$13,Info!$AC$4:$AC$15,0),IF(H126&lt;=16,1,IF(H126&lt;=40,2,IF(H126&lt;=75,3,IF(H126&lt;=100,4,5)))))</f>
        <v>380</v>
      </c>
      <c r="BJ126" s="13" cm="1">
        <f t="array" ref="BJ126">INDEX(Info!$AD$4:$AH$15,MATCH(Info!$I$13,Info!$AC$4:$AC$15,0),IF(K126&lt;=16,1,IF(K126&lt;=40,2,IF(K126&lt;=75,3,IF(K126&lt;=100,4,5)))))</f>
        <v>380</v>
      </c>
      <c r="BK126" s="13" cm="1">
        <f t="array" ref="BK126">INDEX(Info!$AD$4:$AH$15,MATCH(Info!$I$14,Info!$AC$4:$AC$15,0),IF(N126&lt;=16,1,IF(N126&lt;=40,2,IF(N126&lt;=75,3,IF(N126&lt;=100,4,5)))))</f>
        <v>355</v>
      </c>
      <c r="BL126" s="13">
        <f>IF(Stress!C955="Positive",MAX(MIN(0.7*BI126,BK126),0.5*BI126),MAX(MIN(0.7*BJ126,BK126),0.5*BJ126))</f>
        <v>266</v>
      </c>
      <c r="BM126" s="13" cm="1">
        <f t="array" ref="BM126">INDEX(Info!$AD$4:$AH$15,MATCH(Info!$I$13,Info!$AC$4:$AC$15,0),IF(AI126&lt;=16,1,IF(AI126&lt;=40,2,IF(AI126&lt;=75,3,IF(AI126&lt;=100,4,5)))))</f>
        <v>380</v>
      </c>
      <c r="BN126" s="13" cm="1">
        <f t="array" ref="BN126">INDEX(Info!$AD$4:$AH$15,MATCH(Info!$I$13,Info!$AC$4:$AC$15,0),IF(AF126&lt;=16,1,IF(AF126&lt;=40,2,IF(AF126&lt;=75,3,IF(AF126&lt;=100,4,5)))))</f>
        <v>380</v>
      </c>
      <c r="BO126" s="13"/>
      <c r="BP126" s="13">
        <f t="shared" si="373"/>
        <v>0.125</v>
      </c>
      <c r="BQ126" s="13">
        <f t="shared" si="374"/>
        <v>2620.2337681970284</v>
      </c>
      <c r="BR126" s="13">
        <f t="shared" si="375"/>
        <v>2900</v>
      </c>
      <c r="BS126" s="13"/>
      <c r="BT126" s="136">
        <f t="shared" si="376"/>
        <v>0</v>
      </c>
      <c r="BU126" s="136">
        <f t="shared" si="377"/>
        <v>0</v>
      </c>
      <c r="BV126" s="136">
        <f t="shared" si="378"/>
        <v>1580500</v>
      </c>
      <c r="BW126" s="136">
        <f t="shared" si="379"/>
        <v>11076670833.333334</v>
      </c>
      <c r="BX126" s="136">
        <f t="shared" si="380"/>
        <v>0</v>
      </c>
      <c r="BY126" s="136">
        <f t="shared" si="381"/>
        <v>0</v>
      </c>
      <c r="BZ126" s="136">
        <f t="shared" si="382"/>
        <v>7655.2758986349281</v>
      </c>
      <c r="CA126" s="136">
        <f t="shared" si="383"/>
        <v>172722.16246295057</v>
      </c>
      <c r="CB126" s="136">
        <f t="shared" si="384"/>
        <v>5428.6721054031623</v>
      </c>
      <c r="CC126" s="136">
        <f t="shared" si="385"/>
        <v>86858.753686450596</v>
      </c>
      <c r="CE126" s="1137">
        <f t="shared" si="386"/>
        <v>277145400.95441002</v>
      </c>
      <c r="CF126" s="1136">
        <f t="shared" si="387"/>
        <v>411131448.88888884</v>
      </c>
      <c r="CG126" s="1136">
        <f t="shared" si="388"/>
        <v>0</v>
      </c>
      <c r="CH126" s="172">
        <f t="shared" si="389"/>
        <v>3912066770833.333</v>
      </c>
      <c r="CJ126" s="136">
        <f t="shared" si="390"/>
        <v>109405.61043672869</v>
      </c>
      <c r="CK126" s="7">
        <f t="shared" si="391"/>
        <v>113840993993.57278</v>
      </c>
      <c r="CL126" s="6">
        <f t="shared" si="392"/>
        <v>1346.8744099058233</v>
      </c>
      <c r="CM126" s="6">
        <f t="shared" si="393"/>
        <v>1285.1255900941767</v>
      </c>
      <c r="CN126" s="164">
        <f t="shared" si="264"/>
        <v>84522352.757101402</v>
      </c>
      <c r="CO126" s="164">
        <f t="shared" si="265"/>
        <v>88583555.468092635</v>
      </c>
      <c r="CP126" s="1137">
        <f t="shared" si="394"/>
        <v>103121874330.20694</v>
      </c>
      <c r="CQ126" s="1136">
        <f t="shared" si="395"/>
        <v>28830404581.115204</v>
      </c>
      <c r="CR126" s="22">
        <f t="shared" si="396"/>
        <v>109405.61043672869</v>
      </c>
      <c r="CS126" s="7">
        <f t="shared" si="397"/>
        <v>113840993993.57278</v>
      </c>
      <c r="CT126" s="6">
        <f t="shared" si="398"/>
        <v>1346.8744099058233</v>
      </c>
      <c r="CU126" s="12">
        <f t="shared" si="399"/>
        <v>1285.1255900941767</v>
      </c>
      <c r="CV126" s="164">
        <f t="shared" si="400"/>
        <v>84522352.757101402</v>
      </c>
      <c r="CW126" s="164">
        <f t="shared" si="401"/>
        <v>88583555.468092635</v>
      </c>
      <c r="CX126" s="1136">
        <f t="shared" si="402"/>
        <v>103121874330.20694</v>
      </c>
      <c r="CY126" s="1136">
        <f t="shared" si="403"/>
        <v>28830404581.115204</v>
      </c>
      <c r="CZ126" s="22">
        <f t="shared" si="404"/>
        <v>109405.61043672869</v>
      </c>
      <c r="DA126" s="7">
        <f t="shared" si="405"/>
        <v>113840993993.57278</v>
      </c>
      <c r="DB126" s="6">
        <f t="shared" si="406"/>
        <v>1346.8744099058233</v>
      </c>
      <c r="DC126" s="12">
        <f t="shared" si="407"/>
        <v>1285.1255900941767</v>
      </c>
      <c r="DD126" s="164">
        <f t="shared" si="266"/>
        <v>84522352.757101402</v>
      </c>
      <c r="DE126" s="164">
        <f t="shared" si="267"/>
        <v>88583555.468092635</v>
      </c>
      <c r="DF126" s="1136">
        <f t="shared" si="408"/>
        <v>103121874330.20694</v>
      </c>
      <c r="DG126" s="1136">
        <f t="shared" si="409"/>
        <v>28830404581.115204</v>
      </c>
      <c r="DH126" s="22">
        <f t="shared" si="410"/>
        <v>355063.55436390673</v>
      </c>
      <c r="DI126" s="172">
        <f t="shared" si="411"/>
        <v>279102938457.66693</v>
      </c>
      <c r="DJ126" s="12">
        <f t="shared" si="412"/>
        <v>329.91189451749597</v>
      </c>
      <c r="DK126" s="22">
        <f t="shared" si="413"/>
        <v>2302.088105482504</v>
      </c>
      <c r="DL126" s="164">
        <f t="shared" si="268"/>
        <v>845992348.55069911</v>
      </c>
      <c r="DM126" s="164">
        <f t="shared" si="269"/>
        <v>121239034.15901999</v>
      </c>
      <c r="DN126" s="7">
        <f t="shared" si="414"/>
        <v>711176464288.29077</v>
      </c>
      <c r="DO126" s="1136">
        <f t="shared" si="415"/>
        <v>166560239761.92953</v>
      </c>
      <c r="DP126" s="22">
        <f t="shared" si="416"/>
        <v>191291.59174578806</v>
      </c>
      <c r="DQ126" s="172">
        <f t="shared" si="417"/>
        <v>215599317361.93048</v>
      </c>
      <c r="DR126" s="22">
        <f t="shared" si="418"/>
        <v>717.66688772594102</v>
      </c>
      <c r="DS126" s="22">
        <f t="shared" si="419"/>
        <v>1914.333112274059</v>
      </c>
      <c r="DT126" s="164">
        <f t="shared" si="270"/>
        <v>300416977.63860393</v>
      </c>
      <c r="DU126" s="164">
        <f t="shared" si="271"/>
        <v>112623720.49022205</v>
      </c>
      <c r="DV126" s="1136">
        <f t="shared" si="420"/>
        <v>305806737649.56824</v>
      </c>
      <c r="DW126" s="1136">
        <f t="shared" si="421"/>
        <v>166560239761.92953</v>
      </c>
      <c r="DX126" s="763">
        <f t="shared" si="422"/>
        <v>122489.55844076678</v>
      </c>
      <c r="DY126" s="7">
        <f t="shared" si="423"/>
        <v>139631608579.18436</v>
      </c>
      <c r="DZ126" s="13">
        <f t="shared" si="424"/>
        <v>1188.5833585069154</v>
      </c>
      <c r="EA126" s="763">
        <f t="shared" si="425"/>
        <v>1443.4166414930846</v>
      </c>
      <c r="EB126" s="164">
        <f t="shared" si="272"/>
        <v>117477337.6892875</v>
      </c>
      <c r="EC126" s="164">
        <f t="shared" si="273"/>
        <v>96736870.398520574</v>
      </c>
      <c r="ED126" s="1136">
        <f t="shared" si="426"/>
        <v>711176464288.29077</v>
      </c>
      <c r="EE126" s="1136">
        <f t="shared" si="427"/>
        <v>166560239761.92953</v>
      </c>
      <c r="EF126" s="763">
        <f t="shared" si="428"/>
        <v>113766.92643807472</v>
      </c>
      <c r="EG126" s="7">
        <f t="shared" si="429"/>
        <v>123093743201.32808</v>
      </c>
      <c r="EH126" s="13">
        <f t="shared" si="430"/>
        <v>1290.0652780018902</v>
      </c>
      <c r="EI126" s="763">
        <f t="shared" si="431"/>
        <v>1341.9347219981098</v>
      </c>
      <c r="EJ126" s="164">
        <f t="shared" si="274"/>
        <v>95416677.97770752</v>
      </c>
      <c r="EK126" s="164">
        <f t="shared" si="275"/>
        <v>91728562.636820614</v>
      </c>
      <c r="EL126" s="1136">
        <f t="shared" si="337"/>
        <v>305806737649.56824</v>
      </c>
      <c r="EM126" s="1136">
        <f t="shared" si="338"/>
        <v>166560239761.92953</v>
      </c>
      <c r="EN126" s="164"/>
      <c r="EO126" s="164"/>
    </row>
    <row r="127" spans="1:145">
      <c r="G127" s="27"/>
      <c r="H127" s="27"/>
      <c r="I127" s="28"/>
      <c r="J127" s="26"/>
      <c r="K127" s="27"/>
      <c r="L127" s="28"/>
      <c r="M127" s="26"/>
      <c r="N127" s="28"/>
      <c r="O127" s="26"/>
      <c r="Q127" s="169"/>
      <c r="S127" s="169"/>
      <c r="T127" s="27"/>
      <c r="U127" s="27"/>
      <c r="V127" s="28"/>
      <c r="W127" s="169"/>
      <c r="X127" s="169"/>
      <c r="Y127" s="27"/>
      <c r="Z127" s="169"/>
      <c r="AA127" s="169"/>
      <c r="AB127" s="28"/>
      <c r="AC127" s="169"/>
      <c r="AD127" s="26"/>
      <c r="AE127" s="169"/>
      <c r="AF127" s="169"/>
      <c r="AG127" s="26"/>
      <c r="AH127" s="169"/>
      <c r="AI127" s="169"/>
      <c r="AJ127" s="397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BD127" s="210"/>
      <c r="BE127" s="210"/>
      <c r="BF127" s="210"/>
      <c r="BG127" s="210"/>
      <c r="BH127" s="210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6"/>
      <c r="CE127" s="164"/>
      <c r="CF127" s="164"/>
      <c r="CG127" s="164"/>
      <c r="CJ127" s="136"/>
      <c r="CK127" s="7"/>
      <c r="CL127" s="6"/>
      <c r="CM127" s="6"/>
      <c r="CN127" s="164"/>
      <c r="CO127" s="164"/>
      <c r="CP127" s="164"/>
      <c r="CQ127" s="164"/>
      <c r="CS127" s="7"/>
      <c r="CT127" s="6"/>
      <c r="CU127" s="12"/>
      <c r="CV127" s="164"/>
      <c r="CW127" s="164"/>
      <c r="CX127" s="164"/>
      <c r="CY127" s="164"/>
      <c r="DA127" s="7"/>
      <c r="DB127" s="6"/>
      <c r="DC127" s="12"/>
      <c r="DD127" s="164"/>
      <c r="DE127" s="164"/>
      <c r="DF127" s="164"/>
      <c r="DG127" s="164"/>
      <c r="DI127" s="172"/>
      <c r="DJ127" s="12"/>
      <c r="DK127" s="22"/>
      <c r="DL127" s="164"/>
      <c r="DM127" s="164"/>
      <c r="DN127" s="164"/>
      <c r="DO127" s="164"/>
      <c r="DP127" s="22"/>
      <c r="DQ127" s="136"/>
      <c r="DR127" s="22"/>
      <c r="DS127" s="22"/>
      <c r="DT127" s="164"/>
      <c r="DU127" s="164"/>
      <c r="DV127" s="164"/>
      <c r="DW127" s="164"/>
      <c r="DY127" s="7"/>
      <c r="DZ127" s="13"/>
      <c r="EB127" s="164"/>
      <c r="EC127" s="164"/>
      <c r="ED127" s="164"/>
      <c r="EE127" s="164"/>
      <c r="EG127" s="7"/>
      <c r="EH127" s="13"/>
      <c r="EJ127" s="164"/>
      <c r="EK127" s="164"/>
      <c r="EL127" s="164"/>
      <c r="EN127" s="164"/>
      <c r="EO127" s="164"/>
    </row>
    <row r="128" spans="1:145">
      <c r="G128" s="27"/>
      <c r="H128" s="27"/>
      <c r="I128" s="28"/>
      <c r="J128" s="26"/>
      <c r="K128" s="27"/>
      <c r="L128" s="28"/>
      <c r="M128" s="26"/>
      <c r="N128" s="28"/>
      <c r="O128" s="26"/>
      <c r="Q128" s="169"/>
      <c r="S128" s="169"/>
      <c r="T128" s="27"/>
      <c r="U128" s="27"/>
      <c r="V128" s="28"/>
      <c r="W128" s="169"/>
      <c r="X128" s="169"/>
      <c r="Y128" s="27"/>
      <c r="Z128" s="169"/>
      <c r="AA128" s="169"/>
      <c r="AB128" s="28"/>
      <c r="AC128" s="169"/>
      <c r="AD128" s="26"/>
      <c r="AE128" s="169"/>
      <c r="AF128" s="169"/>
      <c r="AG128" s="26"/>
      <c r="AH128" s="169"/>
      <c r="AI128" s="169"/>
      <c r="AJ128" s="397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BD128" s="210"/>
      <c r="BE128" s="210"/>
      <c r="BF128" s="210"/>
      <c r="BG128" s="210"/>
      <c r="BH128" s="210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6"/>
      <c r="CE128" s="164"/>
      <c r="CF128" s="164"/>
      <c r="CG128" s="164"/>
      <c r="CJ128" s="136"/>
      <c r="CK128" s="7"/>
      <c r="CL128" s="6"/>
      <c r="CM128" s="6"/>
      <c r="CN128" s="164"/>
      <c r="CO128" s="164"/>
      <c r="CP128" s="164"/>
      <c r="CQ128" s="164"/>
      <c r="CS128" s="7"/>
      <c r="CT128" s="6"/>
      <c r="CU128" s="12"/>
      <c r="CV128" s="164"/>
      <c r="CW128" s="164"/>
      <c r="CX128" s="164"/>
      <c r="CY128" s="164"/>
      <c r="DA128" s="7"/>
      <c r="DB128" s="6"/>
      <c r="DC128" s="12"/>
      <c r="DD128" s="164"/>
      <c r="DE128" s="164"/>
      <c r="DF128" s="164"/>
      <c r="DG128" s="164"/>
      <c r="DI128" s="172"/>
      <c r="DJ128" s="12"/>
      <c r="DK128" s="22"/>
      <c r="DL128" s="164"/>
      <c r="DM128" s="164"/>
      <c r="DN128" s="164"/>
      <c r="DO128" s="164"/>
      <c r="DP128" s="22"/>
      <c r="DQ128" s="136"/>
      <c r="DR128" s="22"/>
      <c r="DS128" s="22"/>
      <c r="DT128" s="164"/>
      <c r="DU128" s="164"/>
      <c r="DV128" s="164"/>
      <c r="DW128" s="164"/>
      <c r="DY128" s="7"/>
      <c r="DZ128" s="13"/>
      <c r="EB128" s="164"/>
      <c r="EC128" s="164"/>
      <c r="ED128" s="164"/>
      <c r="EE128" s="164"/>
      <c r="EG128" s="7"/>
      <c r="EH128" s="13"/>
      <c r="EJ128" s="164"/>
      <c r="EK128" s="164"/>
      <c r="EL128" s="164"/>
      <c r="EN128" s="164"/>
      <c r="EO128" s="164"/>
    </row>
    <row r="129" spans="7:145">
      <c r="G129" s="27"/>
      <c r="H129" s="27"/>
      <c r="I129" s="28"/>
      <c r="J129" s="26"/>
      <c r="K129" s="27"/>
      <c r="L129" s="28"/>
      <c r="M129" s="26"/>
      <c r="N129" s="28"/>
      <c r="O129" s="26"/>
      <c r="Q129" s="169"/>
      <c r="S129" s="169"/>
      <c r="T129" s="27"/>
      <c r="U129" s="27"/>
      <c r="V129" s="28"/>
      <c r="W129" s="169"/>
      <c r="X129" s="169"/>
      <c r="Y129" s="27"/>
      <c r="Z129" s="169"/>
      <c r="AA129" s="169"/>
      <c r="AB129" s="28"/>
      <c r="AC129" s="169"/>
      <c r="AD129" s="26"/>
      <c r="AE129" s="169"/>
      <c r="AF129" s="169"/>
      <c r="AG129" s="26"/>
      <c r="AH129" s="169"/>
      <c r="AI129" s="169"/>
      <c r="AJ129" s="397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BD129" s="210"/>
      <c r="BE129" s="210"/>
      <c r="BF129" s="210"/>
      <c r="BG129" s="210"/>
      <c r="BH129" s="210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6"/>
      <c r="CE129" s="164"/>
      <c r="CF129" s="164"/>
      <c r="CG129" s="164"/>
      <c r="CJ129" s="136"/>
      <c r="CK129" s="7"/>
      <c r="CL129" s="6"/>
      <c r="CM129" s="6"/>
      <c r="CN129" s="164"/>
      <c r="CO129" s="164"/>
      <c r="CP129" s="164"/>
      <c r="CQ129" s="164"/>
      <c r="CS129" s="7"/>
      <c r="CT129" s="6"/>
      <c r="CU129" s="12"/>
      <c r="CV129" s="164"/>
      <c r="CW129" s="164"/>
      <c r="CX129" s="164"/>
      <c r="CY129" s="164"/>
      <c r="DA129" s="7"/>
      <c r="DB129" s="6"/>
      <c r="DC129" s="12"/>
      <c r="DD129" s="164"/>
      <c r="DE129" s="164"/>
      <c r="DF129" s="164"/>
      <c r="DG129" s="164"/>
      <c r="DI129" s="172"/>
      <c r="DJ129" s="12"/>
      <c r="DK129" s="22"/>
      <c r="DL129" s="164"/>
      <c r="DM129" s="164"/>
      <c r="DN129" s="164"/>
      <c r="DO129" s="164"/>
      <c r="DP129" s="22"/>
      <c r="DQ129" s="136"/>
      <c r="DR129" s="22"/>
      <c r="DS129" s="22"/>
      <c r="DT129" s="164"/>
      <c r="DU129" s="164"/>
      <c r="DV129" s="164"/>
      <c r="DW129" s="164"/>
      <c r="DY129" s="7"/>
      <c r="DZ129" s="13"/>
      <c r="EB129" s="164"/>
      <c r="EC129" s="164"/>
      <c r="ED129" s="164"/>
      <c r="EE129" s="164"/>
      <c r="EG129" s="7"/>
      <c r="EH129" s="13"/>
      <c r="EJ129" s="164"/>
      <c r="EK129" s="164"/>
      <c r="EL129" s="164"/>
      <c r="EN129" s="164"/>
      <c r="EO129" s="164"/>
    </row>
    <row r="130" spans="7:145">
      <c r="G130" s="27"/>
      <c r="H130" s="27"/>
      <c r="I130" s="28"/>
      <c r="J130" s="26"/>
      <c r="K130" s="27"/>
      <c r="L130" s="28"/>
      <c r="M130" s="26"/>
      <c r="N130" s="28"/>
      <c r="O130" s="26"/>
      <c r="Q130" s="169"/>
      <c r="S130" s="169"/>
      <c r="T130" s="27"/>
      <c r="U130" s="27"/>
      <c r="V130" s="28"/>
      <c r="W130" s="169"/>
      <c r="X130" s="169"/>
      <c r="Y130" s="27"/>
      <c r="Z130" s="169"/>
      <c r="AA130" s="169"/>
      <c r="AB130" s="28"/>
      <c r="AC130" s="169"/>
      <c r="AD130" s="26"/>
      <c r="AE130" s="169"/>
      <c r="AF130" s="169"/>
      <c r="AG130" s="26"/>
      <c r="AH130" s="169"/>
      <c r="AI130" s="169"/>
      <c r="AJ130" s="397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BD130" s="210"/>
      <c r="BE130" s="210"/>
      <c r="BF130" s="210"/>
      <c r="BG130" s="210"/>
      <c r="BH130" s="210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6"/>
      <c r="CE130" s="164"/>
      <c r="CF130" s="164"/>
      <c r="CG130" s="164"/>
      <c r="CJ130" s="136"/>
      <c r="CK130" s="7"/>
      <c r="CL130" s="6"/>
      <c r="CM130" s="6"/>
      <c r="CN130" s="164"/>
      <c r="CO130" s="164"/>
      <c r="CP130" s="164"/>
      <c r="CQ130" s="164"/>
      <c r="CS130" s="7"/>
      <c r="CT130" s="6"/>
      <c r="CU130" s="12"/>
      <c r="CV130" s="164"/>
      <c r="CW130" s="164"/>
      <c r="CX130" s="164"/>
      <c r="CY130" s="164"/>
      <c r="DA130" s="7"/>
      <c r="DB130" s="6"/>
      <c r="DC130" s="12"/>
      <c r="DD130" s="164"/>
      <c r="DE130" s="164"/>
      <c r="DF130" s="164"/>
      <c r="DG130" s="164"/>
      <c r="DI130" s="172"/>
      <c r="DJ130" s="12"/>
      <c r="DK130" s="22"/>
      <c r="DL130" s="164"/>
      <c r="DM130" s="164"/>
      <c r="DN130" s="164"/>
      <c r="DO130" s="164"/>
      <c r="DP130" s="22"/>
      <c r="DQ130" s="136"/>
      <c r="DR130" s="22"/>
      <c r="DS130" s="22"/>
      <c r="DT130" s="164"/>
      <c r="DU130" s="164"/>
      <c r="DV130" s="164"/>
      <c r="DW130" s="164"/>
      <c r="DY130" s="7"/>
      <c r="DZ130" s="13"/>
      <c r="EB130" s="164"/>
      <c r="EC130" s="164"/>
      <c r="ED130" s="164"/>
      <c r="EE130" s="164"/>
      <c r="EG130" s="7"/>
      <c r="EH130" s="13"/>
      <c r="EJ130" s="164"/>
      <c r="EK130" s="164"/>
      <c r="EL130" s="164"/>
      <c r="EN130" s="164"/>
      <c r="EO130" s="164"/>
    </row>
    <row r="131" spans="7:145">
      <c r="G131" s="27"/>
      <c r="H131" s="27"/>
      <c r="I131" s="28"/>
      <c r="J131" s="26"/>
      <c r="K131" s="27"/>
      <c r="L131" s="28"/>
      <c r="M131" s="26"/>
      <c r="N131" s="28"/>
      <c r="O131" s="26"/>
      <c r="Q131" s="169"/>
      <c r="S131" s="169"/>
      <c r="T131" s="27"/>
      <c r="U131" s="27"/>
      <c r="V131" s="28"/>
      <c r="W131" s="169"/>
      <c r="X131" s="169"/>
      <c r="Y131" s="27"/>
      <c r="Z131" s="169"/>
      <c r="AA131" s="169"/>
      <c r="AB131" s="28"/>
      <c r="AC131" s="169"/>
      <c r="AD131" s="26"/>
      <c r="AE131" s="169"/>
      <c r="AF131" s="169"/>
      <c r="AG131" s="26"/>
      <c r="AH131" s="169"/>
      <c r="AI131" s="169"/>
      <c r="AJ131" s="397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BD131" s="210"/>
      <c r="BE131" s="210"/>
      <c r="BF131" s="210"/>
      <c r="BG131" s="210"/>
      <c r="BH131" s="210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6"/>
      <c r="CE131" s="164"/>
      <c r="CF131" s="164"/>
      <c r="CG131" s="164"/>
      <c r="CJ131" s="136"/>
      <c r="CK131" s="7"/>
      <c r="CL131" s="6"/>
      <c r="CM131" s="6"/>
      <c r="CN131" s="164"/>
      <c r="CO131" s="164"/>
      <c r="CP131" s="164"/>
      <c r="CQ131" s="164"/>
      <c r="CS131" s="7"/>
      <c r="CT131" s="6"/>
      <c r="CU131" s="12"/>
      <c r="CV131" s="164"/>
      <c r="CW131" s="164"/>
      <c r="CX131" s="164"/>
      <c r="CY131" s="164"/>
      <c r="DA131" s="7"/>
      <c r="DB131" s="6"/>
      <c r="DC131" s="12"/>
      <c r="DD131" s="164"/>
      <c r="DE131" s="164"/>
      <c r="DF131" s="164"/>
      <c r="DG131" s="164"/>
      <c r="DI131" s="172"/>
      <c r="DJ131" s="12"/>
      <c r="DK131" s="22"/>
      <c r="DL131" s="164"/>
      <c r="DM131" s="164"/>
      <c r="DN131" s="164"/>
      <c r="DO131" s="164"/>
      <c r="DP131" s="22"/>
      <c r="DQ131" s="136"/>
      <c r="DR131" s="22"/>
      <c r="DS131" s="22"/>
      <c r="DT131" s="164"/>
      <c r="DU131" s="164"/>
      <c r="DV131" s="164"/>
      <c r="DW131" s="164"/>
      <c r="DY131" s="7"/>
      <c r="DZ131" s="13"/>
      <c r="EB131" s="164"/>
      <c r="EC131" s="164"/>
      <c r="ED131" s="164"/>
      <c r="EE131" s="164"/>
      <c r="EG131" s="7"/>
      <c r="EH131" s="13"/>
      <c r="EJ131" s="164"/>
      <c r="EK131" s="164"/>
      <c r="EL131" s="164"/>
      <c r="EN131" s="164"/>
      <c r="EO131" s="164"/>
    </row>
    <row r="132" spans="7:145">
      <c r="G132" s="27"/>
      <c r="H132" s="27"/>
      <c r="I132" s="28"/>
      <c r="J132" s="26"/>
      <c r="K132" s="27"/>
      <c r="L132" s="28"/>
      <c r="M132" s="26"/>
      <c r="N132" s="28"/>
      <c r="O132" s="26"/>
      <c r="Q132" s="169"/>
      <c r="S132" s="169"/>
      <c r="T132" s="27"/>
      <c r="U132" s="27"/>
      <c r="V132" s="28"/>
      <c r="W132" s="169"/>
      <c r="X132" s="169"/>
      <c r="Y132" s="27"/>
      <c r="Z132" s="169"/>
      <c r="AA132" s="169"/>
      <c r="AB132" s="28"/>
      <c r="AC132" s="169"/>
      <c r="AD132" s="26"/>
      <c r="AE132" s="169"/>
      <c r="AF132" s="169"/>
      <c r="AG132" s="26"/>
      <c r="AH132" s="169"/>
      <c r="AI132" s="169"/>
      <c r="AJ132" s="397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BD132" s="210"/>
      <c r="BE132" s="210"/>
      <c r="BF132" s="210"/>
      <c r="BG132" s="210"/>
      <c r="BH132" s="210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6"/>
      <c r="CE132" s="164"/>
      <c r="CF132" s="164"/>
      <c r="CG132" s="164"/>
      <c r="CJ132" s="136"/>
      <c r="CK132" s="7"/>
      <c r="CL132" s="6"/>
      <c r="CM132" s="6"/>
      <c r="CN132" s="164"/>
      <c r="CO132" s="164"/>
      <c r="CP132" s="164"/>
      <c r="CQ132" s="164"/>
      <c r="CS132" s="7"/>
      <c r="CT132" s="6"/>
      <c r="CU132" s="12"/>
      <c r="CV132" s="164"/>
      <c r="CW132" s="164"/>
      <c r="CX132" s="164"/>
      <c r="CY132" s="164"/>
      <c r="DA132" s="7"/>
      <c r="DB132" s="6"/>
      <c r="DC132" s="12"/>
      <c r="DD132" s="164"/>
      <c r="DE132" s="164"/>
      <c r="DF132" s="164"/>
      <c r="DG132" s="164"/>
      <c r="DI132" s="172"/>
      <c r="DJ132" s="12"/>
      <c r="DK132" s="22"/>
      <c r="DL132" s="164"/>
      <c r="DM132" s="164"/>
      <c r="DN132" s="164"/>
      <c r="DO132" s="164"/>
      <c r="DP132" s="22"/>
      <c r="DQ132" s="136"/>
      <c r="DR132" s="22"/>
      <c r="DS132" s="22"/>
      <c r="DT132" s="164"/>
      <c r="DU132" s="164"/>
      <c r="DV132" s="164"/>
      <c r="DW132" s="164"/>
      <c r="DY132" s="7"/>
      <c r="DZ132" s="13"/>
      <c r="EB132" s="164"/>
      <c r="EC132" s="164"/>
      <c r="ED132" s="164"/>
      <c r="EE132" s="164"/>
      <c r="EG132" s="7"/>
      <c r="EH132" s="13"/>
      <c r="EJ132" s="164"/>
      <c r="EK132" s="164"/>
      <c r="EL132" s="164"/>
      <c r="EN132" s="164"/>
      <c r="EO132" s="164"/>
    </row>
    <row r="133" spans="7:145">
      <c r="G133" s="27"/>
      <c r="H133" s="27"/>
      <c r="I133" s="28"/>
      <c r="J133" s="26"/>
      <c r="K133" s="27"/>
      <c r="L133" s="28"/>
      <c r="M133" s="26"/>
      <c r="N133" s="28"/>
      <c r="O133" s="26"/>
      <c r="Q133" s="169"/>
      <c r="S133" s="169"/>
      <c r="T133" s="27"/>
      <c r="U133" s="27"/>
      <c r="V133" s="28"/>
      <c r="W133" s="169"/>
      <c r="X133" s="169"/>
      <c r="Y133" s="27"/>
      <c r="Z133" s="169"/>
      <c r="AA133" s="169"/>
      <c r="AB133" s="28"/>
      <c r="AC133" s="169"/>
      <c r="AD133" s="26"/>
      <c r="AE133" s="169"/>
      <c r="AF133" s="169"/>
      <c r="AG133" s="26"/>
      <c r="AH133" s="169"/>
      <c r="AI133" s="169"/>
      <c r="AJ133" s="397"/>
      <c r="AK133" s="210"/>
      <c r="AL133" s="210"/>
      <c r="AM133" s="210"/>
      <c r="AN133" s="210"/>
      <c r="AO133" s="210"/>
      <c r="AP133" s="210"/>
      <c r="AQ133" s="210"/>
      <c r="AR133" s="210"/>
      <c r="AS133" s="210"/>
      <c r="AT133" s="210"/>
      <c r="AU133" s="210"/>
      <c r="BD133" s="210"/>
      <c r="BE133" s="210"/>
      <c r="BF133" s="210"/>
      <c r="BG133" s="210"/>
      <c r="BH133" s="210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CE133" s="164"/>
      <c r="CF133" s="164"/>
      <c r="CG133" s="164"/>
      <c r="CJ133" s="136"/>
      <c r="CK133" s="7"/>
      <c r="CL133" s="6"/>
      <c r="CM133" s="6"/>
      <c r="CN133" s="164"/>
      <c r="CO133" s="164"/>
      <c r="CP133" s="164"/>
      <c r="CQ133" s="164"/>
      <c r="CS133" s="7"/>
      <c r="CT133" s="6"/>
      <c r="CU133" s="12"/>
      <c r="CV133" s="164"/>
      <c r="CW133" s="164"/>
      <c r="CX133" s="164"/>
      <c r="CY133" s="164"/>
      <c r="DA133" s="7"/>
      <c r="DB133" s="6"/>
      <c r="DC133" s="12"/>
      <c r="DD133" s="164"/>
      <c r="DE133" s="164"/>
      <c r="DF133" s="164"/>
      <c r="DG133" s="164"/>
      <c r="DI133" s="172"/>
      <c r="DJ133" s="12"/>
      <c r="DK133" s="22"/>
      <c r="DL133" s="164"/>
      <c r="DM133" s="164"/>
      <c r="DN133" s="164"/>
      <c r="DO133" s="164"/>
      <c r="DP133" s="22"/>
      <c r="DQ133" s="136"/>
      <c r="DR133" s="22"/>
      <c r="DS133" s="22"/>
      <c r="DT133" s="164"/>
      <c r="DU133" s="164"/>
      <c r="DV133" s="164"/>
      <c r="DW133" s="164"/>
      <c r="DY133" s="7"/>
      <c r="DZ133" s="13"/>
      <c r="EB133" s="164"/>
      <c r="EC133" s="164"/>
      <c r="ED133" s="164"/>
      <c r="EE133" s="164"/>
      <c r="EG133" s="7"/>
      <c r="EH133" s="13"/>
      <c r="EJ133" s="164"/>
      <c r="EK133" s="164"/>
      <c r="EL133" s="164"/>
      <c r="EN133" s="164"/>
      <c r="EO133" s="164"/>
    </row>
    <row r="134" spans="7:145">
      <c r="G134" s="27"/>
      <c r="H134" s="27"/>
      <c r="I134" s="28"/>
      <c r="J134" s="26"/>
      <c r="K134" s="27"/>
      <c r="L134" s="28"/>
      <c r="M134" s="26"/>
      <c r="N134" s="28"/>
      <c r="O134" s="26"/>
      <c r="Q134" s="169"/>
      <c r="S134" s="169"/>
      <c r="T134" s="27"/>
      <c r="U134" s="27"/>
      <c r="V134" s="28"/>
      <c r="W134" s="169"/>
      <c r="X134" s="169"/>
      <c r="Y134" s="27"/>
      <c r="Z134" s="169"/>
      <c r="AA134" s="169"/>
      <c r="AB134" s="28"/>
      <c r="AC134" s="169"/>
      <c r="AD134" s="26"/>
      <c r="AE134" s="169"/>
      <c r="AF134" s="169"/>
      <c r="AG134" s="26"/>
      <c r="AH134" s="169"/>
      <c r="AI134" s="169"/>
      <c r="AJ134" s="397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BD134" s="210"/>
      <c r="BE134" s="210"/>
      <c r="BF134" s="210"/>
      <c r="BG134" s="210"/>
      <c r="BH134" s="210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CE134" s="164"/>
      <c r="CF134" s="164"/>
      <c r="CG134" s="164"/>
      <c r="CJ134" s="136"/>
      <c r="CK134" s="7"/>
      <c r="CL134" s="6"/>
      <c r="CM134" s="6"/>
      <c r="CN134" s="164"/>
      <c r="CO134" s="164"/>
      <c r="CP134" s="164"/>
      <c r="CQ134" s="164"/>
      <c r="CS134" s="7"/>
      <c r="CT134" s="6"/>
      <c r="CU134" s="12"/>
      <c r="CV134" s="164"/>
      <c r="CW134" s="164"/>
      <c r="CX134" s="164"/>
      <c r="CY134" s="164"/>
      <c r="DA134" s="7"/>
      <c r="DB134" s="6"/>
      <c r="DC134" s="12"/>
      <c r="DD134" s="164"/>
      <c r="DE134" s="164"/>
      <c r="DF134" s="164"/>
      <c r="DG134" s="164"/>
      <c r="DI134" s="172"/>
      <c r="DJ134" s="12"/>
      <c r="DK134" s="22"/>
      <c r="DL134" s="164"/>
      <c r="DM134" s="164"/>
      <c r="DN134" s="164"/>
      <c r="DO134" s="164"/>
      <c r="DP134" s="22"/>
      <c r="DQ134" s="136"/>
      <c r="DR134" s="22"/>
      <c r="DS134" s="22"/>
      <c r="DT134" s="164"/>
      <c r="DU134" s="164"/>
      <c r="DV134" s="164"/>
      <c r="DW134" s="164"/>
      <c r="DY134" s="7"/>
      <c r="DZ134" s="13"/>
      <c r="EB134" s="164"/>
      <c r="EC134" s="164"/>
      <c r="ED134" s="164"/>
      <c r="EE134" s="164"/>
      <c r="EG134" s="7"/>
      <c r="EH134" s="13"/>
      <c r="EJ134" s="164"/>
      <c r="EK134" s="164"/>
      <c r="EL134" s="164"/>
      <c r="EN134" s="164"/>
      <c r="EO134" s="164"/>
    </row>
    <row r="135" spans="7:145">
      <c r="G135" s="27"/>
      <c r="H135" s="27"/>
      <c r="I135" s="28"/>
      <c r="J135" s="26"/>
      <c r="K135" s="27"/>
      <c r="L135" s="28"/>
      <c r="M135" s="26"/>
      <c r="N135" s="28"/>
      <c r="O135" s="26"/>
      <c r="Q135" s="169"/>
      <c r="S135" s="169"/>
      <c r="T135" s="27"/>
      <c r="U135" s="27"/>
      <c r="V135" s="28"/>
      <c r="W135" s="169"/>
      <c r="X135" s="169"/>
      <c r="Y135" s="27"/>
      <c r="Z135" s="169"/>
      <c r="AA135" s="169"/>
      <c r="AB135" s="28"/>
      <c r="AC135" s="169"/>
      <c r="AD135" s="26"/>
      <c r="AE135" s="169"/>
      <c r="AF135" s="169"/>
      <c r="AG135" s="26"/>
      <c r="AH135" s="169"/>
      <c r="AI135" s="169"/>
      <c r="AJ135" s="397"/>
      <c r="AK135" s="210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BD135" s="210"/>
      <c r="BE135" s="210"/>
      <c r="BF135" s="210"/>
      <c r="BG135" s="210"/>
      <c r="BH135" s="210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CE135" s="164"/>
      <c r="CF135" s="164"/>
      <c r="CG135" s="164"/>
      <c r="CJ135" s="136"/>
      <c r="CK135" s="7"/>
      <c r="CL135" s="6"/>
      <c r="CM135" s="6"/>
      <c r="CN135" s="164"/>
      <c r="CO135" s="164"/>
      <c r="CP135" s="164"/>
      <c r="CQ135" s="164"/>
      <c r="CS135" s="7"/>
      <c r="CT135" s="6"/>
      <c r="CU135" s="12"/>
      <c r="CV135" s="164"/>
      <c r="CW135" s="164"/>
      <c r="CX135" s="164"/>
      <c r="CY135" s="164"/>
      <c r="DA135" s="7"/>
      <c r="DB135" s="6"/>
      <c r="DC135" s="12"/>
      <c r="DD135" s="164"/>
      <c r="DE135" s="164"/>
      <c r="DF135" s="164"/>
      <c r="DG135" s="164"/>
      <c r="DI135" s="172"/>
      <c r="DJ135" s="12"/>
      <c r="DK135" s="22"/>
      <c r="DL135" s="164"/>
      <c r="DM135" s="164"/>
      <c r="DN135" s="164"/>
      <c r="DO135" s="164"/>
      <c r="DP135" s="22"/>
      <c r="DQ135" s="136"/>
      <c r="DR135" s="22"/>
      <c r="DS135" s="22"/>
      <c r="DT135" s="164"/>
      <c r="DU135" s="164"/>
      <c r="DV135" s="164"/>
      <c r="DW135" s="164"/>
      <c r="DY135" s="7"/>
      <c r="DZ135" s="13"/>
      <c r="EB135" s="164"/>
      <c r="EC135" s="164"/>
      <c r="ED135" s="164"/>
      <c r="EE135" s="164"/>
      <c r="EG135" s="7"/>
      <c r="EH135" s="13"/>
      <c r="EJ135" s="164"/>
      <c r="EK135" s="164"/>
      <c r="EL135" s="164"/>
      <c r="EN135" s="164"/>
      <c r="EO135" s="164"/>
    </row>
    <row r="136" spans="7:145">
      <c r="G136" s="27"/>
      <c r="H136" s="27"/>
      <c r="I136" s="28"/>
      <c r="J136" s="26"/>
      <c r="K136" s="27"/>
      <c r="L136" s="28"/>
      <c r="M136" s="26"/>
      <c r="N136" s="28"/>
      <c r="O136" s="26"/>
      <c r="Q136" s="169"/>
      <c r="S136" s="169"/>
      <c r="T136" s="27"/>
      <c r="U136" s="27"/>
      <c r="V136" s="28"/>
      <c r="W136" s="169"/>
      <c r="X136" s="169"/>
      <c r="Y136" s="27"/>
      <c r="Z136" s="169"/>
      <c r="AA136" s="169"/>
      <c r="AB136" s="28"/>
      <c r="AC136" s="169"/>
      <c r="AD136" s="26"/>
      <c r="AE136" s="169"/>
      <c r="AF136" s="169"/>
      <c r="AG136" s="26"/>
      <c r="AH136" s="169"/>
      <c r="AI136" s="169"/>
      <c r="AJ136" s="397"/>
      <c r="AK136" s="210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BD136" s="210"/>
      <c r="BE136" s="210"/>
      <c r="BF136" s="210"/>
      <c r="BG136" s="210"/>
      <c r="BH136" s="210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CE136" s="164"/>
      <c r="CF136" s="164"/>
      <c r="CG136" s="164"/>
      <c r="CJ136" s="136"/>
      <c r="CK136" s="7"/>
      <c r="CL136" s="6"/>
      <c r="CM136" s="6"/>
      <c r="CN136" s="164"/>
      <c r="CO136" s="164"/>
      <c r="CP136" s="164"/>
      <c r="CQ136" s="164"/>
      <c r="CS136" s="7"/>
      <c r="CT136" s="6"/>
      <c r="CU136" s="12"/>
      <c r="CV136" s="164"/>
      <c r="CW136" s="164"/>
      <c r="CX136" s="164"/>
      <c r="CY136" s="164"/>
      <c r="DA136" s="7"/>
      <c r="DB136" s="6"/>
      <c r="DC136" s="12"/>
      <c r="DD136" s="164"/>
      <c r="DE136" s="164"/>
      <c r="DF136" s="164"/>
      <c r="DG136" s="164"/>
      <c r="DI136" s="172"/>
      <c r="DJ136" s="12"/>
      <c r="DK136" s="22"/>
      <c r="DL136" s="164"/>
      <c r="DM136" s="164"/>
      <c r="DN136" s="164"/>
      <c r="DO136" s="164"/>
      <c r="DP136" s="22"/>
      <c r="DQ136" s="136"/>
      <c r="DR136" s="22"/>
      <c r="DS136" s="22"/>
      <c r="DT136" s="164"/>
      <c r="DU136" s="164"/>
      <c r="DV136" s="164"/>
      <c r="DW136" s="164"/>
      <c r="DY136" s="7"/>
      <c r="DZ136" s="13"/>
      <c r="EB136" s="164"/>
      <c r="EC136" s="164"/>
      <c r="ED136" s="164"/>
      <c r="EE136" s="164"/>
      <c r="EG136" s="7"/>
      <c r="EH136" s="13"/>
      <c r="EJ136" s="164"/>
      <c r="EK136" s="164"/>
      <c r="EL136" s="164"/>
      <c r="EN136" s="164"/>
      <c r="EO136" s="164"/>
    </row>
    <row r="137" spans="7:145">
      <c r="G137" s="27"/>
      <c r="H137" s="27"/>
      <c r="I137" s="28"/>
      <c r="J137" s="26"/>
      <c r="K137" s="27"/>
      <c r="L137" s="28"/>
      <c r="M137" s="26"/>
      <c r="N137" s="28"/>
      <c r="O137" s="26"/>
      <c r="Q137" s="169"/>
      <c r="S137" s="169"/>
      <c r="T137" s="27"/>
      <c r="U137" s="27"/>
      <c r="V137" s="28"/>
      <c r="W137" s="169"/>
      <c r="X137" s="169"/>
      <c r="Y137" s="27"/>
      <c r="Z137" s="169"/>
      <c r="AA137" s="169"/>
      <c r="AB137" s="28"/>
      <c r="AC137" s="169"/>
      <c r="AD137" s="26"/>
      <c r="AE137" s="169"/>
      <c r="AF137" s="169"/>
      <c r="AG137" s="26"/>
      <c r="AH137" s="169"/>
      <c r="AI137" s="169"/>
      <c r="AJ137" s="397"/>
      <c r="AK137" s="210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BD137" s="210"/>
      <c r="BE137" s="210"/>
      <c r="BF137" s="210"/>
      <c r="BG137" s="210"/>
      <c r="BH137" s="210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CE137" s="164"/>
      <c r="CF137" s="164"/>
      <c r="CG137" s="164"/>
      <c r="CJ137" s="136"/>
      <c r="CK137" s="7"/>
      <c r="CL137" s="6"/>
      <c r="CM137" s="6"/>
      <c r="CN137" s="164"/>
      <c r="CO137" s="164"/>
      <c r="CP137" s="164"/>
      <c r="CQ137" s="164"/>
      <c r="CS137" s="7"/>
      <c r="CT137" s="6"/>
      <c r="CU137" s="12"/>
      <c r="CV137" s="164"/>
      <c r="CW137" s="164"/>
      <c r="CX137" s="164"/>
      <c r="CY137" s="164"/>
      <c r="DA137" s="7"/>
      <c r="DB137" s="6"/>
      <c r="DC137" s="12"/>
      <c r="DD137" s="164"/>
      <c r="DE137" s="164"/>
      <c r="DF137" s="164"/>
      <c r="DG137" s="164"/>
      <c r="DI137" s="172"/>
      <c r="DJ137" s="12"/>
      <c r="DK137" s="22"/>
      <c r="DL137" s="164"/>
      <c r="DM137" s="164"/>
      <c r="DN137" s="164"/>
      <c r="DO137" s="164"/>
      <c r="DP137" s="22"/>
      <c r="DQ137" s="136"/>
      <c r="DR137" s="22"/>
      <c r="DS137" s="22"/>
      <c r="DT137" s="164"/>
      <c r="DU137" s="164"/>
      <c r="DV137" s="164"/>
      <c r="DW137" s="164"/>
      <c r="DY137" s="7"/>
      <c r="DZ137" s="13"/>
      <c r="EB137" s="164"/>
      <c r="EC137" s="164"/>
      <c r="ED137" s="164"/>
      <c r="EE137" s="164"/>
      <c r="EG137" s="7"/>
      <c r="EH137" s="13"/>
      <c r="EJ137" s="164"/>
      <c r="EK137" s="164"/>
      <c r="EL137" s="164"/>
      <c r="EN137" s="164"/>
      <c r="EO137" s="164"/>
    </row>
    <row r="138" spans="7:145">
      <c r="G138" s="27"/>
      <c r="H138" s="27"/>
      <c r="I138" s="28"/>
      <c r="J138" s="26"/>
      <c r="K138" s="27"/>
      <c r="L138" s="28"/>
      <c r="M138" s="26"/>
      <c r="N138" s="28"/>
      <c r="O138" s="26"/>
      <c r="Q138" s="169"/>
      <c r="S138" s="169"/>
      <c r="T138" s="27"/>
      <c r="U138" s="27"/>
      <c r="V138" s="28"/>
      <c r="W138" s="169"/>
      <c r="X138" s="169"/>
      <c r="Y138" s="27"/>
      <c r="Z138" s="169"/>
      <c r="AA138" s="169"/>
      <c r="AB138" s="28"/>
      <c r="AC138" s="169"/>
      <c r="AD138" s="26"/>
      <c r="AE138" s="169"/>
      <c r="AF138" s="169"/>
      <c r="AG138" s="26"/>
      <c r="AH138" s="169"/>
      <c r="AI138" s="169"/>
      <c r="AJ138" s="397"/>
      <c r="AK138" s="210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BD138" s="210"/>
      <c r="BE138" s="210"/>
      <c r="BF138" s="210"/>
      <c r="BG138" s="210"/>
      <c r="BH138" s="210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CE138" s="164"/>
      <c r="CF138" s="164"/>
      <c r="CG138" s="164"/>
      <c r="CJ138" s="136"/>
      <c r="CK138" s="7"/>
      <c r="CL138" s="6"/>
      <c r="CM138" s="6"/>
      <c r="CN138" s="164"/>
      <c r="CO138" s="164"/>
      <c r="CP138" s="164"/>
      <c r="CQ138" s="164"/>
      <c r="CS138" s="7"/>
      <c r="CT138" s="6"/>
      <c r="CU138" s="12"/>
      <c r="CV138" s="164"/>
      <c r="CW138" s="164"/>
      <c r="CX138" s="164"/>
      <c r="CY138" s="164"/>
      <c r="DA138" s="7"/>
      <c r="DB138" s="6"/>
      <c r="DC138" s="12"/>
      <c r="DD138" s="164"/>
      <c r="DE138" s="164"/>
      <c r="DF138" s="164"/>
      <c r="DG138" s="164"/>
      <c r="DI138" s="172"/>
      <c r="DJ138" s="12"/>
      <c r="DK138" s="22"/>
      <c r="DL138" s="164"/>
      <c r="DM138" s="164"/>
      <c r="DN138" s="164"/>
      <c r="DO138" s="164"/>
      <c r="DP138" s="22"/>
      <c r="DQ138" s="136"/>
      <c r="DR138" s="22"/>
      <c r="DS138" s="22"/>
      <c r="DT138" s="164"/>
      <c r="DU138" s="164"/>
      <c r="DV138" s="164"/>
      <c r="DW138" s="164"/>
      <c r="DY138" s="7"/>
      <c r="DZ138" s="13"/>
      <c r="EB138" s="164"/>
      <c r="EC138" s="164"/>
      <c r="ED138" s="164"/>
      <c r="EE138" s="164"/>
      <c r="EG138" s="7"/>
      <c r="EH138" s="13"/>
      <c r="EJ138" s="164"/>
      <c r="EK138" s="164"/>
      <c r="EL138" s="164"/>
      <c r="EN138" s="164"/>
      <c r="EO138" s="164"/>
    </row>
    <row r="139" spans="7:145">
      <c r="G139" s="27"/>
      <c r="H139" s="27"/>
      <c r="I139" s="28"/>
      <c r="J139" s="26"/>
      <c r="K139" s="27"/>
      <c r="L139" s="28"/>
      <c r="M139" s="26"/>
      <c r="N139" s="28"/>
      <c r="O139" s="26"/>
      <c r="Q139" s="169"/>
      <c r="S139" s="169"/>
      <c r="T139" s="27"/>
      <c r="U139" s="27"/>
      <c r="V139" s="28"/>
      <c r="W139" s="169"/>
      <c r="X139" s="169"/>
      <c r="Y139" s="27"/>
      <c r="Z139" s="169"/>
      <c r="AA139" s="169"/>
      <c r="AB139" s="28"/>
      <c r="AC139" s="169"/>
      <c r="AD139" s="26"/>
      <c r="AE139" s="169"/>
      <c r="AF139" s="169"/>
      <c r="AG139" s="26"/>
      <c r="AH139" s="169"/>
      <c r="AI139" s="169"/>
      <c r="AJ139" s="397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BD139" s="210"/>
      <c r="BE139" s="210"/>
      <c r="BF139" s="210"/>
      <c r="BG139" s="210"/>
      <c r="BH139" s="210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CE139" s="164"/>
      <c r="CF139" s="164"/>
      <c r="CG139" s="164"/>
      <c r="CJ139" s="136"/>
      <c r="CK139" s="7"/>
      <c r="CL139" s="6"/>
      <c r="CM139" s="6"/>
      <c r="CN139" s="164"/>
      <c r="CO139" s="164"/>
      <c r="CP139" s="164"/>
      <c r="CQ139" s="164"/>
      <c r="CS139" s="7"/>
      <c r="CT139" s="6"/>
      <c r="CU139" s="12"/>
      <c r="CV139" s="164"/>
      <c r="CW139" s="164"/>
      <c r="CX139" s="164"/>
      <c r="CY139" s="164"/>
      <c r="DA139" s="7"/>
      <c r="DB139" s="6"/>
      <c r="DC139" s="12"/>
      <c r="DD139" s="164"/>
      <c r="DE139" s="164"/>
      <c r="DF139" s="164"/>
      <c r="DG139" s="164"/>
      <c r="DI139" s="172"/>
      <c r="DJ139" s="12"/>
      <c r="DK139" s="22"/>
      <c r="DL139" s="164"/>
      <c r="DM139" s="164"/>
      <c r="DN139" s="164"/>
      <c r="DO139" s="164"/>
      <c r="DP139" s="22"/>
      <c r="DQ139" s="136"/>
      <c r="DR139" s="22"/>
      <c r="DS139" s="22"/>
      <c r="DT139" s="164"/>
      <c r="DU139" s="164"/>
      <c r="DV139" s="164"/>
      <c r="DW139" s="164"/>
      <c r="DY139" s="7"/>
      <c r="DZ139" s="13"/>
      <c r="EB139" s="164"/>
      <c r="EC139" s="164"/>
      <c r="ED139" s="164"/>
      <c r="EE139" s="164"/>
      <c r="EG139" s="7"/>
      <c r="EH139" s="13"/>
      <c r="EJ139" s="164"/>
      <c r="EK139" s="164"/>
      <c r="EL139" s="164"/>
      <c r="EN139" s="164"/>
      <c r="EO139" s="164"/>
    </row>
    <row r="140" spans="7:145">
      <c r="G140" s="27"/>
      <c r="H140" s="27"/>
      <c r="I140" s="28"/>
      <c r="J140" s="26"/>
      <c r="K140" s="27"/>
      <c r="L140" s="28"/>
      <c r="M140" s="26"/>
      <c r="N140" s="28"/>
      <c r="O140" s="26"/>
      <c r="Q140" s="169"/>
      <c r="S140" s="169"/>
      <c r="T140" s="27"/>
      <c r="U140" s="27"/>
      <c r="V140" s="28"/>
      <c r="W140" s="169"/>
      <c r="X140" s="169"/>
      <c r="Y140" s="27"/>
      <c r="Z140" s="169"/>
      <c r="AA140" s="169"/>
      <c r="AB140" s="28"/>
      <c r="AC140" s="169"/>
      <c r="AD140" s="26"/>
      <c r="AE140" s="169"/>
      <c r="AF140" s="169"/>
      <c r="AG140" s="26"/>
      <c r="AH140" s="169"/>
      <c r="AI140" s="169"/>
      <c r="AJ140" s="397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BD140" s="210"/>
      <c r="BE140" s="210"/>
      <c r="BF140" s="210"/>
      <c r="BG140" s="210"/>
      <c r="BH140" s="210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CE140" s="164"/>
      <c r="CF140" s="164"/>
      <c r="CG140" s="164"/>
      <c r="CJ140" s="136"/>
      <c r="CK140" s="7"/>
      <c r="CL140" s="6"/>
      <c r="CM140" s="6"/>
      <c r="CN140" s="164"/>
      <c r="CO140" s="164"/>
      <c r="CP140" s="164"/>
      <c r="CQ140" s="164"/>
      <c r="CS140" s="7"/>
      <c r="CT140" s="6"/>
      <c r="CU140" s="12"/>
      <c r="CV140" s="164"/>
      <c r="CW140" s="164"/>
      <c r="CX140" s="164"/>
      <c r="CY140" s="164"/>
      <c r="DA140" s="7"/>
      <c r="DB140" s="6"/>
      <c r="DC140" s="12"/>
      <c r="DD140" s="164"/>
      <c r="DE140" s="164"/>
      <c r="DF140" s="164"/>
      <c r="DG140" s="164"/>
      <c r="DI140" s="172"/>
      <c r="DJ140" s="12"/>
      <c r="DK140" s="22"/>
      <c r="DL140" s="164"/>
      <c r="DM140" s="164"/>
      <c r="DN140" s="164"/>
      <c r="DO140" s="164"/>
      <c r="DP140" s="22"/>
      <c r="DQ140" s="136"/>
      <c r="DR140" s="22"/>
      <c r="DS140" s="22"/>
      <c r="DT140" s="164"/>
      <c r="DU140" s="164"/>
      <c r="DV140" s="164"/>
      <c r="DW140" s="164"/>
      <c r="DY140" s="7"/>
      <c r="DZ140" s="13"/>
      <c r="EB140" s="164"/>
      <c r="EC140" s="164"/>
      <c r="ED140" s="164"/>
      <c r="EE140" s="164"/>
      <c r="EG140" s="7"/>
      <c r="EH140" s="13"/>
      <c r="EJ140" s="164"/>
      <c r="EK140" s="164"/>
      <c r="EL140" s="164"/>
      <c r="EN140" s="164"/>
      <c r="EO140" s="164"/>
    </row>
    <row r="141" spans="7:145">
      <c r="G141" s="27"/>
      <c r="H141" s="27"/>
      <c r="I141" s="28"/>
      <c r="J141" s="26"/>
      <c r="K141" s="27"/>
      <c r="L141" s="28"/>
      <c r="M141" s="26"/>
      <c r="N141" s="28"/>
      <c r="O141" s="26"/>
      <c r="Q141" s="169"/>
      <c r="S141" s="169"/>
      <c r="T141" s="27"/>
      <c r="U141" s="27"/>
      <c r="V141" s="28"/>
      <c r="W141" s="169"/>
      <c r="X141" s="169"/>
      <c r="Y141" s="27"/>
      <c r="Z141" s="169"/>
      <c r="AA141" s="169"/>
      <c r="AB141" s="28"/>
      <c r="AC141" s="169"/>
      <c r="AD141" s="26"/>
      <c r="AE141" s="169"/>
      <c r="AF141" s="169"/>
      <c r="AG141" s="26"/>
      <c r="AH141" s="169"/>
      <c r="AI141" s="169"/>
      <c r="AJ141" s="397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BD141" s="210"/>
      <c r="BE141" s="210"/>
      <c r="BF141" s="210"/>
      <c r="BG141" s="210"/>
      <c r="BH141" s="210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CE141" s="164"/>
      <c r="CF141" s="164"/>
      <c r="CG141" s="164"/>
      <c r="CJ141" s="136"/>
      <c r="CK141" s="7"/>
      <c r="CL141" s="6"/>
      <c r="CM141" s="6"/>
      <c r="CN141" s="164"/>
      <c r="CO141" s="164"/>
      <c r="CP141" s="164"/>
      <c r="CQ141" s="164"/>
      <c r="CS141" s="7"/>
      <c r="CT141" s="6"/>
      <c r="CU141" s="12"/>
      <c r="CV141" s="164"/>
      <c r="CW141" s="164"/>
      <c r="CX141" s="164"/>
      <c r="CY141" s="164"/>
      <c r="DA141" s="7"/>
      <c r="DB141" s="6"/>
      <c r="DC141" s="12"/>
      <c r="DD141" s="164"/>
      <c r="DE141" s="164"/>
      <c r="DF141" s="164"/>
      <c r="DG141" s="164"/>
      <c r="DI141" s="172"/>
      <c r="DJ141" s="12"/>
      <c r="DK141" s="22"/>
      <c r="DL141" s="164"/>
      <c r="DM141" s="164"/>
      <c r="DN141" s="164"/>
      <c r="DO141" s="164"/>
      <c r="DP141" s="22"/>
      <c r="DQ141" s="136"/>
      <c r="DR141" s="22"/>
      <c r="DS141" s="22"/>
      <c r="DT141" s="164"/>
      <c r="DU141" s="164"/>
      <c r="DV141" s="164"/>
      <c r="DW141" s="164"/>
      <c r="DY141" s="7"/>
      <c r="DZ141" s="13"/>
      <c r="EB141" s="164"/>
      <c r="EC141" s="164"/>
      <c r="ED141" s="164"/>
      <c r="EE141" s="164"/>
      <c r="EG141" s="7"/>
      <c r="EH141" s="13"/>
      <c r="EJ141" s="164"/>
      <c r="EK141" s="164"/>
      <c r="EL141" s="164"/>
      <c r="EN141" s="164"/>
      <c r="EO141" s="164"/>
    </row>
    <row r="142" spans="7:145">
      <c r="G142" s="27"/>
      <c r="H142" s="27"/>
      <c r="I142" s="28"/>
      <c r="J142" s="26"/>
      <c r="K142" s="27"/>
      <c r="L142" s="28"/>
      <c r="M142" s="26"/>
      <c r="N142" s="28"/>
      <c r="O142" s="26"/>
      <c r="Q142" s="169"/>
      <c r="S142" s="169"/>
      <c r="T142" s="27"/>
      <c r="U142" s="27"/>
      <c r="V142" s="28"/>
      <c r="W142" s="169"/>
      <c r="X142" s="169"/>
      <c r="Y142" s="27"/>
      <c r="Z142" s="169"/>
      <c r="AA142" s="169"/>
      <c r="AB142" s="28"/>
      <c r="AC142" s="169"/>
      <c r="AD142" s="26"/>
      <c r="AE142" s="169"/>
      <c r="AF142" s="169"/>
      <c r="AG142" s="26"/>
      <c r="AH142" s="169"/>
      <c r="AI142" s="169"/>
      <c r="AJ142" s="397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BD142" s="210"/>
      <c r="BE142" s="210"/>
      <c r="BF142" s="210"/>
      <c r="BG142" s="210"/>
      <c r="BH142" s="210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CE142" s="164"/>
      <c r="CF142" s="164"/>
      <c r="CG142" s="164"/>
      <c r="CJ142" s="136"/>
      <c r="CK142" s="7"/>
      <c r="CL142" s="6"/>
      <c r="CM142" s="6"/>
      <c r="CN142" s="164"/>
      <c r="CO142" s="164"/>
      <c r="CP142" s="164"/>
      <c r="CQ142" s="164"/>
      <c r="CS142" s="7"/>
      <c r="CT142" s="6"/>
      <c r="CU142" s="12"/>
      <c r="CV142" s="164"/>
      <c r="CW142" s="164"/>
      <c r="CX142" s="164"/>
      <c r="CY142" s="164"/>
      <c r="DA142" s="7"/>
      <c r="DB142" s="6"/>
      <c r="DC142" s="12"/>
      <c r="DD142" s="164"/>
      <c r="DE142" s="164"/>
      <c r="DF142" s="164"/>
      <c r="DG142" s="164"/>
      <c r="DI142" s="172"/>
      <c r="DJ142" s="12"/>
      <c r="DK142" s="22"/>
      <c r="DL142" s="164"/>
      <c r="DM142" s="164"/>
      <c r="DN142" s="164"/>
      <c r="DO142" s="164"/>
      <c r="DP142" s="22"/>
      <c r="DQ142" s="136"/>
      <c r="DR142" s="22"/>
      <c r="DS142" s="22"/>
      <c r="DT142" s="164"/>
      <c r="DU142" s="164"/>
      <c r="DV142" s="164"/>
      <c r="DW142" s="164"/>
      <c r="DY142" s="7"/>
      <c r="DZ142" s="13"/>
      <c r="EB142" s="164"/>
      <c r="EC142" s="164"/>
      <c r="ED142" s="164"/>
      <c r="EE142" s="164"/>
      <c r="EG142" s="7"/>
      <c r="EH142" s="13"/>
      <c r="EJ142" s="164"/>
      <c r="EK142" s="164"/>
      <c r="EL142" s="164"/>
      <c r="EN142" s="164"/>
      <c r="EO142" s="164"/>
    </row>
    <row r="143" spans="7:145">
      <c r="G143" s="27"/>
      <c r="H143" s="27"/>
      <c r="I143" s="28"/>
      <c r="J143" s="26"/>
      <c r="K143" s="27"/>
      <c r="L143" s="28"/>
      <c r="M143" s="26"/>
      <c r="N143" s="28"/>
      <c r="O143" s="26"/>
      <c r="Q143" s="169"/>
      <c r="S143" s="169"/>
      <c r="T143" s="27"/>
      <c r="U143" s="27"/>
      <c r="V143" s="28"/>
      <c r="W143" s="169"/>
      <c r="X143" s="169"/>
      <c r="Y143" s="27"/>
      <c r="Z143" s="169"/>
      <c r="AA143" s="169"/>
      <c r="AB143" s="28"/>
      <c r="AC143" s="169"/>
      <c r="AD143" s="26"/>
      <c r="AE143" s="169"/>
      <c r="AF143" s="169"/>
      <c r="AG143" s="26"/>
      <c r="AH143" s="169"/>
      <c r="AI143" s="169"/>
      <c r="AJ143" s="397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BD143" s="210"/>
      <c r="BE143" s="210"/>
      <c r="BF143" s="210"/>
      <c r="BG143" s="210"/>
      <c r="BH143" s="210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CE143" s="164"/>
      <c r="CF143" s="164"/>
      <c r="CG143" s="164"/>
      <c r="CJ143" s="136"/>
      <c r="CK143" s="7"/>
      <c r="CL143" s="6"/>
      <c r="CM143" s="6"/>
      <c r="CN143" s="164"/>
      <c r="CO143" s="164"/>
      <c r="CP143" s="164"/>
      <c r="CQ143" s="164"/>
      <c r="CS143" s="7"/>
      <c r="CT143" s="6"/>
      <c r="CU143" s="12"/>
      <c r="CV143" s="164"/>
      <c r="CW143" s="164"/>
      <c r="CX143" s="164"/>
      <c r="CY143" s="164"/>
      <c r="DA143" s="7"/>
      <c r="DB143" s="6"/>
      <c r="DC143" s="12"/>
      <c r="DD143" s="164"/>
      <c r="DE143" s="164"/>
      <c r="DF143" s="164"/>
      <c r="DG143" s="164"/>
      <c r="DI143" s="172"/>
      <c r="DJ143" s="12"/>
      <c r="DK143" s="22"/>
      <c r="DL143" s="164"/>
      <c r="DM143" s="164"/>
      <c r="DN143" s="164"/>
      <c r="DO143" s="164"/>
      <c r="DP143" s="22"/>
      <c r="DQ143" s="136"/>
      <c r="DR143" s="22"/>
      <c r="DS143" s="22"/>
      <c r="DT143" s="164"/>
      <c r="DU143" s="164"/>
      <c r="DV143" s="164"/>
      <c r="DW143" s="164"/>
      <c r="DY143" s="7"/>
      <c r="DZ143" s="13"/>
      <c r="EB143" s="164"/>
      <c r="EC143" s="164"/>
      <c r="ED143" s="164"/>
      <c r="EE143" s="164"/>
      <c r="EG143" s="7"/>
      <c r="EH143" s="13"/>
      <c r="EJ143" s="164"/>
      <c r="EK143" s="164"/>
      <c r="EL143" s="164"/>
      <c r="EN143" s="164"/>
      <c r="EO143" s="164"/>
    </row>
    <row r="144" spans="7:145">
      <c r="G144" s="27"/>
      <c r="H144" s="27"/>
      <c r="I144" s="28"/>
      <c r="J144" s="26"/>
      <c r="K144" s="27"/>
      <c r="L144" s="28"/>
      <c r="M144" s="26"/>
      <c r="N144" s="28"/>
      <c r="O144" s="26"/>
      <c r="Q144" s="169"/>
      <c r="S144" s="169"/>
      <c r="T144" s="27"/>
      <c r="U144" s="27"/>
      <c r="V144" s="28"/>
      <c r="W144" s="169"/>
      <c r="X144" s="169"/>
      <c r="Y144" s="27"/>
      <c r="Z144" s="169"/>
      <c r="AA144" s="169"/>
      <c r="AB144" s="28"/>
      <c r="AC144" s="169"/>
      <c r="AD144" s="26"/>
      <c r="AE144" s="169"/>
      <c r="AF144" s="169"/>
      <c r="AG144" s="26"/>
      <c r="AH144" s="169"/>
      <c r="AI144" s="169"/>
      <c r="AJ144" s="397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BD144" s="210"/>
      <c r="BE144" s="210"/>
      <c r="BF144" s="210"/>
      <c r="BG144" s="210"/>
      <c r="BH144" s="210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CE144" s="164"/>
      <c r="CF144" s="164"/>
      <c r="CG144" s="164"/>
      <c r="CJ144" s="136"/>
      <c r="CK144" s="7"/>
      <c r="CL144" s="6"/>
      <c r="CM144" s="6"/>
      <c r="CN144" s="164"/>
      <c r="CO144" s="164"/>
      <c r="CP144" s="164"/>
      <c r="CQ144" s="164"/>
      <c r="CS144" s="7"/>
      <c r="CT144" s="6"/>
      <c r="CU144" s="12"/>
      <c r="CV144" s="164"/>
      <c r="CW144" s="164"/>
      <c r="CX144" s="164"/>
      <c r="CY144" s="164"/>
      <c r="DA144" s="7"/>
      <c r="DB144" s="6"/>
      <c r="DC144" s="12"/>
      <c r="DD144" s="164"/>
      <c r="DE144" s="164"/>
      <c r="DF144" s="164"/>
      <c r="DG144" s="164"/>
      <c r="DI144" s="172"/>
      <c r="DJ144" s="12"/>
      <c r="DK144" s="22"/>
      <c r="DL144" s="164"/>
      <c r="DM144" s="164"/>
      <c r="DN144" s="164"/>
      <c r="DO144" s="164"/>
      <c r="DP144" s="22"/>
      <c r="DQ144" s="136"/>
      <c r="DR144" s="22"/>
      <c r="DS144" s="22"/>
      <c r="DT144" s="164"/>
      <c r="DU144" s="164"/>
      <c r="DV144" s="164"/>
      <c r="DW144" s="164"/>
      <c r="DY144" s="7"/>
      <c r="DZ144" s="13"/>
      <c r="EB144" s="164"/>
      <c r="EC144" s="164"/>
      <c r="ED144" s="164"/>
      <c r="EE144" s="164"/>
      <c r="EG144" s="7"/>
      <c r="EH144" s="13"/>
      <c r="EJ144" s="164"/>
      <c r="EK144" s="164"/>
      <c r="EL144" s="164"/>
      <c r="EN144" s="164"/>
      <c r="EO144" s="164"/>
    </row>
    <row r="145" spans="7:145">
      <c r="G145" s="27"/>
      <c r="H145" s="27"/>
      <c r="I145" s="28"/>
      <c r="J145" s="26"/>
      <c r="K145" s="27"/>
      <c r="L145" s="28"/>
      <c r="M145" s="26"/>
      <c r="N145" s="28"/>
      <c r="O145" s="26"/>
      <c r="Q145" s="169"/>
      <c r="S145" s="169"/>
      <c r="T145" s="27"/>
      <c r="U145" s="27"/>
      <c r="V145" s="28"/>
      <c r="W145" s="169"/>
      <c r="X145" s="169"/>
      <c r="Y145" s="27"/>
      <c r="Z145" s="169"/>
      <c r="AA145" s="169"/>
      <c r="AB145" s="28"/>
      <c r="AC145" s="169"/>
      <c r="AD145" s="26"/>
      <c r="AE145" s="169"/>
      <c r="AF145" s="169"/>
      <c r="AG145" s="26"/>
      <c r="AH145" s="169"/>
      <c r="AI145" s="169"/>
      <c r="AJ145" s="397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BD145" s="210"/>
      <c r="BE145" s="210"/>
      <c r="BF145" s="210"/>
      <c r="BG145" s="210"/>
      <c r="BH145" s="210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CE145" s="164"/>
      <c r="CF145" s="164"/>
      <c r="CG145" s="164"/>
      <c r="CJ145" s="136"/>
      <c r="CK145" s="7"/>
      <c r="CL145" s="6"/>
      <c r="CM145" s="6"/>
      <c r="CN145" s="164"/>
      <c r="CO145" s="164"/>
      <c r="CP145" s="164"/>
      <c r="CQ145" s="164"/>
      <c r="CS145" s="7"/>
      <c r="CT145" s="6"/>
      <c r="CU145" s="12"/>
      <c r="CV145" s="164"/>
      <c r="CW145" s="164"/>
      <c r="CX145" s="164"/>
      <c r="CY145" s="164"/>
      <c r="DA145" s="7"/>
      <c r="DB145" s="6"/>
      <c r="DC145" s="12"/>
      <c r="DD145" s="164"/>
      <c r="DE145" s="164"/>
      <c r="DF145" s="164"/>
      <c r="DG145" s="164"/>
      <c r="DI145" s="172"/>
      <c r="DJ145" s="12"/>
      <c r="DK145" s="22"/>
      <c r="DL145" s="164"/>
      <c r="DM145" s="164"/>
      <c r="DN145" s="164"/>
      <c r="DO145" s="164"/>
      <c r="DP145" s="22"/>
      <c r="DQ145" s="136"/>
      <c r="DR145" s="22"/>
      <c r="DS145" s="22"/>
      <c r="DT145" s="164"/>
      <c r="DU145" s="164"/>
      <c r="DV145" s="164"/>
      <c r="DW145" s="164"/>
      <c r="DY145" s="7"/>
      <c r="DZ145" s="13"/>
      <c r="EB145" s="164"/>
      <c r="EC145" s="164"/>
      <c r="ED145" s="164"/>
      <c r="EE145" s="164"/>
      <c r="EG145" s="7"/>
      <c r="EH145" s="13"/>
      <c r="EJ145" s="164"/>
      <c r="EK145" s="164"/>
      <c r="EL145" s="164"/>
      <c r="EN145" s="164"/>
      <c r="EO145" s="164"/>
    </row>
    <row r="146" spans="7:145">
      <c r="G146" s="27"/>
      <c r="H146" s="27"/>
      <c r="I146" s="28"/>
      <c r="J146" s="26"/>
      <c r="K146" s="27"/>
      <c r="L146" s="28"/>
      <c r="M146" s="26"/>
      <c r="N146" s="28"/>
      <c r="O146" s="26"/>
      <c r="Q146" s="169"/>
      <c r="S146" s="169"/>
      <c r="T146" s="27"/>
      <c r="U146" s="27"/>
      <c r="V146" s="28"/>
      <c r="W146" s="169"/>
      <c r="X146" s="169"/>
      <c r="Y146" s="27"/>
      <c r="Z146" s="169"/>
      <c r="AA146" s="169"/>
      <c r="AB146" s="28"/>
      <c r="AC146" s="169"/>
      <c r="AD146" s="26"/>
      <c r="AE146" s="169"/>
      <c r="AF146" s="169"/>
      <c r="AG146" s="26"/>
      <c r="AH146" s="169"/>
      <c r="AI146" s="169"/>
      <c r="AJ146" s="397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BD146" s="210"/>
      <c r="BE146" s="210"/>
      <c r="BF146" s="210"/>
      <c r="BG146" s="210"/>
      <c r="BH146" s="210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CE146" s="164"/>
      <c r="CF146" s="164"/>
      <c r="CG146" s="164"/>
      <c r="CJ146" s="136"/>
      <c r="CK146" s="7"/>
      <c r="CL146" s="6"/>
      <c r="CM146" s="6"/>
      <c r="CN146" s="164"/>
      <c r="CO146" s="164"/>
      <c r="CP146" s="164"/>
      <c r="CQ146" s="164"/>
      <c r="CS146" s="7"/>
      <c r="CT146" s="6"/>
      <c r="CU146" s="12"/>
      <c r="CV146" s="164"/>
      <c r="CW146" s="164"/>
      <c r="CX146" s="164"/>
      <c r="CY146" s="164"/>
      <c r="DA146" s="7"/>
      <c r="DB146" s="6"/>
      <c r="DC146" s="12"/>
      <c r="DD146" s="164"/>
      <c r="DE146" s="164"/>
      <c r="DF146" s="164"/>
      <c r="DG146" s="164"/>
      <c r="DI146" s="172"/>
      <c r="DJ146" s="12"/>
      <c r="DK146" s="22"/>
      <c r="DL146" s="164"/>
      <c r="DM146" s="164"/>
      <c r="DN146" s="164"/>
      <c r="DO146" s="164"/>
      <c r="DP146" s="22"/>
      <c r="DQ146" s="136"/>
      <c r="DR146" s="22"/>
      <c r="DS146" s="22"/>
      <c r="DT146" s="164"/>
      <c r="DU146" s="164"/>
      <c r="DV146" s="164"/>
      <c r="DW146" s="164"/>
      <c r="DY146" s="7"/>
      <c r="DZ146" s="13"/>
      <c r="EB146" s="164"/>
      <c r="EC146" s="164"/>
      <c r="ED146" s="164"/>
      <c r="EE146" s="164"/>
      <c r="EG146" s="7"/>
      <c r="EH146" s="13"/>
      <c r="EJ146" s="164"/>
      <c r="EK146" s="164"/>
      <c r="EL146" s="164"/>
      <c r="EN146" s="164"/>
      <c r="EO146" s="164"/>
    </row>
    <row r="147" spans="7:145">
      <c r="G147" s="27"/>
      <c r="H147" s="27"/>
      <c r="I147" s="28"/>
      <c r="J147" s="26"/>
      <c r="K147" s="27"/>
      <c r="L147" s="28"/>
      <c r="M147" s="26"/>
      <c r="N147" s="28"/>
      <c r="O147" s="26"/>
      <c r="Q147" s="169"/>
      <c r="S147" s="169"/>
      <c r="T147" s="27"/>
      <c r="U147" s="27"/>
      <c r="V147" s="28"/>
      <c r="W147" s="169"/>
      <c r="X147" s="169"/>
      <c r="Y147" s="27"/>
      <c r="Z147" s="169"/>
      <c r="AA147" s="169"/>
      <c r="AB147" s="28"/>
      <c r="AC147" s="169"/>
      <c r="AD147" s="26"/>
      <c r="AE147" s="169"/>
      <c r="AF147" s="169"/>
      <c r="AG147" s="26"/>
      <c r="AH147" s="169"/>
      <c r="AI147" s="169"/>
      <c r="AJ147" s="397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BD147" s="210"/>
      <c r="BE147" s="210"/>
      <c r="BF147" s="210"/>
      <c r="BG147" s="210"/>
      <c r="BH147" s="210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CE147" s="164"/>
      <c r="CF147" s="164"/>
      <c r="CG147" s="164"/>
      <c r="CJ147" s="136"/>
      <c r="CK147" s="7"/>
      <c r="CL147" s="6"/>
      <c r="CM147" s="6"/>
      <c r="CN147" s="164"/>
      <c r="CO147" s="164"/>
      <c r="CP147" s="164"/>
      <c r="CQ147" s="164"/>
      <c r="CS147" s="7"/>
      <c r="CT147" s="6"/>
      <c r="CU147" s="12"/>
      <c r="CV147" s="164"/>
      <c r="CW147" s="164"/>
      <c r="CX147" s="164"/>
      <c r="CY147" s="164"/>
      <c r="DA147" s="7"/>
      <c r="DB147" s="6"/>
      <c r="DC147" s="12"/>
      <c r="DD147" s="164"/>
      <c r="DE147" s="164"/>
      <c r="DF147" s="164"/>
      <c r="DG147" s="164"/>
      <c r="DI147" s="172"/>
      <c r="DJ147" s="12"/>
      <c r="DK147" s="22"/>
      <c r="DL147" s="164"/>
      <c r="DM147" s="164"/>
      <c r="DN147" s="164"/>
      <c r="DO147" s="164"/>
      <c r="DP147" s="22"/>
      <c r="DQ147" s="136"/>
      <c r="DR147" s="22"/>
      <c r="DS147" s="22"/>
      <c r="DT147" s="164"/>
      <c r="DU147" s="164"/>
      <c r="DV147" s="164"/>
      <c r="DW147" s="164"/>
      <c r="DY147" s="7"/>
      <c r="DZ147" s="13"/>
      <c r="EB147" s="164"/>
      <c r="EC147" s="164"/>
      <c r="ED147" s="164"/>
      <c r="EE147" s="164"/>
      <c r="EG147" s="7"/>
      <c r="EH147" s="13"/>
      <c r="EJ147" s="164"/>
      <c r="EK147" s="164"/>
      <c r="EL147" s="164"/>
      <c r="EN147" s="164"/>
      <c r="EO147" s="164"/>
    </row>
    <row r="148" spans="7:145">
      <c r="G148" s="27"/>
      <c r="H148" s="27"/>
      <c r="I148" s="28"/>
      <c r="J148" s="26"/>
      <c r="K148" s="27"/>
      <c r="L148" s="28"/>
      <c r="M148" s="26"/>
      <c r="N148" s="28"/>
      <c r="O148" s="26"/>
      <c r="Q148" s="169"/>
      <c r="S148" s="169"/>
      <c r="T148" s="27"/>
      <c r="U148" s="27"/>
      <c r="V148" s="28"/>
      <c r="W148" s="169"/>
      <c r="X148" s="169"/>
      <c r="Y148" s="27"/>
      <c r="Z148" s="169"/>
      <c r="AA148" s="169"/>
      <c r="AB148" s="28"/>
      <c r="AC148" s="169"/>
      <c r="AD148" s="26"/>
      <c r="AE148" s="169"/>
      <c r="AF148" s="169"/>
      <c r="AG148" s="26"/>
      <c r="AH148" s="169"/>
      <c r="AI148" s="169"/>
      <c r="AJ148" s="397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BD148" s="210"/>
      <c r="BE148" s="210"/>
      <c r="BF148" s="210"/>
      <c r="BG148" s="210"/>
      <c r="BH148" s="210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CE148" s="164"/>
      <c r="CF148" s="164"/>
      <c r="CG148" s="164"/>
      <c r="CJ148" s="136"/>
      <c r="CK148" s="7"/>
      <c r="CL148" s="6"/>
      <c r="CM148" s="6"/>
      <c r="CN148" s="164"/>
      <c r="CO148" s="164"/>
      <c r="CP148" s="164"/>
      <c r="CQ148" s="164"/>
      <c r="CS148" s="7"/>
      <c r="CT148" s="6"/>
      <c r="CU148" s="12"/>
      <c r="CV148" s="164"/>
      <c r="CW148" s="164"/>
      <c r="CX148" s="164"/>
      <c r="CY148" s="164"/>
      <c r="DA148" s="7"/>
      <c r="DB148" s="6"/>
      <c r="DC148" s="12"/>
      <c r="DD148" s="164"/>
      <c r="DE148" s="164"/>
      <c r="DF148" s="164"/>
      <c r="DG148" s="164"/>
      <c r="DI148" s="172"/>
      <c r="DJ148" s="12"/>
      <c r="DK148" s="22"/>
      <c r="DL148" s="164"/>
      <c r="DM148" s="164"/>
      <c r="DN148" s="164"/>
      <c r="DO148" s="164"/>
      <c r="DP148" s="22"/>
      <c r="DQ148" s="136"/>
      <c r="DR148" s="22"/>
      <c r="DS148" s="22"/>
      <c r="DT148" s="164"/>
      <c r="DU148" s="164"/>
      <c r="DV148" s="164"/>
      <c r="DW148" s="164"/>
      <c r="DY148" s="7"/>
      <c r="DZ148" s="13"/>
      <c r="EB148" s="164"/>
      <c r="EC148" s="164"/>
      <c r="ED148" s="164"/>
      <c r="EE148" s="164"/>
      <c r="EG148" s="7"/>
      <c r="EH148" s="13"/>
      <c r="EJ148" s="164"/>
      <c r="EK148" s="164"/>
      <c r="EL148" s="164"/>
      <c r="EN148" s="164"/>
      <c r="EO148" s="164"/>
    </row>
    <row r="149" spans="7:145">
      <c r="G149" s="27"/>
      <c r="H149" s="27"/>
      <c r="I149" s="28"/>
      <c r="J149" s="26"/>
      <c r="K149" s="27"/>
      <c r="L149" s="28"/>
      <c r="M149" s="26"/>
      <c r="N149" s="28"/>
      <c r="O149" s="26"/>
      <c r="Q149" s="169"/>
      <c r="S149" s="169"/>
      <c r="T149" s="27"/>
      <c r="U149" s="27"/>
      <c r="V149" s="28"/>
      <c r="W149" s="169"/>
      <c r="X149" s="169"/>
      <c r="Y149" s="27"/>
      <c r="Z149" s="169"/>
      <c r="AA149" s="169"/>
      <c r="AB149" s="28"/>
      <c r="AC149" s="169"/>
      <c r="AD149" s="26"/>
      <c r="AE149" s="169"/>
      <c r="AF149" s="169"/>
      <c r="AG149" s="26"/>
      <c r="AH149" s="169"/>
      <c r="AI149" s="169"/>
      <c r="AJ149" s="397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BD149" s="210"/>
      <c r="BE149" s="210"/>
      <c r="BF149" s="210"/>
      <c r="BG149" s="210"/>
      <c r="BH149" s="210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CE149" s="164"/>
      <c r="CF149" s="164"/>
      <c r="CG149" s="164"/>
      <c r="CJ149" s="136"/>
      <c r="CK149" s="7"/>
      <c r="CL149" s="6"/>
      <c r="CM149" s="6"/>
      <c r="CN149" s="164"/>
      <c r="CO149" s="164"/>
      <c r="CP149" s="164"/>
      <c r="CQ149" s="164"/>
      <c r="CS149" s="7"/>
      <c r="CT149" s="6"/>
      <c r="CU149" s="12"/>
      <c r="CV149" s="164"/>
      <c r="CW149" s="164"/>
      <c r="CX149" s="164"/>
      <c r="CY149" s="164"/>
      <c r="DA149" s="7"/>
      <c r="DB149" s="6"/>
      <c r="DC149" s="12"/>
      <c r="DD149" s="164"/>
      <c r="DE149" s="164"/>
      <c r="DF149" s="164"/>
      <c r="DG149" s="164"/>
      <c r="DI149" s="172"/>
      <c r="DJ149" s="12"/>
      <c r="DK149" s="22"/>
      <c r="DL149" s="164"/>
      <c r="DM149" s="164"/>
      <c r="DN149" s="164"/>
      <c r="DO149" s="164"/>
      <c r="DP149" s="22"/>
      <c r="DQ149" s="136"/>
      <c r="DR149" s="22"/>
      <c r="DS149" s="22"/>
      <c r="DT149" s="164"/>
      <c r="DU149" s="164"/>
      <c r="DV149" s="164"/>
      <c r="DW149" s="164"/>
      <c r="DY149" s="7"/>
      <c r="DZ149" s="13"/>
      <c r="EB149" s="164"/>
      <c r="EC149" s="164"/>
      <c r="ED149" s="164"/>
      <c r="EE149" s="164"/>
      <c r="EG149" s="7"/>
      <c r="EH149" s="13"/>
      <c r="EJ149" s="164"/>
      <c r="EK149" s="164"/>
      <c r="EL149" s="164"/>
      <c r="EN149" s="164"/>
      <c r="EO149" s="164"/>
    </row>
    <row r="150" spans="7:145">
      <c r="G150" s="27"/>
      <c r="H150" s="27"/>
      <c r="I150" s="28"/>
      <c r="J150" s="26"/>
      <c r="K150" s="27"/>
      <c r="L150" s="28"/>
      <c r="M150" s="26"/>
      <c r="N150" s="28"/>
      <c r="O150" s="26"/>
      <c r="Q150" s="169"/>
      <c r="S150" s="169"/>
      <c r="T150" s="27"/>
      <c r="U150" s="27"/>
      <c r="V150" s="28"/>
      <c r="W150" s="169"/>
      <c r="X150" s="169"/>
      <c r="Y150" s="27"/>
      <c r="Z150" s="169"/>
      <c r="AA150" s="169"/>
      <c r="AB150" s="28"/>
      <c r="AC150" s="169"/>
      <c r="AD150" s="26"/>
      <c r="AE150" s="169"/>
      <c r="AF150" s="169"/>
      <c r="AG150" s="26"/>
      <c r="AH150" s="169"/>
      <c r="AI150" s="169"/>
      <c r="AJ150" s="397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BD150" s="210"/>
      <c r="BE150" s="210"/>
      <c r="BF150" s="210"/>
      <c r="BG150" s="210"/>
      <c r="BH150" s="210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CE150" s="164"/>
      <c r="CF150" s="164"/>
      <c r="CG150" s="164"/>
      <c r="CJ150" s="136"/>
      <c r="CK150" s="7"/>
      <c r="CL150" s="6"/>
      <c r="CM150" s="6"/>
      <c r="CN150" s="164"/>
      <c r="CO150" s="164"/>
      <c r="CP150" s="164"/>
      <c r="CQ150" s="164"/>
      <c r="CS150" s="7"/>
      <c r="CT150" s="6"/>
      <c r="CU150" s="12"/>
      <c r="CV150" s="164"/>
      <c r="CW150" s="164"/>
      <c r="CX150" s="164"/>
      <c r="CY150" s="164"/>
      <c r="DA150" s="7"/>
      <c r="DB150" s="6"/>
      <c r="DC150" s="12"/>
      <c r="DD150" s="164"/>
      <c r="DE150" s="164"/>
      <c r="DF150" s="164"/>
      <c r="DG150" s="164"/>
      <c r="DI150" s="172"/>
      <c r="DJ150" s="12"/>
      <c r="DK150" s="22"/>
      <c r="DL150" s="164"/>
      <c r="DM150" s="164"/>
      <c r="DN150" s="164"/>
      <c r="DO150" s="164"/>
      <c r="DP150" s="22"/>
      <c r="DQ150" s="136"/>
      <c r="DR150" s="22"/>
      <c r="DS150" s="22"/>
      <c r="DT150" s="164"/>
      <c r="DU150" s="164"/>
      <c r="DV150" s="164"/>
      <c r="DW150" s="164"/>
      <c r="DY150" s="7"/>
      <c r="DZ150" s="13"/>
      <c r="EB150" s="164"/>
      <c r="EC150" s="164"/>
      <c r="ED150" s="164"/>
      <c r="EE150" s="164"/>
      <c r="EG150" s="7"/>
      <c r="EH150" s="13"/>
      <c r="EJ150" s="164"/>
      <c r="EK150" s="164"/>
      <c r="EL150" s="164"/>
      <c r="EN150" s="164"/>
      <c r="EO150" s="164"/>
    </row>
    <row r="151" spans="7:145">
      <c r="G151" s="27"/>
      <c r="H151" s="27"/>
      <c r="I151" s="28"/>
      <c r="J151" s="26"/>
      <c r="K151" s="27"/>
      <c r="L151" s="28"/>
      <c r="M151" s="26"/>
      <c r="N151" s="28"/>
      <c r="O151" s="26"/>
      <c r="Q151" s="169"/>
      <c r="S151" s="169"/>
      <c r="T151" s="27"/>
      <c r="U151" s="27"/>
      <c r="V151" s="28"/>
      <c r="W151" s="169"/>
      <c r="X151" s="169"/>
      <c r="Y151" s="27"/>
      <c r="Z151" s="169"/>
      <c r="AA151" s="169"/>
      <c r="AB151" s="28"/>
      <c r="AC151" s="169"/>
      <c r="AD151" s="26"/>
      <c r="AE151" s="169"/>
      <c r="AF151" s="169"/>
      <c r="AG151" s="26"/>
      <c r="AH151" s="169"/>
      <c r="AI151" s="169"/>
      <c r="AJ151" s="397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BD151" s="210"/>
      <c r="BE151" s="210"/>
      <c r="BF151" s="210"/>
      <c r="BG151" s="210"/>
      <c r="BH151" s="210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CE151" s="164"/>
      <c r="CF151" s="164"/>
      <c r="CG151" s="164"/>
      <c r="CJ151" s="136"/>
      <c r="CK151" s="7"/>
      <c r="CL151" s="6"/>
      <c r="CM151" s="6"/>
      <c r="CN151" s="164"/>
      <c r="CO151" s="164"/>
      <c r="CP151" s="164"/>
      <c r="CQ151" s="164"/>
      <c r="CS151" s="7"/>
      <c r="CT151" s="6"/>
      <c r="CU151" s="12"/>
      <c r="CV151" s="164"/>
      <c r="CW151" s="164"/>
      <c r="CX151" s="164"/>
      <c r="CY151" s="164"/>
      <c r="DA151" s="7"/>
      <c r="DB151" s="6"/>
      <c r="DC151" s="12"/>
      <c r="DD151" s="164"/>
      <c r="DE151" s="164"/>
      <c r="DF151" s="164"/>
      <c r="DG151" s="164"/>
      <c r="DI151" s="172"/>
      <c r="DJ151" s="12"/>
      <c r="DK151" s="22"/>
      <c r="DL151" s="164"/>
      <c r="DM151" s="164"/>
      <c r="DN151" s="164"/>
      <c r="DO151" s="164"/>
      <c r="DP151" s="22"/>
      <c r="DQ151" s="136"/>
      <c r="DR151" s="22"/>
      <c r="DS151" s="22"/>
      <c r="DT151" s="164"/>
      <c r="DU151" s="164"/>
      <c r="DV151" s="164"/>
      <c r="DW151" s="164"/>
      <c r="DY151" s="7"/>
      <c r="DZ151" s="13"/>
      <c r="EB151" s="164"/>
      <c r="EC151" s="164"/>
      <c r="ED151" s="164"/>
      <c r="EE151" s="164"/>
      <c r="EG151" s="7"/>
      <c r="EH151" s="13"/>
      <c r="EJ151" s="164"/>
      <c r="EK151" s="164"/>
      <c r="EL151" s="164"/>
      <c r="EN151" s="164"/>
      <c r="EO151" s="164"/>
    </row>
    <row r="152" spans="7:145">
      <c r="G152" s="27"/>
      <c r="H152" s="27"/>
      <c r="I152" s="28"/>
      <c r="J152" s="26"/>
      <c r="K152" s="27"/>
      <c r="L152" s="28"/>
      <c r="M152" s="26"/>
      <c r="N152" s="28"/>
      <c r="O152" s="26"/>
      <c r="Q152" s="169"/>
      <c r="S152" s="169"/>
      <c r="T152" s="27"/>
      <c r="U152" s="27"/>
      <c r="V152" s="28"/>
      <c r="W152" s="169"/>
      <c r="X152" s="169"/>
      <c r="Y152" s="27"/>
      <c r="Z152" s="169"/>
      <c r="AA152" s="169"/>
      <c r="AB152" s="28"/>
      <c r="AC152" s="169"/>
      <c r="AD152" s="26"/>
      <c r="AE152" s="169"/>
      <c r="AF152" s="169"/>
      <c r="AG152" s="26"/>
      <c r="AH152" s="169"/>
      <c r="AI152" s="169"/>
      <c r="AJ152" s="397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BD152" s="210"/>
      <c r="BE152" s="210"/>
      <c r="BF152" s="210"/>
      <c r="BG152" s="210"/>
      <c r="BH152" s="210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CE152" s="164"/>
      <c r="CF152" s="164"/>
      <c r="CG152" s="164"/>
      <c r="CJ152" s="136"/>
      <c r="CK152" s="7"/>
      <c r="CL152" s="6"/>
      <c r="CM152" s="6"/>
      <c r="CN152" s="164"/>
      <c r="CO152" s="164"/>
      <c r="CP152" s="164"/>
      <c r="CQ152" s="164"/>
      <c r="CS152" s="7"/>
      <c r="CT152" s="6"/>
      <c r="CU152" s="12"/>
      <c r="CV152" s="164"/>
      <c r="CW152" s="164"/>
      <c r="CX152" s="164"/>
      <c r="CY152" s="164"/>
      <c r="DA152" s="7"/>
      <c r="DB152" s="6"/>
      <c r="DC152" s="12"/>
      <c r="DD152" s="164"/>
      <c r="DE152" s="164"/>
      <c r="DF152" s="164"/>
      <c r="DG152" s="164"/>
      <c r="DI152" s="172"/>
      <c r="DJ152" s="12"/>
      <c r="DK152" s="22"/>
      <c r="DL152" s="164"/>
      <c r="DM152" s="164"/>
      <c r="DN152" s="164"/>
      <c r="DO152" s="164"/>
      <c r="DP152" s="22"/>
      <c r="DQ152" s="136"/>
      <c r="DR152" s="22"/>
      <c r="DS152" s="22"/>
      <c r="DT152" s="164"/>
      <c r="DU152" s="164"/>
      <c r="DV152" s="164"/>
      <c r="DW152" s="164"/>
      <c r="DY152" s="7"/>
      <c r="DZ152" s="13"/>
      <c r="EB152" s="164"/>
      <c r="EC152" s="164"/>
      <c r="ED152" s="164"/>
      <c r="EE152" s="164"/>
      <c r="EG152" s="7"/>
      <c r="EH152" s="13"/>
      <c r="EJ152" s="164"/>
      <c r="EK152" s="164"/>
      <c r="EL152" s="164"/>
      <c r="EN152" s="164"/>
      <c r="EO152" s="164"/>
    </row>
    <row r="153" spans="7:145">
      <c r="G153" s="27"/>
      <c r="H153" s="27"/>
      <c r="I153" s="28"/>
      <c r="J153" s="26"/>
      <c r="K153" s="27"/>
      <c r="L153" s="28"/>
      <c r="M153" s="26"/>
      <c r="N153" s="28"/>
      <c r="O153" s="26"/>
      <c r="Q153" s="169"/>
      <c r="S153" s="169"/>
      <c r="T153" s="27"/>
      <c r="U153" s="27"/>
      <c r="V153" s="28"/>
      <c r="W153" s="169"/>
      <c r="X153" s="169"/>
      <c r="Y153" s="27"/>
      <c r="Z153" s="169"/>
      <c r="AA153" s="169"/>
      <c r="AB153" s="28"/>
      <c r="AC153" s="169"/>
      <c r="AD153" s="26"/>
      <c r="AE153" s="169"/>
      <c r="AF153" s="169"/>
      <c r="AG153" s="26"/>
      <c r="AH153" s="169"/>
      <c r="AI153" s="169"/>
      <c r="AJ153" s="397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BD153" s="210"/>
      <c r="BE153" s="210"/>
      <c r="BF153" s="210"/>
      <c r="BG153" s="210"/>
      <c r="BH153" s="210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CE153" s="164"/>
      <c r="CF153" s="164"/>
      <c r="CG153" s="164"/>
      <c r="CJ153" s="136"/>
      <c r="CK153" s="7"/>
      <c r="CL153" s="6"/>
      <c r="CM153" s="6"/>
      <c r="CN153" s="164"/>
      <c r="CO153" s="164"/>
      <c r="CP153" s="164"/>
      <c r="CQ153" s="164"/>
      <c r="CS153" s="7"/>
      <c r="CT153" s="6"/>
      <c r="CU153" s="12"/>
      <c r="CV153" s="164"/>
      <c r="CW153" s="164"/>
      <c r="CX153" s="164"/>
      <c r="CY153" s="164"/>
      <c r="DA153" s="7"/>
      <c r="DB153" s="6"/>
      <c r="DC153" s="12"/>
      <c r="DD153" s="164"/>
      <c r="DE153" s="164"/>
      <c r="DF153" s="164"/>
      <c r="DG153" s="164"/>
      <c r="DI153" s="172"/>
      <c r="DJ153" s="12"/>
      <c r="DK153" s="22"/>
      <c r="DL153" s="164"/>
      <c r="DM153" s="164"/>
      <c r="DN153" s="164"/>
      <c r="DO153" s="164"/>
      <c r="DP153" s="22"/>
      <c r="DQ153" s="136"/>
      <c r="DR153" s="22"/>
      <c r="DS153" s="22"/>
      <c r="DT153" s="164"/>
      <c r="DU153" s="164"/>
      <c r="DV153" s="164"/>
      <c r="DW153" s="164"/>
      <c r="DY153" s="7"/>
      <c r="DZ153" s="13"/>
      <c r="EB153" s="164"/>
      <c r="EC153" s="164"/>
      <c r="ED153" s="164"/>
      <c r="EE153" s="164"/>
      <c r="EG153" s="7"/>
      <c r="EH153" s="13"/>
      <c r="EJ153" s="164"/>
      <c r="EK153" s="164"/>
      <c r="EL153" s="164"/>
      <c r="EN153" s="164"/>
      <c r="EO153" s="164"/>
    </row>
    <row r="154" spans="7:145">
      <c r="G154" s="27"/>
      <c r="H154" s="27"/>
      <c r="I154" s="28"/>
      <c r="J154" s="26"/>
      <c r="K154" s="27"/>
      <c r="L154" s="28"/>
      <c r="M154" s="26"/>
      <c r="N154" s="28"/>
      <c r="O154" s="26"/>
      <c r="Q154" s="169"/>
      <c r="S154" s="169"/>
      <c r="T154" s="27"/>
      <c r="U154" s="27"/>
      <c r="V154" s="28"/>
      <c r="W154" s="169"/>
      <c r="X154" s="169"/>
      <c r="Y154" s="27"/>
      <c r="Z154" s="169"/>
      <c r="AA154" s="169"/>
      <c r="AB154" s="28"/>
      <c r="AC154" s="169"/>
      <c r="AD154" s="26"/>
      <c r="AE154" s="169"/>
      <c r="AF154" s="169"/>
      <c r="AG154" s="26"/>
      <c r="AH154" s="169"/>
      <c r="AI154" s="169"/>
      <c r="AJ154" s="397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BD154" s="210"/>
      <c r="BE154" s="210"/>
      <c r="BF154" s="210"/>
      <c r="BG154" s="210"/>
      <c r="BH154" s="210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CE154" s="164"/>
      <c r="CF154" s="164"/>
      <c r="CG154" s="164"/>
      <c r="CJ154" s="136"/>
      <c r="CK154" s="7"/>
      <c r="CL154" s="6"/>
      <c r="CM154" s="6"/>
      <c r="CN154" s="164"/>
      <c r="CO154" s="164"/>
      <c r="CP154" s="164"/>
      <c r="CQ154" s="164"/>
      <c r="CS154" s="7"/>
      <c r="CT154" s="6"/>
      <c r="CU154" s="12"/>
      <c r="CV154" s="164"/>
      <c r="CW154" s="164"/>
      <c r="CX154" s="164"/>
      <c r="CY154" s="164"/>
      <c r="DA154" s="7"/>
      <c r="DB154" s="6"/>
      <c r="DC154" s="12"/>
      <c r="DD154" s="164"/>
      <c r="DE154" s="164"/>
      <c r="DF154" s="164"/>
      <c r="DG154" s="164"/>
      <c r="DI154" s="172"/>
      <c r="DJ154" s="12"/>
      <c r="DK154" s="22"/>
      <c r="DL154" s="164"/>
      <c r="DM154" s="164"/>
      <c r="DN154" s="164"/>
      <c r="DO154" s="164"/>
      <c r="DP154" s="22"/>
      <c r="DQ154" s="136"/>
      <c r="DR154" s="22"/>
      <c r="DS154" s="22"/>
      <c r="DT154" s="164"/>
      <c r="DU154" s="164"/>
      <c r="DV154" s="164"/>
      <c r="DW154" s="164"/>
      <c r="DY154" s="7"/>
      <c r="DZ154" s="13"/>
      <c r="EB154" s="164"/>
      <c r="EC154" s="164"/>
      <c r="ED154" s="164"/>
      <c r="EE154" s="164"/>
      <c r="EG154" s="7"/>
      <c r="EH154" s="13"/>
      <c r="EJ154" s="164"/>
      <c r="EK154" s="164"/>
      <c r="EL154" s="164"/>
      <c r="EN154" s="164"/>
      <c r="EO154" s="164"/>
    </row>
    <row r="155" spans="7:145">
      <c r="G155" s="27"/>
      <c r="H155" s="27"/>
      <c r="I155" s="28"/>
      <c r="J155" s="26"/>
      <c r="K155" s="27"/>
      <c r="L155" s="28"/>
      <c r="M155" s="26"/>
      <c r="N155" s="28"/>
      <c r="O155" s="26"/>
      <c r="Q155" s="169"/>
      <c r="S155" s="169"/>
      <c r="T155" s="27"/>
      <c r="U155" s="27"/>
      <c r="V155" s="28"/>
      <c r="W155" s="169"/>
      <c r="X155" s="169"/>
      <c r="Y155" s="27"/>
      <c r="Z155" s="169"/>
      <c r="AA155" s="169"/>
      <c r="AB155" s="28"/>
      <c r="AC155" s="169"/>
      <c r="AD155" s="26"/>
      <c r="AE155" s="169"/>
      <c r="AF155" s="169"/>
      <c r="AG155" s="26"/>
      <c r="AH155" s="169"/>
      <c r="AI155" s="169"/>
      <c r="AJ155" s="397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BD155" s="210"/>
      <c r="BE155" s="210"/>
      <c r="BF155" s="210"/>
      <c r="BG155" s="210"/>
      <c r="BH155" s="210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CE155" s="164"/>
      <c r="CF155" s="164"/>
      <c r="CG155" s="164"/>
      <c r="CJ155" s="136"/>
      <c r="CK155" s="7"/>
      <c r="CL155" s="6"/>
      <c r="CM155" s="6"/>
      <c r="CN155" s="164"/>
      <c r="CO155" s="164"/>
      <c r="CP155" s="164"/>
      <c r="CQ155" s="164"/>
      <c r="CS155" s="7"/>
      <c r="CT155" s="6"/>
      <c r="CU155" s="12"/>
      <c r="CV155" s="164"/>
      <c r="CW155" s="164"/>
      <c r="CX155" s="164"/>
      <c r="CY155" s="164"/>
      <c r="DA155" s="7"/>
      <c r="DB155" s="6"/>
      <c r="DC155" s="12"/>
      <c r="DD155" s="164"/>
      <c r="DE155" s="164"/>
      <c r="DF155" s="164"/>
      <c r="DG155" s="164"/>
      <c r="DI155" s="172"/>
      <c r="DJ155" s="12"/>
      <c r="DK155" s="22"/>
      <c r="DL155" s="164"/>
      <c r="DM155" s="164"/>
      <c r="DN155" s="164"/>
      <c r="DO155" s="164"/>
      <c r="DP155" s="22"/>
      <c r="DQ155" s="136"/>
      <c r="DR155" s="22"/>
      <c r="DS155" s="22"/>
      <c r="DT155" s="164"/>
      <c r="DU155" s="164"/>
      <c r="DV155" s="164"/>
      <c r="DW155" s="164"/>
      <c r="DY155" s="7"/>
      <c r="DZ155" s="13"/>
      <c r="EB155" s="164"/>
      <c r="EC155" s="164"/>
      <c r="ED155" s="164"/>
      <c r="EE155" s="164"/>
      <c r="EG155" s="7"/>
      <c r="EH155" s="13"/>
      <c r="EJ155" s="164"/>
      <c r="EK155" s="164"/>
      <c r="EL155" s="164"/>
      <c r="EN155" s="164"/>
      <c r="EO155" s="164"/>
    </row>
    <row r="156" spans="7:145">
      <c r="G156" s="27"/>
      <c r="H156" s="27"/>
      <c r="I156" s="28"/>
      <c r="J156" s="26"/>
      <c r="K156" s="27"/>
      <c r="L156" s="28"/>
      <c r="M156" s="26"/>
      <c r="N156" s="28"/>
      <c r="O156" s="26"/>
      <c r="Q156" s="169"/>
      <c r="S156" s="169"/>
      <c r="T156" s="27"/>
      <c r="U156" s="27"/>
      <c r="V156" s="28"/>
      <c r="W156" s="169"/>
      <c r="X156" s="169"/>
      <c r="Y156" s="27"/>
      <c r="Z156" s="169"/>
      <c r="AA156" s="169"/>
      <c r="AB156" s="28"/>
      <c r="AC156" s="169"/>
      <c r="AD156" s="26"/>
      <c r="AE156" s="169"/>
      <c r="AF156" s="169"/>
      <c r="AG156" s="26"/>
      <c r="AH156" s="169"/>
      <c r="AI156" s="169"/>
      <c r="AJ156" s="397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BD156" s="210"/>
      <c r="BE156" s="210"/>
      <c r="BF156" s="210"/>
      <c r="BG156" s="210"/>
      <c r="BH156" s="210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CE156" s="164"/>
      <c r="CF156" s="164"/>
      <c r="CG156" s="164"/>
      <c r="CJ156" s="136"/>
      <c r="CK156" s="7"/>
      <c r="CL156" s="6"/>
      <c r="CM156" s="6"/>
      <c r="CN156" s="164"/>
      <c r="CO156" s="164"/>
      <c r="CP156" s="164"/>
      <c r="CQ156" s="164"/>
      <c r="CS156" s="7"/>
      <c r="CT156" s="6"/>
      <c r="CU156" s="12"/>
      <c r="CV156" s="164"/>
      <c r="CW156" s="164"/>
      <c r="CX156" s="164"/>
      <c r="CY156" s="164"/>
      <c r="DA156" s="7"/>
      <c r="DB156" s="6"/>
      <c r="DC156" s="12"/>
      <c r="DD156" s="164"/>
      <c r="DE156" s="164"/>
      <c r="DF156" s="164"/>
      <c r="DG156" s="164"/>
      <c r="DI156" s="172"/>
      <c r="DJ156" s="12"/>
      <c r="DK156" s="22"/>
      <c r="DL156" s="164"/>
      <c r="DM156" s="164"/>
      <c r="DN156" s="164"/>
      <c r="DO156" s="164"/>
      <c r="DP156" s="22"/>
      <c r="DQ156" s="136"/>
      <c r="DR156" s="22"/>
      <c r="DS156" s="22"/>
      <c r="DT156" s="164"/>
      <c r="DU156" s="164"/>
      <c r="DV156" s="164"/>
      <c r="DW156" s="164"/>
      <c r="DY156" s="7"/>
      <c r="DZ156" s="13"/>
      <c r="EB156" s="164"/>
      <c r="EC156" s="164"/>
      <c r="ED156" s="164"/>
      <c r="EE156" s="164"/>
      <c r="EG156" s="7"/>
      <c r="EH156" s="13"/>
      <c r="EJ156" s="164"/>
      <c r="EK156" s="164"/>
      <c r="EL156" s="164"/>
      <c r="EN156" s="164"/>
      <c r="EO156" s="164"/>
    </row>
    <row r="157" spans="7:145">
      <c r="G157" s="27"/>
      <c r="H157" s="27"/>
      <c r="I157" s="28"/>
      <c r="J157" s="26"/>
      <c r="K157" s="27"/>
      <c r="L157" s="28"/>
      <c r="M157" s="26"/>
      <c r="N157" s="28"/>
      <c r="O157" s="26"/>
      <c r="Q157" s="169"/>
      <c r="S157" s="169"/>
      <c r="T157" s="27"/>
      <c r="U157" s="27"/>
      <c r="V157" s="28"/>
      <c r="W157" s="169"/>
      <c r="X157" s="169"/>
      <c r="Y157" s="27"/>
      <c r="Z157" s="169"/>
      <c r="AA157" s="169"/>
      <c r="AB157" s="28"/>
      <c r="AC157" s="169"/>
      <c r="AD157" s="26"/>
      <c r="AE157" s="169"/>
      <c r="AF157" s="169"/>
      <c r="AG157" s="26"/>
      <c r="AH157" s="169"/>
      <c r="AI157" s="169"/>
      <c r="AJ157" s="397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BD157" s="210"/>
      <c r="BE157" s="210"/>
      <c r="BF157" s="210"/>
      <c r="BG157" s="210"/>
      <c r="BH157" s="210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CE157" s="164"/>
      <c r="CF157" s="164"/>
      <c r="CG157" s="164"/>
      <c r="CJ157" s="136"/>
      <c r="CK157" s="7"/>
      <c r="CL157" s="6"/>
      <c r="CM157" s="6"/>
      <c r="CN157" s="164"/>
      <c r="CO157" s="164"/>
      <c r="CP157" s="164"/>
      <c r="CQ157" s="164"/>
      <c r="CS157" s="7"/>
      <c r="CT157" s="6"/>
      <c r="CU157" s="12"/>
      <c r="CV157" s="164"/>
      <c r="CW157" s="164"/>
      <c r="CX157" s="164"/>
      <c r="CY157" s="164"/>
      <c r="DA157" s="7"/>
      <c r="DB157" s="6"/>
      <c r="DC157" s="12"/>
      <c r="DD157" s="164"/>
      <c r="DE157" s="164"/>
      <c r="DF157" s="164"/>
      <c r="DG157" s="164"/>
      <c r="DI157" s="172"/>
      <c r="DJ157" s="12"/>
      <c r="DK157" s="22"/>
      <c r="DL157" s="164"/>
      <c r="DM157" s="164"/>
      <c r="DN157" s="164"/>
      <c r="DO157" s="164"/>
      <c r="DP157" s="22"/>
      <c r="DQ157" s="136"/>
      <c r="DR157" s="22"/>
      <c r="DS157" s="22"/>
      <c r="DT157" s="164"/>
      <c r="DU157" s="164"/>
      <c r="DV157" s="164"/>
      <c r="DW157" s="164"/>
      <c r="DY157" s="7"/>
      <c r="DZ157" s="13"/>
      <c r="EB157" s="164"/>
      <c r="EC157" s="164"/>
      <c r="ED157" s="164"/>
      <c r="EE157" s="164"/>
      <c r="EG157" s="7"/>
      <c r="EH157" s="13"/>
      <c r="EJ157" s="164"/>
      <c r="EK157" s="164"/>
      <c r="EL157" s="164"/>
      <c r="EN157" s="164"/>
      <c r="EO157" s="164"/>
    </row>
    <row r="158" spans="7:145">
      <c r="G158" s="27"/>
      <c r="H158" s="27"/>
      <c r="I158" s="28"/>
      <c r="J158" s="26"/>
      <c r="K158" s="27"/>
      <c r="L158" s="28"/>
      <c r="M158" s="26"/>
      <c r="N158" s="28"/>
      <c r="O158" s="26"/>
      <c r="Q158" s="169"/>
      <c r="S158" s="169"/>
      <c r="T158" s="27"/>
      <c r="U158" s="27"/>
      <c r="V158" s="28"/>
      <c r="W158" s="169"/>
      <c r="X158" s="169"/>
      <c r="Y158" s="27"/>
      <c r="Z158" s="169"/>
      <c r="AA158" s="169"/>
      <c r="AB158" s="28"/>
      <c r="AC158" s="169"/>
      <c r="AD158" s="26"/>
      <c r="AE158" s="169"/>
      <c r="AF158" s="169"/>
      <c r="AG158" s="26"/>
      <c r="AH158" s="169"/>
      <c r="AI158" s="169"/>
      <c r="AJ158" s="397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BD158" s="210"/>
      <c r="BE158" s="210"/>
      <c r="BF158" s="210"/>
      <c r="BG158" s="210"/>
      <c r="BH158" s="210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CE158" s="164"/>
      <c r="CF158" s="164"/>
      <c r="CG158" s="164"/>
      <c r="CJ158" s="136"/>
      <c r="CK158" s="7"/>
      <c r="CL158" s="6"/>
      <c r="CM158" s="6"/>
      <c r="CN158" s="164"/>
      <c r="CO158" s="164"/>
      <c r="CP158" s="164"/>
      <c r="CQ158" s="164"/>
      <c r="CS158" s="7"/>
      <c r="CT158" s="6"/>
      <c r="CU158" s="12"/>
      <c r="CV158" s="164"/>
      <c r="CW158" s="164"/>
      <c r="CX158" s="164"/>
      <c r="CY158" s="164"/>
      <c r="DA158" s="7"/>
      <c r="DB158" s="6"/>
      <c r="DC158" s="12"/>
      <c r="DD158" s="164"/>
      <c r="DE158" s="164"/>
      <c r="DF158" s="164"/>
      <c r="DG158" s="164"/>
      <c r="DI158" s="172"/>
      <c r="DJ158" s="12"/>
      <c r="DK158" s="22"/>
      <c r="DL158" s="164"/>
      <c r="DM158" s="164"/>
      <c r="DN158" s="164"/>
      <c r="DO158" s="164"/>
      <c r="DP158" s="22"/>
      <c r="DQ158" s="136"/>
      <c r="DR158" s="22"/>
      <c r="DS158" s="22"/>
      <c r="DT158" s="164"/>
      <c r="DU158" s="164"/>
      <c r="DV158" s="164"/>
      <c r="DW158" s="164"/>
      <c r="DY158" s="7"/>
      <c r="DZ158" s="13"/>
      <c r="EB158" s="164"/>
      <c r="EC158" s="164"/>
      <c r="ED158" s="164"/>
      <c r="EE158" s="164"/>
      <c r="EG158" s="7"/>
      <c r="EH158" s="13"/>
      <c r="EJ158" s="164"/>
      <c r="EK158" s="164"/>
      <c r="EL158" s="164"/>
      <c r="EN158" s="164"/>
      <c r="EO158" s="164"/>
    </row>
    <row r="159" spans="7:145">
      <c r="G159" s="27"/>
      <c r="H159" s="27"/>
      <c r="I159" s="28"/>
      <c r="J159" s="26"/>
      <c r="K159" s="27"/>
      <c r="L159" s="28"/>
      <c r="M159" s="26"/>
      <c r="N159" s="28"/>
      <c r="O159" s="26"/>
      <c r="Q159" s="169"/>
      <c r="S159" s="169"/>
      <c r="T159" s="27"/>
      <c r="U159" s="27"/>
      <c r="V159" s="28"/>
      <c r="W159" s="169"/>
      <c r="X159" s="169"/>
      <c r="Y159" s="27"/>
      <c r="Z159" s="169"/>
      <c r="AA159" s="169"/>
      <c r="AB159" s="28"/>
      <c r="AC159" s="169"/>
      <c r="AD159" s="26"/>
      <c r="AE159" s="169"/>
      <c r="AF159" s="169"/>
      <c r="AG159" s="26"/>
      <c r="AH159" s="169"/>
      <c r="AI159" s="169"/>
      <c r="AJ159" s="397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BD159" s="210"/>
      <c r="BE159" s="210"/>
      <c r="BF159" s="210"/>
      <c r="BG159" s="210"/>
      <c r="BH159" s="210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CE159" s="164"/>
      <c r="CF159" s="164"/>
      <c r="CG159" s="164"/>
      <c r="CJ159" s="136"/>
      <c r="CK159" s="7"/>
      <c r="CL159" s="6"/>
      <c r="CM159" s="6"/>
      <c r="CN159" s="164"/>
      <c r="CO159" s="164"/>
      <c r="CP159" s="164"/>
      <c r="CQ159" s="164"/>
      <c r="CS159" s="7"/>
      <c r="CT159" s="6"/>
      <c r="CU159" s="12"/>
      <c r="CV159" s="164"/>
      <c r="CW159" s="164"/>
      <c r="CX159" s="164"/>
      <c r="CY159" s="164"/>
      <c r="DA159" s="7"/>
      <c r="DB159" s="6"/>
      <c r="DC159" s="12"/>
      <c r="DD159" s="164"/>
      <c r="DE159" s="164"/>
      <c r="DF159" s="164"/>
      <c r="DG159" s="164"/>
      <c r="DI159" s="172"/>
      <c r="DJ159" s="12"/>
      <c r="DK159" s="22"/>
      <c r="DL159" s="164"/>
      <c r="DM159" s="164"/>
      <c r="DN159" s="164"/>
      <c r="DO159" s="164"/>
      <c r="DP159" s="22"/>
      <c r="DQ159" s="136"/>
      <c r="DR159" s="22"/>
      <c r="DS159" s="22"/>
      <c r="DT159" s="164"/>
      <c r="DU159" s="164"/>
      <c r="DV159" s="164"/>
      <c r="DW159" s="164"/>
      <c r="DY159" s="7"/>
      <c r="DZ159" s="13"/>
      <c r="EB159" s="164"/>
      <c r="EC159" s="164"/>
      <c r="ED159" s="164"/>
      <c r="EE159" s="164"/>
      <c r="EG159" s="7"/>
      <c r="EH159" s="13"/>
      <c r="EJ159" s="164"/>
      <c r="EK159" s="164"/>
      <c r="EL159" s="164"/>
      <c r="EN159" s="164"/>
      <c r="EO159" s="164"/>
    </row>
    <row r="160" spans="7:145">
      <c r="G160" s="27"/>
      <c r="H160" s="27"/>
      <c r="I160" s="28"/>
      <c r="J160" s="26"/>
      <c r="K160" s="27"/>
      <c r="L160" s="28"/>
      <c r="M160" s="26"/>
      <c r="N160" s="28"/>
      <c r="O160" s="26"/>
      <c r="Q160" s="169"/>
      <c r="S160" s="169"/>
      <c r="T160" s="27"/>
      <c r="U160" s="27"/>
      <c r="V160" s="28"/>
      <c r="W160" s="169"/>
      <c r="X160" s="169"/>
      <c r="Y160" s="27"/>
      <c r="Z160" s="169"/>
      <c r="AA160" s="169"/>
      <c r="AB160" s="28"/>
      <c r="AC160" s="169"/>
      <c r="AD160" s="26"/>
      <c r="AE160" s="169"/>
      <c r="AF160" s="169"/>
      <c r="AG160" s="26"/>
      <c r="AH160" s="169"/>
      <c r="AI160" s="169"/>
      <c r="AJ160" s="397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BD160" s="210"/>
      <c r="BE160" s="210"/>
      <c r="BF160" s="210"/>
      <c r="BG160" s="210"/>
      <c r="BH160" s="210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CE160" s="164"/>
      <c r="CF160" s="164"/>
      <c r="CG160" s="164"/>
      <c r="CJ160" s="136"/>
      <c r="CK160" s="7"/>
      <c r="CL160" s="6"/>
      <c r="CM160" s="6"/>
      <c r="CN160" s="164"/>
      <c r="CO160" s="164"/>
      <c r="CP160" s="164"/>
      <c r="CQ160" s="164"/>
      <c r="CS160" s="7"/>
      <c r="CT160" s="6"/>
      <c r="CU160" s="12"/>
      <c r="CV160" s="164"/>
      <c r="CW160" s="164"/>
      <c r="CX160" s="164"/>
      <c r="CY160" s="164"/>
      <c r="DA160" s="7"/>
      <c r="DB160" s="6"/>
      <c r="DC160" s="12"/>
      <c r="DD160" s="164"/>
      <c r="DE160" s="164"/>
      <c r="DF160" s="164"/>
      <c r="DG160" s="164"/>
      <c r="DI160" s="172"/>
      <c r="DJ160" s="12"/>
      <c r="DK160" s="22"/>
      <c r="DL160" s="164"/>
      <c r="DM160" s="164"/>
      <c r="DN160" s="164"/>
      <c r="DO160" s="164"/>
      <c r="DP160" s="22"/>
      <c r="DQ160" s="136"/>
      <c r="DR160" s="22"/>
      <c r="DS160" s="22"/>
      <c r="DT160" s="164"/>
      <c r="DU160" s="164"/>
      <c r="DV160" s="164"/>
      <c r="DW160" s="164"/>
      <c r="DY160" s="7"/>
      <c r="DZ160" s="13"/>
      <c r="EB160" s="164"/>
      <c r="EC160" s="164"/>
      <c r="ED160" s="164"/>
      <c r="EE160" s="164"/>
      <c r="EG160" s="7"/>
      <c r="EH160" s="13"/>
      <c r="EJ160" s="164"/>
      <c r="EK160" s="164"/>
      <c r="EL160" s="164"/>
      <c r="EN160" s="164"/>
      <c r="EO160" s="164"/>
    </row>
    <row r="161" spans="7:145">
      <c r="G161" s="27"/>
      <c r="H161" s="27"/>
      <c r="I161" s="28"/>
      <c r="J161" s="26"/>
      <c r="K161" s="27"/>
      <c r="L161" s="28"/>
      <c r="M161" s="26"/>
      <c r="N161" s="28"/>
      <c r="O161" s="26"/>
      <c r="Q161" s="169"/>
      <c r="S161" s="169"/>
      <c r="T161" s="27"/>
      <c r="U161" s="27"/>
      <c r="V161" s="28"/>
      <c r="W161" s="169"/>
      <c r="X161" s="169"/>
      <c r="Y161" s="27"/>
      <c r="Z161" s="169"/>
      <c r="AA161" s="169"/>
      <c r="AB161" s="28"/>
      <c r="AC161" s="169"/>
      <c r="AD161" s="26"/>
      <c r="AE161" s="169"/>
      <c r="AF161" s="169"/>
      <c r="AG161" s="26"/>
      <c r="AH161" s="169"/>
      <c r="AI161" s="169"/>
      <c r="AJ161" s="397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BD161" s="210"/>
      <c r="BE161" s="210"/>
      <c r="BF161" s="210"/>
      <c r="BG161" s="210"/>
      <c r="BH161" s="210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CE161" s="164"/>
      <c r="CF161" s="164"/>
      <c r="CG161" s="164"/>
      <c r="CJ161" s="136"/>
      <c r="CK161" s="7"/>
      <c r="CL161" s="6"/>
      <c r="CM161" s="6"/>
      <c r="CN161" s="164"/>
      <c r="CO161" s="164"/>
      <c r="CP161" s="164"/>
      <c r="CQ161" s="164"/>
      <c r="CS161" s="7"/>
      <c r="CT161" s="6"/>
      <c r="CU161" s="12"/>
      <c r="CV161" s="164"/>
      <c r="CW161" s="164"/>
      <c r="CX161" s="164"/>
      <c r="CY161" s="164"/>
      <c r="DA161" s="7"/>
      <c r="DB161" s="6"/>
      <c r="DC161" s="12"/>
      <c r="DD161" s="164"/>
      <c r="DE161" s="164"/>
      <c r="DF161" s="164"/>
      <c r="DG161" s="164"/>
      <c r="DI161" s="172"/>
      <c r="DJ161" s="12"/>
      <c r="DK161" s="22"/>
      <c r="DL161" s="164"/>
      <c r="DM161" s="164"/>
      <c r="DN161" s="164"/>
      <c r="DO161" s="164"/>
      <c r="DP161" s="22"/>
      <c r="DQ161" s="136"/>
      <c r="DR161" s="22"/>
      <c r="DS161" s="22"/>
      <c r="DT161" s="164"/>
      <c r="DU161" s="164"/>
      <c r="DV161" s="164"/>
      <c r="DW161" s="164"/>
      <c r="DY161" s="7"/>
      <c r="DZ161" s="13"/>
      <c r="EB161" s="164"/>
      <c r="EC161" s="164"/>
      <c r="ED161" s="164"/>
      <c r="EE161" s="164"/>
      <c r="EG161" s="7"/>
      <c r="EH161" s="13"/>
      <c r="EJ161" s="164"/>
      <c r="EK161" s="164"/>
      <c r="EL161" s="164"/>
      <c r="EN161" s="164"/>
      <c r="EO161" s="164"/>
    </row>
    <row r="162" spans="7:145">
      <c r="G162" s="27"/>
      <c r="H162" s="27"/>
      <c r="I162" s="28"/>
      <c r="J162" s="26"/>
      <c r="K162" s="27"/>
      <c r="L162" s="28"/>
      <c r="M162" s="26"/>
      <c r="N162" s="28"/>
      <c r="O162" s="26"/>
      <c r="Q162" s="169"/>
      <c r="S162" s="169"/>
      <c r="T162" s="27"/>
      <c r="U162" s="27"/>
      <c r="V162" s="28"/>
      <c r="W162" s="169"/>
      <c r="X162" s="169"/>
      <c r="Y162" s="27"/>
      <c r="Z162" s="169"/>
      <c r="AA162" s="169"/>
      <c r="AB162" s="28"/>
      <c r="AC162" s="169"/>
      <c r="AD162" s="26"/>
      <c r="AE162" s="169"/>
      <c r="AF162" s="169"/>
      <c r="AG162" s="26"/>
      <c r="AH162" s="169"/>
      <c r="AI162" s="169"/>
      <c r="AJ162" s="397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BD162" s="210"/>
      <c r="BE162" s="210"/>
      <c r="BF162" s="210"/>
      <c r="BG162" s="210"/>
      <c r="BH162" s="210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CE162" s="164"/>
      <c r="CF162" s="164"/>
      <c r="CG162" s="164"/>
      <c r="CJ162" s="136"/>
      <c r="CK162" s="7"/>
      <c r="CL162" s="6"/>
      <c r="CM162" s="6"/>
      <c r="CN162" s="164"/>
      <c r="CO162" s="164"/>
      <c r="CP162" s="164"/>
      <c r="CQ162" s="164"/>
      <c r="CS162" s="7"/>
      <c r="CT162" s="6"/>
      <c r="CU162" s="12"/>
      <c r="CV162" s="164"/>
      <c r="CW162" s="164"/>
      <c r="CX162" s="164"/>
      <c r="CY162" s="164"/>
      <c r="DA162" s="7"/>
      <c r="DB162" s="6"/>
      <c r="DC162" s="12"/>
      <c r="DD162" s="164"/>
      <c r="DE162" s="164"/>
      <c r="DF162" s="164"/>
      <c r="DG162" s="164"/>
      <c r="DI162" s="172"/>
      <c r="DJ162" s="12"/>
      <c r="DK162" s="22"/>
      <c r="DL162" s="164"/>
      <c r="DM162" s="164"/>
      <c r="DN162" s="164"/>
      <c r="DO162" s="164"/>
      <c r="DP162" s="22"/>
      <c r="DQ162" s="136"/>
      <c r="DR162" s="22"/>
      <c r="DS162" s="22"/>
      <c r="DT162" s="164"/>
      <c r="DU162" s="164"/>
      <c r="DV162" s="164"/>
      <c r="DW162" s="164"/>
      <c r="DY162" s="7"/>
      <c r="DZ162" s="13"/>
      <c r="EB162" s="164"/>
      <c r="EC162" s="164"/>
      <c r="ED162" s="164"/>
      <c r="EE162" s="164"/>
      <c r="EG162" s="7"/>
      <c r="EH162" s="13"/>
      <c r="EJ162" s="164"/>
      <c r="EK162" s="164"/>
      <c r="EL162" s="164"/>
      <c r="EN162" s="164"/>
      <c r="EO162" s="164"/>
    </row>
    <row r="163" spans="7:145">
      <c r="G163" s="27"/>
      <c r="H163" s="27"/>
      <c r="I163" s="28"/>
      <c r="J163" s="26"/>
      <c r="K163" s="27"/>
      <c r="L163" s="28"/>
      <c r="M163" s="26"/>
      <c r="N163" s="28"/>
      <c r="O163" s="26"/>
      <c r="Q163" s="169"/>
      <c r="S163" s="169"/>
      <c r="T163" s="27"/>
      <c r="U163" s="27"/>
      <c r="V163" s="28"/>
      <c r="W163" s="169"/>
      <c r="X163" s="169"/>
      <c r="Y163" s="27"/>
      <c r="Z163" s="169"/>
      <c r="AA163" s="169"/>
      <c r="AB163" s="28"/>
      <c r="AC163" s="169"/>
      <c r="AD163" s="26"/>
      <c r="AE163" s="169"/>
      <c r="AF163" s="169"/>
      <c r="AG163" s="26"/>
      <c r="AH163" s="169"/>
      <c r="AI163" s="169"/>
      <c r="AJ163" s="397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BD163" s="210"/>
      <c r="BE163" s="210"/>
      <c r="BF163" s="210"/>
      <c r="BG163" s="210"/>
      <c r="BH163" s="210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CE163" s="164"/>
      <c r="CF163" s="164"/>
      <c r="CG163" s="164"/>
      <c r="CJ163" s="136"/>
      <c r="CK163" s="7"/>
      <c r="CL163" s="6"/>
      <c r="CM163" s="6"/>
      <c r="CN163" s="164"/>
      <c r="CO163" s="164"/>
      <c r="CP163" s="164"/>
      <c r="CQ163" s="164"/>
      <c r="CS163" s="7"/>
      <c r="CT163" s="6"/>
      <c r="CU163" s="12"/>
      <c r="CV163" s="164"/>
      <c r="CW163" s="164"/>
      <c r="CX163" s="164"/>
      <c r="CY163" s="164"/>
      <c r="DA163" s="7"/>
      <c r="DB163" s="6"/>
      <c r="DC163" s="12"/>
      <c r="DD163" s="164"/>
      <c r="DE163" s="164"/>
      <c r="DF163" s="164"/>
      <c r="DG163" s="164"/>
      <c r="DI163" s="172"/>
      <c r="DJ163" s="12"/>
      <c r="DK163" s="22"/>
      <c r="DL163" s="164"/>
      <c r="DM163" s="164"/>
      <c r="DN163" s="164"/>
      <c r="DO163" s="164"/>
      <c r="DP163" s="22"/>
      <c r="DQ163" s="136"/>
      <c r="DR163" s="22"/>
      <c r="DS163" s="22"/>
      <c r="DT163" s="164"/>
      <c r="DU163" s="164"/>
      <c r="DV163" s="164"/>
      <c r="DW163" s="164"/>
      <c r="DY163" s="7"/>
      <c r="DZ163" s="13"/>
      <c r="EB163" s="164"/>
      <c r="EC163" s="164"/>
      <c r="ED163" s="164"/>
      <c r="EE163" s="164"/>
      <c r="EG163" s="7"/>
      <c r="EH163" s="13"/>
      <c r="EJ163" s="164"/>
      <c r="EK163" s="164"/>
      <c r="EL163" s="164"/>
      <c r="EN163" s="164"/>
      <c r="EO163" s="164"/>
    </row>
    <row r="164" spans="7:145">
      <c r="G164" s="27"/>
      <c r="H164" s="27"/>
      <c r="I164" s="28"/>
      <c r="J164" s="26"/>
      <c r="K164" s="27"/>
      <c r="L164" s="28"/>
      <c r="M164" s="26"/>
      <c r="N164" s="28"/>
      <c r="O164" s="26"/>
      <c r="Q164" s="169"/>
      <c r="S164" s="169"/>
      <c r="T164" s="27"/>
      <c r="U164" s="27"/>
      <c r="V164" s="28"/>
      <c r="W164" s="169"/>
      <c r="X164" s="169"/>
      <c r="Y164" s="27"/>
      <c r="Z164" s="169"/>
      <c r="AA164" s="169"/>
      <c r="AB164" s="28"/>
      <c r="AC164" s="169"/>
      <c r="AD164" s="26"/>
      <c r="AE164" s="169"/>
      <c r="AF164" s="169"/>
      <c r="AG164" s="26"/>
      <c r="AH164" s="169"/>
      <c r="AI164" s="169"/>
      <c r="AJ164" s="397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BD164" s="210"/>
      <c r="BE164" s="210"/>
      <c r="BF164" s="210"/>
      <c r="BG164" s="210"/>
      <c r="BH164" s="210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CE164" s="164"/>
      <c r="CF164" s="164"/>
      <c r="CG164" s="164"/>
      <c r="CJ164" s="136"/>
      <c r="CK164" s="7"/>
      <c r="CL164" s="6"/>
      <c r="CM164" s="6"/>
      <c r="CN164" s="164"/>
      <c r="CO164" s="164"/>
      <c r="CP164" s="164"/>
      <c r="CQ164" s="164"/>
      <c r="CS164" s="7"/>
      <c r="CT164" s="6"/>
      <c r="CU164" s="12"/>
      <c r="CV164" s="164"/>
      <c r="CW164" s="164"/>
      <c r="CX164" s="164"/>
      <c r="CY164" s="164"/>
      <c r="DA164" s="7"/>
      <c r="DB164" s="6"/>
      <c r="DC164" s="12"/>
      <c r="DD164" s="164"/>
      <c r="DE164" s="164"/>
      <c r="DF164" s="164"/>
      <c r="DG164" s="164"/>
      <c r="DI164" s="172"/>
      <c r="DJ164" s="12"/>
      <c r="DK164" s="22"/>
      <c r="DL164" s="164"/>
      <c r="DM164" s="164"/>
      <c r="DN164" s="164"/>
      <c r="DO164" s="164"/>
      <c r="DP164" s="22"/>
      <c r="DQ164" s="136"/>
      <c r="DR164" s="22"/>
      <c r="DS164" s="22"/>
      <c r="DT164" s="164"/>
      <c r="DU164" s="164"/>
      <c r="DV164" s="164"/>
      <c r="DW164" s="164"/>
      <c r="DY164" s="7"/>
      <c r="DZ164" s="13"/>
      <c r="EB164" s="164"/>
      <c r="EC164" s="164"/>
      <c r="ED164" s="164"/>
      <c r="EE164" s="164"/>
      <c r="EG164" s="7"/>
      <c r="EH164" s="13"/>
      <c r="EJ164" s="164"/>
      <c r="EK164" s="164"/>
      <c r="EL164" s="164"/>
      <c r="EN164" s="164"/>
      <c r="EO164" s="164"/>
    </row>
    <row r="165" spans="7:145">
      <c r="G165" s="27"/>
      <c r="H165" s="27"/>
      <c r="I165" s="28"/>
      <c r="J165" s="26"/>
      <c r="K165" s="27"/>
      <c r="L165" s="28"/>
      <c r="M165" s="26"/>
      <c r="N165" s="28"/>
      <c r="O165" s="26"/>
      <c r="Q165" s="169"/>
      <c r="S165" s="169"/>
      <c r="T165" s="27"/>
      <c r="U165" s="27"/>
      <c r="V165" s="28"/>
      <c r="W165" s="169"/>
      <c r="X165" s="169"/>
      <c r="Y165" s="27"/>
      <c r="Z165" s="169"/>
      <c r="AA165" s="169"/>
      <c r="AB165" s="28"/>
      <c r="AC165" s="169"/>
      <c r="AD165" s="26"/>
      <c r="AE165" s="169"/>
      <c r="AF165" s="169"/>
      <c r="AG165" s="26"/>
      <c r="AH165" s="169"/>
      <c r="AI165" s="169"/>
      <c r="AJ165" s="397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BD165" s="210"/>
      <c r="BE165" s="210"/>
      <c r="BF165" s="210"/>
      <c r="BG165" s="210"/>
      <c r="BH165" s="210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CE165" s="164"/>
      <c r="CF165" s="164"/>
      <c r="CG165" s="164"/>
      <c r="CJ165" s="136"/>
      <c r="CK165" s="7"/>
      <c r="CL165" s="6"/>
      <c r="CM165" s="6"/>
      <c r="CN165" s="164"/>
      <c r="CO165" s="164"/>
      <c r="CP165" s="164"/>
      <c r="CQ165" s="164"/>
      <c r="CS165" s="7"/>
      <c r="CT165" s="6"/>
      <c r="CU165" s="12"/>
      <c r="CV165" s="164"/>
      <c r="CW165" s="164"/>
      <c r="CX165" s="164"/>
      <c r="CY165" s="164"/>
      <c r="DA165" s="7"/>
      <c r="DB165" s="6"/>
      <c r="DC165" s="12"/>
      <c r="DD165" s="164"/>
      <c r="DE165" s="164"/>
      <c r="DF165" s="164"/>
      <c r="DG165" s="164"/>
      <c r="DI165" s="172"/>
      <c r="DJ165" s="12"/>
      <c r="DK165" s="22"/>
      <c r="DL165" s="164"/>
      <c r="DM165" s="164"/>
      <c r="DN165" s="164"/>
      <c r="DO165" s="164"/>
      <c r="DP165" s="22"/>
      <c r="DQ165" s="136"/>
      <c r="DR165" s="22"/>
      <c r="DS165" s="22"/>
      <c r="DT165" s="164"/>
      <c r="DU165" s="164"/>
      <c r="DV165" s="164"/>
      <c r="DW165" s="164"/>
      <c r="DY165" s="7"/>
      <c r="DZ165" s="13"/>
      <c r="EB165" s="164"/>
      <c r="EC165" s="164"/>
      <c r="ED165" s="164"/>
      <c r="EE165" s="164"/>
      <c r="EG165" s="7"/>
      <c r="EH165" s="13"/>
      <c r="EJ165" s="164"/>
      <c r="EK165" s="164"/>
      <c r="EL165" s="164"/>
      <c r="EN165" s="164"/>
      <c r="EO165" s="164"/>
    </row>
    <row r="166" spans="7:145">
      <c r="G166" s="27"/>
      <c r="H166" s="27"/>
      <c r="I166" s="28"/>
      <c r="J166" s="26"/>
      <c r="K166" s="27"/>
      <c r="L166" s="28"/>
      <c r="M166" s="26"/>
      <c r="N166" s="28"/>
      <c r="O166" s="26"/>
      <c r="Q166" s="169"/>
      <c r="S166" s="169"/>
      <c r="T166" s="27"/>
      <c r="U166" s="27"/>
      <c r="V166" s="28"/>
      <c r="W166" s="169"/>
      <c r="X166" s="169"/>
      <c r="Y166" s="27"/>
      <c r="Z166" s="169"/>
      <c r="AA166" s="169"/>
      <c r="AB166" s="28"/>
      <c r="AC166" s="169"/>
      <c r="AD166" s="26"/>
      <c r="AE166" s="169"/>
      <c r="AF166" s="169"/>
      <c r="AG166" s="26"/>
      <c r="AH166" s="169"/>
      <c r="AI166" s="169"/>
      <c r="AJ166" s="397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BD166" s="210"/>
      <c r="BE166" s="210"/>
      <c r="BF166" s="210"/>
      <c r="BG166" s="210"/>
      <c r="BH166" s="210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CE166" s="164"/>
      <c r="CF166" s="164"/>
      <c r="CG166" s="164"/>
      <c r="CJ166" s="136"/>
      <c r="CK166" s="7"/>
      <c r="CL166" s="6"/>
      <c r="CM166" s="6"/>
      <c r="CN166" s="164"/>
      <c r="CO166" s="164"/>
      <c r="CP166" s="164"/>
      <c r="CQ166" s="164"/>
      <c r="CS166" s="7"/>
      <c r="CT166" s="6"/>
      <c r="CU166" s="12"/>
      <c r="CV166" s="164"/>
      <c r="CW166" s="164"/>
      <c r="CX166" s="164"/>
      <c r="CY166" s="164"/>
      <c r="DA166" s="7"/>
      <c r="DB166" s="6"/>
      <c r="DC166" s="12"/>
      <c r="DD166" s="164"/>
      <c r="DE166" s="164"/>
      <c r="DF166" s="164"/>
      <c r="DG166" s="164"/>
      <c r="DI166" s="172"/>
      <c r="DJ166" s="12"/>
      <c r="DK166" s="22"/>
      <c r="DL166" s="164"/>
      <c r="DM166" s="164"/>
      <c r="DN166" s="164"/>
      <c r="DO166" s="164"/>
      <c r="DP166" s="22"/>
      <c r="DQ166" s="136"/>
      <c r="DR166" s="22"/>
      <c r="DS166" s="22"/>
      <c r="DT166" s="164"/>
      <c r="DU166" s="164"/>
      <c r="DV166" s="164"/>
      <c r="DW166" s="164"/>
      <c r="DY166" s="7"/>
      <c r="DZ166" s="13"/>
      <c r="EB166" s="164"/>
      <c r="EC166" s="164"/>
      <c r="ED166" s="164"/>
      <c r="EE166" s="164"/>
      <c r="EG166" s="7"/>
      <c r="EH166" s="13"/>
      <c r="EJ166" s="164"/>
      <c r="EK166" s="164"/>
      <c r="EL166" s="164"/>
      <c r="EN166" s="164"/>
      <c r="EO166" s="164"/>
    </row>
    <row r="167" spans="7:145">
      <c r="G167" s="27"/>
      <c r="H167" s="27"/>
      <c r="I167" s="28"/>
      <c r="J167" s="26"/>
      <c r="K167" s="27"/>
      <c r="L167" s="28"/>
      <c r="M167" s="26"/>
      <c r="N167" s="28"/>
      <c r="O167" s="26"/>
      <c r="Q167" s="169"/>
      <c r="S167" s="169"/>
      <c r="T167" s="27"/>
      <c r="U167" s="27"/>
      <c r="V167" s="28"/>
      <c r="W167" s="169"/>
      <c r="X167" s="169"/>
      <c r="Y167" s="27"/>
      <c r="Z167" s="169"/>
      <c r="AA167" s="169"/>
      <c r="AB167" s="28"/>
      <c r="AC167" s="169"/>
      <c r="AD167" s="26"/>
      <c r="AE167" s="169"/>
      <c r="AF167" s="169"/>
      <c r="AG167" s="26"/>
      <c r="AH167" s="169"/>
      <c r="AI167" s="169"/>
      <c r="AJ167" s="397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BD167" s="210"/>
      <c r="BE167" s="210"/>
      <c r="BF167" s="210"/>
      <c r="BG167" s="210"/>
      <c r="BH167" s="210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CE167" s="164"/>
      <c r="CF167" s="164"/>
      <c r="CG167" s="164"/>
      <c r="CJ167" s="136"/>
      <c r="CK167" s="7"/>
      <c r="CL167" s="6"/>
      <c r="CM167" s="6"/>
      <c r="CN167" s="164"/>
      <c r="CO167" s="164"/>
      <c r="CP167" s="164"/>
      <c r="CQ167" s="164"/>
      <c r="CS167" s="7"/>
      <c r="CT167" s="6"/>
      <c r="CU167" s="12"/>
      <c r="CV167" s="164"/>
      <c r="CW167" s="164"/>
      <c r="CX167" s="164"/>
      <c r="CY167" s="164"/>
      <c r="DA167" s="7"/>
      <c r="DB167" s="6"/>
      <c r="DC167" s="12"/>
      <c r="DD167" s="164"/>
      <c r="DE167" s="164"/>
      <c r="DF167" s="164"/>
      <c r="DG167" s="164"/>
      <c r="DI167" s="172"/>
      <c r="DJ167" s="12"/>
      <c r="DK167" s="22"/>
      <c r="DL167" s="164"/>
      <c r="DM167" s="164"/>
      <c r="DN167" s="164"/>
      <c r="DO167" s="164"/>
      <c r="DP167" s="22"/>
      <c r="DQ167" s="136"/>
      <c r="DR167" s="22"/>
      <c r="DS167" s="22"/>
      <c r="DT167" s="164"/>
      <c r="DU167" s="164"/>
      <c r="DV167" s="164"/>
      <c r="DW167" s="164"/>
      <c r="DY167" s="7"/>
      <c r="DZ167" s="13"/>
      <c r="EB167" s="164"/>
      <c r="EC167" s="164"/>
      <c r="ED167" s="164"/>
      <c r="EE167" s="164"/>
      <c r="EG167" s="7"/>
      <c r="EH167" s="13"/>
      <c r="EJ167" s="164"/>
      <c r="EK167" s="164"/>
      <c r="EL167" s="164"/>
      <c r="EN167" s="164"/>
      <c r="EO167" s="164"/>
    </row>
    <row r="168" spans="7:145">
      <c r="G168" s="27"/>
      <c r="H168" s="27"/>
      <c r="I168" s="28"/>
      <c r="J168" s="26"/>
      <c r="K168" s="27"/>
      <c r="L168" s="28"/>
      <c r="M168" s="26"/>
      <c r="N168" s="28"/>
      <c r="O168" s="26"/>
      <c r="Q168" s="169"/>
      <c r="S168" s="169"/>
      <c r="T168" s="27"/>
      <c r="U168" s="27"/>
      <c r="V168" s="28"/>
      <c r="W168" s="169"/>
      <c r="X168" s="169"/>
      <c r="Y168" s="27"/>
      <c r="Z168" s="169"/>
      <c r="AA168" s="169"/>
      <c r="AB168" s="28"/>
      <c r="AC168" s="169"/>
      <c r="AD168" s="26"/>
      <c r="AE168" s="169"/>
      <c r="AF168" s="169"/>
      <c r="AG168" s="26"/>
      <c r="AH168" s="169"/>
      <c r="AI168" s="169"/>
      <c r="AJ168" s="397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BD168" s="210"/>
      <c r="BE168" s="210"/>
      <c r="BF168" s="210"/>
      <c r="BG168" s="210"/>
      <c r="BH168" s="210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CE168" s="164"/>
      <c r="CF168" s="164"/>
      <c r="CG168" s="164"/>
      <c r="CJ168" s="136"/>
      <c r="CK168" s="7"/>
      <c r="CL168" s="6"/>
      <c r="CM168" s="6"/>
      <c r="CN168" s="164"/>
      <c r="CO168" s="164"/>
      <c r="CP168" s="164"/>
      <c r="CQ168" s="164"/>
      <c r="CS168" s="7"/>
      <c r="CT168" s="6"/>
      <c r="CU168" s="12"/>
      <c r="CV168" s="164"/>
      <c r="CW168" s="164"/>
      <c r="CX168" s="164"/>
      <c r="CY168" s="164"/>
      <c r="DA168" s="7"/>
      <c r="DB168" s="6"/>
      <c r="DC168" s="12"/>
      <c r="DD168" s="164"/>
      <c r="DE168" s="164"/>
      <c r="DF168" s="164"/>
      <c r="DG168" s="164"/>
      <c r="DI168" s="172"/>
      <c r="DJ168" s="12"/>
      <c r="DK168" s="22"/>
      <c r="DL168" s="164"/>
      <c r="DM168" s="164"/>
      <c r="DN168" s="164"/>
      <c r="DO168" s="164"/>
      <c r="DP168" s="22"/>
      <c r="DQ168" s="136"/>
      <c r="DR168" s="22"/>
      <c r="DS168" s="22"/>
      <c r="DT168" s="164"/>
      <c r="DU168" s="164"/>
      <c r="DV168" s="164"/>
      <c r="DW168" s="164"/>
      <c r="DY168" s="7"/>
      <c r="DZ168" s="13"/>
      <c r="EB168" s="164"/>
      <c r="EC168" s="164"/>
      <c r="ED168" s="164"/>
      <c r="EE168" s="164"/>
      <c r="EG168" s="7"/>
      <c r="EH168" s="13"/>
      <c r="EJ168" s="164"/>
      <c r="EK168" s="164"/>
      <c r="EL168" s="164"/>
      <c r="EN168" s="164"/>
      <c r="EO168" s="164"/>
    </row>
    <row r="169" spans="7:145">
      <c r="G169" s="27"/>
      <c r="H169" s="27"/>
      <c r="I169" s="28"/>
      <c r="J169" s="26"/>
      <c r="K169" s="27"/>
      <c r="L169" s="28"/>
      <c r="M169" s="26"/>
      <c r="N169" s="28"/>
      <c r="O169" s="26"/>
      <c r="Q169" s="169"/>
      <c r="S169" s="169"/>
      <c r="T169" s="27"/>
      <c r="U169" s="27"/>
      <c r="V169" s="28"/>
      <c r="W169" s="169"/>
      <c r="X169" s="169"/>
      <c r="Y169" s="27"/>
      <c r="Z169" s="169"/>
      <c r="AA169" s="169"/>
      <c r="AB169" s="28"/>
      <c r="AC169" s="169"/>
      <c r="AD169" s="26"/>
      <c r="AE169" s="169"/>
      <c r="AF169" s="169"/>
      <c r="AG169" s="26"/>
      <c r="AH169" s="169"/>
      <c r="AI169" s="169"/>
      <c r="AJ169" s="397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BD169" s="210"/>
      <c r="BE169" s="210"/>
      <c r="BF169" s="210"/>
      <c r="BG169" s="210"/>
      <c r="BH169" s="210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CE169" s="164"/>
      <c r="CF169" s="164"/>
      <c r="CG169" s="164"/>
      <c r="CJ169" s="136"/>
      <c r="CK169" s="7"/>
      <c r="CL169" s="6"/>
      <c r="CM169" s="6"/>
      <c r="CN169" s="164"/>
      <c r="CO169" s="164"/>
      <c r="CP169" s="164"/>
      <c r="CQ169" s="164"/>
      <c r="CS169" s="7"/>
      <c r="CT169" s="6"/>
      <c r="CU169" s="12"/>
      <c r="CV169" s="164"/>
      <c r="CW169" s="164"/>
      <c r="CX169" s="164"/>
      <c r="CY169" s="164"/>
      <c r="DA169" s="7"/>
      <c r="DB169" s="6"/>
      <c r="DC169" s="12"/>
      <c r="DD169" s="164"/>
      <c r="DE169" s="164"/>
      <c r="DF169" s="164"/>
      <c r="DG169" s="164"/>
      <c r="DI169" s="172"/>
      <c r="DJ169" s="12"/>
      <c r="DK169" s="22"/>
      <c r="DL169" s="164"/>
      <c r="DM169" s="164"/>
      <c r="DN169" s="164"/>
      <c r="DO169" s="164"/>
      <c r="DP169" s="22"/>
      <c r="DQ169" s="136"/>
      <c r="DR169" s="22"/>
      <c r="DS169" s="22"/>
      <c r="DT169" s="164"/>
      <c r="DU169" s="164"/>
      <c r="DV169" s="164"/>
      <c r="DW169" s="164"/>
      <c r="DY169" s="7"/>
      <c r="DZ169" s="13"/>
      <c r="EB169" s="164"/>
      <c r="EC169" s="164"/>
      <c r="ED169" s="164"/>
      <c r="EE169" s="164"/>
      <c r="EG169" s="7"/>
      <c r="EH169" s="13"/>
      <c r="EJ169" s="164"/>
      <c r="EK169" s="164"/>
      <c r="EL169" s="164"/>
      <c r="EN169" s="164"/>
      <c r="EO169" s="164"/>
    </row>
    <row r="170" spans="7:145">
      <c r="G170" s="27"/>
      <c r="H170" s="27"/>
      <c r="I170" s="28"/>
      <c r="J170" s="26"/>
      <c r="K170" s="27"/>
      <c r="L170" s="28"/>
      <c r="M170" s="26"/>
      <c r="N170" s="28"/>
      <c r="O170" s="26"/>
      <c r="Q170" s="169"/>
      <c r="S170" s="169"/>
      <c r="T170" s="27"/>
      <c r="U170" s="27"/>
      <c r="V170" s="28"/>
      <c r="W170" s="169"/>
      <c r="X170" s="169"/>
      <c r="Y170" s="27"/>
      <c r="Z170" s="169"/>
      <c r="AA170" s="169"/>
      <c r="AB170" s="28"/>
      <c r="AC170" s="169"/>
      <c r="AD170" s="26"/>
      <c r="AE170" s="169"/>
      <c r="AF170" s="169"/>
      <c r="AG170" s="26"/>
      <c r="AH170" s="169"/>
      <c r="AI170" s="169"/>
      <c r="AJ170" s="397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BD170" s="210"/>
      <c r="BE170" s="210"/>
      <c r="BF170" s="210"/>
      <c r="BG170" s="210"/>
      <c r="BH170" s="210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CE170" s="164"/>
      <c r="CF170" s="164"/>
      <c r="CG170" s="164"/>
      <c r="CJ170" s="136"/>
      <c r="CK170" s="7"/>
      <c r="CL170" s="6"/>
      <c r="CM170" s="6"/>
      <c r="CN170" s="164"/>
      <c r="CO170" s="164"/>
      <c r="CP170" s="164"/>
      <c r="CQ170" s="164"/>
      <c r="CS170" s="7"/>
      <c r="CT170" s="6"/>
      <c r="CU170" s="12"/>
      <c r="CV170" s="164"/>
      <c r="CW170" s="164"/>
      <c r="CX170" s="164"/>
      <c r="CY170" s="164"/>
      <c r="DA170" s="7"/>
      <c r="DB170" s="6"/>
      <c r="DC170" s="12"/>
      <c r="DD170" s="164"/>
      <c r="DE170" s="164"/>
      <c r="DF170" s="164"/>
      <c r="DG170" s="164"/>
      <c r="DI170" s="172"/>
      <c r="DJ170" s="12"/>
      <c r="DK170" s="22"/>
      <c r="DL170" s="164"/>
      <c r="DM170" s="164"/>
      <c r="DN170" s="164"/>
      <c r="DO170" s="164"/>
      <c r="DP170" s="22"/>
      <c r="DQ170" s="136"/>
      <c r="DR170" s="22"/>
      <c r="DS170" s="22"/>
      <c r="DT170" s="164"/>
      <c r="DU170" s="164"/>
      <c r="DV170" s="164"/>
      <c r="DW170" s="164"/>
      <c r="DY170" s="7"/>
      <c r="DZ170" s="13"/>
      <c r="EB170" s="164"/>
      <c r="EC170" s="164"/>
      <c r="ED170" s="164"/>
      <c r="EE170" s="164"/>
      <c r="EG170" s="7"/>
      <c r="EH170" s="13"/>
      <c r="EJ170" s="164"/>
      <c r="EK170" s="164"/>
      <c r="EL170" s="164"/>
      <c r="EN170" s="164"/>
      <c r="EO170" s="164"/>
    </row>
    <row r="171" spans="7:145">
      <c r="G171" s="27"/>
      <c r="H171" s="27"/>
      <c r="I171" s="28"/>
      <c r="J171" s="26"/>
      <c r="K171" s="27"/>
      <c r="L171" s="28"/>
      <c r="M171" s="26"/>
      <c r="N171" s="28"/>
      <c r="O171" s="26"/>
      <c r="Q171" s="169"/>
      <c r="S171" s="169"/>
      <c r="T171" s="27"/>
      <c r="U171" s="27"/>
      <c r="V171" s="28"/>
      <c r="W171" s="169"/>
      <c r="X171" s="169"/>
      <c r="Y171" s="27"/>
      <c r="Z171" s="169"/>
      <c r="AA171" s="169"/>
      <c r="AB171" s="28"/>
      <c r="AC171" s="169"/>
      <c r="AD171" s="26"/>
      <c r="AE171" s="169"/>
      <c r="AF171" s="169"/>
      <c r="AG171" s="26"/>
      <c r="AH171" s="169"/>
      <c r="AI171" s="169"/>
      <c r="AJ171" s="397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BD171" s="210"/>
      <c r="BE171" s="210"/>
      <c r="BF171" s="210"/>
      <c r="BG171" s="210"/>
      <c r="BH171" s="210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CE171" s="164"/>
      <c r="CF171" s="164"/>
      <c r="CG171" s="164"/>
      <c r="CJ171" s="136"/>
      <c r="CK171" s="7"/>
      <c r="CL171" s="6"/>
      <c r="CM171" s="6"/>
      <c r="CN171" s="164"/>
      <c r="CO171" s="164"/>
      <c r="CP171" s="164"/>
      <c r="CQ171" s="164"/>
      <c r="CS171" s="7"/>
      <c r="CT171" s="6"/>
      <c r="CU171" s="12"/>
      <c r="CV171" s="164"/>
      <c r="CW171" s="164"/>
      <c r="CX171" s="164"/>
      <c r="CY171" s="164"/>
      <c r="DA171" s="7"/>
      <c r="DB171" s="6"/>
      <c r="DC171" s="12"/>
      <c r="DD171" s="164"/>
      <c r="DE171" s="164"/>
      <c r="DF171" s="164"/>
      <c r="DG171" s="164"/>
      <c r="DI171" s="172"/>
      <c r="DJ171" s="12"/>
      <c r="DK171" s="22"/>
      <c r="DL171" s="164"/>
      <c r="DM171" s="164"/>
      <c r="DN171" s="164"/>
      <c r="DO171" s="164"/>
      <c r="DP171" s="22"/>
      <c r="DQ171" s="136"/>
      <c r="DR171" s="22"/>
      <c r="DS171" s="22"/>
      <c r="DT171" s="164"/>
      <c r="DU171" s="164"/>
      <c r="DV171" s="164"/>
      <c r="DW171" s="164"/>
      <c r="DY171" s="7"/>
      <c r="DZ171" s="13"/>
      <c r="EB171" s="164"/>
      <c r="EC171" s="164"/>
      <c r="ED171" s="164"/>
      <c r="EE171" s="164"/>
      <c r="EG171" s="7"/>
      <c r="EH171" s="13"/>
      <c r="EJ171" s="164"/>
      <c r="EK171" s="164"/>
      <c r="EL171" s="164"/>
      <c r="EN171" s="164"/>
      <c r="EO171" s="164"/>
    </row>
    <row r="172" spans="7:145">
      <c r="G172" s="27"/>
      <c r="H172" s="27"/>
      <c r="I172" s="28"/>
      <c r="J172" s="26"/>
      <c r="K172" s="27"/>
      <c r="L172" s="28"/>
      <c r="M172" s="26"/>
      <c r="N172" s="28"/>
      <c r="O172" s="26"/>
      <c r="Q172" s="169"/>
      <c r="S172" s="169"/>
      <c r="T172" s="27"/>
      <c r="U172" s="27"/>
      <c r="V172" s="28"/>
      <c r="W172" s="169"/>
      <c r="X172" s="169"/>
      <c r="Y172" s="27"/>
      <c r="Z172" s="169"/>
      <c r="AA172" s="169"/>
      <c r="AB172" s="28"/>
      <c r="AC172" s="169"/>
      <c r="AD172" s="26"/>
      <c r="AE172" s="169"/>
      <c r="AF172" s="169"/>
      <c r="AG172" s="26"/>
      <c r="AH172" s="169"/>
      <c r="AI172" s="169"/>
      <c r="AJ172" s="397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BD172" s="210"/>
      <c r="BE172" s="210"/>
      <c r="BF172" s="210"/>
      <c r="BG172" s="210"/>
      <c r="BH172" s="210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CE172" s="164"/>
      <c r="CF172" s="164"/>
      <c r="CG172" s="164"/>
      <c r="CJ172" s="136"/>
      <c r="CK172" s="7"/>
      <c r="CL172" s="6"/>
      <c r="CM172" s="6"/>
      <c r="CN172" s="164"/>
      <c r="CO172" s="164"/>
      <c r="CP172" s="164"/>
      <c r="CQ172" s="164"/>
      <c r="CS172" s="7"/>
      <c r="CT172" s="6"/>
      <c r="CU172" s="12"/>
      <c r="CV172" s="164"/>
      <c r="CW172" s="164"/>
      <c r="CX172" s="164"/>
      <c r="CY172" s="164"/>
      <c r="DA172" s="7"/>
      <c r="DB172" s="6"/>
      <c r="DC172" s="12"/>
      <c r="DD172" s="164"/>
      <c r="DE172" s="164"/>
      <c r="DF172" s="164"/>
      <c r="DG172" s="164"/>
      <c r="DI172" s="172"/>
      <c r="DJ172" s="12"/>
      <c r="DK172" s="22"/>
      <c r="DL172" s="164"/>
      <c r="DM172" s="164"/>
      <c r="DN172" s="164"/>
      <c r="DO172" s="164"/>
      <c r="DP172" s="22"/>
      <c r="DQ172" s="136"/>
      <c r="DR172" s="22"/>
      <c r="DS172" s="22"/>
      <c r="DT172" s="164"/>
      <c r="DU172" s="164"/>
      <c r="DV172" s="164"/>
      <c r="DW172" s="164"/>
      <c r="DY172" s="7"/>
      <c r="DZ172" s="13"/>
      <c r="EB172" s="164"/>
      <c r="EC172" s="164"/>
      <c r="ED172" s="164"/>
      <c r="EE172" s="164"/>
      <c r="EG172" s="7"/>
      <c r="EH172" s="13"/>
      <c r="EJ172" s="164"/>
      <c r="EK172" s="164"/>
      <c r="EL172" s="164"/>
      <c r="EN172" s="164"/>
      <c r="EO172" s="164"/>
    </row>
    <row r="173" spans="7:145">
      <c r="G173" s="27"/>
      <c r="H173" s="27"/>
      <c r="I173" s="28"/>
      <c r="J173" s="26"/>
      <c r="K173" s="27"/>
      <c r="L173" s="28"/>
      <c r="M173" s="26"/>
      <c r="N173" s="28"/>
      <c r="O173" s="26"/>
      <c r="Q173" s="169"/>
      <c r="S173" s="169"/>
      <c r="T173" s="27"/>
      <c r="U173" s="27"/>
      <c r="V173" s="28"/>
      <c r="W173" s="169"/>
      <c r="X173" s="169"/>
      <c r="Y173" s="27"/>
      <c r="Z173" s="169"/>
      <c r="AA173" s="169"/>
      <c r="AB173" s="28"/>
      <c r="AC173" s="169"/>
      <c r="AD173" s="26"/>
      <c r="AE173" s="169"/>
      <c r="AF173" s="169"/>
      <c r="AG173" s="26"/>
      <c r="AH173" s="169"/>
      <c r="AI173" s="169"/>
      <c r="AJ173" s="397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BD173" s="210"/>
      <c r="BE173" s="210"/>
      <c r="BF173" s="210"/>
      <c r="BG173" s="210"/>
      <c r="BH173" s="210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CE173" s="164"/>
      <c r="CF173" s="164"/>
      <c r="CG173" s="164"/>
      <c r="CJ173" s="136"/>
      <c r="CK173" s="7"/>
      <c r="CL173" s="6"/>
      <c r="CM173" s="6"/>
      <c r="CN173" s="164"/>
      <c r="CO173" s="164"/>
      <c r="CP173" s="164"/>
      <c r="CQ173" s="164"/>
      <c r="CS173" s="7"/>
      <c r="CT173" s="6"/>
      <c r="CU173" s="12"/>
      <c r="CV173" s="164"/>
      <c r="CW173" s="164"/>
      <c r="CX173" s="164"/>
      <c r="CY173" s="164"/>
      <c r="DA173" s="7"/>
      <c r="DB173" s="6"/>
      <c r="DC173" s="12"/>
      <c r="DD173" s="164"/>
      <c r="DE173" s="164"/>
      <c r="DF173" s="164"/>
      <c r="DG173" s="164"/>
      <c r="DI173" s="172"/>
      <c r="DJ173" s="12"/>
      <c r="DK173" s="22"/>
      <c r="DL173" s="164"/>
      <c r="DM173" s="164"/>
      <c r="DN173" s="164"/>
      <c r="DO173" s="164"/>
      <c r="DP173" s="22"/>
      <c r="DQ173" s="136"/>
      <c r="DR173" s="22"/>
      <c r="DS173" s="22"/>
      <c r="DT173" s="164"/>
      <c r="DU173" s="164"/>
      <c r="DV173" s="164"/>
      <c r="DW173" s="164"/>
      <c r="DY173" s="7"/>
      <c r="DZ173" s="13"/>
      <c r="EB173" s="164"/>
      <c r="EC173" s="164"/>
      <c r="ED173" s="164"/>
      <c r="EE173" s="164"/>
      <c r="EG173" s="7"/>
      <c r="EH173" s="13"/>
      <c r="EJ173" s="164"/>
      <c r="EK173" s="164"/>
      <c r="EL173" s="164"/>
      <c r="EN173" s="164"/>
      <c r="EO173" s="164"/>
    </row>
    <row r="174" spans="7:145">
      <c r="G174" s="27"/>
      <c r="H174" s="27"/>
      <c r="I174" s="28"/>
      <c r="J174" s="26"/>
      <c r="K174" s="27"/>
      <c r="L174" s="28"/>
      <c r="M174" s="26"/>
      <c r="N174" s="28"/>
      <c r="O174" s="26"/>
      <c r="Q174" s="169"/>
      <c r="S174" s="169"/>
      <c r="T174" s="27"/>
      <c r="U174" s="27"/>
      <c r="V174" s="28"/>
      <c r="W174" s="169"/>
      <c r="X174" s="169"/>
      <c r="Y174" s="27"/>
      <c r="Z174" s="169"/>
      <c r="AA174" s="169"/>
      <c r="AB174" s="28"/>
      <c r="AC174" s="169"/>
      <c r="AD174" s="26"/>
      <c r="AE174" s="169"/>
      <c r="AF174" s="169"/>
      <c r="AG174" s="26"/>
      <c r="AH174" s="169"/>
      <c r="AI174" s="169"/>
      <c r="AJ174" s="397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BD174" s="210"/>
      <c r="BE174" s="210"/>
      <c r="BF174" s="210"/>
      <c r="BG174" s="210"/>
      <c r="BH174" s="210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CE174" s="164"/>
      <c r="CF174" s="164"/>
      <c r="CG174" s="164"/>
      <c r="CJ174" s="136"/>
      <c r="CK174" s="7"/>
      <c r="CL174" s="6"/>
      <c r="CM174" s="6"/>
      <c r="CN174" s="164"/>
      <c r="CO174" s="164"/>
      <c r="CP174" s="164"/>
      <c r="CQ174" s="164"/>
      <c r="CS174" s="7"/>
      <c r="CT174" s="6"/>
      <c r="CU174" s="12"/>
      <c r="CV174" s="164"/>
      <c r="CW174" s="164"/>
      <c r="CX174" s="164"/>
      <c r="CY174" s="164"/>
      <c r="DA174" s="7"/>
      <c r="DB174" s="6"/>
      <c r="DC174" s="12"/>
      <c r="DD174" s="164"/>
      <c r="DE174" s="164"/>
      <c r="DF174" s="164"/>
      <c r="DG174" s="164"/>
      <c r="DI174" s="172"/>
      <c r="DJ174" s="12"/>
      <c r="DK174" s="22"/>
      <c r="DL174" s="164"/>
      <c r="DM174" s="164"/>
      <c r="DN174" s="164"/>
      <c r="DO174" s="164"/>
      <c r="DP174" s="22"/>
      <c r="DQ174" s="136"/>
      <c r="DR174" s="22"/>
      <c r="DS174" s="22"/>
      <c r="DT174" s="164"/>
      <c r="DU174" s="164"/>
      <c r="DV174" s="164"/>
      <c r="DW174" s="164"/>
      <c r="DY174" s="7"/>
      <c r="DZ174" s="13"/>
      <c r="EB174" s="164"/>
      <c r="EC174" s="164"/>
      <c r="ED174" s="164"/>
      <c r="EE174" s="164"/>
      <c r="EG174" s="7"/>
      <c r="EH174" s="13"/>
      <c r="EJ174" s="164"/>
      <c r="EK174" s="164"/>
      <c r="EL174" s="164"/>
      <c r="EN174" s="164"/>
      <c r="EO174" s="164"/>
    </row>
    <row r="175" spans="7:145">
      <c r="G175" s="27"/>
      <c r="H175" s="27"/>
      <c r="I175" s="28"/>
      <c r="J175" s="26"/>
      <c r="K175" s="27"/>
      <c r="L175" s="28"/>
      <c r="M175" s="26"/>
      <c r="N175" s="28"/>
      <c r="O175" s="26"/>
      <c r="Q175" s="169"/>
      <c r="S175" s="169"/>
      <c r="T175" s="27"/>
      <c r="U175" s="27"/>
      <c r="V175" s="28"/>
      <c r="W175" s="169"/>
      <c r="X175" s="169"/>
      <c r="Y175" s="27"/>
      <c r="Z175" s="169"/>
      <c r="AA175" s="169"/>
      <c r="AB175" s="28"/>
      <c r="AC175" s="169"/>
      <c r="AD175" s="26"/>
      <c r="AE175" s="169"/>
      <c r="AF175" s="169"/>
      <c r="AG175" s="26"/>
      <c r="AH175" s="169"/>
      <c r="AI175" s="169"/>
      <c r="AJ175" s="397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BD175" s="210"/>
      <c r="BE175" s="210"/>
      <c r="BF175" s="210"/>
      <c r="BG175" s="210"/>
      <c r="BH175" s="210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CE175" s="164"/>
      <c r="CF175" s="164"/>
      <c r="CG175" s="164"/>
      <c r="CJ175" s="136"/>
      <c r="CK175" s="7"/>
      <c r="CL175" s="6"/>
      <c r="CM175" s="6"/>
      <c r="CN175" s="164"/>
      <c r="CO175" s="164"/>
      <c r="CP175" s="164"/>
      <c r="CQ175" s="164"/>
      <c r="CS175" s="7"/>
      <c r="CT175" s="6"/>
      <c r="CU175" s="12"/>
      <c r="CV175" s="164"/>
      <c r="CW175" s="164"/>
      <c r="CX175" s="164"/>
      <c r="CY175" s="164"/>
      <c r="DA175" s="7"/>
      <c r="DB175" s="6"/>
      <c r="DC175" s="12"/>
      <c r="DD175" s="164"/>
      <c r="DE175" s="164"/>
      <c r="DF175" s="164"/>
      <c r="DG175" s="164"/>
      <c r="DI175" s="172"/>
      <c r="DJ175" s="12"/>
      <c r="DK175" s="22"/>
      <c r="DL175" s="164"/>
      <c r="DM175" s="164"/>
      <c r="DN175" s="164"/>
      <c r="DO175" s="164"/>
      <c r="DP175" s="22"/>
      <c r="DQ175" s="136"/>
      <c r="DR175" s="22"/>
      <c r="DS175" s="22"/>
      <c r="DT175" s="164"/>
      <c r="DU175" s="164"/>
      <c r="DV175" s="164"/>
      <c r="DW175" s="164"/>
      <c r="DY175" s="7"/>
      <c r="DZ175" s="13"/>
      <c r="EB175" s="164"/>
      <c r="EC175" s="164"/>
      <c r="ED175" s="164"/>
      <c r="EE175" s="164"/>
      <c r="EG175" s="7"/>
      <c r="EH175" s="13"/>
      <c r="EJ175" s="164"/>
      <c r="EK175" s="164"/>
      <c r="EL175" s="164"/>
      <c r="EN175" s="164"/>
      <c r="EO175" s="164"/>
    </row>
    <row r="176" spans="7:145">
      <c r="G176" s="27"/>
      <c r="H176" s="27"/>
      <c r="I176" s="28"/>
      <c r="J176" s="26"/>
      <c r="K176" s="27"/>
      <c r="L176" s="28"/>
      <c r="M176" s="26"/>
      <c r="N176" s="28"/>
      <c r="O176" s="26"/>
      <c r="Q176" s="169"/>
      <c r="S176" s="169"/>
      <c r="T176" s="27"/>
      <c r="U176" s="27"/>
      <c r="V176" s="28"/>
      <c r="W176" s="169"/>
      <c r="X176" s="169"/>
      <c r="Y176" s="27"/>
      <c r="Z176" s="169"/>
      <c r="AA176" s="169"/>
      <c r="AB176" s="28"/>
      <c r="AC176" s="169"/>
      <c r="AD176" s="26"/>
      <c r="AE176" s="169"/>
      <c r="AF176" s="169"/>
      <c r="AG176" s="26"/>
      <c r="AH176" s="169"/>
      <c r="AI176" s="169"/>
      <c r="AJ176" s="397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BD176" s="210"/>
      <c r="BE176" s="210"/>
      <c r="BF176" s="210"/>
      <c r="BG176" s="210"/>
      <c r="BH176" s="210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CE176" s="164"/>
      <c r="CF176" s="164"/>
      <c r="CG176" s="164"/>
      <c r="CJ176" s="136"/>
      <c r="CK176" s="7"/>
      <c r="CL176" s="6"/>
      <c r="CM176" s="6"/>
      <c r="CN176" s="164"/>
      <c r="CO176" s="164"/>
      <c r="CP176" s="164"/>
      <c r="CQ176" s="164"/>
      <c r="CS176" s="7"/>
      <c r="CT176" s="6"/>
      <c r="CU176" s="12"/>
      <c r="CV176" s="164"/>
      <c r="CW176" s="164"/>
      <c r="CX176" s="164"/>
      <c r="CY176" s="164"/>
      <c r="DA176" s="7"/>
      <c r="DB176" s="6"/>
      <c r="DC176" s="12"/>
      <c r="DD176" s="164"/>
      <c r="DE176" s="164"/>
      <c r="DF176" s="164"/>
      <c r="DG176" s="164"/>
      <c r="DI176" s="172"/>
      <c r="DJ176" s="12"/>
      <c r="DK176" s="22"/>
      <c r="DL176" s="164"/>
      <c r="DM176" s="164"/>
      <c r="DN176" s="164"/>
      <c r="DO176" s="164"/>
      <c r="DP176" s="22"/>
      <c r="DQ176" s="136"/>
      <c r="DR176" s="22"/>
      <c r="DS176" s="22"/>
      <c r="DT176" s="164"/>
      <c r="DU176" s="164"/>
      <c r="DV176" s="164"/>
      <c r="DW176" s="164"/>
      <c r="DY176" s="7"/>
      <c r="DZ176" s="13"/>
      <c r="EB176" s="164"/>
      <c r="EC176" s="164"/>
      <c r="ED176" s="164"/>
      <c r="EE176" s="164"/>
      <c r="EG176" s="7"/>
      <c r="EH176" s="13"/>
      <c r="EJ176" s="164"/>
      <c r="EK176" s="164"/>
      <c r="EL176" s="164"/>
      <c r="EN176" s="164"/>
      <c r="EO176" s="164"/>
    </row>
  </sheetData>
  <mergeCells count="2">
    <mergeCell ref="AD1:AF1"/>
    <mergeCell ref="AG1:AI1"/>
  </mergeCells>
  <phoneticPr fontId="34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00FF"/>
  </sheetPr>
  <dimension ref="A1:AI127"/>
  <sheetViews>
    <sheetView topLeftCell="J1" workbookViewId="0">
      <selection activeCell="W41" sqref="W41"/>
    </sheetView>
  </sheetViews>
  <sheetFormatPr defaultRowHeight="13.5"/>
  <sheetData>
    <row r="1" spans="1:35"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V1" t="s">
        <v>103</v>
      </c>
      <c r="W1" t="s">
        <v>40</v>
      </c>
      <c r="X1" t="s">
        <v>40</v>
      </c>
      <c r="Y1" t="s">
        <v>40</v>
      </c>
      <c r="Z1" t="s">
        <v>40</v>
      </c>
      <c r="AA1" t="s">
        <v>103</v>
      </c>
      <c r="AD1" s="343" t="s">
        <v>856</v>
      </c>
    </row>
    <row r="2" spans="1:35">
      <c r="A2" t="s">
        <v>1940</v>
      </c>
      <c r="B2" t="s">
        <v>1935</v>
      </c>
      <c r="C2" t="s">
        <v>1936</v>
      </c>
      <c r="D2" t="s">
        <v>1937</v>
      </c>
      <c r="E2" t="s">
        <v>1938</v>
      </c>
      <c r="F2" t="s">
        <v>1939</v>
      </c>
      <c r="G2" s="136" t="s">
        <v>1941</v>
      </c>
      <c r="H2" s="136" t="s">
        <v>1942</v>
      </c>
      <c r="I2" s="136" t="s">
        <v>1943</v>
      </c>
      <c r="J2" s="136" t="s">
        <v>1944</v>
      </c>
      <c r="K2" s="136" t="s">
        <v>1945</v>
      </c>
      <c r="L2" s="136" t="s">
        <v>1946</v>
      </c>
      <c r="M2" s="136" t="s">
        <v>1947</v>
      </c>
      <c r="N2" s="136" t="s">
        <v>1953</v>
      </c>
      <c r="O2" s="136" t="s">
        <v>1948</v>
      </c>
      <c r="P2" s="136" t="s">
        <v>1949</v>
      </c>
      <c r="Q2" s="136" t="s">
        <v>1950</v>
      </c>
      <c r="R2" s="136" t="s">
        <v>1951</v>
      </c>
      <c r="S2" s="136" t="s">
        <v>1952</v>
      </c>
      <c r="T2" t="s">
        <v>1954</v>
      </c>
      <c r="V2" t="s">
        <v>1955</v>
      </c>
      <c r="W2" t="s">
        <v>1956</v>
      </c>
      <c r="X2" t="s">
        <v>1957</v>
      </c>
      <c r="Y2" t="s">
        <v>1958</v>
      </c>
      <c r="Z2" t="s">
        <v>1959</v>
      </c>
      <c r="AA2" t="s">
        <v>1960</v>
      </c>
      <c r="AC2" s="136"/>
      <c r="AD2" s="136" t="s">
        <v>2456</v>
      </c>
      <c r="AE2" s="136" t="s">
        <v>2457</v>
      </c>
      <c r="AF2" s="136" t="s">
        <v>2458</v>
      </c>
      <c r="AG2" s="136" t="s">
        <v>2459</v>
      </c>
      <c r="AH2" s="136" t="s">
        <v>2460</v>
      </c>
      <c r="AI2" s="136" t="s">
        <v>2461</v>
      </c>
    </row>
    <row r="3" spans="1:35">
      <c r="A3" t="s">
        <v>37</v>
      </c>
      <c r="G3" t="s">
        <v>38</v>
      </c>
      <c r="H3" t="s">
        <v>39</v>
      </c>
      <c r="I3" t="s">
        <v>39</v>
      </c>
      <c r="J3" t="s">
        <v>39</v>
      </c>
      <c r="K3" t="s">
        <v>39</v>
      </c>
      <c r="L3" t="s">
        <v>38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40</v>
      </c>
      <c r="V3" t="s">
        <v>103</v>
      </c>
      <c r="W3" t="s">
        <v>40</v>
      </c>
      <c r="X3" t="s">
        <v>40</v>
      </c>
      <c r="Y3" t="s">
        <v>40</v>
      </c>
      <c r="Z3" t="s">
        <v>40</v>
      </c>
      <c r="AA3" t="s">
        <v>103</v>
      </c>
      <c r="AC3" s="136"/>
      <c r="AD3" s="136" t="s">
        <v>855</v>
      </c>
      <c r="AE3" s="136" t="s">
        <v>103</v>
      </c>
      <c r="AF3" s="136" t="s">
        <v>40</v>
      </c>
      <c r="AG3" s="136" t="s">
        <v>40</v>
      </c>
      <c r="AH3" s="136" t="s">
        <v>40</v>
      </c>
      <c r="AI3" s="136" t="s">
        <v>40</v>
      </c>
    </row>
    <row r="4" spans="1:35">
      <c r="A4" t="s">
        <v>41</v>
      </c>
      <c r="B4">
        <v>0</v>
      </c>
      <c r="C4">
        <v>0</v>
      </c>
      <c r="D4">
        <v>-0.03</v>
      </c>
      <c r="E4">
        <v>0</v>
      </c>
      <c r="F4">
        <v>0.01</v>
      </c>
      <c r="G4">
        <v>0.25</v>
      </c>
      <c r="H4">
        <v>0</v>
      </c>
      <c r="I4">
        <v>0.12</v>
      </c>
      <c r="J4">
        <v>-0.22</v>
      </c>
      <c r="K4">
        <v>-0.11</v>
      </c>
      <c r="L4">
        <v>0</v>
      </c>
      <c r="M4">
        <v>0</v>
      </c>
      <c r="N4">
        <v>0</v>
      </c>
      <c r="O4">
        <v>0</v>
      </c>
      <c r="P4">
        <v>0</v>
      </c>
      <c r="Q4">
        <v>128.22399999999999</v>
      </c>
      <c r="R4">
        <v>-36.872</v>
      </c>
      <c r="S4">
        <v>0</v>
      </c>
      <c r="T4">
        <v>0</v>
      </c>
      <c r="V4" s="136">
        <v>0</v>
      </c>
      <c r="W4" s="136">
        <v>0</v>
      </c>
      <c r="X4" s="136">
        <v>0</v>
      </c>
      <c r="Y4" s="136">
        <v>-260.5</v>
      </c>
      <c r="Z4" s="136">
        <v>160.28</v>
      </c>
      <c r="AA4" s="136">
        <v>-46.09</v>
      </c>
      <c r="AC4" s="136"/>
      <c r="AD4" s="871">
        <v>0.02</v>
      </c>
      <c r="AE4" s="871">
        <v>-0.01</v>
      </c>
      <c r="AF4" s="871">
        <v>3.36</v>
      </c>
      <c r="AG4" s="871">
        <v>-190.26</v>
      </c>
      <c r="AH4" s="136">
        <v>5.12</v>
      </c>
      <c r="AI4" s="136">
        <v>-37.090000000000003</v>
      </c>
    </row>
    <row r="5" spans="1:35">
      <c r="A5" t="s">
        <v>42</v>
      </c>
      <c r="B5">
        <v>-1.92</v>
      </c>
      <c r="C5">
        <v>0</v>
      </c>
      <c r="D5">
        <v>-8.81</v>
      </c>
      <c r="E5">
        <v>-1.22</v>
      </c>
      <c r="F5">
        <v>-1.2</v>
      </c>
      <c r="G5">
        <v>-6.73</v>
      </c>
      <c r="H5">
        <v>0</v>
      </c>
      <c r="I5">
        <v>-32.06</v>
      </c>
      <c r="J5">
        <v>-4.6399999999999997</v>
      </c>
      <c r="K5">
        <v>-4.3499999999999996</v>
      </c>
      <c r="L5">
        <v>0</v>
      </c>
      <c r="M5">
        <v>0</v>
      </c>
      <c r="N5">
        <v>0.9</v>
      </c>
      <c r="O5">
        <v>15.89</v>
      </c>
      <c r="P5">
        <v>-0.72</v>
      </c>
      <c r="Q5">
        <v>128.22399999999999</v>
      </c>
      <c r="R5">
        <v>-36.872</v>
      </c>
      <c r="S5">
        <v>5.03</v>
      </c>
      <c r="T5">
        <v>-1.3</v>
      </c>
      <c r="V5" s="136">
        <v>0</v>
      </c>
      <c r="W5" s="136">
        <v>-143.27000000000001</v>
      </c>
      <c r="X5" s="136">
        <v>0</v>
      </c>
      <c r="Y5" s="136">
        <v>-260.5</v>
      </c>
      <c r="Z5" s="136">
        <v>160.28</v>
      </c>
      <c r="AA5" s="136">
        <v>-46.09</v>
      </c>
      <c r="AC5" s="136"/>
      <c r="AD5" s="871">
        <v>0.01</v>
      </c>
      <c r="AE5" s="871">
        <v>-104.64</v>
      </c>
      <c r="AF5" s="871">
        <v>3.65</v>
      </c>
      <c r="AG5" s="871">
        <v>-206.96</v>
      </c>
      <c r="AH5" s="136">
        <v>33.909999999999997</v>
      </c>
      <c r="AI5" s="136">
        <v>-40.35</v>
      </c>
    </row>
    <row r="6" spans="1:35">
      <c r="A6" t="s">
        <v>43</v>
      </c>
      <c r="B6">
        <v>-1.93</v>
      </c>
      <c r="C6">
        <v>0</v>
      </c>
      <c r="D6">
        <v>-8.84</v>
      </c>
      <c r="E6">
        <v>-1.21</v>
      </c>
      <c r="F6">
        <v>-1.1599999999999999</v>
      </c>
      <c r="G6">
        <v>670.91</v>
      </c>
      <c r="H6">
        <v>0.8</v>
      </c>
      <c r="I6">
        <v>1427.75</v>
      </c>
      <c r="J6">
        <v>327.74</v>
      </c>
      <c r="K6">
        <v>288.8</v>
      </c>
      <c r="L6">
        <v>2.91</v>
      </c>
      <c r="M6">
        <v>0</v>
      </c>
      <c r="N6">
        <v>31.24</v>
      </c>
      <c r="O6">
        <v>-243.31</v>
      </c>
      <c r="P6">
        <v>26.85</v>
      </c>
      <c r="Q6">
        <v>460.32</v>
      </c>
      <c r="R6">
        <v>-0.96799999999999997</v>
      </c>
      <c r="S6">
        <v>543.07000000000005</v>
      </c>
      <c r="T6">
        <v>-1.1599999999999999</v>
      </c>
      <c r="V6" s="136">
        <v>-2</v>
      </c>
      <c r="W6" s="136">
        <v>-143.28</v>
      </c>
      <c r="X6" s="136">
        <v>1215.58</v>
      </c>
      <c r="Y6" s="136">
        <v>-66.89</v>
      </c>
      <c r="Z6" s="136">
        <v>974.62</v>
      </c>
      <c r="AA6" s="136">
        <v>-2.0699999999999998</v>
      </c>
      <c r="AC6" s="136"/>
      <c r="AD6" s="871">
        <v>0.02</v>
      </c>
      <c r="AE6" s="871">
        <v>-104.63</v>
      </c>
      <c r="AF6" s="871">
        <v>413.69</v>
      </c>
      <c r="AG6" s="871">
        <v>-14.41</v>
      </c>
      <c r="AH6" s="136">
        <v>371.78</v>
      </c>
      <c r="AI6" s="136">
        <v>-388.34</v>
      </c>
    </row>
    <row r="7" spans="1:35">
      <c r="A7" t="s">
        <v>44</v>
      </c>
      <c r="B7">
        <v>1731.44</v>
      </c>
      <c r="C7">
        <v>2.12</v>
      </c>
      <c r="D7">
        <v>3569.13</v>
      </c>
      <c r="E7">
        <v>839.05</v>
      </c>
      <c r="F7">
        <v>737.07</v>
      </c>
      <c r="G7">
        <v>637.29</v>
      </c>
      <c r="H7">
        <v>0.8</v>
      </c>
      <c r="I7">
        <v>1272.67</v>
      </c>
      <c r="J7">
        <v>306.41000000000003</v>
      </c>
      <c r="K7">
        <v>268.33999999999997</v>
      </c>
      <c r="L7">
        <v>2.91</v>
      </c>
      <c r="M7">
        <v>0</v>
      </c>
      <c r="N7">
        <v>35.58</v>
      </c>
      <c r="O7">
        <v>-166.73</v>
      </c>
      <c r="P7">
        <v>23.38</v>
      </c>
      <c r="Q7">
        <v>460.32</v>
      </c>
      <c r="R7">
        <v>-442.85600000000005</v>
      </c>
      <c r="S7">
        <v>546.51</v>
      </c>
      <c r="T7">
        <v>-584.86</v>
      </c>
      <c r="V7" s="136">
        <v>3052.93</v>
      </c>
      <c r="W7" s="136">
        <v>-232.68</v>
      </c>
      <c r="X7" s="136">
        <v>1133.21</v>
      </c>
      <c r="Y7" s="136">
        <v>-77.16</v>
      </c>
      <c r="Z7" s="136">
        <v>978.06</v>
      </c>
      <c r="AA7" s="136">
        <v>-1000.04</v>
      </c>
      <c r="AC7" s="136"/>
      <c r="AD7" s="871">
        <v>966.14</v>
      </c>
      <c r="AE7" s="871">
        <v>-89.29</v>
      </c>
      <c r="AF7" s="871">
        <v>364.58</v>
      </c>
      <c r="AG7" s="871">
        <v>-25.61</v>
      </c>
      <c r="AH7" s="136">
        <v>371.78</v>
      </c>
      <c r="AI7" s="136">
        <v>-388.34</v>
      </c>
    </row>
    <row r="8" spans="1:35">
      <c r="A8" t="s">
        <v>45</v>
      </c>
      <c r="B8">
        <v>1731.43</v>
      </c>
      <c r="C8">
        <v>2.12</v>
      </c>
      <c r="D8">
        <v>3569.12</v>
      </c>
      <c r="E8">
        <v>839.05</v>
      </c>
      <c r="F8">
        <v>737.07</v>
      </c>
      <c r="G8">
        <v>637.28</v>
      </c>
      <c r="H8">
        <v>0.8</v>
      </c>
      <c r="I8">
        <v>1272.6400000000001</v>
      </c>
      <c r="J8">
        <v>306.43</v>
      </c>
      <c r="K8">
        <v>268.35000000000002</v>
      </c>
      <c r="L8">
        <v>2.91</v>
      </c>
      <c r="M8">
        <v>0</v>
      </c>
      <c r="N8">
        <v>35.58</v>
      </c>
      <c r="O8">
        <v>-166.73</v>
      </c>
      <c r="P8">
        <v>23.38</v>
      </c>
      <c r="Q8">
        <v>460.32</v>
      </c>
      <c r="R8">
        <v>-442.85600000000005</v>
      </c>
      <c r="S8">
        <v>546.51</v>
      </c>
      <c r="T8">
        <v>-584.86</v>
      </c>
      <c r="V8" s="136">
        <v>3052.93</v>
      </c>
      <c r="W8" s="136">
        <v>-232.68</v>
      </c>
      <c r="X8" s="136">
        <v>1133.21</v>
      </c>
      <c r="Y8" s="136">
        <v>-77.16</v>
      </c>
      <c r="Z8" s="136">
        <v>978.06</v>
      </c>
      <c r="AA8" s="136">
        <v>-1000.04</v>
      </c>
      <c r="AC8" s="136"/>
      <c r="AD8" s="871">
        <v>966.14</v>
      </c>
      <c r="AE8" s="871">
        <v>-89.29</v>
      </c>
      <c r="AF8" s="871">
        <v>364.58</v>
      </c>
      <c r="AG8" s="871">
        <v>-25.61</v>
      </c>
      <c r="AH8" s="136">
        <v>371.78</v>
      </c>
      <c r="AI8" s="136">
        <v>-388.34</v>
      </c>
    </row>
    <row r="9" spans="1:35">
      <c r="A9" t="s">
        <v>46</v>
      </c>
      <c r="B9">
        <v>3983.77</v>
      </c>
      <c r="C9">
        <v>5.08</v>
      </c>
      <c r="D9">
        <v>8032.88</v>
      </c>
      <c r="E9">
        <v>1917.72</v>
      </c>
      <c r="F9">
        <v>1677.12</v>
      </c>
      <c r="G9">
        <v>580.19000000000005</v>
      </c>
      <c r="H9">
        <v>0.8</v>
      </c>
      <c r="I9">
        <v>1140.18</v>
      </c>
      <c r="J9">
        <v>276.64</v>
      </c>
      <c r="K9">
        <v>239.79</v>
      </c>
      <c r="L9">
        <v>2.91</v>
      </c>
      <c r="M9">
        <v>0</v>
      </c>
      <c r="N9">
        <v>32.549999999999997</v>
      </c>
      <c r="O9">
        <v>-59.8</v>
      </c>
      <c r="P9">
        <v>18.54</v>
      </c>
      <c r="Q9">
        <v>460.32</v>
      </c>
      <c r="R9">
        <v>-442.85600000000005</v>
      </c>
      <c r="S9">
        <v>551.84</v>
      </c>
      <c r="T9">
        <v>-584.86</v>
      </c>
      <c r="V9" s="136">
        <v>6811.78</v>
      </c>
      <c r="W9" s="136">
        <v>-426.71</v>
      </c>
      <c r="X9" s="136">
        <v>1032.82</v>
      </c>
      <c r="Y9" s="136">
        <v>-125.95</v>
      </c>
      <c r="Z9" s="136">
        <v>983.39</v>
      </c>
      <c r="AA9" s="136">
        <v>-1000.04</v>
      </c>
      <c r="AC9" s="136"/>
      <c r="AD9" s="871">
        <v>1941.74</v>
      </c>
      <c r="AE9" s="871">
        <v>-75.94</v>
      </c>
      <c r="AF9" s="871">
        <v>305.77999999999997</v>
      </c>
      <c r="AG9" s="871">
        <v>-67.37</v>
      </c>
      <c r="AH9" s="136">
        <v>371.78</v>
      </c>
      <c r="AI9" s="136">
        <v>-388.34</v>
      </c>
    </row>
    <row r="10" spans="1:35">
      <c r="A10" t="s">
        <v>47</v>
      </c>
      <c r="B10">
        <v>3983.74</v>
      </c>
      <c r="C10">
        <v>5.08</v>
      </c>
      <c r="D10">
        <v>8032.88</v>
      </c>
      <c r="E10">
        <v>1917.7</v>
      </c>
      <c r="F10">
        <v>1677.12</v>
      </c>
      <c r="G10">
        <v>565.29</v>
      </c>
      <c r="H10">
        <v>0.8</v>
      </c>
      <c r="I10">
        <v>1070.69</v>
      </c>
      <c r="J10">
        <v>255.38</v>
      </c>
      <c r="K10">
        <v>227.19</v>
      </c>
      <c r="L10">
        <v>2.93</v>
      </c>
      <c r="M10">
        <v>0</v>
      </c>
      <c r="N10">
        <v>20.57</v>
      </c>
      <c r="O10">
        <v>-254.66</v>
      </c>
      <c r="P10">
        <v>22.37</v>
      </c>
      <c r="Q10">
        <v>489.88800000000003</v>
      </c>
      <c r="R10">
        <v>-471.65600000000006</v>
      </c>
      <c r="S10">
        <v>588.36</v>
      </c>
      <c r="T10">
        <v>-622.55999999999995</v>
      </c>
      <c r="V10" s="136">
        <v>6811.79</v>
      </c>
      <c r="W10" s="136">
        <v>-426.71</v>
      </c>
      <c r="X10" s="136">
        <v>1008.86</v>
      </c>
      <c r="Y10" s="136">
        <v>-109.76</v>
      </c>
      <c r="Z10" s="136">
        <v>1047.6300000000001</v>
      </c>
      <c r="AA10" s="136">
        <v>-1064.74</v>
      </c>
      <c r="AC10" s="136"/>
      <c r="AD10" s="871">
        <v>1941.73</v>
      </c>
      <c r="AE10" s="871">
        <v>-75.94</v>
      </c>
      <c r="AF10" s="871">
        <v>341.07</v>
      </c>
      <c r="AG10" s="871">
        <v>-45.75</v>
      </c>
      <c r="AH10" s="136">
        <v>393.59</v>
      </c>
      <c r="AI10" s="136">
        <v>-415.83</v>
      </c>
    </row>
    <row r="11" spans="1:35">
      <c r="A11" t="s">
        <v>48</v>
      </c>
      <c r="B11">
        <v>6617.31</v>
      </c>
      <c r="C11">
        <v>9.11</v>
      </c>
      <c r="D11">
        <v>12938.79</v>
      </c>
      <c r="E11">
        <v>3093.97</v>
      </c>
      <c r="F11">
        <v>2716.56</v>
      </c>
      <c r="G11">
        <v>488.14</v>
      </c>
      <c r="H11">
        <v>0.8</v>
      </c>
      <c r="I11">
        <v>891.69</v>
      </c>
      <c r="J11">
        <v>215.13</v>
      </c>
      <c r="K11">
        <v>188.59</v>
      </c>
      <c r="L11">
        <v>2.93</v>
      </c>
      <c r="M11">
        <v>0</v>
      </c>
      <c r="N11">
        <v>16.47</v>
      </c>
      <c r="O11">
        <v>-110.16</v>
      </c>
      <c r="P11">
        <v>15.82</v>
      </c>
      <c r="Q11">
        <v>489.88800000000003</v>
      </c>
      <c r="R11">
        <v>-471.65600000000006</v>
      </c>
      <c r="S11">
        <v>595.57000000000005</v>
      </c>
      <c r="T11">
        <v>-622.55999999999995</v>
      </c>
      <c r="V11" s="136">
        <v>10915.31</v>
      </c>
      <c r="W11" s="136">
        <v>-759.3</v>
      </c>
      <c r="X11" s="136">
        <v>885.54</v>
      </c>
      <c r="Y11" s="136">
        <v>-182.9</v>
      </c>
      <c r="Z11" s="136">
        <v>1054.8399999999999</v>
      </c>
      <c r="AA11" s="136">
        <v>-1064.74</v>
      </c>
      <c r="AC11" s="136"/>
      <c r="AD11" s="871">
        <v>3043.12</v>
      </c>
      <c r="AE11" s="871">
        <v>-158.93</v>
      </c>
      <c r="AF11" s="871">
        <v>269.89999999999998</v>
      </c>
      <c r="AG11" s="871">
        <v>-105.78</v>
      </c>
      <c r="AH11" s="136">
        <v>393.59</v>
      </c>
      <c r="AI11" s="136">
        <v>-415.83</v>
      </c>
    </row>
    <row r="12" spans="1:35">
      <c r="A12" t="s">
        <v>49</v>
      </c>
      <c r="B12">
        <v>6617.28</v>
      </c>
      <c r="C12">
        <v>9.11</v>
      </c>
      <c r="D12">
        <v>12938.75</v>
      </c>
      <c r="E12">
        <v>3094</v>
      </c>
      <c r="F12">
        <v>2716.57</v>
      </c>
      <c r="G12">
        <v>488.14</v>
      </c>
      <c r="H12">
        <v>0.8</v>
      </c>
      <c r="I12">
        <v>891.71</v>
      </c>
      <c r="J12">
        <v>215.12</v>
      </c>
      <c r="K12">
        <v>188.59</v>
      </c>
      <c r="L12">
        <v>2.93</v>
      </c>
      <c r="M12">
        <v>0</v>
      </c>
      <c r="N12">
        <v>16.47</v>
      </c>
      <c r="O12">
        <v>-110.16</v>
      </c>
      <c r="P12">
        <v>15.82</v>
      </c>
      <c r="Q12">
        <v>489.88800000000003</v>
      </c>
      <c r="R12">
        <v>-471.65600000000006</v>
      </c>
      <c r="S12">
        <v>595.57000000000005</v>
      </c>
      <c r="T12">
        <v>-622.55999999999995</v>
      </c>
      <c r="V12" s="136">
        <v>10915.31</v>
      </c>
      <c r="W12" s="136">
        <v>-759.3</v>
      </c>
      <c r="X12" s="136">
        <v>885.54</v>
      </c>
      <c r="Y12" s="136">
        <v>-182.9</v>
      </c>
      <c r="Z12" s="136">
        <v>1054.8399999999999</v>
      </c>
      <c r="AA12" s="136">
        <v>-1064.74</v>
      </c>
      <c r="AC12" s="136"/>
      <c r="AD12" s="871">
        <v>3043.12</v>
      </c>
      <c r="AE12" s="871">
        <v>-158.93</v>
      </c>
      <c r="AF12" s="871">
        <v>269.89</v>
      </c>
      <c r="AG12" s="871">
        <v>-105.78</v>
      </c>
      <c r="AH12" s="136">
        <v>393.59</v>
      </c>
      <c r="AI12" s="136">
        <v>-415.83</v>
      </c>
    </row>
    <row r="13" spans="1:35">
      <c r="A13" t="s">
        <v>50</v>
      </c>
      <c r="B13">
        <v>8810.4500000000007</v>
      </c>
      <c r="C13">
        <v>13.13</v>
      </c>
      <c r="D13">
        <v>16949.810000000001</v>
      </c>
      <c r="E13">
        <v>4068.96</v>
      </c>
      <c r="F13">
        <v>3563</v>
      </c>
      <c r="G13">
        <v>389.13</v>
      </c>
      <c r="H13">
        <v>0.8</v>
      </c>
      <c r="I13">
        <v>712.71</v>
      </c>
      <c r="J13">
        <v>174.87</v>
      </c>
      <c r="K13">
        <v>149.99</v>
      </c>
      <c r="L13">
        <v>2.93</v>
      </c>
      <c r="M13">
        <v>0</v>
      </c>
      <c r="N13">
        <v>12.37</v>
      </c>
      <c r="O13">
        <v>34.340000000000003</v>
      </c>
      <c r="P13">
        <v>9.27</v>
      </c>
      <c r="Q13">
        <v>489.88800000000003</v>
      </c>
      <c r="R13">
        <v>-471.65600000000006</v>
      </c>
      <c r="S13">
        <v>602.78</v>
      </c>
      <c r="T13">
        <v>-622.55999999999995</v>
      </c>
      <c r="V13" s="136">
        <v>14208.06</v>
      </c>
      <c r="W13" s="136">
        <v>-1091.99</v>
      </c>
      <c r="X13" s="136">
        <v>783.4</v>
      </c>
      <c r="Y13" s="136">
        <v>-277.99</v>
      </c>
      <c r="Z13" s="136">
        <v>1062.05</v>
      </c>
      <c r="AA13" s="136">
        <v>-1064.74</v>
      </c>
      <c r="AC13" s="136"/>
      <c r="AD13" s="871">
        <v>3617.16</v>
      </c>
      <c r="AE13" s="871">
        <v>-223.79</v>
      </c>
      <c r="AF13" s="871">
        <v>209.9</v>
      </c>
      <c r="AG13" s="871">
        <v>-176.69</v>
      </c>
      <c r="AH13" s="136">
        <v>393.59</v>
      </c>
      <c r="AI13" s="136">
        <v>-415.83</v>
      </c>
    </row>
    <row r="14" spans="1:35">
      <c r="A14" t="s">
        <v>51</v>
      </c>
      <c r="B14">
        <v>8810.48</v>
      </c>
      <c r="C14">
        <v>13.13</v>
      </c>
      <c r="D14">
        <v>16949.71</v>
      </c>
      <c r="E14">
        <v>4068.95</v>
      </c>
      <c r="F14">
        <v>3563.02</v>
      </c>
      <c r="G14">
        <v>370.15</v>
      </c>
      <c r="H14">
        <v>0.81</v>
      </c>
      <c r="I14">
        <v>631.29</v>
      </c>
      <c r="J14">
        <v>150.32</v>
      </c>
      <c r="K14">
        <v>135.09</v>
      </c>
      <c r="L14">
        <v>1</v>
      </c>
      <c r="M14">
        <v>0</v>
      </c>
      <c r="N14">
        <v>6.68</v>
      </c>
      <c r="O14">
        <v>-193.07</v>
      </c>
      <c r="P14">
        <v>13.42</v>
      </c>
      <c r="Q14">
        <v>407.31200000000001</v>
      </c>
      <c r="R14">
        <v>-385.00799999999998</v>
      </c>
      <c r="S14">
        <v>434.59</v>
      </c>
      <c r="T14">
        <v>-452.84</v>
      </c>
      <c r="V14" s="136">
        <v>14208.06</v>
      </c>
      <c r="W14" s="136">
        <v>-1091.99</v>
      </c>
      <c r="X14" s="136">
        <v>758.34</v>
      </c>
      <c r="Y14" s="136">
        <v>-221.05</v>
      </c>
      <c r="Z14" s="136">
        <v>816.45</v>
      </c>
      <c r="AA14" s="136">
        <v>-813.78</v>
      </c>
      <c r="AC14" s="136"/>
      <c r="AD14" s="871">
        <v>3617.15</v>
      </c>
      <c r="AE14" s="871">
        <v>-223.79</v>
      </c>
      <c r="AF14" s="871">
        <v>287.33</v>
      </c>
      <c r="AG14" s="871">
        <v>-108.98</v>
      </c>
      <c r="AH14" s="136">
        <v>303.45999999999998</v>
      </c>
      <c r="AI14" s="136">
        <v>-326.67</v>
      </c>
    </row>
    <row r="15" spans="1:35">
      <c r="A15" t="s">
        <v>52</v>
      </c>
      <c r="B15">
        <v>10413.719999999999</v>
      </c>
      <c r="C15">
        <v>17.16</v>
      </c>
      <c r="D15">
        <v>19658.7</v>
      </c>
      <c r="E15">
        <v>4719.8999999999996</v>
      </c>
      <c r="F15">
        <v>4141.9799999999996</v>
      </c>
      <c r="G15">
        <v>271.14999999999998</v>
      </c>
      <c r="H15">
        <v>0.81</v>
      </c>
      <c r="I15">
        <v>452.29</v>
      </c>
      <c r="J15">
        <v>110.07</v>
      </c>
      <c r="K15">
        <v>96.49</v>
      </c>
      <c r="L15">
        <v>1</v>
      </c>
      <c r="M15">
        <v>0</v>
      </c>
      <c r="N15">
        <v>2.58</v>
      </c>
      <c r="O15">
        <v>-48.57</v>
      </c>
      <c r="P15">
        <v>6.87</v>
      </c>
      <c r="Q15">
        <v>407.31200000000001</v>
      </c>
      <c r="R15">
        <v>-385.00799999999998</v>
      </c>
      <c r="S15">
        <v>441.8</v>
      </c>
      <c r="T15">
        <v>-452.58</v>
      </c>
      <c r="V15" s="136">
        <v>16441.72</v>
      </c>
      <c r="W15" s="136">
        <v>-1424.83</v>
      </c>
      <c r="X15" s="136">
        <v>652.79999999999995</v>
      </c>
      <c r="Y15" s="136">
        <v>-304.18</v>
      </c>
      <c r="Z15" s="136">
        <v>823.66</v>
      </c>
      <c r="AA15" s="136">
        <v>-813.52</v>
      </c>
      <c r="AC15" s="136"/>
      <c r="AD15" s="871">
        <v>4185.6899999999996</v>
      </c>
      <c r="AE15" s="871">
        <v>-286.23</v>
      </c>
      <c r="AF15" s="871">
        <v>225.69</v>
      </c>
      <c r="AG15" s="871">
        <v>-164.81</v>
      </c>
      <c r="AH15" s="136">
        <v>303.45999999999998</v>
      </c>
      <c r="AI15" s="136">
        <v>-326.67</v>
      </c>
    </row>
    <row r="16" spans="1:35">
      <c r="A16" t="s">
        <v>53</v>
      </c>
      <c r="B16">
        <v>10413.700000000001</v>
      </c>
      <c r="C16">
        <v>17.16</v>
      </c>
      <c r="D16">
        <v>19658.689999999999</v>
      </c>
      <c r="E16">
        <v>4719.87</v>
      </c>
      <c r="F16">
        <v>4141.9799999999996</v>
      </c>
      <c r="G16">
        <v>271.2</v>
      </c>
      <c r="H16">
        <v>0.81</v>
      </c>
      <c r="I16">
        <v>452.28</v>
      </c>
      <c r="J16">
        <v>110.05</v>
      </c>
      <c r="K16">
        <v>96.5</v>
      </c>
      <c r="L16">
        <v>1</v>
      </c>
      <c r="M16">
        <v>0</v>
      </c>
      <c r="N16">
        <v>2.58</v>
      </c>
      <c r="O16">
        <v>-48.57</v>
      </c>
      <c r="P16">
        <v>6.87</v>
      </c>
      <c r="Q16">
        <v>407.31200000000001</v>
      </c>
      <c r="R16">
        <v>-385.00799999999998</v>
      </c>
      <c r="S16">
        <v>441.8</v>
      </c>
      <c r="T16">
        <v>-452.58</v>
      </c>
      <c r="V16" s="136">
        <v>16441.72</v>
      </c>
      <c r="W16" s="136">
        <v>-1424.83</v>
      </c>
      <c r="X16" s="136">
        <v>652.79999999999995</v>
      </c>
      <c r="Y16" s="136">
        <v>-304.18</v>
      </c>
      <c r="Z16" s="136">
        <v>823.66</v>
      </c>
      <c r="AA16" s="136">
        <v>-813.52</v>
      </c>
      <c r="AC16" s="136"/>
      <c r="AD16" s="871">
        <v>4185.7</v>
      </c>
      <c r="AE16" s="871">
        <v>-286.22000000000003</v>
      </c>
      <c r="AF16" s="871">
        <v>225.67</v>
      </c>
      <c r="AG16" s="871">
        <v>-164.83</v>
      </c>
      <c r="AH16" s="136">
        <v>303.45999999999998</v>
      </c>
      <c r="AI16" s="136">
        <v>-326.67</v>
      </c>
    </row>
    <row r="17" spans="1:35">
      <c r="A17" t="s">
        <v>54</v>
      </c>
      <c r="B17">
        <v>11491.86</v>
      </c>
      <c r="C17">
        <v>21.18</v>
      </c>
      <c r="D17">
        <v>21472.55</v>
      </c>
      <c r="E17">
        <v>5169.4799999999996</v>
      </c>
      <c r="F17">
        <v>4528.01</v>
      </c>
      <c r="G17">
        <v>160.07</v>
      </c>
      <c r="H17">
        <v>0.81</v>
      </c>
      <c r="I17">
        <v>273.27999999999997</v>
      </c>
      <c r="J17">
        <v>69.8</v>
      </c>
      <c r="K17">
        <v>57.9</v>
      </c>
      <c r="L17">
        <v>1</v>
      </c>
      <c r="M17">
        <v>0</v>
      </c>
      <c r="N17">
        <v>-1.52</v>
      </c>
      <c r="O17">
        <v>95.93</v>
      </c>
      <c r="P17">
        <v>0.32</v>
      </c>
      <c r="Q17">
        <v>407.31200000000001</v>
      </c>
      <c r="R17">
        <v>-385.00799999999998</v>
      </c>
      <c r="S17">
        <v>449.01</v>
      </c>
      <c r="T17">
        <v>-452.58</v>
      </c>
      <c r="V17" s="136">
        <v>18066.830000000002</v>
      </c>
      <c r="W17" s="136">
        <v>-1759.08</v>
      </c>
      <c r="X17" s="136">
        <v>563.48</v>
      </c>
      <c r="Y17" s="136">
        <v>-403.78</v>
      </c>
      <c r="Z17" s="136">
        <v>830.87</v>
      </c>
      <c r="AA17" s="136">
        <v>-813.52</v>
      </c>
      <c r="AC17" s="136"/>
      <c r="AD17" s="871">
        <v>4321.82</v>
      </c>
      <c r="AE17" s="871">
        <v>-358.88</v>
      </c>
      <c r="AF17" s="871">
        <v>171.8</v>
      </c>
      <c r="AG17" s="871">
        <v>-224.89</v>
      </c>
      <c r="AH17" s="136">
        <v>303.45999999999998</v>
      </c>
      <c r="AI17" s="136">
        <v>-326.67</v>
      </c>
    </row>
    <row r="18" spans="1:35">
      <c r="A18" t="s">
        <v>55</v>
      </c>
      <c r="B18">
        <v>11491.83</v>
      </c>
      <c r="C18">
        <v>21.18</v>
      </c>
      <c r="D18">
        <v>21472.54</v>
      </c>
      <c r="E18">
        <v>5169.4799999999996</v>
      </c>
      <c r="F18">
        <v>4527.96</v>
      </c>
      <c r="G18">
        <v>139.71</v>
      </c>
      <c r="H18">
        <v>0.8</v>
      </c>
      <c r="I18">
        <v>187.21</v>
      </c>
      <c r="J18">
        <v>44.54</v>
      </c>
      <c r="K18">
        <v>42.63</v>
      </c>
      <c r="L18">
        <v>-2.04</v>
      </c>
      <c r="M18">
        <v>0</v>
      </c>
      <c r="N18">
        <v>-11.49</v>
      </c>
      <c r="O18">
        <v>-143.97</v>
      </c>
      <c r="P18">
        <v>5.47</v>
      </c>
      <c r="Q18">
        <v>346.37600000000003</v>
      </c>
      <c r="R18">
        <v>-325.82399999999996</v>
      </c>
      <c r="S18">
        <v>314.29000000000002</v>
      </c>
      <c r="T18">
        <v>-311.64999999999998</v>
      </c>
      <c r="V18" s="136">
        <v>18066.830000000002</v>
      </c>
      <c r="W18" s="136">
        <v>-1759.08</v>
      </c>
      <c r="X18" s="136">
        <v>552.13</v>
      </c>
      <c r="Y18" s="136">
        <v>-352.17</v>
      </c>
      <c r="Z18" s="136">
        <v>639.02</v>
      </c>
      <c r="AA18" s="136">
        <v>-617.11</v>
      </c>
      <c r="AC18" s="136"/>
      <c r="AD18" s="871">
        <v>4321.82</v>
      </c>
      <c r="AE18" s="871">
        <v>-358.88</v>
      </c>
      <c r="AF18" s="871">
        <v>253.68</v>
      </c>
      <c r="AG18" s="871">
        <v>-146.47999999999999</v>
      </c>
      <c r="AH18" s="136">
        <v>207.2</v>
      </c>
      <c r="AI18" s="136">
        <v>-228.95</v>
      </c>
    </row>
    <row r="19" spans="1:35">
      <c r="A19" t="s">
        <v>56</v>
      </c>
      <c r="B19">
        <v>11912.56</v>
      </c>
      <c r="C19">
        <v>25.2</v>
      </c>
      <c r="D19">
        <v>21961.119999999999</v>
      </c>
      <c r="E19">
        <v>5291.55</v>
      </c>
      <c r="F19">
        <v>4644.6099999999997</v>
      </c>
      <c r="G19">
        <v>28.58</v>
      </c>
      <c r="H19">
        <v>0.8</v>
      </c>
      <c r="I19">
        <v>8.2100000000000009</v>
      </c>
      <c r="J19">
        <v>4.29</v>
      </c>
      <c r="K19">
        <v>4.03</v>
      </c>
      <c r="L19">
        <v>-2.04</v>
      </c>
      <c r="M19">
        <v>0</v>
      </c>
      <c r="N19">
        <v>-15.59</v>
      </c>
      <c r="O19">
        <v>0.53</v>
      </c>
      <c r="P19">
        <v>-1.08</v>
      </c>
      <c r="Q19">
        <v>346.37600000000003</v>
      </c>
      <c r="R19">
        <v>-314.14400000000001</v>
      </c>
      <c r="S19">
        <v>319.64999999999998</v>
      </c>
      <c r="T19">
        <v>-302.94</v>
      </c>
      <c r="V19" s="136">
        <v>18634.91</v>
      </c>
      <c r="W19" s="136">
        <v>-2093.64</v>
      </c>
      <c r="X19" s="136">
        <v>454.01</v>
      </c>
      <c r="Y19" s="136">
        <v>-439.91</v>
      </c>
      <c r="Z19" s="136">
        <v>644.38</v>
      </c>
      <c r="AA19" s="136">
        <v>-597.45000000000005</v>
      </c>
      <c r="AC19" s="136"/>
      <c r="AD19" s="871">
        <v>4526.41</v>
      </c>
      <c r="AE19" s="871">
        <v>-433.36</v>
      </c>
      <c r="AF19" s="871">
        <v>193.2</v>
      </c>
      <c r="AG19" s="871">
        <v>-200.07</v>
      </c>
      <c r="AH19" s="136">
        <v>207.2</v>
      </c>
      <c r="AI19" s="136">
        <v>-228.95</v>
      </c>
    </row>
    <row r="20" spans="1:35">
      <c r="A20" t="s">
        <v>57</v>
      </c>
      <c r="B20">
        <v>11912.56</v>
      </c>
      <c r="C20">
        <v>25.2</v>
      </c>
      <c r="D20">
        <v>21961.16</v>
      </c>
      <c r="E20">
        <v>5291.58</v>
      </c>
      <c r="F20">
        <v>4644.62</v>
      </c>
      <c r="G20">
        <v>28.62</v>
      </c>
      <c r="H20">
        <v>0.8</v>
      </c>
      <c r="I20">
        <v>8.17</v>
      </c>
      <c r="J20">
        <v>4.2699999999999996</v>
      </c>
      <c r="K20">
        <v>4.01</v>
      </c>
      <c r="L20">
        <v>-2.04</v>
      </c>
      <c r="M20">
        <v>0</v>
      </c>
      <c r="N20">
        <v>-15.59</v>
      </c>
      <c r="O20">
        <v>0.53</v>
      </c>
      <c r="P20">
        <v>-1.08</v>
      </c>
      <c r="Q20">
        <v>346.37600000000003</v>
      </c>
      <c r="R20">
        <v>-314.14400000000001</v>
      </c>
      <c r="S20">
        <v>319.64999999999998</v>
      </c>
      <c r="T20">
        <v>-302.94</v>
      </c>
      <c r="V20" s="136">
        <v>18634.91</v>
      </c>
      <c r="W20" s="136">
        <v>-2093.64</v>
      </c>
      <c r="X20" s="136">
        <v>454.01</v>
      </c>
      <c r="Y20" s="136">
        <v>-439.91</v>
      </c>
      <c r="Z20" s="136">
        <v>644.38</v>
      </c>
      <c r="AA20" s="136">
        <v>-597.45000000000005</v>
      </c>
      <c r="AC20" s="136"/>
      <c r="AD20" s="871">
        <v>4526.41</v>
      </c>
      <c r="AE20" s="871">
        <v>-433.36</v>
      </c>
      <c r="AF20" s="871">
        <v>193.21</v>
      </c>
      <c r="AG20" s="871">
        <v>-200.07</v>
      </c>
      <c r="AH20" s="136">
        <v>207.2</v>
      </c>
      <c r="AI20" s="136">
        <v>-228.95</v>
      </c>
    </row>
    <row r="21" spans="1:35">
      <c r="A21" t="s">
        <v>58</v>
      </c>
      <c r="B21">
        <v>11777.86</v>
      </c>
      <c r="C21">
        <v>29.22</v>
      </c>
      <c r="D21">
        <v>21554.5</v>
      </c>
      <c r="E21">
        <v>5212.3</v>
      </c>
      <c r="F21">
        <v>4568.1499999999996</v>
      </c>
      <c r="G21">
        <v>-82.51</v>
      </c>
      <c r="H21">
        <v>0.8</v>
      </c>
      <c r="I21">
        <v>-170.83</v>
      </c>
      <c r="J21">
        <v>-35.979999999999997</v>
      </c>
      <c r="K21">
        <v>-34.590000000000003</v>
      </c>
      <c r="L21">
        <v>-2.04</v>
      </c>
      <c r="M21">
        <v>0</v>
      </c>
      <c r="N21">
        <v>-19.690000000000001</v>
      </c>
      <c r="O21">
        <v>145.03</v>
      </c>
      <c r="P21">
        <v>-7.63</v>
      </c>
      <c r="Q21">
        <v>347.98400000000004</v>
      </c>
      <c r="R21">
        <v>-314.14400000000001</v>
      </c>
      <c r="S21">
        <v>326.86</v>
      </c>
      <c r="T21">
        <v>-302.86</v>
      </c>
      <c r="V21" s="136">
        <v>18650.66</v>
      </c>
      <c r="W21" s="136">
        <v>-2428.21</v>
      </c>
      <c r="X21" s="136">
        <v>372.08</v>
      </c>
      <c r="Y21" s="136">
        <v>-542.6</v>
      </c>
      <c r="Z21" s="136">
        <v>653.1</v>
      </c>
      <c r="AA21" s="136">
        <v>-597.37</v>
      </c>
      <c r="AC21" s="136"/>
      <c r="AD21" s="871">
        <v>4334.87</v>
      </c>
      <c r="AE21" s="871">
        <v>-507.84</v>
      </c>
      <c r="AF21" s="871">
        <v>141.35</v>
      </c>
      <c r="AG21" s="871">
        <v>-258.49</v>
      </c>
      <c r="AH21" s="136">
        <v>207.2</v>
      </c>
      <c r="AI21" s="136">
        <v>-228.95</v>
      </c>
    </row>
    <row r="22" spans="1:35">
      <c r="A22" t="s">
        <v>59</v>
      </c>
      <c r="B22">
        <v>11777.89</v>
      </c>
      <c r="C22">
        <v>29.22</v>
      </c>
      <c r="D22">
        <v>21554.52</v>
      </c>
      <c r="E22">
        <v>5212.29</v>
      </c>
      <c r="F22">
        <v>4568.1899999999996</v>
      </c>
      <c r="G22">
        <v>-98.11</v>
      </c>
      <c r="H22">
        <v>0.81</v>
      </c>
      <c r="I22">
        <v>-227.87</v>
      </c>
      <c r="J22">
        <v>-53.2</v>
      </c>
      <c r="K22">
        <v>-45.02</v>
      </c>
      <c r="L22">
        <v>0.67</v>
      </c>
      <c r="M22">
        <v>0</v>
      </c>
      <c r="N22">
        <v>2.94</v>
      </c>
      <c r="O22">
        <v>-82.34</v>
      </c>
      <c r="P22">
        <v>4.78</v>
      </c>
      <c r="Q22">
        <v>344.44</v>
      </c>
      <c r="R22">
        <v>-348.40800000000002</v>
      </c>
      <c r="S22">
        <v>292.60000000000002</v>
      </c>
      <c r="T22">
        <v>-308.48</v>
      </c>
      <c r="V22" s="136">
        <v>18650.650000000001</v>
      </c>
      <c r="W22" s="136">
        <v>-2428.21</v>
      </c>
      <c r="X22" s="136">
        <v>404.89</v>
      </c>
      <c r="Y22" s="136">
        <v>-544.74</v>
      </c>
      <c r="Z22" s="136">
        <v>615.52</v>
      </c>
      <c r="AA22" s="136">
        <v>-635.11</v>
      </c>
      <c r="AC22" s="136"/>
      <c r="AD22" s="871">
        <v>4334.88</v>
      </c>
      <c r="AE22" s="871">
        <v>-507.85</v>
      </c>
      <c r="AF22" s="871">
        <v>207.51</v>
      </c>
      <c r="AG22" s="871">
        <v>-188.82</v>
      </c>
      <c r="AH22" s="136">
        <v>201.59</v>
      </c>
      <c r="AI22" s="136">
        <v>-163.97</v>
      </c>
    </row>
    <row r="23" spans="1:35">
      <c r="A23" t="s">
        <v>60</v>
      </c>
      <c r="B23">
        <v>11009.52</v>
      </c>
      <c r="C23">
        <v>33.24</v>
      </c>
      <c r="D23">
        <v>19967.650000000001</v>
      </c>
      <c r="E23">
        <v>4845.6899999999996</v>
      </c>
      <c r="F23">
        <v>4246.6000000000004</v>
      </c>
      <c r="G23">
        <v>-209.24</v>
      </c>
      <c r="H23">
        <v>0.81</v>
      </c>
      <c r="I23">
        <v>-406.87</v>
      </c>
      <c r="J23">
        <v>-93.45</v>
      </c>
      <c r="K23">
        <v>-83.62</v>
      </c>
      <c r="L23">
        <v>0.67</v>
      </c>
      <c r="M23">
        <v>0</v>
      </c>
      <c r="N23">
        <v>-1.1599999999999999</v>
      </c>
      <c r="O23">
        <v>62.16</v>
      </c>
      <c r="P23">
        <v>-1.77</v>
      </c>
      <c r="Q23">
        <v>344.44</v>
      </c>
      <c r="R23">
        <v>-348.40800000000002</v>
      </c>
      <c r="S23">
        <v>293.95</v>
      </c>
      <c r="T23">
        <v>-302.61</v>
      </c>
      <c r="V23" s="136">
        <v>17828.849999999999</v>
      </c>
      <c r="W23" s="136">
        <v>-2762.12</v>
      </c>
      <c r="X23" s="136">
        <v>317.18</v>
      </c>
      <c r="Y23" s="136">
        <v>-641.21</v>
      </c>
      <c r="Z23" s="136">
        <v>616.87</v>
      </c>
      <c r="AA23" s="136">
        <v>-629.24</v>
      </c>
      <c r="AC23" s="136"/>
      <c r="AD23" s="871">
        <v>4156.32</v>
      </c>
      <c r="AE23" s="871">
        <v>-579.47</v>
      </c>
      <c r="AF23" s="871">
        <v>146.88999999999999</v>
      </c>
      <c r="AG23" s="871">
        <v>-246.98</v>
      </c>
      <c r="AH23" s="136">
        <v>201.59</v>
      </c>
      <c r="AI23" s="136">
        <v>-163.97</v>
      </c>
    </row>
    <row r="24" spans="1:35">
      <c r="A24" t="s">
        <v>61</v>
      </c>
      <c r="B24">
        <v>11009.53</v>
      </c>
      <c r="C24">
        <v>33.24</v>
      </c>
      <c r="D24">
        <v>19967.689999999999</v>
      </c>
      <c r="E24">
        <v>4845.68</v>
      </c>
      <c r="F24">
        <v>4246.5600000000004</v>
      </c>
      <c r="G24">
        <v>-226.95</v>
      </c>
      <c r="H24">
        <v>0.8</v>
      </c>
      <c r="I24">
        <v>-468.2</v>
      </c>
      <c r="J24">
        <v>-110.9</v>
      </c>
      <c r="K24">
        <v>-94.2</v>
      </c>
      <c r="L24">
        <v>0.19</v>
      </c>
      <c r="M24">
        <v>-0.01</v>
      </c>
      <c r="N24">
        <v>15.33</v>
      </c>
      <c r="O24">
        <v>-166.65</v>
      </c>
      <c r="P24">
        <v>10.55</v>
      </c>
      <c r="Q24">
        <v>345.72800000000001</v>
      </c>
      <c r="R24">
        <v>-371.61599999999999</v>
      </c>
      <c r="S24">
        <v>354.88</v>
      </c>
      <c r="T24">
        <v>-381.18</v>
      </c>
      <c r="V24" s="136">
        <v>17828.849999999999</v>
      </c>
      <c r="W24" s="136">
        <v>-2762.12</v>
      </c>
      <c r="X24" s="136">
        <v>361.34</v>
      </c>
      <c r="Y24" s="136">
        <v>-643.48</v>
      </c>
      <c r="Z24" s="136">
        <v>679</v>
      </c>
      <c r="AA24" s="136">
        <v>-729.58</v>
      </c>
      <c r="AC24" s="136"/>
      <c r="AD24" s="871">
        <v>4156.33</v>
      </c>
      <c r="AE24" s="871">
        <v>-579.47</v>
      </c>
      <c r="AF24" s="871">
        <v>219.52</v>
      </c>
      <c r="AG24" s="871">
        <v>-185.3</v>
      </c>
      <c r="AH24" s="136">
        <v>293.48</v>
      </c>
      <c r="AI24" s="136">
        <v>-261.43</v>
      </c>
    </row>
    <row r="25" spans="1:35">
      <c r="A25" t="s">
        <v>62</v>
      </c>
      <c r="B25">
        <v>9596.94</v>
      </c>
      <c r="C25">
        <v>37.229999999999997</v>
      </c>
      <c r="D25">
        <v>17179.14</v>
      </c>
      <c r="E25">
        <v>4190.54</v>
      </c>
      <c r="F25">
        <v>3679.05</v>
      </c>
      <c r="G25">
        <v>-338.08</v>
      </c>
      <c r="H25">
        <v>0.8</v>
      </c>
      <c r="I25">
        <v>-647.20000000000005</v>
      </c>
      <c r="J25">
        <v>-151.15</v>
      </c>
      <c r="K25">
        <v>-132.80000000000001</v>
      </c>
      <c r="L25">
        <v>0.19</v>
      </c>
      <c r="M25">
        <v>-0.01</v>
      </c>
      <c r="N25">
        <v>11.23</v>
      </c>
      <c r="O25">
        <v>-22.15</v>
      </c>
      <c r="P25">
        <v>4</v>
      </c>
      <c r="Q25">
        <v>345.72800000000001</v>
      </c>
      <c r="R25">
        <v>-371.61599999999999</v>
      </c>
      <c r="S25">
        <v>354.88</v>
      </c>
      <c r="T25">
        <v>-373.97</v>
      </c>
      <c r="V25" s="136">
        <v>16156.45</v>
      </c>
      <c r="W25" s="136">
        <v>-3094.24</v>
      </c>
      <c r="X25" s="136">
        <v>269.23</v>
      </c>
      <c r="Y25" s="136">
        <v>-735.21</v>
      </c>
      <c r="Z25" s="136">
        <v>679</v>
      </c>
      <c r="AA25" s="136">
        <v>-722.37</v>
      </c>
      <c r="AC25" s="136"/>
      <c r="AD25" s="871">
        <v>4001.01</v>
      </c>
      <c r="AE25" s="871">
        <v>-640.96</v>
      </c>
      <c r="AF25" s="871">
        <v>160.13</v>
      </c>
      <c r="AG25" s="871">
        <v>-236.32</v>
      </c>
      <c r="AH25" s="136">
        <v>293.48</v>
      </c>
      <c r="AI25" s="136">
        <v>-261.43</v>
      </c>
    </row>
    <row r="26" spans="1:35">
      <c r="A26" t="s">
        <v>63</v>
      </c>
      <c r="B26">
        <v>9596.94</v>
      </c>
      <c r="C26">
        <v>37.229999999999997</v>
      </c>
      <c r="D26">
        <v>17179.23</v>
      </c>
      <c r="E26">
        <v>4190.55</v>
      </c>
      <c r="F26">
        <v>3679.04</v>
      </c>
      <c r="G26">
        <v>-338.14</v>
      </c>
      <c r="H26">
        <v>0.8</v>
      </c>
      <c r="I26">
        <v>-647.17999999999995</v>
      </c>
      <c r="J26">
        <v>-151.13</v>
      </c>
      <c r="K26">
        <v>-132.83000000000001</v>
      </c>
      <c r="L26">
        <v>0.19</v>
      </c>
      <c r="M26">
        <v>-0.01</v>
      </c>
      <c r="N26">
        <v>11.23</v>
      </c>
      <c r="O26">
        <v>-22.15</v>
      </c>
      <c r="P26">
        <v>4</v>
      </c>
      <c r="Q26">
        <v>345.72800000000001</v>
      </c>
      <c r="R26">
        <v>-371.61599999999999</v>
      </c>
      <c r="S26">
        <v>354.88</v>
      </c>
      <c r="T26">
        <v>-373.97</v>
      </c>
      <c r="V26" s="136">
        <v>16156.45</v>
      </c>
      <c r="W26" s="136">
        <v>-3094.24</v>
      </c>
      <c r="X26" s="136">
        <v>269.23</v>
      </c>
      <c r="Y26" s="136">
        <v>-735.21</v>
      </c>
      <c r="Z26" s="136">
        <v>679</v>
      </c>
      <c r="AA26" s="136">
        <v>-722.37</v>
      </c>
      <c r="AC26" s="136"/>
      <c r="AD26" s="871">
        <v>4000.99</v>
      </c>
      <c r="AE26" s="871">
        <v>-640.95000000000005</v>
      </c>
      <c r="AF26" s="871">
        <v>160.13999999999999</v>
      </c>
      <c r="AG26" s="871">
        <v>-236.31</v>
      </c>
      <c r="AH26" s="136">
        <v>293.48</v>
      </c>
      <c r="AI26" s="136">
        <v>-261.43</v>
      </c>
    </row>
    <row r="27" spans="1:35">
      <c r="A27" t="s">
        <v>64</v>
      </c>
      <c r="B27">
        <v>7666.94</v>
      </c>
      <c r="C27">
        <v>41.22</v>
      </c>
      <c r="D27">
        <v>13495.84</v>
      </c>
      <c r="E27">
        <v>3334.3</v>
      </c>
      <c r="F27">
        <v>2918.38</v>
      </c>
      <c r="G27">
        <v>-433.86</v>
      </c>
      <c r="H27">
        <v>0.8</v>
      </c>
      <c r="I27">
        <v>-826.18</v>
      </c>
      <c r="J27">
        <v>-191.38</v>
      </c>
      <c r="K27">
        <v>-171.43</v>
      </c>
      <c r="L27">
        <v>0.19</v>
      </c>
      <c r="M27">
        <v>-0.01</v>
      </c>
      <c r="N27">
        <v>7.13</v>
      </c>
      <c r="O27">
        <v>122.35</v>
      </c>
      <c r="P27">
        <v>-2.5499999999999998</v>
      </c>
      <c r="Q27">
        <v>350.54399999999998</v>
      </c>
      <c r="R27">
        <v>-371.61599999999999</v>
      </c>
      <c r="S27">
        <v>358.31</v>
      </c>
      <c r="T27">
        <v>-366.77</v>
      </c>
      <c r="V27" s="136">
        <v>13989.12</v>
      </c>
      <c r="W27" s="136">
        <v>-3426.36</v>
      </c>
      <c r="X27" s="136">
        <v>194.31</v>
      </c>
      <c r="Y27" s="136">
        <v>-841.58</v>
      </c>
      <c r="Z27" s="136">
        <v>686.94</v>
      </c>
      <c r="AA27" s="136">
        <v>-715.16</v>
      </c>
      <c r="AC27" s="136"/>
      <c r="AD27" s="871">
        <v>3490.86</v>
      </c>
      <c r="AE27" s="871">
        <v>-702.42</v>
      </c>
      <c r="AF27" s="871">
        <v>107.48</v>
      </c>
      <c r="AG27" s="871">
        <v>-293.24</v>
      </c>
      <c r="AH27" s="136">
        <v>293.48</v>
      </c>
      <c r="AI27" s="136">
        <v>-261.43</v>
      </c>
    </row>
    <row r="28" spans="1:35">
      <c r="A28" t="s">
        <v>65</v>
      </c>
      <c r="B28">
        <v>7667.03</v>
      </c>
      <c r="C28">
        <v>41.22</v>
      </c>
      <c r="D28">
        <v>13495.9</v>
      </c>
      <c r="E28">
        <v>3334.27</v>
      </c>
      <c r="F28">
        <v>2918.4</v>
      </c>
      <c r="G28">
        <v>-451.11</v>
      </c>
      <c r="H28">
        <v>0.79</v>
      </c>
      <c r="I28">
        <v>-905.7</v>
      </c>
      <c r="J28">
        <v>-216.38</v>
      </c>
      <c r="K28">
        <v>-186.41</v>
      </c>
      <c r="L28">
        <v>0.69</v>
      </c>
      <c r="M28">
        <v>-0.02</v>
      </c>
      <c r="N28">
        <v>6.16</v>
      </c>
      <c r="O28">
        <v>-123.22</v>
      </c>
      <c r="P28">
        <v>3.91</v>
      </c>
      <c r="Q28">
        <v>394.33600000000001</v>
      </c>
      <c r="R28">
        <v>-429.96000000000004</v>
      </c>
      <c r="S28">
        <v>478.36</v>
      </c>
      <c r="T28">
        <v>-486.17</v>
      </c>
      <c r="V28" s="136">
        <v>13989.12</v>
      </c>
      <c r="W28" s="136">
        <v>-3426.36</v>
      </c>
      <c r="X28" s="136">
        <v>261.68</v>
      </c>
      <c r="Y28" s="136">
        <v>-870.41</v>
      </c>
      <c r="Z28" s="136">
        <v>848.05</v>
      </c>
      <c r="AA28" s="136">
        <v>-889.26</v>
      </c>
      <c r="AC28" s="136"/>
      <c r="AD28" s="871">
        <v>3490.86</v>
      </c>
      <c r="AE28" s="871">
        <v>-702.42</v>
      </c>
      <c r="AF28" s="871">
        <v>182.37</v>
      </c>
      <c r="AG28" s="871">
        <v>-224.03</v>
      </c>
      <c r="AH28" s="136">
        <v>364.77</v>
      </c>
      <c r="AI28" s="136">
        <v>-329.59</v>
      </c>
    </row>
    <row r="29" spans="1:35">
      <c r="A29" t="s">
        <v>66</v>
      </c>
      <c r="B29">
        <v>5180.59</v>
      </c>
      <c r="C29">
        <v>45.2</v>
      </c>
      <c r="D29">
        <v>8519.91</v>
      </c>
      <c r="E29">
        <v>2151.7600000000002</v>
      </c>
      <c r="F29">
        <v>1889.88</v>
      </c>
      <c r="G29">
        <v>-543.46</v>
      </c>
      <c r="H29">
        <v>0.79</v>
      </c>
      <c r="I29">
        <v>-1084.7</v>
      </c>
      <c r="J29">
        <v>-256.63</v>
      </c>
      <c r="K29">
        <v>-225.01</v>
      </c>
      <c r="L29">
        <v>0.69</v>
      </c>
      <c r="M29">
        <v>-0.02</v>
      </c>
      <c r="N29">
        <v>2.06</v>
      </c>
      <c r="O29">
        <v>21.28</v>
      </c>
      <c r="P29">
        <v>-2.64</v>
      </c>
      <c r="Q29">
        <v>394.33600000000001</v>
      </c>
      <c r="R29">
        <v>-429.96000000000004</v>
      </c>
      <c r="S29">
        <v>478.36</v>
      </c>
      <c r="T29">
        <v>-478.96</v>
      </c>
      <c r="V29" s="136">
        <v>10897.17</v>
      </c>
      <c r="W29" s="136">
        <v>-3757.43</v>
      </c>
      <c r="X29" s="136">
        <v>181.49</v>
      </c>
      <c r="Y29" s="136">
        <v>-967.84</v>
      </c>
      <c r="Z29" s="136">
        <v>848.05</v>
      </c>
      <c r="AA29" s="136">
        <v>-882.05</v>
      </c>
      <c r="AC29" s="136"/>
      <c r="AD29" s="871">
        <v>3091.93</v>
      </c>
      <c r="AE29" s="871">
        <v>-785.01</v>
      </c>
      <c r="AF29" s="871">
        <v>124.48</v>
      </c>
      <c r="AG29" s="871">
        <v>-274.29000000000002</v>
      </c>
      <c r="AH29" s="136">
        <v>364.77</v>
      </c>
      <c r="AI29" s="136">
        <v>-329.59</v>
      </c>
    </row>
    <row r="30" spans="1:35">
      <c r="A30" t="s">
        <v>67</v>
      </c>
      <c r="B30">
        <v>5180.6099999999997</v>
      </c>
      <c r="C30">
        <v>45.2</v>
      </c>
      <c r="D30">
        <v>8519.93</v>
      </c>
      <c r="E30">
        <v>2151.7800000000002</v>
      </c>
      <c r="F30">
        <v>1889.87</v>
      </c>
      <c r="G30">
        <v>-543.46</v>
      </c>
      <c r="H30">
        <v>0.79</v>
      </c>
      <c r="I30">
        <v>-1084.6600000000001</v>
      </c>
      <c r="J30">
        <v>-256.64</v>
      </c>
      <c r="K30">
        <v>-225.01</v>
      </c>
      <c r="L30">
        <v>0.69</v>
      </c>
      <c r="M30">
        <v>-0.02</v>
      </c>
      <c r="N30">
        <v>2.06</v>
      </c>
      <c r="O30">
        <v>21.28</v>
      </c>
      <c r="P30">
        <v>-2.64</v>
      </c>
      <c r="Q30">
        <v>394.33600000000001</v>
      </c>
      <c r="R30">
        <v>-429.96000000000004</v>
      </c>
      <c r="S30">
        <v>478.36</v>
      </c>
      <c r="T30">
        <v>-478.96</v>
      </c>
      <c r="V30" s="136">
        <v>10897.17</v>
      </c>
      <c r="W30" s="136">
        <v>-3757.43</v>
      </c>
      <c r="X30" s="136">
        <v>181.49</v>
      </c>
      <c r="Y30" s="136">
        <v>-967.84</v>
      </c>
      <c r="Z30" s="136">
        <v>848.05</v>
      </c>
      <c r="AA30" s="136">
        <v>-882.05</v>
      </c>
      <c r="AC30" s="136"/>
      <c r="AD30" s="871">
        <v>3091.92</v>
      </c>
      <c r="AE30" s="871">
        <v>-785</v>
      </c>
      <c r="AF30" s="871">
        <v>124.47</v>
      </c>
      <c r="AG30" s="871">
        <v>-274.29000000000002</v>
      </c>
      <c r="AH30" s="136">
        <v>364.77</v>
      </c>
      <c r="AI30" s="136">
        <v>-329.59</v>
      </c>
    </row>
    <row r="31" spans="1:35">
      <c r="A31" t="s">
        <v>68</v>
      </c>
      <c r="B31">
        <v>2232.41</v>
      </c>
      <c r="C31">
        <v>49.17</v>
      </c>
      <c r="D31">
        <v>2649.12</v>
      </c>
      <c r="E31">
        <v>767.98</v>
      </c>
      <c r="F31">
        <v>668.33</v>
      </c>
      <c r="G31">
        <v>-635.82000000000005</v>
      </c>
      <c r="H31">
        <v>0.79</v>
      </c>
      <c r="I31">
        <v>-1263.6600000000001</v>
      </c>
      <c r="J31">
        <v>-296.89</v>
      </c>
      <c r="K31">
        <v>-263.61</v>
      </c>
      <c r="L31">
        <v>0.69</v>
      </c>
      <c r="M31">
        <v>-0.02</v>
      </c>
      <c r="N31">
        <v>-2.04</v>
      </c>
      <c r="O31">
        <v>165.78</v>
      </c>
      <c r="P31">
        <v>-9.19</v>
      </c>
      <c r="Q31">
        <v>396.44</v>
      </c>
      <c r="R31">
        <v>-429.96000000000004</v>
      </c>
      <c r="S31">
        <v>478.67</v>
      </c>
      <c r="T31">
        <v>-471.75</v>
      </c>
      <c r="V31" s="136">
        <v>7461.16</v>
      </c>
      <c r="W31" s="136">
        <v>-4121.78</v>
      </c>
      <c r="X31" s="136">
        <v>117.89</v>
      </c>
      <c r="Y31" s="136">
        <v>-1078.81</v>
      </c>
      <c r="Z31" s="136">
        <v>850.33</v>
      </c>
      <c r="AA31" s="136">
        <v>-874.84</v>
      </c>
      <c r="AC31" s="136"/>
      <c r="AD31" s="871">
        <v>2395.6799999999998</v>
      </c>
      <c r="AE31" s="871">
        <v>-898.1</v>
      </c>
      <c r="AF31" s="871">
        <v>75.3</v>
      </c>
      <c r="AG31" s="871">
        <v>-330.01</v>
      </c>
      <c r="AH31" s="136">
        <v>364.77</v>
      </c>
      <c r="AI31" s="136">
        <v>-329.59</v>
      </c>
    </row>
    <row r="32" spans="1:35">
      <c r="A32" t="s">
        <v>69</v>
      </c>
      <c r="B32">
        <v>2232.38</v>
      </c>
      <c r="C32">
        <v>49.17</v>
      </c>
      <c r="D32">
        <v>2649.07</v>
      </c>
      <c r="E32">
        <v>767.99</v>
      </c>
      <c r="F32">
        <v>668.33</v>
      </c>
      <c r="G32">
        <v>-654.26</v>
      </c>
      <c r="H32">
        <v>0.79</v>
      </c>
      <c r="I32">
        <v>-1344.62</v>
      </c>
      <c r="J32">
        <v>-320.83</v>
      </c>
      <c r="K32">
        <v>-278.14999999999998</v>
      </c>
      <c r="L32">
        <v>0.2</v>
      </c>
      <c r="M32">
        <v>-0.05</v>
      </c>
      <c r="N32">
        <v>-2.78</v>
      </c>
      <c r="O32">
        <v>-73.17</v>
      </c>
      <c r="P32">
        <v>-2.66</v>
      </c>
      <c r="Q32">
        <v>481.88800000000003</v>
      </c>
      <c r="R32">
        <v>-469.392</v>
      </c>
      <c r="S32">
        <v>645.58000000000004</v>
      </c>
      <c r="T32">
        <v>-645.82000000000005</v>
      </c>
      <c r="V32" s="136">
        <v>7461.16</v>
      </c>
      <c r="W32" s="136">
        <v>-4121.78</v>
      </c>
      <c r="X32" s="136">
        <v>197.04</v>
      </c>
      <c r="Y32" s="136">
        <v>-1115.26</v>
      </c>
      <c r="Z32" s="136">
        <v>1097.3499999999999</v>
      </c>
      <c r="AA32" s="136">
        <v>-1085.8699999999999</v>
      </c>
      <c r="AC32" s="136"/>
      <c r="AD32" s="871">
        <v>2395.6799999999998</v>
      </c>
      <c r="AE32" s="871">
        <v>-898.09</v>
      </c>
      <c r="AF32" s="871">
        <v>139.56</v>
      </c>
      <c r="AG32" s="871">
        <v>-270.25</v>
      </c>
      <c r="AH32" s="136">
        <v>400.59</v>
      </c>
      <c r="AI32" s="136">
        <v>-365.92</v>
      </c>
    </row>
    <row r="33" spans="1:35">
      <c r="A33" t="s">
        <v>70</v>
      </c>
      <c r="B33">
        <v>-1220.5899999999999</v>
      </c>
      <c r="C33">
        <v>53.15</v>
      </c>
      <c r="D33">
        <v>-4521.53</v>
      </c>
      <c r="E33">
        <v>-936.79</v>
      </c>
      <c r="F33">
        <v>-818.91</v>
      </c>
      <c r="G33">
        <v>-726.93</v>
      </c>
      <c r="H33">
        <v>0.79</v>
      </c>
      <c r="I33">
        <v>-1523.62</v>
      </c>
      <c r="J33">
        <v>-361.08</v>
      </c>
      <c r="K33">
        <v>-316.75</v>
      </c>
      <c r="L33">
        <v>0.2</v>
      </c>
      <c r="M33">
        <v>-0.05</v>
      </c>
      <c r="N33">
        <v>-6.88</v>
      </c>
      <c r="O33">
        <v>71.33</v>
      </c>
      <c r="P33">
        <v>-9.2100000000000009</v>
      </c>
      <c r="Q33">
        <v>481.88800000000003</v>
      </c>
      <c r="R33">
        <v>-469.392</v>
      </c>
      <c r="S33">
        <v>645.58000000000004</v>
      </c>
      <c r="T33">
        <v>-638.61</v>
      </c>
      <c r="V33" s="136">
        <v>4169.05</v>
      </c>
      <c r="W33" s="136">
        <v>-5438.6</v>
      </c>
      <c r="X33" s="136">
        <v>132.12</v>
      </c>
      <c r="Y33" s="136">
        <v>-1218.23</v>
      </c>
      <c r="Z33" s="136">
        <v>1097.3499999999999</v>
      </c>
      <c r="AA33" s="136">
        <v>-1078.6600000000001</v>
      </c>
      <c r="AC33" s="136"/>
      <c r="AD33" s="871">
        <v>1862.68</v>
      </c>
      <c r="AE33" s="871">
        <v>-1116.4100000000001</v>
      </c>
      <c r="AF33" s="871">
        <v>86.8</v>
      </c>
      <c r="AG33" s="871">
        <v>-318.55</v>
      </c>
      <c r="AH33" s="136">
        <v>400.59</v>
      </c>
      <c r="AI33" s="136">
        <v>-365.92</v>
      </c>
    </row>
    <row r="34" spans="1:35">
      <c r="A34" t="s">
        <v>71</v>
      </c>
      <c r="B34">
        <v>-1220.5899999999999</v>
      </c>
      <c r="C34">
        <v>53.15</v>
      </c>
      <c r="D34">
        <v>-4521.54</v>
      </c>
      <c r="E34">
        <v>-936.79</v>
      </c>
      <c r="F34">
        <v>-818.91</v>
      </c>
      <c r="G34">
        <v>-726.94</v>
      </c>
      <c r="H34">
        <v>0.79</v>
      </c>
      <c r="I34">
        <v>-1523.63</v>
      </c>
      <c r="J34">
        <v>-361.09</v>
      </c>
      <c r="K34">
        <v>-316.75</v>
      </c>
      <c r="L34">
        <v>0.2</v>
      </c>
      <c r="M34">
        <v>-0.05</v>
      </c>
      <c r="N34">
        <v>-6.88</v>
      </c>
      <c r="O34">
        <v>71.33</v>
      </c>
      <c r="P34">
        <v>-9.2100000000000009</v>
      </c>
      <c r="Q34">
        <v>481.88800000000003</v>
      </c>
      <c r="R34">
        <v>-469.392</v>
      </c>
      <c r="S34">
        <v>645.58000000000004</v>
      </c>
      <c r="T34">
        <v>-638.61</v>
      </c>
      <c r="V34" s="136">
        <v>4169.05</v>
      </c>
      <c r="W34" s="136">
        <v>-5438.6</v>
      </c>
      <c r="X34" s="136">
        <v>132.12</v>
      </c>
      <c r="Y34" s="136">
        <v>-1218.23</v>
      </c>
      <c r="Z34" s="136">
        <v>1097.3499999999999</v>
      </c>
      <c r="AA34" s="136">
        <v>-1078.6600000000001</v>
      </c>
      <c r="AC34" s="136"/>
      <c r="AD34" s="871">
        <v>1862.68</v>
      </c>
      <c r="AE34" s="871">
        <v>-1116.4100000000001</v>
      </c>
      <c r="AF34" s="871">
        <v>86.8</v>
      </c>
      <c r="AG34" s="871">
        <v>-318.56</v>
      </c>
      <c r="AH34" s="136">
        <v>400.59</v>
      </c>
      <c r="AI34" s="136">
        <v>-365.92</v>
      </c>
    </row>
    <row r="35" spans="1:35">
      <c r="A35" t="s">
        <v>72</v>
      </c>
      <c r="B35">
        <v>-5066.55</v>
      </c>
      <c r="C35">
        <v>57.12</v>
      </c>
      <c r="D35">
        <v>-12587.19</v>
      </c>
      <c r="E35">
        <v>-2842.86</v>
      </c>
      <c r="F35">
        <v>-2499.17</v>
      </c>
      <c r="G35">
        <v>-811.43</v>
      </c>
      <c r="H35">
        <v>0.79</v>
      </c>
      <c r="I35">
        <v>-1702.63</v>
      </c>
      <c r="J35">
        <v>-401.34</v>
      </c>
      <c r="K35">
        <v>-355.35</v>
      </c>
      <c r="L35">
        <v>0.2</v>
      </c>
      <c r="M35">
        <v>-0.05</v>
      </c>
      <c r="N35">
        <v>-10.98</v>
      </c>
      <c r="O35">
        <v>215.83</v>
      </c>
      <c r="P35">
        <v>-15.76</v>
      </c>
      <c r="Q35">
        <v>481.88800000000003</v>
      </c>
      <c r="R35">
        <v>-469.392</v>
      </c>
      <c r="S35">
        <v>645.6</v>
      </c>
      <c r="T35">
        <v>-631.4</v>
      </c>
      <c r="V35" s="136">
        <v>2079.2399999999998</v>
      </c>
      <c r="W35" s="136">
        <v>-8137.54</v>
      </c>
      <c r="X35" s="136">
        <v>81.45</v>
      </c>
      <c r="Y35" s="136">
        <v>-1332.23</v>
      </c>
      <c r="Z35" s="136">
        <v>1097.3699999999999</v>
      </c>
      <c r="AA35" s="136">
        <v>-1071.46</v>
      </c>
      <c r="AC35" s="136"/>
      <c r="AD35" s="871">
        <v>1147.17</v>
      </c>
      <c r="AE35" s="871">
        <v>-1334.73</v>
      </c>
      <c r="AF35" s="871">
        <v>43.59</v>
      </c>
      <c r="AG35" s="871">
        <v>-370.31</v>
      </c>
      <c r="AH35" s="136">
        <v>400.59</v>
      </c>
      <c r="AI35" s="136">
        <v>-365.92</v>
      </c>
    </row>
    <row r="36" spans="1:35">
      <c r="A36" t="s">
        <v>73</v>
      </c>
      <c r="B36">
        <v>-5066.54</v>
      </c>
      <c r="C36">
        <v>57.12</v>
      </c>
      <c r="D36">
        <v>-12587.16</v>
      </c>
      <c r="E36">
        <v>-2842.86</v>
      </c>
      <c r="F36">
        <v>-2499.16</v>
      </c>
      <c r="G36">
        <v>-836.11</v>
      </c>
      <c r="H36">
        <v>1.05</v>
      </c>
      <c r="I36">
        <v>-1797.59</v>
      </c>
      <c r="J36">
        <v>-426.86</v>
      </c>
      <c r="K36">
        <v>-371</v>
      </c>
      <c r="L36">
        <v>-9.6199999999999992</v>
      </c>
      <c r="M36">
        <v>0.23</v>
      </c>
      <c r="N36">
        <v>-45.35</v>
      </c>
      <c r="O36">
        <v>-8.3000000000000007</v>
      </c>
      <c r="P36">
        <v>-13.2</v>
      </c>
      <c r="Q36">
        <v>561.74399999999991</v>
      </c>
      <c r="R36">
        <v>-541.01599999999996</v>
      </c>
      <c r="S36">
        <v>733.67</v>
      </c>
      <c r="T36">
        <v>-721.71</v>
      </c>
      <c r="V36" s="136">
        <v>2079.2399999999998</v>
      </c>
      <c r="W36" s="136">
        <v>-8137.55</v>
      </c>
      <c r="X36" s="136">
        <v>161.44</v>
      </c>
      <c r="Y36" s="136">
        <v>-1381.37</v>
      </c>
      <c r="Z36" s="136">
        <v>1260.31</v>
      </c>
      <c r="AA36" s="136">
        <v>-1228.9100000000001</v>
      </c>
      <c r="AC36" s="136"/>
      <c r="AD36" s="871">
        <v>1147.17</v>
      </c>
      <c r="AE36" s="871">
        <v>-1334.74</v>
      </c>
      <c r="AF36" s="871">
        <v>78.28</v>
      </c>
      <c r="AG36" s="871">
        <v>-334.63</v>
      </c>
      <c r="AH36" s="136">
        <v>386.83</v>
      </c>
      <c r="AI36" s="136">
        <v>-352.43</v>
      </c>
    </row>
    <row r="37" spans="1:35">
      <c r="A37" t="s">
        <v>74</v>
      </c>
      <c r="B37">
        <v>-9508.75</v>
      </c>
      <c r="C37">
        <v>-122.96</v>
      </c>
      <c r="D37">
        <v>-22022.67</v>
      </c>
      <c r="E37">
        <v>-5077.75</v>
      </c>
      <c r="F37">
        <v>-4450.6499999999996</v>
      </c>
      <c r="G37">
        <v>-940.77</v>
      </c>
      <c r="H37">
        <v>-77.819999999999993</v>
      </c>
      <c r="I37">
        <v>-1976.59</v>
      </c>
      <c r="J37">
        <v>-467.11</v>
      </c>
      <c r="K37">
        <v>-409.6</v>
      </c>
      <c r="L37">
        <v>-9.6199999999999992</v>
      </c>
      <c r="M37">
        <v>0.23</v>
      </c>
      <c r="N37">
        <v>-49.45</v>
      </c>
      <c r="O37">
        <v>136.19999999999999</v>
      </c>
      <c r="P37">
        <v>-19.75</v>
      </c>
      <c r="Q37">
        <v>561.74399999999991</v>
      </c>
      <c r="R37">
        <v>-541.01599999999996</v>
      </c>
      <c r="S37">
        <v>733.67</v>
      </c>
      <c r="T37">
        <v>-714.5</v>
      </c>
      <c r="V37" s="136">
        <v>646.76</v>
      </c>
      <c r="W37" s="136">
        <v>-13419.43</v>
      </c>
      <c r="X37" s="136">
        <v>118.38</v>
      </c>
      <c r="Y37" s="136">
        <v>-1496.14</v>
      </c>
      <c r="Z37" s="136">
        <v>1260.31</v>
      </c>
      <c r="AA37" s="136">
        <v>-1221.7</v>
      </c>
      <c r="AC37" s="136"/>
      <c r="AD37" s="871">
        <v>427.55</v>
      </c>
      <c r="AE37" s="871">
        <v>-2319.87</v>
      </c>
      <c r="AF37" s="871">
        <v>49.02</v>
      </c>
      <c r="AG37" s="871">
        <v>-379.19</v>
      </c>
      <c r="AH37" s="136">
        <v>386.83</v>
      </c>
      <c r="AI37" s="136">
        <v>-352.43</v>
      </c>
    </row>
    <row r="38" spans="1:35">
      <c r="A38" t="s">
        <v>75</v>
      </c>
      <c r="B38">
        <v>-9508.7199999999993</v>
      </c>
      <c r="C38">
        <v>-122.96</v>
      </c>
      <c r="D38">
        <v>-22022.61</v>
      </c>
      <c r="E38">
        <v>-5077.78</v>
      </c>
      <c r="F38">
        <v>-4450.66</v>
      </c>
      <c r="G38">
        <v>-940.8</v>
      </c>
      <c r="H38">
        <v>-77.819999999999993</v>
      </c>
      <c r="I38">
        <v>-1976.64</v>
      </c>
      <c r="J38">
        <v>-467.1</v>
      </c>
      <c r="K38">
        <v>-409.59</v>
      </c>
      <c r="L38">
        <v>-9.6199999999999992</v>
      </c>
      <c r="M38">
        <v>0.23</v>
      </c>
      <c r="N38">
        <v>-49.45</v>
      </c>
      <c r="O38">
        <v>136.19999999999999</v>
      </c>
      <c r="P38">
        <v>-19.75</v>
      </c>
      <c r="Q38">
        <v>561.74399999999991</v>
      </c>
      <c r="R38">
        <v>-541.01599999999996</v>
      </c>
      <c r="S38">
        <v>733.67</v>
      </c>
      <c r="T38">
        <v>-714.5</v>
      </c>
      <c r="V38" s="136">
        <v>646.76</v>
      </c>
      <c r="W38" s="136">
        <v>-13419.43</v>
      </c>
      <c r="X38" s="136">
        <v>118.38</v>
      </c>
      <c r="Y38" s="136">
        <v>-1496.14</v>
      </c>
      <c r="Z38" s="136">
        <v>1260.31</v>
      </c>
      <c r="AA38" s="136">
        <v>-1221.7</v>
      </c>
      <c r="AC38" s="136"/>
      <c r="AD38" s="871">
        <v>427.55</v>
      </c>
      <c r="AE38" s="871">
        <v>-2319.88</v>
      </c>
      <c r="AF38" s="871">
        <v>49.02</v>
      </c>
      <c r="AG38" s="871">
        <v>-379.19</v>
      </c>
      <c r="AH38" s="136">
        <v>386.83</v>
      </c>
      <c r="AI38" s="136">
        <v>-352.43</v>
      </c>
    </row>
    <row r="39" spans="1:35">
      <c r="A39" t="s">
        <v>76</v>
      </c>
      <c r="B39">
        <v>-12983.05</v>
      </c>
      <c r="C39">
        <v>-522.67999999999995</v>
      </c>
      <c r="D39">
        <v>-29159.98</v>
      </c>
      <c r="E39">
        <v>-6761.92</v>
      </c>
      <c r="F39">
        <v>-5931.48</v>
      </c>
      <c r="G39">
        <v>-1044.52</v>
      </c>
      <c r="H39">
        <v>-154.38999999999999</v>
      </c>
      <c r="I39">
        <v>-2101.94</v>
      </c>
      <c r="J39">
        <v>-495.28</v>
      </c>
      <c r="K39">
        <v>-436.61</v>
      </c>
      <c r="L39">
        <v>-9.6199999999999992</v>
      </c>
      <c r="M39">
        <v>0.23</v>
      </c>
      <c r="N39">
        <v>-52.32</v>
      </c>
      <c r="O39">
        <v>237.35</v>
      </c>
      <c r="P39">
        <v>-24.34</v>
      </c>
      <c r="Q39">
        <v>561.74399999999991</v>
      </c>
      <c r="R39">
        <v>-541.01599999999996</v>
      </c>
      <c r="S39">
        <v>737.85</v>
      </c>
      <c r="T39">
        <v>-709.49</v>
      </c>
      <c r="V39" s="136">
        <v>186.16</v>
      </c>
      <c r="W39" s="136">
        <v>-17772.48</v>
      </c>
      <c r="X39" s="136">
        <v>98.33</v>
      </c>
      <c r="Y39" s="136">
        <v>-1582.19</v>
      </c>
      <c r="Z39" s="136">
        <v>1264.48</v>
      </c>
      <c r="AA39" s="136">
        <v>-1216.7</v>
      </c>
      <c r="AC39" s="136"/>
      <c r="AD39" s="871">
        <v>60.71</v>
      </c>
      <c r="AE39" s="871">
        <v>-3130.61</v>
      </c>
      <c r="AF39" s="871">
        <v>49.02</v>
      </c>
      <c r="AG39" s="871">
        <v>-416.49</v>
      </c>
      <c r="AH39" s="136">
        <v>386.83</v>
      </c>
      <c r="AI39" s="136">
        <v>-352.43</v>
      </c>
    </row>
    <row r="40" spans="1:35">
      <c r="A40" t="s">
        <v>77</v>
      </c>
      <c r="B40">
        <v>-12983.01</v>
      </c>
      <c r="C40">
        <v>-522.67999999999995</v>
      </c>
      <c r="D40">
        <v>-29160.05</v>
      </c>
      <c r="E40">
        <v>-6761.96</v>
      </c>
      <c r="F40">
        <v>-5931.51</v>
      </c>
      <c r="G40">
        <v>-1044.56</v>
      </c>
      <c r="H40">
        <v>-154.38999999999999</v>
      </c>
      <c r="I40">
        <v>-2101.65</v>
      </c>
      <c r="J40">
        <v>-495.27</v>
      </c>
      <c r="K40">
        <v>-436.62</v>
      </c>
      <c r="L40">
        <v>-9.6199999999999992</v>
      </c>
      <c r="M40">
        <v>0.23</v>
      </c>
      <c r="N40">
        <v>-52.32</v>
      </c>
      <c r="O40">
        <v>237.35</v>
      </c>
      <c r="P40">
        <v>-24.34</v>
      </c>
      <c r="Q40">
        <v>561.74399999999991</v>
      </c>
      <c r="R40">
        <v>-541.01599999999996</v>
      </c>
      <c r="S40">
        <v>737.85</v>
      </c>
      <c r="T40">
        <v>-709.49</v>
      </c>
      <c r="V40" s="136">
        <v>186.16</v>
      </c>
      <c r="W40" s="136">
        <v>-17772.48</v>
      </c>
      <c r="X40" s="136">
        <v>98.33</v>
      </c>
      <c r="Y40" s="136">
        <v>-1582.19</v>
      </c>
      <c r="Z40" s="136">
        <v>1264.48</v>
      </c>
      <c r="AA40" s="136">
        <v>-1216.7</v>
      </c>
      <c r="AC40" s="136"/>
      <c r="AD40" s="871">
        <v>60.71</v>
      </c>
      <c r="AE40" s="871">
        <v>-3130.64</v>
      </c>
      <c r="AF40" s="871">
        <v>49.01</v>
      </c>
      <c r="AG40" s="871">
        <v>-416.49</v>
      </c>
      <c r="AH40" s="136">
        <v>386.83</v>
      </c>
      <c r="AI40" s="136">
        <v>-352.43</v>
      </c>
    </row>
    <row r="41" spans="1:35">
      <c r="A41" t="s">
        <v>78</v>
      </c>
      <c r="B41">
        <v>-14583.37</v>
      </c>
      <c r="C41">
        <v>-782.53</v>
      </c>
      <c r="D41">
        <v>-32352.95</v>
      </c>
      <c r="E41">
        <v>-7513.9</v>
      </c>
      <c r="F41">
        <v>-6595.1</v>
      </c>
      <c r="G41">
        <v>-1089.3499999999999</v>
      </c>
      <c r="H41">
        <v>-192.08</v>
      </c>
      <c r="I41">
        <v>-2155.35</v>
      </c>
      <c r="J41">
        <v>-507.34</v>
      </c>
      <c r="K41">
        <v>-448.2</v>
      </c>
      <c r="L41">
        <v>-9.6199999999999992</v>
      </c>
      <c r="M41">
        <v>0.23</v>
      </c>
      <c r="N41">
        <v>-53.55</v>
      </c>
      <c r="O41">
        <v>280.7</v>
      </c>
      <c r="P41">
        <v>-26.3</v>
      </c>
      <c r="Q41">
        <v>561.74399999999991</v>
      </c>
      <c r="R41">
        <v>-541.01599999999996</v>
      </c>
      <c r="S41">
        <v>742.19</v>
      </c>
      <c r="T41">
        <v>-708.37</v>
      </c>
      <c r="V41" s="136">
        <v>96.52</v>
      </c>
      <c r="W41" s="136">
        <v>-19772.95</v>
      </c>
      <c r="X41" s="136">
        <v>93.98</v>
      </c>
      <c r="Y41" s="136">
        <v>-1620.22</v>
      </c>
      <c r="Z41" s="136">
        <v>1268.82</v>
      </c>
      <c r="AA41" s="136">
        <v>-1215.57</v>
      </c>
      <c r="AC41" s="136"/>
      <c r="AD41" s="871">
        <v>105.24</v>
      </c>
      <c r="AE41" s="871">
        <v>-3506.61</v>
      </c>
      <c r="AF41" s="871">
        <v>189.52</v>
      </c>
      <c r="AG41" s="871">
        <v>-416.49</v>
      </c>
      <c r="AH41" s="136">
        <v>386.83</v>
      </c>
      <c r="AI41" s="136">
        <v>-352.43</v>
      </c>
    </row>
    <row r="42" spans="1:35">
      <c r="A42" t="s">
        <v>79</v>
      </c>
      <c r="B42">
        <v>-14583.37</v>
      </c>
      <c r="C42">
        <v>-782.53</v>
      </c>
      <c r="D42">
        <v>-32352.99</v>
      </c>
      <c r="E42">
        <v>-7514.01</v>
      </c>
      <c r="F42">
        <v>-6595.07</v>
      </c>
      <c r="G42">
        <v>818.61</v>
      </c>
      <c r="H42">
        <v>190.84</v>
      </c>
      <c r="I42">
        <v>1710.25</v>
      </c>
      <c r="J42">
        <v>399.79</v>
      </c>
      <c r="K42">
        <v>353.79</v>
      </c>
      <c r="L42">
        <v>7.99</v>
      </c>
      <c r="M42">
        <v>-0.22</v>
      </c>
      <c r="N42">
        <v>50.57</v>
      </c>
      <c r="O42">
        <v>-266.98</v>
      </c>
      <c r="P42">
        <v>24.26</v>
      </c>
      <c r="Q42">
        <v>479.20799999999997</v>
      </c>
      <c r="R42">
        <v>-507.34399999999994</v>
      </c>
      <c r="S42">
        <v>525.65</v>
      </c>
      <c r="T42">
        <v>-560.57000000000005</v>
      </c>
      <c r="V42" s="136">
        <v>102.46</v>
      </c>
      <c r="W42" s="136">
        <v>-19771.39</v>
      </c>
      <c r="X42" s="136">
        <v>1336.24</v>
      </c>
      <c r="Y42" s="136">
        <v>-45.18</v>
      </c>
      <c r="Z42" s="136">
        <v>974.91</v>
      </c>
      <c r="AA42" s="136">
        <v>-1036.2</v>
      </c>
      <c r="AC42" s="136"/>
      <c r="AD42" s="871">
        <v>109.46</v>
      </c>
      <c r="AE42" s="871">
        <v>-3500.21</v>
      </c>
      <c r="AF42" s="871">
        <v>437.98</v>
      </c>
      <c r="AG42" s="871">
        <v>-29.04</v>
      </c>
      <c r="AH42" s="136">
        <v>286.45</v>
      </c>
      <c r="AI42" s="136">
        <v>-318.61</v>
      </c>
    </row>
    <row r="43" spans="1:35">
      <c r="A43" t="s">
        <v>80</v>
      </c>
      <c r="B43">
        <v>-13389</v>
      </c>
      <c r="C43">
        <v>-524.54</v>
      </c>
      <c r="D43">
        <v>-29828.04</v>
      </c>
      <c r="E43">
        <v>-6923.42</v>
      </c>
      <c r="F43">
        <v>-6073.09</v>
      </c>
      <c r="G43">
        <v>773.82</v>
      </c>
      <c r="H43">
        <v>153.15</v>
      </c>
      <c r="I43">
        <v>1656.55</v>
      </c>
      <c r="J43">
        <v>387.71</v>
      </c>
      <c r="K43">
        <v>342.21</v>
      </c>
      <c r="L43">
        <v>7.99</v>
      </c>
      <c r="M43">
        <v>-0.22</v>
      </c>
      <c r="N43">
        <v>49.34</v>
      </c>
      <c r="O43">
        <v>-223.63</v>
      </c>
      <c r="P43">
        <v>22.3</v>
      </c>
      <c r="Q43">
        <v>479.20799999999997</v>
      </c>
      <c r="R43">
        <v>-507.34399999999994</v>
      </c>
      <c r="S43">
        <v>526.74</v>
      </c>
      <c r="T43">
        <v>-559.5</v>
      </c>
      <c r="V43" s="136">
        <v>335.08</v>
      </c>
      <c r="W43" s="136">
        <v>-18524.96</v>
      </c>
      <c r="X43" s="136">
        <v>1294.5999999999999</v>
      </c>
      <c r="Y43" s="136">
        <v>-49.56</v>
      </c>
      <c r="Z43" s="136">
        <v>976</v>
      </c>
      <c r="AA43" s="136">
        <v>-1035.1300000000001</v>
      </c>
      <c r="AC43" s="136"/>
      <c r="AD43" s="871">
        <v>162.72</v>
      </c>
      <c r="AE43" s="871">
        <v>-3328.53</v>
      </c>
      <c r="AF43" s="871">
        <v>418.88</v>
      </c>
      <c r="AG43" s="871">
        <v>-29.04</v>
      </c>
      <c r="AH43" s="136">
        <v>286.45</v>
      </c>
      <c r="AI43" s="136">
        <v>-318.61</v>
      </c>
    </row>
    <row r="44" spans="1:35">
      <c r="A44" t="s">
        <v>81</v>
      </c>
      <c r="B44">
        <v>-13389.03</v>
      </c>
      <c r="C44">
        <v>-524.54</v>
      </c>
      <c r="D44">
        <v>-29827.91</v>
      </c>
      <c r="E44">
        <v>-6923.43</v>
      </c>
      <c r="F44">
        <v>-6073.06</v>
      </c>
      <c r="G44">
        <v>773.82</v>
      </c>
      <c r="H44">
        <v>153.15</v>
      </c>
      <c r="I44">
        <v>1656.49</v>
      </c>
      <c r="J44">
        <v>387.68</v>
      </c>
      <c r="K44">
        <v>342.23</v>
      </c>
      <c r="L44">
        <v>7.99</v>
      </c>
      <c r="M44">
        <v>-0.22</v>
      </c>
      <c r="N44">
        <v>49.34</v>
      </c>
      <c r="O44">
        <v>-223.63</v>
      </c>
      <c r="P44">
        <v>22.3</v>
      </c>
      <c r="Q44">
        <v>479.20799999999997</v>
      </c>
      <c r="R44">
        <v>-507.34399999999994</v>
      </c>
      <c r="S44">
        <v>526.74</v>
      </c>
      <c r="T44">
        <v>-559.5</v>
      </c>
      <c r="V44" s="136">
        <v>335.08</v>
      </c>
      <c r="W44" s="136">
        <v>-18524.96</v>
      </c>
      <c r="X44" s="136">
        <v>1294.5999999999999</v>
      </c>
      <c r="Y44" s="136">
        <v>-49.56</v>
      </c>
      <c r="Z44" s="136">
        <v>976</v>
      </c>
      <c r="AA44" s="136">
        <v>-1035.1300000000001</v>
      </c>
      <c r="AC44" s="136"/>
      <c r="AD44" s="871">
        <v>162.72</v>
      </c>
      <c r="AE44" s="871">
        <v>-3328.53</v>
      </c>
      <c r="AF44" s="871">
        <v>418.88</v>
      </c>
      <c r="AG44" s="871">
        <v>-29.04</v>
      </c>
      <c r="AH44" s="136">
        <v>286.45</v>
      </c>
      <c r="AI44" s="136">
        <v>-318.61</v>
      </c>
    </row>
    <row r="45" spans="1:35">
      <c r="A45" t="s">
        <v>82</v>
      </c>
      <c r="B45">
        <v>-10862.18</v>
      </c>
      <c r="C45">
        <v>-128.22999999999999</v>
      </c>
      <c r="D45">
        <v>-24249.52</v>
      </c>
      <c r="E45">
        <v>-5615.86</v>
      </c>
      <c r="F45">
        <v>-4922.5200000000004</v>
      </c>
      <c r="G45">
        <v>670.1</v>
      </c>
      <c r="H45">
        <v>77.37</v>
      </c>
      <c r="I45">
        <v>1531.19</v>
      </c>
      <c r="J45">
        <v>359.51</v>
      </c>
      <c r="K45">
        <v>315.20999999999998</v>
      </c>
      <c r="L45">
        <v>7.99</v>
      </c>
      <c r="M45">
        <v>-0.22</v>
      </c>
      <c r="N45">
        <v>46.47</v>
      </c>
      <c r="O45">
        <v>-122.48</v>
      </c>
      <c r="P45">
        <v>17.71</v>
      </c>
      <c r="Q45">
        <v>479.20799999999997</v>
      </c>
      <c r="R45">
        <v>-507.34399999999994</v>
      </c>
      <c r="S45">
        <v>531.73</v>
      </c>
      <c r="T45">
        <v>-559.44000000000005</v>
      </c>
      <c r="V45" s="136">
        <v>1418.58</v>
      </c>
      <c r="W45" s="136">
        <v>-16035.12</v>
      </c>
      <c r="X45" s="136">
        <v>1200.3699999999999</v>
      </c>
      <c r="Y45" s="136">
        <v>-74.39</v>
      </c>
      <c r="Z45" s="136">
        <v>980.99</v>
      </c>
      <c r="AA45" s="136">
        <v>-1035.07</v>
      </c>
      <c r="AC45" s="136"/>
      <c r="AD45" s="871">
        <v>699.62</v>
      </c>
      <c r="AE45" s="871">
        <v>-2927.92</v>
      </c>
      <c r="AF45" s="871">
        <v>371.58</v>
      </c>
      <c r="AG45" s="871">
        <v>-31.3</v>
      </c>
      <c r="AH45" s="136">
        <v>286.45</v>
      </c>
      <c r="AI45" s="136">
        <v>-318.61</v>
      </c>
    </row>
    <row r="46" spans="1:35">
      <c r="A46" t="s">
        <v>83</v>
      </c>
      <c r="B46">
        <v>-10862.16</v>
      </c>
      <c r="C46">
        <v>-128.22999999999999</v>
      </c>
      <c r="D46">
        <v>-24249.43</v>
      </c>
      <c r="E46">
        <v>-5615.86</v>
      </c>
      <c r="F46">
        <v>-4922.5200000000004</v>
      </c>
      <c r="G46">
        <v>670.09</v>
      </c>
      <c r="H46">
        <v>77.37</v>
      </c>
      <c r="I46">
        <v>1531.21</v>
      </c>
      <c r="J46">
        <v>359.51</v>
      </c>
      <c r="K46">
        <v>315.20999999999998</v>
      </c>
      <c r="L46">
        <v>7.99</v>
      </c>
      <c r="M46">
        <v>-0.22</v>
      </c>
      <c r="N46">
        <v>46.47</v>
      </c>
      <c r="O46">
        <v>-122.48</v>
      </c>
      <c r="P46">
        <v>17.71</v>
      </c>
      <c r="Q46">
        <v>479.20799999999997</v>
      </c>
      <c r="R46">
        <v>-507.34399999999994</v>
      </c>
      <c r="S46">
        <v>531.73</v>
      </c>
      <c r="T46">
        <v>-559.44000000000005</v>
      </c>
      <c r="V46" s="136">
        <v>1418.58</v>
      </c>
      <c r="W46" s="136">
        <v>-16035.12</v>
      </c>
      <c r="X46" s="136">
        <v>1200.3699999999999</v>
      </c>
      <c r="Y46" s="136">
        <v>-74.39</v>
      </c>
      <c r="Z46" s="136">
        <v>980.99</v>
      </c>
      <c r="AA46" s="136">
        <v>-1035.07</v>
      </c>
      <c r="AC46" s="136"/>
      <c r="AD46" s="871">
        <v>699.62</v>
      </c>
      <c r="AE46" s="871">
        <v>-2927.92</v>
      </c>
      <c r="AF46" s="871">
        <v>371.58</v>
      </c>
      <c r="AG46" s="871">
        <v>-31.3</v>
      </c>
      <c r="AH46" s="136">
        <v>286.45</v>
      </c>
      <c r="AI46" s="136">
        <v>-318.61</v>
      </c>
    </row>
    <row r="47" spans="1:35">
      <c r="A47" t="s">
        <v>84</v>
      </c>
      <c r="B47">
        <v>-7787.66</v>
      </c>
      <c r="C47">
        <v>49.59</v>
      </c>
      <c r="D47">
        <v>-17040.900000000001</v>
      </c>
      <c r="E47">
        <v>-3918.95</v>
      </c>
      <c r="F47">
        <v>-3442.96</v>
      </c>
      <c r="G47">
        <v>559.71</v>
      </c>
      <c r="H47">
        <v>-1.5</v>
      </c>
      <c r="I47">
        <v>1352.21</v>
      </c>
      <c r="J47">
        <v>319.26</v>
      </c>
      <c r="K47">
        <v>276.61</v>
      </c>
      <c r="L47">
        <v>7.99</v>
      </c>
      <c r="M47">
        <v>-0.22</v>
      </c>
      <c r="N47">
        <v>42.37</v>
      </c>
      <c r="O47">
        <v>22.02</v>
      </c>
      <c r="P47">
        <v>11.16</v>
      </c>
      <c r="Q47">
        <v>479.20799999999997</v>
      </c>
      <c r="R47">
        <v>-507.34399999999994</v>
      </c>
      <c r="S47">
        <v>538.94000000000005</v>
      </c>
      <c r="T47">
        <v>-559.44000000000005</v>
      </c>
      <c r="V47" s="136">
        <v>4031.51</v>
      </c>
      <c r="W47" s="136">
        <v>-13409.34</v>
      </c>
      <c r="X47" s="136">
        <v>1074.5999999999999</v>
      </c>
      <c r="Y47" s="136">
        <v>-127.47</v>
      </c>
      <c r="Z47" s="136">
        <v>988.2</v>
      </c>
      <c r="AA47" s="136">
        <v>-1035.07</v>
      </c>
      <c r="AC47" s="136"/>
      <c r="AD47" s="871">
        <v>1551.12</v>
      </c>
      <c r="AE47" s="871">
        <v>-2357.67</v>
      </c>
      <c r="AF47" s="871">
        <v>307.89999999999998</v>
      </c>
      <c r="AG47" s="871">
        <v>-77.53</v>
      </c>
      <c r="AH47" s="136">
        <v>286.45</v>
      </c>
      <c r="AI47" s="136">
        <v>-318.61</v>
      </c>
    </row>
    <row r="48" spans="1:35">
      <c r="A48" t="s">
        <v>85</v>
      </c>
      <c r="B48">
        <v>-7787.66</v>
      </c>
      <c r="C48">
        <v>49.59</v>
      </c>
      <c r="D48">
        <v>-17040.91</v>
      </c>
      <c r="E48">
        <v>-3918.95</v>
      </c>
      <c r="F48">
        <v>-3442.95</v>
      </c>
      <c r="G48">
        <v>538.45000000000005</v>
      </c>
      <c r="H48">
        <v>-1.26</v>
      </c>
      <c r="I48">
        <v>1264.22</v>
      </c>
      <c r="J48">
        <v>294.25</v>
      </c>
      <c r="K48">
        <v>261.39999999999998</v>
      </c>
      <c r="L48">
        <v>2</v>
      </c>
      <c r="M48">
        <v>0.05</v>
      </c>
      <c r="N48">
        <v>15.96</v>
      </c>
      <c r="O48">
        <v>-198.37</v>
      </c>
      <c r="P48">
        <v>13.94</v>
      </c>
      <c r="Q48">
        <v>344.89600000000002</v>
      </c>
      <c r="R48">
        <v>-368.88800000000003</v>
      </c>
      <c r="S48">
        <v>336.98</v>
      </c>
      <c r="T48">
        <v>-348.91</v>
      </c>
      <c r="V48" s="136">
        <v>4031.51</v>
      </c>
      <c r="W48" s="136">
        <v>-13409.34</v>
      </c>
      <c r="X48" s="136">
        <v>1020.04</v>
      </c>
      <c r="Y48" s="136">
        <v>-84.1</v>
      </c>
      <c r="Z48" s="136">
        <v>660.32</v>
      </c>
      <c r="AA48" s="136">
        <v>-694.74</v>
      </c>
      <c r="AC48" s="136"/>
      <c r="AD48" s="871">
        <v>1551.12</v>
      </c>
      <c r="AE48" s="871">
        <v>-2357.67</v>
      </c>
      <c r="AF48" s="871">
        <v>349.8</v>
      </c>
      <c r="AG48" s="871">
        <v>-48.98</v>
      </c>
      <c r="AH48" s="136">
        <v>246.77</v>
      </c>
      <c r="AI48" s="136">
        <v>-282.62</v>
      </c>
    </row>
    <row r="49" spans="1:35">
      <c r="A49" t="s">
        <v>86</v>
      </c>
      <c r="B49">
        <v>-5346.41</v>
      </c>
      <c r="C49">
        <v>43.3</v>
      </c>
      <c r="D49">
        <v>-11167.3</v>
      </c>
      <c r="E49">
        <v>-2548.35</v>
      </c>
      <c r="F49">
        <v>-2232.4699999999998</v>
      </c>
      <c r="G49">
        <v>438.05</v>
      </c>
      <c r="H49">
        <v>-1.26</v>
      </c>
      <c r="I49">
        <v>1085.22</v>
      </c>
      <c r="J49">
        <v>254</v>
      </c>
      <c r="K49">
        <v>222.8</v>
      </c>
      <c r="L49">
        <v>2</v>
      </c>
      <c r="M49">
        <v>0.05</v>
      </c>
      <c r="N49">
        <v>11.86</v>
      </c>
      <c r="O49">
        <v>-53.87</v>
      </c>
      <c r="P49">
        <v>7.39</v>
      </c>
      <c r="Q49">
        <v>344.89600000000002</v>
      </c>
      <c r="R49">
        <v>-368.88800000000003</v>
      </c>
      <c r="S49">
        <v>344.18</v>
      </c>
      <c r="T49">
        <v>-348.44</v>
      </c>
      <c r="V49" s="136">
        <v>6352.81</v>
      </c>
      <c r="W49" s="136">
        <v>-11535.72</v>
      </c>
      <c r="X49" s="136">
        <v>896.86</v>
      </c>
      <c r="Y49" s="136">
        <v>-150.58000000000001</v>
      </c>
      <c r="Z49" s="136">
        <v>667.53</v>
      </c>
      <c r="AA49" s="136">
        <v>-694.27</v>
      </c>
      <c r="AC49" s="136"/>
      <c r="AD49" s="871">
        <v>2269.4</v>
      </c>
      <c r="AE49" s="871">
        <v>-1954.13</v>
      </c>
      <c r="AF49" s="871">
        <v>284.73</v>
      </c>
      <c r="AG49" s="871">
        <v>-102.02</v>
      </c>
      <c r="AH49" s="136">
        <v>246.77</v>
      </c>
      <c r="AI49" s="136">
        <v>-282.62</v>
      </c>
    </row>
    <row r="50" spans="1:35">
      <c r="A50" t="s">
        <v>87</v>
      </c>
      <c r="B50">
        <v>-5346.41</v>
      </c>
      <c r="C50">
        <v>43.3</v>
      </c>
      <c r="D50">
        <v>-11167.32</v>
      </c>
      <c r="E50">
        <v>-2548.35</v>
      </c>
      <c r="F50">
        <v>-2232.48</v>
      </c>
      <c r="G50">
        <v>438.05</v>
      </c>
      <c r="H50">
        <v>-1.26</v>
      </c>
      <c r="I50">
        <v>1085.21</v>
      </c>
      <c r="J50">
        <v>254</v>
      </c>
      <c r="K50">
        <v>222.8</v>
      </c>
      <c r="L50">
        <v>2</v>
      </c>
      <c r="M50">
        <v>0.05</v>
      </c>
      <c r="N50">
        <v>11.86</v>
      </c>
      <c r="O50">
        <v>-53.87</v>
      </c>
      <c r="P50">
        <v>7.39</v>
      </c>
      <c r="Q50">
        <v>344.89600000000002</v>
      </c>
      <c r="R50">
        <v>-368.88800000000003</v>
      </c>
      <c r="S50">
        <v>344.18</v>
      </c>
      <c r="T50">
        <v>-348.44</v>
      </c>
      <c r="V50" s="136">
        <v>6352.81</v>
      </c>
      <c r="W50" s="136">
        <v>-11535.72</v>
      </c>
      <c r="X50" s="136">
        <v>896.86</v>
      </c>
      <c r="Y50" s="136">
        <v>-150.58000000000001</v>
      </c>
      <c r="Z50" s="136">
        <v>667.53</v>
      </c>
      <c r="AA50" s="136">
        <v>-694.27</v>
      </c>
      <c r="AC50" s="136"/>
      <c r="AD50" s="871">
        <v>2269.4</v>
      </c>
      <c r="AE50" s="871">
        <v>-1954.13</v>
      </c>
      <c r="AF50" s="871">
        <v>284.73</v>
      </c>
      <c r="AG50" s="871">
        <v>-102.02</v>
      </c>
      <c r="AH50" s="136">
        <v>246.77</v>
      </c>
      <c r="AI50" s="136">
        <v>-282.62</v>
      </c>
    </row>
    <row r="51" spans="1:35">
      <c r="A51" t="s">
        <v>88</v>
      </c>
      <c r="B51">
        <v>-3359.75</v>
      </c>
      <c r="C51">
        <v>37.01</v>
      </c>
      <c r="D51">
        <v>-6188.78</v>
      </c>
      <c r="E51">
        <v>-1378.99</v>
      </c>
      <c r="F51">
        <v>-1214.99</v>
      </c>
      <c r="G51">
        <v>356.62</v>
      </c>
      <c r="H51">
        <v>-1.26</v>
      </c>
      <c r="I51">
        <v>906.21</v>
      </c>
      <c r="J51">
        <v>213.75</v>
      </c>
      <c r="K51">
        <v>184.2</v>
      </c>
      <c r="L51">
        <v>2</v>
      </c>
      <c r="M51">
        <v>0.05</v>
      </c>
      <c r="N51">
        <v>7.76</v>
      </c>
      <c r="O51">
        <v>90.63</v>
      </c>
      <c r="P51">
        <v>0.84</v>
      </c>
      <c r="Q51">
        <v>357.28800000000001</v>
      </c>
      <c r="R51">
        <v>-368.88800000000003</v>
      </c>
      <c r="S51">
        <v>351.39</v>
      </c>
      <c r="T51">
        <v>-348.44</v>
      </c>
      <c r="V51" s="136">
        <v>8258.86</v>
      </c>
      <c r="W51" s="136">
        <v>-9806.02</v>
      </c>
      <c r="X51" s="136">
        <v>785.76</v>
      </c>
      <c r="Y51" s="136">
        <v>-236.34</v>
      </c>
      <c r="Z51" s="136">
        <v>686.35</v>
      </c>
      <c r="AA51" s="136">
        <v>-694.27</v>
      </c>
      <c r="AC51" s="136"/>
      <c r="AD51" s="871">
        <v>2613.7600000000002</v>
      </c>
      <c r="AE51" s="871">
        <v>-1557.93</v>
      </c>
      <c r="AF51" s="871">
        <v>222.04</v>
      </c>
      <c r="AG51" s="871">
        <v>-164.47</v>
      </c>
      <c r="AH51" s="136">
        <v>246.26</v>
      </c>
      <c r="AI51" s="136">
        <v>-282.62</v>
      </c>
    </row>
    <row r="52" spans="1:35">
      <c r="A52" t="s">
        <v>89</v>
      </c>
      <c r="B52">
        <v>-3359.75</v>
      </c>
      <c r="C52">
        <v>37.01</v>
      </c>
      <c r="D52">
        <v>-6188.76</v>
      </c>
      <c r="E52">
        <v>-1378.99</v>
      </c>
      <c r="F52">
        <v>-1214.99</v>
      </c>
      <c r="G52">
        <v>335.09</v>
      </c>
      <c r="H52">
        <v>-1.27</v>
      </c>
      <c r="I52">
        <v>817.95</v>
      </c>
      <c r="J52">
        <v>188.96</v>
      </c>
      <c r="K52">
        <v>169.04</v>
      </c>
      <c r="L52">
        <v>-0.97</v>
      </c>
      <c r="M52">
        <v>0.01</v>
      </c>
      <c r="N52">
        <v>1.17</v>
      </c>
      <c r="O52">
        <v>-142.09</v>
      </c>
      <c r="P52">
        <v>5.47</v>
      </c>
      <c r="Q52">
        <v>196.792</v>
      </c>
      <c r="R52">
        <v>-310.03200000000004</v>
      </c>
      <c r="S52">
        <v>128.13</v>
      </c>
      <c r="T52">
        <v>-138.56</v>
      </c>
      <c r="V52" s="136">
        <v>8258.86</v>
      </c>
      <c r="W52" s="136">
        <v>-9806.02</v>
      </c>
      <c r="X52" s="136">
        <v>758</v>
      </c>
      <c r="Y52" s="136">
        <v>-194.53</v>
      </c>
      <c r="Z52" s="136">
        <v>312.62</v>
      </c>
      <c r="AA52" s="136">
        <v>-429.21</v>
      </c>
      <c r="AC52" s="136"/>
      <c r="AD52" s="871">
        <v>2613.7600000000002</v>
      </c>
      <c r="AE52" s="871">
        <v>-1557.93</v>
      </c>
      <c r="AF52" s="871">
        <v>295.37</v>
      </c>
      <c r="AG52" s="871">
        <v>-100.68</v>
      </c>
      <c r="AH52" s="136">
        <v>134.88</v>
      </c>
      <c r="AI52" s="136">
        <v>-160.78</v>
      </c>
    </row>
    <row r="53" spans="1:35">
      <c r="A53" t="s">
        <v>90</v>
      </c>
      <c r="B53">
        <v>-1865.98</v>
      </c>
      <c r="C53">
        <v>30.67</v>
      </c>
      <c r="D53">
        <v>-2546.4899999999998</v>
      </c>
      <c r="E53">
        <v>-534.80999999999995</v>
      </c>
      <c r="F53">
        <v>-466.31</v>
      </c>
      <c r="G53">
        <v>262.42</v>
      </c>
      <c r="H53">
        <v>-1.27</v>
      </c>
      <c r="I53">
        <v>638.95000000000005</v>
      </c>
      <c r="J53">
        <v>148.71</v>
      </c>
      <c r="K53">
        <v>130.44</v>
      </c>
      <c r="L53">
        <v>-0.97</v>
      </c>
      <c r="M53">
        <v>0.01</v>
      </c>
      <c r="N53">
        <v>-2.93</v>
      </c>
      <c r="O53">
        <v>2.41</v>
      </c>
      <c r="P53">
        <v>-1.08</v>
      </c>
      <c r="Q53">
        <v>209.28000000000003</v>
      </c>
      <c r="R53">
        <v>-243.17600000000002</v>
      </c>
      <c r="S53">
        <v>129.97</v>
      </c>
      <c r="T53">
        <v>-122.38</v>
      </c>
      <c r="V53" s="136">
        <v>9072.0499999999993</v>
      </c>
      <c r="W53" s="136">
        <v>-8125.96</v>
      </c>
      <c r="X53" s="136">
        <v>639.65</v>
      </c>
      <c r="Y53" s="136">
        <v>-277.33</v>
      </c>
      <c r="Z53" s="136">
        <v>326.17</v>
      </c>
      <c r="AA53" s="136">
        <v>-350.36</v>
      </c>
      <c r="AC53" s="136"/>
      <c r="AD53" s="871">
        <v>2980.58</v>
      </c>
      <c r="AE53" s="871">
        <v>-1265.9100000000001</v>
      </c>
      <c r="AF53" s="871">
        <v>224.89</v>
      </c>
      <c r="AG53" s="871">
        <v>-157.33000000000001</v>
      </c>
      <c r="AH53" s="136">
        <v>131.63</v>
      </c>
      <c r="AI53" s="136">
        <v>-160.78</v>
      </c>
    </row>
    <row r="54" spans="1:35">
      <c r="A54" t="s">
        <v>91</v>
      </c>
      <c r="B54">
        <v>-1865.98</v>
      </c>
      <c r="C54">
        <v>30.67</v>
      </c>
      <c r="D54">
        <v>-2546.4899999999998</v>
      </c>
      <c r="E54">
        <v>-534.80999999999995</v>
      </c>
      <c r="F54">
        <v>-466.31</v>
      </c>
      <c r="G54">
        <v>262.42</v>
      </c>
      <c r="H54">
        <v>-1.27</v>
      </c>
      <c r="I54">
        <v>638.96</v>
      </c>
      <c r="J54">
        <v>148.71</v>
      </c>
      <c r="K54">
        <v>130.44</v>
      </c>
      <c r="L54">
        <v>-0.97</v>
      </c>
      <c r="M54">
        <v>0.01</v>
      </c>
      <c r="N54">
        <v>-2.93</v>
      </c>
      <c r="O54">
        <v>2.41</v>
      </c>
      <c r="P54">
        <v>-1.08</v>
      </c>
      <c r="Q54">
        <v>209.28000000000003</v>
      </c>
      <c r="R54">
        <v>-243.17600000000002</v>
      </c>
      <c r="S54">
        <v>129.97</v>
      </c>
      <c r="T54">
        <v>-122.38</v>
      </c>
      <c r="V54" s="136">
        <v>9072.0499999999993</v>
      </c>
      <c r="W54" s="136">
        <v>-8125.96</v>
      </c>
      <c r="X54" s="136">
        <v>639.65</v>
      </c>
      <c r="Y54" s="136">
        <v>-277.33</v>
      </c>
      <c r="Z54" s="136">
        <v>326.17</v>
      </c>
      <c r="AA54" s="136">
        <v>-350.36</v>
      </c>
      <c r="AC54" s="136"/>
      <c r="AD54" s="871">
        <v>2980.59</v>
      </c>
      <c r="AE54" s="871">
        <v>-1265.9100000000001</v>
      </c>
      <c r="AF54" s="871">
        <v>224.89</v>
      </c>
      <c r="AG54" s="871">
        <v>-157.33000000000001</v>
      </c>
      <c r="AH54" s="136">
        <v>131.63</v>
      </c>
      <c r="AI54" s="136">
        <v>-160.78</v>
      </c>
    </row>
    <row r="55" spans="1:35">
      <c r="A55" t="s">
        <v>92</v>
      </c>
      <c r="B55">
        <v>-735.55</v>
      </c>
      <c r="C55">
        <v>24.33</v>
      </c>
      <c r="D55">
        <v>200.82</v>
      </c>
      <c r="E55">
        <v>108.11</v>
      </c>
      <c r="F55">
        <v>89.38</v>
      </c>
      <c r="G55">
        <v>189.75</v>
      </c>
      <c r="H55">
        <v>-1.27</v>
      </c>
      <c r="I55">
        <v>459.96</v>
      </c>
      <c r="J55">
        <v>108.46</v>
      </c>
      <c r="K55">
        <v>91.84</v>
      </c>
      <c r="L55">
        <v>-0.97</v>
      </c>
      <c r="M55">
        <v>0.01</v>
      </c>
      <c r="N55">
        <v>-7.03</v>
      </c>
      <c r="O55">
        <v>146.91</v>
      </c>
      <c r="P55">
        <v>-7.63</v>
      </c>
      <c r="Q55">
        <v>276.43200000000002</v>
      </c>
      <c r="R55">
        <v>-191.2</v>
      </c>
      <c r="S55">
        <v>146.66999999999999</v>
      </c>
      <c r="T55">
        <v>-122.11</v>
      </c>
      <c r="V55" s="136">
        <v>9290.6299999999992</v>
      </c>
      <c r="W55" s="136">
        <v>-6449.89</v>
      </c>
      <c r="X55" s="136">
        <v>537.66</v>
      </c>
      <c r="Y55" s="136">
        <v>-382.8</v>
      </c>
      <c r="Z55" s="136">
        <v>405.83</v>
      </c>
      <c r="AA55" s="136">
        <v>-301.36</v>
      </c>
      <c r="AC55" s="136"/>
      <c r="AD55" s="871">
        <v>2894.68</v>
      </c>
      <c r="AE55" s="871">
        <v>-978.96</v>
      </c>
      <c r="AF55" s="871">
        <v>158.44</v>
      </c>
      <c r="AG55" s="871">
        <v>-224.66</v>
      </c>
      <c r="AH55" s="136">
        <v>128.36000000000001</v>
      </c>
      <c r="AI55" s="136">
        <v>-145.86000000000001</v>
      </c>
    </row>
    <row r="56" spans="1:35">
      <c r="A56" t="s">
        <v>93</v>
      </c>
      <c r="B56">
        <v>-735.55</v>
      </c>
      <c r="C56">
        <v>24.33</v>
      </c>
      <c r="D56">
        <v>200.81</v>
      </c>
      <c r="E56">
        <v>108.11</v>
      </c>
      <c r="F56">
        <v>89.38</v>
      </c>
      <c r="G56">
        <v>171.04</v>
      </c>
      <c r="H56">
        <v>-1.26</v>
      </c>
      <c r="I56">
        <v>383.14</v>
      </c>
      <c r="J56">
        <v>84.9</v>
      </c>
      <c r="K56">
        <v>77.64</v>
      </c>
      <c r="L56">
        <v>-1.29</v>
      </c>
      <c r="M56">
        <v>0.01</v>
      </c>
      <c r="N56">
        <v>-1.08</v>
      </c>
      <c r="O56">
        <v>-83.29</v>
      </c>
      <c r="P56">
        <v>-1.79</v>
      </c>
      <c r="Q56">
        <v>243.66399999999999</v>
      </c>
      <c r="R56">
        <v>-312.62399999999997</v>
      </c>
      <c r="S56">
        <v>216.65</v>
      </c>
      <c r="T56">
        <v>-209.55</v>
      </c>
      <c r="V56" s="136">
        <v>9290.6200000000008</v>
      </c>
      <c r="W56" s="136">
        <v>-6449.89</v>
      </c>
      <c r="X56" s="136">
        <v>591.86</v>
      </c>
      <c r="Y56" s="136">
        <v>-391.46</v>
      </c>
      <c r="Z56" s="136">
        <v>445.08</v>
      </c>
      <c r="AA56" s="136">
        <v>-502.64</v>
      </c>
      <c r="AC56" s="136"/>
      <c r="AD56" s="871">
        <v>2894.67</v>
      </c>
      <c r="AE56" s="871">
        <v>-978.97</v>
      </c>
      <c r="AF56" s="871">
        <v>245.74</v>
      </c>
      <c r="AG56" s="871">
        <v>-144.51</v>
      </c>
      <c r="AH56" s="136">
        <v>184.74</v>
      </c>
      <c r="AI56" s="136">
        <v>-144.69</v>
      </c>
    </row>
    <row r="57" spans="1:35">
      <c r="A57" t="s">
        <v>94</v>
      </c>
      <c r="B57">
        <v>-40.26</v>
      </c>
      <c r="C57">
        <v>18.05</v>
      </c>
      <c r="D57">
        <v>1668.99</v>
      </c>
      <c r="E57">
        <v>432.01</v>
      </c>
      <c r="F57">
        <v>381.07</v>
      </c>
      <c r="G57">
        <v>107.07</v>
      </c>
      <c r="H57">
        <v>-1.26</v>
      </c>
      <c r="I57">
        <v>204.14</v>
      </c>
      <c r="J57">
        <v>44.65</v>
      </c>
      <c r="K57">
        <v>39.04</v>
      </c>
      <c r="L57">
        <v>-1.29</v>
      </c>
      <c r="M57">
        <v>0.01</v>
      </c>
      <c r="N57">
        <v>-5.18</v>
      </c>
      <c r="O57">
        <v>61.21</v>
      </c>
      <c r="P57">
        <v>-8.34</v>
      </c>
      <c r="Q57">
        <v>243.66399999999999</v>
      </c>
      <c r="R57">
        <v>-246.80799999999999</v>
      </c>
      <c r="S57">
        <v>216.65</v>
      </c>
      <c r="T57">
        <v>-199.63</v>
      </c>
      <c r="V57" s="136">
        <v>8328.8700000000008</v>
      </c>
      <c r="W57" s="136">
        <v>-4784.82</v>
      </c>
      <c r="X57" s="136">
        <v>480.45</v>
      </c>
      <c r="Y57" s="136">
        <v>-489.35</v>
      </c>
      <c r="Z57" s="136">
        <v>445.08</v>
      </c>
      <c r="AA57" s="136">
        <v>-431.01</v>
      </c>
      <c r="AC57" s="136"/>
      <c r="AD57" s="871">
        <v>2824.52</v>
      </c>
      <c r="AE57" s="871">
        <v>-727.06</v>
      </c>
      <c r="AF57" s="871">
        <v>167.97</v>
      </c>
      <c r="AG57" s="871">
        <v>-207.25</v>
      </c>
      <c r="AH57" s="136">
        <v>194.71</v>
      </c>
      <c r="AI57" s="136">
        <v>-146.78</v>
      </c>
    </row>
    <row r="58" spans="1:35">
      <c r="A58" t="s">
        <v>95</v>
      </c>
      <c r="B58">
        <v>-40.26</v>
      </c>
      <c r="C58">
        <v>18.05</v>
      </c>
      <c r="D58">
        <v>1668.99</v>
      </c>
      <c r="E58">
        <v>432.01</v>
      </c>
      <c r="F58">
        <v>381.07</v>
      </c>
      <c r="G58">
        <v>107.07</v>
      </c>
      <c r="H58">
        <v>-1.26</v>
      </c>
      <c r="I58">
        <v>204.14</v>
      </c>
      <c r="J58">
        <v>44.65</v>
      </c>
      <c r="K58">
        <v>39.04</v>
      </c>
      <c r="L58">
        <v>-1.29</v>
      </c>
      <c r="M58">
        <v>0.01</v>
      </c>
      <c r="N58">
        <v>-5.18</v>
      </c>
      <c r="O58">
        <v>61.21</v>
      </c>
      <c r="P58">
        <v>-8.34</v>
      </c>
      <c r="Q58">
        <v>243.66399999999999</v>
      </c>
      <c r="R58">
        <v>-246.80799999999999</v>
      </c>
      <c r="S58">
        <v>216.65</v>
      </c>
      <c r="T58">
        <v>-199.63</v>
      </c>
      <c r="V58" s="136">
        <v>8328.8700000000008</v>
      </c>
      <c r="W58" s="136">
        <v>-4784.82</v>
      </c>
      <c r="X58" s="136">
        <v>480.45</v>
      </c>
      <c r="Y58" s="136">
        <v>-489.35</v>
      </c>
      <c r="Z58" s="136">
        <v>445.08</v>
      </c>
      <c r="AA58" s="136">
        <v>-431.01</v>
      </c>
      <c r="AC58" s="136"/>
      <c r="AD58" s="871">
        <v>2824.52</v>
      </c>
      <c r="AE58" s="871">
        <v>-727.06</v>
      </c>
      <c r="AF58" s="871">
        <v>167.97</v>
      </c>
      <c r="AG58" s="871">
        <v>-207.25</v>
      </c>
      <c r="AH58" s="136">
        <v>194.71</v>
      </c>
      <c r="AI58" s="136">
        <v>-146.78</v>
      </c>
    </row>
    <row r="59" spans="1:35">
      <c r="A59" t="s">
        <v>96</v>
      </c>
      <c r="B59">
        <v>335.14</v>
      </c>
      <c r="C59">
        <v>11.76</v>
      </c>
      <c r="D59">
        <v>2242.16</v>
      </c>
      <c r="E59">
        <v>554.65</v>
      </c>
      <c r="F59">
        <v>479.76</v>
      </c>
      <c r="G59">
        <v>43.09</v>
      </c>
      <c r="H59">
        <v>-1.26</v>
      </c>
      <c r="I59">
        <v>25.14</v>
      </c>
      <c r="J59">
        <v>4.4000000000000004</v>
      </c>
      <c r="K59">
        <v>0.44</v>
      </c>
      <c r="L59">
        <v>-1.29</v>
      </c>
      <c r="M59">
        <v>0.01</v>
      </c>
      <c r="N59">
        <v>-9.2799999999999994</v>
      </c>
      <c r="O59">
        <v>205.71</v>
      </c>
      <c r="P59">
        <v>-14.89</v>
      </c>
      <c r="Q59">
        <v>275.952</v>
      </c>
      <c r="R59">
        <v>-246.80799999999999</v>
      </c>
      <c r="S59">
        <v>219.69</v>
      </c>
      <c r="T59">
        <v>-192.42</v>
      </c>
      <c r="V59" s="136">
        <v>6607.9</v>
      </c>
      <c r="W59" s="136">
        <v>-3119.75</v>
      </c>
      <c r="X59" s="136">
        <v>381.74</v>
      </c>
      <c r="Y59" s="136">
        <v>-611.36</v>
      </c>
      <c r="Z59" s="136">
        <v>478.4</v>
      </c>
      <c r="AA59" s="136">
        <v>-423.8</v>
      </c>
      <c r="AC59" s="136"/>
      <c r="AD59" s="871">
        <v>2268.25</v>
      </c>
      <c r="AE59" s="871">
        <v>-475.15</v>
      </c>
      <c r="AF59" s="871">
        <v>95.76</v>
      </c>
      <c r="AG59" s="871">
        <v>-287.55</v>
      </c>
      <c r="AH59" s="136">
        <v>194.71</v>
      </c>
      <c r="AI59" s="136">
        <v>-146.78</v>
      </c>
    </row>
    <row r="60" spans="1:35">
      <c r="A60" t="s">
        <v>97</v>
      </c>
      <c r="B60">
        <v>335.14</v>
      </c>
      <c r="C60">
        <v>11.76</v>
      </c>
      <c r="D60">
        <v>2242.17</v>
      </c>
      <c r="E60">
        <v>554.65</v>
      </c>
      <c r="F60">
        <v>479.76</v>
      </c>
      <c r="G60">
        <v>23.74</v>
      </c>
      <c r="H60">
        <v>-1.26</v>
      </c>
      <c r="I60">
        <v>-62.32</v>
      </c>
      <c r="J60">
        <v>-21.61</v>
      </c>
      <c r="K60">
        <v>-15.16</v>
      </c>
      <c r="L60">
        <v>-4.93</v>
      </c>
      <c r="M60">
        <v>0.01</v>
      </c>
      <c r="N60">
        <v>-29.12</v>
      </c>
      <c r="O60">
        <v>-11.11</v>
      </c>
      <c r="P60">
        <v>-13.55</v>
      </c>
      <c r="Q60">
        <v>350.33600000000001</v>
      </c>
      <c r="R60">
        <v>-342.56799999999998</v>
      </c>
      <c r="S60">
        <v>324.60000000000002</v>
      </c>
      <c r="T60">
        <v>-297.54000000000002</v>
      </c>
      <c r="V60" s="136">
        <v>6607.9</v>
      </c>
      <c r="W60" s="136">
        <v>-3119.75</v>
      </c>
      <c r="X60" s="136">
        <v>419.3</v>
      </c>
      <c r="Y60" s="136">
        <v>-648.28</v>
      </c>
      <c r="Z60" s="136">
        <v>653.04</v>
      </c>
      <c r="AA60" s="136">
        <v>-618.69000000000005</v>
      </c>
      <c r="AC60" s="136"/>
      <c r="AD60" s="871">
        <v>2268.2600000000002</v>
      </c>
      <c r="AE60" s="871">
        <v>-475.15</v>
      </c>
      <c r="AF60" s="871">
        <v>149.97</v>
      </c>
      <c r="AG60" s="871">
        <v>-227.24</v>
      </c>
      <c r="AH60" s="136">
        <v>299.19</v>
      </c>
      <c r="AI60" s="136">
        <v>-250.85</v>
      </c>
    </row>
    <row r="61" spans="1:35">
      <c r="A61" t="s">
        <v>98</v>
      </c>
      <c r="B61">
        <v>220.91</v>
      </c>
      <c r="C61">
        <v>3.64</v>
      </c>
      <c r="D61">
        <v>1089.68</v>
      </c>
      <c r="E61">
        <v>246.35</v>
      </c>
      <c r="F61">
        <v>220.11</v>
      </c>
      <c r="G61">
        <v>-59.05</v>
      </c>
      <c r="H61">
        <v>-1.26</v>
      </c>
      <c r="I61">
        <v>-293.94</v>
      </c>
      <c r="J61">
        <v>-73.69</v>
      </c>
      <c r="K61">
        <v>-65.11</v>
      </c>
      <c r="L61">
        <v>-4.93</v>
      </c>
      <c r="M61">
        <v>0.01</v>
      </c>
      <c r="N61">
        <v>-34.42</v>
      </c>
      <c r="O61">
        <v>175.87</v>
      </c>
      <c r="P61">
        <v>-22.03</v>
      </c>
      <c r="Q61">
        <v>350.33600000000001</v>
      </c>
      <c r="R61">
        <v>-341.68</v>
      </c>
      <c r="S61">
        <v>324.60000000000002</v>
      </c>
      <c r="T61">
        <v>-288.20999999999998</v>
      </c>
      <c r="V61" s="136">
        <v>2460.86</v>
      </c>
      <c r="W61" s="136">
        <v>-967.1</v>
      </c>
      <c r="X61" s="136">
        <v>335.83</v>
      </c>
      <c r="Y61" s="136">
        <v>-828.59</v>
      </c>
      <c r="Z61" s="136">
        <v>653.04999999999995</v>
      </c>
      <c r="AA61" s="136">
        <v>-608.53</v>
      </c>
      <c r="AC61" s="136"/>
      <c r="AD61" s="871">
        <v>1055.57</v>
      </c>
      <c r="AE61" s="871">
        <v>-147.06</v>
      </c>
      <c r="AF61" s="871">
        <v>50.71</v>
      </c>
      <c r="AG61" s="871">
        <v>-321.32</v>
      </c>
      <c r="AH61" s="136">
        <v>299.19</v>
      </c>
      <c r="AI61" s="136">
        <v>-250.85</v>
      </c>
    </row>
    <row r="62" spans="1:35">
      <c r="A62" t="s">
        <v>99</v>
      </c>
      <c r="B62">
        <v>220.92</v>
      </c>
      <c r="C62">
        <v>3.64</v>
      </c>
      <c r="D62">
        <v>1089.68</v>
      </c>
      <c r="E62">
        <v>246.35</v>
      </c>
      <c r="F62">
        <v>220.11</v>
      </c>
      <c r="G62">
        <v>-59.05</v>
      </c>
      <c r="H62">
        <v>-1.26</v>
      </c>
      <c r="I62">
        <v>-293.94</v>
      </c>
      <c r="J62">
        <v>-73.69</v>
      </c>
      <c r="K62">
        <v>-65.11</v>
      </c>
      <c r="L62">
        <v>-4.93</v>
      </c>
      <c r="M62">
        <v>0.01</v>
      </c>
      <c r="N62">
        <v>-34.42</v>
      </c>
      <c r="O62">
        <v>175.87</v>
      </c>
      <c r="P62">
        <v>-22.03</v>
      </c>
      <c r="Q62">
        <v>350.33600000000001</v>
      </c>
      <c r="R62">
        <v>-341.68</v>
      </c>
      <c r="S62">
        <v>324.60000000000002</v>
      </c>
      <c r="T62">
        <v>-288.20999999999998</v>
      </c>
      <c r="V62" s="136">
        <v>2460.86</v>
      </c>
      <c r="W62" s="136">
        <v>-967.1</v>
      </c>
      <c r="X62" s="136">
        <v>335.83</v>
      </c>
      <c r="Y62" s="136">
        <v>-828.59</v>
      </c>
      <c r="Z62" s="136">
        <v>653.04999999999995</v>
      </c>
      <c r="AA62" s="136">
        <v>-608.53</v>
      </c>
      <c r="AC62" s="136"/>
      <c r="AD62" s="871">
        <v>1055.57</v>
      </c>
      <c r="AE62" s="871">
        <v>-147.06</v>
      </c>
      <c r="AF62" s="871">
        <v>50.71</v>
      </c>
      <c r="AG62" s="871">
        <v>-321.32</v>
      </c>
      <c r="AH62" s="136">
        <v>299.19</v>
      </c>
      <c r="AI62" s="136">
        <v>-250.85</v>
      </c>
    </row>
    <row r="63" spans="1:35">
      <c r="A63" t="s">
        <v>100</v>
      </c>
      <c r="B63">
        <v>-1.85</v>
      </c>
      <c r="C63">
        <v>0</v>
      </c>
      <c r="D63">
        <v>-8.83</v>
      </c>
      <c r="E63">
        <v>-1.21</v>
      </c>
      <c r="F63">
        <v>-1.1599999999999999</v>
      </c>
      <c r="G63">
        <v>-94.58</v>
      </c>
      <c r="H63">
        <v>-1.26</v>
      </c>
      <c r="I63">
        <v>-463.65</v>
      </c>
      <c r="J63">
        <v>-97.04</v>
      </c>
      <c r="K63">
        <v>-87.49</v>
      </c>
      <c r="L63">
        <v>-4.93</v>
      </c>
      <c r="M63">
        <v>0.01</v>
      </c>
      <c r="N63">
        <v>-29.67</v>
      </c>
      <c r="O63">
        <v>259.68</v>
      </c>
      <c r="P63">
        <v>-25.82</v>
      </c>
      <c r="Q63">
        <v>350.33600000000001</v>
      </c>
      <c r="R63">
        <v>-0.97599999999999998</v>
      </c>
      <c r="S63">
        <v>328.94</v>
      </c>
      <c r="T63">
        <v>-1.1499999999999999</v>
      </c>
      <c r="V63" s="136">
        <v>-2</v>
      </c>
      <c r="W63" s="136">
        <v>-143.29</v>
      </c>
      <c r="X63" s="136">
        <v>332.78</v>
      </c>
      <c r="Y63" s="136">
        <v>-928.88</v>
      </c>
      <c r="Z63" s="136">
        <v>657.38</v>
      </c>
      <c r="AA63" s="136">
        <v>-2.0699999999999998</v>
      </c>
      <c r="AC63" s="136"/>
      <c r="AD63" s="871">
        <v>0.05</v>
      </c>
      <c r="AE63" s="871">
        <v>-104.64</v>
      </c>
      <c r="AF63" s="871">
        <v>211.61</v>
      </c>
      <c r="AG63" s="871">
        <v>-321.32</v>
      </c>
      <c r="AH63" s="136">
        <v>299.19</v>
      </c>
      <c r="AI63" s="136">
        <v>-250.85</v>
      </c>
    </row>
    <row r="64" spans="1:35">
      <c r="A64" t="s">
        <v>101</v>
      </c>
      <c r="B64">
        <v>-1.86</v>
      </c>
      <c r="C64">
        <v>0</v>
      </c>
      <c r="D64">
        <v>-8.86</v>
      </c>
      <c r="E64">
        <v>-1.22</v>
      </c>
      <c r="F64">
        <v>-1.17</v>
      </c>
      <c r="G64">
        <v>6.74</v>
      </c>
      <c r="H64">
        <v>0</v>
      </c>
      <c r="I64">
        <v>32.200000000000003</v>
      </c>
      <c r="J64">
        <v>4.43</v>
      </c>
      <c r="K64">
        <v>4.25</v>
      </c>
      <c r="L64">
        <v>0</v>
      </c>
      <c r="M64">
        <v>0</v>
      </c>
      <c r="N64">
        <v>-0.9</v>
      </c>
      <c r="O64">
        <v>-15.89</v>
      </c>
      <c r="P64">
        <v>0.72</v>
      </c>
      <c r="Q64">
        <v>36.872</v>
      </c>
      <c r="R64">
        <v>-128.22399999999999</v>
      </c>
      <c r="S64">
        <v>1.3</v>
      </c>
      <c r="T64">
        <v>-5.03</v>
      </c>
      <c r="V64" s="136">
        <v>0</v>
      </c>
      <c r="W64" s="136">
        <v>-143.27000000000001</v>
      </c>
      <c r="X64" s="136">
        <v>260.5</v>
      </c>
      <c r="Y64" s="136">
        <v>0</v>
      </c>
      <c r="Z64" s="136">
        <v>46.09</v>
      </c>
      <c r="AA64" s="136">
        <v>-160.28</v>
      </c>
      <c r="AC64" s="136"/>
      <c r="AD64" s="871">
        <v>0.01</v>
      </c>
      <c r="AE64" s="871">
        <v>-104.63</v>
      </c>
      <c r="AF64" s="871">
        <v>212.19</v>
      </c>
      <c r="AG64" s="871">
        <v>-0.04</v>
      </c>
      <c r="AH64" s="136">
        <v>46.32</v>
      </c>
      <c r="AI64" s="136">
        <v>-42.35</v>
      </c>
    </row>
    <row r="65" spans="1:35">
      <c r="A65" t="s">
        <v>102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0.01</v>
      </c>
      <c r="J65">
        <v>0</v>
      </c>
      <c r="K65">
        <v>0.01</v>
      </c>
      <c r="L65">
        <v>0</v>
      </c>
      <c r="M65">
        <v>0</v>
      </c>
      <c r="N65">
        <v>0</v>
      </c>
      <c r="O65">
        <v>0</v>
      </c>
      <c r="P65">
        <v>0</v>
      </c>
      <c r="Q65">
        <v>36.872</v>
      </c>
      <c r="R65">
        <v>-128.22399999999999</v>
      </c>
      <c r="S65">
        <v>0</v>
      </c>
      <c r="T65">
        <v>0</v>
      </c>
      <c r="V65" s="136">
        <v>0</v>
      </c>
      <c r="W65" s="136">
        <v>0</v>
      </c>
      <c r="X65" s="136">
        <v>260.5</v>
      </c>
      <c r="Y65" s="136">
        <v>0</v>
      </c>
      <c r="Z65" s="136">
        <v>46.09</v>
      </c>
      <c r="AA65" s="136">
        <v>-160.28</v>
      </c>
      <c r="AC65" s="136"/>
      <c r="AD65" s="871">
        <v>0.01</v>
      </c>
      <c r="AE65" s="871">
        <v>-0.01</v>
      </c>
      <c r="AF65" s="871">
        <v>190.25</v>
      </c>
      <c r="AG65" s="871">
        <v>-26.49</v>
      </c>
      <c r="AH65" s="136">
        <v>33.909999999999997</v>
      </c>
      <c r="AI65" s="136">
        <v>-37.090000000000003</v>
      </c>
    </row>
    <row r="66" spans="1:35">
      <c r="A66" s="136" t="s">
        <v>2020</v>
      </c>
      <c r="B66" s="136">
        <v>-0.03</v>
      </c>
      <c r="C66" s="136">
        <v>0</v>
      </c>
      <c r="D66" s="136">
        <v>0</v>
      </c>
      <c r="E66" s="136">
        <v>0.05</v>
      </c>
      <c r="F66" s="136">
        <v>-0.03</v>
      </c>
      <c r="G66" s="136">
        <v>-0.22</v>
      </c>
      <c r="H66" s="136">
        <v>0</v>
      </c>
      <c r="I66" s="136">
        <v>-0.16</v>
      </c>
      <c r="J66" s="136">
        <v>-0.27</v>
      </c>
      <c r="K66" s="136">
        <v>-7.0000000000000007E-2</v>
      </c>
      <c r="L66" s="136">
        <v>0</v>
      </c>
      <c r="M66" s="136">
        <v>0</v>
      </c>
      <c r="N66" s="136">
        <v>0</v>
      </c>
      <c r="O66" s="136">
        <v>0</v>
      </c>
      <c r="P66" s="136">
        <v>0</v>
      </c>
      <c r="V66" s="136">
        <v>0</v>
      </c>
      <c r="W66" s="136">
        <v>0</v>
      </c>
      <c r="X66" s="136">
        <v>0</v>
      </c>
      <c r="Y66" s="136">
        <v>-258.48</v>
      </c>
      <c r="Z66" s="136">
        <v>46.09</v>
      </c>
      <c r="AA66" s="136">
        <v>-160.28</v>
      </c>
      <c r="AC66" s="136"/>
      <c r="AD66" s="136"/>
      <c r="AE66" s="136"/>
      <c r="AF66" s="136"/>
      <c r="AG66" s="136"/>
      <c r="AH66" s="136"/>
      <c r="AI66" s="136"/>
    </row>
    <row r="67" spans="1:35">
      <c r="A67" s="136" t="s">
        <v>2021</v>
      </c>
      <c r="B67" s="136">
        <v>-1.89</v>
      </c>
      <c r="C67" s="136">
        <v>0</v>
      </c>
      <c r="D67" s="136">
        <v>-8.84</v>
      </c>
      <c r="E67" s="136">
        <v>-1.27</v>
      </c>
      <c r="F67" s="136">
        <v>-1.1499999999999999</v>
      </c>
      <c r="G67" s="136">
        <v>-7.2</v>
      </c>
      <c r="H67" s="136">
        <v>0</v>
      </c>
      <c r="I67" s="136">
        <v>-32.340000000000003</v>
      </c>
      <c r="J67" s="136">
        <v>-4.7</v>
      </c>
      <c r="K67" s="136">
        <v>-4.3099999999999996</v>
      </c>
      <c r="L67" s="136">
        <v>0</v>
      </c>
      <c r="M67" s="136">
        <v>0</v>
      </c>
      <c r="N67" s="136">
        <v>-0.9</v>
      </c>
      <c r="O67" s="136">
        <v>-15.89</v>
      </c>
      <c r="P67" s="136">
        <v>0.72</v>
      </c>
      <c r="V67" s="136">
        <v>0</v>
      </c>
      <c r="W67" s="136">
        <v>-142.16</v>
      </c>
      <c r="X67" s="136">
        <v>0</v>
      </c>
      <c r="Y67" s="136">
        <v>-258.48</v>
      </c>
      <c r="Z67" s="136">
        <v>46.09</v>
      </c>
      <c r="AA67" s="136">
        <v>-160.28</v>
      </c>
    </row>
    <row r="68" spans="1:35">
      <c r="A68" s="136" t="s">
        <v>2022</v>
      </c>
      <c r="B68" s="136">
        <v>-1.92</v>
      </c>
      <c r="C68" s="136">
        <v>0</v>
      </c>
      <c r="D68" s="136">
        <v>-8.81</v>
      </c>
      <c r="E68" s="136">
        <v>-1.22</v>
      </c>
      <c r="F68" s="136">
        <v>-1.17</v>
      </c>
      <c r="G68" s="136">
        <v>670.9</v>
      </c>
      <c r="H68" s="136">
        <v>0.8</v>
      </c>
      <c r="I68" s="136">
        <v>1427.7</v>
      </c>
      <c r="J68" s="136">
        <v>327.72</v>
      </c>
      <c r="K68" s="136">
        <v>288.82</v>
      </c>
      <c r="L68" s="136">
        <v>-2.92</v>
      </c>
      <c r="M68" s="136">
        <v>0</v>
      </c>
      <c r="N68" s="136">
        <v>-31.25</v>
      </c>
      <c r="O68" s="136">
        <v>243.51</v>
      </c>
      <c r="P68" s="136">
        <v>-26.88</v>
      </c>
      <c r="V68" s="136">
        <v>0.03</v>
      </c>
      <c r="W68" s="136">
        <v>-142.16</v>
      </c>
      <c r="X68" s="136">
        <v>1215.58</v>
      </c>
      <c r="Y68" s="136">
        <v>-66.89</v>
      </c>
      <c r="Z68" s="136">
        <v>1048.95</v>
      </c>
      <c r="AA68" s="136">
        <v>-536.24</v>
      </c>
    </row>
    <row r="69" spans="1:35">
      <c r="A69" s="136" t="s">
        <v>2023</v>
      </c>
      <c r="B69" s="136">
        <v>1731.43</v>
      </c>
      <c r="C69" s="136">
        <v>2.12</v>
      </c>
      <c r="D69" s="136">
        <v>3569.1</v>
      </c>
      <c r="E69" s="136">
        <v>838.98</v>
      </c>
      <c r="F69" s="136">
        <v>737.09</v>
      </c>
      <c r="G69" s="136">
        <v>637.28</v>
      </c>
      <c r="H69" s="136">
        <v>0.8</v>
      </c>
      <c r="I69" s="136">
        <v>1272.6199999999999</v>
      </c>
      <c r="J69" s="136">
        <v>306.39</v>
      </c>
      <c r="K69" s="136">
        <v>268.36</v>
      </c>
      <c r="L69" s="136">
        <v>-2.92</v>
      </c>
      <c r="M69" s="136">
        <v>0</v>
      </c>
      <c r="N69" s="136">
        <v>-35.590000000000003</v>
      </c>
      <c r="O69" s="136">
        <v>166.93</v>
      </c>
      <c r="P69" s="136">
        <v>-23.41</v>
      </c>
      <c r="V69" s="136">
        <v>3052.93</v>
      </c>
      <c r="W69" s="136">
        <v>-232.67</v>
      </c>
      <c r="X69" s="136">
        <v>1133.22</v>
      </c>
      <c r="Y69" s="136">
        <v>-77.16</v>
      </c>
      <c r="Z69" s="136">
        <v>1035.5899999999999</v>
      </c>
      <c r="AA69" s="136">
        <v>-948.48</v>
      </c>
    </row>
    <row r="70" spans="1:35">
      <c r="A70" s="136" t="s">
        <v>2024</v>
      </c>
      <c r="B70" s="136">
        <v>1731.4</v>
      </c>
      <c r="C70" s="136">
        <v>2.12</v>
      </c>
      <c r="D70" s="136">
        <v>3569.19</v>
      </c>
      <c r="E70" s="136">
        <v>838.97</v>
      </c>
      <c r="F70" s="136">
        <v>737.09</v>
      </c>
      <c r="G70" s="136">
        <v>637.30999999999995</v>
      </c>
      <c r="H70" s="136">
        <v>0.8</v>
      </c>
      <c r="I70" s="136">
        <v>1272.6099999999999</v>
      </c>
      <c r="J70" s="136">
        <v>306.39</v>
      </c>
      <c r="K70" s="136">
        <v>268.35000000000002</v>
      </c>
      <c r="L70" s="136">
        <v>-2.92</v>
      </c>
      <c r="M70" s="136">
        <v>0</v>
      </c>
      <c r="N70" s="136">
        <v>-35.590000000000003</v>
      </c>
      <c r="O70" s="136">
        <v>166.93</v>
      </c>
      <c r="P70" s="136">
        <v>-23.41</v>
      </c>
      <c r="V70" s="136">
        <v>3052.93</v>
      </c>
      <c r="W70" s="136">
        <v>-232.67</v>
      </c>
      <c r="X70" s="136">
        <v>1133.22</v>
      </c>
      <c r="Y70" s="136">
        <v>-77.16</v>
      </c>
      <c r="Z70" s="136">
        <v>1035.5899999999999</v>
      </c>
      <c r="AA70" s="136">
        <v>-948.48</v>
      </c>
    </row>
    <row r="71" spans="1:35">
      <c r="A71" s="136" t="s">
        <v>2025</v>
      </c>
      <c r="B71" s="136">
        <v>3983.79</v>
      </c>
      <c r="C71" s="136">
        <v>5.08</v>
      </c>
      <c r="D71" s="136">
        <v>8032.83</v>
      </c>
      <c r="E71" s="136">
        <v>1917.51</v>
      </c>
      <c r="F71" s="136">
        <v>1677.14</v>
      </c>
      <c r="G71" s="136">
        <v>580.22</v>
      </c>
      <c r="H71" s="136">
        <v>0.8</v>
      </c>
      <c r="I71" s="136">
        <v>1140.1500000000001</v>
      </c>
      <c r="J71" s="136">
        <v>276.60000000000002</v>
      </c>
      <c r="K71" s="136">
        <v>239.79</v>
      </c>
      <c r="L71" s="136">
        <v>-2.92</v>
      </c>
      <c r="M71" s="136">
        <v>0</v>
      </c>
      <c r="N71" s="136">
        <v>-32.56</v>
      </c>
      <c r="O71" s="136">
        <v>60</v>
      </c>
      <c r="P71" s="136">
        <v>-18.57</v>
      </c>
      <c r="V71" s="136">
        <v>6811.79</v>
      </c>
      <c r="W71" s="136">
        <v>-426.67</v>
      </c>
      <c r="X71" s="136">
        <v>1032.82</v>
      </c>
      <c r="Y71" s="136">
        <v>-125.94</v>
      </c>
      <c r="Z71" s="136">
        <v>1025.1199999999999</v>
      </c>
      <c r="AA71" s="136">
        <v>-953.81</v>
      </c>
    </row>
    <row r="72" spans="1:35">
      <c r="A72" s="136" t="s">
        <v>2026</v>
      </c>
      <c r="B72" s="136">
        <v>3983.78</v>
      </c>
      <c r="C72" s="136">
        <v>5.08</v>
      </c>
      <c r="D72" s="136">
        <v>8032.86</v>
      </c>
      <c r="E72" s="136">
        <v>1917.52</v>
      </c>
      <c r="F72" s="136">
        <v>1677.15</v>
      </c>
      <c r="G72" s="136">
        <v>565.27</v>
      </c>
      <c r="H72" s="136">
        <v>0.8</v>
      </c>
      <c r="I72" s="136">
        <v>1070.69</v>
      </c>
      <c r="J72" s="136">
        <v>255.38</v>
      </c>
      <c r="K72" s="136">
        <v>227.19</v>
      </c>
      <c r="L72" s="136">
        <v>-2.93</v>
      </c>
      <c r="M72" s="136">
        <v>0</v>
      </c>
      <c r="N72" s="136">
        <v>-20.57</v>
      </c>
      <c r="O72" s="136">
        <v>254.75</v>
      </c>
      <c r="P72" s="136">
        <v>-22.38</v>
      </c>
      <c r="V72" s="136">
        <v>6811.8</v>
      </c>
      <c r="W72" s="136">
        <v>-426.67</v>
      </c>
      <c r="X72" s="136">
        <v>1008.86</v>
      </c>
      <c r="Y72" s="136">
        <v>-109.76</v>
      </c>
      <c r="Z72" s="136">
        <v>1105.53</v>
      </c>
      <c r="AA72" s="136">
        <v>-1019</v>
      </c>
    </row>
    <row r="73" spans="1:35">
      <c r="A73" s="136" t="s">
        <v>2027</v>
      </c>
      <c r="B73" s="136">
        <v>6617.28</v>
      </c>
      <c r="C73" s="136">
        <v>9.11</v>
      </c>
      <c r="D73" s="136">
        <v>12938.83</v>
      </c>
      <c r="E73" s="136">
        <v>3093.79</v>
      </c>
      <c r="F73" s="136">
        <v>2716.59</v>
      </c>
      <c r="G73" s="136">
        <v>488.12</v>
      </c>
      <c r="H73" s="136">
        <v>0.8</v>
      </c>
      <c r="I73" s="136">
        <v>891.69</v>
      </c>
      <c r="J73" s="136">
        <v>215.13</v>
      </c>
      <c r="K73" s="136">
        <v>188.59</v>
      </c>
      <c r="L73" s="136">
        <v>-2.93</v>
      </c>
      <c r="M73" s="136">
        <v>0</v>
      </c>
      <c r="N73" s="136">
        <v>-16.47</v>
      </c>
      <c r="O73" s="136">
        <v>110.25</v>
      </c>
      <c r="P73" s="136">
        <v>-15.83</v>
      </c>
      <c r="V73" s="136">
        <v>10915.33</v>
      </c>
      <c r="W73" s="136">
        <v>-759.26</v>
      </c>
      <c r="X73" s="136">
        <v>885.54</v>
      </c>
      <c r="Y73" s="136">
        <v>-182.9</v>
      </c>
      <c r="Z73" s="136">
        <v>1091.0899999999999</v>
      </c>
      <c r="AA73" s="136">
        <v>-1026.21</v>
      </c>
    </row>
    <row r="74" spans="1:35">
      <c r="A74" s="136" t="s">
        <v>2028</v>
      </c>
      <c r="B74" s="136">
        <v>6617.25</v>
      </c>
      <c r="C74" s="136">
        <v>9.11</v>
      </c>
      <c r="D74" s="136">
        <v>12938.77</v>
      </c>
      <c r="E74" s="136">
        <v>3093.79</v>
      </c>
      <c r="F74" s="136">
        <v>2716.57</v>
      </c>
      <c r="G74" s="136">
        <v>488.15</v>
      </c>
      <c r="H74" s="136">
        <v>0.8</v>
      </c>
      <c r="I74" s="136">
        <v>891.72</v>
      </c>
      <c r="J74" s="136">
        <v>215.13</v>
      </c>
      <c r="K74" s="136">
        <v>188.6</v>
      </c>
      <c r="L74" s="136">
        <v>-2.93</v>
      </c>
      <c r="M74" s="136">
        <v>0</v>
      </c>
      <c r="N74" s="136">
        <v>-16.47</v>
      </c>
      <c r="O74" s="136">
        <v>110.25</v>
      </c>
      <c r="P74" s="136">
        <v>-15.83</v>
      </c>
      <c r="V74" s="136">
        <v>10915.33</v>
      </c>
      <c r="W74" s="136">
        <v>-759.26</v>
      </c>
      <c r="X74" s="136">
        <v>885.54</v>
      </c>
      <c r="Y74" s="136">
        <v>-182.9</v>
      </c>
      <c r="Z74" s="136">
        <v>1091.0899999999999</v>
      </c>
      <c r="AA74" s="136">
        <v>-1026.21</v>
      </c>
    </row>
    <row r="75" spans="1:35">
      <c r="A75" s="136" t="s">
        <v>2029</v>
      </c>
      <c r="B75" s="136">
        <v>8810.4699999999993</v>
      </c>
      <c r="C75" s="136">
        <v>13.13</v>
      </c>
      <c r="D75" s="136">
        <v>16949.810000000001</v>
      </c>
      <c r="E75" s="136">
        <v>4068.84</v>
      </c>
      <c r="F75" s="136">
        <v>3563.04</v>
      </c>
      <c r="G75" s="136">
        <v>389.14</v>
      </c>
      <c r="H75" s="136">
        <v>0.8</v>
      </c>
      <c r="I75" s="136">
        <v>712.72</v>
      </c>
      <c r="J75" s="136">
        <v>174.88</v>
      </c>
      <c r="K75" s="136">
        <v>150</v>
      </c>
      <c r="L75" s="136">
        <v>-2.93</v>
      </c>
      <c r="M75" s="136">
        <v>0</v>
      </c>
      <c r="N75" s="136">
        <v>-12.37</v>
      </c>
      <c r="O75" s="136">
        <v>-34.25</v>
      </c>
      <c r="P75" s="136">
        <v>-9.2799999999999994</v>
      </c>
      <c r="V75" s="136">
        <v>14208.08</v>
      </c>
      <c r="W75" s="136">
        <v>-1091.95</v>
      </c>
      <c r="X75" s="136">
        <v>783.4</v>
      </c>
      <c r="Y75" s="136">
        <v>-277.99</v>
      </c>
      <c r="Z75" s="136">
        <v>1082.1600000000001</v>
      </c>
      <c r="AA75" s="136">
        <v>-1033.42</v>
      </c>
    </row>
    <row r="76" spans="1:35">
      <c r="A76" s="136" t="s">
        <v>2030</v>
      </c>
      <c r="B76" s="136">
        <v>8810.4699999999993</v>
      </c>
      <c r="C76" s="136">
        <v>13.13</v>
      </c>
      <c r="D76" s="136">
        <v>16949.759999999998</v>
      </c>
      <c r="E76" s="136">
        <v>4068.83</v>
      </c>
      <c r="F76" s="136">
        <v>3563.05</v>
      </c>
      <c r="G76" s="136">
        <v>370.16</v>
      </c>
      <c r="H76" s="136">
        <v>0.81</v>
      </c>
      <c r="I76" s="136">
        <v>631.28</v>
      </c>
      <c r="J76" s="136">
        <v>150.31</v>
      </c>
      <c r="K76" s="136">
        <v>135.09</v>
      </c>
      <c r="L76" s="136">
        <v>-1</v>
      </c>
      <c r="M76" s="136">
        <v>0</v>
      </c>
      <c r="N76" s="136">
        <v>-6.68</v>
      </c>
      <c r="O76" s="136">
        <v>193.15</v>
      </c>
      <c r="P76" s="136">
        <v>-13.43</v>
      </c>
      <c r="V76" s="136">
        <v>14208.08</v>
      </c>
      <c r="W76" s="136">
        <v>-1091.95</v>
      </c>
      <c r="X76" s="136">
        <v>758.34</v>
      </c>
      <c r="Y76" s="136">
        <v>-221.05</v>
      </c>
      <c r="Z76" s="136">
        <v>849.35</v>
      </c>
      <c r="AA76" s="136">
        <v>-792.14</v>
      </c>
    </row>
    <row r="77" spans="1:35">
      <c r="A77" s="136" t="s">
        <v>2031</v>
      </c>
      <c r="B77" s="136">
        <v>10413.74</v>
      </c>
      <c r="C77" s="136">
        <v>17.16</v>
      </c>
      <c r="D77" s="136">
        <v>19658.66</v>
      </c>
      <c r="E77" s="136">
        <v>4719.75</v>
      </c>
      <c r="F77" s="136">
        <v>4141.9799999999996</v>
      </c>
      <c r="G77" s="136">
        <v>271.14999999999998</v>
      </c>
      <c r="H77" s="136">
        <v>0.81</v>
      </c>
      <c r="I77" s="136">
        <v>452.28</v>
      </c>
      <c r="J77" s="136">
        <v>110.06</v>
      </c>
      <c r="K77" s="136">
        <v>96.49</v>
      </c>
      <c r="L77" s="136">
        <v>-1</v>
      </c>
      <c r="M77" s="136">
        <v>0</v>
      </c>
      <c r="N77" s="136">
        <v>-2.58</v>
      </c>
      <c r="O77" s="136">
        <v>48.65</v>
      </c>
      <c r="P77" s="136">
        <v>-6.88</v>
      </c>
      <c r="V77" s="136">
        <v>16441.740000000002</v>
      </c>
      <c r="W77" s="136">
        <v>-1424.81</v>
      </c>
      <c r="X77" s="136">
        <v>652.79999999999995</v>
      </c>
      <c r="Y77" s="136">
        <v>-302.17</v>
      </c>
      <c r="Z77" s="136">
        <v>834.77</v>
      </c>
      <c r="AA77" s="136">
        <v>-799.35</v>
      </c>
    </row>
    <row r="78" spans="1:35">
      <c r="A78" s="136" t="s">
        <v>2032</v>
      </c>
      <c r="B78" s="136">
        <v>10413.790000000001</v>
      </c>
      <c r="C78" s="136">
        <v>17.16</v>
      </c>
      <c r="D78" s="136">
        <v>19658.7</v>
      </c>
      <c r="E78" s="136">
        <v>4719.75</v>
      </c>
      <c r="F78" s="136">
        <v>4141.99</v>
      </c>
      <c r="G78" s="136">
        <v>271.16000000000003</v>
      </c>
      <c r="H78" s="136">
        <v>0.81</v>
      </c>
      <c r="I78" s="136">
        <v>452.27</v>
      </c>
      <c r="J78" s="136">
        <v>110.06</v>
      </c>
      <c r="K78" s="136">
        <v>96.51</v>
      </c>
      <c r="L78" s="136">
        <v>-1</v>
      </c>
      <c r="M78" s="136">
        <v>0</v>
      </c>
      <c r="N78" s="136">
        <v>-2.58</v>
      </c>
      <c r="O78" s="136">
        <v>48.65</v>
      </c>
      <c r="P78" s="136">
        <v>-6.88</v>
      </c>
      <c r="V78" s="136">
        <v>16441.740000000002</v>
      </c>
      <c r="W78" s="136">
        <v>-1424.81</v>
      </c>
      <c r="X78" s="136">
        <v>652.79999999999995</v>
      </c>
      <c r="Y78" s="136">
        <v>-302.17</v>
      </c>
      <c r="Z78" s="136">
        <v>834.77</v>
      </c>
      <c r="AA78" s="136">
        <v>-799.35</v>
      </c>
    </row>
    <row r="79" spans="1:35">
      <c r="A79" s="136" t="s">
        <v>2033</v>
      </c>
      <c r="B79" s="136">
        <v>11491.77</v>
      </c>
      <c r="C79" s="136">
        <v>21.18</v>
      </c>
      <c r="D79" s="136">
        <v>21472.55</v>
      </c>
      <c r="E79" s="136">
        <v>5169.42</v>
      </c>
      <c r="F79" s="136">
        <v>4528.03</v>
      </c>
      <c r="G79" s="136">
        <v>160.03</v>
      </c>
      <c r="H79" s="136">
        <v>0.81</v>
      </c>
      <c r="I79" s="136">
        <v>273.27</v>
      </c>
      <c r="J79" s="136">
        <v>69.81</v>
      </c>
      <c r="K79" s="136">
        <v>57.91</v>
      </c>
      <c r="L79" s="136">
        <v>-1</v>
      </c>
      <c r="M79" s="136">
        <v>0</v>
      </c>
      <c r="N79" s="136">
        <v>1.52</v>
      </c>
      <c r="O79" s="136">
        <v>-95.85</v>
      </c>
      <c r="P79" s="136">
        <v>-0.33</v>
      </c>
      <c r="V79" s="136">
        <v>18066.84</v>
      </c>
      <c r="W79" s="136">
        <v>-1759.07</v>
      </c>
      <c r="X79" s="136">
        <v>563.48</v>
      </c>
      <c r="Y79" s="136">
        <v>-399.55</v>
      </c>
      <c r="Z79" s="136">
        <v>824.68</v>
      </c>
      <c r="AA79" s="136">
        <v>-806.56</v>
      </c>
    </row>
    <row r="80" spans="1:35">
      <c r="A80" s="136" t="s">
        <v>2034</v>
      </c>
      <c r="B80" s="136">
        <v>11491.81</v>
      </c>
      <c r="C80" s="136">
        <v>21.18</v>
      </c>
      <c r="D80" s="136">
        <v>21472.52</v>
      </c>
      <c r="E80" s="136">
        <v>5169.42</v>
      </c>
      <c r="F80" s="136">
        <v>4528.01</v>
      </c>
      <c r="G80" s="136">
        <v>139.72</v>
      </c>
      <c r="H80" s="136">
        <v>0.8</v>
      </c>
      <c r="I80" s="136">
        <v>187.22</v>
      </c>
      <c r="J80" s="136">
        <v>44.54</v>
      </c>
      <c r="K80" s="136">
        <v>42.61</v>
      </c>
      <c r="L80" s="136">
        <v>2.04</v>
      </c>
      <c r="M80" s="136">
        <v>0</v>
      </c>
      <c r="N80" s="136">
        <v>11.49</v>
      </c>
      <c r="O80" s="136">
        <v>144.06</v>
      </c>
      <c r="P80" s="136">
        <v>-5.48</v>
      </c>
      <c r="V80" s="136">
        <v>18066.84</v>
      </c>
      <c r="W80" s="136">
        <v>-1759.07</v>
      </c>
      <c r="X80" s="136">
        <v>552.12</v>
      </c>
      <c r="Y80" s="136">
        <v>-352.16</v>
      </c>
      <c r="Z80" s="136">
        <v>617.16999999999996</v>
      </c>
      <c r="AA80" s="136">
        <v>-639.05999999999995</v>
      </c>
    </row>
    <row r="81" spans="1:27">
      <c r="A81" s="136" t="s">
        <v>2035</v>
      </c>
      <c r="B81" s="136">
        <v>11912.59</v>
      </c>
      <c r="C81" s="136">
        <v>25.2</v>
      </c>
      <c r="D81" s="136">
        <v>21961.15</v>
      </c>
      <c r="E81" s="136">
        <v>5291.5</v>
      </c>
      <c r="F81" s="136">
        <v>4644.58</v>
      </c>
      <c r="G81" s="136">
        <v>28.59</v>
      </c>
      <c r="H81" s="136">
        <v>0.8</v>
      </c>
      <c r="I81" s="136">
        <v>8.2200000000000006</v>
      </c>
      <c r="J81" s="136">
        <v>4.29</v>
      </c>
      <c r="K81" s="136">
        <v>4.01</v>
      </c>
      <c r="L81" s="136">
        <v>2.04</v>
      </c>
      <c r="M81" s="136">
        <v>0</v>
      </c>
      <c r="N81" s="136">
        <v>15.59</v>
      </c>
      <c r="O81" s="136">
        <v>-0.44</v>
      </c>
      <c r="P81" s="136">
        <v>1.07</v>
      </c>
      <c r="V81" s="136">
        <v>18634.919999999998</v>
      </c>
      <c r="W81" s="136">
        <v>-2093.64</v>
      </c>
      <c r="X81" s="136">
        <v>454</v>
      </c>
      <c r="Y81" s="136">
        <v>-439.91</v>
      </c>
      <c r="Z81" s="136">
        <v>597.51</v>
      </c>
      <c r="AA81" s="136">
        <v>-644.41</v>
      </c>
    </row>
    <row r="82" spans="1:27">
      <c r="A82" s="136" t="s">
        <v>2036</v>
      </c>
      <c r="B82" s="136">
        <v>11912.54</v>
      </c>
      <c r="C82" s="136">
        <v>25.2</v>
      </c>
      <c r="D82" s="136">
        <v>21961.119999999999</v>
      </c>
      <c r="E82" s="136">
        <v>5291.49</v>
      </c>
      <c r="F82" s="136">
        <v>4644.58</v>
      </c>
      <c r="G82" s="136">
        <v>28.63</v>
      </c>
      <c r="H82" s="136">
        <v>0.8</v>
      </c>
      <c r="I82" s="136">
        <v>8.18</v>
      </c>
      <c r="J82" s="136">
        <v>4.3</v>
      </c>
      <c r="K82" s="136">
        <v>4.0199999999999996</v>
      </c>
      <c r="L82" s="136">
        <v>2.04</v>
      </c>
      <c r="M82" s="136">
        <v>0</v>
      </c>
      <c r="N82" s="136">
        <v>15.59</v>
      </c>
      <c r="O82" s="136">
        <v>-0.44</v>
      </c>
      <c r="P82" s="136">
        <v>1.07</v>
      </c>
      <c r="V82" s="136">
        <v>18634.919999999998</v>
      </c>
      <c r="W82" s="136">
        <v>-2093.64</v>
      </c>
      <c r="X82" s="136">
        <v>454</v>
      </c>
      <c r="Y82" s="136">
        <v>-439.91</v>
      </c>
      <c r="Z82" s="136">
        <v>597.51</v>
      </c>
      <c r="AA82" s="136">
        <v>-644.41</v>
      </c>
    </row>
    <row r="83" spans="1:27">
      <c r="A83" s="136" t="s">
        <v>2037</v>
      </c>
      <c r="B83" s="136">
        <v>11777.89</v>
      </c>
      <c r="C83" s="136">
        <v>29.22</v>
      </c>
      <c r="D83" s="136">
        <v>21554.55</v>
      </c>
      <c r="E83" s="136">
        <v>5212.3500000000004</v>
      </c>
      <c r="F83" s="136">
        <v>4568.2</v>
      </c>
      <c r="G83" s="136">
        <v>-82.49</v>
      </c>
      <c r="H83" s="136">
        <v>0.8</v>
      </c>
      <c r="I83" s="136">
        <v>-170.82</v>
      </c>
      <c r="J83" s="136">
        <v>-35.950000000000003</v>
      </c>
      <c r="K83" s="136">
        <v>-34.58</v>
      </c>
      <c r="L83" s="136">
        <v>2.04</v>
      </c>
      <c r="M83" s="136">
        <v>0</v>
      </c>
      <c r="N83" s="136">
        <v>19.690000000000001</v>
      </c>
      <c r="O83" s="136">
        <v>-144.94</v>
      </c>
      <c r="P83" s="136">
        <v>7.62</v>
      </c>
      <c r="V83" s="136">
        <v>18650.669999999998</v>
      </c>
      <c r="W83" s="136">
        <v>-2428.21</v>
      </c>
      <c r="X83" s="136">
        <v>372.08</v>
      </c>
      <c r="Y83" s="136">
        <v>-541.59</v>
      </c>
      <c r="Z83" s="136">
        <v>597.42999999999995</v>
      </c>
      <c r="AA83" s="136">
        <v>-653.11</v>
      </c>
    </row>
    <row r="84" spans="1:27">
      <c r="A84" s="136" t="s">
        <v>2038</v>
      </c>
      <c r="B84" s="136">
        <v>11777.86</v>
      </c>
      <c r="C84" s="136">
        <v>29.22</v>
      </c>
      <c r="D84" s="136">
        <v>21554.7</v>
      </c>
      <c r="E84" s="136">
        <v>5212.3599999999997</v>
      </c>
      <c r="F84" s="136">
        <v>4568.2</v>
      </c>
      <c r="G84" s="136">
        <v>-98.1</v>
      </c>
      <c r="H84" s="136">
        <v>0.81</v>
      </c>
      <c r="I84" s="136">
        <v>-227.94</v>
      </c>
      <c r="J84" s="136">
        <v>-53.22</v>
      </c>
      <c r="K84" s="136">
        <v>-45.02</v>
      </c>
      <c r="L84" s="136">
        <v>-0.67</v>
      </c>
      <c r="M84" s="136">
        <v>0</v>
      </c>
      <c r="N84" s="136">
        <v>-2.94</v>
      </c>
      <c r="O84" s="136">
        <v>82.43</v>
      </c>
      <c r="P84" s="136">
        <v>-4.79</v>
      </c>
      <c r="V84" s="136">
        <v>18650.66</v>
      </c>
      <c r="W84" s="136">
        <v>-2428.21</v>
      </c>
      <c r="X84" s="136">
        <v>403.4</v>
      </c>
      <c r="Y84" s="136">
        <v>-544.74</v>
      </c>
      <c r="Z84" s="136">
        <v>635.22</v>
      </c>
      <c r="AA84" s="136">
        <v>-615.59</v>
      </c>
    </row>
    <row r="85" spans="1:27">
      <c r="A85" s="136" t="s">
        <v>2039</v>
      </c>
      <c r="B85" s="136">
        <v>11009.55</v>
      </c>
      <c r="C85" s="136">
        <v>33.24</v>
      </c>
      <c r="D85" s="136">
        <v>19967.47</v>
      </c>
      <c r="E85" s="136">
        <v>4845.6499999999996</v>
      </c>
      <c r="F85" s="136">
        <v>4246.58</v>
      </c>
      <c r="G85" s="136">
        <v>-209.22</v>
      </c>
      <c r="H85" s="136">
        <v>0.81</v>
      </c>
      <c r="I85" s="136">
        <v>-406.94</v>
      </c>
      <c r="J85" s="136">
        <v>-93.47</v>
      </c>
      <c r="K85" s="136">
        <v>-83.62</v>
      </c>
      <c r="L85" s="136">
        <v>-0.67</v>
      </c>
      <c r="M85" s="136">
        <v>0</v>
      </c>
      <c r="N85" s="136">
        <v>1.1599999999999999</v>
      </c>
      <c r="O85" s="136">
        <v>-62.07</v>
      </c>
      <c r="P85" s="136">
        <v>1.76</v>
      </c>
      <c r="V85" s="136">
        <v>17828.849999999999</v>
      </c>
      <c r="W85" s="136">
        <v>-2762.13</v>
      </c>
      <c r="X85" s="136">
        <v>317.18</v>
      </c>
      <c r="Y85" s="136">
        <v>-641.21</v>
      </c>
      <c r="Z85" s="136">
        <v>629.35</v>
      </c>
      <c r="AA85" s="136">
        <v>-616.94000000000005</v>
      </c>
    </row>
    <row r="86" spans="1:27">
      <c r="A86" s="136" t="s">
        <v>2040</v>
      </c>
      <c r="B86" s="136">
        <v>11009.61</v>
      </c>
      <c r="C86" s="136">
        <v>33.24</v>
      </c>
      <c r="D86" s="136">
        <v>19967.63</v>
      </c>
      <c r="E86" s="136">
        <v>4845.6400000000003</v>
      </c>
      <c r="F86" s="136">
        <v>4246.6000000000004</v>
      </c>
      <c r="G86" s="136">
        <v>-226.98</v>
      </c>
      <c r="H86" s="136">
        <v>0.8</v>
      </c>
      <c r="I86" s="136">
        <v>-468.18</v>
      </c>
      <c r="J86" s="136">
        <v>-110.87</v>
      </c>
      <c r="K86" s="136">
        <v>-94.22</v>
      </c>
      <c r="L86" s="136">
        <v>-0.19</v>
      </c>
      <c r="M86" s="136">
        <v>0.01</v>
      </c>
      <c r="N86" s="136">
        <v>-15.33</v>
      </c>
      <c r="O86" s="136">
        <v>166.74</v>
      </c>
      <c r="P86" s="136">
        <v>-10.57</v>
      </c>
      <c r="V86" s="136">
        <v>17828.849999999999</v>
      </c>
      <c r="W86" s="136">
        <v>-2762.13</v>
      </c>
      <c r="X86" s="136">
        <v>352.69</v>
      </c>
      <c r="Y86" s="136">
        <v>-643.48</v>
      </c>
      <c r="Z86" s="136">
        <v>729.69</v>
      </c>
      <c r="AA86" s="136">
        <v>-684.06</v>
      </c>
    </row>
    <row r="87" spans="1:27">
      <c r="A87" s="136" t="s">
        <v>2041</v>
      </c>
      <c r="B87" s="136">
        <v>9596.86</v>
      </c>
      <c r="C87" s="136">
        <v>37.229999999999997</v>
      </c>
      <c r="D87" s="136">
        <v>17179.2</v>
      </c>
      <c r="E87" s="136">
        <v>4190.6899999999996</v>
      </c>
      <c r="F87" s="136">
        <v>3679</v>
      </c>
      <c r="G87" s="136">
        <v>-338.11</v>
      </c>
      <c r="H87" s="136">
        <v>0.8</v>
      </c>
      <c r="I87" s="136">
        <v>-647.17999999999995</v>
      </c>
      <c r="J87" s="136">
        <v>-151.12</v>
      </c>
      <c r="K87" s="136">
        <v>-132.82</v>
      </c>
      <c r="L87" s="136">
        <v>-0.19</v>
      </c>
      <c r="M87" s="136">
        <v>0.01</v>
      </c>
      <c r="N87" s="136">
        <v>-11.23</v>
      </c>
      <c r="O87" s="136">
        <v>22.24</v>
      </c>
      <c r="P87" s="136">
        <v>-4.0199999999999996</v>
      </c>
      <c r="V87" s="136">
        <v>16156.43</v>
      </c>
      <c r="W87" s="136">
        <v>-3094.26</v>
      </c>
      <c r="X87" s="136">
        <v>262.55</v>
      </c>
      <c r="Y87" s="136">
        <v>-735.21</v>
      </c>
      <c r="Z87" s="136">
        <v>722.48</v>
      </c>
      <c r="AA87" s="136">
        <v>-694.87</v>
      </c>
    </row>
    <row r="88" spans="1:27">
      <c r="A88" s="136" t="s">
        <v>2042</v>
      </c>
      <c r="B88" s="136">
        <v>9596.83</v>
      </c>
      <c r="C88" s="136">
        <v>37.229999999999997</v>
      </c>
      <c r="D88" s="136">
        <v>17179.189999999999</v>
      </c>
      <c r="E88" s="136">
        <v>4190.66</v>
      </c>
      <c r="F88" s="136">
        <v>3679.02</v>
      </c>
      <c r="G88" s="136">
        <v>-338.1</v>
      </c>
      <c r="H88" s="136">
        <v>0.8</v>
      </c>
      <c r="I88" s="136">
        <v>-647.16</v>
      </c>
      <c r="J88" s="136">
        <v>-151.13999999999999</v>
      </c>
      <c r="K88" s="136">
        <v>-132.83000000000001</v>
      </c>
      <c r="L88" s="136">
        <v>-0.19</v>
      </c>
      <c r="M88" s="136">
        <v>0.01</v>
      </c>
      <c r="N88" s="136">
        <v>-11.23</v>
      </c>
      <c r="O88" s="136">
        <v>22.24</v>
      </c>
      <c r="P88" s="136">
        <v>-4.0199999999999996</v>
      </c>
      <c r="V88" s="136">
        <v>16156.43</v>
      </c>
      <c r="W88" s="136">
        <v>-3094.26</v>
      </c>
      <c r="X88" s="136">
        <v>262.55</v>
      </c>
      <c r="Y88" s="136">
        <v>-735.21</v>
      </c>
      <c r="Z88" s="136">
        <v>722.48</v>
      </c>
      <c r="AA88" s="136">
        <v>-694.87</v>
      </c>
    </row>
    <row r="89" spans="1:27">
      <c r="A89" s="136" t="s">
        <v>2043</v>
      </c>
      <c r="B89" s="136">
        <v>7667.05</v>
      </c>
      <c r="C89" s="136">
        <v>41.23</v>
      </c>
      <c r="D89" s="136">
        <v>13495.88</v>
      </c>
      <c r="E89" s="136">
        <v>3334.36</v>
      </c>
      <c r="F89" s="136">
        <v>2918.37</v>
      </c>
      <c r="G89" s="136">
        <v>-433.82</v>
      </c>
      <c r="H89" s="136">
        <v>0.8</v>
      </c>
      <c r="I89" s="136">
        <v>-826.16</v>
      </c>
      <c r="J89" s="136">
        <v>-191.39</v>
      </c>
      <c r="K89" s="136">
        <v>-171.43</v>
      </c>
      <c r="L89" s="136">
        <v>-0.19</v>
      </c>
      <c r="M89" s="136">
        <v>0.01</v>
      </c>
      <c r="N89" s="136">
        <v>-7.13</v>
      </c>
      <c r="O89" s="136">
        <v>-122.26</v>
      </c>
      <c r="P89" s="136">
        <v>2.5299999999999998</v>
      </c>
      <c r="V89" s="136">
        <v>13989.09</v>
      </c>
      <c r="W89" s="136">
        <v>-3426.38</v>
      </c>
      <c r="X89" s="136">
        <v>189.45</v>
      </c>
      <c r="Y89" s="136">
        <v>-841.58</v>
      </c>
      <c r="Z89" s="136">
        <v>715.27</v>
      </c>
      <c r="AA89" s="136">
        <v>-713.71</v>
      </c>
    </row>
    <row r="90" spans="1:27">
      <c r="A90" s="136" t="s">
        <v>2044</v>
      </c>
      <c r="B90" s="136">
        <v>7667.02</v>
      </c>
      <c r="C90" s="136">
        <v>41.22</v>
      </c>
      <c r="D90" s="136">
        <v>13495.88</v>
      </c>
      <c r="E90" s="136">
        <v>3334.39</v>
      </c>
      <c r="F90" s="136">
        <v>2918.37</v>
      </c>
      <c r="G90" s="136">
        <v>-451.1</v>
      </c>
      <c r="H90" s="136">
        <v>0.79</v>
      </c>
      <c r="I90" s="136">
        <v>-905.69</v>
      </c>
      <c r="J90" s="136">
        <v>-216.37</v>
      </c>
      <c r="K90" s="136">
        <v>-186.4</v>
      </c>
      <c r="L90" s="136">
        <v>-0.69</v>
      </c>
      <c r="M90" s="136">
        <v>0.02</v>
      </c>
      <c r="N90" s="136">
        <v>-6.16</v>
      </c>
      <c r="O90" s="136">
        <v>123.31</v>
      </c>
      <c r="P90" s="136">
        <v>-3.92</v>
      </c>
      <c r="V90" s="136">
        <v>13989.08</v>
      </c>
      <c r="W90" s="136">
        <v>-3426.38</v>
      </c>
      <c r="X90" s="136">
        <v>251.53</v>
      </c>
      <c r="Y90" s="136">
        <v>-870.41</v>
      </c>
      <c r="Z90" s="136">
        <v>852.79</v>
      </c>
      <c r="AA90" s="136">
        <v>-884.13</v>
      </c>
    </row>
    <row r="91" spans="1:27">
      <c r="A91" s="136" t="s">
        <v>2045</v>
      </c>
      <c r="B91" s="136">
        <v>5180.6000000000004</v>
      </c>
      <c r="C91" s="136">
        <v>45.2</v>
      </c>
      <c r="D91" s="136">
        <v>8519.93</v>
      </c>
      <c r="E91" s="136">
        <v>2151.88</v>
      </c>
      <c r="F91" s="136">
        <v>1889.87</v>
      </c>
      <c r="G91" s="136">
        <v>-543.46</v>
      </c>
      <c r="H91" s="136">
        <v>0.79</v>
      </c>
      <c r="I91" s="136">
        <v>-1084.69</v>
      </c>
      <c r="J91" s="136">
        <v>-256.62</v>
      </c>
      <c r="K91" s="136">
        <v>-225</v>
      </c>
      <c r="L91" s="136">
        <v>-0.69</v>
      </c>
      <c r="M91" s="136">
        <v>0.02</v>
      </c>
      <c r="N91" s="136">
        <v>-2.06</v>
      </c>
      <c r="O91" s="136">
        <v>-21.19</v>
      </c>
      <c r="P91" s="136">
        <v>2.63</v>
      </c>
      <c r="V91" s="136">
        <v>10897.11</v>
      </c>
      <c r="W91" s="136">
        <v>-3757.44</v>
      </c>
      <c r="X91" s="136">
        <v>173.19</v>
      </c>
      <c r="Y91" s="136">
        <v>-967.84</v>
      </c>
      <c r="Z91" s="136">
        <v>845.58</v>
      </c>
      <c r="AA91" s="136">
        <v>-894.59</v>
      </c>
    </row>
    <row r="92" spans="1:27">
      <c r="A92" s="136" t="s">
        <v>2046</v>
      </c>
      <c r="B92" s="136">
        <v>5180.68</v>
      </c>
      <c r="C92" s="136">
        <v>45.2</v>
      </c>
      <c r="D92" s="136">
        <v>8519.92</v>
      </c>
      <c r="E92" s="136">
        <v>2151.88</v>
      </c>
      <c r="F92" s="136">
        <v>1889.86</v>
      </c>
      <c r="G92" s="136">
        <v>-543.49</v>
      </c>
      <c r="H92" s="136">
        <v>0.79</v>
      </c>
      <c r="I92" s="136">
        <v>-1084.6500000000001</v>
      </c>
      <c r="J92" s="136">
        <v>-256.61</v>
      </c>
      <c r="K92" s="136">
        <v>-225.01</v>
      </c>
      <c r="L92" s="136">
        <v>-0.69</v>
      </c>
      <c r="M92" s="136">
        <v>0.02</v>
      </c>
      <c r="N92" s="136">
        <v>-2.06</v>
      </c>
      <c r="O92" s="136">
        <v>-21.19</v>
      </c>
      <c r="P92" s="136">
        <v>2.63</v>
      </c>
      <c r="V92" s="136">
        <v>10897.11</v>
      </c>
      <c r="W92" s="136">
        <v>-3757.44</v>
      </c>
      <c r="X92" s="136">
        <v>173.19</v>
      </c>
      <c r="Y92" s="136">
        <v>-967.84</v>
      </c>
      <c r="Z92" s="136">
        <v>845.58</v>
      </c>
      <c r="AA92" s="136">
        <v>-894.59</v>
      </c>
    </row>
    <row r="93" spans="1:27">
      <c r="A93" s="136" t="s">
        <v>2047</v>
      </c>
      <c r="B93" s="136">
        <v>2232.33</v>
      </c>
      <c r="C93" s="136">
        <v>49.17</v>
      </c>
      <c r="D93" s="136">
        <v>2649.13</v>
      </c>
      <c r="E93" s="136">
        <v>768.19</v>
      </c>
      <c r="F93" s="136">
        <v>668.3</v>
      </c>
      <c r="G93" s="136">
        <v>-635.84</v>
      </c>
      <c r="H93" s="136">
        <v>0.79</v>
      </c>
      <c r="I93" s="136">
        <v>-1263.6500000000001</v>
      </c>
      <c r="J93" s="136">
        <v>-296.86</v>
      </c>
      <c r="K93" s="136">
        <v>-263.61</v>
      </c>
      <c r="L93" s="136">
        <v>-0.69</v>
      </c>
      <c r="M93" s="136">
        <v>0.02</v>
      </c>
      <c r="N93" s="136">
        <v>2.04</v>
      </c>
      <c r="O93" s="136">
        <v>-165.69</v>
      </c>
      <c r="P93" s="136">
        <v>9.18</v>
      </c>
      <c r="V93" s="136">
        <v>7461.05</v>
      </c>
      <c r="W93" s="136">
        <v>-4121.78</v>
      </c>
      <c r="X93" s="136">
        <v>111.12</v>
      </c>
      <c r="Y93" s="136">
        <v>-1078.81</v>
      </c>
      <c r="Z93" s="136">
        <v>838.37</v>
      </c>
      <c r="AA93" s="136">
        <v>-909.88</v>
      </c>
    </row>
    <row r="94" spans="1:27">
      <c r="A94" s="136" t="s">
        <v>2048</v>
      </c>
      <c r="B94" s="136">
        <v>2232.38</v>
      </c>
      <c r="C94" s="136">
        <v>49.17</v>
      </c>
      <c r="D94" s="136">
        <v>2649.12</v>
      </c>
      <c r="E94" s="136">
        <v>768.17</v>
      </c>
      <c r="F94" s="136">
        <v>668.3</v>
      </c>
      <c r="G94" s="136">
        <v>-654.26</v>
      </c>
      <c r="H94" s="136">
        <v>0.79</v>
      </c>
      <c r="I94" s="136">
        <v>-1344.64</v>
      </c>
      <c r="J94" s="136">
        <v>-320.85000000000002</v>
      </c>
      <c r="K94" s="136">
        <v>-278.14</v>
      </c>
      <c r="L94" s="136">
        <v>-0.2</v>
      </c>
      <c r="M94" s="136">
        <v>0.05</v>
      </c>
      <c r="N94" s="136">
        <v>2.78</v>
      </c>
      <c r="O94" s="136">
        <v>73.31</v>
      </c>
      <c r="P94" s="136">
        <v>2.64</v>
      </c>
      <c r="V94" s="136">
        <v>7461.05</v>
      </c>
      <c r="W94" s="136">
        <v>-4121.78</v>
      </c>
      <c r="X94" s="136">
        <v>197.05</v>
      </c>
      <c r="Y94" s="136">
        <v>-1115.26</v>
      </c>
      <c r="Z94" s="136">
        <v>1085.8499999999999</v>
      </c>
      <c r="AA94" s="136">
        <v>-1097.21</v>
      </c>
    </row>
    <row r="95" spans="1:27">
      <c r="A95" s="136" t="s">
        <v>2049</v>
      </c>
      <c r="B95" s="136">
        <v>-1220.5999999999999</v>
      </c>
      <c r="C95" s="136">
        <v>53.15</v>
      </c>
      <c r="D95" s="136">
        <v>-4521.58</v>
      </c>
      <c r="E95" s="136">
        <v>-936.69</v>
      </c>
      <c r="F95" s="136">
        <v>-818.92</v>
      </c>
      <c r="G95" s="136">
        <v>-726.93</v>
      </c>
      <c r="H95" s="136">
        <v>0.79</v>
      </c>
      <c r="I95" s="136">
        <v>-1523.64</v>
      </c>
      <c r="J95" s="136">
        <v>-361.1</v>
      </c>
      <c r="K95" s="136">
        <v>-316.74</v>
      </c>
      <c r="L95" s="136">
        <v>-0.2</v>
      </c>
      <c r="M95" s="136">
        <v>0.05</v>
      </c>
      <c r="N95" s="136">
        <v>6.88</v>
      </c>
      <c r="O95" s="136">
        <v>-71.19</v>
      </c>
      <c r="P95" s="136">
        <v>9.19</v>
      </c>
      <c r="V95" s="136">
        <v>4168.96</v>
      </c>
      <c r="W95" s="136">
        <v>-5438.58</v>
      </c>
      <c r="X95" s="136">
        <v>132.12</v>
      </c>
      <c r="Y95" s="136">
        <v>-1218.23</v>
      </c>
      <c r="Z95" s="136">
        <v>1078.6400000000001</v>
      </c>
      <c r="AA95" s="136">
        <v>-1100.96</v>
      </c>
    </row>
    <row r="96" spans="1:27">
      <c r="A96" s="136" t="s">
        <v>2050</v>
      </c>
      <c r="B96" s="136">
        <v>-1220.6199999999999</v>
      </c>
      <c r="C96" s="136">
        <v>53.15</v>
      </c>
      <c r="D96" s="136">
        <v>-4521.57</v>
      </c>
      <c r="E96" s="136">
        <v>-936.68</v>
      </c>
      <c r="F96" s="136">
        <v>-818.93</v>
      </c>
      <c r="G96" s="136">
        <v>-726.94</v>
      </c>
      <c r="H96" s="136">
        <v>0.79</v>
      </c>
      <c r="I96" s="136">
        <v>-1523.62</v>
      </c>
      <c r="J96" s="136">
        <v>-361.1</v>
      </c>
      <c r="K96" s="136">
        <v>-316.75</v>
      </c>
      <c r="L96" s="136">
        <v>-0.2</v>
      </c>
      <c r="M96" s="136">
        <v>0.05</v>
      </c>
      <c r="N96" s="136">
        <v>6.88</v>
      </c>
      <c r="O96" s="136">
        <v>-71.19</v>
      </c>
      <c r="P96" s="136">
        <v>9.19</v>
      </c>
      <c r="V96" s="136">
        <v>4168.96</v>
      </c>
      <c r="W96" s="136">
        <v>-5438.58</v>
      </c>
      <c r="X96" s="136">
        <v>132.12</v>
      </c>
      <c r="Y96" s="136">
        <v>-1218.23</v>
      </c>
      <c r="Z96" s="136">
        <v>1078.6400000000001</v>
      </c>
      <c r="AA96" s="136">
        <v>-1100.96</v>
      </c>
    </row>
    <row r="97" spans="1:27">
      <c r="A97" s="136" t="s">
        <v>2051</v>
      </c>
      <c r="B97" s="136">
        <v>-5066.53</v>
      </c>
      <c r="C97" s="136">
        <v>57.12</v>
      </c>
      <c r="D97" s="136">
        <v>-12587.15</v>
      </c>
      <c r="E97" s="136">
        <v>-2842.79</v>
      </c>
      <c r="F97" s="136">
        <v>-2499.1799999999998</v>
      </c>
      <c r="G97" s="136">
        <v>-811.42</v>
      </c>
      <c r="H97" s="136">
        <v>0.79</v>
      </c>
      <c r="I97" s="136">
        <v>-1702.62</v>
      </c>
      <c r="J97" s="136">
        <v>-401.35</v>
      </c>
      <c r="K97" s="136">
        <v>-355.35</v>
      </c>
      <c r="L97" s="136">
        <v>-0.2</v>
      </c>
      <c r="M97" s="136">
        <v>0.05</v>
      </c>
      <c r="N97" s="136">
        <v>10.98</v>
      </c>
      <c r="O97" s="136">
        <v>-215.69</v>
      </c>
      <c r="P97" s="136">
        <v>15.74</v>
      </c>
      <c r="V97" s="136">
        <v>2079.1799999999998</v>
      </c>
      <c r="W97" s="136">
        <v>-8137.56</v>
      </c>
      <c r="X97" s="136">
        <v>81.459999999999994</v>
      </c>
      <c r="Y97" s="136">
        <v>-1332.23</v>
      </c>
      <c r="Z97" s="136">
        <v>1071.43</v>
      </c>
      <c r="AA97" s="136">
        <v>-1116.1600000000001</v>
      </c>
    </row>
    <row r="98" spans="1:27">
      <c r="A98" s="136" t="s">
        <v>2052</v>
      </c>
      <c r="B98" s="136">
        <v>-5066.53</v>
      </c>
      <c r="C98" s="136">
        <v>57.12</v>
      </c>
      <c r="D98" s="136">
        <v>-12587.2</v>
      </c>
      <c r="E98" s="136">
        <v>-2842.79</v>
      </c>
      <c r="F98" s="136">
        <v>-2499.19</v>
      </c>
      <c r="G98" s="136">
        <v>-836.11</v>
      </c>
      <c r="H98" s="136">
        <v>1.05</v>
      </c>
      <c r="I98" s="136">
        <v>-1797.57</v>
      </c>
      <c r="J98" s="136">
        <v>-426.93</v>
      </c>
      <c r="K98" s="136">
        <v>-370.98</v>
      </c>
      <c r="L98" s="136">
        <v>9.61</v>
      </c>
      <c r="M98" s="136">
        <v>-0.23</v>
      </c>
      <c r="N98" s="136">
        <v>45.32</v>
      </c>
      <c r="O98" s="136">
        <v>8.65</v>
      </c>
      <c r="P98" s="136">
        <v>13.15</v>
      </c>
      <c r="V98" s="136">
        <v>2079.19</v>
      </c>
      <c r="W98" s="136">
        <v>-8137.57</v>
      </c>
      <c r="X98" s="136">
        <v>161.49</v>
      </c>
      <c r="Y98" s="136">
        <v>-1381.34</v>
      </c>
      <c r="Z98" s="136">
        <v>1228.8800000000001</v>
      </c>
      <c r="AA98" s="136">
        <v>-1259.92</v>
      </c>
    </row>
    <row r="99" spans="1:27">
      <c r="A99" s="136" t="s">
        <v>2053</v>
      </c>
      <c r="B99" s="136">
        <v>-9508.76</v>
      </c>
      <c r="C99" s="136">
        <v>-122.96</v>
      </c>
      <c r="D99" s="136">
        <v>-22022.560000000001</v>
      </c>
      <c r="E99" s="136">
        <v>-5078.07</v>
      </c>
      <c r="F99" s="136">
        <v>-4450.58</v>
      </c>
      <c r="G99" s="136">
        <v>-940.77</v>
      </c>
      <c r="H99" s="136">
        <v>-77.819999999999993</v>
      </c>
      <c r="I99" s="136">
        <v>-1976.57</v>
      </c>
      <c r="J99" s="136">
        <v>-467.18</v>
      </c>
      <c r="K99" s="136">
        <v>-409.58</v>
      </c>
      <c r="L99" s="136">
        <v>9.61</v>
      </c>
      <c r="M99" s="136">
        <v>-0.23</v>
      </c>
      <c r="N99" s="136">
        <v>49.42</v>
      </c>
      <c r="O99" s="136">
        <v>-135.85</v>
      </c>
      <c r="P99" s="136">
        <v>19.7</v>
      </c>
      <c r="V99" s="136">
        <v>630.33000000000004</v>
      </c>
      <c r="W99" s="136">
        <v>-13419.36</v>
      </c>
      <c r="X99" s="136">
        <v>118.42</v>
      </c>
      <c r="Y99" s="136">
        <v>-1496.11</v>
      </c>
      <c r="Z99" s="136">
        <v>1221.68</v>
      </c>
      <c r="AA99" s="136">
        <v>-1259.92</v>
      </c>
    </row>
    <row r="100" spans="1:27">
      <c r="A100" s="136" t="s">
        <v>2054</v>
      </c>
      <c r="B100" s="136">
        <v>-9508.75</v>
      </c>
      <c r="C100" s="136">
        <v>-122.96</v>
      </c>
      <c r="D100" s="136">
        <v>-22022.66</v>
      </c>
      <c r="E100" s="136">
        <v>-5078.1000000000004</v>
      </c>
      <c r="F100" s="136">
        <v>-4450.58</v>
      </c>
      <c r="G100" s="136">
        <v>-940.77</v>
      </c>
      <c r="H100" s="136">
        <v>-77.819999999999993</v>
      </c>
      <c r="I100" s="136">
        <v>-1976.56</v>
      </c>
      <c r="J100" s="136">
        <v>-467.17</v>
      </c>
      <c r="K100" s="136">
        <v>-409.6</v>
      </c>
      <c r="L100" s="136">
        <v>9.61</v>
      </c>
      <c r="M100" s="136">
        <v>-0.23</v>
      </c>
      <c r="N100" s="136">
        <v>49.42</v>
      </c>
      <c r="O100" s="136">
        <v>-135.85</v>
      </c>
      <c r="P100" s="136">
        <v>19.7</v>
      </c>
      <c r="V100" s="136">
        <v>630.33000000000004</v>
      </c>
      <c r="W100" s="136">
        <v>-13419.36</v>
      </c>
      <c r="X100" s="136">
        <v>118.42</v>
      </c>
      <c r="Y100" s="136">
        <v>-1496.11</v>
      </c>
      <c r="Z100" s="136">
        <v>1221.68</v>
      </c>
      <c r="AA100" s="136">
        <v>-1259.92</v>
      </c>
    </row>
    <row r="101" spans="1:27">
      <c r="A101" s="136" t="s">
        <v>2055</v>
      </c>
      <c r="B101" s="136">
        <v>-12983.01</v>
      </c>
      <c r="C101" s="136">
        <v>-522.67999999999995</v>
      </c>
      <c r="D101" s="136">
        <v>-29159.81</v>
      </c>
      <c r="E101" s="136">
        <v>-6762.51</v>
      </c>
      <c r="F101" s="136">
        <v>-5931.43</v>
      </c>
      <c r="G101" s="136">
        <v>-1044.5</v>
      </c>
      <c r="H101" s="136">
        <v>-154.38999999999999</v>
      </c>
      <c r="I101" s="136">
        <v>-2101.86</v>
      </c>
      <c r="J101" s="136">
        <v>-495.35</v>
      </c>
      <c r="K101" s="136">
        <v>-436.62</v>
      </c>
      <c r="L101" s="136">
        <v>9.61</v>
      </c>
      <c r="M101" s="136">
        <v>-0.23</v>
      </c>
      <c r="N101" s="136">
        <v>52.29</v>
      </c>
      <c r="O101" s="136">
        <v>-237</v>
      </c>
      <c r="P101" s="136">
        <v>24.28</v>
      </c>
      <c r="V101" s="136">
        <v>185.98</v>
      </c>
      <c r="W101" s="136">
        <v>-17772.28</v>
      </c>
      <c r="X101" s="136">
        <v>98.72</v>
      </c>
      <c r="Y101" s="136">
        <v>-1582.16</v>
      </c>
      <c r="Z101" s="136">
        <v>1216.67</v>
      </c>
      <c r="AA101" s="136">
        <v>-1264.0899999999999</v>
      </c>
    </row>
    <row r="102" spans="1:27">
      <c r="A102" s="136" t="s">
        <v>2056</v>
      </c>
      <c r="B102" s="136">
        <v>-12983</v>
      </c>
      <c r="C102" s="136">
        <v>-522.67999999999995</v>
      </c>
      <c r="D102" s="136">
        <v>-29159.87</v>
      </c>
      <c r="E102" s="136">
        <v>-6762.48</v>
      </c>
      <c r="F102" s="136">
        <v>-5931.39</v>
      </c>
      <c r="G102" s="136">
        <v>-1044.47</v>
      </c>
      <c r="H102" s="136">
        <v>-154.38999999999999</v>
      </c>
      <c r="I102" s="136">
        <v>-2101.92</v>
      </c>
      <c r="J102" s="136">
        <v>-495.41</v>
      </c>
      <c r="K102" s="136">
        <v>-436.64</v>
      </c>
      <c r="L102" s="136">
        <v>9.61</v>
      </c>
      <c r="M102" s="136">
        <v>-0.23</v>
      </c>
      <c r="N102" s="136">
        <v>52.29</v>
      </c>
      <c r="O102" s="136">
        <v>-237</v>
      </c>
      <c r="P102" s="136">
        <v>24.28</v>
      </c>
      <c r="V102" s="136">
        <v>185.98</v>
      </c>
      <c r="W102" s="136">
        <v>-17772.28</v>
      </c>
      <c r="X102" s="136">
        <v>98.72</v>
      </c>
      <c r="Y102" s="136">
        <v>-1582.16</v>
      </c>
      <c r="Z102" s="136">
        <v>1216.67</v>
      </c>
      <c r="AA102" s="136">
        <v>-1264.0899999999999</v>
      </c>
    </row>
    <row r="103" spans="1:27">
      <c r="A103" s="136" t="s">
        <v>2057</v>
      </c>
      <c r="B103" s="136">
        <v>-14583.37</v>
      </c>
      <c r="C103" s="136">
        <v>-782.53</v>
      </c>
      <c r="D103" s="136">
        <v>-32353.02</v>
      </c>
      <c r="E103" s="136">
        <v>-7514.67</v>
      </c>
      <c r="F103" s="136">
        <v>-6595.03</v>
      </c>
      <c r="G103" s="136">
        <v>-1089.26</v>
      </c>
      <c r="H103" s="136">
        <v>-192.08</v>
      </c>
      <c r="I103" s="136">
        <v>-2155.62</v>
      </c>
      <c r="J103" s="136">
        <v>-507.48</v>
      </c>
      <c r="K103" s="136">
        <v>-448.22</v>
      </c>
      <c r="L103" s="136">
        <v>9.61</v>
      </c>
      <c r="M103" s="136">
        <v>-0.23</v>
      </c>
      <c r="N103" s="136">
        <v>53.52</v>
      </c>
      <c r="O103" s="136">
        <v>-280.35000000000002</v>
      </c>
      <c r="P103" s="136">
        <v>26.25</v>
      </c>
      <c r="V103" s="136">
        <v>96.43</v>
      </c>
      <c r="W103" s="136">
        <v>-19772.71</v>
      </c>
      <c r="X103" s="136">
        <v>97.53</v>
      </c>
      <c r="Y103" s="136">
        <v>-1620.19</v>
      </c>
      <c r="Z103" s="136">
        <v>1215.55</v>
      </c>
      <c r="AA103" s="136">
        <v>-1268.42</v>
      </c>
    </row>
    <row r="104" spans="1:27">
      <c r="A104" s="136" t="s">
        <v>2058</v>
      </c>
      <c r="B104" s="136">
        <v>-14583.28</v>
      </c>
      <c r="C104" s="136">
        <v>-782.53</v>
      </c>
      <c r="D104" s="136">
        <v>-32353.06</v>
      </c>
      <c r="E104" s="136">
        <v>-7514.51</v>
      </c>
      <c r="F104" s="136">
        <v>-6595.01</v>
      </c>
      <c r="G104" s="136">
        <v>818.55</v>
      </c>
      <c r="H104" s="136">
        <v>190.84</v>
      </c>
      <c r="I104" s="136">
        <v>1710.28</v>
      </c>
      <c r="J104" s="136">
        <v>399.81</v>
      </c>
      <c r="K104" s="136">
        <v>353.82</v>
      </c>
      <c r="L104" s="136">
        <v>-7.99</v>
      </c>
      <c r="M104" s="136">
        <v>0.22</v>
      </c>
      <c r="N104" s="136">
        <v>-50.55</v>
      </c>
      <c r="O104" s="136">
        <v>266.55</v>
      </c>
      <c r="P104" s="136">
        <v>-24.2</v>
      </c>
      <c r="V104" s="136">
        <v>102.4</v>
      </c>
      <c r="W104" s="136">
        <v>-19771.150000000001</v>
      </c>
      <c r="X104" s="136">
        <v>1336.22</v>
      </c>
      <c r="Y104" s="136">
        <v>-46.45</v>
      </c>
      <c r="Z104" s="136">
        <v>1036.51</v>
      </c>
      <c r="AA104" s="136">
        <v>-975.63</v>
      </c>
    </row>
    <row r="105" spans="1:27">
      <c r="A105" s="136" t="s">
        <v>2059</v>
      </c>
      <c r="B105" s="136">
        <v>-13389.08</v>
      </c>
      <c r="C105" s="136">
        <v>-524.54</v>
      </c>
      <c r="D105" s="136">
        <v>-29827.91</v>
      </c>
      <c r="E105" s="136">
        <v>-6923.88</v>
      </c>
      <c r="F105" s="136">
        <v>-6073</v>
      </c>
      <c r="G105" s="136">
        <v>773.76</v>
      </c>
      <c r="H105" s="136">
        <v>153.15</v>
      </c>
      <c r="I105" s="136">
        <v>1656.58</v>
      </c>
      <c r="J105" s="136">
        <v>387.73</v>
      </c>
      <c r="K105" s="136">
        <v>342.24</v>
      </c>
      <c r="L105" s="136">
        <v>-7.99</v>
      </c>
      <c r="M105" s="136">
        <v>0.22</v>
      </c>
      <c r="N105" s="136">
        <v>-49.32</v>
      </c>
      <c r="O105" s="136">
        <v>223.2</v>
      </c>
      <c r="P105" s="136">
        <v>-22.23</v>
      </c>
      <c r="V105" s="136">
        <v>335.19</v>
      </c>
      <c r="W105" s="136">
        <v>-18524.78</v>
      </c>
      <c r="X105" s="136">
        <v>1294.58</v>
      </c>
      <c r="Y105" s="136">
        <v>-49.59</v>
      </c>
      <c r="Z105" s="136">
        <v>1035.44</v>
      </c>
      <c r="AA105" s="136">
        <v>-976.72</v>
      </c>
    </row>
    <row r="106" spans="1:27">
      <c r="A106" s="136" t="s">
        <v>2060</v>
      </c>
      <c r="B106" s="136">
        <v>-13389.03</v>
      </c>
      <c r="C106" s="136">
        <v>-524.54</v>
      </c>
      <c r="D106" s="136">
        <v>-29827.96</v>
      </c>
      <c r="E106" s="136">
        <v>-6923.87</v>
      </c>
      <c r="F106" s="136">
        <v>-6072.99</v>
      </c>
      <c r="G106" s="136">
        <v>773.83</v>
      </c>
      <c r="H106" s="136">
        <v>153.15</v>
      </c>
      <c r="I106" s="136">
        <v>1656.52</v>
      </c>
      <c r="J106" s="136">
        <v>387.75</v>
      </c>
      <c r="K106" s="136">
        <v>342.22</v>
      </c>
      <c r="L106" s="136">
        <v>-7.99</v>
      </c>
      <c r="M106" s="136">
        <v>0.22</v>
      </c>
      <c r="N106" s="136">
        <v>-49.32</v>
      </c>
      <c r="O106" s="136">
        <v>223.2</v>
      </c>
      <c r="P106" s="136">
        <v>-22.23</v>
      </c>
      <c r="V106" s="136">
        <v>335.19</v>
      </c>
      <c r="W106" s="136">
        <v>-18524.78</v>
      </c>
      <c r="X106" s="136">
        <v>1294.58</v>
      </c>
      <c r="Y106" s="136">
        <v>-49.59</v>
      </c>
      <c r="Z106" s="136">
        <v>1035.44</v>
      </c>
      <c r="AA106" s="136">
        <v>-976.72</v>
      </c>
    </row>
    <row r="107" spans="1:27">
      <c r="A107" s="136" t="s">
        <v>2061</v>
      </c>
      <c r="B107" s="136">
        <v>-10862.15</v>
      </c>
      <c r="C107" s="136">
        <v>-128.22999999999999</v>
      </c>
      <c r="D107" s="136">
        <v>-24249.48</v>
      </c>
      <c r="E107" s="136">
        <v>-5616.04</v>
      </c>
      <c r="F107" s="136">
        <v>-4922.5</v>
      </c>
      <c r="G107" s="136">
        <v>670.11</v>
      </c>
      <c r="H107" s="136">
        <v>77.37</v>
      </c>
      <c r="I107" s="136">
        <v>1531.22</v>
      </c>
      <c r="J107" s="136">
        <v>359.58</v>
      </c>
      <c r="K107" s="136">
        <v>315.2</v>
      </c>
      <c r="L107" s="136">
        <v>-7.99</v>
      </c>
      <c r="M107" s="136">
        <v>0.22</v>
      </c>
      <c r="N107" s="136">
        <v>-46.45</v>
      </c>
      <c r="O107" s="136">
        <v>122.05</v>
      </c>
      <c r="P107" s="136">
        <v>-17.649999999999999</v>
      </c>
      <c r="V107" s="136">
        <v>1418.68</v>
      </c>
      <c r="W107" s="136">
        <v>-16035.04</v>
      </c>
      <c r="X107" s="136">
        <v>1200.3399999999999</v>
      </c>
      <c r="Y107" s="136">
        <v>-74.430000000000007</v>
      </c>
      <c r="Z107" s="136">
        <v>1035.3800000000001</v>
      </c>
      <c r="AA107" s="136">
        <v>-981.71</v>
      </c>
    </row>
    <row r="108" spans="1:27">
      <c r="A108" s="136" t="s">
        <v>2062</v>
      </c>
      <c r="B108" s="136">
        <v>-10862.16</v>
      </c>
      <c r="C108" s="136">
        <v>-128.22999999999999</v>
      </c>
      <c r="D108" s="136">
        <v>-24249.5</v>
      </c>
      <c r="E108" s="136">
        <v>-5616.05</v>
      </c>
      <c r="F108" s="136">
        <v>-4922.5</v>
      </c>
      <c r="G108" s="136">
        <v>670.09</v>
      </c>
      <c r="H108" s="136">
        <v>77.37</v>
      </c>
      <c r="I108" s="136">
        <v>1531.22</v>
      </c>
      <c r="J108" s="136">
        <v>359.57</v>
      </c>
      <c r="K108" s="136">
        <v>315.2</v>
      </c>
      <c r="L108" s="136">
        <v>-7.99</v>
      </c>
      <c r="M108" s="136">
        <v>0.22</v>
      </c>
      <c r="N108" s="136">
        <v>-46.45</v>
      </c>
      <c r="O108" s="136">
        <v>122.05</v>
      </c>
      <c r="P108" s="136">
        <v>-17.649999999999999</v>
      </c>
      <c r="V108" s="136">
        <v>1418.68</v>
      </c>
      <c r="W108" s="136">
        <v>-16035.04</v>
      </c>
      <c r="X108" s="136">
        <v>1200.3399999999999</v>
      </c>
      <c r="Y108" s="136">
        <v>-74.430000000000007</v>
      </c>
      <c r="Z108" s="136">
        <v>1035.3800000000001</v>
      </c>
      <c r="AA108" s="136">
        <v>-981.71</v>
      </c>
    </row>
    <row r="109" spans="1:27">
      <c r="A109" s="136" t="s">
        <v>2063</v>
      </c>
      <c r="B109" s="136">
        <v>-7787.66</v>
      </c>
      <c r="C109" s="136">
        <v>49.59</v>
      </c>
      <c r="D109" s="136">
        <v>-17040.88</v>
      </c>
      <c r="E109" s="136">
        <v>-3918.83</v>
      </c>
      <c r="F109" s="136">
        <v>-3442.97</v>
      </c>
      <c r="G109" s="136">
        <v>559.71</v>
      </c>
      <c r="H109" s="136">
        <v>-1.5</v>
      </c>
      <c r="I109" s="136">
        <v>1352.22</v>
      </c>
      <c r="J109" s="136">
        <v>319.32</v>
      </c>
      <c r="K109" s="136">
        <v>276.60000000000002</v>
      </c>
      <c r="L109" s="136">
        <v>-7.99</v>
      </c>
      <c r="M109" s="136">
        <v>0.22</v>
      </c>
      <c r="N109" s="136">
        <v>-42.35</v>
      </c>
      <c r="O109" s="136">
        <v>-22.45</v>
      </c>
      <c r="P109" s="136">
        <v>-11.1</v>
      </c>
      <c r="V109" s="136">
        <v>4031.38</v>
      </c>
      <c r="W109" s="136">
        <v>-13409.31</v>
      </c>
      <c r="X109" s="136">
        <v>1074.58</v>
      </c>
      <c r="Y109" s="136">
        <v>-127.5</v>
      </c>
      <c r="Z109" s="136">
        <v>1035.3800000000001</v>
      </c>
      <c r="AA109" s="136">
        <v>-988.92</v>
      </c>
    </row>
    <row r="110" spans="1:27">
      <c r="A110" s="136" t="s">
        <v>2064</v>
      </c>
      <c r="B110" s="136">
        <v>-7787.64</v>
      </c>
      <c r="C110" s="136">
        <v>49.59</v>
      </c>
      <c r="D110" s="136">
        <v>-17040.900000000001</v>
      </c>
      <c r="E110" s="136">
        <v>-3918.83</v>
      </c>
      <c r="F110" s="136">
        <v>-3442.97</v>
      </c>
      <c r="G110" s="136">
        <v>538.45000000000005</v>
      </c>
      <c r="H110" s="136">
        <v>-1.26</v>
      </c>
      <c r="I110" s="136">
        <v>1264.21</v>
      </c>
      <c r="J110" s="136">
        <v>294.25</v>
      </c>
      <c r="K110" s="136">
        <v>261.39999999999998</v>
      </c>
      <c r="L110" s="136">
        <v>-2</v>
      </c>
      <c r="M110" s="136">
        <v>-0.05</v>
      </c>
      <c r="N110" s="136">
        <v>-15.95</v>
      </c>
      <c r="O110" s="136">
        <v>198.15</v>
      </c>
      <c r="P110" s="136">
        <v>-13.9</v>
      </c>
      <c r="V110" s="136">
        <v>4031.38</v>
      </c>
      <c r="W110" s="136">
        <v>-13409.31</v>
      </c>
      <c r="X110" s="136">
        <v>1020.05</v>
      </c>
      <c r="Y110" s="136">
        <v>-77.88</v>
      </c>
      <c r="Z110" s="136">
        <v>709.96</v>
      </c>
      <c r="AA110" s="136">
        <v>-660.86</v>
      </c>
    </row>
    <row r="111" spans="1:27">
      <c r="A111" s="136" t="s">
        <v>2065</v>
      </c>
      <c r="B111" s="136">
        <v>-5346.42</v>
      </c>
      <c r="C111" s="136">
        <v>43.3</v>
      </c>
      <c r="D111" s="136">
        <v>-11167.36</v>
      </c>
      <c r="E111" s="136">
        <v>-2548.21</v>
      </c>
      <c r="F111" s="136">
        <v>-2232.4899999999998</v>
      </c>
      <c r="G111" s="136">
        <v>438.04</v>
      </c>
      <c r="H111" s="136">
        <v>-1.26</v>
      </c>
      <c r="I111" s="136">
        <v>1085.21</v>
      </c>
      <c r="J111" s="136">
        <v>254</v>
      </c>
      <c r="K111" s="136">
        <v>222.8</v>
      </c>
      <c r="L111" s="136">
        <v>-2</v>
      </c>
      <c r="M111" s="136">
        <v>-0.05</v>
      </c>
      <c r="N111" s="136">
        <v>-11.85</v>
      </c>
      <c r="O111" s="136">
        <v>53.65</v>
      </c>
      <c r="P111" s="136">
        <v>-7.35</v>
      </c>
      <c r="V111" s="136">
        <v>6352.7</v>
      </c>
      <c r="W111" s="136">
        <v>-11535.7</v>
      </c>
      <c r="X111" s="136">
        <v>896.87</v>
      </c>
      <c r="Y111" s="136">
        <v>-143.22999999999999</v>
      </c>
      <c r="Z111" s="136">
        <v>695.14</v>
      </c>
      <c r="AA111" s="136">
        <v>-668.07</v>
      </c>
    </row>
    <row r="112" spans="1:27">
      <c r="A112" s="136" t="s">
        <v>2066</v>
      </c>
      <c r="B112" s="136">
        <v>-5346.42</v>
      </c>
      <c r="C112" s="136">
        <v>43.3</v>
      </c>
      <c r="D112" s="136">
        <v>-11167.35</v>
      </c>
      <c r="E112" s="136">
        <v>-2548.21</v>
      </c>
      <c r="F112" s="136">
        <v>-2232.4899999999998</v>
      </c>
      <c r="G112" s="136">
        <v>438.05</v>
      </c>
      <c r="H112" s="136">
        <v>-1.26</v>
      </c>
      <c r="I112" s="136">
        <v>1085.21</v>
      </c>
      <c r="J112" s="136">
        <v>254</v>
      </c>
      <c r="K112" s="136">
        <v>222.8</v>
      </c>
      <c r="L112" s="136">
        <v>-2</v>
      </c>
      <c r="M112" s="136">
        <v>-0.05</v>
      </c>
      <c r="N112" s="136">
        <v>-11.85</v>
      </c>
      <c r="O112" s="136">
        <v>53.65</v>
      </c>
      <c r="P112" s="136">
        <v>-7.36</v>
      </c>
      <c r="V112" s="136">
        <v>6352.7</v>
      </c>
      <c r="W112" s="136">
        <v>-11535.7</v>
      </c>
      <c r="X112" s="136">
        <v>896.87</v>
      </c>
      <c r="Y112" s="136">
        <v>-143.22999999999999</v>
      </c>
      <c r="Z112" s="136">
        <v>695.14</v>
      </c>
      <c r="AA112" s="136">
        <v>-668.07</v>
      </c>
    </row>
    <row r="113" spans="1:27">
      <c r="A113" s="136" t="s">
        <v>2067</v>
      </c>
      <c r="B113" s="136">
        <v>-3359.74</v>
      </c>
      <c r="C113" s="136">
        <v>37.01</v>
      </c>
      <c r="D113" s="136">
        <v>-6188.78</v>
      </c>
      <c r="E113" s="136">
        <v>-1378.86</v>
      </c>
      <c r="F113" s="136">
        <v>-1215.01</v>
      </c>
      <c r="G113" s="136">
        <v>356.62</v>
      </c>
      <c r="H113" s="136">
        <v>-1.26</v>
      </c>
      <c r="I113" s="136">
        <v>906.22</v>
      </c>
      <c r="J113" s="136">
        <v>213.75</v>
      </c>
      <c r="K113" s="136">
        <v>184.2</v>
      </c>
      <c r="L113" s="136">
        <v>-2</v>
      </c>
      <c r="M113" s="136">
        <v>-0.05</v>
      </c>
      <c r="N113" s="136">
        <v>-7.75</v>
      </c>
      <c r="O113" s="136">
        <v>-90.85</v>
      </c>
      <c r="P113" s="136">
        <v>-0.81</v>
      </c>
      <c r="V113" s="136">
        <v>8258.7999999999993</v>
      </c>
      <c r="W113" s="136">
        <v>-9806.0400000000009</v>
      </c>
      <c r="X113" s="136">
        <v>785.77</v>
      </c>
      <c r="Y113" s="136">
        <v>-227.77</v>
      </c>
      <c r="Z113" s="136">
        <v>694.64</v>
      </c>
      <c r="AA113" s="136">
        <v>-686.88</v>
      </c>
    </row>
    <row r="114" spans="1:27">
      <c r="A114" s="136" t="s">
        <v>2068</v>
      </c>
      <c r="B114" s="136">
        <v>-3359.74</v>
      </c>
      <c r="C114" s="136">
        <v>37.01</v>
      </c>
      <c r="D114" s="136">
        <v>-6188.77</v>
      </c>
      <c r="E114" s="136">
        <v>-1378.86</v>
      </c>
      <c r="F114" s="136">
        <v>-1215.01</v>
      </c>
      <c r="G114" s="136">
        <v>335.08</v>
      </c>
      <c r="H114" s="136">
        <v>-1.27</v>
      </c>
      <c r="I114" s="136">
        <v>817.96</v>
      </c>
      <c r="J114" s="136">
        <v>188.94</v>
      </c>
      <c r="K114" s="136">
        <v>169.04</v>
      </c>
      <c r="L114" s="136">
        <v>0.97</v>
      </c>
      <c r="M114" s="136">
        <v>-0.01</v>
      </c>
      <c r="N114" s="136">
        <v>-1.17</v>
      </c>
      <c r="O114" s="136">
        <v>141.93</v>
      </c>
      <c r="P114" s="136">
        <v>-5.44</v>
      </c>
      <c r="V114" s="136">
        <v>8258.7999999999993</v>
      </c>
      <c r="W114" s="136">
        <v>-9806.0400000000009</v>
      </c>
      <c r="X114" s="136">
        <v>758</v>
      </c>
      <c r="Y114" s="136">
        <v>-192.1</v>
      </c>
      <c r="Z114" s="136">
        <v>429.28</v>
      </c>
      <c r="AA114" s="136">
        <v>-290.18</v>
      </c>
    </row>
    <row r="115" spans="1:27">
      <c r="A115" s="136" t="s">
        <v>2069</v>
      </c>
      <c r="B115" s="136">
        <v>-1865.99</v>
      </c>
      <c r="C115" s="136">
        <v>30.67</v>
      </c>
      <c r="D115" s="136">
        <v>-2546.5</v>
      </c>
      <c r="E115" s="136">
        <v>-534.78</v>
      </c>
      <c r="F115" s="136">
        <v>-466.32</v>
      </c>
      <c r="G115" s="136">
        <v>262.42</v>
      </c>
      <c r="H115" s="136">
        <v>-1.27</v>
      </c>
      <c r="I115" s="136">
        <v>638.96</v>
      </c>
      <c r="J115" s="136">
        <v>148.69</v>
      </c>
      <c r="K115" s="136">
        <v>130.44</v>
      </c>
      <c r="L115" s="136">
        <v>0.97</v>
      </c>
      <c r="M115" s="136">
        <v>-0.01</v>
      </c>
      <c r="N115" s="136">
        <v>2.93</v>
      </c>
      <c r="O115" s="136">
        <v>-2.57</v>
      </c>
      <c r="P115" s="136">
        <v>1.1100000000000001</v>
      </c>
      <c r="V115" s="136">
        <v>9072.02</v>
      </c>
      <c r="W115" s="136">
        <v>-8125.96</v>
      </c>
      <c r="X115" s="136">
        <v>639.65</v>
      </c>
      <c r="Y115" s="136">
        <v>-272.88</v>
      </c>
      <c r="Z115" s="136">
        <v>359.79</v>
      </c>
      <c r="AA115" s="136">
        <v>-326.24</v>
      </c>
    </row>
    <row r="116" spans="1:27">
      <c r="A116" s="136" t="s">
        <v>2070</v>
      </c>
      <c r="B116" s="136">
        <v>-1865.98</v>
      </c>
      <c r="C116" s="136">
        <v>30.67</v>
      </c>
      <c r="D116" s="136">
        <v>-2546.48</v>
      </c>
      <c r="E116" s="136">
        <v>-534.78</v>
      </c>
      <c r="F116" s="136">
        <v>-466.31</v>
      </c>
      <c r="G116" s="136">
        <v>262.42</v>
      </c>
      <c r="H116" s="136">
        <v>-1.27</v>
      </c>
      <c r="I116" s="136">
        <v>638.96</v>
      </c>
      <c r="J116" s="136">
        <v>148.69</v>
      </c>
      <c r="K116" s="136">
        <v>130.44</v>
      </c>
      <c r="L116" s="136">
        <v>0.97</v>
      </c>
      <c r="M116" s="136">
        <v>-0.01</v>
      </c>
      <c r="N116" s="136">
        <v>2.93</v>
      </c>
      <c r="O116" s="136">
        <v>-2.57</v>
      </c>
      <c r="P116" s="136">
        <v>1.1100000000000001</v>
      </c>
      <c r="V116" s="136">
        <v>9072.02</v>
      </c>
      <c r="W116" s="136">
        <v>-8125.96</v>
      </c>
      <c r="X116" s="136">
        <v>639.65</v>
      </c>
      <c r="Y116" s="136">
        <v>-272.88</v>
      </c>
      <c r="Z116" s="136">
        <v>359.79</v>
      </c>
      <c r="AA116" s="136">
        <v>-326.24</v>
      </c>
    </row>
    <row r="117" spans="1:27">
      <c r="A117" s="136" t="s">
        <v>2071</v>
      </c>
      <c r="B117" s="136">
        <v>-735.54</v>
      </c>
      <c r="C117" s="136">
        <v>24.33</v>
      </c>
      <c r="D117" s="136">
        <v>200.81</v>
      </c>
      <c r="E117" s="136">
        <v>108.05</v>
      </c>
      <c r="F117" s="136">
        <v>89.39</v>
      </c>
      <c r="G117" s="136">
        <v>189.75</v>
      </c>
      <c r="H117" s="136">
        <v>-1.27</v>
      </c>
      <c r="I117" s="136">
        <v>459.96</v>
      </c>
      <c r="J117" s="136">
        <v>108.44</v>
      </c>
      <c r="K117" s="136">
        <v>91.84</v>
      </c>
      <c r="L117" s="136">
        <v>0.97</v>
      </c>
      <c r="M117" s="136">
        <v>-0.01</v>
      </c>
      <c r="N117" s="136">
        <v>7.03</v>
      </c>
      <c r="O117" s="136">
        <v>-147.07</v>
      </c>
      <c r="P117" s="136">
        <v>7.66</v>
      </c>
      <c r="V117" s="136">
        <v>9290.6299999999992</v>
      </c>
      <c r="W117" s="136">
        <v>-6449.87</v>
      </c>
      <c r="X117" s="136">
        <v>537.66</v>
      </c>
      <c r="Y117" s="136">
        <v>-375.85</v>
      </c>
      <c r="Z117" s="136">
        <v>332.06</v>
      </c>
      <c r="AA117" s="136">
        <v>-406.03</v>
      </c>
    </row>
    <row r="118" spans="1:27">
      <c r="A118" s="136" t="s">
        <v>2072</v>
      </c>
      <c r="B118" s="136">
        <v>-735.55</v>
      </c>
      <c r="C118" s="136">
        <v>24.33</v>
      </c>
      <c r="D118" s="136">
        <v>200.81</v>
      </c>
      <c r="E118" s="136">
        <v>108.05</v>
      </c>
      <c r="F118" s="136">
        <v>89.39</v>
      </c>
      <c r="G118" s="136">
        <v>171.05</v>
      </c>
      <c r="H118" s="136">
        <v>-1.26</v>
      </c>
      <c r="I118" s="136">
        <v>383.14</v>
      </c>
      <c r="J118" s="136">
        <v>84.89</v>
      </c>
      <c r="K118" s="136">
        <v>77.64</v>
      </c>
      <c r="L118" s="136">
        <v>1.29</v>
      </c>
      <c r="M118" s="136">
        <v>-0.01</v>
      </c>
      <c r="N118" s="136">
        <v>1.08</v>
      </c>
      <c r="O118" s="136">
        <v>83.12</v>
      </c>
      <c r="P118" s="136">
        <v>1.81</v>
      </c>
      <c r="V118" s="136">
        <v>9290.6200000000008</v>
      </c>
      <c r="W118" s="136">
        <v>-6449.86</v>
      </c>
      <c r="X118" s="136">
        <v>591.86</v>
      </c>
      <c r="Y118" s="136">
        <v>-391.45</v>
      </c>
      <c r="Z118" s="136">
        <v>502.43</v>
      </c>
      <c r="AA118" s="136">
        <v>-444.71</v>
      </c>
    </row>
    <row r="119" spans="1:27">
      <c r="A119" s="136" t="s">
        <v>2073</v>
      </c>
      <c r="B119" s="136">
        <v>-40.26</v>
      </c>
      <c r="C119" s="136">
        <v>18.05</v>
      </c>
      <c r="D119" s="136">
        <v>1669.01</v>
      </c>
      <c r="E119" s="136">
        <v>431.86</v>
      </c>
      <c r="F119" s="136">
        <v>381.09</v>
      </c>
      <c r="G119" s="136">
        <v>107.07</v>
      </c>
      <c r="H119" s="136">
        <v>-1.26</v>
      </c>
      <c r="I119" s="136">
        <v>204.14</v>
      </c>
      <c r="J119" s="136">
        <v>44.64</v>
      </c>
      <c r="K119" s="136">
        <v>39.04</v>
      </c>
      <c r="L119" s="136">
        <v>1.29</v>
      </c>
      <c r="M119" s="136">
        <v>-0.01</v>
      </c>
      <c r="N119" s="136">
        <v>5.18</v>
      </c>
      <c r="O119" s="136">
        <v>-61.38</v>
      </c>
      <c r="P119" s="136">
        <v>8.36</v>
      </c>
      <c r="V119" s="136">
        <v>8328.86</v>
      </c>
      <c r="W119" s="136">
        <v>-4784.7700000000004</v>
      </c>
      <c r="X119" s="136">
        <v>480.45</v>
      </c>
      <c r="Y119" s="136">
        <v>-489.35</v>
      </c>
      <c r="Z119" s="136">
        <v>430.15</v>
      </c>
      <c r="AA119" s="136">
        <v>-447.49</v>
      </c>
    </row>
    <row r="120" spans="1:27">
      <c r="A120" s="136" t="s">
        <v>2074</v>
      </c>
      <c r="B120" s="136">
        <v>-40.26</v>
      </c>
      <c r="C120" s="136">
        <v>18.05</v>
      </c>
      <c r="D120" s="136">
        <v>1669</v>
      </c>
      <c r="E120" s="136">
        <v>431.86</v>
      </c>
      <c r="F120" s="136">
        <v>381.09</v>
      </c>
      <c r="G120" s="136">
        <v>107.07</v>
      </c>
      <c r="H120" s="136">
        <v>-1.26</v>
      </c>
      <c r="I120" s="136">
        <v>204.14</v>
      </c>
      <c r="J120" s="136">
        <v>44.64</v>
      </c>
      <c r="K120" s="136">
        <v>39.04</v>
      </c>
      <c r="L120" s="136">
        <v>1.29</v>
      </c>
      <c r="M120" s="136">
        <v>-0.01</v>
      </c>
      <c r="N120" s="136">
        <v>5.18</v>
      </c>
      <c r="O120" s="136">
        <v>-61.38</v>
      </c>
      <c r="P120" s="136">
        <v>8.36</v>
      </c>
      <c r="V120" s="136">
        <v>8328.86</v>
      </c>
      <c r="W120" s="136">
        <v>-4784.7700000000004</v>
      </c>
      <c r="X120" s="136">
        <v>480.45</v>
      </c>
      <c r="Y120" s="136">
        <v>-489.35</v>
      </c>
      <c r="Z120" s="136">
        <v>430.15</v>
      </c>
      <c r="AA120" s="136">
        <v>-447.49</v>
      </c>
    </row>
    <row r="121" spans="1:27">
      <c r="A121" s="136" t="s">
        <v>2075</v>
      </c>
      <c r="B121" s="136">
        <v>335.14</v>
      </c>
      <c r="C121" s="136">
        <v>11.76</v>
      </c>
      <c r="D121" s="136">
        <v>2242.1799999999998</v>
      </c>
      <c r="E121" s="136">
        <v>554.41999999999996</v>
      </c>
      <c r="F121" s="136">
        <v>479.8</v>
      </c>
      <c r="G121" s="136">
        <v>43.09</v>
      </c>
      <c r="H121" s="136">
        <v>-1.26</v>
      </c>
      <c r="I121" s="136">
        <v>25.14</v>
      </c>
      <c r="J121" s="136">
        <v>4.3899999999999997</v>
      </c>
      <c r="K121" s="136">
        <v>0.44</v>
      </c>
      <c r="L121" s="136">
        <v>1.29</v>
      </c>
      <c r="M121" s="136">
        <v>-0.01</v>
      </c>
      <c r="N121" s="136">
        <v>9.2799999999999994</v>
      </c>
      <c r="O121" s="136">
        <v>-205.88</v>
      </c>
      <c r="P121" s="136">
        <v>14.91</v>
      </c>
      <c r="V121" s="136">
        <v>6607.87</v>
      </c>
      <c r="W121" s="136">
        <v>-3119.67</v>
      </c>
      <c r="X121" s="136">
        <v>381.75</v>
      </c>
      <c r="Y121" s="136">
        <v>-611.36</v>
      </c>
      <c r="Z121" s="136">
        <v>415.68</v>
      </c>
      <c r="AA121" s="136">
        <v>-478.22</v>
      </c>
    </row>
    <row r="122" spans="1:27">
      <c r="A122" s="136" t="s">
        <v>2076</v>
      </c>
      <c r="B122" s="136">
        <v>335.14</v>
      </c>
      <c r="C122" s="136">
        <v>11.76</v>
      </c>
      <c r="D122" s="136">
        <v>2242.1799999999998</v>
      </c>
      <c r="E122" s="136">
        <v>554.41999999999996</v>
      </c>
      <c r="F122" s="136">
        <v>479.8</v>
      </c>
      <c r="G122" s="136">
        <v>23.74</v>
      </c>
      <c r="H122" s="136">
        <v>-1.26</v>
      </c>
      <c r="I122" s="136">
        <v>-62.32</v>
      </c>
      <c r="J122" s="136">
        <v>-21.59</v>
      </c>
      <c r="K122" s="136">
        <v>-15.16</v>
      </c>
      <c r="L122" s="136">
        <v>4.9400000000000004</v>
      </c>
      <c r="M122" s="136">
        <v>-0.01</v>
      </c>
      <c r="N122" s="136">
        <v>29.13</v>
      </c>
      <c r="O122" s="136">
        <v>10.81</v>
      </c>
      <c r="P122" s="136">
        <v>13.59</v>
      </c>
      <c r="V122" s="136">
        <v>6607.87</v>
      </c>
      <c r="W122" s="136">
        <v>-3119.67</v>
      </c>
      <c r="X122" s="136">
        <v>419.3</v>
      </c>
      <c r="Y122" s="136">
        <v>-648.27</v>
      </c>
      <c r="Z122" s="136">
        <v>618</v>
      </c>
      <c r="AA122" s="136">
        <v>-652.4</v>
      </c>
    </row>
    <row r="123" spans="1:27">
      <c r="A123" s="136" t="s">
        <v>2077</v>
      </c>
      <c r="B123" s="136">
        <v>220.92</v>
      </c>
      <c r="C123" s="136">
        <v>3.64</v>
      </c>
      <c r="D123" s="136">
        <v>1089.69</v>
      </c>
      <c r="E123" s="136">
        <v>246.28</v>
      </c>
      <c r="F123" s="136">
        <v>220.12</v>
      </c>
      <c r="G123" s="136">
        <v>-59.05</v>
      </c>
      <c r="H123" s="136">
        <v>-1.26</v>
      </c>
      <c r="I123" s="136">
        <v>-293.94</v>
      </c>
      <c r="J123" s="136">
        <v>-73.67</v>
      </c>
      <c r="K123" s="136">
        <v>-65.11</v>
      </c>
      <c r="L123" s="136">
        <v>4.9400000000000004</v>
      </c>
      <c r="M123" s="136">
        <v>-0.01</v>
      </c>
      <c r="N123" s="136">
        <v>34.44</v>
      </c>
      <c r="O123" s="136">
        <v>-176.17</v>
      </c>
      <c r="P123" s="136">
        <v>22.07</v>
      </c>
      <c r="V123" s="136">
        <v>2460.85</v>
      </c>
      <c r="W123" s="136">
        <v>-967.07</v>
      </c>
      <c r="X123" s="136">
        <v>335.82</v>
      </c>
      <c r="Y123" s="136">
        <v>-828.59</v>
      </c>
      <c r="Z123" s="136">
        <v>601.87</v>
      </c>
      <c r="AA123" s="136">
        <v>-662.38</v>
      </c>
    </row>
    <row r="124" spans="1:27">
      <c r="A124" s="136" t="s">
        <v>2078</v>
      </c>
      <c r="B124" s="136">
        <v>220.91</v>
      </c>
      <c r="C124" s="136">
        <v>3.64</v>
      </c>
      <c r="D124" s="136">
        <v>1089.69</v>
      </c>
      <c r="E124" s="136">
        <v>246.28</v>
      </c>
      <c r="F124" s="136">
        <v>220.12</v>
      </c>
      <c r="G124" s="136">
        <v>-59.05</v>
      </c>
      <c r="H124" s="136">
        <v>-1.26</v>
      </c>
      <c r="I124" s="136">
        <v>-293.94</v>
      </c>
      <c r="J124" s="136">
        <v>-73.67</v>
      </c>
      <c r="K124" s="136">
        <v>-65.11</v>
      </c>
      <c r="L124" s="136">
        <v>4.9400000000000004</v>
      </c>
      <c r="M124" s="136">
        <v>-0.01</v>
      </c>
      <c r="N124" s="136">
        <v>34.44</v>
      </c>
      <c r="O124" s="136">
        <v>-176.17</v>
      </c>
      <c r="P124" s="136">
        <v>22.07</v>
      </c>
      <c r="V124" s="136">
        <v>2460.85</v>
      </c>
      <c r="W124" s="136">
        <v>-967.07</v>
      </c>
      <c r="X124" s="136">
        <v>335.82</v>
      </c>
      <c r="Y124" s="136">
        <v>-828.59</v>
      </c>
      <c r="Z124" s="136">
        <v>601.87</v>
      </c>
      <c r="AA124" s="136">
        <v>-662.38</v>
      </c>
    </row>
    <row r="125" spans="1:27">
      <c r="A125" s="136" t="s">
        <v>2079</v>
      </c>
      <c r="B125" s="136">
        <v>-1.85</v>
      </c>
      <c r="C125" s="136">
        <v>0</v>
      </c>
      <c r="D125" s="136">
        <v>-8.83</v>
      </c>
      <c r="E125" s="136">
        <v>-1.21</v>
      </c>
      <c r="F125" s="136">
        <v>-1.1599999999999999</v>
      </c>
      <c r="G125" s="136">
        <v>-94.58</v>
      </c>
      <c r="H125" s="136">
        <v>-1.26</v>
      </c>
      <c r="I125" s="136">
        <v>-463.65</v>
      </c>
      <c r="J125" s="136">
        <v>-97.01</v>
      </c>
      <c r="K125" s="136">
        <v>-87.5</v>
      </c>
      <c r="L125" s="136">
        <v>4.9400000000000004</v>
      </c>
      <c r="M125" s="136">
        <v>-0.01</v>
      </c>
      <c r="N125" s="136">
        <v>29.68</v>
      </c>
      <c r="O125" s="136">
        <v>-259.98</v>
      </c>
      <c r="P125" s="136">
        <v>25.87</v>
      </c>
      <c r="V125" s="136">
        <v>-2</v>
      </c>
      <c r="W125" s="136">
        <v>-142.16</v>
      </c>
      <c r="X125" s="136">
        <v>332.77</v>
      </c>
      <c r="Y125" s="136">
        <v>-928.88</v>
      </c>
      <c r="Z125" s="136">
        <v>598.21</v>
      </c>
      <c r="AA125" s="136">
        <v>-2.0699999999999998</v>
      </c>
    </row>
    <row r="126" spans="1:27">
      <c r="A126" s="136" t="s">
        <v>2080</v>
      </c>
      <c r="B126" s="136">
        <v>-1.86</v>
      </c>
      <c r="C126" s="136">
        <v>0</v>
      </c>
      <c r="D126" s="136">
        <v>-8.85</v>
      </c>
      <c r="E126" s="136">
        <v>-1.22</v>
      </c>
      <c r="F126" s="136">
        <v>-1.17</v>
      </c>
      <c r="G126" s="136">
        <v>6.76</v>
      </c>
      <c r="H126" s="136">
        <v>0</v>
      </c>
      <c r="I126" s="136">
        <v>32.18</v>
      </c>
      <c r="J126" s="136">
        <v>4.43</v>
      </c>
      <c r="K126" s="136">
        <v>4.25</v>
      </c>
      <c r="L126" s="136">
        <v>0</v>
      </c>
      <c r="M126" s="136">
        <v>0</v>
      </c>
      <c r="N126" s="136">
        <v>0.9</v>
      </c>
      <c r="O126" s="136">
        <v>15.9</v>
      </c>
      <c r="P126" s="136">
        <v>-0.72</v>
      </c>
      <c r="V126" s="136">
        <v>0</v>
      </c>
      <c r="W126" s="136">
        <v>-142.16</v>
      </c>
      <c r="X126" s="136">
        <v>258.48</v>
      </c>
      <c r="Y126" s="136">
        <v>0</v>
      </c>
      <c r="Z126" s="136">
        <v>160.28</v>
      </c>
      <c r="AA126" s="136">
        <v>-46.09</v>
      </c>
    </row>
    <row r="127" spans="1:27">
      <c r="A127" s="136" t="s">
        <v>2081</v>
      </c>
      <c r="B127" s="136">
        <v>0</v>
      </c>
      <c r="C127" s="136">
        <v>0</v>
      </c>
      <c r="D127" s="136">
        <v>-0.01</v>
      </c>
      <c r="E127" s="136">
        <v>0</v>
      </c>
      <c r="F127" s="136">
        <v>0</v>
      </c>
      <c r="G127" s="136">
        <v>0.02</v>
      </c>
      <c r="H127" s="136">
        <v>0</v>
      </c>
      <c r="I127" s="136">
        <v>0</v>
      </c>
      <c r="J127" s="136">
        <v>0</v>
      </c>
      <c r="K127" s="136">
        <v>0</v>
      </c>
      <c r="L127" s="136">
        <v>0</v>
      </c>
      <c r="M127" s="136">
        <v>0</v>
      </c>
      <c r="N127" s="136">
        <v>0</v>
      </c>
      <c r="O127" s="136">
        <v>0</v>
      </c>
      <c r="P127" s="136">
        <v>0</v>
      </c>
      <c r="V127" s="136">
        <v>0</v>
      </c>
      <c r="W127" s="136">
        <v>0</v>
      </c>
      <c r="X127" s="136">
        <v>258.48</v>
      </c>
      <c r="Y127" s="136">
        <v>0</v>
      </c>
      <c r="Z127" s="136">
        <v>160.28</v>
      </c>
      <c r="AA127" s="136">
        <v>-46.09</v>
      </c>
    </row>
  </sheetData>
  <phoneticPr fontId="3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2:AZ387"/>
  <sheetViews>
    <sheetView showGridLines="0" view="pageBreakPreview" topLeftCell="A7" zoomScaleNormal="100" zoomScaleSheetLayoutView="100" workbookViewId="0">
      <selection activeCell="C19" sqref="C19"/>
    </sheetView>
  </sheetViews>
  <sheetFormatPr defaultColWidth="2.77734375" defaultRowHeight="15" customHeight="1"/>
  <cols>
    <col min="1" max="27" width="2.77734375" style="3"/>
    <col min="28" max="54" width="8.77734375" style="3" customWidth="1"/>
    <col min="55" max="16384" width="2.77734375" style="3"/>
  </cols>
  <sheetData>
    <row r="2" spans="1:52" ht="15" customHeight="1" thickBot="1">
      <c r="AC2" s="3" t="s">
        <v>2272</v>
      </c>
    </row>
    <row r="3" spans="1:52" ht="15" customHeight="1">
      <c r="A3" s="2" t="s">
        <v>184</v>
      </c>
      <c r="AC3" s="1128"/>
      <c r="AD3" s="1129">
        <v>16</v>
      </c>
      <c r="AE3" s="1130" t="s">
        <v>2268</v>
      </c>
      <c r="AF3" s="1130" t="s">
        <v>2269</v>
      </c>
      <c r="AG3" s="1130" t="s">
        <v>2270</v>
      </c>
      <c r="AH3" s="1131" t="s">
        <v>2271</v>
      </c>
    </row>
    <row r="4" spans="1:52" ht="15" customHeight="1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428" t="s">
        <v>2258</v>
      </c>
      <c r="AD4" s="170">
        <v>235</v>
      </c>
      <c r="AE4" s="170">
        <v>225</v>
      </c>
      <c r="AF4" s="170">
        <v>205</v>
      </c>
      <c r="AG4" s="170">
        <v>205</v>
      </c>
      <c r="AH4" s="1132">
        <v>195</v>
      </c>
      <c r="AI4" s="5"/>
      <c r="AK4" s="5"/>
      <c r="AL4" s="5"/>
      <c r="AN4" s="5"/>
      <c r="AO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 spans="1:52" ht="15" customHeight="1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428" t="s">
        <v>2259</v>
      </c>
      <c r="AD5" s="170">
        <v>275</v>
      </c>
      <c r="AE5" s="170">
        <v>265</v>
      </c>
      <c r="AF5" s="170">
        <v>245</v>
      </c>
      <c r="AG5" s="170">
        <v>245</v>
      </c>
      <c r="AH5" s="1132">
        <v>235</v>
      </c>
      <c r="AI5" s="5"/>
      <c r="AK5" s="5"/>
      <c r="AL5" s="5"/>
      <c r="AN5" s="5"/>
      <c r="AO5" s="5"/>
      <c r="AQ5" s="5"/>
      <c r="AR5" s="5"/>
      <c r="AS5" s="5"/>
      <c r="AT5" s="5"/>
      <c r="AU5" s="5"/>
      <c r="AV5" s="5"/>
      <c r="AW5" s="5"/>
      <c r="AX5" s="5"/>
      <c r="AY5" s="5"/>
      <c r="AZ5" s="5"/>
    </row>
    <row r="6" spans="1:52" ht="15" customHeight="1">
      <c r="B6" s="5"/>
      <c r="C6" s="5"/>
      <c r="D6" s="5"/>
      <c r="E6" s="5"/>
      <c r="F6" s="66"/>
      <c r="G6" s="5"/>
      <c r="H6" s="5"/>
      <c r="I6" s="5"/>
      <c r="J6" s="5"/>
      <c r="K6" s="5"/>
      <c r="L6" s="251"/>
      <c r="M6" s="251"/>
      <c r="N6" s="251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428" t="s">
        <v>2260</v>
      </c>
      <c r="AD6" s="170">
        <v>275</v>
      </c>
      <c r="AE6" s="170">
        <v>265</v>
      </c>
      <c r="AF6" s="170">
        <v>255</v>
      </c>
      <c r="AG6" s="170">
        <v>245</v>
      </c>
      <c r="AH6" s="1132">
        <v>235</v>
      </c>
      <c r="AI6" s="5"/>
      <c r="AK6" s="5"/>
      <c r="AL6" s="5"/>
      <c r="AN6" s="5"/>
      <c r="AO6" s="5"/>
      <c r="AQ6" s="5"/>
      <c r="AR6" s="5"/>
      <c r="AS6" s="5"/>
      <c r="AT6" s="5"/>
      <c r="AU6" s="5"/>
      <c r="AV6" s="5"/>
      <c r="AW6" s="5"/>
      <c r="AX6" s="5"/>
      <c r="AY6" s="5"/>
      <c r="AZ6" s="5"/>
    </row>
    <row r="7" spans="1:52" ht="15" customHeight="1">
      <c r="B7" s="5"/>
      <c r="C7" s="5"/>
      <c r="D7" s="5"/>
      <c r="E7" s="5"/>
      <c r="F7" s="5"/>
      <c r="G7" s="1862"/>
      <c r="H7" s="1862"/>
      <c r="I7" s="5"/>
      <c r="J7" s="5"/>
      <c r="K7" s="5"/>
      <c r="L7" s="85"/>
      <c r="M7" s="85"/>
      <c r="N7" s="8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428" t="s">
        <v>2261</v>
      </c>
      <c r="AD7" s="170">
        <v>275</v>
      </c>
      <c r="AE7" s="170">
        <v>265</v>
      </c>
      <c r="AF7" s="170">
        <v>255</v>
      </c>
      <c r="AG7" s="170">
        <v>245</v>
      </c>
      <c r="AH7" s="1132">
        <v>235</v>
      </c>
      <c r="AI7" s="5"/>
      <c r="AK7" s="5"/>
      <c r="AL7" s="5"/>
      <c r="AN7" s="5"/>
      <c r="AO7" s="5"/>
      <c r="AQ7" s="5"/>
      <c r="AR7" s="5"/>
      <c r="AS7" s="5"/>
      <c r="AT7" s="5"/>
      <c r="AU7" s="5"/>
      <c r="AV7" s="5"/>
      <c r="AW7" s="5"/>
      <c r="AX7" s="5"/>
      <c r="AY7" s="5"/>
      <c r="AZ7" s="5"/>
    </row>
    <row r="8" spans="1:52" ht="15" customHeight="1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428" t="s">
        <v>2257</v>
      </c>
      <c r="AD8" s="170">
        <v>355</v>
      </c>
      <c r="AE8" s="170">
        <v>345</v>
      </c>
      <c r="AF8" s="170">
        <v>335</v>
      </c>
      <c r="AG8" s="170">
        <v>325</v>
      </c>
      <c r="AH8" s="1132">
        <v>305</v>
      </c>
      <c r="AI8" s="5"/>
      <c r="AK8" s="5"/>
      <c r="AL8" s="5"/>
      <c r="AN8" s="5"/>
      <c r="AO8" s="5"/>
      <c r="AQ8" s="5"/>
      <c r="AR8" s="5"/>
      <c r="AS8" s="5"/>
      <c r="AT8" s="5"/>
      <c r="AU8" s="5"/>
      <c r="AV8" s="5"/>
      <c r="AW8" s="5"/>
      <c r="AX8" s="5"/>
      <c r="AY8" s="5"/>
      <c r="AZ8" s="5"/>
    </row>
    <row r="9" spans="1:52" ht="15" customHeight="1">
      <c r="A9" s="2" t="s">
        <v>185</v>
      </c>
      <c r="B9" s="5"/>
      <c r="C9" s="5"/>
      <c r="D9" s="5"/>
      <c r="E9" s="5"/>
      <c r="F9" s="5"/>
      <c r="G9" s="5"/>
      <c r="H9" s="5"/>
      <c r="I9" s="5"/>
      <c r="J9" s="5"/>
      <c r="AC9" s="428" t="s">
        <v>2262</v>
      </c>
      <c r="AD9" s="170">
        <v>355</v>
      </c>
      <c r="AE9" s="170">
        <v>345</v>
      </c>
      <c r="AF9" s="170">
        <v>335</v>
      </c>
      <c r="AG9" s="170">
        <v>325</v>
      </c>
      <c r="AH9" s="1132">
        <v>305</v>
      </c>
    </row>
    <row r="10" spans="1:52" ht="15" customHeight="1">
      <c r="B10" s="5"/>
      <c r="C10" s="5"/>
      <c r="D10" s="5"/>
      <c r="E10" s="5"/>
      <c r="F10" s="5"/>
      <c r="G10" s="5"/>
      <c r="H10" s="5"/>
      <c r="I10" s="5"/>
      <c r="J10" s="5"/>
      <c r="AC10" s="428" t="s">
        <v>2263</v>
      </c>
      <c r="AD10" s="170">
        <v>420</v>
      </c>
      <c r="AE10" s="170">
        <v>410</v>
      </c>
      <c r="AF10" s="170">
        <v>400</v>
      </c>
      <c r="AG10" s="170">
        <v>390</v>
      </c>
      <c r="AH10" s="1132">
        <v>380</v>
      </c>
    </row>
    <row r="11" spans="1:52" ht="15" customHeight="1">
      <c r="B11" s="5" t="s">
        <v>106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C11" s="428" t="s">
        <v>2264</v>
      </c>
      <c r="AD11" s="170">
        <v>460</v>
      </c>
      <c r="AE11" s="170">
        <v>450</v>
      </c>
      <c r="AF11" s="170">
        <v>430</v>
      </c>
      <c r="AG11" s="170">
        <v>420</v>
      </c>
      <c r="AH11" s="1132"/>
    </row>
    <row r="12" spans="1:52" ht="15" customHeight="1">
      <c r="B12" s="5"/>
      <c r="C12" s="5" t="s">
        <v>673</v>
      </c>
      <c r="D12" s="5"/>
      <c r="E12" s="5"/>
      <c r="F12" s="5"/>
      <c r="G12" s="5"/>
      <c r="H12" s="5"/>
      <c r="I12" s="5"/>
      <c r="J12" s="5"/>
      <c r="K12" s="60"/>
      <c r="L12" s="5"/>
      <c r="M12" s="5"/>
      <c r="N12" s="5"/>
      <c r="O12" s="5"/>
      <c r="P12" s="5"/>
      <c r="Q12" s="5"/>
      <c r="R12" s="5"/>
      <c r="S12" s="5"/>
      <c r="T12" s="5"/>
      <c r="U12" s="5"/>
      <c r="AC12" s="428" t="s">
        <v>2265</v>
      </c>
      <c r="AD12" s="170">
        <v>460</v>
      </c>
      <c r="AE12" s="170">
        <v>450</v>
      </c>
      <c r="AF12" s="170">
        <v>430</v>
      </c>
      <c r="AG12" s="170">
        <v>420</v>
      </c>
      <c r="AH12" s="1132"/>
    </row>
    <row r="13" spans="1:52" s="143" customFormat="1" ht="15" customHeight="1">
      <c r="B13" s="170"/>
      <c r="C13" s="170"/>
      <c r="D13" s="170" t="s">
        <v>682</v>
      </c>
      <c r="E13" s="170"/>
      <c r="F13" s="170"/>
      <c r="G13" s="170"/>
      <c r="H13" s="170"/>
      <c r="I13" s="1867" t="s">
        <v>2256</v>
      </c>
      <c r="J13" s="1867"/>
      <c r="K13" s="1867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AC13" s="428" t="s">
        <v>2256</v>
      </c>
      <c r="AD13" s="170">
        <v>380</v>
      </c>
      <c r="AE13" s="170">
        <v>380</v>
      </c>
      <c r="AF13" s="170">
        <v>380</v>
      </c>
      <c r="AG13" s="170">
        <v>380</v>
      </c>
      <c r="AH13" s="1132"/>
    </row>
    <row r="14" spans="1:52" s="143" customFormat="1" ht="15" customHeight="1">
      <c r="B14" s="170"/>
      <c r="C14" s="170"/>
      <c r="D14" s="170" t="s">
        <v>513</v>
      </c>
      <c r="E14" s="170"/>
      <c r="F14" s="170"/>
      <c r="G14" s="170"/>
      <c r="H14" s="170"/>
      <c r="I14" s="1867" t="s">
        <v>2257</v>
      </c>
      <c r="J14" s="1867"/>
      <c r="K14" s="1867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AC14" s="428" t="s">
        <v>2266</v>
      </c>
      <c r="AD14" s="170">
        <v>460</v>
      </c>
      <c r="AE14" s="170">
        <v>460</v>
      </c>
      <c r="AF14" s="170">
        <v>460</v>
      </c>
      <c r="AG14" s="170">
        <v>460</v>
      </c>
      <c r="AH14" s="1132"/>
    </row>
    <row r="15" spans="1:52" s="143" customFormat="1" ht="15" customHeight="1" thickBot="1">
      <c r="A15" s="3"/>
      <c r="B15" s="5"/>
      <c r="C15" s="5" t="s">
        <v>108</v>
      </c>
      <c r="D15" s="5"/>
      <c r="E15" s="5"/>
      <c r="F15" s="5"/>
      <c r="G15" s="5"/>
      <c r="H15" s="5"/>
      <c r="I15" s="60" t="s">
        <v>674</v>
      </c>
      <c r="J15" s="124" t="s">
        <v>681</v>
      </c>
      <c r="K15" s="3"/>
      <c r="L15" s="1863">
        <v>210000</v>
      </c>
      <c r="M15" s="1863"/>
      <c r="N15" s="1863"/>
      <c r="O15" s="5" t="s">
        <v>105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C15" s="319" t="s">
        <v>2267</v>
      </c>
      <c r="AD15" s="321">
        <v>690</v>
      </c>
      <c r="AE15" s="321">
        <v>690</v>
      </c>
      <c r="AF15" s="321">
        <v>690</v>
      </c>
      <c r="AG15" s="321">
        <v>690</v>
      </c>
      <c r="AH15" s="325"/>
    </row>
    <row r="16" spans="1:52" s="143" customFormat="1" ht="15" customHeight="1">
      <c r="A16" s="3"/>
      <c r="B16" s="5"/>
      <c r="C16" s="5" t="s">
        <v>109</v>
      </c>
      <c r="D16" s="5"/>
      <c r="E16" s="5"/>
      <c r="F16" s="5"/>
      <c r="G16" s="5"/>
      <c r="H16" s="5"/>
      <c r="I16" s="60" t="s">
        <v>675</v>
      </c>
      <c r="J16" s="124" t="s">
        <v>681</v>
      </c>
      <c r="K16" s="3"/>
      <c r="L16" s="1863">
        <v>81000</v>
      </c>
      <c r="M16" s="1863"/>
      <c r="N16" s="1863"/>
      <c r="O16" s="5" t="s">
        <v>105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30" ht="15" customHeight="1">
      <c r="B17" s="5"/>
      <c r="C17" s="5"/>
      <c r="D17" s="5"/>
      <c r="E17" s="5"/>
      <c r="F17" s="5"/>
      <c r="G17" s="5"/>
      <c r="H17" s="5"/>
      <c r="I17" s="5"/>
      <c r="J17" s="12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30" ht="15" customHeight="1" thickBot="1">
      <c r="B18" s="5" t="s">
        <v>110</v>
      </c>
      <c r="C18" s="5"/>
      <c r="D18" s="5"/>
      <c r="E18" s="5"/>
      <c r="F18" s="5"/>
      <c r="G18" s="5"/>
      <c r="H18" s="5"/>
      <c r="I18" s="5"/>
      <c r="J18" s="12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30" ht="15" customHeight="1">
      <c r="B19" s="5"/>
      <c r="C19" s="5" t="s">
        <v>113</v>
      </c>
      <c r="D19" s="5"/>
      <c r="E19" s="5"/>
      <c r="F19" s="5"/>
      <c r="G19" s="5"/>
      <c r="H19" s="5"/>
      <c r="I19" s="5" t="s">
        <v>676</v>
      </c>
      <c r="J19" s="124" t="s">
        <v>681</v>
      </c>
      <c r="L19" s="5"/>
      <c r="M19" s="1864">
        <v>35</v>
      </c>
      <c r="N19" s="1864"/>
      <c r="O19" s="5" t="s">
        <v>107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C19" s="753" t="s">
        <v>1812</v>
      </c>
      <c r="AD19" s="754" t="s">
        <v>1813</v>
      </c>
    </row>
    <row r="20" spans="1:30" ht="15" customHeight="1">
      <c r="A20" s="143"/>
      <c r="B20" s="170"/>
      <c r="C20" s="170"/>
      <c r="D20" s="170"/>
      <c r="E20" s="170"/>
      <c r="F20" s="170"/>
      <c r="G20" s="170"/>
      <c r="H20" s="170"/>
      <c r="I20" s="758" t="s">
        <v>1814</v>
      </c>
      <c r="J20" s="759" t="s">
        <v>1815</v>
      </c>
      <c r="K20" s="761"/>
      <c r="L20" s="761"/>
      <c r="M20" s="1866">
        <f>VLOOKUP(Fck,$AC$19:$AD$31,2,TRUE)</f>
        <v>39</v>
      </c>
      <c r="N20" s="1866"/>
      <c r="O20" s="760" t="s">
        <v>1816</v>
      </c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4"/>
      <c r="AC20" s="755">
        <v>18</v>
      </c>
      <c r="AD20" s="756">
        <v>22</v>
      </c>
    </row>
    <row r="21" spans="1:30" ht="15" customHeight="1">
      <c r="B21" s="5"/>
      <c r="C21" s="5" t="s">
        <v>111</v>
      </c>
      <c r="D21" s="5"/>
      <c r="E21" s="5"/>
      <c r="F21" s="5"/>
      <c r="G21" s="5"/>
      <c r="H21" s="5"/>
      <c r="I21" s="5" t="s">
        <v>677</v>
      </c>
      <c r="J21" s="124" t="s">
        <v>681</v>
      </c>
      <c r="L21" s="1865">
        <f>0.077*2500^1.5*(M20)^(1/3)</f>
        <v>32640.410139011325</v>
      </c>
      <c r="M21" s="1865"/>
      <c r="N21" s="1865"/>
      <c r="O21" s="5" t="s">
        <v>107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C21" s="755">
        <v>21</v>
      </c>
      <c r="AD21" s="756">
        <v>25</v>
      </c>
    </row>
    <row r="22" spans="1:30" ht="15" customHeight="1">
      <c r="B22" s="5"/>
      <c r="C22" s="5"/>
      <c r="D22" s="5"/>
      <c r="E22" s="5"/>
      <c r="F22" s="5"/>
      <c r="G22" s="5"/>
      <c r="H22" s="5"/>
      <c r="I22" s="5"/>
      <c r="J22" s="12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C22" s="755">
        <v>24</v>
      </c>
      <c r="AD22" s="756">
        <v>28</v>
      </c>
    </row>
    <row r="23" spans="1:30" s="143" customFormat="1" ht="15" customHeight="1">
      <c r="A23" s="3"/>
      <c r="B23" s="5" t="s">
        <v>112</v>
      </c>
      <c r="C23" s="5"/>
      <c r="D23" s="5"/>
      <c r="E23" s="5"/>
      <c r="F23" s="5"/>
      <c r="G23" s="5"/>
      <c r="H23" s="5"/>
      <c r="I23" s="5"/>
      <c r="J23" s="124"/>
      <c r="K23" s="3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C23" s="755">
        <v>27</v>
      </c>
      <c r="AD23" s="756">
        <v>31</v>
      </c>
    </row>
    <row r="24" spans="1:30" ht="15" customHeight="1">
      <c r="B24" s="5"/>
      <c r="C24" s="5" t="s">
        <v>113</v>
      </c>
      <c r="D24" s="5"/>
      <c r="E24" s="5"/>
      <c r="F24" s="5"/>
      <c r="G24" s="5"/>
      <c r="H24" s="5"/>
      <c r="I24" s="5" t="s">
        <v>678</v>
      </c>
      <c r="J24" s="124" t="s">
        <v>681</v>
      </c>
      <c r="L24" s="5"/>
      <c r="M24" s="1864">
        <v>50</v>
      </c>
      <c r="N24" s="1864"/>
      <c r="O24" s="5" t="s">
        <v>107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C24" s="755">
        <v>30</v>
      </c>
      <c r="AD24" s="756">
        <v>34</v>
      </c>
    </row>
    <row r="25" spans="1:30" ht="15" customHeight="1">
      <c r="A25" s="143"/>
      <c r="B25" s="170"/>
      <c r="C25" s="170"/>
      <c r="D25" s="170"/>
      <c r="E25" s="170"/>
      <c r="F25" s="170"/>
      <c r="G25" s="170"/>
      <c r="H25" s="170"/>
      <c r="I25" s="758" t="s">
        <v>1814</v>
      </c>
      <c r="J25" s="759" t="s">
        <v>1815</v>
      </c>
      <c r="K25" s="761"/>
      <c r="L25" s="761"/>
      <c r="M25" s="1866">
        <f>VLOOKUP(Fckb,$AC$19:$AD$31,2,TRUE)</f>
        <v>56</v>
      </c>
      <c r="N25" s="1866"/>
      <c r="O25" s="760" t="s">
        <v>1816</v>
      </c>
      <c r="P25" s="170"/>
      <c r="Q25" s="170"/>
      <c r="R25" s="170"/>
      <c r="S25" s="170"/>
      <c r="T25" s="170"/>
      <c r="U25" s="170"/>
      <c r="V25" s="170"/>
      <c r="W25" s="170"/>
      <c r="X25" s="170"/>
      <c r="Y25" s="170"/>
      <c r="Z25" s="170"/>
      <c r="AA25" s="170"/>
      <c r="AC25" s="755">
        <v>35</v>
      </c>
      <c r="AD25" s="756">
        <v>39</v>
      </c>
    </row>
    <row r="26" spans="1:30" ht="15" customHeight="1">
      <c r="B26" s="5"/>
      <c r="C26" s="5" t="s">
        <v>111</v>
      </c>
      <c r="D26" s="5"/>
      <c r="E26" s="5"/>
      <c r="F26" s="5"/>
      <c r="G26" s="5"/>
      <c r="H26" s="5"/>
      <c r="I26" s="5" t="s">
        <v>677</v>
      </c>
      <c r="J26" s="124" t="s">
        <v>681</v>
      </c>
      <c r="L26" s="1865">
        <f>0.077*2500^1.5*(M25)^(1/3)</f>
        <v>36823.925268368461</v>
      </c>
      <c r="M26" s="1865"/>
      <c r="N26" s="1865"/>
      <c r="O26" s="5" t="s">
        <v>107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4"/>
      <c r="AC26" s="755">
        <v>40</v>
      </c>
      <c r="AD26" s="756">
        <v>44</v>
      </c>
    </row>
    <row r="27" spans="1:30" ht="15" customHeight="1">
      <c r="B27" s="5"/>
      <c r="C27" s="5"/>
      <c r="D27" s="5"/>
      <c r="E27" s="5"/>
      <c r="F27" s="5"/>
      <c r="G27" s="5"/>
      <c r="H27" s="5"/>
      <c r="I27" s="5"/>
      <c r="J27" s="12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C27" s="755">
        <v>50</v>
      </c>
      <c r="AD27" s="756">
        <v>56</v>
      </c>
    </row>
    <row r="28" spans="1:30" s="143" customFormat="1" ht="15" customHeight="1">
      <c r="A28" s="3"/>
      <c r="B28" s="5" t="s">
        <v>147</v>
      </c>
      <c r="C28" s="5"/>
      <c r="D28" s="5"/>
      <c r="E28" s="5"/>
      <c r="F28" s="5"/>
      <c r="G28" s="5"/>
      <c r="H28" s="5"/>
      <c r="I28" s="5"/>
      <c r="J28" s="124"/>
      <c r="K28" s="3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C28" s="755">
        <v>60</v>
      </c>
      <c r="AD28" s="756">
        <v>66</v>
      </c>
    </row>
    <row r="29" spans="1:30" ht="15" customHeight="1">
      <c r="A29" s="143"/>
      <c r="B29" s="170"/>
      <c r="C29" s="170"/>
      <c r="D29" s="170"/>
      <c r="E29" s="170"/>
      <c r="F29" s="170"/>
      <c r="G29" s="170"/>
      <c r="H29" s="170"/>
      <c r="I29" s="170" t="s">
        <v>679</v>
      </c>
      <c r="J29" s="124" t="s">
        <v>681</v>
      </c>
      <c r="K29" s="143"/>
      <c r="L29" s="1863">
        <v>400</v>
      </c>
      <c r="M29" s="1863"/>
      <c r="N29" s="1863"/>
      <c r="O29" s="170" t="s">
        <v>107</v>
      </c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C29" s="755">
        <v>70</v>
      </c>
      <c r="AD29" s="756">
        <v>76</v>
      </c>
    </row>
    <row r="30" spans="1:30" ht="15" customHeight="1">
      <c r="B30" s="5"/>
      <c r="C30" s="5" t="s">
        <v>146</v>
      </c>
      <c r="D30" s="5"/>
      <c r="E30" s="5"/>
      <c r="F30" s="5"/>
      <c r="G30" s="5"/>
      <c r="H30" s="5"/>
      <c r="I30" s="5" t="s">
        <v>680</v>
      </c>
      <c r="J30" s="124" t="s">
        <v>681</v>
      </c>
      <c r="L30" s="1863">
        <v>200000</v>
      </c>
      <c r="M30" s="1863"/>
      <c r="N30" s="1863"/>
      <c r="O30" s="5" t="s">
        <v>107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C30" s="755">
        <v>80</v>
      </c>
      <c r="AD30" s="756">
        <v>86</v>
      </c>
    </row>
    <row r="31" spans="1:30" ht="15" customHeight="1" thickBot="1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C31" s="748">
        <v>90</v>
      </c>
      <c r="AD31" s="757">
        <v>96</v>
      </c>
    </row>
    <row r="32" spans="1:30" s="143" customFormat="1" ht="1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" customHeight="1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" customHeight="1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" customHeight="1">
      <c r="A36" s="5"/>
      <c r="B36" s="59"/>
      <c r="C36" s="59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" customHeight="1">
      <c r="A37" s="95" t="s">
        <v>997</v>
      </c>
      <c r="B37" s="170"/>
      <c r="C37" s="170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" customHeight="1">
      <c r="A38" s="5"/>
      <c r="D38" s="5"/>
      <c r="E38" s="5" t="s">
        <v>1013</v>
      </c>
      <c r="F38" s="5"/>
      <c r="G38" s="5"/>
      <c r="H38" s="5"/>
      <c r="L38" s="124" t="s">
        <v>998</v>
      </c>
      <c r="N38" s="5" t="s">
        <v>999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" customHeight="1">
      <c r="A39" s="5"/>
      <c r="D39" s="170"/>
      <c r="E39" s="170" t="s">
        <v>1000</v>
      </c>
      <c r="F39" s="170"/>
      <c r="G39" s="5"/>
      <c r="H39" s="5"/>
      <c r="L39" s="124" t="s">
        <v>998</v>
      </c>
      <c r="N39" s="170" t="s">
        <v>1001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" customHeight="1">
      <c r="A40" s="5"/>
      <c r="D40" s="170"/>
      <c r="E40" s="170" t="s">
        <v>1002</v>
      </c>
      <c r="F40" s="170"/>
      <c r="G40" s="5"/>
      <c r="H40" s="5"/>
      <c r="L40" s="124" t="s">
        <v>998</v>
      </c>
      <c r="N40" s="170" t="s">
        <v>1003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" customHeight="1">
      <c r="A41" s="5"/>
      <c r="D41" s="170"/>
      <c r="E41" s="170" t="s">
        <v>1004</v>
      </c>
      <c r="F41" s="170"/>
      <c r="G41" s="5"/>
      <c r="H41" s="5"/>
      <c r="L41" s="124" t="s">
        <v>998</v>
      </c>
      <c r="N41" s="170" t="s">
        <v>1012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" customHeight="1">
      <c r="A42" s="5"/>
      <c r="B42" s="5"/>
      <c r="C42" s="5"/>
      <c r="D42" s="5"/>
      <c r="E42" s="170" t="s">
        <v>1006</v>
      </c>
      <c r="F42" s="170"/>
      <c r="G42" s="170"/>
      <c r="H42" s="170"/>
      <c r="L42" s="124" t="s">
        <v>998</v>
      </c>
      <c r="M42" s="143"/>
      <c r="N42" s="170" t="s">
        <v>1005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" customHeight="1">
      <c r="A43" s="5"/>
      <c r="B43" s="5"/>
      <c r="C43" s="5"/>
      <c r="D43" s="5"/>
      <c r="E43" s="170" t="s">
        <v>1007</v>
      </c>
      <c r="F43" s="5"/>
      <c r="G43" s="5"/>
      <c r="H43" s="5"/>
      <c r="I43" s="5"/>
      <c r="L43" s="124" t="s">
        <v>998</v>
      </c>
      <c r="M43" s="143"/>
      <c r="N43" s="170" t="s">
        <v>1008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" customHeight="1">
      <c r="A44" s="5"/>
      <c r="B44" s="5"/>
      <c r="C44" s="5"/>
      <c r="D44" s="5"/>
      <c r="E44" s="170" t="s">
        <v>1009</v>
      </c>
      <c r="F44" s="170"/>
      <c r="G44" s="170"/>
      <c r="H44" s="170"/>
      <c r="I44" s="170"/>
      <c r="L44" s="124" t="s">
        <v>998</v>
      </c>
      <c r="M44" s="143"/>
      <c r="N44" s="170" t="s">
        <v>1010</v>
      </c>
      <c r="O44" s="170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" ht="15" customHeight="1">
      <c r="A129" s="5"/>
      <c r="B129" s="5"/>
    </row>
    <row r="130" spans="1:2" ht="15" customHeight="1">
      <c r="A130" s="5"/>
      <c r="B130" s="5"/>
    </row>
    <row r="131" spans="1:2" ht="15" customHeight="1">
      <c r="A131" s="5"/>
      <c r="B131" s="5"/>
    </row>
    <row r="132" spans="1:2" ht="15" customHeight="1">
      <c r="A132" s="5"/>
      <c r="B132" s="5"/>
    </row>
    <row r="133" spans="1:2" ht="15" customHeight="1">
      <c r="A133" s="5"/>
      <c r="B133" s="5"/>
    </row>
    <row r="134" spans="1:2" ht="15" customHeight="1">
      <c r="A134" s="5"/>
      <c r="B134" s="5"/>
    </row>
    <row r="135" spans="1:2" ht="15" customHeight="1">
      <c r="A135" s="5"/>
      <c r="B135" s="5"/>
    </row>
    <row r="136" spans="1:2" ht="15" customHeight="1">
      <c r="A136" s="5"/>
      <c r="B136" s="5"/>
    </row>
    <row r="137" spans="1:2" ht="15" customHeight="1">
      <c r="A137" s="5"/>
      <c r="B137" s="5"/>
    </row>
    <row r="138" spans="1:2" ht="15" customHeight="1">
      <c r="A138" s="5"/>
      <c r="B138" s="5"/>
    </row>
    <row r="139" spans="1:2" ht="15" customHeight="1">
      <c r="A139" s="5"/>
      <c r="B139" s="5"/>
    </row>
    <row r="140" spans="1:2" ht="15" customHeight="1">
      <c r="A140" s="5"/>
      <c r="B140" s="5"/>
    </row>
    <row r="141" spans="1:2" ht="15" customHeight="1">
      <c r="A141" s="5"/>
      <c r="B141" s="5"/>
    </row>
    <row r="142" spans="1:2" ht="15" customHeight="1">
      <c r="A142" s="5"/>
      <c r="B142" s="5"/>
    </row>
    <row r="143" spans="1:2" ht="15" customHeight="1">
      <c r="A143" s="5"/>
      <c r="B143" s="5"/>
    </row>
    <row r="144" spans="1:2" ht="15" customHeight="1">
      <c r="A144" s="5"/>
      <c r="B144" s="5"/>
    </row>
    <row r="145" spans="1:2" ht="15" customHeight="1">
      <c r="A145" s="5"/>
      <c r="B145" s="5"/>
    </row>
    <row r="146" spans="1:2" ht="15" customHeight="1">
      <c r="A146" s="5"/>
      <c r="B146" s="5"/>
    </row>
    <row r="147" spans="1:2" ht="15" customHeight="1">
      <c r="A147" s="5"/>
      <c r="B147" s="5"/>
    </row>
    <row r="148" spans="1:2" ht="15" customHeight="1">
      <c r="A148" s="5"/>
      <c r="B148" s="5"/>
    </row>
    <row r="149" spans="1:2" ht="15" customHeight="1">
      <c r="A149" s="5"/>
      <c r="B149" s="5"/>
    </row>
    <row r="150" spans="1:2" ht="15" customHeight="1">
      <c r="A150" s="5"/>
    </row>
    <row r="269" spans="2:2" ht="15" customHeight="1">
      <c r="B269" s="5"/>
    </row>
    <row r="387" spans="2:2" ht="15" customHeight="1">
      <c r="B387" s="5"/>
    </row>
  </sheetData>
  <mergeCells count="13">
    <mergeCell ref="G7:H7"/>
    <mergeCell ref="L30:N30"/>
    <mergeCell ref="L16:N16"/>
    <mergeCell ref="M19:N19"/>
    <mergeCell ref="M24:N24"/>
    <mergeCell ref="L26:N26"/>
    <mergeCell ref="L21:N21"/>
    <mergeCell ref="L15:N15"/>
    <mergeCell ref="L29:N29"/>
    <mergeCell ref="M20:N20"/>
    <mergeCell ref="M25:N25"/>
    <mergeCell ref="I13:K13"/>
    <mergeCell ref="I14:K14"/>
  </mergeCells>
  <phoneticPr fontId="34" type="noConversion"/>
  <dataValidations count="2">
    <dataValidation type="list" showInputMessage="1" showErrorMessage="1" sqref="F6" xr:uid="{00000000-0002-0000-0200-000000000000}">
      <formula1>$AC$4:$AC$5</formula1>
    </dataValidation>
    <dataValidation type="list" allowBlank="1" showInputMessage="1" showErrorMessage="1" sqref="I13:K14" xr:uid="{86B91D23-1C85-435E-9D01-B46628DB1127}">
      <formula1>$AC$4:$AC$15</formula1>
    </dataValidation>
  </dataValidations>
  <pageMargins left="0.7" right="0.7" top="0.75" bottom="0.75" header="0.3" footer="0.3"/>
  <pageSetup paperSize="9" scale="97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C187"/>
  <sheetViews>
    <sheetView topLeftCell="A88" zoomScaleNormal="100" workbookViewId="0">
      <selection activeCell="C81" sqref="C81"/>
    </sheetView>
  </sheetViews>
  <sheetFormatPr defaultRowHeight="13.5"/>
  <cols>
    <col min="1" max="1" width="7.21875" customWidth="1"/>
    <col min="2" max="2" width="4.6640625" customWidth="1"/>
    <col min="3" max="3" width="81" customWidth="1"/>
  </cols>
  <sheetData>
    <row r="1" s="136" customFormat="1"/>
    <row r="2" s="136" customFormat="1"/>
    <row r="3" s="136" customFormat="1"/>
    <row r="4" s="136" customFormat="1"/>
    <row r="5" s="136" customFormat="1"/>
    <row r="6" s="136" customFormat="1"/>
    <row r="7" s="136" customFormat="1"/>
    <row r="8" s="136" customFormat="1"/>
    <row r="9" s="136" customFormat="1"/>
    <row r="10" s="136" customFormat="1"/>
    <row r="11" s="136" customFormat="1"/>
    <row r="12" s="136" customFormat="1"/>
    <row r="13" s="136" customFormat="1"/>
    <row r="14" s="136" customFormat="1"/>
    <row r="15" s="136" customFormat="1"/>
    <row r="16" s="136" customFormat="1"/>
    <row r="17" spans="1:3" s="136" customFormat="1"/>
    <row r="18" spans="1:3" s="136" customFormat="1"/>
    <row r="19" spans="1:3" s="136" customFormat="1"/>
    <row r="20" spans="1:3" s="136" customFormat="1"/>
    <row r="21" spans="1:3" s="136" customFormat="1"/>
    <row r="22" spans="1:3" s="136" customFormat="1"/>
    <row r="23" spans="1:3" s="136" customFormat="1"/>
    <row r="24" spans="1:3" s="136" customFormat="1"/>
    <row r="25" spans="1:3" s="136" customFormat="1"/>
    <row r="26" spans="1:3" s="136" customFormat="1"/>
    <row r="27" spans="1:3" s="136" customFormat="1"/>
    <row r="28" spans="1:3" s="136" customFormat="1">
      <c r="A28" s="343" t="s">
        <v>1328</v>
      </c>
      <c r="B28" s="343"/>
      <c r="C28" s="343" t="s">
        <v>1329</v>
      </c>
    </row>
    <row r="29" spans="1:3" s="136" customFormat="1">
      <c r="A29" s="343"/>
      <c r="B29" s="343"/>
      <c r="C29" s="343"/>
    </row>
    <row r="30" spans="1:3" s="136" customFormat="1">
      <c r="A30" s="136" t="s">
        <v>1320</v>
      </c>
      <c r="B30" s="136" t="s">
        <v>1166</v>
      </c>
      <c r="C30" s="136" t="s">
        <v>1321</v>
      </c>
    </row>
    <row r="31" spans="1:3" s="136" customFormat="1" ht="15">
      <c r="A31" s="136" t="s">
        <v>1324</v>
      </c>
      <c r="B31" s="136" t="s">
        <v>1166</v>
      </c>
      <c r="C31" s="136" t="s">
        <v>1261</v>
      </c>
    </row>
    <row r="32" spans="1:3" ht="18.75" customHeight="1">
      <c r="A32" s="136" t="s">
        <v>1322</v>
      </c>
      <c r="B32" s="136" t="s">
        <v>1166</v>
      </c>
      <c r="C32" s="136" t="s">
        <v>1255</v>
      </c>
    </row>
    <row r="33" spans="1:3" ht="18.75" customHeight="1">
      <c r="A33" s="136" t="s">
        <v>1323</v>
      </c>
      <c r="B33" s="136" t="s">
        <v>1166</v>
      </c>
      <c r="C33" s="136" t="s">
        <v>1258</v>
      </c>
    </row>
    <row r="34" spans="1:3" ht="18.75" customHeight="1">
      <c r="A34" s="136" t="s">
        <v>1</v>
      </c>
      <c r="B34" s="136" t="s">
        <v>1166</v>
      </c>
      <c r="C34" s="136" t="s">
        <v>1977</v>
      </c>
    </row>
    <row r="35" spans="1:3" ht="18.75" customHeight="1">
      <c r="A35" s="136" t="s">
        <v>1225</v>
      </c>
      <c r="B35" s="136" t="s">
        <v>1166</v>
      </c>
      <c r="C35" s="136" t="s">
        <v>1226</v>
      </c>
    </row>
    <row r="36" spans="1:3" ht="18.75" customHeight="1">
      <c r="A36" s="136" t="s">
        <v>1432</v>
      </c>
      <c r="B36" s="136" t="s">
        <v>1166</v>
      </c>
      <c r="C36" s="136" t="s">
        <v>1331</v>
      </c>
    </row>
    <row r="37" spans="1:3" ht="18.75" customHeight="1">
      <c r="A37" s="136" t="s">
        <v>1222</v>
      </c>
      <c r="B37" s="136" t="s">
        <v>1166</v>
      </c>
      <c r="C37" s="136" t="s">
        <v>1223</v>
      </c>
    </row>
    <row r="38" spans="1:3" ht="18.75" customHeight="1">
      <c r="A38" s="136" t="s">
        <v>0</v>
      </c>
      <c r="B38" s="136" t="s">
        <v>1166</v>
      </c>
      <c r="C38" s="136" t="s">
        <v>1311</v>
      </c>
    </row>
    <row r="39" spans="1:3" ht="18.75" customHeight="1">
      <c r="A39" s="136" t="s">
        <v>2</v>
      </c>
      <c r="B39" s="136" t="s">
        <v>1166</v>
      </c>
      <c r="C39" s="136" t="s">
        <v>1976</v>
      </c>
    </row>
    <row r="40" spans="1:3" ht="18.75" customHeight="1">
      <c r="A40" s="136" t="s">
        <v>1285</v>
      </c>
      <c r="B40" s="136" t="s">
        <v>1166</v>
      </c>
      <c r="C40" s="136" t="s">
        <v>1235</v>
      </c>
    </row>
    <row r="41" spans="1:3" s="136" customFormat="1" ht="18.75" customHeight="1">
      <c r="A41" s="136" t="s">
        <v>1492</v>
      </c>
      <c r="B41" s="136" t="s">
        <v>1166</v>
      </c>
      <c r="C41" s="136" t="s">
        <v>1235</v>
      </c>
    </row>
    <row r="42" spans="1:3" ht="18.75" customHeight="1">
      <c r="A42" s="136" t="s">
        <v>1384</v>
      </c>
      <c r="B42" s="136" t="s">
        <v>1166</v>
      </c>
      <c r="C42" s="136" t="s">
        <v>1076</v>
      </c>
    </row>
    <row r="43" spans="1:3" ht="18.75" customHeight="1">
      <c r="A43" s="136" t="s">
        <v>1284</v>
      </c>
      <c r="B43" s="136" t="s">
        <v>1166</v>
      </c>
      <c r="C43" s="136" t="s">
        <v>1234</v>
      </c>
    </row>
    <row r="44" spans="1:3" ht="18.75" customHeight="1">
      <c r="A44" s="136" t="s">
        <v>1283</v>
      </c>
      <c r="B44" s="136" t="s">
        <v>1166</v>
      </c>
      <c r="C44" s="136" t="s">
        <v>1233</v>
      </c>
    </row>
    <row r="45" spans="1:3" s="136" customFormat="1" ht="18.75" customHeight="1">
      <c r="A45" s="136" t="s">
        <v>1283</v>
      </c>
      <c r="B45" s="136" t="s">
        <v>1166</v>
      </c>
      <c r="C45" s="136" t="s">
        <v>1361</v>
      </c>
    </row>
    <row r="46" spans="1:3" s="136" customFormat="1" ht="18.75" customHeight="1">
      <c r="A46" s="136" t="s">
        <v>1493</v>
      </c>
      <c r="B46" s="136" t="s">
        <v>1166</v>
      </c>
      <c r="C46" s="136" t="s">
        <v>1361</v>
      </c>
    </row>
    <row r="47" spans="1:3" ht="18.75" customHeight="1">
      <c r="A47" s="136" t="s">
        <v>1197</v>
      </c>
      <c r="B47" s="136" t="s">
        <v>1166</v>
      </c>
      <c r="C47" s="136" t="s">
        <v>1198</v>
      </c>
    </row>
    <row r="48" spans="1:3" s="136" customFormat="1" ht="18.75" customHeight="1">
      <c r="A48" s="136" t="s">
        <v>1310</v>
      </c>
      <c r="B48" s="136" t="s">
        <v>1166</v>
      </c>
      <c r="C48" s="136" t="s">
        <v>1238</v>
      </c>
    </row>
    <row r="49" spans="1:3" ht="18.75" customHeight="1">
      <c r="A49" s="136" t="s">
        <v>1308</v>
      </c>
      <c r="B49" s="136" t="s">
        <v>1166</v>
      </c>
      <c r="C49" s="136" t="s">
        <v>1309</v>
      </c>
    </row>
    <row r="50" spans="1:3" s="136" customFormat="1" ht="18.75" customHeight="1">
      <c r="A50" s="136" t="s">
        <v>1477</v>
      </c>
      <c r="B50" s="136" t="s">
        <v>1166</v>
      </c>
      <c r="C50" s="136" t="s">
        <v>1497</v>
      </c>
    </row>
    <row r="51" spans="1:3" s="136" customFormat="1" ht="18.75" customHeight="1">
      <c r="A51" s="136" t="s">
        <v>1474</v>
      </c>
      <c r="B51" s="136" t="s">
        <v>1166</v>
      </c>
      <c r="C51" s="136" t="s">
        <v>1498</v>
      </c>
    </row>
    <row r="52" spans="1:3" ht="18.75" customHeight="1">
      <c r="A52" s="136" t="s">
        <v>5</v>
      </c>
      <c r="B52" s="136" t="s">
        <v>1166</v>
      </c>
      <c r="C52" s="136" t="s">
        <v>1305</v>
      </c>
    </row>
    <row r="53" spans="1:3" s="136" customFormat="1" ht="18.75" customHeight="1">
      <c r="A53" s="136" t="s">
        <v>1444</v>
      </c>
      <c r="B53" s="136" t="s">
        <v>1166</v>
      </c>
      <c r="C53" s="136" t="s">
        <v>1305</v>
      </c>
    </row>
    <row r="54" spans="1:3" ht="18.75" customHeight="1">
      <c r="A54" s="136" t="s">
        <v>1317</v>
      </c>
      <c r="B54" s="136" t="s">
        <v>1166</v>
      </c>
      <c r="C54" s="136" t="s">
        <v>1980</v>
      </c>
    </row>
    <row r="55" spans="1:3" ht="18.75" customHeight="1">
      <c r="A55" s="136" t="s">
        <v>1211</v>
      </c>
      <c r="B55" s="136" t="s">
        <v>1166</v>
      </c>
      <c r="C55" s="136" t="s">
        <v>1212</v>
      </c>
    </row>
    <row r="56" spans="1:3" ht="18.75" customHeight="1">
      <c r="A56" s="136" t="s">
        <v>8</v>
      </c>
      <c r="B56" s="136" t="s">
        <v>1166</v>
      </c>
      <c r="C56" s="136" t="s">
        <v>1275</v>
      </c>
    </row>
    <row r="57" spans="1:3" ht="18.75" customHeight="1">
      <c r="A57" s="136" t="s">
        <v>9</v>
      </c>
      <c r="B57" s="136" t="s">
        <v>1166</v>
      </c>
      <c r="C57" s="136" t="s">
        <v>1277</v>
      </c>
    </row>
    <row r="58" spans="1:3" ht="18.75" customHeight="1">
      <c r="A58" s="136" t="s">
        <v>10</v>
      </c>
      <c r="B58" s="136" t="s">
        <v>1166</v>
      </c>
      <c r="C58" s="136" t="s">
        <v>1279</v>
      </c>
    </row>
    <row r="59" spans="1:3" ht="18.75" customHeight="1">
      <c r="A59" s="136" t="s">
        <v>197</v>
      </c>
      <c r="B59" s="136" t="s">
        <v>1166</v>
      </c>
      <c r="C59" s="136" t="s">
        <v>1326</v>
      </c>
    </row>
    <row r="60" spans="1:3" ht="18.75" customHeight="1">
      <c r="A60" s="136" t="s">
        <v>1213</v>
      </c>
      <c r="B60" s="136" t="s">
        <v>1166</v>
      </c>
      <c r="C60" s="136" t="s">
        <v>1214</v>
      </c>
    </row>
    <row r="61" spans="1:3" ht="18.75" customHeight="1">
      <c r="A61" s="136" t="s">
        <v>1220</v>
      </c>
      <c r="B61" s="136" t="s">
        <v>1166</v>
      </c>
      <c r="C61" s="136" t="s">
        <v>1221</v>
      </c>
    </row>
    <row r="62" spans="1:3" ht="18.75" customHeight="1">
      <c r="A62" s="136" t="s">
        <v>1315</v>
      </c>
      <c r="B62" s="136" t="s">
        <v>1166</v>
      </c>
      <c r="C62" s="136" t="s">
        <v>1316</v>
      </c>
    </row>
    <row r="63" spans="1:3" ht="18.75" customHeight="1">
      <c r="A63" s="136" t="s">
        <v>1230</v>
      </c>
      <c r="B63" s="136" t="s">
        <v>1166</v>
      </c>
      <c r="C63" s="136" t="s">
        <v>1979</v>
      </c>
    </row>
    <row r="64" spans="1:3" ht="18.75" customHeight="1">
      <c r="A64" s="136" t="s">
        <v>1281</v>
      </c>
      <c r="B64" s="136" t="s">
        <v>1166</v>
      </c>
      <c r="C64" s="136" t="s">
        <v>1231</v>
      </c>
    </row>
    <row r="65" spans="1:3" ht="18.75" customHeight="1">
      <c r="A65" s="136" t="s">
        <v>1282</v>
      </c>
      <c r="B65" s="136" t="s">
        <v>1166</v>
      </c>
      <c r="C65" s="136" t="s">
        <v>1232</v>
      </c>
    </row>
    <row r="66" spans="1:3" ht="18.75" customHeight="1">
      <c r="A66" s="136" t="s">
        <v>1312</v>
      </c>
      <c r="B66" s="136" t="s">
        <v>1166</v>
      </c>
      <c r="C66" s="136" t="s">
        <v>1241</v>
      </c>
    </row>
    <row r="67" spans="1:3" ht="18.75" customHeight="1">
      <c r="A67" s="136" t="s">
        <v>11</v>
      </c>
      <c r="B67" s="136" t="s">
        <v>1166</v>
      </c>
      <c r="C67" s="136" t="s">
        <v>1327</v>
      </c>
    </row>
    <row r="68" spans="1:3" ht="18.75" customHeight="1">
      <c r="A68" s="136" t="s">
        <v>1165</v>
      </c>
      <c r="B68" s="136" t="s">
        <v>1166</v>
      </c>
      <c r="C68" s="136" t="s">
        <v>1167</v>
      </c>
    </row>
    <row r="69" spans="1:3" ht="18.75" customHeight="1">
      <c r="A69" s="136" t="s">
        <v>1168</v>
      </c>
      <c r="B69" s="136" t="s">
        <v>1166</v>
      </c>
      <c r="C69" s="136" t="s">
        <v>1169</v>
      </c>
    </row>
    <row r="70" spans="1:3" s="136" customFormat="1" ht="18.75" customHeight="1">
      <c r="A70" s="136" t="s">
        <v>1168</v>
      </c>
      <c r="B70" s="136" t="s">
        <v>1166</v>
      </c>
      <c r="C70" s="136" t="s">
        <v>1253</v>
      </c>
    </row>
    <row r="71" spans="1:3" ht="18.75" customHeight="1">
      <c r="A71" s="136" t="s">
        <v>1170</v>
      </c>
      <c r="B71" s="136" t="s">
        <v>1166</v>
      </c>
      <c r="C71" s="136" t="s">
        <v>1171</v>
      </c>
    </row>
    <row r="72" spans="1:3" ht="18.75" customHeight="1">
      <c r="A72" s="136" t="s">
        <v>1207</v>
      </c>
      <c r="B72" s="136" t="s">
        <v>1166</v>
      </c>
      <c r="C72" s="136" t="s">
        <v>1208</v>
      </c>
    </row>
    <row r="73" spans="1:3" ht="18.75" customHeight="1">
      <c r="A73" s="136" t="s">
        <v>1185</v>
      </c>
      <c r="B73" s="136" t="s">
        <v>1166</v>
      </c>
      <c r="C73" s="136" t="s">
        <v>1186</v>
      </c>
    </row>
    <row r="74" spans="1:3" ht="18.75" customHeight="1">
      <c r="A74" s="136" t="s">
        <v>1172</v>
      </c>
      <c r="B74" s="136" t="s">
        <v>1166</v>
      </c>
      <c r="C74" s="136" t="s">
        <v>1173</v>
      </c>
    </row>
    <row r="75" spans="1:3" ht="18.75" customHeight="1">
      <c r="A75" s="136" t="s">
        <v>1174</v>
      </c>
      <c r="B75" s="136" t="s">
        <v>1166</v>
      </c>
      <c r="C75" s="136" t="s">
        <v>1175</v>
      </c>
    </row>
    <row r="76" spans="1:3" ht="18.75" customHeight="1">
      <c r="A76" s="136" t="s">
        <v>1187</v>
      </c>
      <c r="B76" s="136" t="s">
        <v>1166</v>
      </c>
      <c r="C76" s="136" t="s">
        <v>1188</v>
      </c>
    </row>
    <row r="77" spans="1:3" ht="18.75" customHeight="1">
      <c r="A77" s="136" t="s">
        <v>1189</v>
      </c>
      <c r="B77" s="136" t="s">
        <v>1166</v>
      </c>
      <c r="C77" s="136" t="s">
        <v>1190</v>
      </c>
    </row>
    <row r="78" spans="1:3" ht="18.75" customHeight="1">
      <c r="A78" s="136" t="s">
        <v>1318</v>
      </c>
      <c r="B78" s="136" t="s">
        <v>1166</v>
      </c>
      <c r="C78" s="136" t="s">
        <v>1319</v>
      </c>
    </row>
    <row r="79" spans="1:3" ht="18.75" customHeight="1">
      <c r="A79" s="136" t="s">
        <v>1191</v>
      </c>
      <c r="B79" s="136" t="s">
        <v>1166</v>
      </c>
      <c r="C79" s="136" t="s">
        <v>1192</v>
      </c>
    </row>
    <row r="80" spans="1:3" ht="18.75" customHeight="1">
      <c r="A80" s="136" t="s">
        <v>1193</v>
      </c>
      <c r="B80" s="136" t="s">
        <v>1166</v>
      </c>
      <c r="C80" s="136" t="s">
        <v>1194</v>
      </c>
    </row>
    <row r="81" spans="1:3" ht="18.75" customHeight="1">
      <c r="A81" s="136" t="s">
        <v>1184</v>
      </c>
      <c r="B81" s="136" t="s">
        <v>1166</v>
      </c>
      <c r="C81" s="136" t="s">
        <v>1159</v>
      </c>
    </row>
    <row r="82" spans="1:3" ht="18.75" customHeight="1">
      <c r="A82" s="136" t="s">
        <v>1178</v>
      </c>
      <c r="B82" s="136" t="s">
        <v>1166</v>
      </c>
      <c r="C82" s="136" t="s">
        <v>1179</v>
      </c>
    </row>
    <row r="83" spans="1:3" ht="18.75" customHeight="1">
      <c r="A83" s="136" t="s">
        <v>1176</v>
      </c>
      <c r="B83" s="136" t="s">
        <v>1166</v>
      </c>
      <c r="C83" s="136" t="s">
        <v>1177</v>
      </c>
    </row>
    <row r="84" spans="1:3" ht="18.75" customHeight="1">
      <c r="A84" s="136" t="s">
        <v>1180</v>
      </c>
      <c r="B84" s="136" t="s">
        <v>1166</v>
      </c>
      <c r="C84" s="136" t="s">
        <v>1181</v>
      </c>
    </row>
    <row r="85" spans="1:3" ht="18.75" customHeight="1">
      <c r="A85" s="136" t="s">
        <v>1182</v>
      </c>
      <c r="B85" s="136" t="s">
        <v>1166</v>
      </c>
      <c r="C85" s="136" t="s">
        <v>1183</v>
      </c>
    </row>
    <row r="86" spans="1:3" ht="18.75" customHeight="1">
      <c r="A86" s="136" t="s">
        <v>1435</v>
      </c>
      <c r="B86" s="136" t="s">
        <v>1166</v>
      </c>
      <c r="C86" s="136" t="s">
        <v>1426</v>
      </c>
    </row>
    <row r="87" spans="1:3" ht="18.75" customHeight="1">
      <c r="A87" s="136" t="s">
        <v>1434</v>
      </c>
      <c r="B87" s="136" t="s">
        <v>1166</v>
      </c>
      <c r="C87" s="136" t="s">
        <v>1425</v>
      </c>
    </row>
    <row r="88" spans="1:3" ht="18.75" customHeight="1">
      <c r="A88" s="136" t="s">
        <v>1433</v>
      </c>
      <c r="B88" s="136" t="s">
        <v>1166</v>
      </c>
      <c r="C88" s="136" t="s">
        <v>1367</v>
      </c>
    </row>
    <row r="89" spans="1:3" ht="18.75" customHeight="1">
      <c r="A89" s="136" t="s">
        <v>1227</v>
      </c>
      <c r="B89" s="136" t="s">
        <v>1166</v>
      </c>
      <c r="C89" s="136" t="s">
        <v>1228</v>
      </c>
    </row>
    <row r="90" spans="1:3" ht="18.75" customHeight="1">
      <c r="A90" s="136" t="s">
        <v>1195</v>
      </c>
      <c r="B90" s="136" t="s">
        <v>1166</v>
      </c>
      <c r="C90" s="136" t="s">
        <v>1196</v>
      </c>
    </row>
    <row r="91" spans="1:3" ht="18.75" customHeight="1">
      <c r="A91" s="136" t="s">
        <v>1205</v>
      </c>
      <c r="B91" s="136" t="s">
        <v>1166</v>
      </c>
      <c r="C91" s="136" t="s">
        <v>1206</v>
      </c>
    </row>
    <row r="92" spans="1:3" ht="18.75" customHeight="1">
      <c r="A92" s="136" t="s">
        <v>1203</v>
      </c>
      <c r="B92" s="136" t="s">
        <v>1166</v>
      </c>
      <c r="C92" s="136" t="s">
        <v>1204</v>
      </c>
    </row>
    <row r="93" spans="1:3" ht="18.75" customHeight="1">
      <c r="A93" s="136" t="s">
        <v>1201</v>
      </c>
      <c r="B93" s="136" t="s">
        <v>1166</v>
      </c>
      <c r="C93" s="136" t="s">
        <v>1202</v>
      </c>
    </row>
    <row r="94" spans="1:3" ht="18.75" customHeight="1">
      <c r="A94" s="136" t="s">
        <v>1199</v>
      </c>
      <c r="B94" s="136" t="s">
        <v>1166</v>
      </c>
      <c r="C94" s="136" t="s">
        <v>1200</v>
      </c>
    </row>
    <row r="95" spans="1:3" ht="18.75" customHeight="1">
      <c r="A95" s="136" t="s">
        <v>1313</v>
      </c>
      <c r="B95" s="136" t="s">
        <v>1166</v>
      </c>
      <c r="C95" s="136" t="s">
        <v>1243</v>
      </c>
    </row>
    <row r="96" spans="1:3" ht="18.75" customHeight="1">
      <c r="A96" s="136" t="s">
        <v>1314</v>
      </c>
      <c r="B96" s="136" t="s">
        <v>1166</v>
      </c>
      <c r="C96" s="136" t="s">
        <v>1245</v>
      </c>
    </row>
    <row r="97" spans="1:3" ht="18.75" customHeight="1">
      <c r="A97" s="136" t="s">
        <v>1158</v>
      </c>
      <c r="B97" s="136" t="s">
        <v>1166</v>
      </c>
      <c r="C97" s="136" t="s">
        <v>1229</v>
      </c>
    </row>
    <row r="98" spans="1:3" ht="18.75" customHeight="1">
      <c r="A98" s="136" t="s">
        <v>332</v>
      </c>
      <c r="B98" s="136" t="s">
        <v>1166</v>
      </c>
      <c r="C98" s="136" t="s">
        <v>1431</v>
      </c>
    </row>
    <row r="99" spans="1:3" ht="18.75" customHeight="1">
      <c r="A99" s="136" t="s">
        <v>1267</v>
      </c>
      <c r="B99" s="136" t="s">
        <v>1166</v>
      </c>
      <c r="C99" s="136" t="s">
        <v>1269</v>
      </c>
    </row>
    <row r="100" spans="1:3" ht="18.75" customHeight="1">
      <c r="A100" s="136" t="s">
        <v>1429</v>
      </c>
      <c r="B100" s="136" t="s">
        <v>1166</v>
      </c>
      <c r="C100" s="136" t="s">
        <v>1430</v>
      </c>
    </row>
    <row r="101" spans="1:3" ht="18.75" customHeight="1">
      <c r="A101" s="136" t="s">
        <v>1263</v>
      </c>
      <c r="B101" s="136" t="s">
        <v>1166</v>
      </c>
      <c r="C101" s="136" t="s">
        <v>1265</v>
      </c>
    </row>
    <row r="102" spans="1:3" ht="18.75" customHeight="1">
      <c r="A102" s="136" t="s">
        <v>1295</v>
      </c>
      <c r="B102" s="136" t="s">
        <v>1166</v>
      </c>
      <c r="C102" s="136" t="s">
        <v>1296</v>
      </c>
    </row>
    <row r="103" spans="1:3" ht="18.75" customHeight="1">
      <c r="A103" s="136" t="s">
        <v>1291</v>
      </c>
      <c r="B103" s="136" t="s">
        <v>1166</v>
      </c>
      <c r="C103" s="136" t="s">
        <v>1292</v>
      </c>
    </row>
    <row r="104" spans="1:3" ht="18.75" customHeight="1">
      <c r="A104" s="136" t="s">
        <v>1301</v>
      </c>
      <c r="B104" s="136" t="s">
        <v>1166</v>
      </c>
      <c r="C104" s="136" t="s">
        <v>1302</v>
      </c>
    </row>
    <row r="105" spans="1:3" ht="18.75" customHeight="1">
      <c r="A105" s="136" t="s">
        <v>1299</v>
      </c>
      <c r="B105" s="136" t="s">
        <v>1166</v>
      </c>
      <c r="C105" s="136" t="s">
        <v>1300</v>
      </c>
    </row>
    <row r="106" spans="1:3" ht="18.75" customHeight="1">
      <c r="A106" s="136" t="s">
        <v>1297</v>
      </c>
      <c r="B106" s="136" t="s">
        <v>1166</v>
      </c>
      <c r="C106" s="136" t="s">
        <v>1298</v>
      </c>
    </row>
    <row r="107" spans="1:3" ht="18.75" customHeight="1">
      <c r="A107" s="136" t="s">
        <v>1360</v>
      </c>
      <c r="B107" s="136" t="s">
        <v>1166</v>
      </c>
      <c r="C107" s="136" t="s">
        <v>1304</v>
      </c>
    </row>
    <row r="108" spans="1:3" ht="18.75" customHeight="1">
      <c r="A108" s="136" t="s">
        <v>1359</v>
      </c>
      <c r="B108" s="136" t="s">
        <v>1166</v>
      </c>
      <c r="C108" s="136" t="s">
        <v>1303</v>
      </c>
    </row>
    <row r="109" spans="1:3" ht="18.75" customHeight="1">
      <c r="A109" s="136" t="s">
        <v>1289</v>
      </c>
      <c r="B109" s="136" t="s">
        <v>1166</v>
      </c>
      <c r="C109" s="136" t="s">
        <v>1290</v>
      </c>
    </row>
    <row r="110" spans="1:3" ht="18.75" customHeight="1">
      <c r="A110" s="136" t="s">
        <v>1293</v>
      </c>
      <c r="B110" s="136" t="s">
        <v>1166</v>
      </c>
      <c r="C110" s="136" t="s">
        <v>1294</v>
      </c>
    </row>
    <row r="111" spans="1:3" ht="18.75" customHeight="1">
      <c r="A111" s="136" t="s">
        <v>1217</v>
      </c>
      <c r="B111" s="136" t="s">
        <v>1166</v>
      </c>
      <c r="C111" s="136" t="s">
        <v>1218</v>
      </c>
    </row>
    <row r="112" spans="1:3" ht="18.75" customHeight="1">
      <c r="A112" s="136" t="s">
        <v>1219</v>
      </c>
      <c r="B112" s="136" t="s">
        <v>1166</v>
      </c>
      <c r="C112" s="136" t="s">
        <v>1218</v>
      </c>
    </row>
    <row r="113" spans="1:3" ht="15">
      <c r="A113" s="136" t="s">
        <v>1209</v>
      </c>
      <c r="B113" s="136" t="s">
        <v>1166</v>
      </c>
      <c r="C113" s="136" t="s">
        <v>1210</v>
      </c>
    </row>
    <row r="114" spans="1:3">
      <c r="A114" s="136" t="s">
        <v>33</v>
      </c>
      <c r="B114" s="136" t="s">
        <v>1166</v>
      </c>
      <c r="C114" s="136" t="s">
        <v>1250</v>
      </c>
    </row>
    <row r="115" spans="1:3" ht="15">
      <c r="A115" s="136" t="s">
        <v>1215</v>
      </c>
      <c r="B115" s="136" t="s">
        <v>1166</v>
      </c>
      <c r="C115" s="136" t="s">
        <v>1216</v>
      </c>
    </row>
    <row r="116" spans="1:3">
      <c r="A116" s="136" t="s">
        <v>1224</v>
      </c>
      <c r="B116" s="136" t="s">
        <v>1166</v>
      </c>
      <c r="C116" s="136" t="s">
        <v>1161</v>
      </c>
    </row>
    <row r="117" spans="1:3" s="136" customFormat="1" ht="16.5">
      <c r="A117" s="136" t="s">
        <v>1495</v>
      </c>
      <c r="B117" s="136" t="s">
        <v>1166</v>
      </c>
      <c r="C117" s="136" t="s">
        <v>1496</v>
      </c>
    </row>
    <row r="118" spans="1:3" s="136" customFormat="1" ht="15">
      <c r="A118" s="136" t="s">
        <v>1287</v>
      </c>
      <c r="B118" s="136" t="s">
        <v>1166</v>
      </c>
      <c r="C118" s="136" t="s">
        <v>1236</v>
      </c>
    </row>
    <row r="119" spans="1:3" ht="15">
      <c r="A119" s="136" t="s">
        <v>1306</v>
      </c>
      <c r="B119" s="136" t="s">
        <v>1166</v>
      </c>
      <c r="C119" s="136" t="s">
        <v>1307</v>
      </c>
    </row>
    <row r="120" spans="1:3" ht="15">
      <c r="A120" s="136" t="s">
        <v>1437</v>
      </c>
      <c r="B120" s="136" t="s">
        <v>1166</v>
      </c>
      <c r="C120" s="136" t="s">
        <v>1428</v>
      </c>
    </row>
    <row r="121" spans="1:3" ht="15">
      <c r="A121" s="136" t="s">
        <v>1436</v>
      </c>
      <c r="B121" s="136" t="s">
        <v>1166</v>
      </c>
      <c r="C121" s="136" t="s">
        <v>1427</v>
      </c>
    </row>
    <row r="122" spans="1:3" ht="15">
      <c r="A122" s="136" t="s">
        <v>1286</v>
      </c>
      <c r="B122" s="136" t="s">
        <v>1166</v>
      </c>
      <c r="C122" s="136" t="s">
        <v>1362</v>
      </c>
    </row>
    <row r="123" spans="1:3" ht="15">
      <c r="A123" s="136" t="s">
        <v>1286</v>
      </c>
      <c r="B123" s="136" t="s">
        <v>1166</v>
      </c>
      <c r="C123" s="136" t="s">
        <v>1363</v>
      </c>
    </row>
    <row r="124" spans="1:3" s="136" customFormat="1" ht="15">
      <c r="A124" s="136" t="s">
        <v>1494</v>
      </c>
      <c r="B124" s="136" t="s">
        <v>1166</v>
      </c>
      <c r="C124" s="136" t="s">
        <v>1363</v>
      </c>
    </row>
    <row r="125" spans="1:3" ht="15">
      <c r="A125" s="136" t="s">
        <v>1288</v>
      </c>
      <c r="B125" s="136" t="s">
        <v>1166</v>
      </c>
      <c r="C125" s="136" t="s">
        <v>1237</v>
      </c>
    </row>
    <row r="126" spans="1:3" ht="15">
      <c r="A126" s="136" t="s">
        <v>1325</v>
      </c>
      <c r="B126" s="136" t="s">
        <v>1166</v>
      </c>
      <c r="C126" s="136" t="s">
        <v>1271</v>
      </c>
    </row>
    <row r="127" spans="1:3">
      <c r="A127" s="136" t="s">
        <v>1156</v>
      </c>
      <c r="B127" s="136" t="s">
        <v>1166</v>
      </c>
      <c r="C127" s="136" t="s">
        <v>1445</v>
      </c>
    </row>
    <row r="128" spans="1:3">
      <c r="A128" s="136" t="s">
        <v>1156</v>
      </c>
      <c r="B128" s="136" t="s">
        <v>1166</v>
      </c>
      <c r="C128" s="136" t="s">
        <v>1978</v>
      </c>
    </row>
    <row r="129" spans="1:3" ht="16.5">
      <c r="A129" s="449" t="s">
        <v>1366</v>
      </c>
      <c r="B129" s="136" t="s">
        <v>1166</v>
      </c>
      <c r="C129" s="136" t="s">
        <v>1273</v>
      </c>
    </row>
    <row r="130" spans="1:3">
      <c r="A130" s="136"/>
      <c r="B130" s="136"/>
      <c r="C130" s="136"/>
    </row>
    <row r="131" spans="1:3">
      <c r="A131" s="136"/>
      <c r="B131" s="136"/>
      <c r="C131" s="136"/>
    </row>
    <row r="132" spans="1:3">
      <c r="A132" s="136"/>
      <c r="B132" s="136"/>
      <c r="C132" s="136"/>
    </row>
    <row r="133" spans="1:3">
      <c r="A133" s="136"/>
      <c r="B133" s="136"/>
      <c r="C133" s="136"/>
    </row>
    <row r="134" spans="1:3">
      <c r="A134" s="136"/>
      <c r="B134" s="136"/>
      <c r="C134" s="136"/>
    </row>
    <row r="135" spans="1:3">
      <c r="A135" s="136"/>
      <c r="B135" s="136"/>
      <c r="C135" s="136"/>
    </row>
    <row r="136" spans="1:3">
      <c r="A136" s="136"/>
      <c r="B136" s="136"/>
      <c r="C136" s="136"/>
    </row>
    <row r="137" spans="1:3">
      <c r="A137" s="136"/>
      <c r="B137" s="136"/>
      <c r="C137" s="136"/>
    </row>
    <row r="138" spans="1:3">
      <c r="A138" s="136"/>
      <c r="B138" s="136"/>
      <c r="C138" s="136"/>
    </row>
    <row r="139" spans="1:3">
      <c r="A139" s="136"/>
      <c r="B139" s="136"/>
      <c r="C139" s="136"/>
    </row>
    <row r="140" spans="1:3">
      <c r="A140" s="136"/>
      <c r="B140" s="136"/>
      <c r="C140" s="136"/>
    </row>
    <row r="141" spans="1:3">
      <c r="A141" s="136"/>
      <c r="B141" s="136"/>
      <c r="C141" s="136"/>
    </row>
    <row r="142" spans="1:3">
      <c r="A142" s="136"/>
      <c r="B142" s="136"/>
      <c r="C142" s="136"/>
    </row>
    <row r="143" spans="1:3">
      <c r="A143" s="136"/>
      <c r="B143" s="136"/>
      <c r="C143" s="136"/>
    </row>
    <row r="144" spans="1:3">
      <c r="A144" s="136"/>
      <c r="B144" s="136"/>
      <c r="C144" s="136"/>
    </row>
    <row r="145" spans="1:3">
      <c r="A145" s="136"/>
      <c r="B145" s="136"/>
      <c r="C145" s="136"/>
    </row>
    <row r="146" spans="1:3">
      <c r="A146" s="136"/>
      <c r="B146" s="136"/>
      <c r="C146" s="136"/>
    </row>
    <row r="147" spans="1:3">
      <c r="A147" s="136"/>
      <c r="B147" s="136"/>
      <c r="C147" s="136"/>
    </row>
    <row r="148" spans="1:3">
      <c r="A148" s="136"/>
      <c r="B148" s="136"/>
      <c r="C148" s="136"/>
    </row>
    <row r="149" spans="1:3">
      <c r="A149" s="136"/>
      <c r="B149" s="136"/>
      <c r="C149" s="136"/>
    </row>
    <row r="150" spans="1:3">
      <c r="A150" s="136"/>
      <c r="B150" s="136"/>
      <c r="C150" s="136"/>
    </row>
    <row r="151" spans="1:3">
      <c r="A151" s="136"/>
      <c r="B151" s="136"/>
      <c r="C151" s="136"/>
    </row>
    <row r="152" spans="1:3">
      <c r="A152" s="136"/>
      <c r="B152" s="136"/>
      <c r="C152" s="136"/>
    </row>
    <row r="153" spans="1:3">
      <c r="A153" s="136"/>
      <c r="B153" s="136"/>
      <c r="C153" s="136"/>
    </row>
    <row r="154" spans="1:3">
      <c r="A154" s="136"/>
      <c r="B154" s="136"/>
      <c r="C154" s="136"/>
    </row>
    <row r="155" spans="1:3">
      <c r="A155" s="136"/>
      <c r="B155" s="136"/>
      <c r="C155" s="136"/>
    </row>
    <row r="156" spans="1:3">
      <c r="A156" s="136"/>
      <c r="B156" s="136"/>
      <c r="C156" s="136"/>
    </row>
    <row r="157" spans="1:3">
      <c r="A157" s="136"/>
      <c r="B157" s="136"/>
      <c r="C157" s="136"/>
    </row>
    <row r="158" spans="1:3">
      <c r="A158" s="136"/>
      <c r="B158" s="136"/>
      <c r="C158" s="136"/>
    </row>
    <row r="159" spans="1:3">
      <c r="A159" s="136"/>
      <c r="B159" s="136"/>
      <c r="C159" s="136"/>
    </row>
    <row r="160" spans="1:3">
      <c r="A160" s="136"/>
      <c r="B160" s="136"/>
      <c r="C160" s="136"/>
    </row>
    <row r="161" spans="1:3">
      <c r="A161" s="136"/>
      <c r="B161" s="136"/>
      <c r="C161" s="136"/>
    </row>
    <row r="162" spans="1:3">
      <c r="A162" s="136"/>
      <c r="B162" s="136"/>
      <c r="C162" s="136"/>
    </row>
    <row r="163" spans="1:3">
      <c r="A163" s="136"/>
      <c r="B163" s="136"/>
      <c r="C163" s="136"/>
    </row>
    <row r="164" spans="1:3">
      <c r="A164" s="136"/>
      <c r="B164" s="136"/>
      <c r="C164" s="136"/>
    </row>
    <row r="165" spans="1:3">
      <c r="A165" s="136"/>
      <c r="B165" s="136"/>
      <c r="C165" s="136"/>
    </row>
    <row r="166" spans="1:3">
      <c r="A166" s="136"/>
      <c r="B166" s="136"/>
      <c r="C166" s="136"/>
    </row>
    <row r="167" spans="1:3">
      <c r="A167" s="136"/>
      <c r="B167" s="136"/>
      <c r="C167" s="136"/>
    </row>
    <row r="168" spans="1:3">
      <c r="A168" s="136"/>
      <c r="B168" s="136"/>
      <c r="C168" s="136"/>
    </row>
    <row r="169" spans="1:3">
      <c r="A169" s="136"/>
      <c r="B169" s="136"/>
      <c r="C169" s="136"/>
    </row>
    <row r="170" spans="1:3">
      <c r="A170" s="136"/>
      <c r="B170" s="136"/>
      <c r="C170" s="136"/>
    </row>
    <row r="171" spans="1:3">
      <c r="A171" s="136"/>
      <c r="B171" s="136"/>
      <c r="C171" s="136"/>
    </row>
    <row r="172" spans="1:3">
      <c r="A172" s="136"/>
      <c r="B172" s="136"/>
      <c r="C172" s="136"/>
    </row>
    <row r="173" spans="1:3">
      <c r="A173" s="136"/>
      <c r="B173" s="136"/>
      <c r="C173" s="136"/>
    </row>
    <row r="174" spans="1:3">
      <c r="A174" s="136"/>
      <c r="B174" s="136"/>
      <c r="C174" s="136"/>
    </row>
    <row r="175" spans="1:3">
      <c r="A175" s="136"/>
      <c r="B175" s="136"/>
      <c r="C175" s="136"/>
    </row>
    <row r="176" spans="1:3">
      <c r="A176" s="136"/>
      <c r="B176" s="136"/>
      <c r="C176" s="136"/>
    </row>
    <row r="177" spans="1:3">
      <c r="A177" s="136"/>
      <c r="B177" s="136"/>
      <c r="C177" s="136"/>
    </row>
    <row r="178" spans="1:3">
      <c r="A178" s="136"/>
      <c r="B178" s="136"/>
      <c r="C178" s="136"/>
    </row>
    <row r="179" spans="1:3">
      <c r="A179" s="136"/>
      <c r="B179" s="136"/>
      <c r="C179" s="136"/>
    </row>
    <row r="180" spans="1:3">
      <c r="A180" s="136"/>
      <c r="B180" s="136"/>
      <c r="C180" s="136"/>
    </row>
    <row r="181" spans="1:3">
      <c r="A181" s="136"/>
      <c r="B181" s="136"/>
      <c r="C181" s="136"/>
    </row>
    <row r="182" spans="1:3">
      <c r="A182" s="136"/>
      <c r="B182" s="136"/>
      <c r="C182" s="136"/>
    </row>
    <row r="183" spans="1:3">
      <c r="A183" s="136"/>
      <c r="B183" s="136"/>
      <c r="C183" s="136"/>
    </row>
    <row r="184" spans="1:3">
      <c r="A184" s="136"/>
      <c r="B184" s="136"/>
      <c r="C184" s="136"/>
    </row>
    <row r="185" spans="1:3">
      <c r="A185" s="136"/>
      <c r="B185" s="136"/>
      <c r="C185" s="136"/>
    </row>
    <row r="186" spans="1:3">
      <c r="A186" s="136"/>
      <c r="B186" s="136"/>
      <c r="C186" s="136"/>
    </row>
    <row r="187" spans="1:3">
      <c r="A187" s="136"/>
      <c r="B187" s="136"/>
      <c r="C187" s="136"/>
    </row>
  </sheetData>
  <sortState xmlns:xlrd2="http://schemas.microsoft.com/office/spreadsheetml/2017/richdata2" ref="A2:C154">
    <sortCondition ref="A2:A154"/>
  </sortState>
  <phoneticPr fontId="3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BB670"/>
  <sheetViews>
    <sheetView showGridLines="0" view="pageBreakPreview" topLeftCell="A187" zoomScale="112" zoomScaleNormal="100" zoomScaleSheetLayoutView="112" workbookViewId="0">
      <selection activeCell="F196" sqref="F196"/>
    </sheetView>
  </sheetViews>
  <sheetFormatPr defaultColWidth="9.77734375" defaultRowHeight="15" customHeight="1"/>
  <cols>
    <col min="1" max="2" width="5.33203125" style="143" customWidth="1"/>
    <col min="3" max="3" width="5.88671875" style="143" customWidth="1"/>
    <col min="4" max="4" width="5.33203125" style="143" customWidth="1"/>
    <col min="5" max="5" width="5.88671875" style="143" customWidth="1"/>
    <col min="6" max="7" width="5.33203125" style="143" customWidth="1"/>
    <col min="8" max="9" width="5.77734375" style="143" customWidth="1"/>
    <col min="10" max="11" width="5.33203125" style="143" customWidth="1"/>
    <col min="12" max="12" width="5.33203125" style="156" customWidth="1"/>
    <col min="13" max="13" width="5.5546875" style="143" customWidth="1"/>
    <col min="14" max="14" width="5.21875" style="143" customWidth="1"/>
    <col min="15" max="16" width="5.77734375" style="143" customWidth="1"/>
    <col min="17" max="17" width="4.77734375" style="143" customWidth="1"/>
    <col min="18" max="23" width="4.77734375" style="73" customWidth="1"/>
    <col min="24" max="24" width="4.77734375" style="463" customWidth="1"/>
    <col min="25" max="25" width="4.77734375" style="73" customWidth="1"/>
    <col min="26" max="26" width="4.77734375" style="463" customWidth="1"/>
    <col min="27" max="28" width="4.77734375" style="73" customWidth="1"/>
    <col min="29" max="29" width="4.77734375" style="463" customWidth="1"/>
    <col min="30" max="52" width="4.77734375" style="73" customWidth="1"/>
    <col min="53" max="54" width="5.33203125" style="73" customWidth="1"/>
    <col min="55" max="64" width="5.33203125" style="143" customWidth="1"/>
    <col min="65" max="79" width="2.77734375" style="143" customWidth="1"/>
    <col min="80" max="16384" width="9.77734375" style="143"/>
  </cols>
  <sheetData>
    <row r="1" spans="1:43" ht="20.100000000000001" customHeight="1">
      <c r="A1" s="1178"/>
      <c r="B1" s="1179">
        <v>5</v>
      </c>
      <c r="C1" s="1180" t="s">
        <v>2468</v>
      </c>
      <c r="D1" s="1181"/>
      <c r="E1" s="1181"/>
      <c r="F1" s="1181"/>
      <c r="G1" s="1181"/>
      <c r="H1" s="1181"/>
      <c r="I1" s="1181"/>
      <c r="J1" s="1181"/>
      <c r="K1" s="1181"/>
      <c r="L1" s="1181"/>
      <c r="M1" s="1181"/>
      <c r="N1" s="1181"/>
      <c r="O1" s="1181"/>
      <c r="P1" s="73"/>
      <c r="Q1" s="73"/>
      <c r="X1" s="73"/>
      <c r="Z1" s="73"/>
      <c r="AQ1" s="76"/>
    </row>
    <row r="2" spans="1:43" ht="15" customHeight="1">
      <c r="A2" s="78"/>
      <c r="B2" s="96"/>
      <c r="C2" s="160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AQ2" s="76"/>
    </row>
    <row r="3" spans="1:43" ht="15" customHeight="1">
      <c r="A3" s="1182" t="s">
        <v>2469</v>
      </c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X3" s="559"/>
      <c r="Z3" s="559"/>
      <c r="AC3" s="559"/>
      <c r="AQ3" s="76"/>
    </row>
    <row r="4" spans="1:43" ht="15" customHeight="1">
      <c r="A4" s="1182"/>
      <c r="B4" s="161" t="s">
        <v>2471</v>
      </c>
      <c r="C4" s="161"/>
      <c r="D4" s="161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X4" s="559"/>
      <c r="Z4" s="559"/>
      <c r="AC4" s="559"/>
      <c r="AQ4" s="76"/>
    </row>
    <row r="5" spans="1:43" ht="15" customHeight="1">
      <c r="B5" s="161"/>
      <c r="C5" s="161" t="s">
        <v>295</v>
      </c>
      <c r="D5" s="161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X5" s="559"/>
      <c r="Z5" s="559"/>
      <c r="AC5" s="559"/>
      <c r="AQ5" s="76"/>
    </row>
    <row r="6" spans="1:43" ht="15" customHeight="1">
      <c r="A6" s="161"/>
      <c r="B6" s="161"/>
      <c r="C6" s="161" t="s">
        <v>296</v>
      </c>
      <c r="D6" s="161"/>
      <c r="E6" s="161"/>
      <c r="F6" s="161"/>
      <c r="G6" s="161"/>
      <c r="H6" s="161"/>
      <c r="I6" s="161"/>
      <c r="J6" s="144"/>
      <c r="K6" s="144"/>
      <c r="L6" s="144"/>
      <c r="M6" s="144"/>
      <c r="N6" s="144"/>
      <c r="O6" s="144"/>
      <c r="AQ6" s="76"/>
    </row>
    <row r="7" spans="1:43" ht="15" customHeight="1">
      <c r="A7" s="161"/>
      <c r="B7" s="161"/>
      <c r="C7" s="161" t="s">
        <v>297</v>
      </c>
      <c r="D7" s="161"/>
      <c r="E7" s="161"/>
      <c r="F7" s="161"/>
      <c r="G7" s="161"/>
      <c r="H7" s="161"/>
      <c r="I7" s="161"/>
      <c r="J7" s="144"/>
      <c r="K7" s="144"/>
      <c r="L7" s="144"/>
      <c r="M7" s="144"/>
      <c r="N7" s="144"/>
      <c r="O7" s="144"/>
      <c r="AQ7" s="76"/>
    </row>
    <row r="8" spans="1:43" ht="15" customHeight="1">
      <c r="A8" s="161"/>
      <c r="B8" s="161"/>
      <c r="C8" s="161" t="s">
        <v>298</v>
      </c>
      <c r="D8" s="161"/>
      <c r="E8" s="161"/>
      <c r="F8" s="161"/>
      <c r="G8" s="161"/>
      <c r="H8" s="161"/>
      <c r="I8" s="161"/>
      <c r="J8" s="144"/>
      <c r="K8" s="144"/>
      <c r="L8" s="144"/>
      <c r="M8" s="144"/>
      <c r="N8" s="144"/>
      <c r="O8" s="144"/>
      <c r="AQ8" s="76"/>
    </row>
    <row r="9" spans="1:43" ht="15" customHeight="1">
      <c r="A9" s="161"/>
      <c r="C9" s="161"/>
      <c r="F9" s="81" t="s">
        <v>303</v>
      </c>
      <c r="G9" s="161"/>
      <c r="H9" s="161"/>
      <c r="I9" s="161"/>
      <c r="J9" s="144"/>
      <c r="K9" s="144"/>
      <c r="L9" s="144"/>
      <c r="M9" s="144"/>
      <c r="N9" s="144"/>
      <c r="O9" s="144"/>
      <c r="AQ9" s="76"/>
    </row>
    <row r="10" spans="1:43" ht="15" customHeight="1">
      <c r="A10" s="161"/>
      <c r="E10" s="89" t="s">
        <v>2477</v>
      </c>
      <c r="F10" s="81" t="s">
        <v>1440</v>
      </c>
      <c r="G10" s="161"/>
      <c r="H10" s="161"/>
      <c r="I10" s="161"/>
      <c r="J10" s="144"/>
      <c r="K10" s="144"/>
      <c r="L10" s="144"/>
      <c r="M10" s="144"/>
      <c r="N10" s="144"/>
      <c r="O10" s="144"/>
      <c r="AQ10" s="76"/>
    </row>
    <row r="11" spans="1:43" ht="15" customHeight="1">
      <c r="A11" s="161"/>
      <c r="C11" s="161"/>
      <c r="F11" s="81" t="s">
        <v>1442</v>
      </c>
      <c r="G11" s="161"/>
      <c r="H11" s="161"/>
      <c r="I11" s="161"/>
      <c r="J11" s="170"/>
      <c r="K11" s="170"/>
      <c r="L11" s="170"/>
      <c r="M11" s="170"/>
      <c r="N11" s="170"/>
      <c r="O11" s="170"/>
      <c r="X11" s="559"/>
      <c r="Z11" s="559"/>
      <c r="AC11" s="559"/>
      <c r="AQ11" s="76"/>
    </row>
    <row r="12" spans="1:43" ht="15" customHeight="1">
      <c r="A12" s="161"/>
      <c r="B12" s="161"/>
      <c r="C12" s="161"/>
      <c r="D12" s="161"/>
      <c r="E12" s="161"/>
      <c r="F12" s="161"/>
      <c r="G12" s="161"/>
      <c r="H12" s="161"/>
      <c r="I12" s="161"/>
      <c r="J12" s="170"/>
      <c r="K12" s="170"/>
      <c r="L12" s="170"/>
      <c r="M12" s="170"/>
      <c r="N12" s="170"/>
      <c r="O12" s="170"/>
      <c r="X12" s="559"/>
      <c r="Z12" s="559"/>
      <c r="AC12" s="559"/>
      <c r="AQ12" s="76"/>
    </row>
    <row r="13" spans="1:43" ht="15" customHeight="1">
      <c r="A13" s="161"/>
      <c r="B13" s="161" t="s">
        <v>2472</v>
      </c>
      <c r="C13" s="161"/>
      <c r="D13" s="161"/>
      <c r="E13" s="161"/>
      <c r="F13" s="161"/>
      <c r="I13" s="161"/>
      <c r="J13" s="170"/>
      <c r="K13" s="170"/>
      <c r="L13" s="170"/>
      <c r="M13" s="170"/>
      <c r="N13" s="170"/>
      <c r="O13" s="170"/>
      <c r="X13" s="559"/>
      <c r="Z13" s="559"/>
      <c r="AC13" s="559"/>
      <c r="AQ13" s="76"/>
    </row>
    <row r="14" spans="1:43" ht="15" customHeight="1">
      <c r="A14" s="161"/>
      <c r="B14" s="161"/>
      <c r="C14" s="161" t="s">
        <v>299</v>
      </c>
      <c r="D14" s="161"/>
      <c r="E14" s="161"/>
      <c r="F14" s="161"/>
      <c r="I14" s="161"/>
      <c r="J14" s="170"/>
      <c r="K14" s="170"/>
      <c r="L14" s="170"/>
      <c r="M14" s="170"/>
      <c r="N14" s="170"/>
      <c r="O14" s="170"/>
      <c r="X14" s="559"/>
      <c r="Z14" s="559"/>
      <c r="AC14" s="559"/>
      <c r="AQ14" s="76"/>
    </row>
    <row r="15" spans="1:43" ht="15" customHeight="1">
      <c r="A15" s="161"/>
      <c r="B15" s="161"/>
      <c r="C15" s="161" t="s">
        <v>300</v>
      </c>
      <c r="D15" s="161"/>
      <c r="E15" s="161"/>
      <c r="F15" s="161"/>
      <c r="I15" s="161"/>
      <c r="J15" s="170"/>
      <c r="K15" s="170"/>
      <c r="L15" s="170"/>
      <c r="M15" s="170"/>
      <c r="N15" s="170"/>
      <c r="O15" s="170"/>
      <c r="X15" s="559"/>
      <c r="Z15" s="559"/>
      <c r="AC15" s="559"/>
      <c r="AQ15" s="76"/>
    </row>
    <row r="16" spans="1:43" ht="15" customHeight="1">
      <c r="A16" s="161"/>
      <c r="B16" s="161"/>
      <c r="C16" s="161" t="s">
        <v>301</v>
      </c>
      <c r="D16" s="161"/>
      <c r="E16" s="161"/>
      <c r="F16" s="161"/>
      <c r="G16" s="161"/>
      <c r="H16" s="161"/>
      <c r="I16" s="161"/>
      <c r="J16" s="170"/>
      <c r="K16" s="170"/>
      <c r="L16" s="170"/>
      <c r="M16" s="170"/>
      <c r="N16" s="170"/>
      <c r="O16" s="170"/>
      <c r="X16" s="559"/>
      <c r="Z16" s="559"/>
      <c r="AC16" s="559"/>
      <c r="AQ16" s="76"/>
    </row>
    <row r="17" spans="1:43" ht="15" customHeight="1">
      <c r="A17" s="161"/>
      <c r="B17" s="161"/>
      <c r="C17" s="161" t="s">
        <v>302</v>
      </c>
      <c r="D17" s="161"/>
      <c r="E17" s="161"/>
      <c r="F17" s="161"/>
      <c r="G17" s="161"/>
      <c r="H17" s="161"/>
      <c r="I17" s="161"/>
      <c r="J17" s="144"/>
      <c r="K17" s="144"/>
      <c r="L17" s="144"/>
      <c r="M17" s="144"/>
      <c r="N17" s="144"/>
      <c r="O17" s="144"/>
      <c r="AQ17" s="76"/>
    </row>
    <row r="18" spans="1:43" ht="15" customHeight="1">
      <c r="A18" s="161"/>
      <c r="D18" s="144"/>
      <c r="H18" s="81" t="s">
        <v>304</v>
      </c>
      <c r="I18" s="161"/>
      <c r="J18" s="170"/>
      <c r="K18" s="144"/>
      <c r="L18" s="144"/>
      <c r="M18" s="144"/>
      <c r="N18" s="144"/>
      <c r="O18" s="144"/>
      <c r="AQ18" s="76"/>
    </row>
    <row r="19" spans="1:43" ht="15" customHeight="1">
      <c r="A19" s="161"/>
      <c r="D19" s="144"/>
      <c r="G19" s="287" t="s">
        <v>2478</v>
      </c>
      <c r="H19" s="81" t="s">
        <v>1439</v>
      </c>
      <c r="I19" s="161"/>
      <c r="J19" s="170"/>
      <c r="K19" s="144"/>
      <c r="L19" s="144"/>
      <c r="M19" s="144"/>
      <c r="N19" s="144"/>
      <c r="O19" s="144"/>
      <c r="AQ19" s="76"/>
    </row>
    <row r="20" spans="1:43" ht="15" customHeight="1">
      <c r="A20" s="161"/>
      <c r="D20" s="144"/>
      <c r="H20" s="81" t="s">
        <v>1441</v>
      </c>
      <c r="I20" s="161"/>
      <c r="J20" s="170"/>
      <c r="K20" s="144"/>
      <c r="L20" s="144"/>
      <c r="M20" s="144"/>
      <c r="N20" s="144"/>
      <c r="O20" s="144"/>
      <c r="AQ20" s="76"/>
    </row>
    <row r="21" spans="1:43" ht="15" customHeight="1">
      <c r="G21" s="161"/>
      <c r="H21" s="161"/>
      <c r="I21" s="161"/>
      <c r="J21" s="144"/>
      <c r="K21" s="144"/>
      <c r="L21" s="144"/>
      <c r="M21" s="144"/>
      <c r="N21" s="144"/>
      <c r="O21" s="144"/>
      <c r="AQ21" s="76"/>
    </row>
    <row r="22" spans="1:43" ht="15" customHeight="1">
      <c r="A22" s="1177" t="s">
        <v>2466</v>
      </c>
      <c r="B22" s="96" t="s">
        <v>2465</v>
      </c>
      <c r="C22" s="144"/>
      <c r="K22" s="170"/>
      <c r="L22" s="170"/>
      <c r="M22" s="170"/>
      <c r="N22" s="170"/>
      <c r="O22" s="170"/>
      <c r="X22" s="559"/>
      <c r="Z22" s="559"/>
      <c r="AC22" s="559"/>
      <c r="AQ22" s="76"/>
    </row>
    <row r="23" spans="1:43" ht="15" customHeight="1">
      <c r="A23" s="161"/>
      <c r="B23" s="161"/>
      <c r="K23" s="170"/>
      <c r="L23" s="170"/>
      <c r="M23" s="170"/>
      <c r="N23" s="170"/>
      <c r="O23" s="170"/>
      <c r="X23" s="559"/>
      <c r="Z23" s="559"/>
      <c r="AC23" s="559"/>
      <c r="AQ23" s="76"/>
    </row>
    <row r="24" spans="1:43" ht="15" customHeight="1">
      <c r="A24" s="161"/>
      <c r="B24" s="161"/>
      <c r="C24" s="144"/>
      <c r="K24" s="170"/>
      <c r="L24" s="170"/>
      <c r="M24" s="170"/>
      <c r="N24" s="170"/>
      <c r="O24" s="170"/>
      <c r="X24" s="559"/>
      <c r="Z24" s="559"/>
      <c r="AC24" s="559"/>
      <c r="AQ24" s="76"/>
    </row>
    <row r="25" spans="1:43" ht="15" customHeight="1">
      <c r="A25" s="78"/>
      <c r="B25" s="96"/>
      <c r="C25" s="160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AQ25" s="76"/>
    </row>
    <row r="26" spans="1:43" ht="15" customHeight="1">
      <c r="A26" s="78"/>
      <c r="C26" s="144"/>
      <c r="L26" s="143"/>
      <c r="S26" s="122"/>
      <c r="T26" s="122"/>
      <c r="U26" s="122"/>
      <c r="V26" s="122"/>
      <c r="AQ26" s="76"/>
    </row>
    <row r="27" spans="1:43" ht="15" customHeight="1">
      <c r="A27" s="78"/>
      <c r="I27" s="157"/>
      <c r="L27" s="143"/>
      <c r="S27" s="122"/>
      <c r="T27" s="122"/>
      <c r="U27" s="122"/>
      <c r="V27" s="122"/>
      <c r="AQ27" s="76"/>
    </row>
    <row r="28" spans="1:43" ht="15" customHeight="1">
      <c r="A28" s="78"/>
      <c r="C28" s="144"/>
      <c r="I28" s="161"/>
      <c r="L28" s="143"/>
      <c r="S28" s="122"/>
      <c r="T28" s="122"/>
      <c r="U28" s="122"/>
      <c r="V28" s="122"/>
      <c r="AQ28" s="76"/>
    </row>
    <row r="29" spans="1:43" ht="15" customHeight="1">
      <c r="A29" s="78"/>
      <c r="B29" s="96"/>
      <c r="C29" s="160"/>
      <c r="I29" s="161"/>
      <c r="J29" s="144"/>
      <c r="K29" s="144"/>
      <c r="L29" s="144"/>
      <c r="M29" s="144"/>
      <c r="N29" s="144"/>
      <c r="O29" s="144"/>
      <c r="AQ29" s="76"/>
    </row>
    <row r="30" spans="1:43" ht="15" customHeight="1">
      <c r="A30" s="78"/>
      <c r="B30" s="96"/>
      <c r="C30" s="144"/>
      <c r="I30" s="161"/>
      <c r="J30" s="144"/>
      <c r="K30" s="144"/>
      <c r="L30" s="144"/>
      <c r="M30" s="144"/>
      <c r="N30" s="144"/>
      <c r="O30" s="144"/>
      <c r="AQ30" s="76"/>
    </row>
    <row r="31" spans="1:43" ht="15" customHeight="1">
      <c r="B31" s="1176" t="s">
        <v>2462</v>
      </c>
      <c r="C31" s="170" t="s">
        <v>2463</v>
      </c>
      <c r="D31" s="144"/>
      <c r="E31" s="1175"/>
      <c r="F31" s="124" t="s">
        <v>2479</v>
      </c>
      <c r="G31" s="144"/>
      <c r="H31" s="144"/>
      <c r="I31" s="144"/>
      <c r="J31" s="144"/>
      <c r="K31" s="144"/>
      <c r="L31" s="144"/>
      <c r="M31" s="144"/>
      <c r="N31" s="144"/>
      <c r="O31" s="144"/>
      <c r="AQ31" s="76"/>
    </row>
    <row r="32" spans="1:43" ht="15" customHeight="1">
      <c r="A32" s="78"/>
      <c r="B32" s="96"/>
      <c r="C32" s="170" t="s">
        <v>2464</v>
      </c>
      <c r="D32" s="170"/>
      <c r="E32" s="1175"/>
      <c r="F32" s="124" t="s">
        <v>2480</v>
      </c>
      <c r="G32" s="170"/>
      <c r="H32" s="144"/>
      <c r="I32" s="144"/>
      <c r="J32" s="144"/>
      <c r="K32" s="144"/>
      <c r="L32" s="144"/>
      <c r="M32" s="144"/>
      <c r="N32" s="144"/>
      <c r="O32" s="144"/>
      <c r="AQ32" s="76"/>
    </row>
    <row r="33" spans="1:43" ht="15" customHeight="1">
      <c r="A33" s="78"/>
      <c r="B33" s="96"/>
      <c r="C33" s="160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AQ33" s="76"/>
    </row>
    <row r="34" spans="1:43" ht="15" customHeight="1">
      <c r="A34" s="1177" t="s">
        <v>2466</v>
      </c>
      <c r="B34" s="96" t="s">
        <v>2467</v>
      </c>
      <c r="C34" s="160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AQ34" s="76"/>
    </row>
    <row r="35" spans="1:43" ht="15" customHeight="1">
      <c r="A35" s="78"/>
      <c r="I35" s="144"/>
      <c r="J35" s="144"/>
      <c r="K35" s="144"/>
      <c r="L35" s="144"/>
      <c r="M35" s="144"/>
      <c r="N35" s="144"/>
      <c r="O35" s="144"/>
      <c r="AQ35" s="76"/>
    </row>
    <row r="36" spans="1:43" ht="15" customHeight="1">
      <c r="A36" s="78"/>
      <c r="I36" s="144"/>
      <c r="J36" s="144"/>
      <c r="K36" s="144"/>
      <c r="L36" s="144"/>
      <c r="M36" s="144"/>
      <c r="N36" s="144"/>
      <c r="O36" s="144"/>
      <c r="AQ36" s="76"/>
    </row>
    <row r="37" spans="1:43" ht="15" customHeight="1">
      <c r="A37" s="78"/>
      <c r="B37" s="96"/>
      <c r="C37" s="170"/>
      <c r="D37" s="170"/>
      <c r="E37" s="1175"/>
      <c r="F37" s="170"/>
      <c r="G37" s="170"/>
      <c r="H37" s="170"/>
      <c r="I37" s="170"/>
      <c r="J37" s="170"/>
      <c r="K37" s="170"/>
      <c r="L37" s="170"/>
      <c r="M37" s="170"/>
      <c r="N37" s="170"/>
      <c r="O37" s="170"/>
      <c r="X37" s="559"/>
      <c r="Z37" s="559"/>
      <c r="AC37" s="559"/>
      <c r="AQ37" s="76"/>
    </row>
    <row r="38" spans="1:43" ht="15" customHeight="1">
      <c r="C38" s="160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AQ38" s="76"/>
    </row>
    <row r="39" spans="1:43" ht="15" customHeight="1">
      <c r="A39" s="1177"/>
      <c r="B39" s="96"/>
      <c r="C39" s="160"/>
      <c r="D39" s="170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X39" s="559"/>
      <c r="Z39" s="559"/>
      <c r="AC39" s="559"/>
      <c r="AQ39" s="76"/>
    </row>
    <row r="40" spans="1:43" ht="15" customHeight="1">
      <c r="A40" s="1177"/>
      <c r="B40" s="96"/>
      <c r="C40" s="160"/>
      <c r="D40" s="170"/>
      <c r="E40" s="170"/>
      <c r="F40" s="170"/>
      <c r="G40" s="170"/>
      <c r="H40" s="170"/>
      <c r="I40" s="170"/>
      <c r="J40" s="170"/>
      <c r="K40" s="170"/>
      <c r="L40" s="170"/>
      <c r="M40" s="170"/>
      <c r="N40" s="170"/>
      <c r="O40" s="170"/>
      <c r="X40" s="559"/>
      <c r="Z40" s="559"/>
      <c r="AC40" s="559"/>
      <c r="AQ40" s="76"/>
    </row>
    <row r="41" spans="1:43" ht="15" customHeight="1">
      <c r="A41" s="1177"/>
      <c r="B41" s="96"/>
      <c r="C41" s="160"/>
      <c r="D41" s="170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X41" s="559"/>
      <c r="Z41" s="559"/>
      <c r="AC41" s="559"/>
      <c r="AQ41" s="76"/>
    </row>
    <row r="42" spans="1:43" ht="15" customHeight="1">
      <c r="A42" s="1177"/>
      <c r="B42" s="96"/>
      <c r="C42" s="160"/>
      <c r="D42" s="144"/>
      <c r="G42" s="81" t="s">
        <v>303</v>
      </c>
      <c r="H42" s="170"/>
      <c r="K42" s="170"/>
      <c r="L42" s="143"/>
      <c r="M42" s="170"/>
      <c r="N42" s="170"/>
      <c r="O42" s="170"/>
      <c r="X42" s="559"/>
      <c r="Z42" s="559"/>
      <c r="AC42" s="559"/>
      <c r="AQ42" s="76"/>
    </row>
    <row r="43" spans="1:43" ht="15" customHeight="1">
      <c r="A43" s="1177"/>
      <c r="B43" s="1176" t="s">
        <v>2462</v>
      </c>
      <c r="C43" s="170" t="s">
        <v>2463</v>
      </c>
      <c r="D43" s="170"/>
      <c r="F43" s="1183" t="s">
        <v>2481</v>
      </c>
      <c r="G43" s="81" t="s">
        <v>2473</v>
      </c>
      <c r="H43" s="170"/>
      <c r="K43" s="170"/>
      <c r="L43" s="143"/>
      <c r="M43" s="170"/>
      <c r="N43" s="170"/>
      <c r="O43" s="170"/>
      <c r="X43" s="559"/>
      <c r="Z43" s="559"/>
      <c r="AC43" s="559"/>
      <c r="AQ43" s="76"/>
    </row>
    <row r="44" spans="1:43" ht="15" customHeight="1">
      <c r="A44" s="1177"/>
      <c r="B44" s="96"/>
      <c r="C44" s="160"/>
      <c r="D44" s="170"/>
      <c r="G44" s="81" t="s">
        <v>2474</v>
      </c>
      <c r="H44" s="170"/>
      <c r="K44" s="170"/>
      <c r="L44" s="143"/>
      <c r="M44" s="170"/>
      <c r="N44" s="170"/>
      <c r="O44" s="170"/>
      <c r="X44" s="559"/>
      <c r="Z44" s="559"/>
      <c r="AC44" s="559"/>
      <c r="AQ44" s="76"/>
    </row>
    <row r="45" spans="1:43" ht="15" customHeight="1">
      <c r="A45" s="1177"/>
      <c r="B45" s="96"/>
      <c r="C45" s="160"/>
      <c r="D45" s="170"/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X45" s="559"/>
      <c r="Z45" s="559"/>
      <c r="AC45" s="559"/>
      <c r="AQ45" s="76"/>
    </row>
    <row r="46" spans="1:43" ht="15" customHeight="1">
      <c r="A46" s="1177"/>
      <c r="B46" s="96"/>
      <c r="C46" s="160"/>
      <c r="D46" s="170"/>
      <c r="H46" s="81" t="s">
        <v>2475</v>
      </c>
      <c r="L46" s="143"/>
      <c r="N46" s="170"/>
      <c r="O46" s="170"/>
      <c r="X46" s="559"/>
      <c r="Z46" s="559"/>
      <c r="AC46" s="559"/>
      <c r="AQ46" s="76"/>
    </row>
    <row r="47" spans="1:43" ht="15" customHeight="1">
      <c r="A47" s="78"/>
      <c r="B47" s="1176" t="s">
        <v>2462</v>
      </c>
      <c r="C47" s="170" t="s">
        <v>2464</v>
      </c>
      <c r="D47" s="170"/>
      <c r="G47" s="1183" t="s">
        <v>2482</v>
      </c>
      <c r="H47" s="81" t="s">
        <v>2470</v>
      </c>
      <c r="L47" s="143"/>
      <c r="N47" s="170"/>
      <c r="O47" s="144"/>
      <c r="AQ47" s="76"/>
    </row>
    <row r="48" spans="1:43" ht="15" customHeight="1">
      <c r="A48" s="78"/>
      <c r="B48" s="96"/>
      <c r="C48" s="160"/>
      <c r="D48" s="170"/>
      <c r="H48" s="81" t="s">
        <v>2476</v>
      </c>
      <c r="L48" s="143"/>
      <c r="N48" s="170"/>
      <c r="O48" s="144"/>
      <c r="AQ48" s="76"/>
    </row>
    <row r="49" spans="1:54" ht="15" customHeight="1">
      <c r="A49" s="78"/>
      <c r="B49" s="96"/>
      <c r="C49" s="16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X49" s="559"/>
      <c r="Z49" s="559"/>
      <c r="AC49" s="559"/>
      <c r="AQ49" s="76"/>
    </row>
    <row r="50" spans="1:54" ht="15" customHeight="1">
      <c r="A50" s="78"/>
      <c r="B50" s="96"/>
      <c r="C50" s="16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X50" s="559"/>
      <c r="Z50" s="559"/>
      <c r="AC50" s="559"/>
      <c r="AQ50" s="76"/>
    </row>
    <row r="51" spans="1:54" ht="15" customHeight="1">
      <c r="A51" s="78"/>
      <c r="B51" s="96"/>
      <c r="C51" s="160"/>
      <c r="D51" s="170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X51" s="559"/>
      <c r="Z51" s="559"/>
      <c r="AC51" s="559"/>
      <c r="AQ51" s="76"/>
    </row>
    <row r="52" spans="1:54" ht="15" customHeight="1">
      <c r="A52" s="78"/>
      <c r="B52" s="96"/>
      <c r="C52" s="160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X52" s="559"/>
      <c r="Z52" s="559"/>
      <c r="AC52" s="559"/>
      <c r="AQ52" s="76"/>
    </row>
    <row r="53" spans="1:54" ht="15" customHeight="1">
      <c r="A53" s="78"/>
      <c r="B53" s="96"/>
      <c r="C53" s="16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X53" s="559"/>
      <c r="Z53" s="559"/>
      <c r="AC53" s="559"/>
      <c r="AQ53" s="76"/>
    </row>
    <row r="54" spans="1:54" ht="15" customHeight="1">
      <c r="A54" s="78"/>
      <c r="B54" s="96"/>
      <c r="C54" s="160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X54" s="559"/>
      <c r="Z54" s="559"/>
      <c r="AC54" s="559"/>
      <c r="AQ54" s="76"/>
    </row>
    <row r="55" spans="1:54" ht="15" customHeight="1">
      <c r="A55" s="78"/>
      <c r="B55" s="96"/>
      <c r="C55" s="16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X55" s="559"/>
      <c r="Z55" s="559"/>
      <c r="AC55" s="559"/>
      <c r="AQ55" s="76"/>
    </row>
    <row r="56" spans="1:54" ht="15" customHeight="1">
      <c r="A56" s="78"/>
      <c r="B56" s="96"/>
      <c r="C56" s="16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X56" s="559"/>
      <c r="Z56" s="559"/>
      <c r="AC56" s="559"/>
      <c r="AQ56" s="76"/>
    </row>
    <row r="57" spans="1:54" ht="15" customHeight="1">
      <c r="A57" s="78"/>
      <c r="B57" s="96"/>
      <c r="C57" s="16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X57" s="559"/>
      <c r="Z57" s="559"/>
      <c r="AC57" s="559"/>
      <c r="AQ57" s="76"/>
    </row>
    <row r="58" spans="1:54" ht="15" customHeight="1">
      <c r="A58" s="78"/>
      <c r="B58" s="96"/>
      <c r="C58" s="16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X58" s="559"/>
      <c r="Z58" s="559"/>
      <c r="AC58" s="559"/>
      <c r="AQ58" s="76"/>
    </row>
    <row r="59" spans="1:54" ht="15" customHeight="1">
      <c r="A59" s="78"/>
      <c r="B59" s="96"/>
      <c r="C59" s="16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X59" s="559"/>
      <c r="Z59" s="559"/>
      <c r="AC59" s="559"/>
      <c r="AQ59" s="76"/>
    </row>
    <row r="60" spans="1:54" ht="15" customHeight="1">
      <c r="A60" s="78"/>
      <c r="B60" s="96"/>
      <c r="C60" s="160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AQ60" s="76"/>
    </row>
    <row r="61" spans="1:54" ht="15" customHeight="1" thickBot="1">
      <c r="B61" s="445" t="s">
        <v>1654</v>
      </c>
      <c r="C61" s="144"/>
      <c r="D61" s="144"/>
      <c r="E61" s="144"/>
      <c r="F61" s="144"/>
      <c r="G61" s="144"/>
      <c r="H61" s="144"/>
      <c r="I61" s="144"/>
      <c r="J61" s="144"/>
      <c r="K61" s="144"/>
      <c r="L61" s="153"/>
      <c r="M61" s="144"/>
      <c r="N61" s="144"/>
      <c r="O61" s="144"/>
      <c r="P61" s="144"/>
      <c r="Q61" s="144"/>
      <c r="R61" s="122"/>
      <c r="S61" s="122"/>
      <c r="T61" s="122"/>
      <c r="U61" s="122"/>
      <c r="V61" s="122"/>
      <c r="W61" s="122"/>
      <c r="X61" s="348"/>
      <c r="Y61" s="122"/>
      <c r="Z61" s="348"/>
      <c r="AA61" s="122"/>
    </row>
    <row r="62" spans="1:54" ht="15" customHeight="1">
      <c r="B62" s="659" t="s">
        <v>16</v>
      </c>
      <c r="C62" s="660" t="s">
        <v>306</v>
      </c>
      <c r="D62" s="660" t="s">
        <v>1438</v>
      </c>
      <c r="E62" s="660" t="s">
        <v>6</v>
      </c>
      <c r="F62" s="660" t="s">
        <v>31</v>
      </c>
      <c r="G62" s="660" t="s">
        <v>2486</v>
      </c>
      <c r="H62" s="660" t="s">
        <v>1443</v>
      </c>
      <c r="I62" s="660" t="s">
        <v>2487</v>
      </c>
      <c r="J62" s="660" t="s">
        <v>2483</v>
      </c>
      <c r="K62" s="660" t="s">
        <v>2483</v>
      </c>
      <c r="L62" s="660" t="s">
        <v>307</v>
      </c>
      <c r="M62" s="153"/>
      <c r="N62" s="144"/>
      <c r="Q62" s="122"/>
      <c r="R62" s="122"/>
      <c r="S62" s="122"/>
      <c r="X62" s="73"/>
      <c r="Z62" s="73"/>
      <c r="AC62" s="73"/>
      <c r="BB62" s="143"/>
    </row>
    <row r="63" spans="1:54" ht="15" customHeight="1">
      <c r="B63" s="661"/>
      <c r="C63" s="662" t="s">
        <v>305</v>
      </c>
      <c r="D63" s="662"/>
      <c r="E63" s="662"/>
      <c r="F63" s="662"/>
      <c r="G63" s="662"/>
      <c r="H63" s="662"/>
      <c r="I63" s="480"/>
      <c r="J63" s="662" t="s">
        <v>2484</v>
      </c>
      <c r="K63" s="662" t="s">
        <v>2485</v>
      </c>
      <c r="L63" s="662"/>
      <c r="M63" s="153"/>
      <c r="N63" s="144"/>
      <c r="Q63" s="122"/>
      <c r="R63" s="122"/>
      <c r="S63" s="122"/>
      <c r="X63" s="73"/>
      <c r="Z63" s="73"/>
      <c r="AC63" s="73"/>
      <c r="BB63" s="143"/>
    </row>
    <row r="64" spans="1:54" ht="15" customHeight="1">
      <c r="B64" s="800" t="str">
        <f>+input!B3</f>
        <v>101i</v>
      </c>
      <c r="C64" s="366">
        <f>81.35*0.8</f>
        <v>65.08</v>
      </c>
      <c r="D64" s="483">
        <f>+input!P3</f>
        <v>290</v>
      </c>
      <c r="E64" s="483">
        <f>+input!N3</f>
        <v>12</v>
      </c>
      <c r="F64" s="483">
        <f>+input!G3</f>
        <v>500</v>
      </c>
      <c r="G64" s="483">
        <f>+input!T3</f>
        <v>1175</v>
      </c>
      <c r="H64" s="483">
        <f>+input!U3</f>
        <v>2350</v>
      </c>
      <c r="I64" s="483">
        <f>+input!V3/2</f>
        <v>1925</v>
      </c>
      <c r="J64" s="483">
        <f>MIN(0.125*C64*1000,6*D64+MAX(0.5*E64,0.25*F64),G64)+K64/2</f>
        <v>2725</v>
      </c>
      <c r="K64" s="483">
        <f>MIN(0.25*C64*1000,12*D64+MAX(E64,0.5*F64),AVERAGE(H64,I64*2))</f>
        <v>3100</v>
      </c>
      <c r="L64" s="483">
        <f>MIN(K64+J64,G64+H64+I64)</f>
        <v>5450</v>
      </c>
      <c r="M64" s="153"/>
      <c r="N64" s="144"/>
      <c r="Q64" s="122"/>
      <c r="R64" s="504"/>
      <c r="S64" s="122"/>
      <c r="X64" s="73"/>
      <c r="Z64" s="73"/>
      <c r="AC64" s="73"/>
      <c r="BB64" s="143"/>
    </row>
    <row r="65" spans="2:54" ht="15" customHeight="1">
      <c r="B65" s="800" t="str">
        <f>+input!B4</f>
        <v>101j</v>
      </c>
      <c r="C65" s="366">
        <f t="shared" ref="C65:C92" si="0">81.35*0.8</f>
        <v>65.08</v>
      </c>
      <c r="D65" s="483">
        <f>+input!P4</f>
        <v>290</v>
      </c>
      <c r="E65" s="483">
        <f>+input!N4</f>
        <v>12</v>
      </c>
      <c r="F65" s="483">
        <f>+input!G4</f>
        <v>500</v>
      </c>
      <c r="G65" s="483">
        <f>+input!T4</f>
        <v>1175</v>
      </c>
      <c r="H65" s="483">
        <f>+input!U4</f>
        <v>2350</v>
      </c>
      <c r="I65" s="483">
        <f>+input!V4/2</f>
        <v>1925</v>
      </c>
      <c r="J65" s="483">
        <f t="shared" ref="J65:J128" si="1">MIN(0.125*C65*1000,6*D65+MAX(0.5*E65,0.25*F65),G65)+K65/2</f>
        <v>2725</v>
      </c>
      <c r="K65" s="483">
        <f t="shared" ref="K65:K128" si="2">MIN(0.25*C65*1000,12*D65+MAX(E65,0.5*F65),AVERAGE(H65,I65*2))</f>
        <v>3100</v>
      </c>
      <c r="L65" s="483">
        <f t="shared" ref="L65:L128" si="3">MIN(K65+J65,G65+H65+I65)</f>
        <v>5450</v>
      </c>
      <c r="M65" s="153"/>
      <c r="N65" s="144"/>
      <c r="Q65" s="122"/>
      <c r="R65" s="122"/>
      <c r="S65" s="122"/>
      <c r="X65" s="73"/>
      <c r="Z65" s="73"/>
      <c r="AC65" s="73"/>
      <c r="BB65" s="143"/>
    </row>
    <row r="66" spans="2:54" ht="15" customHeight="1">
      <c r="B66" s="800" t="str">
        <f>+input!B5</f>
        <v>102i</v>
      </c>
      <c r="C66" s="366">
        <f t="shared" si="0"/>
        <v>65.08</v>
      </c>
      <c r="D66" s="483">
        <f>+input!P5</f>
        <v>290</v>
      </c>
      <c r="E66" s="483">
        <f>+input!N5</f>
        <v>12</v>
      </c>
      <c r="F66" s="483">
        <f>+input!G5</f>
        <v>500</v>
      </c>
      <c r="G66" s="483">
        <f>+input!T5</f>
        <v>1175</v>
      </c>
      <c r="H66" s="483">
        <f>+input!U5</f>
        <v>2350</v>
      </c>
      <c r="I66" s="483">
        <f>+input!V5/2</f>
        <v>1925</v>
      </c>
      <c r="J66" s="483">
        <f t="shared" si="1"/>
        <v>2725</v>
      </c>
      <c r="K66" s="483">
        <f t="shared" si="2"/>
        <v>3100</v>
      </c>
      <c r="L66" s="483">
        <f t="shared" si="3"/>
        <v>5450</v>
      </c>
      <c r="M66" s="153"/>
      <c r="N66" s="144"/>
      <c r="Q66" s="122"/>
      <c r="R66" s="122"/>
      <c r="S66" s="122"/>
      <c r="X66" s="73"/>
      <c r="Z66" s="73"/>
      <c r="AC66" s="73"/>
      <c r="BB66" s="143"/>
    </row>
    <row r="67" spans="2:54" ht="15" customHeight="1">
      <c r="B67" s="800" t="str">
        <f>+input!B6</f>
        <v>102j</v>
      </c>
      <c r="C67" s="366">
        <f t="shared" si="0"/>
        <v>65.08</v>
      </c>
      <c r="D67" s="483">
        <f>+input!P6</f>
        <v>290</v>
      </c>
      <c r="E67" s="483">
        <f>+input!N6</f>
        <v>12</v>
      </c>
      <c r="F67" s="483">
        <f>+input!G6</f>
        <v>500</v>
      </c>
      <c r="G67" s="483">
        <f>+input!T6</f>
        <v>1175</v>
      </c>
      <c r="H67" s="483">
        <f>+input!U6</f>
        <v>2350</v>
      </c>
      <c r="I67" s="483">
        <f>+input!V6/2</f>
        <v>1925</v>
      </c>
      <c r="J67" s="483">
        <f t="shared" si="1"/>
        <v>2725</v>
      </c>
      <c r="K67" s="483">
        <f t="shared" si="2"/>
        <v>3100</v>
      </c>
      <c r="L67" s="483">
        <f t="shared" si="3"/>
        <v>5450</v>
      </c>
      <c r="M67" s="153"/>
      <c r="N67" s="144"/>
      <c r="Q67" s="122"/>
      <c r="R67" s="122"/>
      <c r="S67" s="122"/>
      <c r="X67" s="73"/>
      <c r="Z67" s="73"/>
      <c r="AC67" s="73"/>
      <c r="BB67" s="143"/>
    </row>
    <row r="68" spans="2:54" ht="15" customHeight="1">
      <c r="B68" s="800" t="str">
        <f>+input!B7</f>
        <v>103i</v>
      </c>
      <c r="C68" s="366">
        <f t="shared" si="0"/>
        <v>65.08</v>
      </c>
      <c r="D68" s="483">
        <f>+input!P7</f>
        <v>290</v>
      </c>
      <c r="E68" s="483">
        <f>+input!N7</f>
        <v>12</v>
      </c>
      <c r="F68" s="483">
        <f>+input!G7</f>
        <v>500</v>
      </c>
      <c r="G68" s="483">
        <f>+input!T7</f>
        <v>1200</v>
      </c>
      <c r="H68" s="483">
        <f>+input!U7</f>
        <v>2400</v>
      </c>
      <c r="I68" s="483">
        <f>+input!V7/2</f>
        <v>1900</v>
      </c>
      <c r="J68" s="483">
        <f t="shared" si="1"/>
        <v>2750</v>
      </c>
      <c r="K68" s="483">
        <f t="shared" si="2"/>
        <v>3100</v>
      </c>
      <c r="L68" s="483">
        <f t="shared" si="3"/>
        <v>5500</v>
      </c>
      <c r="M68" s="153"/>
      <c r="N68" s="144"/>
      <c r="Q68" s="122"/>
      <c r="R68" s="122"/>
      <c r="S68" s="122"/>
      <c r="X68" s="73"/>
      <c r="Z68" s="73"/>
      <c r="AC68" s="73"/>
      <c r="BB68" s="143"/>
    </row>
    <row r="69" spans="2:54" ht="15" customHeight="1">
      <c r="B69" s="800" t="str">
        <f>+input!B8</f>
        <v>103j</v>
      </c>
      <c r="C69" s="366">
        <f t="shared" si="0"/>
        <v>65.08</v>
      </c>
      <c r="D69" s="483">
        <f>+input!P8</f>
        <v>290</v>
      </c>
      <c r="E69" s="483">
        <f>+input!N8</f>
        <v>12</v>
      </c>
      <c r="F69" s="483">
        <f>+input!G8</f>
        <v>500</v>
      </c>
      <c r="G69" s="483">
        <f>+input!T8</f>
        <v>1200</v>
      </c>
      <c r="H69" s="483">
        <f>+input!U8</f>
        <v>2400</v>
      </c>
      <c r="I69" s="483">
        <f>+input!V8/2</f>
        <v>1900</v>
      </c>
      <c r="J69" s="483">
        <f t="shared" si="1"/>
        <v>2750</v>
      </c>
      <c r="K69" s="483">
        <f t="shared" si="2"/>
        <v>3100</v>
      </c>
      <c r="L69" s="483">
        <f t="shared" si="3"/>
        <v>5500</v>
      </c>
      <c r="M69" s="153"/>
      <c r="N69" s="144"/>
      <c r="Q69" s="122"/>
      <c r="R69" s="122"/>
      <c r="S69" s="122"/>
      <c r="X69" s="73"/>
      <c r="Z69" s="73"/>
      <c r="AC69" s="73"/>
      <c r="BB69" s="143"/>
    </row>
    <row r="70" spans="2:54" ht="15" customHeight="1">
      <c r="B70" s="800" t="str">
        <f>+input!B9</f>
        <v>104i</v>
      </c>
      <c r="C70" s="366">
        <f t="shared" si="0"/>
        <v>65.08</v>
      </c>
      <c r="D70" s="483">
        <f>+input!P9</f>
        <v>290</v>
      </c>
      <c r="E70" s="483">
        <f>+input!N9</f>
        <v>12</v>
      </c>
      <c r="F70" s="483">
        <f>+input!G9</f>
        <v>500</v>
      </c>
      <c r="G70" s="483">
        <f>+input!T9</f>
        <v>1200</v>
      </c>
      <c r="H70" s="483">
        <f>+input!U9</f>
        <v>2400</v>
      </c>
      <c r="I70" s="483">
        <f>+input!V9/2</f>
        <v>1900</v>
      </c>
      <c r="J70" s="483">
        <f t="shared" si="1"/>
        <v>2750</v>
      </c>
      <c r="K70" s="483">
        <f t="shared" si="2"/>
        <v>3100</v>
      </c>
      <c r="L70" s="483">
        <f t="shared" si="3"/>
        <v>5500</v>
      </c>
      <c r="M70" s="153"/>
      <c r="N70" s="144"/>
      <c r="Q70" s="122"/>
      <c r="R70" s="122"/>
      <c r="S70" s="122"/>
      <c r="X70" s="73"/>
      <c r="Z70" s="73"/>
      <c r="AC70" s="73"/>
      <c r="BB70" s="143"/>
    </row>
    <row r="71" spans="2:54" ht="15" customHeight="1">
      <c r="B71" s="800" t="str">
        <f>+input!B10</f>
        <v>104j</v>
      </c>
      <c r="C71" s="366">
        <f t="shared" si="0"/>
        <v>65.08</v>
      </c>
      <c r="D71" s="483">
        <f>+input!P10</f>
        <v>290</v>
      </c>
      <c r="E71" s="483">
        <f>+input!N10</f>
        <v>12</v>
      </c>
      <c r="F71" s="483">
        <f>+input!G10</f>
        <v>500</v>
      </c>
      <c r="G71" s="483">
        <f>+input!T10</f>
        <v>1200</v>
      </c>
      <c r="H71" s="483">
        <f>+input!U10</f>
        <v>2400</v>
      </c>
      <c r="I71" s="483">
        <f>+input!V10/2</f>
        <v>1900</v>
      </c>
      <c r="J71" s="483">
        <f t="shared" si="1"/>
        <v>2750</v>
      </c>
      <c r="K71" s="483">
        <f t="shared" si="2"/>
        <v>3100</v>
      </c>
      <c r="L71" s="483">
        <f t="shared" si="3"/>
        <v>5500</v>
      </c>
      <c r="M71" s="153"/>
      <c r="N71" s="144"/>
      <c r="Q71" s="122"/>
      <c r="R71" s="122"/>
      <c r="S71" s="122"/>
      <c r="X71" s="73"/>
      <c r="Z71" s="73"/>
      <c r="AC71" s="73"/>
      <c r="BB71" s="143"/>
    </row>
    <row r="72" spans="2:54" ht="15" customHeight="1">
      <c r="B72" s="800" t="str">
        <f>+input!B11</f>
        <v>105i</v>
      </c>
      <c r="C72" s="366">
        <f t="shared" si="0"/>
        <v>65.08</v>
      </c>
      <c r="D72" s="483">
        <f>+input!P11</f>
        <v>290</v>
      </c>
      <c r="E72" s="483">
        <f>+input!N11</f>
        <v>12</v>
      </c>
      <c r="F72" s="483">
        <f>+input!G11</f>
        <v>500</v>
      </c>
      <c r="G72" s="483">
        <f>+input!T11</f>
        <v>1200</v>
      </c>
      <c r="H72" s="483">
        <f>+input!U11</f>
        <v>2400</v>
      </c>
      <c r="I72" s="483">
        <f>+input!V11/2</f>
        <v>1900</v>
      </c>
      <c r="J72" s="483">
        <f t="shared" si="1"/>
        <v>2750</v>
      </c>
      <c r="K72" s="483">
        <f t="shared" si="2"/>
        <v>3100</v>
      </c>
      <c r="L72" s="483">
        <f t="shared" si="3"/>
        <v>5500</v>
      </c>
      <c r="M72" s="153"/>
      <c r="N72" s="144"/>
      <c r="Q72" s="122"/>
      <c r="R72" s="122"/>
      <c r="S72" s="122"/>
      <c r="X72" s="73"/>
      <c r="Z72" s="73"/>
      <c r="AC72" s="73"/>
      <c r="BB72" s="143"/>
    </row>
    <row r="73" spans="2:54" ht="15" customHeight="1">
      <c r="B73" s="800" t="str">
        <f>+input!B12</f>
        <v>105j</v>
      </c>
      <c r="C73" s="366">
        <f t="shared" si="0"/>
        <v>65.08</v>
      </c>
      <c r="D73" s="483">
        <f>+input!P12</f>
        <v>290</v>
      </c>
      <c r="E73" s="483">
        <f>+input!N12</f>
        <v>12</v>
      </c>
      <c r="F73" s="483">
        <f>+input!G12</f>
        <v>500</v>
      </c>
      <c r="G73" s="483">
        <f>+input!T12</f>
        <v>1200</v>
      </c>
      <c r="H73" s="483">
        <f>+input!U12</f>
        <v>2400</v>
      </c>
      <c r="I73" s="483">
        <f>+input!V12/2</f>
        <v>1900</v>
      </c>
      <c r="J73" s="483">
        <f t="shared" si="1"/>
        <v>2750</v>
      </c>
      <c r="K73" s="483">
        <f t="shared" si="2"/>
        <v>3100</v>
      </c>
      <c r="L73" s="483">
        <f t="shared" si="3"/>
        <v>5500</v>
      </c>
      <c r="M73" s="153"/>
      <c r="N73" s="144"/>
      <c r="Q73" s="122"/>
      <c r="R73" s="122"/>
      <c r="S73" s="122"/>
      <c r="X73" s="73"/>
      <c r="Z73" s="73"/>
      <c r="AC73" s="73"/>
      <c r="BB73" s="143"/>
    </row>
    <row r="74" spans="2:54" ht="15" customHeight="1">
      <c r="B74" s="800" t="str">
        <f>+input!B13</f>
        <v>106i</v>
      </c>
      <c r="C74" s="366">
        <f t="shared" si="0"/>
        <v>65.08</v>
      </c>
      <c r="D74" s="483">
        <f>+input!P13</f>
        <v>290</v>
      </c>
      <c r="E74" s="483">
        <f>+input!N13</f>
        <v>12</v>
      </c>
      <c r="F74" s="483">
        <f>+input!G13</f>
        <v>500</v>
      </c>
      <c r="G74" s="483">
        <f>+input!T13</f>
        <v>1200</v>
      </c>
      <c r="H74" s="483">
        <f>+input!U13</f>
        <v>2400</v>
      </c>
      <c r="I74" s="483">
        <f>+input!V13/2</f>
        <v>1900</v>
      </c>
      <c r="J74" s="483">
        <f t="shared" si="1"/>
        <v>2750</v>
      </c>
      <c r="K74" s="483">
        <f t="shared" si="2"/>
        <v>3100</v>
      </c>
      <c r="L74" s="483">
        <f t="shared" si="3"/>
        <v>5500</v>
      </c>
      <c r="M74" s="153"/>
      <c r="N74" s="144"/>
      <c r="Q74" s="122"/>
      <c r="R74" s="122"/>
      <c r="S74" s="122"/>
      <c r="X74" s="73"/>
      <c r="Z74" s="73"/>
      <c r="AC74" s="73"/>
      <c r="BB74" s="143"/>
    </row>
    <row r="75" spans="2:54" ht="15" customHeight="1">
      <c r="B75" s="800" t="str">
        <f>+input!B14</f>
        <v>106j</v>
      </c>
      <c r="C75" s="366">
        <f t="shared" si="0"/>
        <v>65.08</v>
      </c>
      <c r="D75" s="483">
        <f>+input!P14</f>
        <v>290</v>
      </c>
      <c r="E75" s="483">
        <f>+input!N14</f>
        <v>12</v>
      </c>
      <c r="F75" s="483">
        <f>+input!G14</f>
        <v>500</v>
      </c>
      <c r="G75" s="483">
        <f>+input!T14</f>
        <v>1200</v>
      </c>
      <c r="H75" s="483">
        <f>+input!U14</f>
        <v>2400</v>
      </c>
      <c r="I75" s="483">
        <f>+input!V14/2</f>
        <v>1900</v>
      </c>
      <c r="J75" s="483">
        <f t="shared" si="1"/>
        <v>2750</v>
      </c>
      <c r="K75" s="483">
        <f t="shared" si="2"/>
        <v>3100</v>
      </c>
      <c r="L75" s="483">
        <f t="shared" si="3"/>
        <v>5500</v>
      </c>
      <c r="M75" s="153"/>
      <c r="N75" s="144"/>
      <c r="Q75" s="122"/>
      <c r="R75" s="122"/>
      <c r="S75" s="122"/>
      <c r="X75" s="73"/>
      <c r="Z75" s="73"/>
      <c r="AC75" s="73"/>
      <c r="BB75" s="143"/>
    </row>
    <row r="76" spans="2:54" ht="15" customHeight="1">
      <c r="B76" s="800" t="str">
        <f>+input!B15</f>
        <v>107i</v>
      </c>
      <c r="C76" s="366">
        <f t="shared" si="0"/>
        <v>65.08</v>
      </c>
      <c r="D76" s="483">
        <f>+input!P15</f>
        <v>290</v>
      </c>
      <c r="E76" s="483">
        <f>+input!N15</f>
        <v>12</v>
      </c>
      <c r="F76" s="483">
        <f>+input!G15</f>
        <v>600</v>
      </c>
      <c r="G76" s="483">
        <f>+input!T15</f>
        <v>1200</v>
      </c>
      <c r="H76" s="483">
        <f>+input!U15</f>
        <v>2400</v>
      </c>
      <c r="I76" s="483">
        <f>+input!V15/2</f>
        <v>1900</v>
      </c>
      <c r="J76" s="483">
        <f t="shared" si="1"/>
        <v>2750</v>
      </c>
      <c r="K76" s="483">
        <f t="shared" si="2"/>
        <v>3100</v>
      </c>
      <c r="L76" s="483">
        <f t="shared" si="3"/>
        <v>5500</v>
      </c>
      <c r="M76" s="153"/>
      <c r="N76" s="144"/>
      <c r="Q76" s="122"/>
      <c r="R76" s="122"/>
      <c r="S76" s="122"/>
      <c r="X76" s="73"/>
      <c r="Z76" s="73"/>
      <c r="AC76" s="73"/>
      <c r="BB76" s="143"/>
    </row>
    <row r="77" spans="2:54" ht="15" customHeight="1">
      <c r="B77" s="800" t="str">
        <f>+input!B16</f>
        <v>107j</v>
      </c>
      <c r="C77" s="366">
        <f t="shared" si="0"/>
        <v>65.08</v>
      </c>
      <c r="D77" s="483">
        <f>+input!P16</f>
        <v>290</v>
      </c>
      <c r="E77" s="483">
        <f>+input!N16</f>
        <v>12</v>
      </c>
      <c r="F77" s="483">
        <f>+input!G16</f>
        <v>600</v>
      </c>
      <c r="G77" s="483">
        <f>+input!T16</f>
        <v>1200</v>
      </c>
      <c r="H77" s="483">
        <f>+input!U16</f>
        <v>2400</v>
      </c>
      <c r="I77" s="483">
        <f>+input!V16/2</f>
        <v>1900</v>
      </c>
      <c r="J77" s="483">
        <f t="shared" si="1"/>
        <v>2750</v>
      </c>
      <c r="K77" s="483">
        <f t="shared" si="2"/>
        <v>3100</v>
      </c>
      <c r="L77" s="483">
        <f t="shared" si="3"/>
        <v>5500</v>
      </c>
      <c r="M77" s="153"/>
      <c r="N77" s="144"/>
      <c r="Q77" s="122"/>
      <c r="R77" s="122"/>
      <c r="S77" s="122"/>
      <c r="X77" s="73"/>
      <c r="Z77" s="73"/>
      <c r="AC77" s="73"/>
      <c r="BB77" s="143"/>
    </row>
    <row r="78" spans="2:54" ht="15" customHeight="1">
      <c r="B78" s="928" t="str">
        <f>+input!B17</f>
        <v>108i</v>
      </c>
      <c r="C78" s="366">
        <f t="shared" si="0"/>
        <v>65.08</v>
      </c>
      <c r="D78" s="929">
        <f>+input!P17</f>
        <v>290</v>
      </c>
      <c r="E78" s="929">
        <f>+input!N17</f>
        <v>12</v>
      </c>
      <c r="F78" s="929">
        <f>+input!G17</f>
        <v>600</v>
      </c>
      <c r="G78" s="929">
        <f>+input!T17</f>
        <v>1200</v>
      </c>
      <c r="H78" s="929">
        <f>+input!U17</f>
        <v>2400</v>
      </c>
      <c r="I78" s="483">
        <f>+input!V17/2</f>
        <v>1900</v>
      </c>
      <c r="J78" s="483">
        <f t="shared" si="1"/>
        <v>2750</v>
      </c>
      <c r="K78" s="483">
        <f t="shared" si="2"/>
        <v>3100</v>
      </c>
      <c r="L78" s="483">
        <f t="shared" si="3"/>
        <v>5500</v>
      </c>
      <c r="M78" s="153"/>
      <c r="N78" s="144"/>
      <c r="Q78" s="122"/>
      <c r="R78" s="122"/>
      <c r="S78" s="122"/>
      <c r="X78" s="73"/>
      <c r="Z78" s="73"/>
      <c r="AC78" s="73"/>
      <c r="BB78" s="143"/>
    </row>
    <row r="79" spans="2:54" ht="15" customHeight="1">
      <c r="B79" s="930" t="str">
        <f>+input!B18</f>
        <v>108j</v>
      </c>
      <c r="C79" s="366">
        <f t="shared" si="0"/>
        <v>65.08</v>
      </c>
      <c r="D79" s="931">
        <f>+input!P18</f>
        <v>290</v>
      </c>
      <c r="E79" s="931">
        <f>+input!N18</f>
        <v>12</v>
      </c>
      <c r="F79" s="931">
        <f>+input!G18</f>
        <v>600</v>
      </c>
      <c r="G79" s="931">
        <f>+input!T18</f>
        <v>1200</v>
      </c>
      <c r="H79" s="931">
        <f>+input!U18</f>
        <v>2400</v>
      </c>
      <c r="I79" s="483">
        <f>+input!V18/2</f>
        <v>1900</v>
      </c>
      <c r="J79" s="483">
        <f t="shared" si="1"/>
        <v>2750</v>
      </c>
      <c r="K79" s="483">
        <f t="shared" si="2"/>
        <v>3100</v>
      </c>
      <c r="L79" s="483">
        <f t="shared" si="3"/>
        <v>5500</v>
      </c>
      <c r="M79" s="153"/>
      <c r="N79" s="144"/>
      <c r="Q79" s="122"/>
      <c r="R79" s="122"/>
      <c r="S79" s="122"/>
      <c r="X79" s="73"/>
      <c r="Z79" s="73"/>
      <c r="AC79" s="73"/>
      <c r="BB79" s="143"/>
    </row>
    <row r="80" spans="2:54" ht="15" customHeight="1">
      <c r="B80" s="800" t="str">
        <f>+input!B19</f>
        <v>109i</v>
      </c>
      <c r="C80" s="366">
        <f t="shared" si="0"/>
        <v>65.08</v>
      </c>
      <c r="D80" s="483">
        <f>+input!P19</f>
        <v>290</v>
      </c>
      <c r="E80" s="483">
        <f>+input!N19</f>
        <v>12</v>
      </c>
      <c r="F80" s="483">
        <f>+input!G19</f>
        <v>600</v>
      </c>
      <c r="G80" s="483">
        <f>+input!T19</f>
        <v>1200</v>
      </c>
      <c r="H80" s="483">
        <f>+input!U19</f>
        <v>2400</v>
      </c>
      <c r="I80" s="483">
        <f>+input!V19/2</f>
        <v>1900</v>
      </c>
      <c r="J80" s="483">
        <f t="shared" si="1"/>
        <v>2750</v>
      </c>
      <c r="K80" s="483">
        <f t="shared" si="2"/>
        <v>3100</v>
      </c>
      <c r="L80" s="483">
        <f t="shared" si="3"/>
        <v>5500</v>
      </c>
      <c r="M80" s="153"/>
      <c r="N80" s="144"/>
      <c r="Q80" s="122"/>
      <c r="R80" s="122"/>
      <c r="S80" s="122"/>
      <c r="X80" s="73"/>
      <c r="Z80" s="73"/>
      <c r="AC80" s="73"/>
      <c r="BB80" s="143"/>
    </row>
    <row r="81" spans="2:54" ht="15" customHeight="1">
      <c r="B81" s="800" t="str">
        <f>+input!B20</f>
        <v>109j</v>
      </c>
      <c r="C81" s="366">
        <f t="shared" si="0"/>
        <v>65.08</v>
      </c>
      <c r="D81" s="483">
        <f>+input!P20</f>
        <v>290</v>
      </c>
      <c r="E81" s="483">
        <f>+input!N20</f>
        <v>12</v>
      </c>
      <c r="F81" s="483">
        <f>+input!G20</f>
        <v>600</v>
      </c>
      <c r="G81" s="483">
        <f>+input!T20</f>
        <v>1200</v>
      </c>
      <c r="H81" s="483">
        <f>+input!U20</f>
        <v>2400</v>
      </c>
      <c r="I81" s="483">
        <f>+input!V20/2</f>
        <v>1900</v>
      </c>
      <c r="J81" s="483">
        <f t="shared" si="1"/>
        <v>2750</v>
      </c>
      <c r="K81" s="483">
        <f t="shared" si="2"/>
        <v>3100</v>
      </c>
      <c r="L81" s="483">
        <f t="shared" si="3"/>
        <v>5500</v>
      </c>
      <c r="M81" s="153"/>
      <c r="N81" s="144"/>
      <c r="Q81" s="122"/>
      <c r="R81" s="122"/>
      <c r="S81" s="122"/>
      <c r="X81" s="73"/>
      <c r="Z81" s="73"/>
      <c r="AC81" s="73"/>
      <c r="BB81" s="143"/>
    </row>
    <row r="82" spans="2:54" ht="15" customHeight="1">
      <c r="B82" s="800" t="str">
        <f>+input!B21</f>
        <v>110i</v>
      </c>
      <c r="C82" s="366">
        <f t="shared" si="0"/>
        <v>65.08</v>
      </c>
      <c r="D82" s="483">
        <f>+input!P21</f>
        <v>290</v>
      </c>
      <c r="E82" s="483">
        <f>+input!N21</f>
        <v>12</v>
      </c>
      <c r="F82" s="483">
        <f>+input!G21</f>
        <v>600</v>
      </c>
      <c r="G82" s="483">
        <f>+input!T21</f>
        <v>1200</v>
      </c>
      <c r="H82" s="483">
        <f>+input!U21</f>
        <v>2400</v>
      </c>
      <c r="I82" s="483">
        <f>+input!V21/2</f>
        <v>1900</v>
      </c>
      <c r="J82" s="483">
        <f t="shared" si="1"/>
        <v>2750</v>
      </c>
      <c r="K82" s="483">
        <f t="shared" si="2"/>
        <v>3100</v>
      </c>
      <c r="L82" s="483">
        <f t="shared" si="3"/>
        <v>5500</v>
      </c>
      <c r="M82" s="153"/>
      <c r="N82" s="144"/>
      <c r="Q82" s="122"/>
      <c r="R82" s="504"/>
      <c r="S82" s="122"/>
      <c r="X82" s="73"/>
      <c r="Z82" s="73"/>
      <c r="AC82" s="73"/>
      <c r="BB82" s="143"/>
    </row>
    <row r="83" spans="2:54" ht="15" customHeight="1">
      <c r="B83" s="800" t="str">
        <f>+input!B22</f>
        <v>110j</v>
      </c>
      <c r="C83" s="366">
        <f t="shared" si="0"/>
        <v>65.08</v>
      </c>
      <c r="D83" s="483">
        <f>+input!P22</f>
        <v>290</v>
      </c>
      <c r="E83" s="483">
        <f>+input!N22</f>
        <v>12</v>
      </c>
      <c r="F83" s="483">
        <f>+input!G22</f>
        <v>600</v>
      </c>
      <c r="G83" s="483">
        <f>+input!T22</f>
        <v>1200</v>
      </c>
      <c r="H83" s="483">
        <f>+input!U22</f>
        <v>2400</v>
      </c>
      <c r="I83" s="483">
        <f>+input!V22/2</f>
        <v>1900</v>
      </c>
      <c r="J83" s="483">
        <f t="shared" si="1"/>
        <v>2750</v>
      </c>
      <c r="K83" s="483">
        <f t="shared" si="2"/>
        <v>3100</v>
      </c>
      <c r="L83" s="483">
        <f t="shared" si="3"/>
        <v>5500</v>
      </c>
      <c r="M83" s="153"/>
      <c r="N83" s="144"/>
      <c r="Q83" s="122"/>
      <c r="R83" s="504"/>
      <c r="S83" s="122"/>
      <c r="X83" s="73"/>
      <c r="Z83" s="73"/>
      <c r="AC83" s="73"/>
      <c r="BB83" s="143"/>
    </row>
    <row r="84" spans="2:54" ht="15" customHeight="1">
      <c r="B84" s="800" t="str">
        <f>+input!B23</f>
        <v>111i</v>
      </c>
      <c r="C84" s="366">
        <f t="shared" si="0"/>
        <v>65.08</v>
      </c>
      <c r="D84" s="483">
        <f>+input!P23</f>
        <v>290</v>
      </c>
      <c r="E84" s="483">
        <f>+input!N23</f>
        <v>12</v>
      </c>
      <c r="F84" s="483">
        <f>+input!G23</f>
        <v>600</v>
      </c>
      <c r="G84" s="483">
        <f>+input!T23</f>
        <v>1200</v>
      </c>
      <c r="H84" s="483">
        <f>+input!U23</f>
        <v>2400</v>
      </c>
      <c r="I84" s="483">
        <f>+input!V23/2</f>
        <v>1900</v>
      </c>
      <c r="J84" s="483">
        <f t="shared" si="1"/>
        <v>2750</v>
      </c>
      <c r="K84" s="483">
        <f t="shared" si="2"/>
        <v>3100</v>
      </c>
      <c r="L84" s="483">
        <f t="shared" si="3"/>
        <v>5500</v>
      </c>
      <c r="M84" s="153"/>
      <c r="N84" s="144"/>
      <c r="Q84" s="122"/>
      <c r="R84" s="122"/>
      <c r="S84" s="122"/>
      <c r="X84" s="73"/>
      <c r="Z84" s="73"/>
      <c r="AC84" s="73"/>
      <c r="BB84" s="143"/>
    </row>
    <row r="85" spans="2:54" ht="15" customHeight="1">
      <c r="B85" s="800" t="str">
        <f>+input!B24</f>
        <v>111j</v>
      </c>
      <c r="C85" s="366">
        <f t="shared" si="0"/>
        <v>65.08</v>
      </c>
      <c r="D85" s="483">
        <f>+input!P24</f>
        <v>290</v>
      </c>
      <c r="E85" s="483">
        <f>+input!N24</f>
        <v>12</v>
      </c>
      <c r="F85" s="483">
        <f>+input!G24</f>
        <v>600</v>
      </c>
      <c r="G85" s="483">
        <f>+input!T24</f>
        <v>1200</v>
      </c>
      <c r="H85" s="483">
        <f>+input!U24</f>
        <v>2400</v>
      </c>
      <c r="I85" s="483">
        <f>+input!V24/2</f>
        <v>1900</v>
      </c>
      <c r="J85" s="483">
        <f t="shared" si="1"/>
        <v>2750</v>
      </c>
      <c r="K85" s="483">
        <f t="shared" si="2"/>
        <v>3100</v>
      </c>
      <c r="L85" s="483">
        <f t="shared" si="3"/>
        <v>5500</v>
      </c>
      <c r="M85" s="153"/>
      <c r="N85" s="144"/>
      <c r="Q85" s="122"/>
      <c r="R85" s="122"/>
      <c r="S85" s="122"/>
      <c r="X85" s="73"/>
      <c r="Z85" s="73"/>
      <c r="AC85" s="73"/>
      <c r="BB85" s="143"/>
    </row>
    <row r="86" spans="2:54" ht="15" customHeight="1">
      <c r="B86" s="800" t="str">
        <f>+input!B25</f>
        <v>112i</v>
      </c>
      <c r="C86" s="366">
        <f t="shared" si="0"/>
        <v>65.08</v>
      </c>
      <c r="D86" s="483">
        <f>+input!P25</f>
        <v>290</v>
      </c>
      <c r="E86" s="483">
        <f>+input!N25</f>
        <v>12</v>
      </c>
      <c r="F86" s="483">
        <f>+input!G25</f>
        <v>500</v>
      </c>
      <c r="G86" s="483">
        <f>+input!T25</f>
        <v>1200</v>
      </c>
      <c r="H86" s="483">
        <f>+input!U25</f>
        <v>2400</v>
      </c>
      <c r="I86" s="483">
        <f>+input!V25/2</f>
        <v>1900</v>
      </c>
      <c r="J86" s="483">
        <f t="shared" si="1"/>
        <v>2750</v>
      </c>
      <c r="K86" s="483">
        <f t="shared" si="2"/>
        <v>3100</v>
      </c>
      <c r="L86" s="483">
        <f t="shared" si="3"/>
        <v>5500</v>
      </c>
      <c r="M86" s="153"/>
      <c r="N86" s="144"/>
      <c r="Q86" s="122"/>
      <c r="R86" s="122"/>
      <c r="S86" s="122"/>
      <c r="X86" s="73"/>
      <c r="Z86" s="73"/>
      <c r="AC86" s="73"/>
      <c r="BB86" s="143"/>
    </row>
    <row r="87" spans="2:54" ht="15" customHeight="1">
      <c r="B87" s="800" t="str">
        <f>+input!B26</f>
        <v>112j</v>
      </c>
      <c r="C87" s="366">
        <f t="shared" si="0"/>
        <v>65.08</v>
      </c>
      <c r="D87" s="483">
        <f>+input!P26</f>
        <v>290</v>
      </c>
      <c r="E87" s="483">
        <f>+input!N26</f>
        <v>12</v>
      </c>
      <c r="F87" s="483">
        <f>+input!G26</f>
        <v>500</v>
      </c>
      <c r="G87" s="483">
        <f>+input!T26</f>
        <v>1200</v>
      </c>
      <c r="H87" s="483">
        <f>+input!U26</f>
        <v>2400</v>
      </c>
      <c r="I87" s="483">
        <f>+input!V26/2</f>
        <v>1900</v>
      </c>
      <c r="J87" s="483">
        <f t="shared" si="1"/>
        <v>2750</v>
      </c>
      <c r="K87" s="483">
        <f t="shared" si="2"/>
        <v>3100</v>
      </c>
      <c r="L87" s="483">
        <f t="shared" si="3"/>
        <v>5500</v>
      </c>
      <c r="M87" s="153"/>
      <c r="N87" s="144"/>
      <c r="Q87" s="122"/>
      <c r="R87" s="122"/>
      <c r="S87" s="122"/>
      <c r="X87" s="73"/>
      <c r="Z87" s="73"/>
      <c r="AC87" s="73"/>
      <c r="BB87" s="143"/>
    </row>
    <row r="88" spans="2:54" ht="15" customHeight="1">
      <c r="B88" s="800" t="str">
        <f>+input!B27</f>
        <v>113i</v>
      </c>
      <c r="C88" s="366">
        <f t="shared" si="0"/>
        <v>65.08</v>
      </c>
      <c r="D88" s="483">
        <f>+input!P27</f>
        <v>290</v>
      </c>
      <c r="E88" s="483">
        <f>+input!N27</f>
        <v>12</v>
      </c>
      <c r="F88" s="483">
        <f>+input!G27</f>
        <v>500</v>
      </c>
      <c r="G88" s="483">
        <f>+input!T27</f>
        <v>1200</v>
      </c>
      <c r="H88" s="483">
        <f>+input!U27</f>
        <v>2400</v>
      </c>
      <c r="I88" s="483">
        <f>+input!V27/2</f>
        <v>1900</v>
      </c>
      <c r="J88" s="483">
        <f t="shared" si="1"/>
        <v>2750</v>
      </c>
      <c r="K88" s="483">
        <f t="shared" si="2"/>
        <v>3100</v>
      </c>
      <c r="L88" s="483">
        <f t="shared" si="3"/>
        <v>5500</v>
      </c>
      <c r="M88" s="153"/>
      <c r="N88" s="144"/>
      <c r="Q88" s="122"/>
      <c r="R88" s="122"/>
      <c r="S88" s="122"/>
      <c r="X88" s="73"/>
      <c r="Z88" s="73"/>
      <c r="AC88" s="73"/>
      <c r="BB88" s="143"/>
    </row>
    <row r="89" spans="2:54" ht="15" customHeight="1">
      <c r="B89" s="800" t="str">
        <f>+input!B28</f>
        <v>113j</v>
      </c>
      <c r="C89" s="366">
        <f t="shared" si="0"/>
        <v>65.08</v>
      </c>
      <c r="D89" s="483">
        <f>+input!P28</f>
        <v>290</v>
      </c>
      <c r="E89" s="483">
        <f>+input!N28</f>
        <v>12</v>
      </c>
      <c r="F89" s="483">
        <f>+input!G28</f>
        <v>500</v>
      </c>
      <c r="G89" s="483">
        <f>+input!T28</f>
        <v>1200</v>
      </c>
      <c r="H89" s="483">
        <f>+input!U28</f>
        <v>2400</v>
      </c>
      <c r="I89" s="483">
        <f>+input!V28/2</f>
        <v>1900</v>
      </c>
      <c r="J89" s="483">
        <f t="shared" si="1"/>
        <v>2750</v>
      </c>
      <c r="K89" s="483">
        <f t="shared" si="2"/>
        <v>3100</v>
      </c>
      <c r="L89" s="483">
        <f t="shared" si="3"/>
        <v>5500</v>
      </c>
      <c r="M89" s="153"/>
      <c r="N89" s="144"/>
      <c r="Q89" s="122"/>
      <c r="R89" s="122"/>
      <c r="S89" s="122"/>
      <c r="X89" s="73"/>
      <c r="Z89" s="73"/>
      <c r="AC89" s="73"/>
      <c r="BB89" s="143"/>
    </row>
    <row r="90" spans="2:54" ht="15" customHeight="1">
      <c r="B90" s="800" t="str">
        <f>+input!B29</f>
        <v>114i</v>
      </c>
      <c r="C90" s="366">
        <f t="shared" si="0"/>
        <v>65.08</v>
      </c>
      <c r="D90" s="483">
        <f>+input!P29</f>
        <v>290</v>
      </c>
      <c r="E90" s="483">
        <f>+input!N29</f>
        <v>12</v>
      </c>
      <c r="F90" s="483">
        <f>+input!G29</f>
        <v>500</v>
      </c>
      <c r="G90" s="483">
        <f>+input!T29</f>
        <v>1200</v>
      </c>
      <c r="H90" s="483">
        <f>+input!U29</f>
        <v>2400</v>
      </c>
      <c r="I90" s="483">
        <f>+input!V29/2</f>
        <v>1900</v>
      </c>
      <c r="J90" s="483">
        <f t="shared" si="1"/>
        <v>2750</v>
      </c>
      <c r="K90" s="483">
        <f t="shared" si="2"/>
        <v>3100</v>
      </c>
      <c r="L90" s="483">
        <f t="shared" si="3"/>
        <v>5500</v>
      </c>
      <c r="M90" s="153"/>
      <c r="N90" s="144"/>
      <c r="Q90" s="122"/>
      <c r="R90" s="122"/>
      <c r="S90" s="122"/>
      <c r="X90" s="73"/>
      <c r="Z90" s="73"/>
      <c r="AC90" s="73"/>
      <c r="BB90" s="143"/>
    </row>
    <row r="91" spans="2:54" ht="15" customHeight="1">
      <c r="B91" s="800" t="str">
        <f>+input!B30</f>
        <v>114j</v>
      </c>
      <c r="C91" s="366">
        <f t="shared" si="0"/>
        <v>65.08</v>
      </c>
      <c r="D91" s="483">
        <f>+input!P30</f>
        <v>290</v>
      </c>
      <c r="E91" s="483">
        <f>+input!N30</f>
        <v>12</v>
      </c>
      <c r="F91" s="483">
        <f>+input!G30</f>
        <v>500</v>
      </c>
      <c r="G91" s="483">
        <f>+input!T30</f>
        <v>1200</v>
      </c>
      <c r="H91" s="483">
        <f>+input!U30</f>
        <v>2400</v>
      </c>
      <c r="I91" s="483">
        <f>+input!V30/2</f>
        <v>1900</v>
      </c>
      <c r="J91" s="483">
        <f t="shared" si="1"/>
        <v>2750</v>
      </c>
      <c r="K91" s="483">
        <f t="shared" si="2"/>
        <v>3100</v>
      </c>
      <c r="L91" s="483">
        <f t="shared" si="3"/>
        <v>5500</v>
      </c>
      <c r="M91" s="153"/>
      <c r="N91" s="144"/>
      <c r="Q91" s="122"/>
      <c r="R91" s="122"/>
      <c r="S91" s="122"/>
      <c r="X91" s="73"/>
      <c r="Z91" s="73"/>
      <c r="AC91" s="73"/>
      <c r="BB91" s="143"/>
    </row>
    <row r="92" spans="2:54" ht="15" customHeight="1">
      <c r="B92" s="800" t="str">
        <f>+input!B31</f>
        <v>115i</v>
      </c>
      <c r="C92" s="366">
        <f t="shared" si="0"/>
        <v>65.08</v>
      </c>
      <c r="D92" s="483">
        <f>+input!P31</f>
        <v>290</v>
      </c>
      <c r="E92" s="483">
        <f>+input!N31</f>
        <v>12</v>
      </c>
      <c r="F92" s="483">
        <f>+input!G31</f>
        <v>500</v>
      </c>
      <c r="G92" s="483">
        <f>+input!T31</f>
        <v>1200</v>
      </c>
      <c r="H92" s="483">
        <f>+input!U31</f>
        <v>2400</v>
      </c>
      <c r="I92" s="483">
        <f>+input!V31/2</f>
        <v>1900</v>
      </c>
      <c r="J92" s="483">
        <f t="shared" si="1"/>
        <v>2750</v>
      </c>
      <c r="K92" s="483">
        <f t="shared" si="2"/>
        <v>3100</v>
      </c>
      <c r="L92" s="483">
        <f t="shared" si="3"/>
        <v>5500</v>
      </c>
      <c r="M92" s="153"/>
      <c r="N92" s="144"/>
      <c r="Q92" s="122"/>
      <c r="R92" s="122"/>
      <c r="S92" s="122"/>
      <c r="X92" s="73"/>
      <c r="Z92" s="73"/>
      <c r="AC92" s="73"/>
      <c r="BB92" s="143"/>
    </row>
    <row r="93" spans="2:54" ht="15" customHeight="1">
      <c r="B93" s="800" t="str">
        <f>+input!B32</f>
        <v>115j</v>
      </c>
      <c r="C93" s="366">
        <f>81.35*0.2 + 49.37*0.2</f>
        <v>26.143999999999998</v>
      </c>
      <c r="D93" s="483">
        <f>+input!P32</f>
        <v>290</v>
      </c>
      <c r="E93" s="483">
        <f>+input!N32</f>
        <v>12</v>
      </c>
      <c r="F93" s="483">
        <f>+input!G32</f>
        <v>500</v>
      </c>
      <c r="G93" s="483">
        <f>+input!T32</f>
        <v>1200</v>
      </c>
      <c r="H93" s="483">
        <f>+input!U32</f>
        <v>2400</v>
      </c>
      <c r="I93" s="483">
        <f>+input!V32/2</f>
        <v>1900</v>
      </c>
      <c r="J93" s="483">
        <f t="shared" si="1"/>
        <v>2750</v>
      </c>
      <c r="K93" s="483">
        <f t="shared" si="2"/>
        <v>3100</v>
      </c>
      <c r="L93" s="483">
        <f t="shared" si="3"/>
        <v>5500</v>
      </c>
      <c r="M93" s="153"/>
      <c r="N93" s="144"/>
      <c r="Q93" s="122"/>
      <c r="R93" s="122"/>
      <c r="S93" s="122"/>
      <c r="X93" s="73"/>
      <c r="Z93" s="73"/>
      <c r="AC93" s="73"/>
      <c r="BB93" s="143"/>
    </row>
    <row r="94" spans="2:54" ht="15" customHeight="1">
      <c r="B94" s="800" t="str">
        <f>+input!B33</f>
        <v>116i</v>
      </c>
      <c r="C94" s="366">
        <f t="shared" ref="C94:C106" si="4">81.35*0.2 + 49.37*0.2</f>
        <v>26.143999999999998</v>
      </c>
      <c r="D94" s="483">
        <f>+input!P33</f>
        <v>290</v>
      </c>
      <c r="E94" s="483">
        <f>+input!N33</f>
        <v>12</v>
      </c>
      <c r="F94" s="483">
        <f>+input!G33</f>
        <v>600</v>
      </c>
      <c r="G94" s="483">
        <f>+input!T33</f>
        <v>1200</v>
      </c>
      <c r="H94" s="483">
        <f>+input!U33</f>
        <v>2400</v>
      </c>
      <c r="I94" s="483">
        <f>+input!V33/2</f>
        <v>1900</v>
      </c>
      <c r="J94" s="483">
        <f t="shared" si="1"/>
        <v>2750</v>
      </c>
      <c r="K94" s="483">
        <f t="shared" si="2"/>
        <v>3100</v>
      </c>
      <c r="L94" s="483">
        <f t="shared" si="3"/>
        <v>5500</v>
      </c>
      <c r="M94" s="153"/>
      <c r="N94" s="144"/>
      <c r="Q94" s="122"/>
      <c r="R94" s="122"/>
      <c r="S94" s="122"/>
      <c r="X94" s="73"/>
      <c r="Z94" s="73"/>
      <c r="AC94" s="73"/>
      <c r="BB94" s="143"/>
    </row>
    <row r="95" spans="2:54" ht="15" customHeight="1">
      <c r="B95" s="800" t="str">
        <f>+input!B34</f>
        <v>116j</v>
      </c>
      <c r="C95" s="366">
        <f t="shared" si="4"/>
        <v>26.143999999999998</v>
      </c>
      <c r="D95" s="483">
        <f>+input!P34</f>
        <v>290</v>
      </c>
      <c r="E95" s="483">
        <f>+input!N34</f>
        <v>12</v>
      </c>
      <c r="F95" s="483">
        <f>+input!G34</f>
        <v>600</v>
      </c>
      <c r="G95" s="483">
        <f>+input!T34</f>
        <v>1200</v>
      </c>
      <c r="H95" s="483">
        <f>+input!U34</f>
        <v>2400</v>
      </c>
      <c r="I95" s="483">
        <f>+input!V34/2</f>
        <v>1900</v>
      </c>
      <c r="J95" s="483">
        <f t="shared" si="1"/>
        <v>2750</v>
      </c>
      <c r="K95" s="483">
        <f t="shared" si="2"/>
        <v>3100</v>
      </c>
      <c r="L95" s="483">
        <f t="shared" si="3"/>
        <v>5500</v>
      </c>
      <c r="M95" s="153"/>
      <c r="N95" s="144"/>
      <c r="Q95" s="122"/>
      <c r="R95" s="122"/>
      <c r="S95" s="122"/>
      <c r="X95" s="73"/>
      <c r="Z95" s="73"/>
      <c r="AC95" s="73"/>
      <c r="BB95" s="143"/>
    </row>
    <row r="96" spans="2:54" ht="15" customHeight="1">
      <c r="B96" s="800" t="str">
        <f>+input!B35</f>
        <v>117i</v>
      </c>
      <c r="C96" s="366">
        <f t="shared" si="4"/>
        <v>26.143999999999998</v>
      </c>
      <c r="D96" s="483">
        <f>+input!P35</f>
        <v>290</v>
      </c>
      <c r="E96" s="483">
        <f>+input!N35</f>
        <v>12</v>
      </c>
      <c r="F96" s="483">
        <f>+input!G35</f>
        <v>800</v>
      </c>
      <c r="G96" s="483">
        <f>+input!T35</f>
        <v>1200</v>
      </c>
      <c r="H96" s="483">
        <f>+input!U35</f>
        <v>2400</v>
      </c>
      <c r="I96" s="483">
        <f>+input!V35/2</f>
        <v>1900</v>
      </c>
      <c r="J96" s="483">
        <f t="shared" si="1"/>
        <v>2750</v>
      </c>
      <c r="K96" s="483">
        <f t="shared" si="2"/>
        <v>3100</v>
      </c>
      <c r="L96" s="483">
        <f t="shared" si="3"/>
        <v>5500</v>
      </c>
      <c r="M96" s="153"/>
      <c r="N96" s="144"/>
      <c r="Q96" s="122"/>
      <c r="R96" s="122"/>
      <c r="S96" s="122"/>
      <c r="X96" s="73"/>
      <c r="Z96" s="73"/>
      <c r="AC96" s="73"/>
      <c r="BB96" s="143"/>
    </row>
    <row r="97" spans="2:54" ht="15" customHeight="1">
      <c r="B97" s="800" t="str">
        <f>+input!B36</f>
        <v>117j</v>
      </c>
      <c r="C97" s="366">
        <f t="shared" si="4"/>
        <v>26.143999999999998</v>
      </c>
      <c r="D97" s="483">
        <f>+input!P36</f>
        <v>290</v>
      </c>
      <c r="E97" s="483">
        <f>+input!N36</f>
        <v>12</v>
      </c>
      <c r="F97" s="483">
        <f>+input!G36</f>
        <v>800</v>
      </c>
      <c r="G97" s="483">
        <f>+input!T36</f>
        <v>1200</v>
      </c>
      <c r="H97" s="483">
        <f>+input!U36</f>
        <v>2400</v>
      </c>
      <c r="I97" s="483">
        <f>+input!V36/2</f>
        <v>1900</v>
      </c>
      <c r="J97" s="483">
        <f t="shared" si="1"/>
        <v>2750</v>
      </c>
      <c r="K97" s="483">
        <f t="shared" si="2"/>
        <v>3100</v>
      </c>
      <c r="L97" s="483">
        <f t="shared" si="3"/>
        <v>5500</v>
      </c>
      <c r="M97" s="153"/>
      <c r="N97" s="144"/>
      <c r="Q97" s="122"/>
      <c r="R97" s="122"/>
      <c r="S97" s="122"/>
      <c r="X97" s="73"/>
      <c r="Z97" s="73"/>
      <c r="AC97" s="73"/>
      <c r="BB97" s="143"/>
    </row>
    <row r="98" spans="2:54" ht="15" customHeight="1">
      <c r="B98" s="800" t="str">
        <f>+input!B37</f>
        <v>118i</v>
      </c>
      <c r="C98" s="366">
        <f t="shared" si="4"/>
        <v>26.143999999999998</v>
      </c>
      <c r="D98" s="483">
        <f>+input!P37</f>
        <v>290</v>
      </c>
      <c r="E98" s="483">
        <f>+input!N37</f>
        <v>14</v>
      </c>
      <c r="F98" s="483">
        <f>+input!G37</f>
        <v>2900</v>
      </c>
      <c r="G98" s="483">
        <f>+input!T37</f>
        <v>1150</v>
      </c>
      <c r="H98" s="483">
        <f>+input!U37</f>
        <v>2400</v>
      </c>
      <c r="I98" s="483">
        <f>+input!V37/2</f>
        <v>1900</v>
      </c>
      <c r="J98" s="483">
        <f t="shared" si="1"/>
        <v>2700</v>
      </c>
      <c r="K98" s="483">
        <f t="shared" si="2"/>
        <v>3100</v>
      </c>
      <c r="L98" s="483">
        <f t="shared" si="3"/>
        <v>5450</v>
      </c>
      <c r="M98" s="153"/>
      <c r="N98" s="144"/>
      <c r="Q98" s="122"/>
      <c r="R98" s="122"/>
      <c r="S98" s="122"/>
      <c r="X98" s="73"/>
      <c r="Z98" s="73"/>
      <c r="AC98" s="73"/>
      <c r="BB98" s="143"/>
    </row>
    <row r="99" spans="2:54" ht="15" customHeight="1">
      <c r="B99" s="800" t="str">
        <f>+input!B38</f>
        <v>118j</v>
      </c>
      <c r="C99" s="366">
        <f t="shared" si="4"/>
        <v>26.143999999999998</v>
      </c>
      <c r="D99" s="483">
        <f>+input!P38</f>
        <v>290</v>
      </c>
      <c r="E99" s="483">
        <f>+input!N38</f>
        <v>14</v>
      </c>
      <c r="F99" s="483">
        <f>+input!G38</f>
        <v>2900</v>
      </c>
      <c r="G99" s="483">
        <f>+input!T38</f>
        <v>1150</v>
      </c>
      <c r="H99" s="483">
        <f>+input!U38</f>
        <v>2400</v>
      </c>
      <c r="I99" s="483">
        <f>+input!V38/2</f>
        <v>1900</v>
      </c>
      <c r="J99" s="483">
        <f t="shared" si="1"/>
        <v>2700</v>
      </c>
      <c r="K99" s="483">
        <f t="shared" si="2"/>
        <v>3100</v>
      </c>
      <c r="L99" s="483">
        <f t="shared" si="3"/>
        <v>5450</v>
      </c>
      <c r="M99" s="153"/>
      <c r="N99" s="144"/>
      <c r="Q99" s="122"/>
      <c r="R99" s="122"/>
      <c r="S99" s="122"/>
      <c r="X99" s="73"/>
      <c r="Z99" s="73"/>
      <c r="AC99" s="73"/>
      <c r="BB99" s="143"/>
    </row>
    <row r="100" spans="2:54" ht="15" customHeight="1">
      <c r="B100" s="800" t="str">
        <f>+input!B39</f>
        <v>119i</v>
      </c>
      <c r="C100" s="366">
        <f t="shared" si="4"/>
        <v>26.143999999999998</v>
      </c>
      <c r="D100" s="483">
        <f>+input!P39</f>
        <v>290</v>
      </c>
      <c r="E100" s="483">
        <f>+input!N39</f>
        <v>14</v>
      </c>
      <c r="F100" s="483">
        <f>+input!G39</f>
        <v>2900</v>
      </c>
      <c r="G100" s="483">
        <f>+input!T39</f>
        <v>1150</v>
      </c>
      <c r="H100" s="483">
        <f>+input!U39</f>
        <v>2400</v>
      </c>
      <c r="I100" s="483">
        <f>+input!V39/2</f>
        <v>1900</v>
      </c>
      <c r="J100" s="483">
        <f t="shared" si="1"/>
        <v>2700</v>
      </c>
      <c r="K100" s="483">
        <f t="shared" si="2"/>
        <v>3100</v>
      </c>
      <c r="L100" s="483">
        <f t="shared" si="3"/>
        <v>5450</v>
      </c>
      <c r="M100" s="153"/>
      <c r="N100" s="144"/>
      <c r="Q100" s="122"/>
      <c r="R100" s="122"/>
      <c r="S100" s="122"/>
      <c r="X100" s="73"/>
      <c r="Z100" s="73"/>
      <c r="AC100" s="73"/>
      <c r="BB100" s="143"/>
    </row>
    <row r="101" spans="2:54" ht="15" customHeight="1">
      <c r="B101" s="800" t="str">
        <f>+input!B40</f>
        <v>119j</v>
      </c>
      <c r="C101" s="366">
        <f t="shared" si="4"/>
        <v>26.143999999999998</v>
      </c>
      <c r="D101" s="483">
        <f>+input!P40</f>
        <v>290</v>
      </c>
      <c r="E101" s="483">
        <f>+input!N40</f>
        <v>14</v>
      </c>
      <c r="F101" s="483">
        <f>+input!G40</f>
        <v>2900</v>
      </c>
      <c r="G101" s="483">
        <f>+input!T40</f>
        <v>1150</v>
      </c>
      <c r="H101" s="483">
        <f>+input!U40</f>
        <v>2400</v>
      </c>
      <c r="I101" s="483">
        <f>+input!V40/2</f>
        <v>1900</v>
      </c>
      <c r="J101" s="483">
        <f t="shared" si="1"/>
        <v>2700</v>
      </c>
      <c r="K101" s="483">
        <f t="shared" si="2"/>
        <v>3100</v>
      </c>
      <c r="L101" s="483">
        <f t="shared" si="3"/>
        <v>5450</v>
      </c>
      <c r="M101" s="153"/>
      <c r="N101" s="144"/>
      <c r="Q101" s="122"/>
      <c r="R101" s="122"/>
      <c r="S101" s="122"/>
      <c r="X101" s="73"/>
      <c r="Z101" s="73"/>
      <c r="AC101" s="73"/>
      <c r="BB101" s="143"/>
    </row>
    <row r="102" spans="2:54" ht="15" customHeight="1">
      <c r="B102" s="800" t="str">
        <f>+input!B41</f>
        <v>120i</v>
      </c>
      <c r="C102" s="366">
        <f t="shared" si="4"/>
        <v>26.143999999999998</v>
      </c>
      <c r="D102" s="483">
        <f>+input!P41</f>
        <v>290</v>
      </c>
      <c r="E102" s="483">
        <f>+input!N41</f>
        <v>14</v>
      </c>
      <c r="F102" s="483">
        <f>+input!G41</f>
        <v>2900</v>
      </c>
      <c r="G102" s="483">
        <f>+input!T41</f>
        <v>1150</v>
      </c>
      <c r="H102" s="483">
        <f>+input!U41</f>
        <v>2400</v>
      </c>
      <c r="I102" s="483">
        <f>+input!V41/2</f>
        <v>1900</v>
      </c>
      <c r="J102" s="483">
        <f t="shared" si="1"/>
        <v>2700</v>
      </c>
      <c r="K102" s="483">
        <f t="shared" si="2"/>
        <v>3100</v>
      </c>
      <c r="L102" s="483">
        <f t="shared" si="3"/>
        <v>5450</v>
      </c>
      <c r="M102" s="153"/>
      <c r="N102" s="144"/>
      <c r="Q102" s="122"/>
      <c r="R102" s="504"/>
      <c r="S102" s="122"/>
      <c r="X102" s="73"/>
      <c r="Z102" s="73"/>
      <c r="AC102" s="73"/>
      <c r="BB102" s="143"/>
    </row>
    <row r="103" spans="2:54" ht="15" customHeight="1">
      <c r="B103" s="800" t="str">
        <f>+input!B42</f>
        <v>120j</v>
      </c>
      <c r="C103" s="366">
        <f t="shared" si="4"/>
        <v>26.143999999999998</v>
      </c>
      <c r="D103" s="483">
        <f>+input!P42</f>
        <v>290</v>
      </c>
      <c r="E103" s="483">
        <f>+input!N42</f>
        <v>14</v>
      </c>
      <c r="F103" s="483">
        <f>+input!G42</f>
        <v>2900</v>
      </c>
      <c r="G103" s="483">
        <f>+input!T42</f>
        <v>1150</v>
      </c>
      <c r="H103" s="483">
        <f>+input!U42</f>
        <v>2400</v>
      </c>
      <c r="I103" s="483">
        <f>+input!V42/2</f>
        <v>1900</v>
      </c>
      <c r="J103" s="483">
        <f t="shared" si="1"/>
        <v>2700</v>
      </c>
      <c r="K103" s="483">
        <f t="shared" si="2"/>
        <v>3100</v>
      </c>
      <c r="L103" s="483">
        <f t="shared" si="3"/>
        <v>5450</v>
      </c>
      <c r="M103" s="153"/>
      <c r="N103" s="144"/>
      <c r="Q103" s="122"/>
      <c r="R103" s="504"/>
      <c r="S103" s="122"/>
      <c r="X103" s="73"/>
      <c r="Z103" s="73"/>
      <c r="AC103" s="73"/>
      <c r="BB103" s="143"/>
    </row>
    <row r="104" spans="2:54" ht="15" customHeight="1">
      <c r="B104" s="800" t="str">
        <f>+input!B43</f>
        <v>121i</v>
      </c>
      <c r="C104" s="366">
        <f t="shared" si="4"/>
        <v>26.143999999999998</v>
      </c>
      <c r="D104" s="483">
        <f>+input!P43</f>
        <v>290</v>
      </c>
      <c r="E104" s="483">
        <f>+input!N43</f>
        <v>14</v>
      </c>
      <c r="F104" s="483">
        <f>+input!G43</f>
        <v>2900</v>
      </c>
      <c r="G104" s="483">
        <f>+input!T43</f>
        <v>1150</v>
      </c>
      <c r="H104" s="483">
        <f>+input!U43</f>
        <v>2400</v>
      </c>
      <c r="I104" s="483">
        <f>+input!V43/2</f>
        <v>1900</v>
      </c>
      <c r="J104" s="483">
        <f t="shared" si="1"/>
        <v>2700</v>
      </c>
      <c r="K104" s="483">
        <f t="shared" si="2"/>
        <v>3100</v>
      </c>
      <c r="L104" s="483">
        <f t="shared" si="3"/>
        <v>5450</v>
      </c>
      <c r="M104" s="153"/>
      <c r="N104" s="144"/>
      <c r="Q104" s="122"/>
      <c r="R104" s="504"/>
      <c r="S104" s="122"/>
      <c r="X104" s="73"/>
      <c r="Z104" s="73"/>
      <c r="AC104" s="73"/>
      <c r="BB104" s="143"/>
    </row>
    <row r="105" spans="2:54" ht="15" customHeight="1">
      <c r="B105" s="800" t="str">
        <f>+input!B44</f>
        <v>121j</v>
      </c>
      <c r="C105" s="366">
        <f t="shared" si="4"/>
        <v>26.143999999999998</v>
      </c>
      <c r="D105" s="483">
        <f>+input!P44</f>
        <v>290</v>
      </c>
      <c r="E105" s="483">
        <f>+input!N44</f>
        <v>14</v>
      </c>
      <c r="F105" s="483">
        <f>+input!G44</f>
        <v>2900</v>
      </c>
      <c r="G105" s="483">
        <f>+input!T44</f>
        <v>1150</v>
      </c>
      <c r="H105" s="483">
        <f>+input!U44</f>
        <v>2400</v>
      </c>
      <c r="I105" s="483">
        <f>+input!V44/2</f>
        <v>1900</v>
      </c>
      <c r="J105" s="483">
        <f t="shared" si="1"/>
        <v>2700</v>
      </c>
      <c r="K105" s="483">
        <f t="shared" si="2"/>
        <v>3100</v>
      </c>
      <c r="L105" s="483">
        <f t="shared" si="3"/>
        <v>5450</v>
      </c>
      <c r="M105" s="153"/>
      <c r="N105" s="144"/>
      <c r="Q105" s="122"/>
      <c r="R105" s="504"/>
      <c r="S105" s="122"/>
      <c r="X105" s="73"/>
      <c r="Z105" s="73"/>
      <c r="AC105" s="73"/>
      <c r="BB105" s="143"/>
    </row>
    <row r="106" spans="2:54" ht="15" customHeight="1">
      <c r="B106" s="800" t="str">
        <f>+input!B45</f>
        <v>122i</v>
      </c>
      <c r="C106" s="366">
        <f t="shared" si="4"/>
        <v>26.143999999999998</v>
      </c>
      <c r="D106" s="483">
        <f>+input!P45</f>
        <v>290</v>
      </c>
      <c r="E106" s="483">
        <f>+input!N45</f>
        <v>12</v>
      </c>
      <c r="F106" s="483">
        <f>+input!G45</f>
        <v>800</v>
      </c>
      <c r="G106" s="483">
        <f>+input!T45</f>
        <v>1200</v>
      </c>
      <c r="H106" s="483">
        <f>+input!U45</f>
        <v>2400</v>
      </c>
      <c r="I106" s="483">
        <f>+input!V45/2</f>
        <v>1900</v>
      </c>
      <c r="J106" s="483">
        <f t="shared" si="1"/>
        <v>2750</v>
      </c>
      <c r="K106" s="483">
        <f t="shared" si="2"/>
        <v>3100</v>
      </c>
      <c r="L106" s="483">
        <f t="shared" si="3"/>
        <v>5500</v>
      </c>
      <c r="M106" s="153"/>
      <c r="N106" s="144"/>
      <c r="Q106" s="122"/>
      <c r="R106" s="504"/>
      <c r="S106" s="122"/>
      <c r="X106" s="73"/>
      <c r="Z106" s="73"/>
      <c r="AC106" s="73"/>
      <c r="BB106" s="143"/>
    </row>
    <row r="107" spans="2:54" ht="15" customHeight="1">
      <c r="B107" s="800" t="str">
        <f>+input!B46</f>
        <v>122j</v>
      </c>
      <c r="C107" s="366">
        <f xml:space="preserve"> 49.37*0.8</f>
        <v>39.496000000000002</v>
      </c>
      <c r="D107" s="483">
        <f>+input!P46</f>
        <v>290</v>
      </c>
      <c r="E107" s="483">
        <f>+input!N46</f>
        <v>12</v>
      </c>
      <c r="F107" s="483">
        <f>+input!G46</f>
        <v>800</v>
      </c>
      <c r="G107" s="483">
        <f>+input!T46</f>
        <v>1200</v>
      </c>
      <c r="H107" s="483">
        <f>+input!U46</f>
        <v>2400</v>
      </c>
      <c r="I107" s="483">
        <f>+input!V46/2</f>
        <v>1900</v>
      </c>
      <c r="J107" s="483">
        <f t="shared" si="1"/>
        <v>2750</v>
      </c>
      <c r="K107" s="483">
        <f t="shared" si="2"/>
        <v>3100</v>
      </c>
      <c r="L107" s="483">
        <f t="shared" si="3"/>
        <v>5500</v>
      </c>
      <c r="M107" s="153"/>
      <c r="N107" s="144"/>
      <c r="Q107" s="122"/>
      <c r="R107" s="504"/>
      <c r="S107" s="122"/>
      <c r="X107" s="73"/>
      <c r="Z107" s="73"/>
      <c r="AC107" s="73"/>
      <c r="BB107" s="143"/>
    </row>
    <row r="108" spans="2:54" ht="15" customHeight="1">
      <c r="B108" s="800" t="str">
        <f>+input!B47</f>
        <v>123i</v>
      </c>
      <c r="C108" s="366">
        <f t="shared" ref="C108:C125" si="5" xml:space="preserve"> 49.37*0.8</f>
        <v>39.496000000000002</v>
      </c>
      <c r="D108" s="483">
        <f>+input!P47</f>
        <v>290</v>
      </c>
      <c r="E108" s="483">
        <f>+input!N47</f>
        <v>12</v>
      </c>
      <c r="F108" s="483">
        <f>+input!G47</f>
        <v>600</v>
      </c>
      <c r="G108" s="483">
        <f>+input!T47</f>
        <v>1200</v>
      </c>
      <c r="H108" s="483">
        <f>+input!U47</f>
        <v>2400</v>
      </c>
      <c r="I108" s="483">
        <f>+input!V47/2</f>
        <v>1900</v>
      </c>
      <c r="J108" s="483">
        <f t="shared" si="1"/>
        <v>2750</v>
      </c>
      <c r="K108" s="483">
        <f t="shared" si="2"/>
        <v>3100</v>
      </c>
      <c r="L108" s="483">
        <f t="shared" si="3"/>
        <v>5500</v>
      </c>
      <c r="M108" s="153"/>
      <c r="N108" s="144"/>
      <c r="Q108" s="122"/>
      <c r="R108" s="504"/>
      <c r="S108" s="122"/>
      <c r="X108" s="73"/>
      <c r="Z108" s="73"/>
      <c r="AC108" s="73"/>
      <c r="BB108" s="143"/>
    </row>
    <row r="109" spans="2:54" ht="15" customHeight="1">
      <c r="B109" s="800" t="str">
        <f>+input!B48</f>
        <v>123j</v>
      </c>
      <c r="C109" s="366">
        <f t="shared" si="5"/>
        <v>39.496000000000002</v>
      </c>
      <c r="D109" s="483">
        <f>+input!P48</f>
        <v>290</v>
      </c>
      <c r="E109" s="483">
        <f>+input!N48</f>
        <v>12</v>
      </c>
      <c r="F109" s="483">
        <f>+input!G48</f>
        <v>600</v>
      </c>
      <c r="G109" s="483">
        <f>+input!T48</f>
        <v>1200</v>
      </c>
      <c r="H109" s="483">
        <f>+input!U48</f>
        <v>2400</v>
      </c>
      <c r="I109" s="483">
        <f>+input!V48/2</f>
        <v>1900</v>
      </c>
      <c r="J109" s="483">
        <f t="shared" si="1"/>
        <v>2750</v>
      </c>
      <c r="K109" s="483">
        <f t="shared" si="2"/>
        <v>3100</v>
      </c>
      <c r="L109" s="483">
        <f t="shared" si="3"/>
        <v>5500</v>
      </c>
      <c r="M109" s="153"/>
      <c r="N109" s="144"/>
      <c r="Q109" s="122"/>
      <c r="R109" s="504"/>
      <c r="S109" s="122"/>
      <c r="X109" s="73"/>
      <c r="Z109" s="73"/>
      <c r="AC109" s="73"/>
      <c r="BB109" s="143"/>
    </row>
    <row r="110" spans="2:54" ht="15" customHeight="1">
      <c r="B110" s="800" t="str">
        <f>+input!B49</f>
        <v>124i</v>
      </c>
      <c r="C110" s="366">
        <f t="shared" si="5"/>
        <v>39.496000000000002</v>
      </c>
      <c r="D110" s="483">
        <f>+input!P49</f>
        <v>290</v>
      </c>
      <c r="E110" s="483">
        <f>+input!N49</f>
        <v>12</v>
      </c>
      <c r="F110" s="483">
        <f>+input!G49</f>
        <v>500</v>
      </c>
      <c r="G110" s="483">
        <f>+input!T49</f>
        <v>1200</v>
      </c>
      <c r="H110" s="483">
        <f>+input!U49</f>
        <v>2400</v>
      </c>
      <c r="I110" s="483">
        <f>+input!V49/2</f>
        <v>1900</v>
      </c>
      <c r="J110" s="483">
        <f t="shared" si="1"/>
        <v>2750</v>
      </c>
      <c r="K110" s="483">
        <f t="shared" si="2"/>
        <v>3100</v>
      </c>
      <c r="L110" s="483">
        <f t="shared" si="3"/>
        <v>5500</v>
      </c>
      <c r="M110" s="153"/>
      <c r="N110" s="144"/>
      <c r="Q110" s="122"/>
      <c r="R110" s="504"/>
      <c r="S110" s="122"/>
      <c r="X110" s="73"/>
      <c r="Z110" s="73"/>
      <c r="AC110" s="73"/>
      <c r="BB110" s="143"/>
    </row>
    <row r="111" spans="2:54" ht="15" customHeight="1">
      <c r="B111" s="800" t="str">
        <f>+input!B50</f>
        <v>124j</v>
      </c>
      <c r="C111" s="366">
        <f t="shared" si="5"/>
        <v>39.496000000000002</v>
      </c>
      <c r="D111" s="483">
        <f>+input!P50</f>
        <v>290</v>
      </c>
      <c r="E111" s="483">
        <f>+input!N50</f>
        <v>12</v>
      </c>
      <c r="F111" s="483">
        <f>+input!G50</f>
        <v>500</v>
      </c>
      <c r="G111" s="483">
        <f>+input!T50</f>
        <v>1200</v>
      </c>
      <c r="H111" s="483">
        <f>+input!U50</f>
        <v>2400</v>
      </c>
      <c r="I111" s="483">
        <f>+input!V50/2</f>
        <v>1900</v>
      </c>
      <c r="J111" s="483">
        <f t="shared" si="1"/>
        <v>2750</v>
      </c>
      <c r="K111" s="483">
        <f t="shared" si="2"/>
        <v>3100</v>
      </c>
      <c r="L111" s="483">
        <f t="shared" si="3"/>
        <v>5500</v>
      </c>
      <c r="M111" s="153"/>
      <c r="N111" s="144"/>
      <c r="Q111" s="122"/>
      <c r="R111" s="504"/>
      <c r="S111" s="122"/>
      <c r="X111" s="73"/>
      <c r="Z111" s="73"/>
      <c r="AC111" s="73"/>
      <c r="BB111" s="143"/>
    </row>
    <row r="112" spans="2:54" ht="15" customHeight="1">
      <c r="B112" s="800" t="str">
        <f>+input!B51</f>
        <v>125i</v>
      </c>
      <c r="C112" s="366">
        <f t="shared" si="5"/>
        <v>39.496000000000002</v>
      </c>
      <c r="D112" s="483">
        <f>+input!P51</f>
        <v>290</v>
      </c>
      <c r="E112" s="483">
        <f>+input!N51</f>
        <v>12</v>
      </c>
      <c r="F112" s="483">
        <f>+input!G51</f>
        <v>500</v>
      </c>
      <c r="G112" s="483">
        <f>+input!T51</f>
        <v>1200</v>
      </c>
      <c r="H112" s="483">
        <f>+input!U51</f>
        <v>2400</v>
      </c>
      <c r="I112" s="483">
        <f>+input!V51/2</f>
        <v>1900</v>
      </c>
      <c r="J112" s="483">
        <f t="shared" si="1"/>
        <v>2750</v>
      </c>
      <c r="K112" s="483">
        <f t="shared" si="2"/>
        <v>3100</v>
      </c>
      <c r="L112" s="483">
        <f t="shared" si="3"/>
        <v>5500</v>
      </c>
      <c r="M112" s="153"/>
      <c r="N112" s="144"/>
      <c r="Q112" s="122"/>
      <c r="R112" s="504"/>
      <c r="S112" s="122"/>
      <c r="X112" s="73"/>
      <c r="Z112" s="73"/>
      <c r="AC112" s="73"/>
      <c r="BB112" s="143"/>
    </row>
    <row r="113" spans="2:54" ht="15" customHeight="1">
      <c r="B113" s="800" t="str">
        <f>+input!B52</f>
        <v>125j</v>
      </c>
      <c r="C113" s="366">
        <f t="shared" si="5"/>
        <v>39.496000000000002</v>
      </c>
      <c r="D113" s="483">
        <f>+input!P52</f>
        <v>290</v>
      </c>
      <c r="E113" s="483">
        <f>+input!N52</f>
        <v>12</v>
      </c>
      <c r="F113" s="483">
        <f>+input!G52</f>
        <v>500</v>
      </c>
      <c r="G113" s="483">
        <f>+input!T52</f>
        <v>1200</v>
      </c>
      <c r="H113" s="483">
        <f>+input!U52</f>
        <v>2400</v>
      </c>
      <c r="I113" s="483">
        <f>+input!V52/2</f>
        <v>1900</v>
      </c>
      <c r="J113" s="483">
        <f t="shared" si="1"/>
        <v>2750</v>
      </c>
      <c r="K113" s="483">
        <f t="shared" si="2"/>
        <v>3100</v>
      </c>
      <c r="L113" s="483">
        <f t="shared" si="3"/>
        <v>5500</v>
      </c>
      <c r="M113" s="153"/>
      <c r="N113" s="144"/>
      <c r="Q113" s="122"/>
      <c r="R113" s="504"/>
      <c r="S113" s="122"/>
      <c r="X113" s="73"/>
      <c r="Z113" s="73"/>
      <c r="AC113" s="73"/>
      <c r="BB113" s="143"/>
    </row>
    <row r="114" spans="2:54" ht="15" customHeight="1">
      <c r="B114" s="800" t="str">
        <f>+input!B53</f>
        <v>126i</v>
      </c>
      <c r="C114" s="366">
        <f t="shared" si="5"/>
        <v>39.496000000000002</v>
      </c>
      <c r="D114" s="483">
        <f>+input!P53</f>
        <v>290</v>
      </c>
      <c r="E114" s="483">
        <f>+input!N53</f>
        <v>12</v>
      </c>
      <c r="F114" s="483">
        <f>+input!G53</f>
        <v>500</v>
      </c>
      <c r="G114" s="483">
        <f>+input!T53</f>
        <v>1200</v>
      </c>
      <c r="H114" s="483">
        <f>+input!U53</f>
        <v>2400</v>
      </c>
      <c r="I114" s="483">
        <f>+input!V53/2</f>
        <v>1900</v>
      </c>
      <c r="J114" s="483">
        <f t="shared" si="1"/>
        <v>2750</v>
      </c>
      <c r="K114" s="483">
        <f t="shared" si="2"/>
        <v>3100</v>
      </c>
      <c r="L114" s="483">
        <f t="shared" si="3"/>
        <v>5500</v>
      </c>
      <c r="M114" s="153"/>
      <c r="N114" s="144"/>
      <c r="Q114" s="122"/>
      <c r="R114" s="504"/>
      <c r="S114" s="122"/>
      <c r="X114" s="73"/>
      <c r="Z114" s="73"/>
      <c r="AC114" s="73"/>
      <c r="BB114" s="143"/>
    </row>
    <row r="115" spans="2:54" ht="15" customHeight="1">
      <c r="B115" s="800" t="str">
        <f>+input!B54</f>
        <v>126j</v>
      </c>
      <c r="C115" s="366">
        <f t="shared" si="5"/>
        <v>39.496000000000002</v>
      </c>
      <c r="D115" s="483">
        <f>+input!P54</f>
        <v>290</v>
      </c>
      <c r="E115" s="483">
        <f>+input!N54</f>
        <v>12</v>
      </c>
      <c r="F115" s="483">
        <f>+input!G54</f>
        <v>500</v>
      </c>
      <c r="G115" s="483">
        <f>+input!T54</f>
        <v>1200</v>
      </c>
      <c r="H115" s="483">
        <f>+input!U54</f>
        <v>2400</v>
      </c>
      <c r="I115" s="483">
        <f>+input!V54/2</f>
        <v>1900</v>
      </c>
      <c r="J115" s="483">
        <f t="shared" si="1"/>
        <v>2750</v>
      </c>
      <c r="K115" s="483">
        <f t="shared" si="2"/>
        <v>3100</v>
      </c>
      <c r="L115" s="483">
        <f t="shared" si="3"/>
        <v>5500</v>
      </c>
      <c r="M115" s="153"/>
      <c r="N115" s="144"/>
      <c r="Q115" s="122"/>
      <c r="R115" s="504"/>
      <c r="S115" s="122"/>
      <c r="X115" s="73"/>
      <c r="Z115" s="73"/>
      <c r="AC115" s="73"/>
      <c r="BB115" s="143"/>
    </row>
    <row r="116" spans="2:54" ht="15" customHeight="1">
      <c r="B116" s="800" t="str">
        <f>+input!B55</f>
        <v>127i</v>
      </c>
      <c r="C116" s="366">
        <f t="shared" si="5"/>
        <v>39.496000000000002</v>
      </c>
      <c r="D116" s="483">
        <f>+input!P55</f>
        <v>290</v>
      </c>
      <c r="E116" s="483">
        <f>+input!N55</f>
        <v>12</v>
      </c>
      <c r="F116" s="483">
        <f>+input!G55</f>
        <v>500</v>
      </c>
      <c r="G116" s="483">
        <f>+input!T55</f>
        <v>1200</v>
      </c>
      <c r="H116" s="483">
        <f>+input!U55</f>
        <v>2400</v>
      </c>
      <c r="I116" s="483">
        <f>+input!V55/2</f>
        <v>1900</v>
      </c>
      <c r="J116" s="483">
        <f t="shared" si="1"/>
        <v>2750</v>
      </c>
      <c r="K116" s="483">
        <f t="shared" si="2"/>
        <v>3100</v>
      </c>
      <c r="L116" s="483">
        <f t="shared" si="3"/>
        <v>5500</v>
      </c>
      <c r="M116" s="153"/>
      <c r="N116" s="144"/>
      <c r="Q116" s="122"/>
      <c r="R116" s="504"/>
      <c r="S116" s="122"/>
      <c r="X116" s="73"/>
      <c r="Z116" s="73"/>
      <c r="AC116" s="73"/>
      <c r="BB116" s="143"/>
    </row>
    <row r="117" spans="2:54" ht="15" customHeight="1">
      <c r="B117" s="800" t="str">
        <f>+input!B56</f>
        <v>127j</v>
      </c>
      <c r="C117" s="366">
        <f t="shared" si="5"/>
        <v>39.496000000000002</v>
      </c>
      <c r="D117" s="483">
        <f>+input!P56</f>
        <v>290</v>
      </c>
      <c r="E117" s="483">
        <f>+input!N56</f>
        <v>12</v>
      </c>
      <c r="F117" s="483">
        <f>+input!G56</f>
        <v>500</v>
      </c>
      <c r="G117" s="483">
        <f>+input!T56</f>
        <v>1200</v>
      </c>
      <c r="H117" s="483">
        <f>+input!U56</f>
        <v>2400</v>
      </c>
      <c r="I117" s="483">
        <f>+input!V56/2</f>
        <v>1900</v>
      </c>
      <c r="J117" s="483">
        <f t="shared" si="1"/>
        <v>2750</v>
      </c>
      <c r="K117" s="483">
        <f t="shared" si="2"/>
        <v>3100</v>
      </c>
      <c r="L117" s="483">
        <f t="shared" si="3"/>
        <v>5500</v>
      </c>
      <c r="M117" s="153"/>
      <c r="N117" s="144"/>
      <c r="Q117" s="122"/>
      <c r="R117" s="504"/>
      <c r="S117" s="122"/>
      <c r="X117" s="73"/>
      <c r="Z117" s="73"/>
      <c r="AC117" s="73"/>
      <c r="BB117" s="143"/>
    </row>
    <row r="118" spans="2:54" ht="15" customHeight="1">
      <c r="B118" s="800" t="str">
        <f>+input!B57</f>
        <v>128i</v>
      </c>
      <c r="C118" s="366">
        <f t="shared" si="5"/>
        <v>39.496000000000002</v>
      </c>
      <c r="D118" s="483">
        <f>+input!P57</f>
        <v>290</v>
      </c>
      <c r="E118" s="483">
        <f>+input!N57</f>
        <v>12</v>
      </c>
      <c r="F118" s="483">
        <f>+input!G57</f>
        <v>500</v>
      </c>
      <c r="G118" s="483">
        <f>+input!T57</f>
        <v>1200</v>
      </c>
      <c r="H118" s="483">
        <f>+input!U57</f>
        <v>2400</v>
      </c>
      <c r="I118" s="483">
        <f>+input!V57/2</f>
        <v>1900</v>
      </c>
      <c r="J118" s="483">
        <f t="shared" si="1"/>
        <v>2750</v>
      </c>
      <c r="K118" s="483">
        <f t="shared" si="2"/>
        <v>3100</v>
      </c>
      <c r="L118" s="483">
        <f t="shared" si="3"/>
        <v>5500</v>
      </c>
      <c r="M118" s="153"/>
      <c r="N118" s="144"/>
      <c r="Q118" s="122"/>
      <c r="R118" s="504"/>
      <c r="S118" s="122"/>
      <c r="X118" s="73"/>
      <c r="Z118" s="73"/>
      <c r="AC118" s="73"/>
      <c r="BB118" s="143"/>
    </row>
    <row r="119" spans="2:54" ht="15" customHeight="1">
      <c r="B119" s="800" t="str">
        <f>+input!B58</f>
        <v>128j</v>
      </c>
      <c r="C119" s="366">
        <f t="shared" si="5"/>
        <v>39.496000000000002</v>
      </c>
      <c r="D119" s="483">
        <f>+input!P58</f>
        <v>290</v>
      </c>
      <c r="E119" s="483">
        <f>+input!N58</f>
        <v>12</v>
      </c>
      <c r="F119" s="483">
        <f>+input!G58</f>
        <v>500</v>
      </c>
      <c r="G119" s="483">
        <f>+input!T58</f>
        <v>1200</v>
      </c>
      <c r="H119" s="483">
        <f>+input!U58</f>
        <v>2400</v>
      </c>
      <c r="I119" s="483">
        <f>+input!V58/2</f>
        <v>1900</v>
      </c>
      <c r="J119" s="483">
        <f t="shared" si="1"/>
        <v>2750</v>
      </c>
      <c r="K119" s="483">
        <f t="shared" si="2"/>
        <v>3100</v>
      </c>
      <c r="L119" s="483">
        <f t="shared" si="3"/>
        <v>5500</v>
      </c>
      <c r="M119" s="153"/>
      <c r="N119" s="144"/>
      <c r="Q119" s="122"/>
      <c r="R119" s="504"/>
      <c r="S119" s="122"/>
      <c r="X119" s="73"/>
      <c r="Z119" s="73"/>
      <c r="AC119" s="73"/>
      <c r="BB119" s="143"/>
    </row>
    <row r="120" spans="2:54" ht="15" customHeight="1">
      <c r="B120" s="800" t="str">
        <f>+input!B59</f>
        <v>129i</v>
      </c>
      <c r="C120" s="366">
        <f t="shared" si="5"/>
        <v>39.496000000000002</v>
      </c>
      <c r="D120" s="483">
        <f>+input!P59</f>
        <v>290</v>
      </c>
      <c r="E120" s="483">
        <f>+input!N59</f>
        <v>12</v>
      </c>
      <c r="F120" s="483">
        <f>+input!G59</f>
        <v>500</v>
      </c>
      <c r="G120" s="483">
        <f>+input!T59</f>
        <v>1200</v>
      </c>
      <c r="H120" s="483">
        <f>+input!U59</f>
        <v>2400</v>
      </c>
      <c r="I120" s="483">
        <f>+input!V59/2</f>
        <v>1900</v>
      </c>
      <c r="J120" s="483">
        <f t="shared" si="1"/>
        <v>2750</v>
      </c>
      <c r="K120" s="483">
        <f t="shared" si="2"/>
        <v>3100</v>
      </c>
      <c r="L120" s="483">
        <f t="shared" si="3"/>
        <v>5500</v>
      </c>
      <c r="M120" s="153"/>
      <c r="N120" s="144"/>
      <c r="Q120" s="122"/>
      <c r="R120" s="504"/>
      <c r="S120" s="122"/>
      <c r="X120" s="73"/>
      <c r="Z120" s="73"/>
      <c r="AC120" s="73"/>
      <c r="BB120" s="143"/>
    </row>
    <row r="121" spans="2:54" ht="15" customHeight="1">
      <c r="B121" s="800" t="str">
        <f>+input!B60</f>
        <v>129j</v>
      </c>
      <c r="C121" s="366">
        <f t="shared" si="5"/>
        <v>39.496000000000002</v>
      </c>
      <c r="D121" s="483">
        <f>+input!P60</f>
        <v>290</v>
      </c>
      <c r="E121" s="483">
        <f>+input!N60</f>
        <v>12</v>
      </c>
      <c r="F121" s="483">
        <f>+input!G60</f>
        <v>500</v>
      </c>
      <c r="G121" s="483">
        <f>+input!T60</f>
        <v>1200</v>
      </c>
      <c r="H121" s="483">
        <f>+input!U60</f>
        <v>2400</v>
      </c>
      <c r="I121" s="483">
        <f>+input!V60/2</f>
        <v>1900</v>
      </c>
      <c r="J121" s="483">
        <f t="shared" si="1"/>
        <v>2750</v>
      </c>
      <c r="K121" s="483">
        <f t="shared" si="2"/>
        <v>3100</v>
      </c>
      <c r="L121" s="483">
        <f t="shared" si="3"/>
        <v>5500</v>
      </c>
      <c r="M121" s="153"/>
      <c r="N121" s="144"/>
      <c r="Q121" s="122"/>
      <c r="R121" s="504"/>
      <c r="S121" s="122"/>
      <c r="X121" s="73"/>
      <c r="Z121" s="73"/>
      <c r="AC121" s="73"/>
      <c r="BB121" s="143"/>
    </row>
    <row r="122" spans="2:54" ht="15" customHeight="1">
      <c r="B122" s="800" t="str">
        <f>+input!B61</f>
        <v>130i</v>
      </c>
      <c r="C122" s="366">
        <f t="shared" si="5"/>
        <v>39.496000000000002</v>
      </c>
      <c r="D122" s="483">
        <f>+input!P61</f>
        <v>290</v>
      </c>
      <c r="E122" s="483">
        <f>+input!N61</f>
        <v>12</v>
      </c>
      <c r="F122" s="483">
        <f>+input!G61</f>
        <v>500</v>
      </c>
      <c r="G122" s="483">
        <f>+input!T61</f>
        <v>1175</v>
      </c>
      <c r="H122" s="483">
        <f>+input!U61</f>
        <v>2350</v>
      </c>
      <c r="I122" s="483">
        <f>+input!V61/2</f>
        <v>1925</v>
      </c>
      <c r="J122" s="483">
        <f t="shared" si="1"/>
        <v>2725</v>
      </c>
      <c r="K122" s="483">
        <f t="shared" si="2"/>
        <v>3100</v>
      </c>
      <c r="L122" s="483">
        <f t="shared" si="3"/>
        <v>5450</v>
      </c>
      <c r="M122" s="153"/>
      <c r="N122" s="144"/>
      <c r="Q122" s="122"/>
      <c r="R122" s="504"/>
      <c r="S122" s="122"/>
      <c r="X122" s="73"/>
      <c r="Z122" s="73"/>
      <c r="AC122" s="73"/>
      <c r="BB122" s="143"/>
    </row>
    <row r="123" spans="2:54" ht="15" customHeight="1">
      <c r="B123" s="800" t="str">
        <f>+input!B62</f>
        <v>130j</v>
      </c>
      <c r="C123" s="366">
        <f t="shared" si="5"/>
        <v>39.496000000000002</v>
      </c>
      <c r="D123" s="483">
        <f>+input!P62</f>
        <v>290</v>
      </c>
      <c r="E123" s="483">
        <f>+input!N62</f>
        <v>12</v>
      </c>
      <c r="F123" s="483">
        <f>+input!G62</f>
        <v>500</v>
      </c>
      <c r="G123" s="483">
        <f>+input!T62</f>
        <v>1175</v>
      </c>
      <c r="H123" s="483">
        <f>+input!U62</f>
        <v>2350</v>
      </c>
      <c r="I123" s="483">
        <f>+input!V62/2</f>
        <v>1925</v>
      </c>
      <c r="J123" s="483">
        <f t="shared" si="1"/>
        <v>2725</v>
      </c>
      <c r="K123" s="483">
        <f t="shared" si="2"/>
        <v>3100</v>
      </c>
      <c r="L123" s="483">
        <f t="shared" si="3"/>
        <v>5450</v>
      </c>
      <c r="M123" s="153"/>
      <c r="N123" s="144"/>
      <c r="Q123" s="122"/>
      <c r="R123" s="504"/>
      <c r="S123" s="122"/>
      <c r="X123" s="73"/>
      <c r="Z123" s="73"/>
      <c r="AC123" s="73"/>
      <c r="BB123" s="143"/>
    </row>
    <row r="124" spans="2:54" ht="15" customHeight="1">
      <c r="B124" s="800" t="str">
        <f>+input!B63</f>
        <v>131i</v>
      </c>
      <c r="C124" s="366">
        <f t="shared" si="5"/>
        <v>39.496000000000002</v>
      </c>
      <c r="D124" s="483">
        <f>+input!P63</f>
        <v>290</v>
      </c>
      <c r="E124" s="483">
        <f>+input!N63</f>
        <v>12</v>
      </c>
      <c r="F124" s="483">
        <f>+input!G63</f>
        <v>500</v>
      </c>
      <c r="G124" s="483">
        <f>+input!T63</f>
        <v>1175</v>
      </c>
      <c r="H124" s="483">
        <f>+input!U63</f>
        <v>2350</v>
      </c>
      <c r="I124" s="483">
        <f>+input!V63/2</f>
        <v>1925</v>
      </c>
      <c r="J124" s="483">
        <f t="shared" si="1"/>
        <v>2725</v>
      </c>
      <c r="K124" s="483">
        <f t="shared" si="2"/>
        <v>3100</v>
      </c>
      <c r="L124" s="483">
        <f t="shared" si="3"/>
        <v>5450</v>
      </c>
      <c r="M124" s="153"/>
      <c r="N124" s="144"/>
      <c r="Q124" s="122"/>
      <c r="R124" s="504"/>
      <c r="S124" s="122"/>
      <c r="X124" s="73"/>
      <c r="Z124" s="73"/>
      <c r="AC124" s="73"/>
      <c r="BB124" s="143"/>
    </row>
    <row r="125" spans="2:54" ht="15" customHeight="1" thickBot="1">
      <c r="B125" s="901" t="str">
        <f>+input!B64</f>
        <v>131j</v>
      </c>
      <c r="C125" s="366">
        <f t="shared" si="5"/>
        <v>39.496000000000002</v>
      </c>
      <c r="D125" s="902">
        <f>+input!P64</f>
        <v>290</v>
      </c>
      <c r="E125" s="902">
        <f>+input!N64</f>
        <v>12</v>
      </c>
      <c r="F125" s="902">
        <f>+input!G64</f>
        <v>500</v>
      </c>
      <c r="G125" s="902">
        <f>+input!T64</f>
        <v>1175</v>
      </c>
      <c r="H125" s="902">
        <f>+input!U64</f>
        <v>2350</v>
      </c>
      <c r="I125" s="483">
        <f>+input!V64/2</f>
        <v>1925</v>
      </c>
      <c r="J125" s="483">
        <f t="shared" si="1"/>
        <v>2725</v>
      </c>
      <c r="K125" s="483">
        <f t="shared" si="2"/>
        <v>3100</v>
      </c>
      <c r="L125" s="483">
        <f t="shared" si="3"/>
        <v>5450</v>
      </c>
      <c r="M125" s="153"/>
      <c r="N125" s="144"/>
      <c r="Q125" s="122"/>
      <c r="R125" s="504"/>
      <c r="S125" s="122"/>
      <c r="X125" s="73"/>
      <c r="Z125" s="73"/>
      <c r="AC125" s="73"/>
      <c r="BB125" s="143"/>
    </row>
    <row r="126" spans="2:54" ht="15" customHeight="1">
      <c r="B126" s="800" t="str">
        <f>+input!B65</f>
        <v>201i</v>
      </c>
      <c r="C126" s="366">
        <f>81.35*0.8</f>
        <v>65.08</v>
      </c>
      <c r="D126" s="483">
        <f>+input!P65</f>
        <v>290</v>
      </c>
      <c r="E126" s="483">
        <f>+input!N65</f>
        <v>12</v>
      </c>
      <c r="F126" s="483">
        <f>+input!G65</f>
        <v>500</v>
      </c>
      <c r="G126" s="483">
        <f>+input!T65</f>
        <v>1175</v>
      </c>
      <c r="H126" s="483">
        <f>+input!U65</f>
        <v>2350</v>
      </c>
      <c r="I126" s="483">
        <f>+input!V65/2</f>
        <v>1925</v>
      </c>
      <c r="J126" s="483">
        <f t="shared" si="1"/>
        <v>2725</v>
      </c>
      <c r="K126" s="483">
        <f t="shared" si="2"/>
        <v>3100</v>
      </c>
      <c r="L126" s="483">
        <f t="shared" si="3"/>
        <v>5450</v>
      </c>
      <c r="M126" s="1174"/>
      <c r="N126" s="170"/>
      <c r="Q126" s="122"/>
      <c r="R126" s="504"/>
      <c r="S126" s="122"/>
      <c r="X126" s="73"/>
      <c r="Z126" s="73"/>
      <c r="AC126" s="73"/>
      <c r="BB126" s="143"/>
    </row>
    <row r="127" spans="2:54" ht="15" customHeight="1">
      <c r="B127" s="800" t="str">
        <f>+input!B66</f>
        <v>201j</v>
      </c>
      <c r="C127" s="366">
        <f t="shared" ref="C127:C154" si="6">81.35*0.8</f>
        <v>65.08</v>
      </c>
      <c r="D127" s="483">
        <f>+input!P66</f>
        <v>290</v>
      </c>
      <c r="E127" s="483">
        <f>+input!N66</f>
        <v>12</v>
      </c>
      <c r="F127" s="483">
        <f>+input!G66</f>
        <v>500</v>
      </c>
      <c r="G127" s="483">
        <f>+input!T66</f>
        <v>1175</v>
      </c>
      <c r="H127" s="483">
        <f>+input!U66</f>
        <v>2350</v>
      </c>
      <c r="I127" s="483">
        <f>+input!V66/2</f>
        <v>1925</v>
      </c>
      <c r="J127" s="483">
        <f t="shared" si="1"/>
        <v>2725</v>
      </c>
      <c r="K127" s="483">
        <f t="shared" si="2"/>
        <v>3100</v>
      </c>
      <c r="L127" s="483">
        <f t="shared" si="3"/>
        <v>5450</v>
      </c>
      <c r="M127" s="1174"/>
      <c r="N127" s="170"/>
      <c r="Q127" s="122"/>
      <c r="R127" s="122"/>
      <c r="S127" s="122"/>
      <c r="X127" s="73"/>
      <c r="Z127" s="73"/>
      <c r="AC127" s="73"/>
      <c r="BB127" s="143"/>
    </row>
    <row r="128" spans="2:54" ht="15" customHeight="1">
      <c r="B128" s="800" t="str">
        <f>+input!B67</f>
        <v>202i</v>
      </c>
      <c r="C128" s="366">
        <f t="shared" si="6"/>
        <v>65.08</v>
      </c>
      <c r="D128" s="483">
        <f>+input!P67</f>
        <v>290</v>
      </c>
      <c r="E128" s="483">
        <f>+input!N67</f>
        <v>12</v>
      </c>
      <c r="F128" s="483">
        <f>+input!G67</f>
        <v>500</v>
      </c>
      <c r="G128" s="483">
        <f>+input!T67</f>
        <v>1175</v>
      </c>
      <c r="H128" s="483">
        <f>+input!U67</f>
        <v>2350</v>
      </c>
      <c r="I128" s="483">
        <f>+input!V67/2</f>
        <v>1925</v>
      </c>
      <c r="J128" s="483">
        <f t="shared" si="1"/>
        <v>2725</v>
      </c>
      <c r="K128" s="483">
        <f t="shared" si="2"/>
        <v>3100</v>
      </c>
      <c r="L128" s="483">
        <f t="shared" si="3"/>
        <v>5450</v>
      </c>
      <c r="M128" s="1174"/>
      <c r="N128" s="170"/>
      <c r="Q128" s="122"/>
      <c r="R128" s="122"/>
      <c r="S128" s="122"/>
      <c r="X128" s="73"/>
      <c r="Z128" s="73"/>
      <c r="AC128" s="73"/>
      <c r="BB128" s="143"/>
    </row>
    <row r="129" spans="2:54" ht="15" customHeight="1">
      <c r="B129" s="800" t="str">
        <f>+input!B68</f>
        <v>202j</v>
      </c>
      <c r="C129" s="366">
        <f t="shared" si="6"/>
        <v>65.08</v>
      </c>
      <c r="D129" s="483">
        <f>+input!P68</f>
        <v>290</v>
      </c>
      <c r="E129" s="483">
        <f>+input!N68</f>
        <v>12</v>
      </c>
      <c r="F129" s="483">
        <f>+input!G68</f>
        <v>500</v>
      </c>
      <c r="G129" s="483">
        <f>+input!T68</f>
        <v>1175</v>
      </c>
      <c r="H129" s="483">
        <f>+input!U68</f>
        <v>2350</v>
      </c>
      <c r="I129" s="483">
        <f>+input!V68/2</f>
        <v>1925</v>
      </c>
      <c r="J129" s="483">
        <f t="shared" ref="J129:J187" si="7">MIN(0.125*C129*1000,6*D129+MAX(0.5*E129,0.25*F129),G129)+K129/2</f>
        <v>2725</v>
      </c>
      <c r="K129" s="483">
        <f t="shared" ref="K129:K187" si="8">MIN(0.25*C129*1000,12*D129+MAX(E129,0.5*F129),AVERAGE(H129,I129*2))</f>
        <v>3100</v>
      </c>
      <c r="L129" s="483">
        <f t="shared" ref="L129:L187" si="9">MIN(K129+J129,G129+H129+I129)</f>
        <v>5450</v>
      </c>
      <c r="M129" s="1174"/>
      <c r="N129" s="170"/>
      <c r="Q129" s="122"/>
      <c r="R129" s="122"/>
      <c r="S129" s="122"/>
      <c r="X129" s="73"/>
      <c r="Z129" s="73"/>
      <c r="AC129" s="73"/>
      <c r="BB129" s="143"/>
    </row>
    <row r="130" spans="2:54" ht="15" customHeight="1">
      <c r="B130" s="800" t="str">
        <f>+input!B69</f>
        <v>203i</v>
      </c>
      <c r="C130" s="366">
        <f t="shared" si="6"/>
        <v>65.08</v>
      </c>
      <c r="D130" s="483">
        <f>+input!P69</f>
        <v>290</v>
      </c>
      <c r="E130" s="483">
        <f>+input!N69</f>
        <v>12</v>
      </c>
      <c r="F130" s="483">
        <f>+input!G69</f>
        <v>500</v>
      </c>
      <c r="G130" s="483">
        <f>+input!T69</f>
        <v>1200</v>
      </c>
      <c r="H130" s="483">
        <f>+input!U69</f>
        <v>2400</v>
      </c>
      <c r="I130" s="483">
        <f>+input!V69/2</f>
        <v>1900</v>
      </c>
      <c r="J130" s="483">
        <f t="shared" si="7"/>
        <v>2750</v>
      </c>
      <c r="K130" s="483">
        <f t="shared" si="8"/>
        <v>3100</v>
      </c>
      <c r="L130" s="483">
        <f t="shared" si="9"/>
        <v>5500</v>
      </c>
      <c r="M130" s="1174"/>
      <c r="N130" s="170"/>
      <c r="Q130" s="122"/>
      <c r="R130" s="122"/>
      <c r="S130" s="122"/>
      <c r="X130" s="73"/>
      <c r="Z130" s="73"/>
      <c r="AC130" s="73"/>
      <c r="BB130" s="143"/>
    </row>
    <row r="131" spans="2:54" ht="15" customHeight="1">
      <c r="B131" s="800" t="str">
        <f>+input!B70</f>
        <v>203j</v>
      </c>
      <c r="C131" s="366">
        <f t="shared" si="6"/>
        <v>65.08</v>
      </c>
      <c r="D131" s="483">
        <f>+input!P70</f>
        <v>290</v>
      </c>
      <c r="E131" s="483">
        <f>+input!N70</f>
        <v>12</v>
      </c>
      <c r="F131" s="483">
        <f>+input!G70</f>
        <v>500</v>
      </c>
      <c r="G131" s="483">
        <f>+input!T70</f>
        <v>1200</v>
      </c>
      <c r="H131" s="483">
        <f>+input!U70</f>
        <v>2400</v>
      </c>
      <c r="I131" s="483">
        <f>+input!V70/2</f>
        <v>1900</v>
      </c>
      <c r="J131" s="483">
        <f t="shared" si="7"/>
        <v>2750</v>
      </c>
      <c r="K131" s="483">
        <f t="shared" si="8"/>
        <v>3100</v>
      </c>
      <c r="L131" s="483">
        <f t="shared" si="9"/>
        <v>5500</v>
      </c>
      <c r="M131" s="1174"/>
      <c r="N131" s="170"/>
      <c r="Q131" s="122"/>
      <c r="R131" s="122"/>
      <c r="S131" s="122"/>
      <c r="X131" s="73"/>
      <c r="Z131" s="73"/>
      <c r="AC131" s="73"/>
      <c r="BB131" s="143"/>
    </row>
    <row r="132" spans="2:54" ht="15" customHeight="1">
      <c r="B132" s="800" t="str">
        <f>+input!B71</f>
        <v>204i</v>
      </c>
      <c r="C132" s="366">
        <f t="shared" si="6"/>
        <v>65.08</v>
      </c>
      <c r="D132" s="483">
        <f>+input!P71</f>
        <v>290</v>
      </c>
      <c r="E132" s="483">
        <f>+input!N71</f>
        <v>12</v>
      </c>
      <c r="F132" s="483">
        <f>+input!G71</f>
        <v>500</v>
      </c>
      <c r="G132" s="483">
        <f>+input!T71</f>
        <v>1200</v>
      </c>
      <c r="H132" s="483">
        <f>+input!U71</f>
        <v>2400</v>
      </c>
      <c r="I132" s="483">
        <f>+input!V71/2</f>
        <v>1900</v>
      </c>
      <c r="J132" s="483">
        <f t="shared" si="7"/>
        <v>2750</v>
      </c>
      <c r="K132" s="483">
        <f t="shared" si="8"/>
        <v>3100</v>
      </c>
      <c r="L132" s="483">
        <f t="shared" si="9"/>
        <v>5500</v>
      </c>
      <c r="M132" s="1174"/>
      <c r="N132" s="170"/>
      <c r="Q132" s="122"/>
      <c r="R132" s="122"/>
      <c r="S132" s="122"/>
      <c r="X132" s="73"/>
      <c r="Z132" s="73"/>
      <c r="AC132" s="73"/>
      <c r="BB132" s="143"/>
    </row>
    <row r="133" spans="2:54" ht="15" customHeight="1">
      <c r="B133" s="800" t="str">
        <f>+input!B72</f>
        <v>204j</v>
      </c>
      <c r="C133" s="366">
        <f t="shared" si="6"/>
        <v>65.08</v>
      </c>
      <c r="D133" s="483">
        <f>+input!P72</f>
        <v>290</v>
      </c>
      <c r="E133" s="483">
        <f>+input!N72</f>
        <v>12</v>
      </c>
      <c r="F133" s="483">
        <f>+input!G72</f>
        <v>500</v>
      </c>
      <c r="G133" s="483">
        <f>+input!T72</f>
        <v>1200</v>
      </c>
      <c r="H133" s="483">
        <f>+input!U72</f>
        <v>2400</v>
      </c>
      <c r="I133" s="483">
        <f>+input!V72/2</f>
        <v>1900</v>
      </c>
      <c r="J133" s="483">
        <f t="shared" si="7"/>
        <v>2750</v>
      </c>
      <c r="K133" s="483">
        <f t="shared" si="8"/>
        <v>3100</v>
      </c>
      <c r="L133" s="483">
        <f t="shared" si="9"/>
        <v>5500</v>
      </c>
      <c r="M133" s="1174"/>
      <c r="N133" s="170"/>
      <c r="Q133" s="122"/>
      <c r="R133" s="122"/>
      <c r="S133" s="122"/>
      <c r="X133" s="73"/>
      <c r="Z133" s="73"/>
      <c r="AC133" s="73"/>
      <c r="BB133" s="143"/>
    </row>
    <row r="134" spans="2:54" ht="15" customHeight="1">
      <c r="B134" s="800" t="str">
        <f>+input!B73</f>
        <v>205i</v>
      </c>
      <c r="C134" s="366">
        <f t="shared" si="6"/>
        <v>65.08</v>
      </c>
      <c r="D134" s="483">
        <f>+input!P73</f>
        <v>290</v>
      </c>
      <c r="E134" s="483">
        <f>+input!N73</f>
        <v>12</v>
      </c>
      <c r="F134" s="483">
        <f>+input!G73</f>
        <v>500</v>
      </c>
      <c r="G134" s="483">
        <f>+input!T73</f>
        <v>1200</v>
      </c>
      <c r="H134" s="483">
        <f>+input!U73</f>
        <v>2400</v>
      </c>
      <c r="I134" s="483">
        <f>+input!V73/2</f>
        <v>1900</v>
      </c>
      <c r="J134" s="483">
        <f t="shared" si="7"/>
        <v>2750</v>
      </c>
      <c r="K134" s="483">
        <f t="shared" si="8"/>
        <v>3100</v>
      </c>
      <c r="L134" s="483">
        <f t="shared" si="9"/>
        <v>5500</v>
      </c>
      <c r="M134" s="1174"/>
      <c r="N134" s="170"/>
      <c r="Q134" s="122"/>
      <c r="R134" s="122"/>
      <c r="S134" s="122"/>
      <c r="X134" s="73"/>
      <c r="Z134" s="73"/>
      <c r="AC134" s="73"/>
      <c r="BB134" s="143"/>
    </row>
    <row r="135" spans="2:54" ht="15" customHeight="1">
      <c r="B135" s="800" t="str">
        <f>+input!B74</f>
        <v>205j</v>
      </c>
      <c r="C135" s="366">
        <f t="shared" si="6"/>
        <v>65.08</v>
      </c>
      <c r="D135" s="483">
        <f>+input!P74</f>
        <v>290</v>
      </c>
      <c r="E135" s="483">
        <f>+input!N74</f>
        <v>12</v>
      </c>
      <c r="F135" s="483">
        <f>+input!G74</f>
        <v>500</v>
      </c>
      <c r="G135" s="483">
        <f>+input!T74</f>
        <v>1200</v>
      </c>
      <c r="H135" s="483">
        <f>+input!U74</f>
        <v>2400</v>
      </c>
      <c r="I135" s="483">
        <f>+input!V74/2</f>
        <v>1900</v>
      </c>
      <c r="J135" s="483">
        <f t="shared" si="7"/>
        <v>2750</v>
      </c>
      <c r="K135" s="483">
        <f t="shared" si="8"/>
        <v>3100</v>
      </c>
      <c r="L135" s="483">
        <f t="shared" si="9"/>
        <v>5500</v>
      </c>
      <c r="M135" s="1174"/>
      <c r="N135" s="170"/>
      <c r="Q135" s="122"/>
      <c r="R135" s="122"/>
      <c r="S135" s="122"/>
      <c r="X135" s="73"/>
      <c r="Z135" s="73"/>
      <c r="AC135" s="73"/>
      <c r="BB135" s="143"/>
    </row>
    <row r="136" spans="2:54" ht="15" customHeight="1">
      <c r="B136" s="800" t="str">
        <f>+input!B75</f>
        <v>206i</v>
      </c>
      <c r="C136" s="366">
        <f t="shared" si="6"/>
        <v>65.08</v>
      </c>
      <c r="D136" s="483">
        <f>+input!P75</f>
        <v>290</v>
      </c>
      <c r="E136" s="483">
        <f>+input!N75</f>
        <v>12</v>
      </c>
      <c r="F136" s="483">
        <f>+input!G75</f>
        <v>500</v>
      </c>
      <c r="G136" s="483">
        <f>+input!T75</f>
        <v>1200</v>
      </c>
      <c r="H136" s="483">
        <f>+input!U75</f>
        <v>2400</v>
      </c>
      <c r="I136" s="483">
        <f>+input!V75/2</f>
        <v>1900</v>
      </c>
      <c r="J136" s="483">
        <f t="shared" si="7"/>
        <v>2750</v>
      </c>
      <c r="K136" s="483">
        <f t="shared" si="8"/>
        <v>3100</v>
      </c>
      <c r="L136" s="483">
        <f t="shared" si="9"/>
        <v>5500</v>
      </c>
      <c r="M136" s="1174"/>
      <c r="N136" s="170"/>
      <c r="Q136" s="122"/>
      <c r="R136" s="122"/>
      <c r="S136" s="122"/>
      <c r="X136" s="73"/>
      <c r="Z136" s="73"/>
      <c r="AC136" s="73"/>
      <c r="BB136" s="143"/>
    </row>
    <row r="137" spans="2:54" ht="15" customHeight="1">
      <c r="B137" s="800" t="str">
        <f>+input!B76</f>
        <v>206j</v>
      </c>
      <c r="C137" s="366">
        <f t="shared" si="6"/>
        <v>65.08</v>
      </c>
      <c r="D137" s="483">
        <f>+input!P76</f>
        <v>290</v>
      </c>
      <c r="E137" s="483">
        <f>+input!N76</f>
        <v>12</v>
      </c>
      <c r="F137" s="483">
        <f>+input!G76</f>
        <v>500</v>
      </c>
      <c r="G137" s="483">
        <f>+input!T76</f>
        <v>1200</v>
      </c>
      <c r="H137" s="483">
        <f>+input!U76</f>
        <v>2400</v>
      </c>
      <c r="I137" s="483">
        <f>+input!V76/2</f>
        <v>1900</v>
      </c>
      <c r="J137" s="483">
        <f t="shared" si="7"/>
        <v>2750</v>
      </c>
      <c r="K137" s="483">
        <f t="shared" si="8"/>
        <v>3100</v>
      </c>
      <c r="L137" s="483">
        <f t="shared" si="9"/>
        <v>5500</v>
      </c>
      <c r="M137" s="1174"/>
      <c r="N137" s="170"/>
      <c r="Q137" s="122"/>
      <c r="R137" s="122"/>
      <c r="S137" s="122"/>
      <c r="X137" s="73"/>
      <c r="Z137" s="73"/>
      <c r="AC137" s="73"/>
      <c r="BB137" s="143"/>
    </row>
    <row r="138" spans="2:54" ht="15" customHeight="1">
      <c r="B138" s="800" t="str">
        <f>+input!B77</f>
        <v>207i</v>
      </c>
      <c r="C138" s="366">
        <f t="shared" si="6"/>
        <v>65.08</v>
      </c>
      <c r="D138" s="483">
        <f>+input!P77</f>
        <v>290</v>
      </c>
      <c r="E138" s="483">
        <f>+input!N77</f>
        <v>12</v>
      </c>
      <c r="F138" s="483">
        <f>+input!G77</f>
        <v>600</v>
      </c>
      <c r="G138" s="483">
        <f>+input!T77</f>
        <v>1200</v>
      </c>
      <c r="H138" s="483">
        <f>+input!U77</f>
        <v>2400</v>
      </c>
      <c r="I138" s="483">
        <f>+input!V77/2</f>
        <v>1900</v>
      </c>
      <c r="J138" s="483">
        <f t="shared" si="7"/>
        <v>2750</v>
      </c>
      <c r="K138" s="483">
        <f t="shared" si="8"/>
        <v>3100</v>
      </c>
      <c r="L138" s="483">
        <f t="shared" si="9"/>
        <v>5500</v>
      </c>
      <c r="M138" s="1174"/>
      <c r="N138" s="170"/>
      <c r="Q138" s="122"/>
      <c r="R138" s="122"/>
      <c r="S138" s="122"/>
      <c r="X138" s="73"/>
      <c r="Z138" s="73"/>
      <c r="AC138" s="73"/>
      <c r="BB138" s="143"/>
    </row>
    <row r="139" spans="2:54" ht="15" customHeight="1">
      <c r="B139" s="800" t="str">
        <f>+input!B78</f>
        <v>207j</v>
      </c>
      <c r="C139" s="366">
        <f t="shared" si="6"/>
        <v>65.08</v>
      </c>
      <c r="D139" s="483">
        <f>+input!P78</f>
        <v>290</v>
      </c>
      <c r="E139" s="483">
        <f>+input!N78</f>
        <v>12</v>
      </c>
      <c r="F139" s="483">
        <f>+input!G78</f>
        <v>600</v>
      </c>
      <c r="G139" s="483">
        <f>+input!T78</f>
        <v>1200</v>
      </c>
      <c r="H139" s="483">
        <f>+input!U78</f>
        <v>2400</v>
      </c>
      <c r="I139" s="483">
        <f>+input!V78/2</f>
        <v>1900</v>
      </c>
      <c r="J139" s="483">
        <f t="shared" si="7"/>
        <v>2750</v>
      </c>
      <c r="K139" s="483">
        <f t="shared" si="8"/>
        <v>3100</v>
      </c>
      <c r="L139" s="483">
        <f t="shared" si="9"/>
        <v>5500</v>
      </c>
      <c r="M139" s="1174"/>
      <c r="N139" s="170"/>
      <c r="Q139" s="122"/>
      <c r="R139" s="122"/>
      <c r="S139" s="122"/>
      <c r="X139" s="73"/>
      <c r="Z139" s="73"/>
      <c r="AC139" s="73"/>
      <c r="BB139" s="143"/>
    </row>
    <row r="140" spans="2:54" ht="15" customHeight="1">
      <c r="B140" s="928" t="str">
        <f>+input!B79</f>
        <v>208i</v>
      </c>
      <c r="C140" s="366">
        <f t="shared" si="6"/>
        <v>65.08</v>
      </c>
      <c r="D140" s="929">
        <f>+input!P79</f>
        <v>290</v>
      </c>
      <c r="E140" s="929">
        <f>+input!N79</f>
        <v>12</v>
      </c>
      <c r="F140" s="929">
        <f>+input!G79</f>
        <v>600</v>
      </c>
      <c r="G140" s="929">
        <f>+input!T79</f>
        <v>1200</v>
      </c>
      <c r="H140" s="929">
        <f>+input!U79</f>
        <v>2400</v>
      </c>
      <c r="I140" s="483">
        <f>+input!V79/2</f>
        <v>1900</v>
      </c>
      <c r="J140" s="483">
        <f t="shared" si="7"/>
        <v>2750</v>
      </c>
      <c r="K140" s="483">
        <f t="shared" si="8"/>
        <v>3100</v>
      </c>
      <c r="L140" s="483">
        <f t="shared" si="9"/>
        <v>5500</v>
      </c>
      <c r="M140" s="1174"/>
      <c r="N140" s="170"/>
      <c r="Q140" s="122"/>
      <c r="R140" s="122"/>
      <c r="S140" s="122"/>
      <c r="X140" s="73"/>
      <c r="Z140" s="73"/>
      <c r="AC140" s="73"/>
      <c r="BB140" s="143"/>
    </row>
    <row r="141" spans="2:54" ht="15" customHeight="1">
      <c r="B141" s="930" t="str">
        <f>+input!B80</f>
        <v>208j</v>
      </c>
      <c r="C141" s="366">
        <f t="shared" si="6"/>
        <v>65.08</v>
      </c>
      <c r="D141" s="931">
        <f>+input!P80</f>
        <v>290</v>
      </c>
      <c r="E141" s="931">
        <f>+input!N80</f>
        <v>12</v>
      </c>
      <c r="F141" s="931">
        <f>+input!G80</f>
        <v>600</v>
      </c>
      <c r="G141" s="931">
        <f>+input!T80</f>
        <v>1200</v>
      </c>
      <c r="H141" s="931">
        <f>+input!U80</f>
        <v>2400</v>
      </c>
      <c r="I141" s="483">
        <f>+input!V80/2</f>
        <v>1900</v>
      </c>
      <c r="J141" s="483">
        <f t="shared" si="7"/>
        <v>2750</v>
      </c>
      <c r="K141" s="483">
        <f t="shared" si="8"/>
        <v>3100</v>
      </c>
      <c r="L141" s="483">
        <f t="shared" si="9"/>
        <v>5500</v>
      </c>
      <c r="M141" s="1174"/>
      <c r="N141" s="170"/>
      <c r="Q141" s="122"/>
      <c r="R141" s="122"/>
      <c r="S141" s="122"/>
      <c r="X141" s="73"/>
      <c r="Z141" s="73"/>
      <c r="AC141" s="73"/>
      <c r="BB141" s="143"/>
    </row>
    <row r="142" spans="2:54" ht="15" customHeight="1">
      <c r="B142" s="800" t="str">
        <f>+input!B81</f>
        <v>209i</v>
      </c>
      <c r="C142" s="366">
        <f t="shared" si="6"/>
        <v>65.08</v>
      </c>
      <c r="D142" s="483">
        <f>+input!P81</f>
        <v>290</v>
      </c>
      <c r="E142" s="483">
        <f>+input!N81</f>
        <v>12</v>
      </c>
      <c r="F142" s="483">
        <f>+input!G81</f>
        <v>600</v>
      </c>
      <c r="G142" s="483">
        <f>+input!T81</f>
        <v>1200</v>
      </c>
      <c r="H142" s="483">
        <f>+input!U81</f>
        <v>2400</v>
      </c>
      <c r="I142" s="483">
        <f>+input!V81/2</f>
        <v>1900</v>
      </c>
      <c r="J142" s="483">
        <f t="shared" si="7"/>
        <v>2750</v>
      </c>
      <c r="K142" s="483">
        <f t="shared" si="8"/>
        <v>3100</v>
      </c>
      <c r="L142" s="483">
        <f t="shared" si="9"/>
        <v>5500</v>
      </c>
      <c r="M142" s="1174"/>
      <c r="N142" s="170"/>
      <c r="Q142" s="122"/>
      <c r="R142" s="122"/>
      <c r="S142" s="122"/>
      <c r="X142" s="73"/>
      <c r="Z142" s="73"/>
      <c r="AC142" s="73"/>
      <c r="BB142" s="143"/>
    </row>
    <row r="143" spans="2:54" ht="15" customHeight="1">
      <c r="B143" s="800" t="str">
        <f>+input!B82</f>
        <v>209j</v>
      </c>
      <c r="C143" s="366">
        <f t="shared" si="6"/>
        <v>65.08</v>
      </c>
      <c r="D143" s="483">
        <f>+input!P82</f>
        <v>290</v>
      </c>
      <c r="E143" s="483">
        <f>+input!N82</f>
        <v>12</v>
      </c>
      <c r="F143" s="483">
        <f>+input!G82</f>
        <v>600</v>
      </c>
      <c r="G143" s="483">
        <f>+input!T82</f>
        <v>1200</v>
      </c>
      <c r="H143" s="483">
        <f>+input!U82</f>
        <v>2400</v>
      </c>
      <c r="I143" s="483">
        <f>+input!V82/2</f>
        <v>1900</v>
      </c>
      <c r="J143" s="483">
        <f t="shared" si="7"/>
        <v>2750</v>
      </c>
      <c r="K143" s="483">
        <f t="shared" si="8"/>
        <v>3100</v>
      </c>
      <c r="L143" s="483">
        <f t="shared" si="9"/>
        <v>5500</v>
      </c>
      <c r="M143" s="1174"/>
      <c r="N143" s="170"/>
      <c r="Q143" s="122"/>
      <c r="R143" s="122"/>
      <c r="S143" s="122"/>
      <c r="X143" s="73"/>
      <c r="Z143" s="73"/>
      <c r="AC143" s="73"/>
      <c r="BB143" s="143"/>
    </row>
    <row r="144" spans="2:54" ht="15" customHeight="1">
      <c r="B144" s="800" t="str">
        <f>+input!B83</f>
        <v>210i</v>
      </c>
      <c r="C144" s="366">
        <f t="shared" si="6"/>
        <v>65.08</v>
      </c>
      <c r="D144" s="483">
        <f>+input!P83</f>
        <v>290</v>
      </c>
      <c r="E144" s="483">
        <f>+input!N83</f>
        <v>12</v>
      </c>
      <c r="F144" s="483">
        <f>+input!G83</f>
        <v>600</v>
      </c>
      <c r="G144" s="483">
        <f>+input!T83</f>
        <v>1200</v>
      </c>
      <c r="H144" s="483">
        <f>+input!U83</f>
        <v>2400</v>
      </c>
      <c r="I144" s="483">
        <f>+input!V83/2</f>
        <v>1900</v>
      </c>
      <c r="J144" s="483">
        <f t="shared" si="7"/>
        <v>2750</v>
      </c>
      <c r="K144" s="483">
        <f t="shared" si="8"/>
        <v>3100</v>
      </c>
      <c r="L144" s="483">
        <f t="shared" si="9"/>
        <v>5500</v>
      </c>
      <c r="M144" s="1174"/>
      <c r="N144" s="170"/>
      <c r="Q144" s="122"/>
      <c r="R144" s="504"/>
      <c r="S144" s="122"/>
      <c r="X144" s="73"/>
      <c r="Z144" s="73"/>
      <c r="AC144" s="73"/>
      <c r="BB144" s="143"/>
    </row>
    <row r="145" spans="2:54" ht="15" customHeight="1">
      <c r="B145" s="800" t="str">
        <f>+input!B84</f>
        <v>210j</v>
      </c>
      <c r="C145" s="366">
        <f t="shared" si="6"/>
        <v>65.08</v>
      </c>
      <c r="D145" s="483">
        <f>+input!P84</f>
        <v>290</v>
      </c>
      <c r="E145" s="483">
        <f>+input!N84</f>
        <v>12</v>
      </c>
      <c r="F145" s="483">
        <f>+input!G84</f>
        <v>600</v>
      </c>
      <c r="G145" s="483">
        <f>+input!T84</f>
        <v>1200</v>
      </c>
      <c r="H145" s="483">
        <f>+input!U84</f>
        <v>2400</v>
      </c>
      <c r="I145" s="483">
        <f>+input!V84/2</f>
        <v>1900</v>
      </c>
      <c r="J145" s="483">
        <f t="shared" si="7"/>
        <v>2750</v>
      </c>
      <c r="K145" s="483">
        <f t="shared" si="8"/>
        <v>3100</v>
      </c>
      <c r="L145" s="483">
        <f t="shared" si="9"/>
        <v>5500</v>
      </c>
      <c r="M145" s="1174"/>
      <c r="N145" s="170"/>
      <c r="Q145" s="122"/>
      <c r="R145" s="504"/>
      <c r="S145" s="122"/>
      <c r="X145" s="73"/>
      <c r="Z145" s="73"/>
      <c r="AC145" s="73"/>
      <c r="BB145" s="143"/>
    </row>
    <row r="146" spans="2:54" ht="15" customHeight="1">
      <c r="B146" s="800" t="str">
        <f>+input!B85</f>
        <v>211i</v>
      </c>
      <c r="C146" s="366">
        <f t="shared" si="6"/>
        <v>65.08</v>
      </c>
      <c r="D146" s="483">
        <f>+input!P85</f>
        <v>290</v>
      </c>
      <c r="E146" s="483">
        <f>+input!N85</f>
        <v>12</v>
      </c>
      <c r="F146" s="483">
        <f>+input!G85</f>
        <v>600</v>
      </c>
      <c r="G146" s="483">
        <f>+input!T85</f>
        <v>1200</v>
      </c>
      <c r="H146" s="483">
        <f>+input!U85</f>
        <v>2400</v>
      </c>
      <c r="I146" s="483">
        <f>+input!V85/2</f>
        <v>1900</v>
      </c>
      <c r="J146" s="483">
        <f t="shared" si="7"/>
        <v>2750</v>
      </c>
      <c r="K146" s="483">
        <f t="shared" si="8"/>
        <v>3100</v>
      </c>
      <c r="L146" s="483">
        <f t="shared" si="9"/>
        <v>5500</v>
      </c>
      <c r="M146" s="1174"/>
      <c r="N146" s="170"/>
      <c r="Q146" s="122"/>
      <c r="R146" s="122"/>
      <c r="S146" s="122"/>
      <c r="X146" s="73"/>
      <c r="Z146" s="73"/>
      <c r="AC146" s="73"/>
      <c r="BB146" s="143"/>
    </row>
    <row r="147" spans="2:54" ht="15" customHeight="1">
      <c r="B147" s="800" t="str">
        <f>+input!B86</f>
        <v>211j</v>
      </c>
      <c r="C147" s="366">
        <f t="shared" si="6"/>
        <v>65.08</v>
      </c>
      <c r="D147" s="483">
        <f>+input!P86</f>
        <v>290</v>
      </c>
      <c r="E147" s="483">
        <f>+input!N86</f>
        <v>12</v>
      </c>
      <c r="F147" s="483">
        <f>+input!G86</f>
        <v>600</v>
      </c>
      <c r="G147" s="483">
        <f>+input!T86</f>
        <v>1200</v>
      </c>
      <c r="H147" s="483">
        <f>+input!U86</f>
        <v>2400</v>
      </c>
      <c r="I147" s="483">
        <f>+input!V86/2</f>
        <v>1900</v>
      </c>
      <c r="J147" s="483">
        <f t="shared" si="7"/>
        <v>2750</v>
      </c>
      <c r="K147" s="483">
        <f t="shared" si="8"/>
        <v>3100</v>
      </c>
      <c r="L147" s="483">
        <f t="shared" si="9"/>
        <v>5500</v>
      </c>
      <c r="M147" s="1174"/>
      <c r="N147" s="170"/>
      <c r="Q147" s="122"/>
      <c r="R147" s="122"/>
      <c r="S147" s="122"/>
      <c r="X147" s="73"/>
      <c r="Z147" s="73"/>
      <c r="AC147" s="73"/>
      <c r="BB147" s="143"/>
    </row>
    <row r="148" spans="2:54" ht="15" customHeight="1">
      <c r="B148" s="800" t="str">
        <f>+input!B87</f>
        <v>212i</v>
      </c>
      <c r="C148" s="366">
        <f t="shared" si="6"/>
        <v>65.08</v>
      </c>
      <c r="D148" s="483">
        <f>+input!P87</f>
        <v>290</v>
      </c>
      <c r="E148" s="483">
        <f>+input!N87</f>
        <v>12</v>
      </c>
      <c r="F148" s="483">
        <f>+input!G87</f>
        <v>500</v>
      </c>
      <c r="G148" s="483">
        <f>+input!T87</f>
        <v>1200</v>
      </c>
      <c r="H148" s="483">
        <f>+input!U87</f>
        <v>2400</v>
      </c>
      <c r="I148" s="483">
        <f>+input!V87/2</f>
        <v>1900</v>
      </c>
      <c r="J148" s="483">
        <f t="shared" si="7"/>
        <v>2750</v>
      </c>
      <c r="K148" s="483">
        <f t="shared" si="8"/>
        <v>3100</v>
      </c>
      <c r="L148" s="483">
        <f t="shared" si="9"/>
        <v>5500</v>
      </c>
      <c r="M148" s="1174"/>
      <c r="N148" s="170"/>
      <c r="Q148" s="122"/>
      <c r="R148" s="122"/>
      <c r="S148" s="122"/>
      <c r="X148" s="73"/>
      <c r="Z148" s="73"/>
      <c r="AC148" s="73"/>
      <c r="BB148" s="143"/>
    </row>
    <row r="149" spans="2:54" ht="15" customHeight="1">
      <c r="B149" s="800" t="str">
        <f>+input!B88</f>
        <v>212j</v>
      </c>
      <c r="C149" s="366">
        <f t="shared" si="6"/>
        <v>65.08</v>
      </c>
      <c r="D149" s="483">
        <f>+input!P88</f>
        <v>290</v>
      </c>
      <c r="E149" s="483">
        <f>+input!N88</f>
        <v>12</v>
      </c>
      <c r="F149" s="483">
        <f>+input!G88</f>
        <v>500</v>
      </c>
      <c r="G149" s="483">
        <f>+input!T88</f>
        <v>1200</v>
      </c>
      <c r="H149" s="483">
        <f>+input!U88</f>
        <v>2400</v>
      </c>
      <c r="I149" s="483">
        <f>+input!V88/2</f>
        <v>1900</v>
      </c>
      <c r="J149" s="483">
        <f t="shared" si="7"/>
        <v>2750</v>
      </c>
      <c r="K149" s="483">
        <f t="shared" si="8"/>
        <v>3100</v>
      </c>
      <c r="L149" s="483">
        <f t="shared" si="9"/>
        <v>5500</v>
      </c>
      <c r="M149" s="1174"/>
      <c r="N149" s="170"/>
      <c r="Q149" s="122"/>
      <c r="R149" s="122"/>
      <c r="S149" s="122"/>
      <c r="X149" s="73"/>
      <c r="Z149" s="73"/>
      <c r="AC149" s="73"/>
      <c r="BB149" s="143"/>
    </row>
    <row r="150" spans="2:54" ht="15" customHeight="1">
      <c r="B150" s="800" t="str">
        <f>+input!B89</f>
        <v>213i</v>
      </c>
      <c r="C150" s="366">
        <f t="shared" si="6"/>
        <v>65.08</v>
      </c>
      <c r="D150" s="483">
        <f>+input!P89</f>
        <v>290</v>
      </c>
      <c r="E150" s="483">
        <f>+input!N89</f>
        <v>12</v>
      </c>
      <c r="F150" s="483">
        <f>+input!G89</f>
        <v>500</v>
      </c>
      <c r="G150" s="483">
        <f>+input!T89</f>
        <v>1200</v>
      </c>
      <c r="H150" s="483">
        <f>+input!U89</f>
        <v>2400</v>
      </c>
      <c r="I150" s="483">
        <f>+input!V89/2</f>
        <v>1900</v>
      </c>
      <c r="J150" s="483">
        <f t="shared" si="7"/>
        <v>2750</v>
      </c>
      <c r="K150" s="483">
        <f t="shared" si="8"/>
        <v>3100</v>
      </c>
      <c r="L150" s="483">
        <f t="shared" si="9"/>
        <v>5500</v>
      </c>
      <c r="M150" s="1174"/>
      <c r="N150" s="170"/>
      <c r="Q150" s="122"/>
      <c r="R150" s="122"/>
      <c r="S150" s="122"/>
      <c r="X150" s="73"/>
      <c r="Z150" s="73"/>
      <c r="AC150" s="73"/>
      <c r="BB150" s="143"/>
    </row>
    <row r="151" spans="2:54" ht="15" customHeight="1">
      <c r="B151" s="800" t="str">
        <f>+input!B90</f>
        <v>213j</v>
      </c>
      <c r="C151" s="366">
        <f t="shared" si="6"/>
        <v>65.08</v>
      </c>
      <c r="D151" s="483">
        <f>+input!P90</f>
        <v>290</v>
      </c>
      <c r="E151" s="483">
        <f>+input!N90</f>
        <v>12</v>
      </c>
      <c r="F151" s="483">
        <f>+input!G90</f>
        <v>500</v>
      </c>
      <c r="G151" s="483">
        <f>+input!T90</f>
        <v>1200</v>
      </c>
      <c r="H151" s="483">
        <f>+input!U90</f>
        <v>2400</v>
      </c>
      <c r="I151" s="483">
        <f>+input!V90/2</f>
        <v>1900</v>
      </c>
      <c r="J151" s="483">
        <f t="shared" si="7"/>
        <v>2750</v>
      </c>
      <c r="K151" s="483">
        <f t="shared" si="8"/>
        <v>3100</v>
      </c>
      <c r="L151" s="483">
        <f t="shared" si="9"/>
        <v>5500</v>
      </c>
      <c r="M151" s="1174"/>
      <c r="N151" s="170"/>
      <c r="Q151" s="122"/>
      <c r="R151" s="122"/>
      <c r="S151" s="122"/>
      <c r="X151" s="73"/>
      <c r="Z151" s="73"/>
      <c r="AC151" s="73"/>
      <c r="BB151" s="143"/>
    </row>
    <row r="152" spans="2:54" ht="15" customHeight="1">
      <c r="B152" s="800" t="str">
        <f>+input!B91</f>
        <v>214i</v>
      </c>
      <c r="C152" s="366">
        <f t="shared" si="6"/>
        <v>65.08</v>
      </c>
      <c r="D152" s="483">
        <f>+input!P91</f>
        <v>290</v>
      </c>
      <c r="E152" s="483">
        <f>+input!N91</f>
        <v>12</v>
      </c>
      <c r="F152" s="483">
        <f>+input!G91</f>
        <v>500</v>
      </c>
      <c r="G152" s="483">
        <f>+input!T91</f>
        <v>1200</v>
      </c>
      <c r="H152" s="483">
        <f>+input!U91</f>
        <v>2400</v>
      </c>
      <c r="I152" s="483">
        <f>+input!V91/2</f>
        <v>1900</v>
      </c>
      <c r="J152" s="483">
        <f t="shared" si="7"/>
        <v>2750</v>
      </c>
      <c r="K152" s="483">
        <f t="shared" si="8"/>
        <v>3100</v>
      </c>
      <c r="L152" s="483">
        <f t="shared" si="9"/>
        <v>5500</v>
      </c>
      <c r="M152" s="1174"/>
      <c r="N152" s="170"/>
      <c r="Q152" s="122"/>
      <c r="R152" s="122"/>
      <c r="S152" s="122"/>
      <c r="X152" s="73"/>
      <c r="Z152" s="73"/>
      <c r="AC152" s="73"/>
      <c r="BB152" s="143"/>
    </row>
    <row r="153" spans="2:54" ht="15" customHeight="1">
      <c r="B153" s="800" t="str">
        <f>+input!B92</f>
        <v>214j</v>
      </c>
      <c r="C153" s="366">
        <f t="shared" si="6"/>
        <v>65.08</v>
      </c>
      <c r="D153" s="483">
        <f>+input!P92</f>
        <v>290</v>
      </c>
      <c r="E153" s="483">
        <f>+input!N92</f>
        <v>12</v>
      </c>
      <c r="F153" s="483">
        <f>+input!G92</f>
        <v>500</v>
      </c>
      <c r="G153" s="483">
        <f>+input!T92</f>
        <v>1200</v>
      </c>
      <c r="H153" s="483">
        <f>+input!U92</f>
        <v>2400</v>
      </c>
      <c r="I153" s="483">
        <f>+input!V92/2</f>
        <v>1900</v>
      </c>
      <c r="J153" s="483">
        <f t="shared" si="7"/>
        <v>2750</v>
      </c>
      <c r="K153" s="483">
        <f t="shared" si="8"/>
        <v>3100</v>
      </c>
      <c r="L153" s="483">
        <f t="shared" si="9"/>
        <v>5500</v>
      </c>
      <c r="M153" s="1174"/>
      <c r="N153" s="170"/>
      <c r="Q153" s="122"/>
      <c r="R153" s="122"/>
      <c r="S153" s="122"/>
      <c r="X153" s="73"/>
      <c r="Z153" s="73"/>
      <c r="AC153" s="73"/>
      <c r="BB153" s="143"/>
    </row>
    <row r="154" spans="2:54" ht="15" customHeight="1">
      <c r="B154" s="800" t="str">
        <f>+input!B93</f>
        <v>215i</v>
      </c>
      <c r="C154" s="366">
        <f t="shared" si="6"/>
        <v>65.08</v>
      </c>
      <c r="D154" s="483">
        <f>+input!P93</f>
        <v>290</v>
      </c>
      <c r="E154" s="483">
        <f>+input!N93</f>
        <v>12</v>
      </c>
      <c r="F154" s="483">
        <f>+input!G93</f>
        <v>500</v>
      </c>
      <c r="G154" s="483">
        <f>+input!T93</f>
        <v>1200</v>
      </c>
      <c r="H154" s="483">
        <f>+input!U93</f>
        <v>2400</v>
      </c>
      <c r="I154" s="483">
        <f>+input!V93/2</f>
        <v>1900</v>
      </c>
      <c r="J154" s="483">
        <f t="shared" si="7"/>
        <v>2750</v>
      </c>
      <c r="K154" s="483">
        <f t="shared" si="8"/>
        <v>3100</v>
      </c>
      <c r="L154" s="483">
        <f t="shared" si="9"/>
        <v>5500</v>
      </c>
      <c r="M154" s="1174"/>
      <c r="N154" s="170"/>
      <c r="Q154" s="122"/>
      <c r="R154" s="122"/>
      <c r="S154" s="122"/>
      <c r="X154" s="73"/>
      <c r="Z154" s="73"/>
      <c r="AC154" s="73"/>
      <c r="BB154" s="143"/>
    </row>
    <row r="155" spans="2:54" ht="15" customHeight="1">
      <c r="B155" s="800" t="str">
        <f>+input!B94</f>
        <v>215j</v>
      </c>
      <c r="C155" s="366">
        <f>81.35*0.2 + 49.37*0.2</f>
        <v>26.143999999999998</v>
      </c>
      <c r="D155" s="483">
        <f>+input!P94</f>
        <v>290</v>
      </c>
      <c r="E155" s="483">
        <f>+input!N94</f>
        <v>12</v>
      </c>
      <c r="F155" s="483">
        <f>+input!G94</f>
        <v>500</v>
      </c>
      <c r="G155" s="483">
        <f>+input!T94</f>
        <v>1200</v>
      </c>
      <c r="H155" s="483">
        <f>+input!U94</f>
        <v>2400</v>
      </c>
      <c r="I155" s="483">
        <f>+input!V94/2</f>
        <v>1900</v>
      </c>
      <c r="J155" s="483">
        <f t="shared" si="7"/>
        <v>2750</v>
      </c>
      <c r="K155" s="483">
        <f t="shared" si="8"/>
        <v>3100</v>
      </c>
      <c r="L155" s="483">
        <f t="shared" si="9"/>
        <v>5500</v>
      </c>
      <c r="M155" s="1174"/>
      <c r="N155" s="170"/>
      <c r="Q155" s="122"/>
      <c r="R155" s="122"/>
      <c r="S155" s="122"/>
      <c r="X155" s="73"/>
      <c r="Z155" s="73"/>
      <c r="AC155" s="73"/>
      <c r="BB155" s="143"/>
    </row>
    <row r="156" spans="2:54" ht="15" customHeight="1">
      <c r="B156" s="800" t="str">
        <f>+input!B95</f>
        <v>216i</v>
      </c>
      <c r="C156" s="366">
        <f t="shared" ref="C156:C168" si="10">81.35*0.2 + 49.37*0.2</f>
        <v>26.143999999999998</v>
      </c>
      <c r="D156" s="483">
        <f>+input!P95</f>
        <v>290</v>
      </c>
      <c r="E156" s="483">
        <f>+input!N95</f>
        <v>12</v>
      </c>
      <c r="F156" s="483">
        <f>+input!G95</f>
        <v>600</v>
      </c>
      <c r="G156" s="483">
        <f>+input!T95</f>
        <v>1200</v>
      </c>
      <c r="H156" s="483">
        <f>+input!U95</f>
        <v>2400</v>
      </c>
      <c r="I156" s="483">
        <f>+input!V95/2</f>
        <v>1900</v>
      </c>
      <c r="J156" s="483">
        <f t="shared" si="7"/>
        <v>2750</v>
      </c>
      <c r="K156" s="483">
        <f t="shared" si="8"/>
        <v>3100</v>
      </c>
      <c r="L156" s="483">
        <f t="shared" si="9"/>
        <v>5500</v>
      </c>
      <c r="M156" s="1174"/>
      <c r="N156" s="170"/>
      <c r="Q156" s="122"/>
      <c r="R156" s="122"/>
      <c r="S156" s="122"/>
      <c r="X156" s="73"/>
      <c r="Z156" s="73"/>
      <c r="AC156" s="73"/>
      <c r="BB156" s="143"/>
    </row>
    <row r="157" spans="2:54" ht="15" customHeight="1">
      <c r="B157" s="800" t="str">
        <f>+input!B96</f>
        <v>216j</v>
      </c>
      <c r="C157" s="366">
        <f t="shared" si="10"/>
        <v>26.143999999999998</v>
      </c>
      <c r="D157" s="483">
        <f>+input!P96</f>
        <v>290</v>
      </c>
      <c r="E157" s="483">
        <f>+input!N96</f>
        <v>12</v>
      </c>
      <c r="F157" s="483">
        <f>+input!G96</f>
        <v>600</v>
      </c>
      <c r="G157" s="483">
        <f>+input!T96</f>
        <v>1200</v>
      </c>
      <c r="H157" s="483">
        <f>+input!U96</f>
        <v>2400</v>
      </c>
      <c r="I157" s="483">
        <f>+input!V96/2</f>
        <v>1900</v>
      </c>
      <c r="J157" s="483">
        <f t="shared" si="7"/>
        <v>2750</v>
      </c>
      <c r="K157" s="483">
        <f t="shared" si="8"/>
        <v>3100</v>
      </c>
      <c r="L157" s="483">
        <f t="shared" si="9"/>
        <v>5500</v>
      </c>
      <c r="M157" s="1174"/>
      <c r="N157" s="170"/>
      <c r="Q157" s="122"/>
      <c r="R157" s="122"/>
      <c r="S157" s="122"/>
      <c r="X157" s="73"/>
      <c r="Z157" s="73"/>
      <c r="AC157" s="73"/>
      <c r="BB157" s="143"/>
    </row>
    <row r="158" spans="2:54" ht="15" customHeight="1">
      <c r="B158" s="800" t="str">
        <f>+input!B97</f>
        <v>217i</v>
      </c>
      <c r="C158" s="366">
        <f t="shared" si="10"/>
        <v>26.143999999999998</v>
      </c>
      <c r="D158" s="483">
        <f>+input!P97</f>
        <v>290</v>
      </c>
      <c r="E158" s="483">
        <f>+input!N97</f>
        <v>12</v>
      </c>
      <c r="F158" s="483">
        <f>+input!G97</f>
        <v>800</v>
      </c>
      <c r="G158" s="483">
        <f>+input!T97</f>
        <v>1200</v>
      </c>
      <c r="H158" s="483">
        <f>+input!U97</f>
        <v>2400</v>
      </c>
      <c r="I158" s="483">
        <f>+input!V97/2</f>
        <v>1900</v>
      </c>
      <c r="J158" s="483">
        <f t="shared" si="7"/>
        <v>2750</v>
      </c>
      <c r="K158" s="483">
        <f t="shared" si="8"/>
        <v>3100</v>
      </c>
      <c r="L158" s="483">
        <f t="shared" si="9"/>
        <v>5500</v>
      </c>
      <c r="M158" s="1174"/>
      <c r="N158" s="170"/>
      <c r="Q158" s="122"/>
      <c r="R158" s="122"/>
      <c r="S158" s="122"/>
      <c r="X158" s="73"/>
      <c r="Z158" s="73"/>
      <c r="AC158" s="73"/>
      <c r="BB158" s="143"/>
    </row>
    <row r="159" spans="2:54" ht="15" customHeight="1">
      <c r="B159" s="800" t="str">
        <f>+input!B98</f>
        <v>217j</v>
      </c>
      <c r="C159" s="366">
        <f t="shared" si="10"/>
        <v>26.143999999999998</v>
      </c>
      <c r="D159" s="483">
        <f>+input!P98</f>
        <v>290</v>
      </c>
      <c r="E159" s="483">
        <f>+input!N98</f>
        <v>12</v>
      </c>
      <c r="F159" s="483">
        <f>+input!G98</f>
        <v>800</v>
      </c>
      <c r="G159" s="483">
        <f>+input!T98</f>
        <v>1200</v>
      </c>
      <c r="H159" s="483">
        <f>+input!U98</f>
        <v>2400</v>
      </c>
      <c r="I159" s="483">
        <f>+input!V98/2</f>
        <v>1900</v>
      </c>
      <c r="J159" s="483">
        <f t="shared" si="7"/>
        <v>2750</v>
      </c>
      <c r="K159" s="483">
        <f t="shared" si="8"/>
        <v>3100</v>
      </c>
      <c r="L159" s="483">
        <f t="shared" si="9"/>
        <v>5500</v>
      </c>
      <c r="M159" s="1174"/>
      <c r="N159" s="170"/>
      <c r="Q159" s="122"/>
      <c r="R159" s="122"/>
      <c r="S159" s="122"/>
      <c r="X159" s="73"/>
      <c r="Z159" s="73"/>
      <c r="AC159" s="73"/>
      <c r="BB159" s="143"/>
    </row>
    <row r="160" spans="2:54" ht="15" customHeight="1">
      <c r="B160" s="800" t="str">
        <f>+input!B99</f>
        <v>218i</v>
      </c>
      <c r="C160" s="366">
        <f t="shared" si="10"/>
        <v>26.143999999999998</v>
      </c>
      <c r="D160" s="483">
        <f>+input!P99</f>
        <v>290</v>
      </c>
      <c r="E160" s="483">
        <f>+input!N99</f>
        <v>14</v>
      </c>
      <c r="F160" s="483">
        <f>+input!G99</f>
        <v>2900</v>
      </c>
      <c r="G160" s="483">
        <f>+input!T99</f>
        <v>1150</v>
      </c>
      <c r="H160" s="483">
        <f>+input!U99</f>
        <v>2400</v>
      </c>
      <c r="I160" s="483">
        <f>+input!V99/2</f>
        <v>1900</v>
      </c>
      <c r="J160" s="483">
        <f t="shared" si="7"/>
        <v>2700</v>
      </c>
      <c r="K160" s="483">
        <f t="shared" si="8"/>
        <v>3100</v>
      </c>
      <c r="L160" s="483">
        <f t="shared" si="9"/>
        <v>5450</v>
      </c>
      <c r="M160" s="1174"/>
      <c r="N160" s="170"/>
      <c r="Q160" s="122"/>
      <c r="R160" s="122"/>
      <c r="S160" s="122"/>
      <c r="X160" s="73"/>
      <c r="Z160" s="73"/>
      <c r="AC160" s="73"/>
      <c r="BB160" s="143"/>
    </row>
    <row r="161" spans="2:54" ht="15" customHeight="1">
      <c r="B161" s="800" t="str">
        <f>+input!B100</f>
        <v>218j</v>
      </c>
      <c r="C161" s="366">
        <f t="shared" si="10"/>
        <v>26.143999999999998</v>
      </c>
      <c r="D161" s="483">
        <f>+input!P100</f>
        <v>290</v>
      </c>
      <c r="E161" s="483">
        <f>+input!N100</f>
        <v>14</v>
      </c>
      <c r="F161" s="483">
        <f>+input!G100</f>
        <v>2900</v>
      </c>
      <c r="G161" s="483">
        <f>+input!T100</f>
        <v>1150</v>
      </c>
      <c r="H161" s="483">
        <f>+input!U100</f>
        <v>2400</v>
      </c>
      <c r="I161" s="483">
        <f>+input!V100/2</f>
        <v>1900</v>
      </c>
      <c r="J161" s="483">
        <f t="shared" si="7"/>
        <v>2700</v>
      </c>
      <c r="K161" s="483">
        <f t="shared" si="8"/>
        <v>3100</v>
      </c>
      <c r="L161" s="483">
        <f t="shared" si="9"/>
        <v>5450</v>
      </c>
      <c r="M161" s="1174"/>
      <c r="N161" s="170"/>
      <c r="Q161" s="122"/>
      <c r="R161" s="122"/>
      <c r="S161" s="122"/>
      <c r="X161" s="73"/>
      <c r="Z161" s="73"/>
      <c r="AC161" s="73"/>
      <c r="BB161" s="143"/>
    </row>
    <row r="162" spans="2:54" ht="15" customHeight="1">
      <c r="B162" s="800" t="str">
        <f>+input!B101</f>
        <v>219i</v>
      </c>
      <c r="C162" s="366">
        <f t="shared" si="10"/>
        <v>26.143999999999998</v>
      </c>
      <c r="D162" s="483">
        <f>+input!P101</f>
        <v>290</v>
      </c>
      <c r="E162" s="483">
        <f>+input!N101</f>
        <v>14</v>
      </c>
      <c r="F162" s="483">
        <f>+input!G101</f>
        <v>2900</v>
      </c>
      <c r="G162" s="483">
        <f>+input!T101</f>
        <v>1150</v>
      </c>
      <c r="H162" s="483">
        <f>+input!U101</f>
        <v>2400</v>
      </c>
      <c r="I162" s="483">
        <f>+input!V101/2</f>
        <v>1900</v>
      </c>
      <c r="J162" s="483">
        <f t="shared" si="7"/>
        <v>2700</v>
      </c>
      <c r="K162" s="483">
        <f t="shared" si="8"/>
        <v>3100</v>
      </c>
      <c r="L162" s="483">
        <f t="shared" si="9"/>
        <v>5450</v>
      </c>
      <c r="M162" s="1174"/>
      <c r="N162" s="170"/>
      <c r="Q162" s="122"/>
      <c r="R162" s="122"/>
      <c r="S162" s="122"/>
      <c r="X162" s="73"/>
      <c r="Z162" s="73"/>
      <c r="AC162" s="73"/>
      <c r="BB162" s="143"/>
    </row>
    <row r="163" spans="2:54" ht="15" customHeight="1">
      <c r="B163" s="800" t="str">
        <f>+input!B102</f>
        <v>219j</v>
      </c>
      <c r="C163" s="366">
        <f t="shared" si="10"/>
        <v>26.143999999999998</v>
      </c>
      <c r="D163" s="483">
        <f>+input!P102</f>
        <v>290</v>
      </c>
      <c r="E163" s="483">
        <f>+input!N102</f>
        <v>14</v>
      </c>
      <c r="F163" s="483">
        <f>+input!G102</f>
        <v>2900</v>
      </c>
      <c r="G163" s="483">
        <f>+input!T102</f>
        <v>1150</v>
      </c>
      <c r="H163" s="483">
        <f>+input!U102</f>
        <v>2400</v>
      </c>
      <c r="I163" s="483">
        <f>+input!V102/2</f>
        <v>1900</v>
      </c>
      <c r="J163" s="483">
        <f t="shared" si="7"/>
        <v>2700</v>
      </c>
      <c r="K163" s="483">
        <f t="shared" si="8"/>
        <v>3100</v>
      </c>
      <c r="L163" s="483">
        <f t="shared" si="9"/>
        <v>5450</v>
      </c>
      <c r="M163" s="1174"/>
      <c r="N163" s="170"/>
      <c r="Q163" s="122"/>
      <c r="R163" s="122"/>
      <c r="S163" s="122"/>
      <c r="X163" s="73"/>
      <c r="Z163" s="73"/>
      <c r="AC163" s="73"/>
      <c r="BB163" s="143"/>
    </row>
    <row r="164" spans="2:54" ht="15" customHeight="1">
      <c r="B164" s="800" t="str">
        <f>+input!B103</f>
        <v>220i</v>
      </c>
      <c r="C164" s="366">
        <f t="shared" si="10"/>
        <v>26.143999999999998</v>
      </c>
      <c r="D164" s="483">
        <f>+input!P103</f>
        <v>290</v>
      </c>
      <c r="E164" s="483">
        <f>+input!N103</f>
        <v>14</v>
      </c>
      <c r="F164" s="483">
        <f>+input!G103</f>
        <v>2900</v>
      </c>
      <c r="G164" s="483">
        <f>+input!T103</f>
        <v>1150</v>
      </c>
      <c r="H164" s="483">
        <f>+input!U103</f>
        <v>2400</v>
      </c>
      <c r="I164" s="483">
        <f>+input!V103/2</f>
        <v>1900</v>
      </c>
      <c r="J164" s="483">
        <f t="shared" si="7"/>
        <v>2700</v>
      </c>
      <c r="K164" s="483">
        <f t="shared" si="8"/>
        <v>3100</v>
      </c>
      <c r="L164" s="483">
        <f t="shared" si="9"/>
        <v>5450</v>
      </c>
      <c r="M164" s="1174"/>
      <c r="N164" s="170"/>
      <c r="Q164" s="122"/>
      <c r="R164" s="504"/>
      <c r="S164" s="122"/>
      <c r="X164" s="73"/>
      <c r="Z164" s="73"/>
      <c r="AC164" s="73"/>
      <c r="BB164" s="143"/>
    </row>
    <row r="165" spans="2:54" ht="15" customHeight="1">
      <c r="B165" s="800" t="str">
        <f>+input!B104</f>
        <v>220j</v>
      </c>
      <c r="C165" s="366">
        <f t="shared" si="10"/>
        <v>26.143999999999998</v>
      </c>
      <c r="D165" s="483">
        <f>+input!P104</f>
        <v>290</v>
      </c>
      <c r="E165" s="483">
        <f>+input!N104</f>
        <v>14</v>
      </c>
      <c r="F165" s="483">
        <f>+input!G104</f>
        <v>2900</v>
      </c>
      <c r="G165" s="483">
        <f>+input!T104</f>
        <v>1150</v>
      </c>
      <c r="H165" s="483">
        <f>+input!U104</f>
        <v>2400</v>
      </c>
      <c r="I165" s="483">
        <f>+input!V104/2</f>
        <v>1900</v>
      </c>
      <c r="J165" s="483">
        <f t="shared" si="7"/>
        <v>2700</v>
      </c>
      <c r="K165" s="483">
        <f t="shared" si="8"/>
        <v>3100</v>
      </c>
      <c r="L165" s="483">
        <f t="shared" si="9"/>
        <v>5450</v>
      </c>
      <c r="M165" s="1174"/>
      <c r="N165" s="170"/>
      <c r="Q165" s="122"/>
      <c r="R165" s="504"/>
      <c r="S165" s="122"/>
      <c r="X165" s="73"/>
      <c r="Z165" s="73"/>
      <c r="AC165" s="73"/>
      <c r="BB165" s="143"/>
    </row>
    <row r="166" spans="2:54" ht="15" customHeight="1">
      <c r="B166" s="800" t="str">
        <f>+input!B105</f>
        <v>221i</v>
      </c>
      <c r="C166" s="366">
        <f t="shared" si="10"/>
        <v>26.143999999999998</v>
      </c>
      <c r="D166" s="483">
        <f>+input!P105</f>
        <v>290</v>
      </c>
      <c r="E166" s="483">
        <f>+input!N105</f>
        <v>14</v>
      </c>
      <c r="F166" s="483">
        <f>+input!G105</f>
        <v>2900</v>
      </c>
      <c r="G166" s="483">
        <f>+input!T105</f>
        <v>1150</v>
      </c>
      <c r="H166" s="483">
        <f>+input!U105</f>
        <v>2400</v>
      </c>
      <c r="I166" s="483">
        <f>+input!V105/2</f>
        <v>1900</v>
      </c>
      <c r="J166" s="483">
        <f t="shared" si="7"/>
        <v>2700</v>
      </c>
      <c r="K166" s="483">
        <f t="shared" si="8"/>
        <v>3100</v>
      </c>
      <c r="L166" s="483">
        <f t="shared" si="9"/>
        <v>5450</v>
      </c>
      <c r="M166" s="1174"/>
      <c r="N166" s="170"/>
      <c r="Q166" s="122"/>
      <c r="R166" s="504"/>
      <c r="S166" s="122"/>
      <c r="X166" s="73"/>
      <c r="Z166" s="73"/>
      <c r="AC166" s="73"/>
      <c r="BB166" s="143"/>
    </row>
    <row r="167" spans="2:54" ht="15" customHeight="1">
      <c r="B167" s="800" t="str">
        <f>+input!B106</f>
        <v>221j</v>
      </c>
      <c r="C167" s="366">
        <f t="shared" si="10"/>
        <v>26.143999999999998</v>
      </c>
      <c r="D167" s="483">
        <f>+input!P106</f>
        <v>290</v>
      </c>
      <c r="E167" s="483">
        <f>+input!N106</f>
        <v>14</v>
      </c>
      <c r="F167" s="483">
        <f>+input!G106</f>
        <v>2900</v>
      </c>
      <c r="G167" s="483">
        <f>+input!T106</f>
        <v>1150</v>
      </c>
      <c r="H167" s="483">
        <f>+input!U106</f>
        <v>2400</v>
      </c>
      <c r="I167" s="483">
        <f>+input!V106/2</f>
        <v>1900</v>
      </c>
      <c r="J167" s="483">
        <f t="shared" si="7"/>
        <v>2700</v>
      </c>
      <c r="K167" s="483">
        <f t="shared" si="8"/>
        <v>3100</v>
      </c>
      <c r="L167" s="483">
        <f t="shared" si="9"/>
        <v>5450</v>
      </c>
      <c r="M167" s="1174"/>
      <c r="N167" s="170"/>
      <c r="Q167" s="122"/>
      <c r="R167" s="504"/>
      <c r="S167" s="122"/>
      <c r="X167" s="73"/>
      <c r="Z167" s="73"/>
      <c r="AC167" s="73"/>
      <c r="BB167" s="143"/>
    </row>
    <row r="168" spans="2:54" ht="15" customHeight="1">
      <c r="B168" s="800" t="str">
        <f>+input!B107</f>
        <v>222i</v>
      </c>
      <c r="C168" s="366">
        <f t="shared" si="10"/>
        <v>26.143999999999998</v>
      </c>
      <c r="D168" s="483">
        <f>+input!P107</f>
        <v>290</v>
      </c>
      <c r="E168" s="483">
        <f>+input!N107</f>
        <v>12</v>
      </c>
      <c r="F168" s="483">
        <f>+input!G107</f>
        <v>800</v>
      </c>
      <c r="G168" s="483">
        <f>+input!T107</f>
        <v>1200</v>
      </c>
      <c r="H168" s="483">
        <f>+input!U107</f>
        <v>2400</v>
      </c>
      <c r="I168" s="483">
        <f>+input!V107/2</f>
        <v>1900</v>
      </c>
      <c r="J168" s="483">
        <f t="shared" si="7"/>
        <v>2750</v>
      </c>
      <c r="K168" s="483">
        <f t="shared" si="8"/>
        <v>3100</v>
      </c>
      <c r="L168" s="483">
        <f t="shared" si="9"/>
        <v>5500</v>
      </c>
      <c r="M168" s="1174"/>
      <c r="N168" s="170"/>
      <c r="Q168" s="122"/>
      <c r="R168" s="504"/>
      <c r="S168" s="122"/>
      <c r="X168" s="73"/>
      <c r="Z168" s="73"/>
      <c r="AC168" s="73"/>
      <c r="BB168" s="143"/>
    </row>
    <row r="169" spans="2:54" ht="15" customHeight="1">
      <c r="B169" s="800" t="str">
        <f>+input!B108</f>
        <v>222j</v>
      </c>
      <c r="C169" s="366">
        <f xml:space="preserve"> 49.37*0.8</f>
        <v>39.496000000000002</v>
      </c>
      <c r="D169" s="483">
        <f>+input!P108</f>
        <v>290</v>
      </c>
      <c r="E169" s="483">
        <f>+input!N108</f>
        <v>12</v>
      </c>
      <c r="F169" s="483">
        <f>+input!G108</f>
        <v>800</v>
      </c>
      <c r="G169" s="483">
        <f>+input!T108</f>
        <v>1200</v>
      </c>
      <c r="H169" s="483">
        <f>+input!U108</f>
        <v>2400</v>
      </c>
      <c r="I169" s="483">
        <f>+input!V108/2</f>
        <v>1900</v>
      </c>
      <c r="J169" s="483">
        <f t="shared" si="7"/>
        <v>2750</v>
      </c>
      <c r="K169" s="483">
        <f t="shared" si="8"/>
        <v>3100</v>
      </c>
      <c r="L169" s="483">
        <f t="shared" si="9"/>
        <v>5500</v>
      </c>
      <c r="M169" s="1174"/>
      <c r="N169" s="170"/>
      <c r="Q169" s="122"/>
      <c r="R169" s="504"/>
      <c r="S169" s="122"/>
      <c r="X169" s="73"/>
      <c r="Z169" s="73"/>
      <c r="AC169" s="73"/>
      <c r="BB169" s="143"/>
    </row>
    <row r="170" spans="2:54" ht="15" customHeight="1">
      <c r="B170" s="800" t="str">
        <f>+input!B109</f>
        <v>223i</v>
      </c>
      <c r="C170" s="366">
        <f t="shared" ref="C170:C187" si="11" xml:space="preserve"> 49.37*0.8</f>
        <v>39.496000000000002</v>
      </c>
      <c r="D170" s="483">
        <f>+input!P109</f>
        <v>290</v>
      </c>
      <c r="E170" s="483">
        <f>+input!N109</f>
        <v>12</v>
      </c>
      <c r="F170" s="483">
        <f>+input!G109</f>
        <v>600</v>
      </c>
      <c r="G170" s="483">
        <f>+input!T109</f>
        <v>1200</v>
      </c>
      <c r="H170" s="483">
        <f>+input!U109</f>
        <v>2400</v>
      </c>
      <c r="I170" s="483">
        <f>+input!V109/2</f>
        <v>1900</v>
      </c>
      <c r="J170" s="483">
        <f t="shared" si="7"/>
        <v>2750</v>
      </c>
      <c r="K170" s="483">
        <f t="shared" si="8"/>
        <v>3100</v>
      </c>
      <c r="L170" s="483">
        <f t="shared" si="9"/>
        <v>5500</v>
      </c>
      <c r="M170" s="1174"/>
      <c r="N170" s="170"/>
      <c r="Q170" s="122"/>
      <c r="R170" s="504"/>
      <c r="S170" s="122"/>
      <c r="X170" s="73"/>
      <c r="Z170" s="73"/>
      <c r="AC170" s="73"/>
      <c r="BB170" s="143"/>
    </row>
    <row r="171" spans="2:54" ht="15" customHeight="1">
      <c r="B171" s="800" t="str">
        <f>+input!B110</f>
        <v>223j</v>
      </c>
      <c r="C171" s="366">
        <f t="shared" si="11"/>
        <v>39.496000000000002</v>
      </c>
      <c r="D171" s="483">
        <f>+input!P110</f>
        <v>290</v>
      </c>
      <c r="E171" s="483">
        <f>+input!N110</f>
        <v>12</v>
      </c>
      <c r="F171" s="483">
        <f>+input!G110</f>
        <v>600</v>
      </c>
      <c r="G171" s="483">
        <f>+input!T110</f>
        <v>1200</v>
      </c>
      <c r="H171" s="483">
        <f>+input!U110</f>
        <v>2400</v>
      </c>
      <c r="I171" s="483">
        <f>+input!V110/2</f>
        <v>1900</v>
      </c>
      <c r="J171" s="483">
        <f t="shared" si="7"/>
        <v>2750</v>
      </c>
      <c r="K171" s="483">
        <f t="shared" si="8"/>
        <v>3100</v>
      </c>
      <c r="L171" s="483">
        <f t="shared" si="9"/>
        <v>5500</v>
      </c>
      <c r="M171" s="1174"/>
      <c r="N171" s="170"/>
      <c r="Q171" s="122"/>
      <c r="R171" s="504"/>
      <c r="S171" s="122"/>
      <c r="X171" s="73"/>
      <c r="Z171" s="73"/>
      <c r="AC171" s="73"/>
      <c r="BB171" s="143"/>
    </row>
    <row r="172" spans="2:54" ht="15" customHeight="1">
      <c r="B172" s="800" t="str">
        <f>+input!B111</f>
        <v>224i</v>
      </c>
      <c r="C172" s="366">
        <f t="shared" si="11"/>
        <v>39.496000000000002</v>
      </c>
      <c r="D172" s="483">
        <f>+input!P111</f>
        <v>290</v>
      </c>
      <c r="E172" s="483">
        <f>+input!N111</f>
        <v>12</v>
      </c>
      <c r="F172" s="483">
        <f>+input!G111</f>
        <v>500</v>
      </c>
      <c r="G172" s="483">
        <f>+input!T111</f>
        <v>1200</v>
      </c>
      <c r="H172" s="483">
        <f>+input!U111</f>
        <v>2400</v>
      </c>
      <c r="I172" s="483">
        <f>+input!V111/2</f>
        <v>1900</v>
      </c>
      <c r="J172" s="483">
        <f t="shared" si="7"/>
        <v>2750</v>
      </c>
      <c r="K172" s="483">
        <f t="shared" si="8"/>
        <v>3100</v>
      </c>
      <c r="L172" s="483">
        <f t="shared" si="9"/>
        <v>5500</v>
      </c>
      <c r="M172" s="1174"/>
      <c r="N172" s="170"/>
      <c r="Q172" s="122"/>
      <c r="R172" s="504"/>
      <c r="S172" s="122"/>
      <c r="X172" s="73"/>
      <c r="Z172" s="73"/>
      <c r="AC172" s="73"/>
      <c r="BB172" s="143"/>
    </row>
    <row r="173" spans="2:54" ht="15" customHeight="1">
      <c r="B173" s="800" t="str">
        <f>+input!B112</f>
        <v>224j</v>
      </c>
      <c r="C173" s="366">
        <f t="shared" si="11"/>
        <v>39.496000000000002</v>
      </c>
      <c r="D173" s="483">
        <f>+input!P112</f>
        <v>290</v>
      </c>
      <c r="E173" s="483">
        <f>+input!N112</f>
        <v>12</v>
      </c>
      <c r="F173" s="483">
        <f>+input!G112</f>
        <v>500</v>
      </c>
      <c r="G173" s="483">
        <f>+input!T112</f>
        <v>1200</v>
      </c>
      <c r="H173" s="483">
        <f>+input!U112</f>
        <v>2400</v>
      </c>
      <c r="I173" s="483">
        <f>+input!V112/2</f>
        <v>1900</v>
      </c>
      <c r="J173" s="483">
        <f t="shared" si="7"/>
        <v>2750</v>
      </c>
      <c r="K173" s="483">
        <f t="shared" si="8"/>
        <v>3100</v>
      </c>
      <c r="L173" s="483">
        <f t="shared" si="9"/>
        <v>5500</v>
      </c>
      <c r="M173" s="1174"/>
      <c r="N173" s="170"/>
      <c r="Q173" s="122"/>
      <c r="R173" s="504"/>
      <c r="S173" s="122"/>
      <c r="X173" s="73"/>
      <c r="Z173" s="73"/>
      <c r="AC173" s="73"/>
      <c r="BB173" s="143"/>
    </row>
    <row r="174" spans="2:54" ht="15" customHeight="1">
      <c r="B174" s="800" t="str">
        <f>+input!B113</f>
        <v>225i</v>
      </c>
      <c r="C174" s="366">
        <f t="shared" si="11"/>
        <v>39.496000000000002</v>
      </c>
      <c r="D174" s="483">
        <f>+input!P113</f>
        <v>290</v>
      </c>
      <c r="E174" s="483">
        <f>+input!N113</f>
        <v>12</v>
      </c>
      <c r="F174" s="483">
        <f>+input!G113</f>
        <v>500</v>
      </c>
      <c r="G174" s="483">
        <f>+input!T113</f>
        <v>1200</v>
      </c>
      <c r="H174" s="483">
        <f>+input!U113</f>
        <v>2400</v>
      </c>
      <c r="I174" s="483">
        <f>+input!V113/2</f>
        <v>1900</v>
      </c>
      <c r="J174" s="483">
        <f t="shared" si="7"/>
        <v>2750</v>
      </c>
      <c r="K174" s="483">
        <f t="shared" si="8"/>
        <v>3100</v>
      </c>
      <c r="L174" s="483">
        <f t="shared" si="9"/>
        <v>5500</v>
      </c>
      <c r="M174" s="1174"/>
      <c r="N174" s="170"/>
      <c r="Q174" s="122"/>
      <c r="R174" s="504"/>
      <c r="S174" s="122"/>
      <c r="X174" s="73"/>
      <c r="Z174" s="73"/>
      <c r="AC174" s="73"/>
      <c r="BB174" s="143"/>
    </row>
    <row r="175" spans="2:54" ht="15" customHeight="1">
      <c r="B175" s="800" t="str">
        <f>+input!B114</f>
        <v>225j</v>
      </c>
      <c r="C175" s="366">
        <f t="shared" si="11"/>
        <v>39.496000000000002</v>
      </c>
      <c r="D175" s="483">
        <f>+input!P114</f>
        <v>290</v>
      </c>
      <c r="E175" s="483">
        <f>+input!N114</f>
        <v>12</v>
      </c>
      <c r="F175" s="483">
        <f>+input!G114</f>
        <v>500</v>
      </c>
      <c r="G175" s="483">
        <f>+input!T114</f>
        <v>1200</v>
      </c>
      <c r="H175" s="483">
        <f>+input!U114</f>
        <v>2400</v>
      </c>
      <c r="I175" s="483">
        <f>+input!V114/2</f>
        <v>1900</v>
      </c>
      <c r="J175" s="483">
        <f t="shared" si="7"/>
        <v>2750</v>
      </c>
      <c r="K175" s="483">
        <f t="shared" si="8"/>
        <v>3100</v>
      </c>
      <c r="L175" s="483">
        <f t="shared" si="9"/>
        <v>5500</v>
      </c>
      <c r="M175" s="1174"/>
      <c r="N175" s="170"/>
      <c r="Q175" s="122"/>
      <c r="R175" s="504"/>
      <c r="S175" s="122"/>
      <c r="X175" s="73"/>
      <c r="Z175" s="73"/>
      <c r="AC175" s="73"/>
      <c r="BB175" s="143"/>
    </row>
    <row r="176" spans="2:54" ht="15" customHeight="1">
      <c r="B176" s="800" t="str">
        <f>+input!B115</f>
        <v>226i</v>
      </c>
      <c r="C176" s="366">
        <f t="shared" si="11"/>
        <v>39.496000000000002</v>
      </c>
      <c r="D176" s="483">
        <f>+input!P115</f>
        <v>290</v>
      </c>
      <c r="E176" s="483">
        <f>+input!N115</f>
        <v>12</v>
      </c>
      <c r="F176" s="483">
        <f>+input!G115</f>
        <v>500</v>
      </c>
      <c r="G176" s="483">
        <f>+input!T115</f>
        <v>1200</v>
      </c>
      <c r="H176" s="483">
        <f>+input!U115</f>
        <v>2400</v>
      </c>
      <c r="I176" s="483">
        <f>+input!V115/2</f>
        <v>1900</v>
      </c>
      <c r="J176" s="483">
        <f t="shared" si="7"/>
        <v>2750</v>
      </c>
      <c r="K176" s="483">
        <f t="shared" si="8"/>
        <v>3100</v>
      </c>
      <c r="L176" s="483">
        <f t="shared" si="9"/>
        <v>5500</v>
      </c>
      <c r="M176" s="1174"/>
      <c r="N176" s="170"/>
      <c r="Q176" s="122"/>
      <c r="R176" s="504"/>
      <c r="S176" s="122"/>
      <c r="X176" s="73"/>
      <c r="Z176" s="73"/>
      <c r="AC176" s="73"/>
      <c r="BB176" s="143"/>
    </row>
    <row r="177" spans="1:54" ht="15" customHeight="1">
      <c r="B177" s="800" t="str">
        <f>+input!B116</f>
        <v>226j</v>
      </c>
      <c r="C177" s="366">
        <f t="shared" si="11"/>
        <v>39.496000000000002</v>
      </c>
      <c r="D177" s="483">
        <f>+input!P116</f>
        <v>290</v>
      </c>
      <c r="E177" s="483">
        <f>+input!N116</f>
        <v>12</v>
      </c>
      <c r="F177" s="483">
        <f>+input!G116</f>
        <v>500</v>
      </c>
      <c r="G177" s="483">
        <f>+input!T116</f>
        <v>1200</v>
      </c>
      <c r="H177" s="483">
        <f>+input!U116</f>
        <v>2400</v>
      </c>
      <c r="I177" s="483">
        <f>+input!V116/2</f>
        <v>1900</v>
      </c>
      <c r="J177" s="483">
        <f t="shared" si="7"/>
        <v>2750</v>
      </c>
      <c r="K177" s="483">
        <f t="shared" si="8"/>
        <v>3100</v>
      </c>
      <c r="L177" s="483">
        <f t="shared" si="9"/>
        <v>5500</v>
      </c>
      <c r="M177" s="1174"/>
      <c r="N177" s="170"/>
      <c r="Q177" s="122"/>
      <c r="R177" s="504"/>
      <c r="S177" s="122"/>
      <c r="X177" s="73"/>
      <c r="Z177" s="73"/>
      <c r="AC177" s="73"/>
      <c r="BB177" s="143"/>
    </row>
    <row r="178" spans="1:54" ht="15" customHeight="1">
      <c r="B178" s="800" t="str">
        <f>+input!B117</f>
        <v>227i</v>
      </c>
      <c r="C178" s="366">
        <f t="shared" si="11"/>
        <v>39.496000000000002</v>
      </c>
      <c r="D178" s="483">
        <f>+input!P117</f>
        <v>290</v>
      </c>
      <c r="E178" s="483">
        <f>+input!N117</f>
        <v>12</v>
      </c>
      <c r="F178" s="483">
        <f>+input!G117</f>
        <v>500</v>
      </c>
      <c r="G178" s="483">
        <f>+input!T117</f>
        <v>1200</v>
      </c>
      <c r="H178" s="483">
        <f>+input!U117</f>
        <v>2400</v>
      </c>
      <c r="I178" s="483">
        <f>+input!V117/2</f>
        <v>1900</v>
      </c>
      <c r="J178" s="483">
        <f t="shared" si="7"/>
        <v>2750</v>
      </c>
      <c r="K178" s="483">
        <f t="shared" si="8"/>
        <v>3100</v>
      </c>
      <c r="L178" s="483">
        <f t="shared" si="9"/>
        <v>5500</v>
      </c>
      <c r="M178" s="1174"/>
      <c r="N178" s="170"/>
      <c r="Q178" s="122"/>
      <c r="R178" s="504"/>
      <c r="S178" s="122"/>
      <c r="X178" s="73"/>
      <c r="Z178" s="73"/>
      <c r="AC178" s="73"/>
      <c r="BB178" s="143"/>
    </row>
    <row r="179" spans="1:54" ht="15" customHeight="1">
      <c r="B179" s="800" t="str">
        <f>+input!B118</f>
        <v>227j</v>
      </c>
      <c r="C179" s="366">
        <f t="shared" si="11"/>
        <v>39.496000000000002</v>
      </c>
      <c r="D179" s="483">
        <f>+input!P118</f>
        <v>290</v>
      </c>
      <c r="E179" s="483">
        <f>+input!N118</f>
        <v>12</v>
      </c>
      <c r="F179" s="483">
        <f>+input!G118</f>
        <v>500</v>
      </c>
      <c r="G179" s="483">
        <f>+input!T118</f>
        <v>1200</v>
      </c>
      <c r="H179" s="483">
        <f>+input!U118</f>
        <v>2400</v>
      </c>
      <c r="I179" s="483">
        <f>+input!V118/2</f>
        <v>1900</v>
      </c>
      <c r="J179" s="483">
        <f t="shared" si="7"/>
        <v>2750</v>
      </c>
      <c r="K179" s="483">
        <f t="shared" si="8"/>
        <v>3100</v>
      </c>
      <c r="L179" s="483">
        <f t="shared" si="9"/>
        <v>5500</v>
      </c>
      <c r="M179" s="1174"/>
      <c r="N179" s="170"/>
      <c r="Q179" s="122"/>
      <c r="R179" s="504"/>
      <c r="S179" s="122"/>
      <c r="X179" s="73"/>
      <c r="Z179" s="73"/>
      <c r="AC179" s="73"/>
      <c r="BB179" s="143"/>
    </row>
    <row r="180" spans="1:54" ht="15" customHeight="1">
      <c r="B180" s="800" t="str">
        <f>+input!B119</f>
        <v>228i</v>
      </c>
      <c r="C180" s="366">
        <f t="shared" si="11"/>
        <v>39.496000000000002</v>
      </c>
      <c r="D180" s="483">
        <f>+input!P119</f>
        <v>290</v>
      </c>
      <c r="E180" s="483">
        <f>+input!N119</f>
        <v>12</v>
      </c>
      <c r="F180" s="483">
        <f>+input!G119</f>
        <v>500</v>
      </c>
      <c r="G180" s="483">
        <f>+input!T119</f>
        <v>1200</v>
      </c>
      <c r="H180" s="483">
        <f>+input!U119</f>
        <v>2400</v>
      </c>
      <c r="I180" s="483">
        <f>+input!V119/2</f>
        <v>1900</v>
      </c>
      <c r="J180" s="483">
        <f t="shared" si="7"/>
        <v>2750</v>
      </c>
      <c r="K180" s="483">
        <f t="shared" si="8"/>
        <v>3100</v>
      </c>
      <c r="L180" s="483">
        <f t="shared" si="9"/>
        <v>5500</v>
      </c>
      <c r="M180" s="1174"/>
      <c r="N180" s="170"/>
      <c r="Q180" s="122"/>
      <c r="R180" s="504"/>
      <c r="S180" s="122"/>
      <c r="X180" s="73"/>
      <c r="Z180" s="73"/>
      <c r="AC180" s="73"/>
      <c r="BB180" s="143"/>
    </row>
    <row r="181" spans="1:54" ht="15" customHeight="1">
      <c r="B181" s="800" t="str">
        <f>+input!B120</f>
        <v>228j</v>
      </c>
      <c r="C181" s="366">
        <f t="shared" si="11"/>
        <v>39.496000000000002</v>
      </c>
      <c r="D181" s="483">
        <f>+input!P120</f>
        <v>290</v>
      </c>
      <c r="E181" s="483">
        <f>+input!N120</f>
        <v>12</v>
      </c>
      <c r="F181" s="483">
        <f>+input!G120</f>
        <v>500</v>
      </c>
      <c r="G181" s="483">
        <f>+input!T120</f>
        <v>1200</v>
      </c>
      <c r="H181" s="483">
        <f>+input!U120</f>
        <v>2400</v>
      </c>
      <c r="I181" s="483">
        <f>+input!V120/2</f>
        <v>1900</v>
      </c>
      <c r="J181" s="483">
        <f t="shared" si="7"/>
        <v>2750</v>
      </c>
      <c r="K181" s="483">
        <f t="shared" si="8"/>
        <v>3100</v>
      </c>
      <c r="L181" s="483">
        <f t="shared" si="9"/>
        <v>5500</v>
      </c>
      <c r="M181" s="1174"/>
      <c r="N181" s="170"/>
      <c r="Q181" s="122"/>
      <c r="R181" s="504"/>
      <c r="S181" s="122"/>
      <c r="X181" s="73"/>
      <c r="Z181" s="73"/>
      <c r="AC181" s="73"/>
      <c r="BB181" s="143"/>
    </row>
    <row r="182" spans="1:54" ht="15" customHeight="1">
      <c r="B182" s="800" t="str">
        <f>+input!B121</f>
        <v>229i</v>
      </c>
      <c r="C182" s="366">
        <f t="shared" si="11"/>
        <v>39.496000000000002</v>
      </c>
      <c r="D182" s="483">
        <f>+input!P121</f>
        <v>290</v>
      </c>
      <c r="E182" s="483">
        <f>+input!N121</f>
        <v>12</v>
      </c>
      <c r="F182" s="483">
        <f>+input!G121</f>
        <v>500</v>
      </c>
      <c r="G182" s="483">
        <f>+input!T121</f>
        <v>1200</v>
      </c>
      <c r="H182" s="483">
        <f>+input!U121</f>
        <v>2400</v>
      </c>
      <c r="I182" s="483">
        <f>+input!V121/2</f>
        <v>1900</v>
      </c>
      <c r="J182" s="483">
        <f t="shared" si="7"/>
        <v>2750</v>
      </c>
      <c r="K182" s="483">
        <f t="shared" si="8"/>
        <v>3100</v>
      </c>
      <c r="L182" s="483">
        <f t="shared" si="9"/>
        <v>5500</v>
      </c>
      <c r="M182" s="1174"/>
      <c r="N182" s="170"/>
      <c r="Q182" s="122"/>
      <c r="R182" s="504"/>
      <c r="S182" s="122"/>
      <c r="X182" s="73"/>
      <c r="Z182" s="73"/>
      <c r="AC182" s="73"/>
      <c r="BB182" s="143"/>
    </row>
    <row r="183" spans="1:54" ht="15" customHeight="1">
      <c r="B183" s="800" t="str">
        <f>+input!B122</f>
        <v>229j</v>
      </c>
      <c r="C183" s="366">
        <f t="shared" si="11"/>
        <v>39.496000000000002</v>
      </c>
      <c r="D183" s="483">
        <f>+input!P122</f>
        <v>290</v>
      </c>
      <c r="E183" s="483">
        <f>+input!N122</f>
        <v>12</v>
      </c>
      <c r="F183" s="483">
        <f>+input!G122</f>
        <v>500</v>
      </c>
      <c r="G183" s="483">
        <f>+input!T122</f>
        <v>1200</v>
      </c>
      <c r="H183" s="483">
        <f>+input!U122</f>
        <v>2400</v>
      </c>
      <c r="I183" s="483">
        <f>+input!V122/2</f>
        <v>1900</v>
      </c>
      <c r="J183" s="483">
        <f t="shared" si="7"/>
        <v>2750</v>
      </c>
      <c r="K183" s="483">
        <f t="shared" si="8"/>
        <v>3100</v>
      </c>
      <c r="L183" s="483">
        <f t="shared" si="9"/>
        <v>5500</v>
      </c>
      <c r="M183" s="1174"/>
      <c r="N183" s="170"/>
      <c r="Q183" s="122"/>
      <c r="R183" s="504"/>
      <c r="S183" s="122"/>
      <c r="X183" s="73"/>
      <c r="Z183" s="73"/>
      <c r="AC183" s="73"/>
      <c r="BB183" s="143"/>
    </row>
    <row r="184" spans="1:54" ht="15" customHeight="1">
      <c r="B184" s="800" t="str">
        <f>+input!B123</f>
        <v>230i</v>
      </c>
      <c r="C184" s="366">
        <f t="shared" si="11"/>
        <v>39.496000000000002</v>
      </c>
      <c r="D184" s="483">
        <f>+input!P123</f>
        <v>290</v>
      </c>
      <c r="E184" s="483">
        <f>+input!N123</f>
        <v>12</v>
      </c>
      <c r="F184" s="483">
        <f>+input!G123</f>
        <v>500</v>
      </c>
      <c r="G184" s="483">
        <f>+input!T123</f>
        <v>1175</v>
      </c>
      <c r="H184" s="483">
        <f>+input!U123</f>
        <v>2350</v>
      </c>
      <c r="I184" s="483">
        <f>+input!V123/2</f>
        <v>1925</v>
      </c>
      <c r="J184" s="483">
        <f t="shared" si="7"/>
        <v>2725</v>
      </c>
      <c r="K184" s="483">
        <f t="shared" si="8"/>
        <v>3100</v>
      </c>
      <c r="L184" s="483">
        <f t="shared" si="9"/>
        <v>5450</v>
      </c>
      <c r="M184" s="1174"/>
      <c r="N184" s="170"/>
      <c r="Q184" s="122"/>
      <c r="R184" s="504"/>
      <c r="S184" s="122"/>
      <c r="X184" s="73"/>
      <c r="Z184" s="73"/>
      <c r="AC184" s="73"/>
      <c r="BB184" s="143"/>
    </row>
    <row r="185" spans="1:54" ht="15" customHeight="1">
      <c r="B185" s="800" t="str">
        <f>+input!B124</f>
        <v>230j</v>
      </c>
      <c r="C185" s="366">
        <f t="shared" si="11"/>
        <v>39.496000000000002</v>
      </c>
      <c r="D185" s="483">
        <f>+input!P124</f>
        <v>290</v>
      </c>
      <c r="E185" s="483">
        <f>+input!N124</f>
        <v>12</v>
      </c>
      <c r="F185" s="483">
        <f>+input!G124</f>
        <v>500</v>
      </c>
      <c r="G185" s="483">
        <f>+input!T124</f>
        <v>1175</v>
      </c>
      <c r="H185" s="483">
        <f>+input!U124</f>
        <v>2350</v>
      </c>
      <c r="I185" s="483">
        <f>+input!V124/2</f>
        <v>1925</v>
      </c>
      <c r="J185" s="483">
        <f t="shared" si="7"/>
        <v>2725</v>
      </c>
      <c r="K185" s="483">
        <f t="shared" si="8"/>
        <v>3100</v>
      </c>
      <c r="L185" s="483">
        <f t="shared" si="9"/>
        <v>5450</v>
      </c>
      <c r="M185" s="1174"/>
      <c r="N185" s="170"/>
      <c r="Q185" s="122"/>
      <c r="R185" s="504"/>
      <c r="S185" s="122"/>
      <c r="X185" s="73"/>
      <c r="Z185" s="73"/>
      <c r="AC185" s="73"/>
      <c r="BB185" s="143"/>
    </row>
    <row r="186" spans="1:54" ht="15" customHeight="1">
      <c r="B186" s="800" t="str">
        <f>+input!B125</f>
        <v>231i</v>
      </c>
      <c r="C186" s="366">
        <f t="shared" si="11"/>
        <v>39.496000000000002</v>
      </c>
      <c r="D186" s="483">
        <f>+input!P125</f>
        <v>290</v>
      </c>
      <c r="E186" s="483">
        <f>+input!N125</f>
        <v>12</v>
      </c>
      <c r="F186" s="483">
        <f>+input!G125</f>
        <v>500</v>
      </c>
      <c r="G186" s="483">
        <f>+input!T125</f>
        <v>1175</v>
      </c>
      <c r="H186" s="483">
        <f>+input!U125</f>
        <v>2350</v>
      </c>
      <c r="I186" s="483">
        <f>+input!V125/2</f>
        <v>1925</v>
      </c>
      <c r="J186" s="483">
        <f t="shared" si="7"/>
        <v>2725</v>
      </c>
      <c r="K186" s="483">
        <f t="shared" si="8"/>
        <v>3100</v>
      </c>
      <c r="L186" s="483">
        <f t="shared" si="9"/>
        <v>5450</v>
      </c>
      <c r="M186" s="1174"/>
      <c r="N186" s="170"/>
      <c r="Q186" s="122"/>
      <c r="R186" s="504"/>
      <c r="S186" s="122"/>
      <c r="X186" s="73"/>
      <c r="Z186" s="73"/>
      <c r="AC186" s="73"/>
      <c r="BB186" s="143"/>
    </row>
    <row r="187" spans="1:54" ht="15" customHeight="1" thickBot="1">
      <c r="B187" s="901" t="str">
        <f>+input!B126</f>
        <v>231j</v>
      </c>
      <c r="C187" s="366">
        <f t="shared" si="11"/>
        <v>39.496000000000002</v>
      </c>
      <c r="D187" s="902">
        <f>+input!P126</f>
        <v>290</v>
      </c>
      <c r="E187" s="902">
        <f>+input!N126</f>
        <v>12</v>
      </c>
      <c r="F187" s="902">
        <f>+input!G126</f>
        <v>500</v>
      </c>
      <c r="G187" s="902">
        <f>+input!T126</f>
        <v>1175</v>
      </c>
      <c r="H187" s="902">
        <f>+input!U126</f>
        <v>2350</v>
      </c>
      <c r="I187" s="483">
        <f>+input!V126/2</f>
        <v>1925</v>
      </c>
      <c r="J187" s="483">
        <f t="shared" si="7"/>
        <v>2725</v>
      </c>
      <c r="K187" s="483">
        <f t="shared" si="8"/>
        <v>3100</v>
      </c>
      <c r="L187" s="483">
        <f t="shared" si="9"/>
        <v>5450</v>
      </c>
      <c r="M187" s="1174"/>
      <c r="N187" s="170"/>
      <c r="Q187" s="122"/>
      <c r="R187" s="504"/>
      <c r="S187" s="122"/>
      <c r="X187" s="73"/>
      <c r="Z187" s="73"/>
      <c r="AC187" s="73"/>
      <c r="BB187" s="143"/>
    </row>
    <row r="188" spans="1:54" ht="15" customHeight="1">
      <c r="A188" s="144"/>
      <c r="B188" s="115"/>
      <c r="C188" s="135"/>
      <c r="D188" s="135"/>
      <c r="E188" s="135"/>
      <c r="F188" s="135"/>
      <c r="H188" s="135"/>
      <c r="I188" s="135"/>
    </row>
    <row r="189" spans="1:54" ht="15" customHeight="1">
      <c r="A189" s="78" t="s">
        <v>308</v>
      </c>
      <c r="B189" s="96" t="s">
        <v>351</v>
      </c>
      <c r="C189" s="160"/>
    </row>
    <row r="190" spans="1:54" ht="15" customHeight="1">
      <c r="A190" s="78"/>
      <c r="B190" s="170" t="s">
        <v>1900</v>
      </c>
      <c r="C190" s="160"/>
      <c r="L190" s="750"/>
      <c r="X190" s="559"/>
      <c r="Z190" s="559"/>
      <c r="AC190" s="559"/>
    </row>
    <row r="191" spans="1:54" ht="15" customHeight="1">
      <c r="A191" s="78"/>
      <c r="C191" s="170" t="s">
        <v>1902</v>
      </c>
      <c r="H191" s="143" t="s">
        <v>1903</v>
      </c>
      <c r="L191" s="750"/>
      <c r="X191" s="559"/>
      <c r="Z191" s="559"/>
      <c r="AC191" s="559"/>
    </row>
    <row r="192" spans="1:54" ht="15" customHeight="1">
      <c r="A192" s="78"/>
      <c r="B192" s="96"/>
      <c r="C192" s="160"/>
      <c r="L192" s="750"/>
      <c r="X192" s="559"/>
      <c r="Z192" s="559"/>
      <c r="AC192" s="559"/>
    </row>
    <row r="193" spans="1:29" ht="15" customHeight="1">
      <c r="A193" s="78"/>
      <c r="B193" s="96"/>
      <c r="C193" s="160"/>
      <c r="L193" s="750"/>
      <c r="X193" s="559"/>
      <c r="Z193" s="559"/>
      <c r="AC193" s="559"/>
    </row>
    <row r="194" spans="1:29" ht="15" customHeight="1">
      <c r="A194" s="78"/>
      <c r="B194" s="96"/>
      <c r="C194" s="160"/>
      <c r="L194" s="750"/>
      <c r="X194" s="559"/>
      <c r="Z194" s="559"/>
      <c r="AC194" s="559"/>
    </row>
    <row r="195" spans="1:29" ht="15" customHeight="1">
      <c r="A195" s="78"/>
      <c r="B195" s="96"/>
      <c r="C195" s="160"/>
      <c r="L195" s="750"/>
      <c r="X195" s="559"/>
      <c r="Z195" s="559"/>
      <c r="AC195" s="559"/>
    </row>
    <row r="196" spans="1:29" ht="15" customHeight="1">
      <c r="A196" s="78"/>
      <c r="B196" s="96"/>
      <c r="C196" s="160"/>
      <c r="L196" s="750"/>
      <c r="X196" s="559"/>
      <c r="Z196" s="559"/>
      <c r="AC196" s="559"/>
    </row>
    <row r="197" spans="1:29" ht="15" customHeight="1">
      <c r="A197" s="78"/>
      <c r="B197" s="96"/>
      <c r="C197" s="160"/>
      <c r="L197" s="750"/>
      <c r="X197" s="559"/>
      <c r="Z197" s="559"/>
      <c r="AC197" s="559"/>
    </row>
    <row r="198" spans="1:29" ht="15" customHeight="1">
      <c r="A198" s="78"/>
      <c r="B198" s="96"/>
      <c r="C198" s="160"/>
      <c r="L198" s="750"/>
      <c r="X198" s="559"/>
      <c r="Z198" s="559"/>
      <c r="AC198" s="559"/>
    </row>
    <row r="199" spans="1:29" ht="15" customHeight="1">
      <c r="C199" s="143" t="s">
        <v>1904</v>
      </c>
      <c r="G199" s="170"/>
      <c r="H199" s="170" t="s">
        <v>1901</v>
      </c>
      <c r="L199" s="750"/>
      <c r="X199" s="559"/>
      <c r="Z199" s="559"/>
      <c r="AC199" s="559"/>
    </row>
    <row r="200" spans="1:29" ht="15" customHeight="1">
      <c r="A200" s="78"/>
      <c r="B200" s="96"/>
      <c r="C200" s="160"/>
      <c r="L200" s="750"/>
      <c r="X200" s="559"/>
      <c r="Z200" s="559"/>
      <c r="AC200" s="559"/>
    </row>
    <row r="201" spans="1:29" ht="15" customHeight="1">
      <c r="A201" s="78"/>
      <c r="B201" s="96"/>
      <c r="C201" s="160"/>
      <c r="L201" s="750"/>
      <c r="X201" s="559"/>
      <c r="Z201" s="559"/>
      <c r="AC201" s="559"/>
    </row>
    <row r="202" spans="1:29" ht="15" customHeight="1">
      <c r="A202" s="78"/>
      <c r="B202" s="96"/>
      <c r="C202" s="160"/>
      <c r="L202" s="750"/>
      <c r="X202" s="559"/>
      <c r="Z202" s="559"/>
      <c r="AC202" s="559"/>
    </row>
    <row r="203" spans="1:29" ht="15" customHeight="1">
      <c r="A203" s="78"/>
      <c r="B203" s="96"/>
      <c r="C203" s="160"/>
      <c r="L203" s="750"/>
    </row>
    <row r="204" spans="1:29" ht="15" customHeight="1">
      <c r="A204" s="78"/>
      <c r="B204" s="96"/>
      <c r="C204" s="160"/>
      <c r="L204" s="750"/>
    </row>
    <row r="205" spans="1:29" ht="15" customHeight="1">
      <c r="A205" s="78"/>
      <c r="B205" s="96"/>
      <c r="C205" s="160"/>
      <c r="L205" s="750"/>
    </row>
    <row r="206" spans="1:29" ht="15" customHeight="1">
      <c r="A206" s="78"/>
      <c r="B206" s="96"/>
      <c r="C206" s="160"/>
      <c r="L206" s="750"/>
    </row>
    <row r="207" spans="1:29" ht="15" customHeight="1" thickBot="1">
      <c r="A207" s="78"/>
      <c r="B207" s="96"/>
      <c r="C207" s="160"/>
      <c r="L207" s="750"/>
    </row>
    <row r="208" spans="1:29" ht="15" customHeight="1">
      <c r="A208" s="78"/>
      <c r="B208" s="779" t="s">
        <v>1888</v>
      </c>
      <c r="C208" s="768" t="s">
        <v>1329</v>
      </c>
      <c r="D208" s="768"/>
      <c r="E208" s="36"/>
      <c r="F208" s="778" t="s">
        <v>1890</v>
      </c>
      <c r="G208" s="784"/>
      <c r="H208" s="778"/>
      <c r="I208" s="36"/>
      <c r="J208" s="768" t="s">
        <v>1891</v>
      </c>
      <c r="K208" s="768"/>
      <c r="L208" s="769"/>
    </row>
    <row r="209" spans="1:29" ht="15" customHeight="1">
      <c r="A209" s="78"/>
      <c r="B209" s="780"/>
      <c r="C209" s="770"/>
      <c r="D209" s="770"/>
      <c r="E209" s="11"/>
      <c r="F209" s="770" t="s">
        <v>1893</v>
      </c>
      <c r="G209" s="11"/>
      <c r="H209" s="770" t="s">
        <v>1892</v>
      </c>
      <c r="I209" s="11"/>
      <c r="J209" s="770"/>
      <c r="K209" s="770"/>
      <c r="L209" s="771"/>
    </row>
    <row r="210" spans="1:29" ht="15" customHeight="1">
      <c r="A210" s="78"/>
      <c r="B210" s="781">
        <v>1</v>
      </c>
      <c r="C210" s="772" t="s">
        <v>1889</v>
      </c>
      <c r="D210" s="772"/>
      <c r="E210" s="170"/>
      <c r="F210" s="772" t="s">
        <v>1886</v>
      </c>
      <c r="G210" s="170"/>
      <c r="H210" s="772" t="s">
        <v>1886</v>
      </c>
      <c r="I210" s="170"/>
      <c r="J210" s="772" t="s">
        <v>1906</v>
      </c>
      <c r="K210" s="772"/>
      <c r="L210" s="773"/>
    </row>
    <row r="211" spans="1:29" ht="15" customHeight="1">
      <c r="A211" s="78"/>
      <c r="B211" s="782">
        <v>2</v>
      </c>
      <c r="C211" s="774" t="s">
        <v>1894</v>
      </c>
      <c r="D211" s="774"/>
      <c r="E211" s="9"/>
      <c r="F211" s="774" t="s">
        <v>1886</v>
      </c>
      <c r="G211" s="9"/>
      <c r="H211" s="774" t="s">
        <v>1886</v>
      </c>
      <c r="I211" s="9"/>
      <c r="J211" s="774" t="s">
        <v>1907</v>
      </c>
      <c r="K211" s="774"/>
      <c r="L211" s="775"/>
      <c r="X211" s="559"/>
      <c r="Z211" s="559"/>
      <c r="AC211" s="559"/>
    </row>
    <row r="212" spans="1:29" ht="15" customHeight="1">
      <c r="A212" s="78"/>
      <c r="B212" s="781">
        <v>3</v>
      </c>
      <c r="C212" s="772" t="s">
        <v>1895</v>
      </c>
      <c r="D212" s="772"/>
      <c r="E212" s="170"/>
      <c r="F212" s="772" t="s">
        <v>1886</v>
      </c>
      <c r="G212" s="170"/>
      <c r="H212" s="772" t="s">
        <v>1896</v>
      </c>
      <c r="I212" s="170"/>
      <c r="J212" s="772" t="s">
        <v>1908</v>
      </c>
      <c r="K212" s="772"/>
      <c r="L212" s="773"/>
      <c r="X212" s="559"/>
      <c r="Z212" s="559"/>
      <c r="AC212" s="559"/>
    </row>
    <row r="213" spans="1:29" ht="15" customHeight="1">
      <c r="A213" s="78"/>
      <c r="B213" s="782">
        <v>4</v>
      </c>
      <c r="C213" s="774" t="s">
        <v>1897</v>
      </c>
      <c r="D213" s="774"/>
      <c r="E213" s="9"/>
      <c r="F213" s="774" t="s">
        <v>1898</v>
      </c>
      <c r="G213" s="9"/>
      <c r="H213" s="774" t="s">
        <v>1887</v>
      </c>
      <c r="I213" s="9"/>
      <c r="J213" s="774" t="s">
        <v>1909</v>
      </c>
      <c r="K213" s="774"/>
      <c r="L213" s="775"/>
      <c r="X213" s="559"/>
      <c r="Z213" s="559"/>
      <c r="AC213" s="559"/>
    </row>
    <row r="214" spans="1:29" ht="15" customHeight="1">
      <c r="A214" s="78"/>
      <c r="B214" s="781">
        <v>5</v>
      </c>
      <c r="C214" s="772" t="s">
        <v>1905</v>
      </c>
      <c r="D214" s="772"/>
      <c r="E214" s="170"/>
      <c r="F214" s="772" t="s">
        <v>1898</v>
      </c>
      <c r="G214" s="170"/>
      <c r="H214" s="772" t="s">
        <v>1887</v>
      </c>
      <c r="I214" s="170"/>
      <c r="J214" s="772" t="s">
        <v>1910</v>
      </c>
      <c r="K214" s="772"/>
      <c r="L214" s="773"/>
      <c r="X214" s="559"/>
      <c r="Z214" s="559"/>
      <c r="AC214" s="559"/>
    </row>
    <row r="215" spans="1:29" ht="15" customHeight="1" thickBot="1">
      <c r="A215" s="78"/>
      <c r="B215" s="783">
        <v>6</v>
      </c>
      <c r="C215" s="776" t="s">
        <v>1899</v>
      </c>
      <c r="D215" s="776"/>
      <c r="E215" s="41"/>
      <c r="F215" s="776" t="s">
        <v>1898</v>
      </c>
      <c r="G215" s="41"/>
      <c r="H215" s="776" t="s">
        <v>1887</v>
      </c>
      <c r="I215" s="41"/>
      <c r="J215" s="776" t="s">
        <v>1911</v>
      </c>
      <c r="K215" s="776"/>
      <c r="L215" s="777"/>
      <c r="X215" s="559"/>
      <c r="Z215" s="559"/>
      <c r="AC215" s="559"/>
    </row>
    <row r="216" spans="1:29" ht="15" customHeight="1">
      <c r="A216" s="78"/>
      <c r="B216" s="96"/>
      <c r="X216" s="559"/>
      <c r="Z216" s="559"/>
      <c r="AC216" s="559"/>
    </row>
    <row r="217" spans="1:29" ht="15" customHeight="1">
      <c r="A217" s="78"/>
      <c r="B217" s="96"/>
      <c r="C217" s="160"/>
      <c r="L217" s="750"/>
      <c r="X217" s="559"/>
      <c r="Z217" s="559"/>
      <c r="AC217" s="559"/>
    </row>
    <row r="218" spans="1:29" ht="15" customHeight="1">
      <c r="A218" s="78"/>
      <c r="B218" s="96"/>
      <c r="C218" s="160"/>
      <c r="L218" s="750"/>
      <c r="X218" s="559"/>
      <c r="Z218" s="559"/>
      <c r="AC218" s="559"/>
    </row>
    <row r="219" spans="1:29" ht="15" customHeight="1">
      <c r="A219" s="78"/>
      <c r="B219" s="96" t="s">
        <v>1046</v>
      </c>
      <c r="C219" s="160"/>
      <c r="L219" s="400"/>
    </row>
    <row r="220" spans="1:29" ht="15" customHeight="1" thickBot="1">
      <c r="A220" s="78"/>
      <c r="B220" s="445" t="s">
        <v>1096</v>
      </c>
      <c r="C220" s="160"/>
      <c r="L220" s="400"/>
    </row>
    <row r="221" spans="1:29" ht="15" customHeight="1">
      <c r="A221" s="78"/>
      <c r="B221" s="426"/>
      <c r="C221" s="427"/>
      <c r="D221" s="352"/>
      <c r="E221" s="352"/>
      <c r="F221" s="352"/>
      <c r="G221" s="352"/>
      <c r="H221" s="352"/>
      <c r="I221" s="352"/>
      <c r="J221" s="352"/>
      <c r="K221" s="352"/>
      <c r="L221" s="402"/>
      <c r="M221" s="352"/>
      <c r="N221" s="403"/>
    </row>
    <row r="222" spans="1:29" ht="15" customHeight="1">
      <c r="A222" s="78"/>
      <c r="B222" s="428"/>
      <c r="C222" s="170" t="s">
        <v>1421</v>
      </c>
      <c r="D222" s="170"/>
      <c r="E222" s="124" t="s">
        <v>1047</v>
      </c>
      <c r="F222" s="170" t="s">
        <v>1422</v>
      </c>
      <c r="J222" s="170"/>
      <c r="K222" s="170"/>
      <c r="L222" s="398"/>
      <c r="M222" s="170"/>
      <c r="N222" s="401"/>
    </row>
    <row r="223" spans="1:29" ht="15" customHeight="1">
      <c r="A223" s="78"/>
      <c r="B223" s="428"/>
      <c r="C223" s="170" t="s">
        <v>1048</v>
      </c>
      <c r="D223" s="170"/>
      <c r="E223" s="124" t="s">
        <v>1047</v>
      </c>
      <c r="F223" s="170" t="s">
        <v>1423</v>
      </c>
      <c r="J223" s="170"/>
      <c r="K223" s="170"/>
      <c r="L223" s="398"/>
      <c r="M223" s="170"/>
      <c r="N223" s="401"/>
    </row>
    <row r="224" spans="1:29" ht="15" customHeight="1">
      <c r="A224" s="78"/>
      <c r="B224" s="428"/>
      <c r="C224" s="170" t="s">
        <v>1824</v>
      </c>
      <c r="D224" s="170"/>
      <c r="E224" s="124" t="s">
        <v>1047</v>
      </c>
      <c r="F224" s="170" t="s">
        <v>1049</v>
      </c>
      <c r="J224" s="170"/>
      <c r="K224" s="170"/>
      <c r="L224" s="398"/>
      <c r="M224" s="170"/>
      <c r="N224" s="401"/>
    </row>
    <row r="225" spans="1:27" ht="15" customHeight="1">
      <c r="A225" s="78"/>
      <c r="B225" s="428"/>
      <c r="C225" s="170" t="s">
        <v>1364</v>
      </c>
      <c r="D225" s="170"/>
      <c r="E225" s="124" t="s">
        <v>1047</v>
      </c>
      <c r="F225" s="170" t="s">
        <v>1050</v>
      </c>
      <c r="J225" s="170"/>
      <c r="K225" s="170"/>
      <c r="L225" s="398"/>
      <c r="M225" s="170"/>
      <c r="N225" s="401"/>
    </row>
    <row r="226" spans="1:27" ht="15" customHeight="1">
      <c r="A226" s="78"/>
      <c r="B226" s="428"/>
      <c r="C226" s="170" t="s">
        <v>1365</v>
      </c>
      <c r="D226" s="170"/>
      <c r="E226" s="124" t="s">
        <v>1047</v>
      </c>
      <c r="F226" s="170" t="s">
        <v>1051</v>
      </c>
      <c r="J226" s="170"/>
      <c r="K226" s="170"/>
      <c r="L226" s="398"/>
      <c r="M226" s="170"/>
      <c r="N226" s="401"/>
    </row>
    <row r="227" spans="1:27" ht="15" customHeight="1">
      <c r="A227" s="78"/>
      <c r="B227" s="429"/>
      <c r="C227" s="170" t="s">
        <v>1366</v>
      </c>
      <c r="D227" s="170"/>
      <c r="E227" s="124" t="s">
        <v>1047</v>
      </c>
      <c r="F227" s="170" t="s">
        <v>1055</v>
      </c>
      <c r="J227" s="170"/>
      <c r="K227" s="170"/>
      <c r="L227" s="398"/>
      <c r="M227" s="170"/>
      <c r="N227" s="401"/>
    </row>
    <row r="228" spans="1:27" ht="15" customHeight="1">
      <c r="A228" s="78"/>
      <c r="B228" s="429"/>
      <c r="C228" s="170" t="s">
        <v>1826</v>
      </c>
      <c r="D228" s="170"/>
      <c r="E228" s="124" t="s">
        <v>1053</v>
      </c>
      <c r="F228" s="170" t="s">
        <v>1052</v>
      </c>
      <c r="J228" s="170"/>
      <c r="K228" s="170"/>
      <c r="L228" s="398"/>
      <c r="M228" s="170"/>
      <c r="N228" s="401"/>
    </row>
    <row r="229" spans="1:27" ht="15" customHeight="1">
      <c r="A229" s="78"/>
      <c r="B229" s="429"/>
      <c r="C229" s="170" t="s">
        <v>1424</v>
      </c>
      <c r="D229" s="170"/>
      <c r="E229" s="124" t="s">
        <v>1053</v>
      </c>
      <c r="F229" s="170" t="s">
        <v>1056</v>
      </c>
      <c r="J229" s="170"/>
      <c r="K229" s="170"/>
      <c r="L229" s="398"/>
      <c r="M229" s="170"/>
      <c r="N229" s="401"/>
    </row>
    <row r="230" spans="1:27" ht="15" customHeight="1" thickBot="1">
      <c r="A230" s="78"/>
      <c r="B230" s="430"/>
      <c r="C230" s="321"/>
      <c r="D230" s="321"/>
      <c r="E230" s="321"/>
      <c r="F230" s="321"/>
      <c r="G230" s="321"/>
      <c r="H230" s="431"/>
      <c r="I230" s="321"/>
      <c r="J230" s="321"/>
      <c r="K230" s="321"/>
      <c r="L230" s="404"/>
      <c r="M230" s="321"/>
      <c r="N230" s="432"/>
    </row>
    <row r="231" spans="1:27" ht="15" customHeight="1">
      <c r="A231" s="78"/>
      <c r="B231" s="96"/>
      <c r="F231" s="170"/>
      <c r="G231" s="170"/>
      <c r="M231" s="170"/>
      <c r="N231" s="170"/>
      <c r="O231" s="170"/>
      <c r="P231" s="170"/>
      <c r="Z231" s="348"/>
    </row>
    <row r="232" spans="1:27" ht="15" customHeight="1">
      <c r="A232" s="78"/>
      <c r="B232" s="421"/>
      <c r="C232" s="107" t="s">
        <v>1091</v>
      </c>
      <c r="D232" s="107"/>
      <c r="E232" s="107" t="s">
        <v>1087</v>
      </c>
      <c r="F232" s="107"/>
      <c r="G232" s="107"/>
      <c r="H232" s="107"/>
      <c r="I232" s="107" t="s">
        <v>1088</v>
      </c>
      <c r="J232" s="107"/>
      <c r="K232" s="107"/>
      <c r="L232" s="107"/>
      <c r="M232" s="107"/>
      <c r="N232" s="422"/>
    </row>
    <row r="233" spans="1:27" ht="15" customHeight="1">
      <c r="A233" s="78"/>
      <c r="B233" s="434"/>
      <c r="C233" s="146" t="s">
        <v>1068</v>
      </c>
      <c r="D233" s="146"/>
      <c r="E233" s="146" t="s">
        <v>1153</v>
      </c>
      <c r="F233" s="146"/>
      <c r="G233" s="146"/>
      <c r="H233" s="146"/>
      <c r="I233" s="146" t="s">
        <v>1074</v>
      </c>
      <c r="J233" s="146"/>
      <c r="K233" s="146"/>
      <c r="L233" s="146"/>
      <c r="M233" s="146"/>
      <c r="N233" s="435"/>
    </row>
    <row r="234" spans="1:27" ht="15" customHeight="1">
      <c r="A234" s="78"/>
      <c r="B234" s="436"/>
      <c r="C234" s="110" t="s">
        <v>1069</v>
      </c>
      <c r="D234" s="110"/>
      <c r="E234" s="110" t="s">
        <v>1154</v>
      </c>
      <c r="F234" s="110"/>
      <c r="G234" s="110"/>
      <c r="H234" s="110"/>
      <c r="I234" s="110" t="s">
        <v>1825</v>
      </c>
      <c r="J234" s="110"/>
      <c r="K234" s="110"/>
      <c r="L234" s="110"/>
      <c r="M234" s="110"/>
      <c r="N234" s="437"/>
    </row>
    <row r="235" spans="1:27" ht="15" customHeight="1">
      <c r="A235" s="78"/>
      <c r="B235" s="436"/>
      <c r="C235" s="110" t="s">
        <v>1070</v>
      </c>
      <c r="D235" s="110"/>
      <c r="E235" s="110" t="s">
        <v>1155</v>
      </c>
      <c r="F235" s="110"/>
      <c r="G235" s="110"/>
      <c r="H235" s="110"/>
      <c r="I235" s="110" t="s">
        <v>1075</v>
      </c>
      <c r="J235" s="110"/>
      <c r="K235" s="110"/>
      <c r="L235" s="110"/>
      <c r="M235" s="110"/>
      <c r="N235" s="437"/>
    </row>
    <row r="236" spans="1:27" ht="15" customHeight="1">
      <c r="A236" s="78"/>
      <c r="B236" s="436"/>
      <c r="C236" s="110" t="s">
        <v>1071</v>
      </c>
      <c r="D236" s="110"/>
      <c r="E236" s="110" t="s">
        <v>1368</v>
      </c>
      <c r="F236" s="110"/>
      <c r="G236" s="110"/>
      <c r="H236" s="110"/>
      <c r="I236" s="110" t="s">
        <v>1371</v>
      </c>
      <c r="J236" s="110"/>
      <c r="K236" s="110"/>
      <c r="L236" s="110"/>
      <c r="M236" s="110"/>
      <c r="N236" s="437"/>
    </row>
    <row r="237" spans="1:27" ht="15" customHeight="1">
      <c r="A237" s="78"/>
      <c r="B237" s="438"/>
      <c r="C237" s="91" t="s">
        <v>1369</v>
      </c>
      <c r="D237" s="91"/>
      <c r="E237" s="91" t="s">
        <v>1370</v>
      </c>
      <c r="F237" s="91"/>
      <c r="G237" s="91"/>
      <c r="H237" s="91"/>
      <c r="I237" s="91" t="s">
        <v>1372</v>
      </c>
      <c r="J237" s="91"/>
      <c r="K237" s="91"/>
      <c r="L237" s="91"/>
      <c r="M237" s="91"/>
      <c r="N237" s="439"/>
    </row>
    <row r="238" spans="1:27" ht="15" customHeight="1">
      <c r="A238" s="78"/>
      <c r="B238" s="81"/>
      <c r="C238" s="170"/>
      <c r="D238" s="170"/>
      <c r="E238" s="170"/>
      <c r="F238" s="170"/>
      <c r="G238" s="170"/>
      <c r="H238" s="170"/>
      <c r="I238" s="170"/>
      <c r="J238" s="170"/>
      <c r="K238" s="170"/>
      <c r="L238" s="170"/>
      <c r="M238" s="170"/>
      <c r="N238" s="419"/>
      <c r="AA238" s="74"/>
    </row>
    <row r="239" spans="1:27" ht="15" customHeight="1">
      <c r="A239" s="78"/>
      <c r="B239" s="425"/>
      <c r="C239" s="170"/>
      <c r="D239" s="170"/>
      <c r="E239" s="170" t="s">
        <v>1373</v>
      </c>
      <c r="F239" s="124" t="s">
        <v>1047</v>
      </c>
      <c r="G239" s="170" t="s">
        <v>1374</v>
      </c>
      <c r="H239" s="170"/>
      <c r="I239" s="170"/>
      <c r="J239" s="170"/>
      <c r="K239" s="170"/>
      <c r="L239" s="170"/>
      <c r="M239" s="170"/>
      <c r="N239" s="423"/>
      <c r="AA239" s="76"/>
    </row>
    <row r="240" spans="1:27" ht="15" customHeight="1">
      <c r="A240" s="78"/>
      <c r="B240" s="425"/>
      <c r="C240" s="170"/>
      <c r="D240" s="170"/>
      <c r="E240" s="1870" t="s">
        <v>1375</v>
      </c>
      <c r="F240" s="1871" t="s">
        <v>1047</v>
      </c>
      <c r="G240" s="112" t="s">
        <v>1376</v>
      </c>
      <c r="H240" s="112"/>
      <c r="I240" s="112"/>
      <c r="J240" s="112"/>
      <c r="K240" s="112"/>
      <c r="L240" s="143"/>
      <c r="N240" s="423"/>
      <c r="AA240" s="76"/>
    </row>
    <row r="241" spans="1:29" ht="15" customHeight="1">
      <c r="A241" s="78"/>
      <c r="B241" s="425"/>
      <c r="C241" s="170"/>
      <c r="D241" s="170"/>
      <c r="E241" s="1870"/>
      <c r="F241" s="1871"/>
      <c r="G241" s="365"/>
      <c r="H241" s="365"/>
      <c r="I241" s="365" t="s">
        <v>1833</v>
      </c>
      <c r="J241" s="365"/>
      <c r="K241" s="365"/>
      <c r="L241" s="143"/>
      <c r="N241" s="423"/>
      <c r="AA241" s="76"/>
      <c r="AC241" s="73"/>
    </row>
    <row r="242" spans="1:29" ht="15" customHeight="1">
      <c r="A242" s="78"/>
      <c r="B242" s="425"/>
      <c r="C242" s="170"/>
      <c r="D242" s="170"/>
      <c r="E242" s="170" t="s">
        <v>1377</v>
      </c>
      <c r="F242" s="124" t="s">
        <v>1047</v>
      </c>
      <c r="G242" s="170" t="s">
        <v>1378</v>
      </c>
      <c r="H242" s="170"/>
      <c r="I242" s="398"/>
      <c r="J242" s="398"/>
      <c r="K242" s="398"/>
      <c r="L242" s="398"/>
      <c r="M242" s="398"/>
      <c r="N242" s="423"/>
      <c r="AA242" s="76"/>
      <c r="AC242" s="73"/>
    </row>
    <row r="243" spans="1:29" ht="15" customHeight="1">
      <c r="A243" s="78"/>
      <c r="B243" s="420"/>
      <c r="C243" s="145"/>
      <c r="D243" s="261"/>
      <c r="E243" s="145"/>
      <c r="F243" s="145"/>
      <c r="G243" s="399"/>
      <c r="H243" s="399"/>
      <c r="I243" s="399"/>
      <c r="J243" s="399"/>
      <c r="K243" s="399"/>
      <c r="L243" s="399"/>
      <c r="M243" s="112"/>
      <c r="N243" s="424"/>
      <c r="AA243" s="76"/>
      <c r="AC243" s="73"/>
    </row>
    <row r="244" spans="1:29" ht="15" customHeight="1">
      <c r="A244" s="78"/>
      <c r="B244" s="96"/>
      <c r="C244" s="170"/>
      <c r="D244" s="138"/>
      <c r="G244" s="398"/>
      <c r="H244" s="398"/>
      <c r="I244" s="398"/>
      <c r="L244" s="143"/>
      <c r="AA244" s="76"/>
      <c r="AC244" s="73"/>
    </row>
    <row r="245" spans="1:29" ht="15" customHeight="1">
      <c r="A245" s="78"/>
      <c r="B245" s="418"/>
      <c r="C245" s="107" t="s">
        <v>1091</v>
      </c>
      <c r="D245" s="107"/>
      <c r="E245" s="107" t="s">
        <v>1089</v>
      </c>
      <c r="F245" s="107"/>
      <c r="G245" s="107"/>
      <c r="H245" s="107"/>
      <c r="I245" s="107" t="s">
        <v>1090</v>
      </c>
      <c r="J245" s="107"/>
      <c r="K245" s="107"/>
      <c r="L245" s="107"/>
      <c r="M245" s="107"/>
      <c r="N245" s="422"/>
      <c r="AA245" s="76"/>
      <c r="AC245" s="73"/>
    </row>
    <row r="246" spans="1:29" ht="15" customHeight="1">
      <c r="A246" s="78"/>
      <c r="B246" s="434"/>
      <c r="C246" s="146" t="s">
        <v>1068</v>
      </c>
      <c r="D246" s="146"/>
      <c r="E246" s="118" t="s">
        <v>1054</v>
      </c>
      <c r="F246" s="146"/>
      <c r="G246" s="146"/>
      <c r="H246" s="146"/>
      <c r="I246" s="118" t="s">
        <v>1073</v>
      </c>
      <c r="J246" s="146"/>
      <c r="K246" s="146"/>
      <c r="L246" s="146"/>
      <c r="M246" s="146"/>
      <c r="N246" s="435"/>
      <c r="AA246" s="76"/>
      <c r="AC246" s="73"/>
    </row>
    <row r="247" spans="1:29" ht="15" customHeight="1">
      <c r="A247" s="78"/>
      <c r="B247" s="436"/>
      <c r="C247" s="110" t="s">
        <v>513</v>
      </c>
      <c r="D247" s="110"/>
      <c r="E247" s="110" t="s">
        <v>1827</v>
      </c>
      <c r="F247" s="110"/>
      <c r="G247" s="110"/>
      <c r="H247" s="110"/>
      <c r="I247" s="110" t="s">
        <v>1065</v>
      </c>
      <c r="J247" s="110"/>
      <c r="K247" s="110"/>
      <c r="L247" s="110"/>
      <c r="M247" s="110"/>
      <c r="N247" s="437"/>
      <c r="AA247" s="76"/>
      <c r="AC247" s="73"/>
    </row>
    <row r="248" spans="1:29" ht="15" customHeight="1">
      <c r="A248" s="78"/>
      <c r="B248" s="436"/>
      <c r="C248" s="110" t="s">
        <v>1070</v>
      </c>
      <c r="D248" s="110"/>
      <c r="E248" s="110" t="s">
        <v>1057</v>
      </c>
      <c r="F248" s="110"/>
      <c r="G248" s="110"/>
      <c r="H248" s="110"/>
      <c r="I248" s="110" t="s">
        <v>1066</v>
      </c>
      <c r="J248" s="110"/>
      <c r="K248" s="110"/>
      <c r="L248" s="110"/>
      <c r="M248" s="110"/>
      <c r="N248" s="437"/>
      <c r="AA248" s="76"/>
      <c r="AC248" s="73"/>
    </row>
    <row r="249" spans="1:29" ht="15" customHeight="1">
      <c r="A249" s="78"/>
      <c r="B249" s="436"/>
      <c r="C249" s="110" t="s">
        <v>1071</v>
      </c>
      <c r="D249" s="110"/>
      <c r="E249" s="110" t="s">
        <v>1379</v>
      </c>
      <c r="F249" s="110"/>
      <c r="G249" s="110"/>
      <c r="H249" s="110"/>
      <c r="I249" s="110" t="s">
        <v>1381</v>
      </c>
      <c r="J249" s="110"/>
      <c r="K249" s="110"/>
      <c r="L249" s="110"/>
      <c r="M249" s="110"/>
      <c r="N249" s="437"/>
      <c r="AA249" s="76"/>
      <c r="AC249" s="73"/>
    </row>
    <row r="250" spans="1:29" ht="15" customHeight="1">
      <c r="A250" s="78"/>
      <c r="B250" s="438"/>
      <c r="C250" s="91" t="s">
        <v>1072</v>
      </c>
      <c r="D250" s="91"/>
      <c r="E250" s="91" t="s">
        <v>1380</v>
      </c>
      <c r="F250" s="91"/>
      <c r="G250" s="91"/>
      <c r="H250" s="91"/>
      <c r="I250" s="91" t="s">
        <v>1382</v>
      </c>
      <c r="J250" s="91"/>
      <c r="K250" s="91"/>
      <c r="L250" s="91"/>
      <c r="M250" s="91"/>
      <c r="N250" s="439"/>
      <c r="AA250" s="76"/>
      <c r="AC250" s="73"/>
    </row>
    <row r="251" spans="1:29" ht="15" customHeight="1">
      <c r="A251" s="78"/>
      <c r="B251" s="425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423"/>
      <c r="AA251" s="76"/>
      <c r="AC251" s="73"/>
    </row>
    <row r="252" spans="1:29" ht="15" customHeight="1">
      <c r="A252" s="78"/>
      <c r="B252" s="425"/>
      <c r="C252" s="170"/>
      <c r="D252" s="170" t="s">
        <v>2305</v>
      </c>
      <c r="E252" s="124" t="s">
        <v>1047</v>
      </c>
      <c r="F252" s="170" t="s">
        <v>1383</v>
      </c>
      <c r="H252" s="170"/>
      <c r="I252" s="170"/>
      <c r="J252" s="170"/>
      <c r="K252" s="170"/>
      <c r="L252" s="170"/>
      <c r="M252" s="398"/>
      <c r="N252" s="423"/>
      <c r="AA252" s="76"/>
      <c r="AC252" s="73"/>
    </row>
    <row r="253" spans="1:29" ht="15" customHeight="1">
      <c r="A253" s="78"/>
      <c r="B253" s="425"/>
      <c r="C253" s="170"/>
      <c r="D253" s="170" t="s">
        <v>1060</v>
      </c>
      <c r="E253" s="124" t="s">
        <v>1047</v>
      </c>
      <c r="F253" s="170" t="s">
        <v>2401</v>
      </c>
      <c r="H253" s="170"/>
      <c r="I253" s="170"/>
      <c r="J253" s="398"/>
      <c r="K253" s="398"/>
      <c r="L253" s="398"/>
      <c r="M253" s="398"/>
      <c r="N253" s="423"/>
      <c r="AA253" s="76"/>
      <c r="AC253" s="73"/>
    </row>
    <row r="254" spans="1:29" ht="15" customHeight="1">
      <c r="A254" s="78"/>
      <c r="B254" s="425"/>
      <c r="C254" s="170"/>
      <c r="D254" s="170" t="s">
        <v>1062</v>
      </c>
      <c r="E254" s="124" t="s">
        <v>1047</v>
      </c>
      <c r="F254" s="170" t="s">
        <v>2402</v>
      </c>
      <c r="H254" s="170"/>
      <c r="I254" s="398"/>
      <c r="J254" s="398"/>
      <c r="K254" s="398"/>
      <c r="L254" s="398"/>
      <c r="M254" s="115"/>
      <c r="N254" s="423"/>
      <c r="AA254" s="76"/>
      <c r="AC254" s="73"/>
    </row>
    <row r="255" spans="1:29" ht="15" customHeight="1">
      <c r="A255" s="78"/>
      <c r="B255" s="420"/>
      <c r="C255" s="145"/>
      <c r="D255" s="261"/>
      <c r="E255" s="145"/>
      <c r="F255" s="145"/>
      <c r="G255" s="399"/>
      <c r="H255" s="399"/>
      <c r="I255" s="399"/>
      <c r="J255" s="145"/>
      <c r="K255" s="145"/>
      <c r="L255" s="145"/>
      <c r="M255" s="145"/>
      <c r="N255" s="424"/>
      <c r="AA255" s="76"/>
      <c r="AC255" s="73"/>
    </row>
    <row r="256" spans="1:29" ht="15" customHeight="1">
      <c r="A256" s="78"/>
      <c r="B256" s="96"/>
      <c r="C256" s="170"/>
      <c r="D256" s="138"/>
      <c r="G256" s="398"/>
      <c r="H256" s="398"/>
      <c r="I256" s="398"/>
      <c r="L256" s="143"/>
      <c r="AA256" s="76"/>
      <c r="AC256" s="73"/>
    </row>
    <row r="257" spans="1:29" ht="15" customHeight="1">
      <c r="A257" s="78"/>
      <c r="B257" s="96"/>
      <c r="C257" s="170"/>
      <c r="D257" s="138"/>
      <c r="G257" s="398"/>
      <c r="H257" s="398"/>
      <c r="I257" s="398"/>
      <c r="L257" s="143"/>
      <c r="U257" s="53"/>
      <c r="V257" s="53"/>
      <c r="W257" s="53"/>
      <c r="X257" s="73"/>
      <c r="Y257" s="463"/>
      <c r="AA257" s="76"/>
      <c r="AC257" s="73"/>
    </row>
    <row r="258" spans="1:29" ht="15" customHeight="1">
      <c r="A258" s="78"/>
      <c r="B258" s="96" t="s">
        <v>1150</v>
      </c>
      <c r="C258" s="160"/>
      <c r="L258" s="400"/>
    </row>
    <row r="259" spans="1:29" ht="15" customHeight="1" thickBot="1">
      <c r="A259" s="78"/>
      <c r="B259" s="445" t="s">
        <v>1097</v>
      </c>
      <c r="C259" s="160"/>
      <c r="L259" s="400"/>
    </row>
    <row r="260" spans="1:29" ht="15" customHeight="1">
      <c r="A260" s="78"/>
      <c r="B260" s="426"/>
      <c r="C260" s="427"/>
      <c r="D260" s="352"/>
      <c r="E260" s="352"/>
      <c r="F260" s="352"/>
      <c r="G260" s="352"/>
      <c r="H260" s="352"/>
      <c r="I260" s="352"/>
      <c r="J260" s="352"/>
      <c r="K260" s="352"/>
      <c r="L260" s="402"/>
      <c r="M260" s="352"/>
      <c r="N260" s="403"/>
    </row>
    <row r="261" spans="1:29" ht="15" customHeight="1">
      <c r="A261" s="78"/>
      <c r="B261" s="428"/>
      <c r="C261" s="170" t="s">
        <v>1077</v>
      </c>
      <c r="D261" s="170"/>
      <c r="E261" s="124" t="s">
        <v>1047</v>
      </c>
      <c r="F261" s="170" t="s">
        <v>1063</v>
      </c>
      <c r="L261" s="398"/>
      <c r="M261" s="170"/>
      <c r="N261" s="401"/>
    </row>
    <row r="262" spans="1:29" ht="15" customHeight="1">
      <c r="A262" s="78"/>
      <c r="B262" s="428"/>
      <c r="C262" s="143" t="s">
        <v>1828</v>
      </c>
      <c r="E262" s="124" t="s">
        <v>1047</v>
      </c>
      <c r="F262" s="170" t="s">
        <v>1064</v>
      </c>
      <c r="L262" s="398"/>
      <c r="M262" s="170"/>
      <c r="N262" s="401"/>
    </row>
    <row r="263" spans="1:29" ht="15" customHeight="1">
      <c r="A263" s="78"/>
      <c r="B263" s="428"/>
      <c r="C263" s="143" t="s">
        <v>1829</v>
      </c>
      <c r="E263" s="124" t="s">
        <v>1830</v>
      </c>
      <c r="F263" s="170" t="s">
        <v>1831</v>
      </c>
      <c r="L263" s="398"/>
      <c r="M263" s="170"/>
      <c r="N263" s="401"/>
    </row>
    <row r="264" spans="1:29" ht="15" customHeight="1">
      <c r="A264" s="78"/>
      <c r="B264" s="428"/>
      <c r="C264" s="170" t="s">
        <v>1385</v>
      </c>
      <c r="D264" s="170"/>
      <c r="E264" s="124" t="s">
        <v>1047</v>
      </c>
      <c r="F264" s="170" t="s">
        <v>1386</v>
      </c>
      <c r="J264" s="170"/>
      <c r="L264" s="398"/>
      <c r="M264" s="170"/>
      <c r="N264" s="401"/>
    </row>
    <row r="265" spans="1:29" ht="15" customHeight="1">
      <c r="A265" s="78"/>
      <c r="B265" s="428"/>
      <c r="L265" s="143"/>
      <c r="M265" s="170"/>
      <c r="N265" s="401"/>
    </row>
    <row r="266" spans="1:29" ht="15" customHeight="1">
      <c r="A266" s="78"/>
      <c r="B266" s="428"/>
      <c r="C266" s="170"/>
      <c r="D266" s="170"/>
      <c r="E266" s="170"/>
      <c r="F266" s="170"/>
      <c r="G266" s="170"/>
      <c r="H266" s="124"/>
      <c r="I266" s="170"/>
      <c r="J266" s="170"/>
      <c r="K266" s="170"/>
      <c r="L266" s="398"/>
      <c r="M266" s="170"/>
      <c r="N266" s="401"/>
    </row>
    <row r="267" spans="1:29" ht="15" customHeight="1">
      <c r="A267" s="78"/>
      <c r="B267" s="429"/>
      <c r="C267" s="170"/>
      <c r="D267" s="170"/>
      <c r="E267" s="170"/>
      <c r="F267" s="170"/>
      <c r="G267" s="124"/>
      <c r="H267" s="124"/>
      <c r="I267" s="170"/>
      <c r="J267" s="170"/>
      <c r="K267" s="170"/>
      <c r="L267" s="398"/>
      <c r="M267" s="170"/>
      <c r="N267" s="401"/>
    </row>
    <row r="268" spans="1:29" ht="15" customHeight="1">
      <c r="A268" s="78"/>
      <c r="B268" s="429"/>
      <c r="C268" s="170"/>
      <c r="D268" s="170"/>
      <c r="E268" s="170"/>
      <c r="F268" s="170"/>
      <c r="G268" s="124"/>
      <c r="H268" s="124"/>
      <c r="I268" s="170"/>
      <c r="J268" s="170"/>
      <c r="K268" s="170"/>
      <c r="L268" s="398"/>
      <c r="M268" s="170"/>
      <c r="N268" s="401"/>
    </row>
    <row r="269" spans="1:29" ht="15" customHeight="1" thickBot="1">
      <c r="A269" s="78"/>
      <c r="B269" s="430"/>
      <c r="C269" s="321"/>
      <c r="D269" s="321"/>
      <c r="E269" s="321"/>
      <c r="F269" s="321"/>
      <c r="G269" s="321"/>
      <c r="H269" s="431"/>
      <c r="I269" s="321"/>
      <c r="J269" s="321"/>
      <c r="K269" s="321"/>
      <c r="L269" s="404"/>
      <c r="M269" s="321"/>
      <c r="N269" s="432"/>
      <c r="X269" s="73"/>
      <c r="Y269" s="463"/>
      <c r="Z269" s="73"/>
      <c r="AA269" s="463"/>
    </row>
    <row r="270" spans="1:29" ht="15" customHeight="1">
      <c r="A270" s="78"/>
      <c r="B270" s="96"/>
      <c r="C270" s="170"/>
      <c r="D270" s="170"/>
      <c r="E270" s="170"/>
      <c r="F270" s="170"/>
      <c r="G270" s="170"/>
      <c r="H270" s="124"/>
      <c r="I270" s="170"/>
      <c r="J270" s="170"/>
      <c r="K270" s="170"/>
      <c r="L270" s="398"/>
      <c r="M270" s="170"/>
      <c r="N270" s="170"/>
      <c r="O270" s="170"/>
      <c r="P270" s="170"/>
      <c r="X270" s="73"/>
      <c r="Y270" s="463"/>
      <c r="Z270" s="73"/>
    </row>
    <row r="271" spans="1:29" ht="15" customHeight="1">
      <c r="A271" s="78"/>
      <c r="B271" s="433"/>
      <c r="C271" s="107" t="s">
        <v>1091</v>
      </c>
      <c r="D271" s="107"/>
      <c r="E271" s="107" t="s">
        <v>1087</v>
      </c>
      <c r="F271" s="107"/>
      <c r="G271" s="107"/>
      <c r="H271" s="107"/>
      <c r="I271" s="107" t="s">
        <v>1088</v>
      </c>
      <c r="J271" s="107"/>
      <c r="K271" s="107"/>
      <c r="L271" s="107"/>
      <c r="M271" s="107"/>
      <c r="N271" s="440"/>
      <c r="X271" s="73"/>
      <c r="Y271" s="463"/>
      <c r="Z271" s="73"/>
    </row>
    <row r="272" spans="1:29" ht="15" customHeight="1">
      <c r="A272" s="78"/>
      <c r="B272" s="434"/>
      <c r="C272" s="146" t="s">
        <v>1078</v>
      </c>
      <c r="D272" s="146"/>
      <c r="E272" s="146" t="s">
        <v>1058</v>
      </c>
      <c r="F272" s="146"/>
      <c r="G272" s="146"/>
      <c r="H272" s="146"/>
      <c r="I272" s="146" t="s">
        <v>1059</v>
      </c>
      <c r="J272" s="146"/>
      <c r="K272" s="146"/>
      <c r="L272" s="146"/>
      <c r="M272" s="146"/>
      <c r="N272" s="441"/>
      <c r="Y272" s="463"/>
      <c r="Z272" s="73"/>
    </row>
    <row r="273" spans="1:29" ht="15" customHeight="1">
      <c r="A273" s="78"/>
      <c r="B273" s="438"/>
      <c r="C273" s="91" t="s">
        <v>1079</v>
      </c>
      <c r="D273" s="91"/>
      <c r="E273" s="91" t="s">
        <v>1832</v>
      </c>
      <c r="F273" s="91"/>
      <c r="G273" s="91"/>
      <c r="H273" s="91"/>
      <c r="I273" s="91" t="s">
        <v>1080</v>
      </c>
      <c r="J273" s="91"/>
      <c r="K273" s="91"/>
      <c r="L273" s="91"/>
      <c r="M273" s="91"/>
      <c r="N273" s="442"/>
      <c r="Y273" s="463"/>
      <c r="Z273" s="73"/>
    </row>
    <row r="274" spans="1:29" ht="15" customHeight="1">
      <c r="A274" s="78"/>
      <c r="B274" s="81"/>
      <c r="C274" s="170"/>
      <c r="D274" s="170"/>
      <c r="E274" s="170"/>
      <c r="F274" s="170"/>
      <c r="G274" s="170"/>
      <c r="H274" s="170"/>
      <c r="I274" s="170"/>
      <c r="J274" s="170"/>
      <c r="K274" s="170"/>
      <c r="L274" s="170"/>
      <c r="M274" s="170"/>
      <c r="N274" s="419"/>
      <c r="Y274" s="463"/>
      <c r="Z274" s="73"/>
      <c r="AA274" s="74"/>
    </row>
    <row r="275" spans="1:29" ht="15" customHeight="1">
      <c r="A275" s="78"/>
      <c r="B275" s="81"/>
      <c r="C275" s="170"/>
      <c r="D275" s="96" t="s">
        <v>1083</v>
      </c>
      <c r="E275" s="170"/>
      <c r="F275" s="170"/>
      <c r="G275" s="170"/>
      <c r="H275" s="170"/>
      <c r="I275" s="96" t="s">
        <v>1084</v>
      </c>
      <c r="J275" s="170"/>
      <c r="K275" s="170"/>
      <c r="L275" s="170"/>
      <c r="M275" s="170"/>
      <c r="N275" s="419"/>
      <c r="Y275" s="463"/>
      <c r="Z275" s="73"/>
      <c r="AA275" s="74"/>
    </row>
    <row r="276" spans="1:29" ht="15" customHeight="1">
      <c r="A276" s="78"/>
      <c r="B276" s="425"/>
      <c r="C276" s="170"/>
      <c r="D276" s="170" t="s">
        <v>1067</v>
      </c>
      <c r="E276" s="124" t="s">
        <v>1047</v>
      </c>
      <c r="F276" s="170" t="s">
        <v>1387</v>
      </c>
      <c r="G276" s="170"/>
      <c r="H276" s="170"/>
      <c r="I276" s="170" t="s">
        <v>1067</v>
      </c>
      <c r="J276" s="124" t="s">
        <v>1047</v>
      </c>
      <c r="K276" s="170" t="s">
        <v>1392</v>
      </c>
      <c r="L276" s="170"/>
      <c r="M276" s="398"/>
      <c r="N276" s="423"/>
      <c r="Y276" s="463"/>
      <c r="Z276" s="73"/>
      <c r="AA276" s="76"/>
    </row>
    <row r="277" spans="1:29" ht="15" customHeight="1">
      <c r="A277" s="78"/>
      <c r="B277" s="425"/>
      <c r="C277" s="170"/>
      <c r="D277" s="1870" t="s">
        <v>1081</v>
      </c>
      <c r="E277" s="1871" t="s">
        <v>1047</v>
      </c>
      <c r="F277" s="112" t="s">
        <v>1388</v>
      </c>
      <c r="G277" s="112"/>
      <c r="I277" s="1870" t="s">
        <v>1081</v>
      </c>
      <c r="J277" s="1871" t="s">
        <v>1047</v>
      </c>
      <c r="K277" s="112" t="s">
        <v>1393</v>
      </c>
      <c r="L277" s="112"/>
      <c r="M277" s="746"/>
      <c r="N277" s="423"/>
      <c r="X277" s="73"/>
      <c r="Y277" s="463"/>
      <c r="Z277" s="73"/>
      <c r="AA277" s="76"/>
    </row>
    <row r="278" spans="1:29" ht="15" customHeight="1">
      <c r="A278" s="78"/>
      <c r="B278" s="425"/>
      <c r="C278" s="170"/>
      <c r="D278" s="1870"/>
      <c r="E278" s="1871"/>
      <c r="F278" s="762" t="s">
        <v>1067</v>
      </c>
      <c r="G278" s="365"/>
      <c r="I278" s="1870"/>
      <c r="J278" s="1871"/>
      <c r="K278" s="762" t="s">
        <v>1067</v>
      </c>
      <c r="L278" s="365"/>
      <c r="M278" s="115"/>
      <c r="N278" s="423"/>
      <c r="X278" s="73"/>
      <c r="Y278" s="463"/>
      <c r="Z278" s="73"/>
      <c r="AA278" s="76"/>
      <c r="AC278" s="73"/>
    </row>
    <row r="279" spans="1:29" ht="15" customHeight="1">
      <c r="A279" s="78"/>
      <c r="B279" s="425"/>
      <c r="C279" s="170"/>
      <c r="D279" s="170" t="s">
        <v>1082</v>
      </c>
      <c r="E279" s="124" t="s">
        <v>1047</v>
      </c>
      <c r="F279" s="170" t="s">
        <v>1389</v>
      </c>
      <c r="G279" s="170"/>
      <c r="H279" s="398"/>
      <c r="I279" s="170" t="s">
        <v>1390</v>
      </c>
      <c r="J279" s="124" t="s">
        <v>1047</v>
      </c>
      <c r="K279" s="170" t="s">
        <v>1391</v>
      </c>
      <c r="L279" s="170"/>
      <c r="M279" s="398"/>
      <c r="N279" s="423"/>
      <c r="X279" s="73"/>
      <c r="Y279" s="463"/>
      <c r="Z279" s="73"/>
      <c r="AA279" s="76"/>
      <c r="AC279" s="73"/>
    </row>
    <row r="280" spans="1:29" ht="15" customHeight="1">
      <c r="A280" s="78"/>
      <c r="B280" s="420"/>
      <c r="C280" s="145"/>
      <c r="D280" s="261"/>
      <c r="E280" s="145"/>
      <c r="F280" s="145"/>
      <c r="G280" s="399"/>
      <c r="H280" s="399"/>
      <c r="I280" s="399"/>
      <c r="J280" s="399"/>
      <c r="K280" s="399"/>
      <c r="L280" s="399"/>
      <c r="M280" s="112"/>
      <c r="N280" s="424"/>
      <c r="X280" s="73"/>
      <c r="Y280" s="463"/>
      <c r="Z280" s="73"/>
      <c r="AA280" s="76"/>
      <c r="AC280" s="73"/>
    </row>
    <row r="281" spans="1:29" ht="15" customHeight="1">
      <c r="A281" s="78"/>
      <c r="B281" s="96"/>
      <c r="C281" s="170"/>
      <c r="D281" s="138"/>
      <c r="G281" s="398"/>
      <c r="H281" s="398"/>
      <c r="I281" s="398"/>
      <c r="L281" s="143"/>
      <c r="X281" s="73"/>
      <c r="Y281" s="463"/>
      <c r="Z281" s="73"/>
      <c r="AA281" s="76"/>
      <c r="AC281" s="73"/>
    </row>
    <row r="282" spans="1:29" ht="15" customHeight="1">
      <c r="A282" s="78"/>
      <c r="B282" s="443"/>
      <c r="C282" s="107" t="s">
        <v>1091</v>
      </c>
      <c r="D282" s="107"/>
      <c r="E282" s="107" t="s">
        <v>1089</v>
      </c>
      <c r="F282" s="107"/>
      <c r="G282" s="107"/>
      <c r="H282" s="107"/>
      <c r="I282" s="107"/>
      <c r="J282" s="107" t="s">
        <v>1090</v>
      </c>
      <c r="K282" s="107"/>
      <c r="L282" s="107"/>
      <c r="M282" s="107"/>
      <c r="N282" s="440"/>
      <c r="X282" s="73"/>
      <c r="Y282" s="463"/>
      <c r="AA282" s="76"/>
      <c r="AC282" s="73"/>
    </row>
    <row r="283" spans="1:29" ht="15" customHeight="1">
      <c r="A283" s="78"/>
      <c r="B283" s="444"/>
      <c r="C283" s="146" t="s">
        <v>1078</v>
      </c>
      <c r="D283" s="146"/>
      <c r="E283" s="146" t="s">
        <v>1061</v>
      </c>
      <c r="F283" s="146"/>
      <c r="G283" s="146"/>
      <c r="H283" s="146"/>
      <c r="I283" s="146"/>
      <c r="J283" s="146" t="s">
        <v>1118</v>
      </c>
      <c r="K283" s="146"/>
      <c r="L283" s="146"/>
      <c r="M283" s="146"/>
      <c r="N283" s="441"/>
      <c r="X283" s="73"/>
      <c r="Y283" s="463"/>
      <c r="AA283" s="76"/>
      <c r="AC283" s="73"/>
    </row>
    <row r="284" spans="1:29" ht="15" customHeight="1">
      <c r="A284" s="78"/>
      <c r="B284" s="420"/>
      <c r="C284" s="145" t="s">
        <v>1079</v>
      </c>
      <c r="D284" s="145"/>
      <c r="E284" s="145" t="s">
        <v>1834</v>
      </c>
      <c r="F284" s="145"/>
      <c r="G284" s="145"/>
      <c r="H284" s="145"/>
      <c r="I284" s="91"/>
      <c r="J284" s="145" t="s">
        <v>1085</v>
      </c>
      <c r="K284" s="145"/>
      <c r="L284" s="145"/>
      <c r="M284" s="145"/>
      <c r="N284" s="424"/>
      <c r="X284" s="73"/>
      <c r="Y284" s="463"/>
      <c r="AA284" s="76"/>
      <c r="AC284" s="73"/>
    </row>
    <row r="285" spans="1:29" ht="15" customHeight="1">
      <c r="A285" s="78"/>
      <c r="B285" s="425"/>
      <c r="C285" s="170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423"/>
      <c r="X285" s="73"/>
      <c r="Y285" s="463"/>
      <c r="AA285" s="76"/>
      <c r="AC285" s="73"/>
    </row>
    <row r="286" spans="1:29" ht="15" customHeight="1">
      <c r="A286" s="78"/>
      <c r="B286" s="81"/>
      <c r="C286" s="96" t="s">
        <v>1083</v>
      </c>
      <c r="D286" s="170"/>
      <c r="E286" s="170"/>
      <c r="F286" s="170"/>
      <c r="G286" s="170"/>
      <c r="I286" s="96" t="s">
        <v>1084</v>
      </c>
      <c r="J286" s="170"/>
      <c r="K286" s="170"/>
      <c r="L286" s="170"/>
      <c r="M286" s="170"/>
      <c r="N286" s="419"/>
      <c r="X286" s="73"/>
      <c r="Y286" s="463"/>
      <c r="AA286" s="74"/>
    </row>
    <row r="287" spans="1:29" ht="15" customHeight="1">
      <c r="A287" s="78"/>
      <c r="B287" s="425"/>
      <c r="C287" s="170" t="s">
        <v>2403</v>
      </c>
      <c r="D287" s="124" t="s">
        <v>1047</v>
      </c>
      <c r="E287" s="170" t="s">
        <v>2404</v>
      </c>
      <c r="F287" s="170"/>
      <c r="G287" s="170"/>
      <c r="I287" s="170" t="s">
        <v>2403</v>
      </c>
      <c r="J287" s="124" t="s">
        <v>1047</v>
      </c>
      <c r="K287" s="170" t="s">
        <v>2405</v>
      </c>
      <c r="L287" s="170"/>
      <c r="M287" s="398"/>
      <c r="N287" s="423"/>
      <c r="X287" s="73"/>
      <c r="Y287" s="463"/>
      <c r="AA287" s="76"/>
      <c r="AC287" s="73"/>
    </row>
    <row r="288" spans="1:29" ht="15" customHeight="1">
      <c r="A288" s="78"/>
      <c r="B288" s="425"/>
      <c r="C288" s="170" t="s">
        <v>1092</v>
      </c>
      <c r="D288" s="124" t="s">
        <v>1047</v>
      </c>
      <c r="E288" s="170" t="s">
        <v>1093</v>
      </c>
      <c r="F288" s="170"/>
      <c r="G288" s="170"/>
      <c r="I288" s="170" t="s">
        <v>1092</v>
      </c>
      <c r="J288" s="124" t="s">
        <v>1047</v>
      </c>
      <c r="K288" s="170" t="s">
        <v>1093</v>
      </c>
      <c r="L288" s="398"/>
      <c r="M288" s="398"/>
      <c r="N288" s="423"/>
      <c r="X288" s="73"/>
      <c r="Y288" s="463"/>
      <c r="AA288" s="76"/>
      <c r="AC288" s="73"/>
    </row>
    <row r="289" spans="1:29" ht="15" customHeight="1">
      <c r="A289" s="78"/>
      <c r="B289" s="425"/>
      <c r="C289" s="170" t="s">
        <v>1094</v>
      </c>
      <c r="D289" s="124" t="s">
        <v>1047</v>
      </c>
      <c r="E289" s="170" t="s">
        <v>1095</v>
      </c>
      <c r="F289" s="170"/>
      <c r="G289" s="398"/>
      <c r="I289" s="170" t="s">
        <v>1094</v>
      </c>
      <c r="J289" s="124" t="s">
        <v>1047</v>
      </c>
      <c r="K289" s="170" t="s">
        <v>1095</v>
      </c>
      <c r="L289" s="398"/>
      <c r="M289" s="398"/>
      <c r="N289" s="423"/>
      <c r="X289" s="73"/>
      <c r="Y289" s="463"/>
      <c r="AA289" s="76"/>
      <c r="AC289" s="73"/>
    </row>
    <row r="290" spans="1:29" ht="15" customHeight="1">
      <c r="A290" s="78"/>
      <c r="B290" s="420"/>
      <c r="C290" s="145"/>
      <c r="D290" s="261"/>
      <c r="E290" s="145"/>
      <c r="F290" s="145"/>
      <c r="G290" s="399"/>
      <c r="H290" s="399"/>
      <c r="I290" s="399"/>
      <c r="J290" s="145"/>
      <c r="K290" s="145"/>
      <c r="L290" s="145"/>
      <c r="M290" s="399"/>
      <c r="N290" s="424"/>
      <c r="X290" s="73"/>
      <c r="Y290" s="463"/>
      <c r="AA290" s="76"/>
      <c r="AC290" s="73"/>
    </row>
    <row r="291" spans="1:29" ht="15" customHeight="1">
      <c r="A291" s="78"/>
      <c r="B291" s="96"/>
      <c r="C291" s="160"/>
      <c r="L291" s="400"/>
      <c r="X291" s="73"/>
      <c r="Y291" s="463"/>
    </row>
    <row r="292" spans="1:29" ht="15" customHeight="1">
      <c r="A292" s="78"/>
      <c r="B292" s="96"/>
      <c r="C292" s="160"/>
      <c r="L292" s="400"/>
      <c r="X292" s="73"/>
      <c r="Y292" s="463"/>
    </row>
    <row r="293" spans="1:29" ht="15" customHeight="1">
      <c r="A293" s="78"/>
      <c r="B293" s="96" t="s">
        <v>1151</v>
      </c>
      <c r="C293" s="160"/>
      <c r="L293" s="400"/>
    </row>
    <row r="294" spans="1:29" ht="15" customHeight="1" thickBot="1">
      <c r="A294" s="78"/>
      <c r="B294" s="445" t="s">
        <v>1098</v>
      </c>
      <c r="C294" s="160"/>
      <c r="L294" s="400"/>
    </row>
    <row r="295" spans="1:29" ht="15" customHeight="1">
      <c r="A295" s="78"/>
      <c r="B295" s="426"/>
      <c r="C295" s="427"/>
      <c r="D295" s="352"/>
      <c r="E295" s="352"/>
      <c r="F295" s="352"/>
      <c r="G295" s="352"/>
      <c r="H295" s="352"/>
      <c r="I295" s="352"/>
      <c r="J295" s="352"/>
      <c r="K295" s="352"/>
      <c r="L295" s="402"/>
      <c r="M295" s="352"/>
      <c r="N295" s="403"/>
    </row>
    <row r="296" spans="1:29" ht="15" customHeight="1">
      <c r="A296" s="78"/>
      <c r="B296" s="428"/>
      <c r="C296" s="170" t="s">
        <v>1099</v>
      </c>
      <c r="D296" s="124" t="s">
        <v>1047</v>
      </c>
      <c r="E296" s="170" t="s">
        <v>1100</v>
      </c>
      <c r="L296" s="398"/>
      <c r="M296" s="170"/>
      <c r="N296" s="401"/>
    </row>
    <row r="297" spans="1:29" ht="15" customHeight="1">
      <c r="A297" s="78"/>
      <c r="B297" s="428"/>
      <c r="C297" s="143" t="s">
        <v>1101</v>
      </c>
      <c r="D297" s="124" t="s">
        <v>1047</v>
      </c>
      <c r="E297" s="170" t="s">
        <v>1102</v>
      </c>
      <c r="L297" s="398"/>
      <c r="M297" s="170"/>
      <c r="N297" s="401"/>
    </row>
    <row r="298" spans="1:29" ht="15" customHeight="1">
      <c r="A298" s="78"/>
      <c r="B298" s="428"/>
      <c r="C298" s="170" t="s">
        <v>1394</v>
      </c>
      <c r="D298" s="124" t="s">
        <v>1047</v>
      </c>
      <c r="E298" s="170" t="s">
        <v>1386</v>
      </c>
      <c r="L298" s="398"/>
      <c r="M298" s="170"/>
      <c r="N298" s="401"/>
    </row>
    <row r="299" spans="1:29" ht="15" customHeight="1">
      <c r="A299" s="78"/>
      <c r="B299" s="428"/>
      <c r="J299" s="170"/>
      <c r="L299" s="398"/>
      <c r="M299" s="170"/>
      <c r="N299" s="401"/>
    </row>
    <row r="300" spans="1:29" ht="15" customHeight="1">
      <c r="A300" s="78"/>
      <c r="B300" s="428"/>
      <c r="L300" s="143"/>
      <c r="M300" s="170"/>
      <c r="N300" s="401"/>
    </row>
    <row r="301" spans="1:29" ht="15" customHeight="1">
      <c r="A301" s="78"/>
      <c r="B301" s="428"/>
      <c r="C301" s="170"/>
      <c r="D301" s="170"/>
      <c r="E301" s="170"/>
      <c r="F301" s="170"/>
      <c r="G301" s="170"/>
      <c r="H301" s="124"/>
      <c r="I301" s="170"/>
      <c r="J301" s="170"/>
      <c r="K301" s="170"/>
      <c r="L301" s="398"/>
      <c r="M301" s="170"/>
      <c r="N301" s="401"/>
    </row>
    <row r="302" spans="1:29" ht="15" customHeight="1">
      <c r="A302" s="78"/>
      <c r="B302" s="429"/>
      <c r="C302" s="170"/>
      <c r="D302" s="170"/>
      <c r="E302" s="170"/>
      <c r="F302" s="170"/>
      <c r="G302" s="124"/>
      <c r="H302" s="124"/>
      <c r="I302" s="170"/>
      <c r="J302" s="170"/>
      <c r="K302" s="170"/>
      <c r="L302" s="398"/>
      <c r="M302" s="170"/>
      <c r="N302" s="401"/>
    </row>
    <row r="303" spans="1:29" ht="15" customHeight="1">
      <c r="A303" s="78"/>
      <c r="B303" s="429"/>
      <c r="C303" s="170"/>
      <c r="D303" s="170"/>
      <c r="E303" s="170"/>
      <c r="F303" s="170"/>
      <c r="G303" s="124"/>
      <c r="H303" s="124"/>
      <c r="I303" s="170"/>
      <c r="J303" s="170"/>
      <c r="K303" s="170"/>
      <c r="L303" s="398"/>
      <c r="M303" s="170"/>
      <c r="N303" s="401"/>
    </row>
    <row r="304" spans="1:29" ht="15" customHeight="1" thickBot="1">
      <c r="A304" s="78"/>
      <c r="B304" s="430"/>
      <c r="C304" s="321"/>
      <c r="D304" s="321"/>
      <c r="E304" s="321"/>
      <c r="F304" s="321"/>
      <c r="G304" s="321"/>
      <c r="H304" s="431"/>
      <c r="I304" s="321"/>
      <c r="J304" s="321"/>
      <c r="K304" s="321"/>
      <c r="L304" s="404"/>
      <c r="M304" s="321"/>
      <c r="N304" s="432"/>
    </row>
    <row r="305" spans="1:29" ht="15" customHeight="1">
      <c r="A305" s="78"/>
      <c r="B305" s="96"/>
      <c r="C305" s="170"/>
      <c r="D305" s="170"/>
      <c r="E305" s="170"/>
      <c r="F305" s="170"/>
      <c r="G305" s="170"/>
      <c r="H305" s="124"/>
      <c r="I305" s="170"/>
      <c r="J305" s="170"/>
      <c r="K305" s="170"/>
      <c r="L305" s="398"/>
      <c r="M305" s="170"/>
      <c r="N305" s="170"/>
      <c r="O305" s="170"/>
      <c r="P305" s="170"/>
      <c r="Q305" s="124"/>
      <c r="R305" s="122"/>
      <c r="S305" s="122"/>
      <c r="T305" s="122"/>
      <c r="U305" s="122"/>
      <c r="V305" s="122"/>
      <c r="W305" s="122"/>
      <c r="X305" s="348"/>
      <c r="Y305" s="122"/>
      <c r="Z305" s="348"/>
    </row>
    <row r="306" spans="1:29" ht="15" customHeight="1">
      <c r="A306" s="78"/>
      <c r="B306" s="433"/>
      <c r="C306" s="107" t="s">
        <v>1091</v>
      </c>
      <c r="D306" s="107"/>
      <c r="E306" s="107" t="s">
        <v>1087</v>
      </c>
      <c r="F306" s="107"/>
      <c r="G306" s="107"/>
      <c r="H306" s="107"/>
      <c r="I306" s="107" t="s">
        <v>1088</v>
      </c>
      <c r="J306" s="107"/>
      <c r="K306" s="107"/>
      <c r="L306" s="107"/>
      <c r="M306" s="107"/>
      <c r="N306" s="738"/>
      <c r="O306" s="170"/>
      <c r="P306" s="170"/>
      <c r="Q306" s="124"/>
      <c r="R306" s="122"/>
      <c r="S306" s="122"/>
      <c r="T306" s="122"/>
      <c r="U306" s="122"/>
    </row>
    <row r="307" spans="1:29" ht="15" customHeight="1">
      <c r="A307" s="78"/>
      <c r="B307" s="434"/>
      <c r="C307" s="146" t="s">
        <v>1078</v>
      </c>
      <c r="D307" s="146"/>
      <c r="E307" s="146" t="s">
        <v>1058</v>
      </c>
      <c r="F307" s="146"/>
      <c r="G307" s="146"/>
      <c r="H307" s="146"/>
      <c r="I307" s="146" t="s">
        <v>1059</v>
      </c>
      <c r="J307" s="146"/>
      <c r="K307" s="146"/>
      <c r="L307" s="146"/>
      <c r="M307" s="146"/>
      <c r="N307" s="435"/>
      <c r="O307" s="170"/>
      <c r="P307" s="170"/>
      <c r="Q307" s="124"/>
      <c r="R307" s="122"/>
      <c r="S307" s="122"/>
      <c r="T307" s="122"/>
      <c r="U307" s="122"/>
    </row>
    <row r="308" spans="1:29" ht="15" customHeight="1">
      <c r="A308" s="78"/>
      <c r="B308" s="436"/>
      <c r="C308" s="110" t="s">
        <v>1103</v>
      </c>
      <c r="D308" s="110"/>
      <c r="E308" s="110" t="s">
        <v>1110</v>
      </c>
      <c r="F308" s="110"/>
      <c r="G308" s="110"/>
      <c r="H308" s="110"/>
      <c r="I308" s="110" t="s">
        <v>1104</v>
      </c>
      <c r="J308" s="110"/>
      <c r="K308" s="110"/>
      <c r="L308" s="110"/>
      <c r="M308" s="110"/>
      <c r="N308" s="437"/>
      <c r="O308" s="170"/>
      <c r="P308" s="170"/>
      <c r="Q308" s="124"/>
      <c r="R308" s="122"/>
      <c r="S308" s="122"/>
      <c r="T308" s="122"/>
      <c r="U308" s="122"/>
    </row>
    <row r="309" spans="1:29" ht="15" customHeight="1">
      <c r="A309" s="78"/>
      <c r="B309" s="438"/>
      <c r="C309" s="91" t="s">
        <v>1109</v>
      </c>
      <c r="D309" s="91"/>
      <c r="E309" s="91" t="s">
        <v>1111</v>
      </c>
      <c r="F309" s="91"/>
      <c r="G309" s="91"/>
      <c r="H309" s="91"/>
      <c r="I309" s="91" t="s">
        <v>1112</v>
      </c>
      <c r="J309" s="91"/>
      <c r="K309" s="91"/>
      <c r="L309" s="91"/>
      <c r="M309" s="91"/>
      <c r="N309" s="439"/>
      <c r="O309" s="170"/>
      <c r="P309" s="170"/>
      <c r="Q309" s="124"/>
      <c r="R309" s="122"/>
      <c r="S309" s="122"/>
      <c r="T309" s="122"/>
      <c r="U309" s="122"/>
    </row>
    <row r="310" spans="1:29" ht="15" customHeight="1">
      <c r="A310" s="78"/>
      <c r="B310" s="81"/>
      <c r="C310" s="170"/>
      <c r="D310" s="170"/>
      <c r="E310" s="170"/>
      <c r="F310" s="170"/>
      <c r="G310" s="170"/>
      <c r="H310" s="170"/>
      <c r="I310" s="170"/>
      <c r="J310" s="170"/>
      <c r="K310" s="170"/>
      <c r="L310" s="170"/>
      <c r="M310" s="170"/>
      <c r="N310" s="419"/>
      <c r="O310" s="170"/>
      <c r="P310" s="170"/>
      <c r="Q310" s="124"/>
      <c r="R310" s="122"/>
      <c r="S310" s="122"/>
      <c r="T310" s="122"/>
      <c r="U310" s="122"/>
    </row>
    <row r="311" spans="1:29" ht="15" customHeight="1">
      <c r="A311" s="78"/>
      <c r="B311" s="81"/>
      <c r="C311" s="96" t="s">
        <v>1083</v>
      </c>
      <c r="D311" s="170"/>
      <c r="E311" s="170"/>
      <c r="G311" s="170"/>
      <c r="H311" s="170"/>
      <c r="I311" s="96" t="s">
        <v>1084</v>
      </c>
      <c r="J311" s="170"/>
      <c r="K311" s="170"/>
      <c r="L311" s="170"/>
      <c r="M311" s="170"/>
      <c r="N311" s="419"/>
      <c r="O311" s="170"/>
      <c r="P311" s="170"/>
      <c r="Q311" s="124"/>
      <c r="R311" s="122"/>
      <c r="S311" s="122"/>
      <c r="T311" s="122"/>
      <c r="U311" s="122"/>
      <c r="V311" s="122"/>
      <c r="W311" s="122"/>
      <c r="X311" s="348"/>
      <c r="Y311" s="122"/>
      <c r="Z311" s="348"/>
      <c r="AA311" s="74"/>
    </row>
    <row r="312" spans="1:29" ht="15" customHeight="1">
      <c r="A312" s="78"/>
      <c r="B312" s="425"/>
      <c r="C312" s="170" t="s">
        <v>1396</v>
      </c>
      <c r="D312" s="124" t="s">
        <v>1047</v>
      </c>
      <c r="E312" s="170" t="s">
        <v>1395</v>
      </c>
      <c r="G312" s="170"/>
      <c r="H312" s="170"/>
      <c r="I312" s="170" t="s">
        <v>1106</v>
      </c>
      <c r="J312" s="124" t="s">
        <v>1047</v>
      </c>
      <c r="K312" s="170" t="s">
        <v>1397</v>
      </c>
      <c r="L312" s="170"/>
      <c r="M312" s="170"/>
      <c r="N312" s="419"/>
      <c r="O312" s="170"/>
      <c r="P312" s="170"/>
      <c r="Q312" s="124"/>
      <c r="R312" s="122"/>
      <c r="S312" s="122"/>
      <c r="T312" s="122"/>
      <c r="U312" s="122"/>
      <c r="V312" s="122"/>
      <c r="W312" s="122"/>
      <c r="X312" s="348"/>
      <c r="Y312" s="122"/>
      <c r="Z312" s="348"/>
      <c r="AA312" s="76"/>
    </row>
    <row r="313" spans="1:29" ht="15" customHeight="1">
      <c r="A313" s="78"/>
      <c r="B313" s="425"/>
      <c r="C313" s="1870" t="s">
        <v>1105</v>
      </c>
      <c r="D313" s="1871" t="s">
        <v>1047</v>
      </c>
      <c r="E313" s="112" t="s">
        <v>1398</v>
      </c>
      <c r="F313" s="112"/>
      <c r="G313" s="112"/>
      <c r="H313" s="170"/>
      <c r="I313" s="1870" t="s">
        <v>1108</v>
      </c>
      <c r="J313" s="1871" t="s">
        <v>1047</v>
      </c>
      <c r="K313" s="112" t="s">
        <v>1399</v>
      </c>
      <c r="L313" s="112"/>
      <c r="M313" s="112"/>
      <c r="N313" s="739"/>
      <c r="O313" s="170"/>
      <c r="P313" s="170"/>
      <c r="Q313" s="124"/>
      <c r="R313" s="122"/>
      <c r="S313" s="122"/>
      <c r="T313" s="122"/>
      <c r="U313" s="122"/>
      <c r="V313" s="122"/>
      <c r="W313" s="122"/>
      <c r="X313" s="348"/>
      <c r="Y313" s="122"/>
      <c r="Z313" s="348"/>
      <c r="AA313" s="76"/>
    </row>
    <row r="314" spans="1:29" ht="15" customHeight="1">
      <c r="A314" s="78"/>
      <c r="B314" s="425"/>
      <c r="C314" s="1870"/>
      <c r="D314" s="1871"/>
      <c r="E314" s="365"/>
      <c r="F314" s="747" t="s">
        <v>1878</v>
      </c>
      <c r="G314" s="365"/>
      <c r="H314" s="59"/>
      <c r="I314" s="1870"/>
      <c r="J314" s="1871"/>
      <c r="K314" s="365"/>
      <c r="L314" s="762" t="s">
        <v>1878</v>
      </c>
      <c r="M314" s="365"/>
      <c r="N314" s="764"/>
      <c r="O314" s="170"/>
      <c r="P314" s="170"/>
      <c r="Q314" s="124"/>
      <c r="R314" s="122"/>
      <c r="S314" s="122"/>
      <c r="T314" s="122"/>
      <c r="U314" s="122"/>
      <c r="V314" s="122"/>
      <c r="W314" s="122"/>
      <c r="X314" s="348"/>
      <c r="Y314" s="122"/>
      <c r="Z314" s="348"/>
      <c r="AA314" s="76"/>
      <c r="AC314" s="73"/>
    </row>
    <row r="315" spans="1:29" ht="15" customHeight="1">
      <c r="A315" s="78"/>
      <c r="B315" s="425"/>
      <c r="C315" s="170" t="s">
        <v>1107</v>
      </c>
      <c r="D315" s="124" t="s">
        <v>1047</v>
      </c>
      <c r="E315" s="170" t="s">
        <v>1400</v>
      </c>
      <c r="G315" s="170"/>
      <c r="H315" s="398"/>
      <c r="I315" s="170" t="s">
        <v>1107</v>
      </c>
      <c r="J315" s="124" t="s">
        <v>1047</v>
      </c>
      <c r="K315" s="170" t="s">
        <v>1400</v>
      </c>
      <c r="L315" s="170"/>
      <c r="M315" s="653"/>
      <c r="N315" s="423"/>
      <c r="O315" s="170"/>
      <c r="P315" s="170"/>
      <c r="Q315" s="124"/>
      <c r="R315" s="122"/>
      <c r="S315" s="122"/>
      <c r="T315" s="122"/>
      <c r="U315" s="122"/>
      <c r="V315" s="122"/>
      <c r="W315" s="122"/>
      <c r="X315" s="348"/>
      <c r="Y315" s="122"/>
      <c r="Z315" s="348"/>
      <c r="AA315" s="76"/>
      <c r="AC315" s="73"/>
    </row>
    <row r="316" spans="1:29" ht="15" customHeight="1">
      <c r="A316" s="78"/>
      <c r="B316" s="420"/>
      <c r="C316" s="145"/>
      <c r="D316" s="261"/>
      <c r="E316" s="145"/>
      <c r="F316" s="145"/>
      <c r="G316" s="399"/>
      <c r="H316" s="399"/>
      <c r="I316" s="399"/>
      <c r="J316" s="399"/>
      <c r="K316" s="654"/>
      <c r="L316" s="654"/>
      <c r="M316" s="654"/>
      <c r="N316" s="739"/>
      <c r="O316" s="170"/>
      <c r="P316" s="170"/>
      <c r="Q316" s="124"/>
      <c r="R316" s="122"/>
      <c r="S316" s="122"/>
      <c r="T316" s="122"/>
      <c r="U316" s="122"/>
      <c r="V316" s="122"/>
      <c r="W316" s="122"/>
      <c r="X316" s="348"/>
      <c r="Y316" s="122"/>
      <c r="Z316" s="348"/>
      <c r="AA316" s="76"/>
      <c r="AC316" s="73"/>
    </row>
    <row r="317" spans="1:29" ht="15" customHeight="1">
      <c r="A317" s="78"/>
      <c r="B317" s="96"/>
      <c r="C317" s="170"/>
      <c r="D317" s="138"/>
      <c r="G317" s="398"/>
      <c r="H317" s="398"/>
      <c r="I317" s="398"/>
      <c r="L317" s="143"/>
      <c r="Q317" s="124"/>
      <c r="R317" s="122"/>
      <c r="S317" s="122"/>
      <c r="T317" s="122"/>
      <c r="U317" s="122"/>
      <c r="V317" s="122"/>
      <c r="W317" s="122"/>
      <c r="X317" s="348"/>
      <c r="Y317" s="122"/>
      <c r="Z317" s="348"/>
      <c r="AA317" s="76"/>
      <c r="AC317" s="73"/>
    </row>
    <row r="318" spans="1:29" ht="15" customHeight="1">
      <c r="A318" s="78"/>
      <c r="B318" s="443"/>
      <c r="C318" s="107" t="s">
        <v>1091</v>
      </c>
      <c r="D318" s="107"/>
      <c r="E318" s="107" t="s">
        <v>1089</v>
      </c>
      <c r="F318" s="107"/>
      <c r="G318" s="107"/>
      <c r="H318" s="107"/>
      <c r="I318" s="107" t="s">
        <v>1090</v>
      </c>
      <c r="J318" s="107"/>
      <c r="K318" s="107"/>
      <c r="L318" s="107"/>
      <c r="M318" s="107"/>
      <c r="N318" s="440"/>
      <c r="Q318" s="124"/>
      <c r="R318" s="122"/>
      <c r="S318" s="122"/>
      <c r="T318" s="122"/>
      <c r="U318" s="122"/>
      <c r="V318" s="122"/>
      <c r="W318" s="122"/>
      <c r="X318" s="348"/>
      <c r="Y318" s="122"/>
      <c r="Z318" s="348"/>
      <c r="AA318" s="76"/>
      <c r="AC318" s="73"/>
    </row>
    <row r="319" spans="1:29" ht="15" customHeight="1">
      <c r="A319" s="78"/>
      <c r="B319" s="444"/>
      <c r="C319" s="146" t="s">
        <v>1078</v>
      </c>
      <c r="D319" s="146"/>
      <c r="E319" s="146" t="s">
        <v>1061</v>
      </c>
      <c r="F319" s="146"/>
      <c r="G319" s="146"/>
      <c r="H319" s="146"/>
      <c r="I319" s="146" t="s">
        <v>1119</v>
      </c>
      <c r="J319" s="146"/>
      <c r="K319" s="146"/>
      <c r="L319" s="146"/>
      <c r="M319" s="146"/>
      <c r="N319" s="441"/>
      <c r="Q319" s="124"/>
      <c r="R319" s="122"/>
      <c r="S319" s="122"/>
      <c r="T319" s="122"/>
      <c r="U319" s="122"/>
      <c r="V319" s="122"/>
      <c r="W319" s="122"/>
      <c r="X319" s="348"/>
      <c r="Y319" s="122"/>
      <c r="Z319" s="348"/>
      <c r="AA319" s="76"/>
      <c r="AC319" s="73"/>
    </row>
    <row r="320" spans="1:29" ht="15" customHeight="1">
      <c r="A320" s="78"/>
      <c r="B320" s="447"/>
      <c r="C320" s="110" t="s">
        <v>1113</v>
      </c>
      <c r="D320" s="110"/>
      <c r="E320" s="110" t="s">
        <v>1115</v>
      </c>
      <c r="F320" s="110"/>
      <c r="G320" s="110"/>
      <c r="H320" s="110"/>
      <c r="I320" s="110" t="s">
        <v>1114</v>
      </c>
      <c r="J320" s="110"/>
      <c r="K320" s="110"/>
      <c r="L320" s="110"/>
      <c r="M320" s="110"/>
      <c r="N320" s="446"/>
      <c r="Q320" s="124"/>
      <c r="R320" s="122"/>
      <c r="S320" s="122"/>
      <c r="T320" s="122"/>
      <c r="U320" s="122"/>
      <c r="V320" s="122"/>
      <c r="W320" s="122"/>
      <c r="X320" s="348"/>
      <c r="Y320" s="122"/>
      <c r="Z320" s="348"/>
      <c r="AA320" s="76"/>
      <c r="AC320" s="73"/>
    </row>
    <row r="321" spans="1:37" ht="15" customHeight="1">
      <c r="A321" s="78"/>
      <c r="B321" s="448"/>
      <c r="C321" s="91" t="s">
        <v>1109</v>
      </c>
      <c r="D321" s="91"/>
      <c r="E321" s="91" t="s">
        <v>1117</v>
      </c>
      <c r="F321" s="91"/>
      <c r="G321" s="91"/>
      <c r="H321" s="91"/>
      <c r="I321" s="91" t="s">
        <v>1116</v>
      </c>
      <c r="J321" s="91"/>
      <c r="K321" s="91"/>
      <c r="L321" s="91"/>
      <c r="M321" s="91"/>
      <c r="N321" s="442"/>
      <c r="Q321" s="124"/>
      <c r="R321" s="122"/>
      <c r="S321" s="122"/>
      <c r="T321" s="122"/>
      <c r="U321" s="122"/>
      <c r="V321" s="122"/>
      <c r="W321" s="122"/>
      <c r="X321" s="348"/>
      <c r="Y321" s="122"/>
      <c r="Z321" s="348"/>
      <c r="AA321" s="76"/>
      <c r="AC321" s="73"/>
    </row>
    <row r="322" spans="1:37" ht="15" customHeight="1">
      <c r="A322" s="78"/>
      <c r="B322" s="425"/>
      <c r="C322" s="170"/>
      <c r="D322" s="170"/>
      <c r="E322" s="170"/>
      <c r="F322" s="170"/>
      <c r="G322" s="170"/>
      <c r="H322" s="170"/>
      <c r="I322" s="170"/>
      <c r="J322" s="170"/>
      <c r="K322" s="170"/>
      <c r="L322" s="170"/>
      <c r="M322" s="170"/>
      <c r="N322" s="423"/>
      <c r="Q322" s="124"/>
      <c r="R322" s="122"/>
      <c r="S322" s="122"/>
      <c r="T322" s="122"/>
      <c r="U322" s="122"/>
      <c r="V322" s="122"/>
      <c r="W322" s="122"/>
      <c r="X322" s="348"/>
      <c r="Y322" s="122"/>
      <c r="Z322" s="348"/>
      <c r="AA322" s="76"/>
      <c r="AC322" s="73"/>
    </row>
    <row r="323" spans="1:37" ht="15" customHeight="1">
      <c r="A323" s="78"/>
      <c r="B323" s="81"/>
      <c r="C323" s="170"/>
      <c r="D323" s="96" t="s">
        <v>1083</v>
      </c>
      <c r="E323" s="170"/>
      <c r="F323" s="170"/>
      <c r="G323" s="170"/>
      <c r="H323" s="170"/>
      <c r="I323" s="170"/>
      <c r="J323" s="170"/>
      <c r="L323" s="170"/>
      <c r="M323" s="170"/>
      <c r="N323" s="419"/>
      <c r="Q323" s="124"/>
      <c r="R323" s="122"/>
      <c r="S323" s="122"/>
      <c r="T323" s="122"/>
      <c r="U323" s="122"/>
      <c r="V323" s="122"/>
      <c r="W323" s="122"/>
      <c r="X323" s="348"/>
      <c r="Y323" s="122"/>
      <c r="Z323" s="348"/>
      <c r="AA323" s="74"/>
      <c r="AE323" s="147"/>
      <c r="AF323" s="122"/>
      <c r="AG323" s="122"/>
      <c r="AH323" s="122"/>
      <c r="AI323" s="122"/>
      <c r="AJ323" s="122"/>
      <c r="AK323" s="122"/>
    </row>
    <row r="324" spans="1:37" ht="15" customHeight="1">
      <c r="A324" s="78"/>
      <c r="B324" s="425"/>
      <c r="C324" s="170"/>
      <c r="D324" s="170" t="s">
        <v>2406</v>
      </c>
      <c r="E324" s="124" t="s">
        <v>1047</v>
      </c>
      <c r="F324" s="170" t="s">
        <v>2407</v>
      </c>
      <c r="G324" s="170"/>
      <c r="H324" s="170"/>
      <c r="I324" s="170"/>
      <c r="J324" s="170"/>
      <c r="L324" s="170"/>
      <c r="M324" s="398"/>
      <c r="N324" s="423"/>
      <c r="Q324" s="124"/>
      <c r="R324" s="122"/>
      <c r="S324" s="122"/>
      <c r="T324" s="122"/>
      <c r="U324" s="122"/>
      <c r="V324" s="122"/>
      <c r="W324" s="122"/>
      <c r="X324" s="348"/>
      <c r="Y324" s="122"/>
      <c r="Z324" s="348"/>
      <c r="AA324" s="76"/>
      <c r="AC324" s="73"/>
      <c r="AE324" s="122"/>
      <c r="AF324" s="74"/>
      <c r="AG324" s="122"/>
      <c r="AH324" s="122"/>
      <c r="AI324" s="122"/>
      <c r="AJ324" s="122"/>
      <c r="AK324" s="122"/>
    </row>
    <row r="325" spans="1:37" ht="15" customHeight="1">
      <c r="A325" s="78"/>
      <c r="B325" s="425"/>
      <c r="C325" s="170"/>
      <c r="D325" s="170" t="s">
        <v>1120</v>
      </c>
      <c r="E325" s="124" t="s">
        <v>1047</v>
      </c>
      <c r="F325" s="170" t="s">
        <v>1121</v>
      </c>
      <c r="G325" s="170"/>
      <c r="H325" s="170"/>
      <c r="I325" s="398"/>
      <c r="J325" s="398"/>
      <c r="L325" s="398"/>
      <c r="M325" s="398"/>
      <c r="N325" s="423"/>
      <c r="Q325" s="124"/>
      <c r="R325" s="122"/>
      <c r="S325" s="122"/>
      <c r="T325" s="122"/>
      <c r="U325" s="122"/>
      <c r="V325" s="122"/>
      <c r="W325" s="122"/>
      <c r="X325" s="348"/>
      <c r="Y325" s="122"/>
      <c r="Z325" s="348"/>
      <c r="AA325" s="76"/>
      <c r="AC325" s="73"/>
      <c r="AE325" s="122"/>
      <c r="AF325" s="74"/>
      <c r="AG325" s="122"/>
      <c r="AH325" s="53"/>
      <c r="AI325" s="53"/>
      <c r="AJ325" s="53"/>
      <c r="AK325" s="53"/>
    </row>
    <row r="326" spans="1:37" ht="15" customHeight="1">
      <c r="A326" s="78"/>
      <c r="B326" s="425"/>
      <c r="C326" s="170"/>
      <c r="D326" s="170" t="s">
        <v>1122</v>
      </c>
      <c r="E326" s="124" t="s">
        <v>1047</v>
      </c>
      <c r="F326" s="170" t="s">
        <v>1123</v>
      </c>
      <c r="G326" s="170"/>
      <c r="H326" s="398"/>
      <c r="I326" s="398"/>
      <c r="J326" s="398"/>
      <c r="L326" s="398"/>
      <c r="M326" s="115"/>
      <c r="N326" s="423"/>
      <c r="Q326" s="124"/>
      <c r="R326" s="122"/>
      <c r="S326" s="122"/>
      <c r="T326" s="122"/>
      <c r="U326" s="122"/>
      <c r="V326" s="122"/>
      <c r="W326" s="122"/>
      <c r="X326" s="348"/>
      <c r="Y326" s="122"/>
      <c r="Z326" s="348"/>
      <c r="AA326" s="76"/>
      <c r="AC326" s="73"/>
      <c r="AE326" s="122"/>
      <c r="AF326" s="74"/>
      <c r="AG326" s="122"/>
      <c r="AH326" s="53"/>
      <c r="AI326" s="53"/>
      <c r="AJ326" s="53"/>
      <c r="AK326" s="53"/>
    </row>
    <row r="327" spans="1:37" ht="15" customHeight="1">
      <c r="A327" s="78"/>
      <c r="B327" s="425"/>
      <c r="C327" s="170"/>
      <c r="D327" s="170"/>
      <c r="E327" s="124"/>
      <c r="F327" s="170"/>
      <c r="G327" s="170"/>
      <c r="H327" s="398"/>
      <c r="I327" s="398"/>
      <c r="J327" s="398"/>
      <c r="L327" s="398"/>
      <c r="M327" s="115"/>
      <c r="N327" s="423"/>
      <c r="Q327" s="124"/>
      <c r="R327" s="122"/>
      <c r="S327" s="122"/>
      <c r="T327" s="122"/>
      <c r="U327" s="122"/>
      <c r="V327" s="122"/>
      <c r="W327" s="122"/>
      <c r="X327" s="348"/>
      <c r="Y327" s="122"/>
      <c r="Z327" s="348"/>
      <c r="AA327" s="76"/>
      <c r="AC327" s="73"/>
      <c r="AE327" s="122"/>
      <c r="AF327" s="74"/>
      <c r="AG327" s="122"/>
      <c r="AH327" s="53"/>
      <c r="AI327" s="53"/>
      <c r="AJ327" s="53"/>
      <c r="AK327" s="53"/>
    </row>
    <row r="328" spans="1:37" ht="15" customHeight="1">
      <c r="A328" s="78"/>
      <c r="B328" s="81"/>
      <c r="C328" s="170"/>
      <c r="D328" s="96" t="s">
        <v>1084</v>
      </c>
      <c r="E328" s="170"/>
      <c r="F328" s="170"/>
      <c r="G328" s="170"/>
      <c r="H328" s="170"/>
      <c r="I328" s="170"/>
      <c r="J328" s="170"/>
      <c r="L328" s="170"/>
      <c r="M328" s="170"/>
      <c r="N328" s="419"/>
      <c r="Q328" s="124"/>
      <c r="R328" s="122"/>
      <c r="S328" s="122"/>
      <c r="T328" s="122"/>
      <c r="U328" s="122"/>
      <c r="V328" s="122"/>
      <c r="W328" s="122"/>
      <c r="X328" s="348"/>
      <c r="Y328" s="122"/>
      <c r="Z328" s="348"/>
      <c r="AA328" s="74"/>
      <c r="AE328" s="147"/>
      <c r="AF328" s="122"/>
      <c r="AG328" s="122"/>
      <c r="AH328" s="122"/>
      <c r="AI328" s="122"/>
      <c r="AJ328" s="122"/>
      <c r="AK328" s="122"/>
    </row>
    <row r="329" spans="1:37" ht="15" customHeight="1">
      <c r="A329" s="78"/>
      <c r="B329" s="425"/>
      <c r="C329" s="170"/>
      <c r="D329" s="170" t="s">
        <v>2406</v>
      </c>
      <c r="E329" s="124" t="s">
        <v>1047</v>
      </c>
      <c r="F329" s="170" t="s">
        <v>2408</v>
      </c>
      <c r="G329" s="170"/>
      <c r="H329" s="170"/>
      <c r="I329" s="170"/>
      <c r="J329" s="170"/>
      <c r="L329" s="170"/>
      <c r="M329" s="398"/>
      <c r="N329" s="423"/>
      <c r="Q329" s="124"/>
      <c r="R329" s="122"/>
      <c r="S329" s="122"/>
      <c r="T329" s="122"/>
      <c r="U329" s="122"/>
      <c r="V329" s="122"/>
      <c r="W329" s="122"/>
      <c r="X329" s="348"/>
      <c r="Y329" s="122"/>
      <c r="Z329" s="348"/>
      <c r="AA329" s="76"/>
      <c r="AC329" s="73"/>
      <c r="AE329" s="122"/>
      <c r="AF329" s="74"/>
      <c r="AG329" s="122"/>
      <c r="AH329" s="122"/>
      <c r="AI329" s="122"/>
      <c r="AJ329" s="122"/>
      <c r="AK329" s="122"/>
    </row>
    <row r="330" spans="1:37" ht="15" customHeight="1">
      <c r="A330" s="78"/>
      <c r="B330" s="425"/>
      <c r="C330" s="170"/>
      <c r="D330" s="170" t="s">
        <v>1120</v>
      </c>
      <c r="E330" s="124" t="s">
        <v>1047</v>
      </c>
      <c r="F330" s="170" t="s">
        <v>1121</v>
      </c>
      <c r="G330" s="170"/>
      <c r="H330" s="170"/>
      <c r="I330" s="398"/>
      <c r="J330" s="398"/>
      <c r="L330" s="398"/>
      <c r="M330" s="398"/>
      <c r="N330" s="423"/>
      <c r="Q330" s="124"/>
      <c r="R330" s="122"/>
      <c r="S330" s="122"/>
      <c r="T330" s="122"/>
      <c r="U330" s="122"/>
      <c r="V330" s="122"/>
      <c r="W330" s="122"/>
      <c r="X330" s="348"/>
      <c r="Y330" s="122"/>
      <c r="Z330" s="348"/>
      <c r="AA330" s="76"/>
      <c r="AC330" s="73"/>
      <c r="AE330" s="122"/>
      <c r="AF330" s="74"/>
      <c r="AG330" s="122"/>
      <c r="AH330" s="53"/>
      <c r="AI330" s="53"/>
      <c r="AJ330" s="53"/>
      <c r="AK330" s="53"/>
    </row>
    <row r="331" spans="1:37" ht="15" customHeight="1">
      <c r="A331" s="78"/>
      <c r="B331" s="425"/>
      <c r="C331" s="170"/>
      <c r="D331" s="170" t="s">
        <v>1122</v>
      </c>
      <c r="E331" s="124" t="s">
        <v>1047</v>
      </c>
      <c r="F331" s="170" t="s">
        <v>1123</v>
      </c>
      <c r="G331" s="170"/>
      <c r="H331" s="398"/>
      <c r="I331" s="398"/>
      <c r="J331" s="398"/>
      <c r="L331" s="398"/>
      <c r="M331" s="115"/>
      <c r="N331" s="423"/>
      <c r="Q331" s="124"/>
      <c r="R331" s="122"/>
      <c r="S331" s="122"/>
      <c r="T331" s="122"/>
      <c r="U331" s="122"/>
      <c r="V331" s="122"/>
      <c r="W331" s="122"/>
      <c r="X331" s="348"/>
      <c r="Y331" s="122"/>
      <c r="Z331" s="348"/>
      <c r="AA331" s="76"/>
      <c r="AC331" s="73"/>
      <c r="AE331" s="122"/>
      <c r="AF331" s="74"/>
      <c r="AG331" s="122"/>
      <c r="AH331" s="53"/>
      <c r="AI331" s="53"/>
      <c r="AJ331" s="53"/>
      <c r="AK331" s="53"/>
    </row>
    <row r="332" spans="1:37" ht="15" customHeight="1">
      <c r="A332" s="78"/>
      <c r="B332" s="420"/>
      <c r="C332" s="145"/>
      <c r="D332" s="261"/>
      <c r="E332" s="145"/>
      <c r="F332" s="145"/>
      <c r="G332" s="399"/>
      <c r="H332" s="399"/>
      <c r="I332" s="399"/>
      <c r="J332" s="145"/>
      <c r="K332" s="145"/>
      <c r="L332" s="145"/>
      <c r="M332" s="145"/>
      <c r="N332" s="424"/>
      <c r="Q332" s="124"/>
      <c r="R332" s="122"/>
      <c r="S332" s="122"/>
      <c r="T332" s="122"/>
      <c r="U332" s="122"/>
      <c r="V332" s="122"/>
      <c r="W332" s="122"/>
      <c r="X332" s="348"/>
      <c r="Y332" s="122"/>
      <c r="Z332" s="348"/>
      <c r="AA332" s="76"/>
      <c r="AC332" s="73"/>
    </row>
    <row r="333" spans="1:37" ht="15" customHeight="1">
      <c r="A333" s="78"/>
      <c r="B333" s="96"/>
      <c r="C333" s="160"/>
      <c r="L333" s="400"/>
      <c r="Q333" s="124"/>
      <c r="R333" s="122"/>
      <c r="S333" s="122"/>
      <c r="T333" s="122"/>
      <c r="U333" s="122"/>
      <c r="V333" s="122"/>
      <c r="W333" s="122"/>
      <c r="X333" s="348"/>
      <c r="Y333" s="122"/>
      <c r="Z333" s="348"/>
    </row>
    <row r="334" spans="1:37" ht="15" customHeight="1">
      <c r="A334" s="78"/>
      <c r="B334" s="96"/>
      <c r="C334" s="160"/>
      <c r="L334" s="400"/>
    </row>
    <row r="335" spans="1:37" ht="15" customHeight="1">
      <c r="A335" s="78"/>
      <c r="B335" s="96" t="s">
        <v>1152</v>
      </c>
      <c r="C335" s="160"/>
      <c r="L335" s="400"/>
    </row>
    <row r="336" spans="1:37" ht="15" customHeight="1" thickBot="1">
      <c r="A336" s="78"/>
      <c r="B336" s="445" t="s">
        <v>1124</v>
      </c>
      <c r="C336" s="160"/>
      <c r="L336" s="400"/>
    </row>
    <row r="337" spans="1:27" ht="15" customHeight="1">
      <c r="A337" s="78"/>
      <c r="B337" s="426"/>
      <c r="C337" s="427"/>
      <c r="D337" s="352"/>
      <c r="E337" s="352"/>
      <c r="F337" s="352"/>
      <c r="G337" s="352"/>
      <c r="H337" s="352"/>
      <c r="I337" s="352"/>
      <c r="J337" s="352"/>
      <c r="K337" s="352"/>
      <c r="L337" s="402"/>
      <c r="M337" s="352"/>
      <c r="N337" s="403"/>
    </row>
    <row r="338" spans="1:27" ht="15" customHeight="1">
      <c r="A338" s="78"/>
      <c r="B338" s="428"/>
      <c r="C338" s="170" t="s">
        <v>1133</v>
      </c>
      <c r="D338" s="170"/>
      <c r="E338" s="170"/>
      <c r="F338" s="124"/>
      <c r="G338" s="170"/>
      <c r="L338" s="398"/>
      <c r="M338" s="170"/>
      <c r="N338" s="401"/>
    </row>
    <row r="339" spans="1:27" ht="15" customHeight="1">
      <c r="A339" s="78"/>
      <c r="B339" s="428"/>
      <c r="C339" s="107"/>
      <c r="D339" s="107"/>
      <c r="E339" s="107" t="s">
        <v>1131</v>
      </c>
      <c r="F339" s="107"/>
      <c r="G339" s="107" t="s">
        <v>1132</v>
      </c>
      <c r="H339" s="107"/>
      <c r="I339" s="473"/>
      <c r="J339" s="473"/>
      <c r="K339" s="473"/>
      <c r="L339" s="398"/>
      <c r="M339" s="170"/>
      <c r="N339" s="401"/>
    </row>
    <row r="340" spans="1:27" ht="15" customHeight="1">
      <c r="A340" s="78"/>
      <c r="B340" s="428"/>
      <c r="C340" s="170" t="s">
        <v>1128</v>
      </c>
      <c r="D340" s="170"/>
      <c r="E340" s="124" t="s">
        <v>1401</v>
      </c>
      <c r="F340" s="170"/>
      <c r="G340" s="170" t="s">
        <v>1402</v>
      </c>
      <c r="H340" s="170"/>
      <c r="I340" s="473"/>
      <c r="J340" s="473"/>
      <c r="K340" s="473"/>
      <c r="L340" s="398"/>
      <c r="M340" s="170"/>
      <c r="N340" s="401"/>
    </row>
    <row r="341" spans="1:27" ht="15" customHeight="1">
      <c r="A341" s="78"/>
      <c r="B341" s="428"/>
      <c r="C341" s="170" t="s">
        <v>1129</v>
      </c>
      <c r="D341" s="170"/>
      <c r="E341" s="124" t="s">
        <v>1405</v>
      </c>
      <c r="F341" s="170"/>
      <c r="G341" s="170" t="s">
        <v>1406</v>
      </c>
      <c r="H341" s="170"/>
      <c r="I341" s="473"/>
      <c r="J341" s="473"/>
      <c r="K341" s="473"/>
      <c r="L341" s="398"/>
      <c r="M341" s="170"/>
      <c r="N341" s="401"/>
    </row>
    <row r="342" spans="1:27" ht="15" customHeight="1">
      <c r="A342" s="78"/>
      <c r="B342" s="428"/>
      <c r="C342" s="145" t="s">
        <v>1130</v>
      </c>
      <c r="D342" s="145"/>
      <c r="E342" s="145" t="s">
        <v>1403</v>
      </c>
      <c r="F342" s="145"/>
      <c r="G342" s="145" t="s">
        <v>1404</v>
      </c>
      <c r="H342" s="145"/>
      <c r="L342" s="143"/>
      <c r="M342" s="170"/>
      <c r="N342" s="401"/>
    </row>
    <row r="343" spans="1:27" ht="15" customHeight="1">
      <c r="A343" s="78"/>
      <c r="B343" s="428"/>
      <c r="C343" s="170"/>
      <c r="D343" s="170"/>
      <c r="E343" s="170"/>
      <c r="F343" s="170"/>
      <c r="G343" s="170"/>
      <c r="H343" s="124"/>
      <c r="I343" s="170"/>
      <c r="J343" s="170"/>
      <c r="K343" s="170"/>
      <c r="L343" s="398"/>
      <c r="M343" s="170"/>
      <c r="N343" s="401"/>
    </row>
    <row r="344" spans="1:27" ht="15" customHeight="1">
      <c r="A344" s="78"/>
      <c r="B344" s="429"/>
      <c r="C344" s="170"/>
      <c r="D344" s="170"/>
      <c r="E344" s="170"/>
      <c r="F344" s="170"/>
      <c r="G344" s="124"/>
      <c r="H344" s="124"/>
      <c r="I344" s="170"/>
      <c r="J344" s="170"/>
      <c r="K344" s="170"/>
      <c r="L344" s="398"/>
      <c r="M344" s="170"/>
      <c r="N344" s="401"/>
    </row>
    <row r="345" spans="1:27" ht="15" customHeight="1">
      <c r="A345" s="78"/>
      <c r="B345" s="429"/>
      <c r="C345" s="170"/>
      <c r="D345" s="170"/>
      <c r="E345" s="170"/>
      <c r="F345" s="170"/>
      <c r="G345" s="124"/>
      <c r="H345" s="124"/>
      <c r="I345" s="170"/>
      <c r="J345" s="170"/>
      <c r="K345" s="170"/>
      <c r="L345" s="398"/>
      <c r="M345" s="170"/>
      <c r="N345" s="401"/>
    </row>
    <row r="346" spans="1:27" ht="15" customHeight="1" thickBot="1">
      <c r="A346" s="78"/>
      <c r="B346" s="430"/>
      <c r="C346" s="321"/>
      <c r="D346" s="321"/>
      <c r="E346" s="321"/>
      <c r="F346" s="321"/>
      <c r="G346" s="321"/>
      <c r="H346" s="431"/>
      <c r="I346" s="321"/>
      <c r="J346" s="321"/>
      <c r="K346" s="321"/>
      <c r="L346" s="404"/>
      <c r="M346" s="321"/>
      <c r="N346" s="432"/>
    </row>
    <row r="347" spans="1:27" ht="15" customHeight="1">
      <c r="A347" s="78"/>
      <c r="B347" s="96"/>
      <c r="C347" s="170"/>
      <c r="D347" s="170"/>
      <c r="E347" s="170"/>
      <c r="F347" s="170"/>
      <c r="G347" s="170"/>
      <c r="H347" s="124"/>
      <c r="I347" s="170"/>
      <c r="J347" s="170"/>
      <c r="K347" s="170"/>
      <c r="L347" s="398"/>
      <c r="M347" s="170"/>
      <c r="N347" s="170"/>
      <c r="O347" s="170"/>
      <c r="P347" s="170"/>
    </row>
    <row r="348" spans="1:27" ht="15" customHeight="1">
      <c r="A348" s="78"/>
      <c r="B348" s="433"/>
      <c r="C348" s="107" t="s">
        <v>1091</v>
      </c>
      <c r="D348" s="107"/>
      <c r="E348" s="107"/>
      <c r="F348" s="107" t="s">
        <v>1087</v>
      </c>
      <c r="G348" s="107"/>
      <c r="H348" s="107"/>
      <c r="I348" s="107"/>
      <c r="J348" s="107" t="s">
        <v>1088</v>
      </c>
      <c r="K348" s="107"/>
      <c r="L348" s="107"/>
      <c r="M348" s="107"/>
      <c r="N348" s="738"/>
      <c r="O348" s="170"/>
      <c r="P348" s="170"/>
    </row>
    <row r="349" spans="1:27" ht="15" customHeight="1">
      <c r="A349" s="78"/>
      <c r="B349" s="434"/>
      <c r="C349" s="146" t="s">
        <v>1125</v>
      </c>
      <c r="D349" s="146"/>
      <c r="E349" s="146"/>
      <c r="F349" s="146" t="s">
        <v>1067</v>
      </c>
      <c r="G349" s="146"/>
      <c r="H349" s="146"/>
      <c r="I349" s="146"/>
      <c r="J349" s="146" t="s">
        <v>1081</v>
      </c>
      <c r="K349" s="146"/>
      <c r="L349" s="146"/>
      <c r="M349" s="146"/>
      <c r="N349" s="435"/>
      <c r="O349" s="170"/>
      <c r="P349" s="170"/>
    </row>
    <row r="350" spans="1:27" ht="15" customHeight="1">
      <c r="A350" s="78"/>
      <c r="B350" s="436"/>
      <c r="C350" s="110" t="s">
        <v>1126</v>
      </c>
      <c r="D350" s="110"/>
      <c r="E350" s="110"/>
      <c r="F350" s="110" t="s">
        <v>1408</v>
      </c>
      <c r="G350" s="110"/>
      <c r="H350" s="110"/>
      <c r="I350" s="110"/>
      <c r="J350" s="110" t="s">
        <v>1409</v>
      </c>
      <c r="K350" s="110"/>
      <c r="L350" s="110"/>
      <c r="M350" s="110"/>
      <c r="N350" s="437"/>
      <c r="O350" s="170"/>
      <c r="P350" s="170"/>
    </row>
    <row r="351" spans="1:27" ht="15" customHeight="1">
      <c r="A351" s="78"/>
      <c r="B351" s="438"/>
      <c r="C351" s="91" t="s">
        <v>1127</v>
      </c>
      <c r="D351" s="91"/>
      <c r="E351" s="91"/>
      <c r="F351" s="91" t="s">
        <v>1407</v>
      </c>
      <c r="G351" s="91"/>
      <c r="H351" s="91"/>
      <c r="I351" s="91"/>
      <c r="J351" s="91" t="s">
        <v>1410</v>
      </c>
      <c r="K351" s="91"/>
      <c r="L351" s="91"/>
      <c r="M351" s="91"/>
      <c r="N351" s="439"/>
      <c r="O351" s="170"/>
      <c r="P351" s="170"/>
    </row>
    <row r="352" spans="1:27" ht="15" customHeight="1">
      <c r="A352" s="78"/>
      <c r="B352" s="81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  <c r="N352" s="419"/>
      <c r="O352" s="170"/>
      <c r="P352" s="170"/>
      <c r="AA352" s="74"/>
    </row>
    <row r="353" spans="1:37" ht="15" customHeight="1">
      <c r="A353" s="78"/>
      <c r="B353" s="81"/>
      <c r="C353" s="96" t="s">
        <v>1083</v>
      </c>
      <c r="D353" s="170"/>
      <c r="E353" s="170"/>
      <c r="F353" s="170"/>
      <c r="G353" s="170"/>
      <c r="H353" s="170"/>
      <c r="I353" s="96" t="s">
        <v>1084</v>
      </c>
      <c r="J353" s="170"/>
      <c r="K353" s="170"/>
      <c r="L353" s="170"/>
      <c r="M353" s="170"/>
      <c r="N353" s="419"/>
      <c r="O353" s="170"/>
      <c r="P353" s="170"/>
      <c r="AA353" s="74"/>
    </row>
    <row r="354" spans="1:37" ht="15" customHeight="1">
      <c r="A354" s="78"/>
      <c r="B354" s="425"/>
      <c r="C354" s="170" t="s">
        <v>1134</v>
      </c>
      <c r="D354" s="124" t="s">
        <v>1047</v>
      </c>
      <c r="E354" s="170" t="s">
        <v>1411</v>
      </c>
      <c r="F354" s="170"/>
      <c r="G354" s="170"/>
      <c r="H354" s="170"/>
      <c r="I354" s="170" t="s">
        <v>1142</v>
      </c>
      <c r="J354" s="124" t="s">
        <v>324</v>
      </c>
      <c r="K354" s="170" t="s">
        <v>1415</v>
      </c>
      <c r="L354" s="170"/>
      <c r="M354" s="170"/>
      <c r="N354" s="419"/>
      <c r="O354" s="170"/>
      <c r="P354" s="170"/>
      <c r="AA354" s="76"/>
    </row>
    <row r="355" spans="1:37" ht="15" customHeight="1">
      <c r="A355" s="78"/>
      <c r="B355" s="425"/>
      <c r="C355" s="1870" t="s">
        <v>1135</v>
      </c>
      <c r="D355" s="1871" t="s">
        <v>1047</v>
      </c>
      <c r="E355" s="112" t="s">
        <v>1412</v>
      </c>
      <c r="F355" s="112"/>
      <c r="G355" s="112"/>
      <c r="H355" s="170"/>
      <c r="I355" s="1870" t="s">
        <v>1143</v>
      </c>
      <c r="J355" s="1871" t="s">
        <v>324</v>
      </c>
      <c r="K355" s="112" t="s">
        <v>1416</v>
      </c>
      <c r="L355" s="112"/>
      <c r="M355" s="112"/>
      <c r="N355" s="740"/>
      <c r="O355" s="170"/>
      <c r="P355" s="170"/>
      <c r="AA355" s="76"/>
    </row>
    <row r="356" spans="1:37" ht="15" customHeight="1">
      <c r="A356" s="78"/>
      <c r="B356" s="425"/>
      <c r="C356" s="1870"/>
      <c r="D356" s="1871"/>
      <c r="E356" s="365"/>
      <c r="F356" s="747" t="s">
        <v>1877</v>
      </c>
      <c r="G356" s="365"/>
      <c r="H356" s="170"/>
      <c r="I356" s="1870"/>
      <c r="J356" s="1871"/>
      <c r="K356" s="365"/>
      <c r="L356" s="762" t="s">
        <v>1877</v>
      </c>
      <c r="M356" s="365"/>
      <c r="N356" s="764"/>
      <c r="O356" s="170"/>
      <c r="P356" s="170"/>
      <c r="AA356" s="76"/>
      <c r="AC356" s="73"/>
    </row>
    <row r="357" spans="1:37" ht="15" customHeight="1">
      <c r="A357" s="78"/>
      <c r="B357" s="425"/>
      <c r="C357" s="170" t="s">
        <v>1413</v>
      </c>
      <c r="D357" s="124" t="s">
        <v>1047</v>
      </c>
      <c r="E357" s="170" t="s">
        <v>1414</v>
      </c>
      <c r="F357" s="170"/>
      <c r="G357" s="398"/>
      <c r="H357" s="398"/>
      <c r="I357" s="170" t="s">
        <v>1136</v>
      </c>
      <c r="J357" s="124" t="s">
        <v>324</v>
      </c>
      <c r="K357" s="170" t="s">
        <v>1414</v>
      </c>
      <c r="L357" s="170"/>
      <c r="M357" s="653"/>
      <c r="N357" s="423"/>
      <c r="O357" s="170"/>
      <c r="P357" s="170"/>
      <c r="AA357" s="76"/>
      <c r="AC357" s="73"/>
    </row>
    <row r="358" spans="1:37" ht="15" customHeight="1">
      <c r="A358" s="78"/>
      <c r="B358" s="420"/>
      <c r="C358" s="145"/>
      <c r="D358" s="261"/>
      <c r="E358" s="145"/>
      <c r="F358" s="145"/>
      <c r="G358" s="399"/>
      <c r="H358" s="399"/>
      <c r="I358" s="399"/>
      <c r="J358" s="399"/>
      <c r="K358" s="654"/>
      <c r="L358" s="654"/>
      <c r="M358" s="654"/>
      <c r="N358" s="739"/>
      <c r="O358" s="170"/>
      <c r="P358" s="170"/>
      <c r="AA358" s="76"/>
      <c r="AC358" s="73"/>
    </row>
    <row r="359" spans="1:37" ht="15" customHeight="1">
      <c r="A359" s="78"/>
      <c r="B359" s="96"/>
      <c r="C359" s="170"/>
      <c r="D359" s="138"/>
      <c r="G359" s="398"/>
      <c r="H359" s="398"/>
      <c r="I359" s="398"/>
      <c r="L359" s="143"/>
      <c r="O359" s="170"/>
      <c r="P359" s="170"/>
      <c r="AA359" s="76"/>
      <c r="AC359" s="73"/>
    </row>
    <row r="360" spans="1:37" ht="15" customHeight="1">
      <c r="A360" s="78"/>
      <c r="B360" s="443"/>
      <c r="C360" s="107" t="s">
        <v>1091</v>
      </c>
      <c r="D360" s="107"/>
      <c r="E360" s="107"/>
      <c r="F360" s="107" t="s">
        <v>1089</v>
      </c>
      <c r="G360" s="107"/>
      <c r="H360" s="107"/>
      <c r="I360" s="107"/>
      <c r="J360" s="107" t="s">
        <v>1090</v>
      </c>
      <c r="K360" s="107"/>
      <c r="L360" s="107"/>
      <c r="M360" s="107"/>
      <c r="N360" s="440"/>
      <c r="AA360" s="76"/>
      <c r="AC360" s="73"/>
    </row>
    <row r="361" spans="1:37" ht="15" customHeight="1">
      <c r="A361" s="78"/>
      <c r="B361" s="444"/>
      <c r="C361" s="146" t="s">
        <v>1125</v>
      </c>
      <c r="D361" s="146"/>
      <c r="E361" s="146"/>
      <c r="F361" s="146" t="s">
        <v>1086</v>
      </c>
      <c r="G361" s="146"/>
      <c r="H361" s="146"/>
      <c r="I361" s="146"/>
      <c r="J361" s="146" t="s">
        <v>1137</v>
      </c>
      <c r="K361" s="146"/>
      <c r="L361" s="146"/>
      <c r="M361" s="146"/>
      <c r="N361" s="441"/>
      <c r="AA361" s="76"/>
      <c r="AC361" s="73"/>
    </row>
    <row r="362" spans="1:37" ht="15" customHeight="1">
      <c r="A362" s="78"/>
      <c r="B362" s="447"/>
      <c r="C362" s="110" t="s">
        <v>1126</v>
      </c>
      <c r="D362" s="110"/>
      <c r="E362" s="110"/>
      <c r="F362" s="110" t="s">
        <v>1417</v>
      </c>
      <c r="G362" s="110"/>
      <c r="H362" s="110"/>
      <c r="I362" s="110"/>
      <c r="J362" s="110" t="s">
        <v>1419</v>
      </c>
      <c r="K362" s="110"/>
      <c r="L362" s="110"/>
      <c r="M362" s="110"/>
      <c r="N362" s="446"/>
      <c r="AA362" s="76"/>
      <c r="AC362" s="73"/>
    </row>
    <row r="363" spans="1:37" ht="15" customHeight="1">
      <c r="A363" s="78"/>
      <c r="B363" s="448"/>
      <c r="C363" s="91" t="s">
        <v>1127</v>
      </c>
      <c r="D363" s="91"/>
      <c r="E363" s="91"/>
      <c r="F363" s="91" t="s">
        <v>1418</v>
      </c>
      <c r="G363" s="91"/>
      <c r="H363" s="91"/>
      <c r="I363" s="91"/>
      <c r="J363" s="91" t="s">
        <v>1420</v>
      </c>
      <c r="K363" s="91"/>
      <c r="L363" s="91"/>
      <c r="M363" s="91"/>
      <c r="N363" s="442"/>
      <c r="AA363" s="76"/>
      <c r="AC363" s="73"/>
    </row>
    <row r="364" spans="1:37" ht="15" customHeight="1">
      <c r="A364" s="78"/>
      <c r="B364" s="425"/>
      <c r="C364" s="170"/>
      <c r="D364" s="170"/>
      <c r="E364" s="170"/>
      <c r="F364" s="170"/>
      <c r="G364" s="170"/>
      <c r="H364" s="170"/>
      <c r="I364" s="170"/>
      <c r="J364" s="170"/>
      <c r="K364" s="170"/>
      <c r="L364" s="170"/>
      <c r="M364" s="170"/>
      <c r="N364" s="423"/>
      <c r="AA364" s="76"/>
      <c r="AC364" s="73"/>
    </row>
    <row r="365" spans="1:37" ht="15" customHeight="1">
      <c r="A365" s="78"/>
      <c r="B365" s="425"/>
      <c r="C365" s="170"/>
      <c r="D365" s="96" t="s">
        <v>1083</v>
      </c>
      <c r="E365" s="170"/>
      <c r="F365" s="170"/>
      <c r="G365" s="170"/>
      <c r="H365" s="170"/>
      <c r="I365" s="170"/>
      <c r="J365" s="170"/>
      <c r="K365" s="170"/>
      <c r="L365" s="170"/>
      <c r="M365" s="170"/>
      <c r="N365" s="423"/>
      <c r="AA365" s="76"/>
      <c r="AC365" s="73"/>
    </row>
    <row r="366" spans="1:37" ht="15" customHeight="1">
      <c r="A366" s="78"/>
      <c r="B366" s="425"/>
      <c r="C366" s="170"/>
      <c r="D366" s="170" t="s">
        <v>2409</v>
      </c>
      <c r="E366" s="124" t="s">
        <v>1047</v>
      </c>
      <c r="F366" s="170" t="s">
        <v>2410</v>
      </c>
      <c r="G366" s="170"/>
      <c r="H366" s="170"/>
      <c r="I366" s="170"/>
      <c r="J366" s="170"/>
      <c r="L366" s="170"/>
      <c r="M366" s="398"/>
      <c r="N366" s="423"/>
      <c r="AA366" s="76"/>
      <c r="AC366" s="73"/>
      <c r="AE366" s="122"/>
      <c r="AF366" s="74"/>
      <c r="AG366" s="122"/>
      <c r="AH366" s="122"/>
      <c r="AI366" s="122"/>
      <c r="AJ366" s="122"/>
      <c r="AK366" s="122"/>
    </row>
    <row r="367" spans="1:37" ht="15" customHeight="1">
      <c r="A367" s="78"/>
      <c r="B367" s="425"/>
      <c r="C367" s="170"/>
      <c r="D367" s="170" t="s">
        <v>1138</v>
      </c>
      <c r="E367" s="124" t="s">
        <v>1047</v>
      </c>
      <c r="F367" s="170" t="s">
        <v>1139</v>
      </c>
      <c r="G367" s="170"/>
      <c r="H367" s="170"/>
      <c r="I367" s="398"/>
      <c r="J367" s="398"/>
      <c r="L367" s="398"/>
      <c r="M367" s="398"/>
      <c r="N367" s="423"/>
      <c r="AA367" s="76"/>
      <c r="AC367" s="73"/>
      <c r="AE367" s="122"/>
      <c r="AF367" s="74"/>
      <c r="AG367" s="122"/>
      <c r="AH367" s="53"/>
      <c r="AI367" s="53"/>
      <c r="AJ367" s="53"/>
      <c r="AK367" s="53"/>
    </row>
    <row r="368" spans="1:37" ht="15" customHeight="1">
      <c r="A368" s="78"/>
      <c r="B368" s="425"/>
      <c r="C368" s="170"/>
      <c r="D368" s="170" t="s">
        <v>1140</v>
      </c>
      <c r="E368" s="124" t="s">
        <v>1047</v>
      </c>
      <c r="F368" s="170" t="s">
        <v>1141</v>
      </c>
      <c r="G368" s="170"/>
      <c r="H368" s="398"/>
      <c r="I368" s="398"/>
      <c r="J368" s="398"/>
      <c r="L368" s="398"/>
      <c r="M368" s="115"/>
      <c r="N368" s="423"/>
      <c r="AA368" s="76"/>
      <c r="AC368" s="73"/>
      <c r="AE368" s="122"/>
      <c r="AF368" s="74"/>
      <c r="AG368" s="122"/>
      <c r="AH368" s="53"/>
      <c r="AI368" s="53"/>
      <c r="AJ368" s="53"/>
      <c r="AK368" s="53"/>
    </row>
    <row r="369" spans="1:37" ht="15" customHeight="1">
      <c r="A369" s="78"/>
      <c r="B369" s="425"/>
      <c r="C369" s="170"/>
      <c r="D369" s="170"/>
      <c r="E369" s="124"/>
      <c r="F369" s="170"/>
      <c r="G369" s="170"/>
      <c r="H369" s="416"/>
      <c r="I369" s="416"/>
      <c r="J369" s="416"/>
      <c r="L369" s="416"/>
      <c r="M369" s="115"/>
      <c r="N369" s="423"/>
      <c r="AA369" s="76"/>
      <c r="AC369" s="73"/>
      <c r="AE369" s="122"/>
      <c r="AF369" s="74"/>
      <c r="AG369" s="122"/>
      <c r="AH369" s="53"/>
      <c r="AI369" s="53"/>
      <c r="AJ369" s="53"/>
      <c r="AK369" s="53"/>
    </row>
    <row r="370" spans="1:37" ht="15" customHeight="1">
      <c r="A370" s="78"/>
      <c r="B370" s="425"/>
      <c r="C370" s="170"/>
      <c r="D370" s="96" t="s">
        <v>1084</v>
      </c>
      <c r="E370" s="124"/>
      <c r="F370" s="170"/>
      <c r="G370" s="170"/>
      <c r="H370" s="416"/>
      <c r="I370" s="416"/>
      <c r="J370" s="416"/>
      <c r="L370" s="416"/>
      <c r="M370" s="115"/>
      <c r="N370" s="423"/>
      <c r="AA370" s="76"/>
      <c r="AC370" s="73"/>
      <c r="AE370" s="122"/>
      <c r="AF370" s="74"/>
      <c r="AG370" s="122"/>
      <c r="AH370" s="53"/>
      <c r="AI370" s="53"/>
      <c r="AJ370" s="53"/>
      <c r="AK370" s="53"/>
    </row>
    <row r="371" spans="1:37" ht="15" customHeight="1">
      <c r="A371" s="78"/>
      <c r="B371" s="425"/>
      <c r="C371" s="170"/>
      <c r="D371" s="170" t="s">
        <v>2409</v>
      </c>
      <c r="E371" s="124" t="s">
        <v>324</v>
      </c>
      <c r="F371" s="170" t="s">
        <v>2411</v>
      </c>
      <c r="G371" s="170"/>
      <c r="H371" s="416"/>
      <c r="I371" s="416"/>
      <c r="J371" s="416"/>
      <c r="L371" s="416"/>
      <c r="M371" s="115"/>
      <c r="N371" s="423"/>
      <c r="AA371" s="76"/>
      <c r="AC371" s="73"/>
      <c r="AE371" s="122"/>
      <c r="AF371" s="74"/>
      <c r="AG371" s="122"/>
      <c r="AH371" s="53"/>
      <c r="AI371" s="53"/>
      <c r="AJ371" s="53"/>
      <c r="AK371" s="53"/>
    </row>
    <row r="372" spans="1:37" ht="15" customHeight="1">
      <c r="A372" s="78"/>
      <c r="B372" s="425"/>
      <c r="C372" s="170"/>
      <c r="D372" s="170" t="s">
        <v>1138</v>
      </c>
      <c r="E372" s="124" t="s">
        <v>324</v>
      </c>
      <c r="F372" s="170" t="s">
        <v>1139</v>
      </c>
      <c r="G372" s="170"/>
      <c r="H372" s="416"/>
      <c r="I372" s="416"/>
      <c r="J372" s="416"/>
      <c r="L372" s="416"/>
      <c r="M372" s="115"/>
      <c r="N372" s="423"/>
      <c r="AA372" s="76"/>
      <c r="AC372" s="73"/>
      <c r="AE372" s="122"/>
      <c r="AF372" s="74"/>
      <c r="AG372" s="122"/>
      <c r="AH372" s="53"/>
      <c r="AI372" s="53"/>
      <c r="AJ372" s="53"/>
      <c r="AK372" s="53"/>
    </row>
    <row r="373" spans="1:37" ht="15" customHeight="1">
      <c r="A373" s="78"/>
      <c r="B373" s="425"/>
      <c r="C373" s="170"/>
      <c r="D373" s="170" t="s">
        <v>1140</v>
      </c>
      <c r="E373" s="124" t="s">
        <v>324</v>
      </c>
      <c r="F373" s="170" t="s">
        <v>1141</v>
      </c>
      <c r="G373" s="170"/>
      <c r="H373" s="416"/>
      <c r="I373" s="416"/>
      <c r="J373" s="416"/>
      <c r="L373" s="416"/>
      <c r="M373" s="115"/>
      <c r="N373" s="423"/>
      <c r="AA373" s="76"/>
      <c r="AC373" s="73"/>
      <c r="AE373" s="122"/>
      <c r="AF373" s="74"/>
      <c r="AG373" s="122"/>
      <c r="AH373" s="53"/>
      <c r="AI373" s="53"/>
      <c r="AJ373" s="53"/>
      <c r="AK373" s="53"/>
    </row>
    <row r="374" spans="1:37" ht="15" customHeight="1">
      <c r="A374" s="78"/>
      <c r="B374" s="420"/>
      <c r="C374" s="145"/>
      <c r="D374" s="261"/>
      <c r="E374" s="145"/>
      <c r="F374" s="145"/>
      <c r="G374" s="399"/>
      <c r="H374" s="399"/>
      <c r="I374" s="399"/>
      <c r="J374" s="145"/>
      <c r="K374" s="145"/>
      <c r="L374" s="145"/>
      <c r="M374" s="145"/>
      <c r="N374" s="424"/>
      <c r="AA374" s="76"/>
      <c r="AC374" s="73"/>
    </row>
    <row r="375" spans="1:37" ht="15" customHeight="1">
      <c r="A375" s="78"/>
      <c r="B375" s="96"/>
      <c r="C375" s="160"/>
      <c r="L375" s="400"/>
    </row>
    <row r="376" spans="1:37" ht="15" customHeight="1">
      <c r="A376" s="78"/>
      <c r="B376" s="96"/>
      <c r="C376" s="160"/>
      <c r="L376" s="400"/>
    </row>
    <row r="377" spans="1:37" ht="15" customHeight="1">
      <c r="A377" s="144"/>
      <c r="B377" s="144"/>
    </row>
    <row r="378" spans="1:37" ht="15" customHeight="1">
      <c r="A378" s="170"/>
      <c r="B378" s="170"/>
      <c r="C378" s="97" t="s">
        <v>310</v>
      </c>
      <c r="D378" s="96"/>
      <c r="L378" s="143"/>
      <c r="N378" s="156"/>
      <c r="AC378" s="73"/>
    </row>
    <row r="379" spans="1:37" ht="15" customHeight="1">
      <c r="A379" s="170"/>
      <c r="B379" s="170"/>
      <c r="C379" s="801" t="s">
        <v>309</v>
      </c>
      <c r="D379" s="485" t="s">
        <v>1538</v>
      </c>
      <c r="E379" s="804" t="s">
        <v>2305</v>
      </c>
      <c r="F379" s="485" t="s">
        <v>1539</v>
      </c>
      <c r="G379" s="485" t="s">
        <v>1540</v>
      </c>
      <c r="H379" s="485" t="s">
        <v>1536</v>
      </c>
      <c r="I379" s="486" t="s">
        <v>1537</v>
      </c>
      <c r="J379" s="156"/>
      <c r="X379" s="73"/>
      <c r="Z379" s="73"/>
      <c r="AC379" s="73"/>
    </row>
    <row r="380" spans="1:37" ht="15" customHeight="1">
      <c r="A380" s="170"/>
      <c r="B380" s="170"/>
      <c r="C380" s="942" t="s">
        <v>2084</v>
      </c>
      <c r="D380" s="932">
        <f>INDEX(input!$CJ$3:$CO$261,MATCH(C380,input!$E$3:$E$261,0),1)</f>
        <v>113285.61043672869</v>
      </c>
      <c r="E380" s="933">
        <f>INDEX(input!$CJ$3:$CO$261,MATCH(C380,input!$E$3:$E$261,0),2)</f>
        <v>120039163080.32585</v>
      </c>
      <c r="F380" s="934">
        <f>INDEX(input!$CJ$3:$CO$261,MATCH(C380,input!$E$3:$E$261,0),3)</f>
        <v>1390.9238462846163</v>
      </c>
      <c r="G380" s="934">
        <f>INDEX(input!$CJ$3:$CO$261,MATCH(C380,input!$E$3:$E$261,0),4)</f>
        <v>1243.0761537153837</v>
      </c>
      <c r="H380" s="935">
        <f>INDEX(input!$CJ$3:$CO$261,MATCH(C380,input!$E$3:$E$261,0),5)</f>
        <v>86301750.739963204</v>
      </c>
      <c r="I380" s="936">
        <f>INDEX(input!$CJ$3:$CO$261,MATCH(C380,input!$E$3:$E$261,0),6)</f>
        <v>96566218.18506074</v>
      </c>
      <c r="J380" s="156"/>
      <c r="X380" s="73"/>
      <c r="Z380" s="73"/>
      <c r="AC380" s="73"/>
    </row>
    <row r="381" spans="1:37" ht="15" customHeight="1">
      <c r="A381" s="170"/>
      <c r="B381" s="170"/>
      <c r="C381" s="942" t="s">
        <v>2086</v>
      </c>
      <c r="D381" s="932">
        <f>INDEX(input!$CJ$3:$CO$261,MATCH(C381,input!$E$3:$E$261,0),1)</f>
        <v>137762.96508570784</v>
      </c>
      <c r="E381" s="933">
        <f>INDEX(input!$CJ$3:$CO$261,MATCH(C381,input!$E$3:$E$261,0),2)</f>
        <v>181248618073.21808</v>
      </c>
      <c r="F381" s="934">
        <f>INDEX(input!$CJ$3:$CO$261,MATCH(C381,input!$E$3:$E$261,0),3)</f>
        <v>1528.071930954698</v>
      </c>
      <c r="G381" s="934">
        <f>INDEX(input!$CJ$3:$CO$261,MATCH(C381,input!$E$3:$E$261,0),4)</f>
        <v>1319.928069045302</v>
      </c>
      <c r="H381" s="935">
        <f>INDEX(input!$CJ$3:$CO$261,MATCH(C381,input!$E$3:$E$261,0),5)</f>
        <v>118612621.8285934</v>
      </c>
      <c r="I381" s="936">
        <f>INDEX(input!$CJ$3:$CO$261,MATCH(C381,input!$E$3:$E$261,0),6)</f>
        <v>137317041.98420024</v>
      </c>
      <c r="J381" s="869"/>
      <c r="X381" s="73"/>
      <c r="Z381" s="73"/>
      <c r="AC381" s="73"/>
    </row>
    <row r="382" spans="1:37" ht="15" customHeight="1">
      <c r="A382" s="170"/>
      <c r="B382" s="170"/>
      <c r="C382" s="942" t="s">
        <v>2087</v>
      </c>
      <c r="D382" s="932">
        <f>INDEX(input!$CJ$3:$CO$261,MATCH(C382,input!$E$3:$E$261,0),1)</f>
        <v>176802.96508570784</v>
      </c>
      <c r="E382" s="933">
        <f>INDEX(input!$CJ$3:$CO$261,MATCH(C382,input!$E$3:$E$261,0),2)</f>
        <v>250018643484.55331</v>
      </c>
      <c r="F382" s="934">
        <f>INDEX(input!$CJ$3:$CO$261,MATCH(C382,input!$E$3:$E$261,0),3)</f>
        <v>1699.8831645586633</v>
      </c>
      <c r="G382" s="934">
        <f>INDEX(input!$CJ$3:$CO$261,MATCH(C382,input!$E$3:$E$261,0),4)</f>
        <v>1172.1168354413367</v>
      </c>
      <c r="H382" s="935">
        <f>INDEX(input!$CJ$3:$CO$261,MATCH(C382,input!$E$3:$E$261,0),5)</f>
        <v>147079898.60554036</v>
      </c>
      <c r="I382" s="936">
        <f>INDEX(input!$CJ$3:$CO$261,MATCH(C382,input!$E$3:$E$261,0),6)</f>
        <v>213305223.44251961</v>
      </c>
      <c r="J382" s="869"/>
      <c r="X382" s="73"/>
      <c r="Z382" s="73"/>
      <c r="AC382" s="73"/>
    </row>
    <row r="383" spans="1:37" ht="15" customHeight="1">
      <c r="A383" s="170"/>
      <c r="B383" s="170"/>
      <c r="C383" s="942" t="s">
        <v>2088</v>
      </c>
      <c r="D383" s="932">
        <f>INDEX(input!$CJ$3:$CO$261,MATCH(C383,input!$E$3:$E$261,0),1)</f>
        <v>198442.96508570784</v>
      </c>
      <c r="E383" s="933">
        <f>INDEX(input!$CJ$3:$CO$261,MATCH(C383,input!$E$3:$E$261,0),2)</f>
        <v>294458361973.75983</v>
      </c>
      <c r="F383" s="934">
        <f>INDEX(input!$CJ$3:$CO$261,MATCH(C383,input!$E$3:$E$261,0),3)</f>
        <v>1685.8661105921663</v>
      </c>
      <c r="G383" s="934">
        <f>INDEX(input!$CJ$3:$CO$261,MATCH(C383,input!$E$3:$E$261,0),4)</f>
        <v>1194.1338894078337</v>
      </c>
      <c r="H383" s="935">
        <f>INDEX(input!$CJ$3:$CO$261,MATCH(C383,input!$E$3:$E$261,0),5)</f>
        <v>174662958.18137676</v>
      </c>
      <c r="I383" s="936">
        <f>INDEX(input!$CJ$3:$CO$261,MATCH(C383,input!$E$3:$E$261,0),6)</f>
        <v>246587392.40687704</v>
      </c>
      <c r="J383" s="869"/>
      <c r="X383" s="73"/>
      <c r="Z383" s="73"/>
      <c r="AC383" s="73"/>
    </row>
    <row r="384" spans="1:37" ht="15" customHeight="1">
      <c r="A384" s="170"/>
      <c r="B384" s="170"/>
      <c r="C384" s="942" t="s">
        <v>2089</v>
      </c>
      <c r="D384" s="932">
        <f>INDEX(input!$CJ$3:$CO$261,MATCH(C384,input!$E$3:$E$261,0),1)</f>
        <v>170922.96508570784</v>
      </c>
      <c r="E384" s="933">
        <f>INDEX(input!$CJ$3:$CO$261,MATCH(C384,input!$E$3:$E$261,0),2)</f>
        <v>238917070787.51535</v>
      </c>
      <c r="F384" s="934">
        <f>INDEX(input!$CJ$3:$CO$261,MATCH(C384,input!$E$3:$E$261,0),3)</f>
        <v>1691.1774126907367</v>
      </c>
      <c r="G384" s="934">
        <f>INDEX(input!$CJ$3:$CO$261,MATCH(C384,input!$E$3:$E$261,0),4)</f>
        <v>1176.8225873092633</v>
      </c>
      <c r="H384" s="935">
        <f>INDEX(input!$CJ$3:$CO$261,MATCH(C384,input!$E$3:$E$261,0),5)</f>
        <v>141272624.0278883</v>
      </c>
      <c r="I384" s="936">
        <f>INDEX(input!$CJ$3:$CO$261,MATCH(C384,input!$E$3:$E$261,0),6)</f>
        <v>203018767.1140689</v>
      </c>
      <c r="J384" s="869"/>
      <c r="X384" s="73"/>
      <c r="Z384" s="73"/>
      <c r="AC384" s="73"/>
    </row>
    <row r="385" spans="1:29" ht="15" customHeight="1">
      <c r="A385" s="170"/>
      <c r="B385" s="170"/>
      <c r="C385" s="942" t="s">
        <v>2090</v>
      </c>
      <c r="D385" s="932">
        <f>INDEX(input!$CJ$3:$CO$261,MATCH(C385,input!$E$3:$E$261,0),1)</f>
        <v>164922.96508570784</v>
      </c>
      <c r="E385" s="933">
        <f>INDEX(input!$CJ$3:$CO$261,MATCH(C385,input!$E$3:$E$261,0),2)</f>
        <v>221195298743.63608</v>
      </c>
      <c r="F385" s="934">
        <f>INDEX(input!$CJ$3:$CO$261,MATCH(C385,input!$E$3:$E$261,0),3)</f>
        <v>1746.5943564794959</v>
      </c>
      <c r="G385" s="934">
        <f>INDEX(input!$CJ$3:$CO$261,MATCH(C385,input!$E$3:$E$261,0),4)</f>
        <v>1115.4056435205041</v>
      </c>
      <c r="H385" s="935">
        <f>INDEX(input!$CJ$3:$CO$261,MATCH(C385,input!$E$3:$E$261,0),5)</f>
        <v>126643772.73580913</v>
      </c>
      <c r="I385" s="936">
        <f>INDEX(input!$CJ$3:$CO$261,MATCH(C385,input!$E$3:$E$261,0),6)</f>
        <v>198309287.77219328</v>
      </c>
      <c r="J385" s="869"/>
      <c r="X385" s="73"/>
      <c r="Z385" s="73"/>
      <c r="AC385" s="73"/>
    </row>
    <row r="386" spans="1:29" ht="15" customHeight="1">
      <c r="A386" s="170"/>
      <c r="B386" s="170"/>
      <c r="C386" s="942" t="s">
        <v>2091</v>
      </c>
      <c r="D386" s="932">
        <f>INDEX(input!$CJ$3:$CO$261,MATCH(C386,input!$E$3:$E$261,0),1)</f>
        <v>129762.96508570782</v>
      </c>
      <c r="E386" s="933">
        <f>INDEX(input!$CJ$3:$CO$261,MATCH(C386,input!$E$3:$E$261,0),2)</f>
        <v>161520594572.24292</v>
      </c>
      <c r="F386" s="934">
        <f>INDEX(input!$CJ$3:$CO$261,MATCH(C386,input!$E$3:$E$261,0),3)</f>
        <v>1614.0322950661719</v>
      </c>
      <c r="G386" s="934">
        <f>INDEX(input!$CJ$3:$CO$261,MATCH(C386,input!$E$3:$E$261,0),4)</f>
        <v>1225.9677049338281</v>
      </c>
      <c r="H386" s="935">
        <f>INDEX(input!$CJ$3:$CO$261,MATCH(C386,input!$E$3:$E$261,0),5)</f>
        <v>100072715.43821304</v>
      </c>
      <c r="I386" s="936">
        <f>INDEX(input!$CJ$3:$CO$261,MATCH(C386,input!$E$3:$E$261,0),6)</f>
        <v>131749469.3556883</v>
      </c>
      <c r="J386" s="869"/>
      <c r="X386" s="73"/>
      <c r="Z386" s="73"/>
      <c r="AC386" s="73"/>
    </row>
    <row r="387" spans="1:29" ht="15" customHeight="1">
      <c r="A387" s="170"/>
      <c r="B387" s="170"/>
      <c r="C387" s="942" t="s">
        <v>2092</v>
      </c>
      <c r="D387" s="932">
        <f>INDEX(input!$CJ$3:$CO$261,MATCH(C387,input!$E$3:$E$261,0),1)</f>
        <v>150868.83596312936</v>
      </c>
      <c r="E387" s="933">
        <f>INDEX(input!$CJ$3:$CO$261,MATCH(C387,input!$E$3:$E$261,0),2)</f>
        <v>205093687196.7587</v>
      </c>
      <c r="F387" s="934">
        <f>INDEX(input!$CJ$3:$CO$261,MATCH(C387,input!$E$3:$E$261,0),3)</f>
        <v>1621.6188875146788</v>
      </c>
      <c r="G387" s="934">
        <f>INDEX(input!$CJ$3:$CO$261,MATCH(C387,input!$E$3:$E$261,0),4)</f>
        <v>1242.3811124853212</v>
      </c>
      <c r="H387" s="935">
        <f>INDEX(input!$CJ$3:$CO$261,MATCH(C387,input!$E$3:$E$261,0),5)</f>
        <v>126474653.67839223</v>
      </c>
      <c r="I387" s="936">
        <f>INDEX(input!$CJ$3:$CO$261,MATCH(C387,input!$E$3:$E$261,0),6)</f>
        <v>165081137.45103469</v>
      </c>
      <c r="J387" s="869"/>
      <c r="X387" s="73"/>
      <c r="Z387" s="73"/>
      <c r="AC387" s="73"/>
    </row>
    <row r="388" spans="1:29" ht="15" customHeight="1">
      <c r="A388" s="170"/>
      <c r="B388" s="170"/>
      <c r="C388" s="942" t="s">
        <v>2093</v>
      </c>
      <c r="D388" s="932">
        <f>INDEX(input!$CJ$3:$CO$261,MATCH(C388,input!$E$3:$E$261,0),1)</f>
        <v>186894.12496807487</v>
      </c>
      <c r="E388" s="933">
        <f>INDEX(input!$CJ$3:$CO$261,MATCH(C388,input!$E$3:$E$261,0),2)</f>
        <v>302801127925.51624</v>
      </c>
      <c r="F388" s="934">
        <f>INDEX(input!$CJ$3:$CO$261,MATCH(C388,input!$E$3:$E$261,0),3)</f>
        <v>1501.8684576100159</v>
      </c>
      <c r="G388" s="934">
        <f>INDEX(input!$CJ$3:$CO$261,MATCH(C388,input!$E$3:$E$261,0),4)</f>
        <v>1486.1315423899841</v>
      </c>
      <c r="H388" s="935">
        <f>INDEX(input!$CJ$3:$CO$261,MATCH(C388,input!$E$3:$E$261,0),5)</f>
        <v>201616277.6381734</v>
      </c>
      <c r="I388" s="936">
        <f>INDEX(input!$CJ$3:$CO$261,MATCH(C388,input!$E$3:$E$261,0),6)</f>
        <v>203751228.80344361</v>
      </c>
      <c r="J388" s="869"/>
      <c r="X388" s="73"/>
      <c r="Z388" s="73"/>
      <c r="AC388" s="73"/>
    </row>
    <row r="389" spans="1:29" ht="15" customHeight="1">
      <c r="A389" s="170"/>
      <c r="B389" s="170"/>
      <c r="C389" s="942" t="s">
        <v>2094</v>
      </c>
      <c r="D389" s="932">
        <f>INDEX(input!$CJ$3:$CO$261,MATCH(C389,input!$E$3:$E$261,0),1)</f>
        <v>264600.58446584287</v>
      </c>
      <c r="E389" s="933">
        <f>INDEX(input!$CJ$3:$CO$261,MATCH(C389,input!$E$3:$E$261,0),2)</f>
        <v>476361046724.83496</v>
      </c>
      <c r="F389" s="934">
        <f>INDEX(input!$CJ$3:$CO$261,MATCH(C389,input!$E$3:$E$261,0),3)</f>
        <v>1262.0931690364366</v>
      </c>
      <c r="G389" s="934">
        <f>INDEX(input!$CJ$3:$CO$261,MATCH(C389,input!$E$3:$E$261,0),4)</f>
        <v>1910.9068309635634</v>
      </c>
      <c r="H389" s="935">
        <f>INDEX(input!$CJ$3:$CO$261,MATCH(C389,input!$E$3:$E$261,0),5)</f>
        <v>377437306.85787624</v>
      </c>
      <c r="I389" s="936">
        <f>INDEX(input!$CJ$3:$CO$261,MATCH(C389,input!$E$3:$E$261,0),6)</f>
        <v>249285333.54220769</v>
      </c>
      <c r="J389" s="869"/>
      <c r="X389" s="73"/>
      <c r="Z389" s="73"/>
      <c r="AC389" s="73"/>
    </row>
    <row r="390" spans="1:29" ht="15" customHeight="1">
      <c r="A390" s="170"/>
      <c r="B390" s="170"/>
      <c r="C390" s="942" t="s">
        <v>2095</v>
      </c>
      <c r="D390" s="932">
        <f>INDEX(input!$CJ$3:$CO$261,MATCH(C390,input!$E$3:$E$261,0),1)</f>
        <v>266617.28678094374</v>
      </c>
      <c r="E390" s="933">
        <f>INDEX(input!$CJ$3:$CO$261,MATCH(C390,input!$E$3:$E$261,0),2)</f>
        <v>506265479532.14233</v>
      </c>
      <c r="F390" s="934">
        <f>INDEX(input!$CJ$3:$CO$261,MATCH(C390,input!$E$3:$E$261,0),3)</f>
        <v>1298.725804697134</v>
      </c>
      <c r="G390" s="934">
        <f>INDEX(input!$CJ$3:$CO$261,MATCH(C390,input!$E$3:$E$261,0),4)</f>
        <v>1971.274195302866</v>
      </c>
      <c r="H390" s="935">
        <f>INDEX(input!$CJ$3:$CO$261,MATCH(C390,input!$E$3:$E$261,0),5)</f>
        <v>389817063.54114115</v>
      </c>
      <c r="I390" s="936">
        <f>INDEX(input!$CJ$3:$CO$261,MATCH(C390,input!$E$3:$E$261,0),6)</f>
        <v>256821441.04481611</v>
      </c>
      <c r="J390" s="869"/>
      <c r="X390" s="73"/>
      <c r="Z390" s="73"/>
      <c r="AC390" s="73"/>
    </row>
    <row r="391" spans="1:29" ht="15" customHeight="1">
      <c r="A391" s="170"/>
      <c r="B391" s="170"/>
      <c r="C391" s="942" t="s">
        <v>2096</v>
      </c>
      <c r="D391" s="932">
        <f>INDEX(input!$CJ$3:$CO$261,MATCH(C391,input!$E$3:$E$261,0),1)</f>
        <v>264600.58446584287</v>
      </c>
      <c r="E391" s="933">
        <f>INDEX(input!$CJ$3:$CO$261,MATCH(C391,input!$E$3:$E$261,0),2)</f>
        <v>476361046724.83496</v>
      </c>
      <c r="F391" s="934">
        <f>INDEX(input!$CJ$3:$CO$261,MATCH(C391,input!$E$3:$E$261,0),3)</f>
        <v>1262.0931690364366</v>
      </c>
      <c r="G391" s="934">
        <f>INDEX(input!$CJ$3:$CO$261,MATCH(C391,input!$E$3:$E$261,0),4)</f>
        <v>1910.9068309635634</v>
      </c>
      <c r="H391" s="935">
        <f>INDEX(input!$CJ$3:$CO$261,MATCH(C391,input!$E$3:$E$261,0),5)</f>
        <v>377437306.85787624</v>
      </c>
      <c r="I391" s="936">
        <f>INDEX(input!$CJ$3:$CO$261,MATCH(C391,input!$E$3:$E$261,0),6)</f>
        <v>249285333.54220769</v>
      </c>
      <c r="J391" s="869"/>
      <c r="X391" s="73"/>
      <c r="Z391" s="73"/>
      <c r="AC391" s="73"/>
    </row>
    <row r="392" spans="1:29" ht="15" customHeight="1">
      <c r="A392" s="170"/>
      <c r="B392" s="170"/>
      <c r="C392" s="942" t="s">
        <v>2097</v>
      </c>
      <c r="D392" s="932">
        <f>INDEX(input!$CJ$3:$CO$261,MATCH(C392,input!$E$3:$E$261,0),1)</f>
        <v>197112.12496807487</v>
      </c>
      <c r="E392" s="933">
        <f>INDEX(input!$CJ$3:$CO$261,MATCH(C392,input!$E$3:$E$261,0),2)</f>
        <v>325640213974.46826</v>
      </c>
      <c r="F392" s="934">
        <f>INDEX(input!$CJ$3:$CO$261,MATCH(C392,input!$E$3:$E$261,0),3)</f>
        <v>1485.8448801639383</v>
      </c>
      <c r="G392" s="934">
        <f>INDEX(input!$CJ$3:$CO$261,MATCH(C392,input!$E$3:$E$261,0),4)</f>
        <v>1508.1551198360617</v>
      </c>
      <c r="H392" s="935">
        <f>INDEX(input!$CJ$3:$CO$261,MATCH(C392,input!$E$3:$E$261,0),5)</f>
        <v>219161648.91892299</v>
      </c>
      <c r="I392" s="936">
        <f>INDEX(input!$CJ$3:$CO$261,MATCH(C392,input!$E$3:$E$261,0),6)</f>
        <v>215919575.97164524</v>
      </c>
      <c r="J392" s="869"/>
      <c r="X392" s="73"/>
      <c r="Z392" s="73"/>
      <c r="AC392" s="73"/>
    </row>
    <row r="393" spans="1:29" ht="15" customHeight="1">
      <c r="A393" s="170"/>
      <c r="B393" s="170"/>
      <c r="C393" s="942" t="s">
        <v>2098</v>
      </c>
      <c r="D393" s="932">
        <f>INDEX(input!$CJ$3:$CO$261,MATCH(C393,input!$E$3:$E$261,0),1)</f>
        <v>179290.83596312936</v>
      </c>
      <c r="E393" s="933">
        <f>INDEX(input!$CJ$3:$CO$261,MATCH(C393,input!$E$3:$E$261,0),2)</f>
        <v>266753445076.4816</v>
      </c>
      <c r="F393" s="934">
        <f>INDEX(input!$CJ$3:$CO$261,MATCH(C393,input!$E$3:$E$261,0),3)</f>
        <v>1563.7413821658145</v>
      </c>
      <c r="G393" s="934">
        <f>INDEX(input!$CJ$3:$CO$261,MATCH(C393,input!$E$3:$E$261,0),4)</f>
        <v>1320.2586178341855</v>
      </c>
      <c r="H393" s="935">
        <f>INDEX(input!$CJ$3:$CO$261,MATCH(C393,input!$E$3:$E$261,0),5)</f>
        <v>170586676.3639794</v>
      </c>
      <c r="I393" s="936">
        <f>INDEX(input!$CJ$3:$CO$261,MATCH(C393,input!$E$3:$E$261,0),6)</f>
        <v>202046357.79168516</v>
      </c>
      <c r="J393" s="869"/>
      <c r="X393" s="73"/>
      <c r="Z393" s="73"/>
      <c r="AC393" s="73"/>
    </row>
    <row r="394" spans="1:29" ht="15" customHeight="1">
      <c r="A394" s="170"/>
      <c r="B394" s="170"/>
      <c r="C394" s="942" t="s">
        <v>2099</v>
      </c>
      <c r="D394" s="932">
        <f>INDEX(input!$CJ$3:$CO$261,MATCH(C394,input!$E$3:$E$261,0),1)</f>
        <v>145402.96508570784</v>
      </c>
      <c r="E394" s="933">
        <f>INDEX(input!$CJ$3:$CO$261,MATCH(C394,input!$E$3:$E$261,0),2)</f>
        <v>189124645922.75742</v>
      </c>
      <c r="F394" s="934">
        <f>INDEX(input!$CJ$3:$CO$261,MATCH(C394,input!$E$3:$E$261,0),3)</f>
        <v>1671.9586706427854</v>
      </c>
      <c r="G394" s="934">
        <f>INDEX(input!$CJ$3:$CO$261,MATCH(C394,input!$E$3:$E$261,0),4)</f>
        <v>1178.0413293572146</v>
      </c>
      <c r="H394" s="935">
        <f>INDEX(input!$CJ$3:$CO$261,MATCH(C394,input!$E$3:$E$261,0),5)</f>
        <v>113115622.55904828</v>
      </c>
      <c r="I394" s="936">
        <f>INDEX(input!$CJ$3:$CO$261,MATCH(C394,input!$E$3:$E$261,0),6)</f>
        <v>160541605.12853247</v>
      </c>
      <c r="J394" s="869"/>
      <c r="X394" s="73"/>
      <c r="Z394" s="73"/>
      <c r="AC394" s="73"/>
    </row>
    <row r="395" spans="1:29" ht="15" customHeight="1">
      <c r="A395" s="170"/>
      <c r="B395" s="170"/>
      <c r="C395" s="942" t="s">
        <v>2100</v>
      </c>
      <c r="D395" s="932">
        <f>INDEX(input!$CJ$3:$CO$261,MATCH(C395,input!$E$3:$E$261,0),1)</f>
        <v>129762.96508570782</v>
      </c>
      <c r="E395" s="933">
        <f>INDEX(input!$CJ$3:$CO$261,MATCH(C395,input!$E$3:$E$261,0),2)</f>
        <v>161520594572.24292</v>
      </c>
      <c r="F395" s="934">
        <f>INDEX(input!$CJ$3:$CO$261,MATCH(C395,input!$E$3:$E$261,0),3)</f>
        <v>1614.0322950661719</v>
      </c>
      <c r="G395" s="934">
        <f>INDEX(input!$CJ$3:$CO$261,MATCH(C395,input!$E$3:$E$261,0),4)</f>
        <v>1225.9677049338281</v>
      </c>
      <c r="H395" s="935">
        <f>INDEX(input!$CJ$3:$CO$261,MATCH(C395,input!$E$3:$E$261,0),5)</f>
        <v>100072715.43821304</v>
      </c>
      <c r="I395" s="936">
        <f>INDEX(input!$CJ$3:$CO$261,MATCH(C395,input!$E$3:$E$261,0),6)</f>
        <v>131749469.3556883</v>
      </c>
      <c r="J395" s="869"/>
      <c r="X395" s="73"/>
      <c r="Z395" s="73"/>
      <c r="AC395" s="73"/>
    </row>
    <row r="396" spans="1:29" ht="15" customHeight="1">
      <c r="A396" s="170"/>
      <c r="B396" s="170"/>
      <c r="C396" s="942" t="s">
        <v>2101</v>
      </c>
      <c r="D396" s="932">
        <f>INDEX(input!$CJ$3:$CO$261,MATCH(C396,input!$E$3:$E$261,0),1)</f>
        <v>114242.96508570782</v>
      </c>
      <c r="E396" s="933">
        <f>INDEX(input!$CJ$3:$CO$261,MATCH(C396,input!$E$3:$E$261,0),2)</f>
        <v>135197688550.53313</v>
      </c>
      <c r="F396" s="934">
        <f>INDEX(input!$CJ$3:$CO$261,MATCH(C396,input!$E$3:$E$261,0),3)</f>
        <v>1448.02698553709</v>
      </c>
      <c r="G396" s="934">
        <f>INDEX(input!$CJ$3:$CO$261,MATCH(C396,input!$E$3:$E$261,0),4)</f>
        <v>1383.97301446291</v>
      </c>
      <c r="H396" s="935">
        <f>INDEX(input!$CJ$3:$CO$261,MATCH(C396,input!$E$3:$E$261,0),5)</f>
        <v>93366829.417468861</v>
      </c>
      <c r="I396" s="936">
        <f>INDEX(input!$CJ$3:$CO$261,MATCH(C396,input!$E$3:$E$261,0),6)</f>
        <v>97688095.893257305</v>
      </c>
      <c r="J396" s="869"/>
      <c r="L396" s="278"/>
      <c r="X396" s="73"/>
      <c r="Z396" s="73"/>
      <c r="AC396" s="73"/>
    </row>
    <row r="397" spans="1:29" ht="15" customHeight="1">
      <c r="A397" s="170"/>
      <c r="B397" s="170"/>
      <c r="C397" s="942" t="s">
        <v>2102</v>
      </c>
      <c r="D397" s="932">
        <f>INDEX(input!$CJ$3:$CO$261,MATCH(C397,input!$E$3:$E$261,0),1)</f>
        <v>114242.96508570782</v>
      </c>
      <c r="E397" s="933">
        <f>INDEX(input!$CJ$3:$CO$261,MATCH(C397,input!$E$3:$E$261,0),2)</f>
        <v>135197688550.53313</v>
      </c>
      <c r="F397" s="934">
        <f>INDEX(input!$CJ$3:$CO$261,MATCH(C397,input!$E$3:$E$261,0),3)</f>
        <v>1448.02698553709</v>
      </c>
      <c r="G397" s="934">
        <f>INDEX(input!$CJ$3:$CO$261,MATCH(C397,input!$E$3:$E$261,0),4)</f>
        <v>1383.97301446291</v>
      </c>
      <c r="H397" s="935">
        <f>INDEX(input!$CJ$3:$CO$261,MATCH(C397,input!$E$3:$E$261,0),5)</f>
        <v>93366829.417468861</v>
      </c>
      <c r="I397" s="936">
        <f>INDEX(input!$CJ$3:$CO$261,MATCH(C397,input!$E$3:$E$261,0),6)</f>
        <v>97688095.893257305</v>
      </c>
      <c r="J397" s="869"/>
      <c r="L397" s="278"/>
      <c r="X397" s="73"/>
      <c r="Z397" s="73"/>
      <c r="AC397" s="73"/>
    </row>
    <row r="398" spans="1:29" ht="15" customHeight="1">
      <c r="A398" s="170"/>
      <c r="B398" s="170"/>
      <c r="C398" s="942" t="s">
        <v>2103</v>
      </c>
      <c r="D398" s="932">
        <f>INDEX(input!$CJ$3:$CO$261,MATCH(C398,input!$E$3:$E$261,0),1)</f>
        <v>109405.61043672869</v>
      </c>
      <c r="E398" s="933">
        <f>INDEX(input!$CJ$3:$CO$261,MATCH(C398,input!$E$3:$E$261,0),2)</f>
        <v>113840993993.57278</v>
      </c>
      <c r="F398" s="934">
        <f>INDEX(input!$CJ$3:$CO$261,MATCH(C398,input!$E$3:$E$261,0),3)</f>
        <v>1346.8744099058233</v>
      </c>
      <c r="G398" s="934">
        <f>INDEX(input!$CJ$3:$CO$261,MATCH(C398,input!$E$3:$E$261,0),4)</f>
        <v>1285.1255900941767</v>
      </c>
      <c r="H398" s="935">
        <f>INDEX(input!$CJ$3:$CO$261,MATCH(C398,input!$E$3:$E$261,0),5)</f>
        <v>84522352.757101402</v>
      </c>
      <c r="I398" s="936">
        <f>INDEX(input!$CJ$3:$CO$261,MATCH(C398,input!$E$3:$E$261,0),6)</f>
        <v>88583555.468092635</v>
      </c>
      <c r="J398" s="869"/>
      <c r="L398" s="278"/>
      <c r="X398" s="73"/>
      <c r="Z398" s="73"/>
      <c r="AC398" s="73"/>
    </row>
    <row r="399" spans="1:29" ht="15" customHeight="1">
      <c r="A399" s="170"/>
      <c r="B399" s="170"/>
      <c r="C399" s="942" t="s">
        <v>2104</v>
      </c>
      <c r="D399" s="932">
        <f>INDEX(input!$CJ$3:$CO$261,MATCH(C399,input!$E$3:$E$261,0),1)</f>
        <v>113285.61043672869</v>
      </c>
      <c r="E399" s="933">
        <f>INDEX(input!$CJ$3:$CO$261,MATCH(C399,input!$E$3:$E$261,0),2)</f>
        <v>120039163080.32585</v>
      </c>
      <c r="F399" s="934">
        <f>INDEX(input!$CJ$3:$CO$261,MATCH(C399,input!$E$3:$E$261,0),3)</f>
        <v>1390.9238462846163</v>
      </c>
      <c r="G399" s="934">
        <f>INDEX(input!$CJ$3:$CO$261,MATCH(C399,input!$E$3:$E$261,0),4)</f>
        <v>1243.0761537153837</v>
      </c>
      <c r="H399" s="935">
        <f>INDEX(input!$CJ$3:$CO$261,MATCH(C399,input!$E$3:$E$261,0),5)</f>
        <v>86301750.739963204</v>
      </c>
      <c r="I399" s="936">
        <f>INDEX(input!$CJ$3:$CO$261,MATCH(C399,input!$E$3:$E$261,0),6)</f>
        <v>96566218.18506074</v>
      </c>
      <c r="J399" s="869"/>
      <c r="L399" s="869"/>
      <c r="X399" s="73"/>
      <c r="Z399" s="73"/>
      <c r="AC399" s="73"/>
    </row>
    <row r="400" spans="1:29" ht="15" customHeight="1">
      <c r="A400" s="170"/>
      <c r="B400" s="170"/>
      <c r="C400" s="942" t="s">
        <v>2105</v>
      </c>
      <c r="D400" s="932">
        <f>INDEX(input!$CJ$3:$CO$261,MATCH(C400,input!$E$3:$E$261,0),1)</f>
        <v>137762.96508570784</v>
      </c>
      <c r="E400" s="933">
        <f>INDEX(input!$CJ$3:$CO$261,MATCH(C400,input!$E$3:$E$261,0),2)</f>
        <v>181248618073.21808</v>
      </c>
      <c r="F400" s="934">
        <f>INDEX(input!$CJ$3:$CO$261,MATCH(C400,input!$E$3:$E$261,0),3)</f>
        <v>1528.071930954698</v>
      </c>
      <c r="G400" s="934">
        <f>INDEX(input!$CJ$3:$CO$261,MATCH(C400,input!$E$3:$E$261,0),4)</f>
        <v>1319.928069045302</v>
      </c>
      <c r="H400" s="935">
        <f>INDEX(input!$CJ$3:$CO$261,MATCH(C400,input!$E$3:$E$261,0),5)</f>
        <v>118612621.8285934</v>
      </c>
      <c r="I400" s="936">
        <f>INDEX(input!$CJ$3:$CO$261,MATCH(C400,input!$E$3:$E$261,0),6)</f>
        <v>137317041.98420024</v>
      </c>
      <c r="J400" s="869"/>
      <c r="L400" s="869"/>
      <c r="X400" s="73"/>
      <c r="Z400" s="73"/>
      <c r="AC400" s="73"/>
    </row>
    <row r="401" spans="1:29" ht="15" customHeight="1">
      <c r="A401" s="170"/>
      <c r="B401" s="170"/>
      <c r="C401" s="942" t="s">
        <v>2106</v>
      </c>
      <c r="D401" s="932">
        <f>INDEX(input!$CJ$3:$CO$261,MATCH(C401,input!$E$3:$E$261,0),1)</f>
        <v>176802.96508570784</v>
      </c>
      <c r="E401" s="933">
        <f>INDEX(input!$CJ$3:$CO$261,MATCH(C401,input!$E$3:$E$261,0),2)</f>
        <v>250018643484.55331</v>
      </c>
      <c r="F401" s="934">
        <f>INDEX(input!$CJ$3:$CO$261,MATCH(C401,input!$E$3:$E$261,0),3)</f>
        <v>1699.8831645586633</v>
      </c>
      <c r="G401" s="934">
        <f>INDEX(input!$CJ$3:$CO$261,MATCH(C401,input!$E$3:$E$261,0),4)</f>
        <v>1172.1168354413367</v>
      </c>
      <c r="H401" s="935">
        <f>INDEX(input!$CJ$3:$CO$261,MATCH(C401,input!$E$3:$E$261,0),5)</f>
        <v>147079898.60554036</v>
      </c>
      <c r="I401" s="936">
        <f>INDEX(input!$CJ$3:$CO$261,MATCH(C401,input!$E$3:$E$261,0),6)</f>
        <v>213305223.44251961</v>
      </c>
      <c r="J401" s="869"/>
      <c r="L401" s="869"/>
      <c r="X401" s="73"/>
      <c r="Z401" s="73"/>
      <c r="AC401" s="73"/>
    </row>
    <row r="402" spans="1:29" ht="15" customHeight="1">
      <c r="A402" s="170"/>
      <c r="B402" s="170"/>
      <c r="C402" s="942" t="s">
        <v>2107</v>
      </c>
      <c r="D402" s="932">
        <f>INDEX(input!$CJ$3:$CO$261,MATCH(C402,input!$E$3:$E$261,0),1)</f>
        <v>198442.96508570784</v>
      </c>
      <c r="E402" s="933">
        <f>INDEX(input!$CJ$3:$CO$261,MATCH(C402,input!$E$3:$E$261,0),2)</f>
        <v>294458361973.75983</v>
      </c>
      <c r="F402" s="934">
        <f>INDEX(input!$CJ$3:$CO$261,MATCH(C402,input!$E$3:$E$261,0),3)</f>
        <v>1685.8661105921663</v>
      </c>
      <c r="G402" s="934">
        <f>INDEX(input!$CJ$3:$CO$261,MATCH(C402,input!$E$3:$E$261,0),4)</f>
        <v>1194.1338894078337</v>
      </c>
      <c r="H402" s="935">
        <f>INDEX(input!$CJ$3:$CO$261,MATCH(C402,input!$E$3:$E$261,0),5)</f>
        <v>174662958.18137676</v>
      </c>
      <c r="I402" s="936">
        <f>INDEX(input!$CJ$3:$CO$261,MATCH(C402,input!$E$3:$E$261,0),6)</f>
        <v>246587392.40687704</v>
      </c>
      <c r="J402" s="869"/>
      <c r="L402" s="869"/>
      <c r="X402" s="73"/>
      <c r="Z402" s="73"/>
      <c r="AC402" s="73"/>
    </row>
    <row r="403" spans="1:29" ht="15" customHeight="1">
      <c r="A403" s="170"/>
      <c r="B403" s="170"/>
      <c r="C403" s="942" t="s">
        <v>2108</v>
      </c>
      <c r="D403" s="932">
        <f>INDEX(input!$CJ$3:$CO$261,MATCH(C403,input!$E$3:$E$261,0),1)</f>
        <v>170922.96508570784</v>
      </c>
      <c r="E403" s="933">
        <f>INDEX(input!$CJ$3:$CO$261,MATCH(C403,input!$E$3:$E$261,0),2)</f>
        <v>238917070787.51535</v>
      </c>
      <c r="F403" s="934">
        <f>INDEX(input!$CJ$3:$CO$261,MATCH(C403,input!$E$3:$E$261,0),3)</f>
        <v>1691.1774126907367</v>
      </c>
      <c r="G403" s="934">
        <f>INDEX(input!$CJ$3:$CO$261,MATCH(C403,input!$E$3:$E$261,0),4)</f>
        <v>1176.8225873092633</v>
      </c>
      <c r="H403" s="935">
        <f>INDEX(input!$CJ$3:$CO$261,MATCH(C403,input!$E$3:$E$261,0),5)</f>
        <v>141272624.0278883</v>
      </c>
      <c r="I403" s="936">
        <f>INDEX(input!$CJ$3:$CO$261,MATCH(C403,input!$E$3:$E$261,0),6)</f>
        <v>203018767.1140689</v>
      </c>
      <c r="J403" s="869"/>
      <c r="L403" s="869"/>
      <c r="X403" s="73"/>
      <c r="Z403" s="73"/>
      <c r="AC403" s="73"/>
    </row>
    <row r="404" spans="1:29" ht="15" customHeight="1">
      <c r="A404" s="170"/>
      <c r="B404" s="170"/>
      <c r="C404" s="942" t="s">
        <v>2109</v>
      </c>
      <c r="D404" s="932">
        <f>INDEX(input!$CJ$3:$CO$261,MATCH(C404,input!$E$3:$E$261,0),1)</f>
        <v>164922.96508570784</v>
      </c>
      <c r="E404" s="933">
        <f>INDEX(input!$CJ$3:$CO$261,MATCH(C404,input!$E$3:$E$261,0),2)</f>
        <v>221195298743.63608</v>
      </c>
      <c r="F404" s="934">
        <f>INDEX(input!$CJ$3:$CO$261,MATCH(C404,input!$E$3:$E$261,0),3)</f>
        <v>1746.5943564794959</v>
      </c>
      <c r="G404" s="934">
        <f>INDEX(input!$CJ$3:$CO$261,MATCH(C404,input!$E$3:$E$261,0),4)</f>
        <v>1115.4056435205041</v>
      </c>
      <c r="H404" s="935">
        <f>INDEX(input!$CJ$3:$CO$261,MATCH(C404,input!$E$3:$E$261,0),5)</f>
        <v>126643772.73580913</v>
      </c>
      <c r="I404" s="936">
        <f>INDEX(input!$CJ$3:$CO$261,MATCH(C404,input!$E$3:$E$261,0),6)</f>
        <v>198309287.77219328</v>
      </c>
      <c r="J404" s="869"/>
      <c r="L404" s="869"/>
      <c r="X404" s="73"/>
      <c r="Z404" s="73"/>
      <c r="AC404" s="73"/>
    </row>
    <row r="405" spans="1:29" ht="15" customHeight="1">
      <c r="A405" s="170"/>
      <c r="B405" s="170"/>
      <c r="C405" s="942" t="s">
        <v>2110</v>
      </c>
      <c r="D405" s="932">
        <f>INDEX(input!$CJ$3:$CO$261,MATCH(C405,input!$E$3:$E$261,0),1)</f>
        <v>129762.96508570782</v>
      </c>
      <c r="E405" s="933">
        <f>INDEX(input!$CJ$3:$CO$261,MATCH(C405,input!$E$3:$E$261,0),2)</f>
        <v>161520594572.24292</v>
      </c>
      <c r="F405" s="934">
        <f>INDEX(input!$CJ$3:$CO$261,MATCH(C405,input!$E$3:$E$261,0),3)</f>
        <v>1614.0322950661719</v>
      </c>
      <c r="G405" s="934">
        <f>INDEX(input!$CJ$3:$CO$261,MATCH(C405,input!$E$3:$E$261,0),4)</f>
        <v>1225.9677049338281</v>
      </c>
      <c r="H405" s="935">
        <f>INDEX(input!$CJ$3:$CO$261,MATCH(C405,input!$E$3:$E$261,0),5)</f>
        <v>100072715.43821304</v>
      </c>
      <c r="I405" s="936">
        <f>INDEX(input!$CJ$3:$CO$261,MATCH(C405,input!$E$3:$E$261,0),6)</f>
        <v>131749469.3556883</v>
      </c>
      <c r="J405" s="869"/>
      <c r="L405" s="869"/>
      <c r="X405" s="73"/>
      <c r="Z405" s="73"/>
      <c r="AC405" s="73"/>
    </row>
    <row r="406" spans="1:29" ht="15" customHeight="1">
      <c r="A406" s="170"/>
      <c r="B406" s="170"/>
      <c r="C406" s="942" t="s">
        <v>2111</v>
      </c>
      <c r="D406" s="932">
        <f>INDEX(input!$CJ$3:$CO$261,MATCH(C406,input!$E$3:$E$261,0),1)</f>
        <v>150868.83596312936</v>
      </c>
      <c r="E406" s="933">
        <f>INDEX(input!$CJ$3:$CO$261,MATCH(C406,input!$E$3:$E$261,0),2)</f>
        <v>205093687196.7587</v>
      </c>
      <c r="F406" s="934">
        <f>INDEX(input!$CJ$3:$CO$261,MATCH(C406,input!$E$3:$E$261,0),3)</f>
        <v>1621.6188875146788</v>
      </c>
      <c r="G406" s="934">
        <f>INDEX(input!$CJ$3:$CO$261,MATCH(C406,input!$E$3:$E$261,0),4)</f>
        <v>1242.3811124853212</v>
      </c>
      <c r="H406" s="935">
        <f>INDEX(input!$CJ$3:$CO$261,MATCH(C406,input!$E$3:$E$261,0),5)</f>
        <v>126474653.67839223</v>
      </c>
      <c r="I406" s="936">
        <f>INDEX(input!$CJ$3:$CO$261,MATCH(C406,input!$E$3:$E$261,0),6)</f>
        <v>165081137.45103469</v>
      </c>
      <c r="J406" s="869"/>
      <c r="L406" s="869"/>
      <c r="X406" s="73"/>
      <c r="Z406" s="73"/>
      <c r="AC406" s="73"/>
    </row>
    <row r="407" spans="1:29" ht="15" customHeight="1">
      <c r="A407" s="170"/>
      <c r="B407" s="170"/>
      <c r="C407" s="942" t="s">
        <v>2112</v>
      </c>
      <c r="D407" s="932">
        <f>INDEX(input!$CJ$3:$CO$261,MATCH(C407,input!$E$3:$E$261,0),1)</f>
        <v>186894.12496807487</v>
      </c>
      <c r="E407" s="933">
        <f>INDEX(input!$CJ$3:$CO$261,MATCH(C407,input!$E$3:$E$261,0),2)</f>
        <v>302801127925.51624</v>
      </c>
      <c r="F407" s="934">
        <f>INDEX(input!$CJ$3:$CO$261,MATCH(C407,input!$E$3:$E$261,0),3)</f>
        <v>1501.8684576100159</v>
      </c>
      <c r="G407" s="934">
        <f>INDEX(input!$CJ$3:$CO$261,MATCH(C407,input!$E$3:$E$261,0),4)</f>
        <v>1486.1315423899841</v>
      </c>
      <c r="H407" s="935">
        <f>INDEX(input!$CJ$3:$CO$261,MATCH(C407,input!$E$3:$E$261,0),5)</f>
        <v>201616277.6381734</v>
      </c>
      <c r="I407" s="936">
        <f>INDEX(input!$CJ$3:$CO$261,MATCH(C407,input!$E$3:$E$261,0),6)</f>
        <v>203751228.80344361</v>
      </c>
      <c r="J407" s="869"/>
      <c r="L407" s="869"/>
      <c r="X407" s="73"/>
      <c r="Z407" s="73"/>
      <c r="AC407" s="73"/>
    </row>
    <row r="408" spans="1:29" ht="15" customHeight="1">
      <c r="A408" s="170"/>
      <c r="B408" s="170"/>
      <c r="C408" s="942" t="s">
        <v>2113</v>
      </c>
      <c r="D408" s="932">
        <f>INDEX(input!$CJ$3:$CO$261,MATCH(C408,input!$E$3:$E$261,0),1)</f>
        <v>264600.58446584287</v>
      </c>
      <c r="E408" s="933">
        <f>INDEX(input!$CJ$3:$CO$261,MATCH(C408,input!$E$3:$E$261,0),2)</f>
        <v>476361046724.83496</v>
      </c>
      <c r="F408" s="934">
        <f>INDEX(input!$CJ$3:$CO$261,MATCH(C408,input!$E$3:$E$261,0),3)</f>
        <v>1262.0931690364366</v>
      </c>
      <c r="G408" s="934">
        <f>INDEX(input!$CJ$3:$CO$261,MATCH(C408,input!$E$3:$E$261,0),4)</f>
        <v>1910.9068309635634</v>
      </c>
      <c r="H408" s="935">
        <f>INDEX(input!$CJ$3:$CO$261,MATCH(C408,input!$E$3:$E$261,0),5)</f>
        <v>377437306.85787624</v>
      </c>
      <c r="I408" s="936">
        <f>INDEX(input!$CJ$3:$CO$261,MATCH(C408,input!$E$3:$E$261,0),6)</f>
        <v>249285333.54220769</v>
      </c>
      <c r="J408" s="869"/>
      <c r="L408" s="869"/>
      <c r="X408" s="73"/>
      <c r="Z408" s="73"/>
      <c r="AC408" s="73"/>
    </row>
    <row r="409" spans="1:29" ht="15" customHeight="1">
      <c r="A409" s="170"/>
      <c r="B409" s="170"/>
      <c r="C409" s="942" t="s">
        <v>2114</v>
      </c>
      <c r="D409" s="932">
        <f>INDEX(input!$CJ$3:$CO$261,MATCH(C409,input!$E$3:$E$261,0),1)</f>
        <v>266617.28678094374</v>
      </c>
      <c r="E409" s="933">
        <f>INDEX(input!$CJ$3:$CO$261,MATCH(C409,input!$E$3:$E$261,0),2)</f>
        <v>506265479532.14233</v>
      </c>
      <c r="F409" s="934">
        <f>INDEX(input!$CJ$3:$CO$261,MATCH(C409,input!$E$3:$E$261,0),3)</f>
        <v>1298.725804697134</v>
      </c>
      <c r="G409" s="934">
        <f>INDEX(input!$CJ$3:$CO$261,MATCH(C409,input!$E$3:$E$261,0),4)</f>
        <v>1971.274195302866</v>
      </c>
      <c r="H409" s="935">
        <f>INDEX(input!$CJ$3:$CO$261,MATCH(C409,input!$E$3:$E$261,0),5)</f>
        <v>389817063.54114115</v>
      </c>
      <c r="I409" s="936">
        <f>INDEX(input!$CJ$3:$CO$261,MATCH(C409,input!$E$3:$E$261,0),6)</f>
        <v>256821441.04481611</v>
      </c>
      <c r="J409" s="869"/>
      <c r="L409" s="869"/>
      <c r="X409" s="73"/>
      <c r="Z409" s="73"/>
      <c r="AC409" s="73"/>
    </row>
    <row r="410" spans="1:29" ht="15" customHeight="1">
      <c r="A410" s="170"/>
      <c r="B410" s="170"/>
      <c r="C410" s="942" t="s">
        <v>2115</v>
      </c>
      <c r="D410" s="932">
        <f>INDEX(input!$CJ$3:$CO$261,MATCH(C410,input!$E$3:$E$261,0),1)</f>
        <v>264600.58446584287</v>
      </c>
      <c r="E410" s="933">
        <f>INDEX(input!$CJ$3:$CO$261,MATCH(C410,input!$E$3:$E$261,0),2)</f>
        <v>476361046724.83496</v>
      </c>
      <c r="F410" s="934">
        <f>INDEX(input!$CJ$3:$CO$261,MATCH(C410,input!$E$3:$E$261,0),3)</f>
        <v>1262.0931690364366</v>
      </c>
      <c r="G410" s="934">
        <f>INDEX(input!$CJ$3:$CO$261,MATCH(C410,input!$E$3:$E$261,0),4)</f>
        <v>1910.9068309635634</v>
      </c>
      <c r="H410" s="935">
        <f>INDEX(input!$CJ$3:$CO$261,MATCH(C410,input!$E$3:$E$261,0),5)</f>
        <v>377437306.85787624</v>
      </c>
      <c r="I410" s="936">
        <f>INDEX(input!$CJ$3:$CO$261,MATCH(C410,input!$E$3:$E$261,0),6)</f>
        <v>249285333.54220769</v>
      </c>
      <c r="J410" s="869"/>
      <c r="L410" s="869"/>
      <c r="X410" s="73"/>
      <c r="Z410" s="73"/>
      <c r="AC410" s="73"/>
    </row>
    <row r="411" spans="1:29" ht="15" customHeight="1">
      <c r="A411" s="170"/>
      <c r="B411" s="170"/>
      <c r="C411" s="942" t="s">
        <v>2116</v>
      </c>
      <c r="D411" s="932">
        <f>INDEX(input!$CJ$3:$CO$261,MATCH(C411,input!$E$3:$E$261,0),1)</f>
        <v>197112.12496807487</v>
      </c>
      <c r="E411" s="933">
        <f>INDEX(input!$CJ$3:$CO$261,MATCH(C411,input!$E$3:$E$261,0),2)</f>
        <v>325640213974.46826</v>
      </c>
      <c r="F411" s="934">
        <f>INDEX(input!$CJ$3:$CO$261,MATCH(C411,input!$E$3:$E$261,0),3)</f>
        <v>1485.8448801639383</v>
      </c>
      <c r="G411" s="934">
        <f>INDEX(input!$CJ$3:$CO$261,MATCH(C411,input!$E$3:$E$261,0),4)</f>
        <v>1508.1551198360617</v>
      </c>
      <c r="H411" s="935">
        <f>INDEX(input!$CJ$3:$CO$261,MATCH(C411,input!$E$3:$E$261,0),5)</f>
        <v>219161648.91892299</v>
      </c>
      <c r="I411" s="936">
        <f>INDEX(input!$CJ$3:$CO$261,MATCH(C411,input!$E$3:$E$261,0),6)</f>
        <v>215919575.97164524</v>
      </c>
      <c r="J411" s="869"/>
      <c r="L411" s="869"/>
      <c r="X411" s="73"/>
      <c r="Z411" s="73"/>
      <c r="AC411" s="73"/>
    </row>
    <row r="412" spans="1:29" ht="15" customHeight="1">
      <c r="A412" s="170"/>
      <c r="B412" s="170"/>
      <c r="C412" s="942" t="s">
        <v>2117</v>
      </c>
      <c r="D412" s="932">
        <f>INDEX(input!$CJ$3:$CO$261,MATCH(C412,input!$E$3:$E$261,0),1)</f>
        <v>179290.83596312936</v>
      </c>
      <c r="E412" s="933">
        <f>INDEX(input!$CJ$3:$CO$261,MATCH(C412,input!$E$3:$E$261,0),2)</f>
        <v>266753445076.4816</v>
      </c>
      <c r="F412" s="934">
        <f>INDEX(input!$CJ$3:$CO$261,MATCH(C412,input!$E$3:$E$261,0),3)</f>
        <v>1563.7413821658145</v>
      </c>
      <c r="G412" s="934">
        <f>INDEX(input!$CJ$3:$CO$261,MATCH(C412,input!$E$3:$E$261,0),4)</f>
        <v>1320.2586178341855</v>
      </c>
      <c r="H412" s="935">
        <f>INDEX(input!$CJ$3:$CO$261,MATCH(C412,input!$E$3:$E$261,0),5)</f>
        <v>170586676.3639794</v>
      </c>
      <c r="I412" s="936">
        <f>INDEX(input!$CJ$3:$CO$261,MATCH(C412,input!$E$3:$E$261,0),6)</f>
        <v>202046357.79168516</v>
      </c>
      <c r="J412" s="869"/>
      <c r="L412" s="869"/>
      <c r="X412" s="73"/>
      <c r="Z412" s="73"/>
      <c r="AC412" s="73"/>
    </row>
    <row r="413" spans="1:29" ht="15" customHeight="1">
      <c r="A413" s="170"/>
      <c r="B413" s="170"/>
      <c r="C413" s="942" t="s">
        <v>2118</v>
      </c>
      <c r="D413" s="932">
        <f>INDEX(input!$CJ$3:$CO$261,MATCH(C413,input!$E$3:$E$261,0),1)</f>
        <v>145402.96508570784</v>
      </c>
      <c r="E413" s="933">
        <f>INDEX(input!$CJ$3:$CO$261,MATCH(C413,input!$E$3:$E$261,0),2)</f>
        <v>189124645922.75742</v>
      </c>
      <c r="F413" s="934">
        <f>INDEX(input!$CJ$3:$CO$261,MATCH(C413,input!$E$3:$E$261,0),3)</f>
        <v>1671.9586706427854</v>
      </c>
      <c r="G413" s="934">
        <f>INDEX(input!$CJ$3:$CO$261,MATCH(C413,input!$E$3:$E$261,0),4)</f>
        <v>1178.0413293572146</v>
      </c>
      <c r="H413" s="935">
        <f>INDEX(input!$CJ$3:$CO$261,MATCH(C413,input!$E$3:$E$261,0),5)</f>
        <v>113115622.55904828</v>
      </c>
      <c r="I413" s="936">
        <f>INDEX(input!$CJ$3:$CO$261,MATCH(C413,input!$E$3:$E$261,0),6)</f>
        <v>160541605.12853247</v>
      </c>
      <c r="J413" s="869"/>
      <c r="L413" s="869"/>
      <c r="X413" s="73"/>
      <c r="Z413" s="73"/>
      <c r="AC413" s="73"/>
    </row>
    <row r="414" spans="1:29" ht="15" customHeight="1">
      <c r="A414" s="170"/>
      <c r="B414" s="170"/>
      <c r="C414" s="942" t="s">
        <v>2119</v>
      </c>
      <c r="D414" s="932">
        <f>INDEX(input!$CJ$3:$CO$261,MATCH(C414,input!$E$3:$E$261,0),1)</f>
        <v>129762.96508570782</v>
      </c>
      <c r="E414" s="933">
        <f>INDEX(input!$CJ$3:$CO$261,MATCH(C414,input!$E$3:$E$261,0),2)</f>
        <v>161520594572.24292</v>
      </c>
      <c r="F414" s="934">
        <f>INDEX(input!$CJ$3:$CO$261,MATCH(C414,input!$E$3:$E$261,0),3)</f>
        <v>1614.0322950661719</v>
      </c>
      <c r="G414" s="934">
        <f>INDEX(input!$CJ$3:$CO$261,MATCH(C414,input!$E$3:$E$261,0),4)</f>
        <v>1225.9677049338281</v>
      </c>
      <c r="H414" s="935">
        <f>INDEX(input!$CJ$3:$CO$261,MATCH(C414,input!$E$3:$E$261,0),5)</f>
        <v>100072715.43821304</v>
      </c>
      <c r="I414" s="936">
        <f>INDEX(input!$CJ$3:$CO$261,MATCH(C414,input!$E$3:$E$261,0),6)</f>
        <v>131749469.3556883</v>
      </c>
      <c r="J414" s="869"/>
      <c r="L414" s="869"/>
      <c r="X414" s="73"/>
      <c r="Z414" s="73"/>
      <c r="AC414" s="73"/>
    </row>
    <row r="415" spans="1:29" ht="15" customHeight="1">
      <c r="A415" s="170"/>
      <c r="B415" s="170"/>
      <c r="C415" s="942" t="s">
        <v>2120</v>
      </c>
      <c r="D415" s="932">
        <f>INDEX(input!$CJ$3:$CO$261,MATCH(C415,input!$E$3:$E$261,0),1)</f>
        <v>114242.96508570782</v>
      </c>
      <c r="E415" s="933">
        <f>INDEX(input!$CJ$3:$CO$261,MATCH(C415,input!$E$3:$E$261,0),2)</f>
        <v>135197688550.53313</v>
      </c>
      <c r="F415" s="934">
        <f>INDEX(input!$CJ$3:$CO$261,MATCH(C415,input!$E$3:$E$261,0),3)</f>
        <v>1448.02698553709</v>
      </c>
      <c r="G415" s="934">
        <f>INDEX(input!$CJ$3:$CO$261,MATCH(C415,input!$E$3:$E$261,0),4)</f>
        <v>1383.97301446291</v>
      </c>
      <c r="H415" s="935">
        <f>INDEX(input!$CJ$3:$CO$261,MATCH(C415,input!$E$3:$E$261,0),5)</f>
        <v>93366829.417468861</v>
      </c>
      <c r="I415" s="936">
        <f>INDEX(input!$CJ$3:$CO$261,MATCH(C415,input!$E$3:$E$261,0),6)</f>
        <v>97688095.893257305</v>
      </c>
      <c r="J415" s="869"/>
      <c r="L415" s="869"/>
      <c r="X415" s="73"/>
      <c r="Z415" s="73"/>
      <c r="AC415" s="73"/>
    </row>
    <row r="416" spans="1:29" ht="15" customHeight="1">
      <c r="A416" s="170"/>
      <c r="B416" s="170"/>
      <c r="C416" s="942" t="s">
        <v>2121</v>
      </c>
      <c r="D416" s="932">
        <f>INDEX(input!$CJ$3:$CO$261,MATCH(C416,input!$E$3:$E$261,0),1)</f>
        <v>114242.96508570782</v>
      </c>
      <c r="E416" s="933">
        <f>INDEX(input!$CJ$3:$CO$261,MATCH(C416,input!$E$3:$E$261,0),2)</f>
        <v>135197688550.53313</v>
      </c>
      <c r="F416" s="934">
        <f>INDEX(input!$CJ$3:$CO$261,MATCH(C416,input!$E$3:$E$261,0),3)</f>
        <v>1448.02698553709</v>
      </c>
      <c r="G416" s="934">
        <f>INDEX(input!$CJ$3:$CO$261,MATCH(C416,input!$E$3:$E$261,0),4)</f>
        <v>1383.97301446291</v>
      </c>
      <c r="H416" s="935">
        <f>INDEX(input!$CJ$3:$CO$261,MATCH(C416,input!$E$3:$E$261,0),5)</f>
        <v>93366829.417468861</v>
      </c>
      <c r="I416" s="936">
        <f>INDEX(input!$CJ$3:$CO$261,MATCH(C416,input!$E$3:$E$261,0),6)</f>
        <v>97688095.893257305</v>
      </c>
      <c r="J416" s="869"/>
      <c r="L416" s="869"/>
      <c r="X416" s="73"/>
      <c r="Z416" s="73"/>
      <c r="AC416" s="73"/>
    </row>
    <row r="417" spans="1:29" ht="15" customHeight="1">
      <c r="A417" s="170"/>
      <c r="B417" s="170"/>
      <c r="C417" s="943" t="s">
        <v>2122</v>
      </c>
      <c r="D417" s="937">
        <f>INDEX(input!$CJ$3:$CO$261,MATCH(C417,input!$E$3:$E$261,0),1)</f>
        <v>109405.61043672869</v>
      </c>
      <c r="E417" s="938">
        <f>INDEX(input!$CJ$3:$CO$261,MATCH(C417,input!$E$3:$E$261,0),2)</f>
        <v>113840993993.57278</v>
      </c>
      <c r="F417" s="939">
        <f>INDEX(input!$CJ$3:$CO$261,MATCH(C417,input!$E$3:$E$261,0),3)</f>
        <v>1346.8744099058233</v>
      </c>
      <c r="G417" s="939">
        <f>INDEX(input!$CJ$3:$CO$261,MATCH(C417,input!$E$3:$E$261,0),4)</f>
        <v>1285.1255900941767</v>
      </c>
      <c r="H417" s="940">
        <f>INDEX(input!$CJ$3:$CO$261,MATCH(C417,input!$E$3:$E$261,0),5)</f>
        <v>84522352.757101402</v>
      </c>
      <c r="I417" s="941">
        <f>INDEX(input!$CJ$3:$CO$261,MATCH(C417,input!$E$3:$E$261,0),6)</f>
        <v>88583555.468092635</v>
      </c>
      <c r="J417" s="869"/>
      <c r="L417" s="869"/>
      <c r="X417" s="73"/>
      <c r="Z417" s="73"/>
      <c r="AC417" s="73"/>
    </row>
    <row r="418" spans="1:29" ht="15" customHeight="1">
      <c r="A418" s="115"/>
      <c r="B418" s="115"/>
      <c r="C418" s="115"/>
      <c r="E418" s="805"/>
      <c r="AC418" s="73"/>
    </row>
    <row r="419" spans="1:29" ht="15" customHeight="1">
      <c r="A419" s="170"/>
      <c r="B419" s="170"/>
      <c r="C419" s="97"/>
      <c r="D419" s="96"/>
      <c r="E419" s="805"/>
      <c r="L419" s="143"/>
      <c r="N419" s="453"/>
      <c r="AC419" s="73"/>
    </row>
    <row r="420" spans="1:29" ht="15" customHeight="1">
      <c r="A420" s="97" t="s">
        <v>1149</v>
      </c>
      <c r="B420" s="96"/>
      <c r="C420" s="805"/>
      <c r="H420" s="97" t="s">
        <v>1148</v>
      </c>
      <c r="I420" s="495"/>
      <c r="J420" s="805"/>
      <c r="L420" s="143"/>
      <c r="M420" s="498"/>
      <c r="N420" s="498"/>
      <c r="AC420" s="73"/>
    </row>
    <row r="421" spans="1:29" ht="15" customHeight="1">
      <c r="A421" s="801" t="s">
        <v>309</v>
      </c>
      <c r="B421" s="485" t="s">
        <v>1541</v>
      </c>
      <c r="C421" s="804" t="s">
        <v>2306</v>
      </c>
      <c r="D421" s="485" t="s">
        <v>1542</v>
      </c>
      <c r="E421" s="485" t="s">
        <v>1543</v>
      </c>
      <c r="F421" s="485" t="s">
        <v>1544</v>
      </c>
      <c r="G421" s="486" t="s">
        <v>1545</v>
      </c>
      <c r="H421" s="801" t="s">
        <v>309</v>
      </c>
      <c r="I421" s="496" t="s">
        <v>1546</v>
      </c>
      <c r="J421" s="804" t="s">
        <v>2307</v>
      </c>
      <c r="K421" s="485" t="s">
        <v>1547</v>
      </c>
      <c r="L421" s="485" t="s">
        <v>1548</v>
      </c>
      <c r="M421" s="499" t="s">
        <v>1549</v>
      </c>
      <c r="N421" s="500" t="s">
        <v>1550</v>
      </c>
      <c r="X421" s="73"/>
      <c r="Z421" s="73"/>
      <c r="AC421" s="73"/>
    </row>
    <row r="422" spans="1:29" ht="15" customHeight="1">
      <c r="A422" s="942" t="s">
        <v>2084</v>
      </c>
      <c r="B422" s="932">
        <f>INDEX(input!$CR$3:$CW$261,MATCH(A422,input!$E$3:$E$261,0),1)</f>
        <v>113285.61043672869</v>
      </c>
      <c r="C422" s="933">
        <f>INDEX(input!$CR$3:$CW$261,MATCH(A422,input!$E$3:$E$261,0),2)</f>
        <v>120039163080.32585</v>
      </c>
      <c r="D422" s="934">
        <f>INDEX(input!$CR$3:$CW$261,MATCH(A422,input!$E$3:$E$261,0),3)</f>
        <v>1390.9238462846163</v>
      </c>
      <c r="E422" s="934">
        <f>INDEX(input!$CR$3:$CW$261,MATCH(A422,input!$E$3:$E$261,0),4)</f>
        <v>1243.0761537153837</v>
      </c>
      <c r="F422" s="935">
        <f>INDEX(input!$CR$3:$CW$261,MATCH(A422,input!$E$3:$E$261,0),5)</f>
        <v>86301750.739963204</v>
      </c>
      <c r="G422" s="936">
        <f>INDEX(input!$CR$3:$CW$261,MATCH(A422,input!$E$3:$E$261,0),6)</f>
        <v>96566218.18506074</v>
      </c>
      <c r="H422" s="942" t="s">
        <v>2084</v>
      </c>
      <c r="I422" s="932">
        <f>INDEX(input!$CZ$3:$DE$261,MATCH(H422,input!$E$3:$E$261,0),1)</f>
        <v>113285.61043672869</v>
      </c>
      <c r="J422" s="933">
        <f>INDEX(input!$CZ$3:$DE$261,MATCH(H422,input!$E$3:$E$261,0),2)</f>
        <v>120039163080.32585</v>
      </c>
      <c r="K422" s="934">
        <f>INDEX(input!$CZ$3:$DE$261,MATCH(H422,input!$E$3:$E$261,0),3)</f>
        <v>1390.9238462846163</v>
      </c>
      <c r="L422" s="934">
        <f>INDEX(input!$CZ$3:$DE$261,MATCH(H422,input!$E$3:$E$261,0),4)</f>
        <v>1243.0761537153837</v>
      </c>
      <c r="M422" s="935">
        <f>INDEX(input!$CZ$3:$DE$261,MATCH(H422,input!$E$3:$E$261,0),5)</f>
        <v>86301750.739963204</v>
      </c>
      <c r="N422" s="936">
        <f>INDEX(input!$CZ$3:$DE$261,MATCH(H422,input!$E$3:$E$261,0),6)</f>
        <v>96566218.18506074</v>
      </c>
      <c r="P422" s="899"/>
      <c r="X422" s="73"/>
      <c r="Z422" s="73"/>
      <c r="AC422" s="73"/>
    </row>
    <row r="423" spans="1:29" ht="15" customHeight="1">
      <c r="A423" s="942" t="s">
        <v>2086</v>
      </c>
      <c r="B423" s="932">
        <f>INDEX(input!$CR$3:$CW$261,MATCH(A423,input!$E$3:$E$261,0),1)</f>
        <v>137762.96508570784</v>
      </c>
      <c r="C423" s="933">
        <f>INDEX(input!$CR$3:$CW$261,MATCH(A423,input!$E$3:$E$261,0),2)</f>
        <v>181248618073.21808</v>
      </c>
      <c r="D423" s="934">
        <f>INDEX(input!$CR$3:$CW$261,MATCH(A423,input!$E$3:$E$261,0),3)</f>
        <v>1528.071930954698</v>
      </c>
      <c r="E423" s="934">
        <f>INDEX(input!$CR$3:$CW$261,MATCH(A423,input!$E$3:$E$261,0),4)</f>
        <v>1319.928069045302</v>
      </c>
      <c r="F423" s="935">
        <f>INDEX(input!$CR$3:$CW$261,MATCH(A423,input!$E$3:$E$261,0),5)</f>
        <v>118612621.8285934</v>
      </c>
      <c r="G423" s="936">
        <f>INDEX(input!$CR$3:$CW$261,MATCH(A423,input!$E$3:$E$261,0),6)</f>
        <v>137317041.98420024</v>
      </c>
      <c r="H423" s="942" t="s">
        <v>2086</v>
      </c>
      <c r="I423" s="932">
        <f>INDEX(input!$CZ$3:$DE$261,MATCH(H423,input!$E$3:$E$261,0),1)</f>
        <v>137762.96508570784</v>
      </c>
      <c r="J423" s="933">
        <f>INDEX(input!$CZ$3:$DE$261,MATCH(H423,input!$E$3:$E$261,0),2)</f>
        <v>181248618073.21808</v>
      </c>
      <c r="K423" s="934">
        <f>INDEX(input!$CZ$3:$DE$261,MATCH(H423,input!$E$3:$E$261,0),3)</f>
        <v>1528.071930954698</v>
      </c>
      <c r="L423" s="934">
        <f>INDEX(input!$CZ$3:$DE$261,MATCH(H423,input!$E$3:$E$261,0),4)</f>
        <v>1319.928069045302</v>
      </c>
      <c r="M423" s="935">
        <f>INDEX(input!$CZ$3:$DE$261,MATCH(H423,input!$E$3:$E$261,0),5)</f>
        <v>118612621.8285934</v>
      </c>
      <c r="N423" s="936">
        <f>INDEX(input!$CZ$3:$DE$261,MATCH(H423,input!$E$3:$E$261,0),6)</f>
        <v>137317041.98420024</v>
      </c>
      <c r="P423" s="899"/>
      <c r="X423" s="73"/>
      <c r="Z423" s="73"/>
      <c r="AC423" s="73"/>
    </row>
    <row r="424" spans="1:29" ht="15" customHeight="1">
      <c r="A424" s="942" t="s">
        <v>2087</v>
      </c>
      <c r="B424" s="932">
        <f>INDEX(input!$CR$3:$CW$261,MATCH(A424,input!$E$3:$E$261,0),1)</f>
        <v>176802.96508570784</v>
      </c>
      <c r="C424" s="933">
        <f>INDEX(input!$CR$3:$CW$261,MATCH(A424,input!$E$3:$E$261,0),2)</f>
        <v>250018643484.55331</v>
      </c>
      <c r="D424" s="934">
        <f>INDEX(input!$CR$3:$CW$261,MATCH(A424,input!$E$3:$E$261,0),3)</f>
        <v>1699.8831645586633</v>
      </c>
      <c r="E424" s="934">
        <f>INDEX(input!$CR$3:$CW$261,MATCH(A424,input!$E$3:$E$261,0),4)</f>
        <v>1172.1168354413367</v>
      </c>
      <c r="F424" s="935">
        <f>INDEX(input!$CR$3:$CW$261,MATCH(A424,input!$E$3:$E$261,0),5)</f>
        <v>147079898.60554036</v>
      </c>
      <c r="G424" s="936">
        <f>INDEX(input!$CR$3:$CW$261,MATCH(A424,input!$E$3:$E$261,0),6)</f>
        <v>213305223.44251961</v>
      </c>
      <c r="H424" s="942" t="s">
        <v>2087</v>
      </c>
      <c r="I424" s="932">
        <f>INDEX(input!$CZ$3:$DE$261,MATCH(H424,input!$E$3:$E$261,0),1)</f>
        <v>176802.96508570784</v>
      </c>
      <c r="J424" s="933">
        <f>INDEX(input!$CZ$3:$DE$261,MATCH(H424,input!$E$3:$E$261,0),2)</f>
        <v>250018643484.55331</v>
      </c>
      <c r="K424" s="934">
        <f>INDEX(input!$CZ$3:$DE$261,MATCH(H424,input!$E$3:$E$261,0),3)</f>
        <v>1699.8831645586633</v>
      </c>
      <c r="L424" s="934">
        <f>INDEX(input!$CZ$3:$DE$261,MATCH(H424,input!$E$3:$E$261,0),4)</f>
        <v>1172.1168354413367</v>
      </c>
      <c r="M424" s="935">
        <f>INDEX(input!$CZ$3:$DE$261,MATCH(H424,input!$E$3:$E$261,0),5)</f>
        <v>147079898.60554036</v>
      </c>
      <c r="N424" s="936">
        <f>INDEX(input!$CZ$3:$DE$261,MATCH(H424,input!$E$3:$E$261,0),6)</f>
        <v>213305223.44251961</v>
      </c>
      <c r="P424" s="899"/>
      <c r="X424" s="73"/>
      <c r="Z424" s="73"/>
      <c r="AC424" s="73"/>
    </row>
    <row r="425" spans="1:29" ht="15" customHeight="1">
      <c r="A425" s="942" t="s">
        <v>2088</v>
      </c>
      <c r="B425" s="932">
        <f>INDEX(input!$CR$3:$CW$261,MATCH(A425,input!$E$3:$E$261,0),1)</f>
        <v>198442.96508570784</v>
      </c>
      <c r="C425" s="933">
        <f>INDEX(input!$CR$3:$CW$261,MATCH(A425,input!$E$3:$E$261,0),2)</f>
        <v>294458361973.75983</v>
      </c>
      <c r="D425" s="934">
        <f>INDEX(input!$CR$3:$CW$261,MATCH(A425,input!$E$3:$E$261,0),3)</f>
        <v>1685.8661105921663</v>
      </c>
      <c r="E425" s="934">
        <f>INDEX(input!$CR$3:$CW$261,MATCH(A425,input!$E$3:$E$261,0),4)</f>
        <v>1194.1338894078337</v>
      </c>
      <c r="F425" s="935">
        <f>INDEX(input!$CR$3:$CW$261,MATCH(A425,input!$E$3:$E$261,0),5)</f>
        <v>174662958.18137676</v>
      </c>
      <c r="G425" s="936">
        <f>INDEX(input!$CR$3:$CW$261,MATCH(A425,input!$E$3:$E$261,0),6)</f>
        <v>246587392.40687704</v>
      </c>
      <c r="H425" s="942" t="s">
        <v>2088</v>
      </c>
      <c r="I425" s="932">
        <f>INDEX(input!$CZ$3:$DE$261,MATCH(H425,input!$E$3:$E$261,0),1)</f>
        <v>198442.96508570784</v>
      </c>
      <c r="J425" s="933">
        <f>INDEX(input!$CZ$3:$DE$261,MATCH(H425,input!$E$3:$E$261,0),2)</f>
        <v>294458361973.75983</v>
      </c>
      <c r="K425" s="934">
        <f>INDEX(input!$CZ$3:$DE$261,MATCH(H425,input!$E$3:$E$261,0),3)</f>
        <v>1685.8661105921663</v>
      </c>
      <c r="L425" s="934">
        <f>INDEX(input!$CZ$3:$DE$261,MATCH(H425,input!$E$3:$E$261,0),4)</f>
        <v>1194.1338894078337</v>
      </c>
      <c r="M425" s="935">
        <f>INDEX(input!$CZ$3:$DE$261,MATCH(H425,input!$E$3:$E$261,0),5)</f>
        <v>174662958.18137676</v>
      </c>
      <c r="N425" s="936">
        <f>INDEX(input!$CZ$3:$DE$261,MATCH(H425,input!$E$3:$E$261,0),6)</f>
        <v>246587392.40687704</v>
      </c>
      <c r="P425" s="899"/>
      <c r="X425" s="73"/>
      <c r="Z425" s="73"/>
      <c r="AC425" s="73"/>
    </row>
    <row r="426" spans="1:29" ht="15" customHeight="1">
      <c r="A426" s="942" t="s">
        <v>2089</v>
      </c>
      <c r="B426" s="932">
        <f>INDEX(input!$CR$3:$CW$261,MATCH(A426,input!$E$3:$E$261,0),1)</f>
        <v>170922.96508570784</v>
      </c>
      <c r="C426" s="933">
        <f>INDEX(input!$CR$3:$CW$261,MATCH(A426,input!$E$3:$E$261,0),2)</f>
        <v>238917070787.51535</v>
      </c>
      <c r="D426" s="934">
        <f>INDEX(input!$CR$3:$CW$261,MATCH(A426,input!$E$3:$E$261,0),3)</f>
        <v>1691.1774126907367</v>
      </c>
      <c r="E426" s="934">
        <f>INDEX(input!$CR$3:$CW$261,MATCH(A426,input!$E$3:$E$261,0),4)</f>
        <v>1176.8225873092633</v>
      </c>
      <c r="F426" s="935">
        <f>INDEX(input!$CR$3:$CW$261,MATCH(A426,input!$E$3:$E$261,0),5)</f>
        <v>141272624.0278883</v>
      </c>
      <c r="G426" s="936">
        <f>INDEX(input!$CR$3:$CW$261,MATCH(A426,input!$E$3:$E$261,0),6)</f>
        <v>203018767.1140689</v>
      </c>
      <c r="H426" s="942" t="s">
        <v>2089</v>
      </c>
      <c r="I426" s="932">
        <f>INDEX(input!$CZ$3:$DE$261,MATCH(H426,input!$E$3:$E$261,0),1)</f>
        <v>170922.96508570784</v>
      </c>
      <c r="J426" s="933">
        <f>INDEX(input!$CZ$3:$DE$261,MATCH(H426,input!$E$3:$E$261,0),2)</f>
        <v>238917070787.51535</v>
      </c>
      <c r="K426" s="934">
        <f>INDEX(input!$CZ$3:$DE$261,MATCH(H426,input!$E$3:$E$261,0),3)</f>
        <v>1691.1774126907367</v>
      </c>
      <c r="L426" s="934">
        <f>INDEX(input!$CZ$3:$DE$261,MATCH(H426,input!$E$3:$E$261,0),4)</f>
        <v>1176.8225873092633</v>
      </c>
      <c r="M426" s="935">
        <f>INDEX(input!$CZ$3:$DE$261,MATCH(H426,input!$E$3:$E$261,0),5)</f>
        <v>141272624.0278883</v>
      </c>
      <c r="N426" s="936">
        <f>INDEX(input!$CZ$3:$DE$261,MATCH(H426,input!$E$3:$E$261,0),6)</f>
        <v>203018767.1140689</v>
      </c>
      <c r="P426" s="899"/>
      <c r="X426" s="73"/>
      <c r="Z426" s="73"/>
      <c r="AC426" s="73"/>
    </row>
    <row r="427" spans="1:29" ht="15" customHeight="1">
      <c r="A427" s="942" t="s">
        <v>2090</v>
      </c>
      <c r="B427" s="932">
        <f>INDEX(input!$CR$3:$CW$261,MATCH(A427,input!$E$3:$E$261,0),1)</f>
        <v>164922.96508570784</v>
      </c>
      <c r="C427" s="933">
        <f>INDEX(input!$CR$3:$CW$261,MATCH(A427,input!$E$3:$E$261,0),2)</f>
        <v>221195298743.63608</v>
      </c>
      <c r="D427" s="934">
        <f>INDEX(input!$CR$3:$CW$261,MATCH(A427,input!$E$3:$E$261,0),3)</f>
        <v>1746.5943564794959</v>
      </c>
      <c r="E427" s="934">
        <f>INDEX(input!$CR$3:$CW$261,MATCH(A427,input!$E$3:$E$261,0),4)</f>
        <v>1115.4056435205041</v>
      </c>
      <c r="F427" s="935">
        <f>INDEX(input!$CR$3:$CW$261,MATCH(A427,input!$E$3:$E$261,0),5)</f>
        <v>126643772.73580913</v>
      </c>
      <c r="G427" s="936">
        <f>INDEX(input!$CR$3:$CW$261,MATCH(A427,input!$E$3:$E$261,0),6)</f>
        <v>198309287.77219328</v>
      </c>
      <c r="H427" s="942" t="s">
        <v>2090</v>
      </c>
      <c r="I427" s="932">
        <f>INDEX(input!$CZ$3:$DE$261,MATCH(H427,input!$E$3:$E$261,0),1)</f>
        <v>164922.96508570784</v>
      </c>
      <c r="J427" s="933">
        <f>INDEX(input!$CZ$3:$DE$261,MATCH(H427,input!$E$3:$E$261,0),2)</f>
        <v>221195298743.63608</v>
      </c>
      <c r="K427" s="934">
        <f>INDEX(input!$CZ$3:$DE$261,MATCH(H427,input!$E$3:$E$261,0),3)</f>
        <v>1746.5943564794959</v>
      </c>
      <c r="L427" s="934">
        <f>INDEX(input!$CZ$3:$DE$261,MATCH(H427,input!$E$3:$E$261,0),4)</f>
        <v>1115.4056435205041</v>
      </c>
      <c r="M427" s="935">
        <f>INDEX(input!$CZ$3:$DE$261,MATCH(H427,input!$E$3:$E$261,0),5)</f>
        <v>126643772.73580913</v>
      </c>
      <c r="N427" s="936">
        <f>INDEX(input!$CZ$3:$DE$261,MATCH(H427,input!$E$3:$E$261,0),6)</f>
        <v>198309287.77219328</v>
      </c>
      <c r="P427" s="899"/>
      <c r="X427" s="73"/>
      <c r="Z427" s="73"/>
      <c r="AC427" s="73"/>
    </row>
    <row r="428" spans="1:29" ht="15" customHeight="1">
      <c r="A428" s="942" t="s">
        <v>2091</v>
      </c>
      <c r="B428" s="932">
        <f>INDEX(input!$CR$3:$CW$261,MATCH(A428,input!$E$3:$E$261,0),1)</f>
        <v>129762.96508570782</v>
      </c>
      <c r="C428" s="933">
        <f>INDEX(input!$CR$3:$CW$261,MATCH(A428,input!$E$3:$E$261,0),2)</f>
        <v>161520594572.24292</v>
      </c>
      <c r="D428" s="934">
        <f>INDEX(input!$CR$3:$CW$261,MATCH(A428,input!$E$3:$E$261,0),3)</f>
        <v>1614.0322950661719</v>
      </c>
      <c r="E428" s="934">
        <f>INDEX(input!$CR$3:$CW$261,MATCH(A428,input!$E$3:$E$261,0),4)</f>
        <v>1225.9677049338281</v>
      </c>
      <c r="F428" s="935">
        <f>INDEX(input!$CR$3:$CW$261,MATCH(A428,input!$E$3:$E$261,0),5)</f>
        <v>100072715.43821304</v>
      </c>
      <c r="G428" s="936">
        <f>INDEX(input!$CR$3:$CW$261,MATCH(A428,input!$E$3:$E$261,0),6)</f>
        <v>131749469.3556883</v>
      </c>
      <c r="H428" s="942" t="s">
        <v>2091</v>
      </c>
      <c r="I428" s="932">
        <f>INDEX(input!$CZ$3:$DE$261,MATCH(H428,input!$E$3:$E$261,0),1)</f>
        <v>129762.96508570782</v>
      </c>
      <c r="J428" s="933">
        <f>INDEX(input!$CZ$3:$DE$261,MATCH(H428,input!$E$3:$E$261,0),2)</f>
        <v>161520594572.24292</v>
      </c>
      <c r="K428" s="934">
        <f>INDEX(input!$CZ$3:$DE$261,MATCH(H428,input!$E$3:$E$261,0),3)</f>
        <v>1614.0322950661719</v>
      </c>
      <c r="L428" s="934">
        <f>INDEX(input!$CZ$3:$DE$261,MATCH(H428,input!$E$3:$E$261,0),4)</f>
        <v>1225.9677049338281</v>
      </c>
      <c r="M428" s="935">
        <f>INDEX(input!$CZ$3:$DE$261,MATCH(H428,input!$E$3:$E$261,0),5)</f>
        <v>100072715.43821304</v>
      </c>
      <c r="N428" s="936">
        <f>INDEX(input!$CZ$3:$DE$261,MATCH(H428,input!$E$3:$E$261,0),6)</f>
        <v>131749469.3556883</v>
      </c>
      <c r="P428" s="899"/>
      <c r="X428" s="73"/>
      <c r="Z428" s="73"/>
      <c r="AC428" s="73"/>
    </row>
    <row r="429" spans="1:29" ht="15" customHeight="1">
      <c r="A429" s="942" t="s">
        <v>2092</v>
      </c>
      <c r="B429" s="932">
        <f>INDEX(input!$CR$3:$CW$261,MATCH(A429,input!$E$3:$E$261,0),1)</f>
        <v>150868.83596312936</v>
      </c>
      <c r="C429" s="933">
        <f>INDEX(input!$CR$3:$CW$261,MATCH(A429,input!$E$3:$E$261,0),2)</f>
        <v>205093687196.7587</v>
      </c>
      <c r="D429" s="934">
        <f>INDEX(input!$CR$3:$CW$261,MATCH(A429,input!$E$3:$E$261,0),3)</f>
        <v>1621.6188875146788</v>
      </c>
      <c r="E429" s="934">
        <f>INDEX(input!$CR$3:$CW$261,MATCH(A429,input!$E$3:$E$261,0),4)</f>
        <v>1242.3811124853212</v>
      </c>
      <c r="F429" s="935">
        <f>INDEX(input!$CR$3:$CW$261,MATCH(A429,input!$E$3:$E$261,0),5)</f>
        <v>126474653.67839223</v>
      </c>
      <c r="G429" s="936">
        <f>INDEX(input!$CR$3:$CW$261,MATCH(A429,input!$E$3:$E$261,0),6)</f>
        <v>165081137.45103469</v>
      </c>
      <c r="H429" s="942" t="s">
        <v>2092</v>
      </c>
      <c r="I429" s="932">
        <f>INDEX(input!$CZ$3:$DE$261,MATCH(H429,input!$E$3:$E$261,0),1)</f>
        <v>150868.83596312936</v>
      </c>
      <c r="J429" s="933">
        <f>INDEX(input!$CZ$3:$DE$261,MATCH(H429,input!$E$3:$E$261,0),2)</f>
        <v>205093687196.7587</v>
      </c>
      <c r="K429" s="934">
        <f>INDEX(input!$CZ$3:$DE$261,MATCH(H429,input!$E$3:$E$261,0),3)</f>
        <v>1621.6188875146788</v>
      </c>
      <c r="L429" s="934">
        <f>INDEX(input!$CZ$3:$DE$261,MATCH(H429,input!$E$3:$E$261,0),4)</f>
        <v>1242.3811124853212</v>
      </c>
      <c r="M429" s="935">
        <f>INDEX(input!$CZ$3:$DE$261,MATCH(H429,input!$E$3:$E$261,0),5)</f>
        <v>126474653.67839223</v>
      </c>
      <c r="N429" s="936">
        <f>INDEX(input!$CZ$3:$DE$261,MATCH(H429,input!$E$3:$E$261,0),6)</f>
        <v>165081137.45103469</v>
      </c>
      <c r="P429" s="899"/>
      <c r="X429" s="73"/>
      <c r="Z429" s="73"/>
      <c r="AC429" s="73"/>
    </row>
    <row r="430" spans="1:29" ht="15" customHeight="1">
      <c r="A430" s="942" t="s">
        <v>2093</v>
      </c>
      <c r="B430" s="932">
        <f>INDEX(input!$CR$3:$CW$261,MATCH(A430,input!$E$3:$E$261,0),1)</f>
        <v>293859.9123835814</v>
      </c>
      <c r="C430" s="933">
        <f>INDEX(input!$CR$3:$CW$261,MATCH(A430,input!$E$3:$E$261,0),2)</f>
        <v>415413767204.64978</v>
      </c>
      <c r="D430" s="934">
        <f>INDEX(input!$CR$3:$CW$261,MATCH(A430,input!$E$3:$E$261,0),3)</f>
        <v>1967.839733911336</v>
      </c>
      <c r="E430" s="934">
        <f>INDEX(input!$CR$3:$CW$261,MATCH(A430,input!$E$3:$E$261,0),4)</f>
        <v>1020.160266088664</v>
      </c>
      <c r="F430" s="935">
        <f>INDEX(input!$CR$3:$CW$261,MATCH(A430,input!$E$3:$E$261,0),5)</f>
        <v>211101422.56298545</v>
      </c>
      <c r="G430" s="936">
        <f>INDEX(input!$CR$3:$CW$261,MATCH(A430,input!$E$3:$E$261,0),6)</f>
        <v>407204417.78953326</v>
      </c>
      <c r="H430" s="942" t="s">
        <v>2093</v>
      </c>
      <c r="I430" s="932">
        <f>INDEX(input!$CZ$3:$DE$261,MATCH(H430,input!$E$3:$E$261,0),1)</f>
        <v>222549.38743991038</v>
      </c>
      <c r="J430" s="933">
        <f>INDEX(input!$CZ$3:$DE$261,MATCH(H430,input!$E$3:$E$261,0),2)</f>
        <v>352246031230.67206</v>
      </c>
      <c r="K430" s="934">
        <f>INDEX(input!$CZ$3:$DE$261,MATCH(H430,input!$E$3:$E$261,0),3)</f>
        <v>1706.9619277266859</v>
      </c>
      <c r="L430" s="934">
        <f>INDEX(input!$CZ$3:$DE$261,MATCH(H430,input!$E$3:$E$261,0),4)</f>
        <v>1281.0380722733141</v>
      </c>
      <c r="M430" s="935">
        <f>INDEX(input!$CZ$3:$DE$261,MATCH(H430,input!$E$3:$E$261,0),5)</f>
        <v>206358457.97673392</v>
      </c>
      <c r="N430" s="936">
        <f>INDEX(input!$CZ$3:$DE$261,MATCH(H430,input!$E$3:$E$261,0),6)</f>
        <v>274969213.52663678</v>
      </c>
      <c r="P430" s="899"/>
      <c r="X430" s="73"/>
      <c r="Z430" s="73"/>
      <c r="AC430" s="73"/>
    </row>
    <row r="431" spans="1:29" ht="15" customHeight="1">
      <c r="A431" s="942" t="s">
        <v>2094</v>
      </c>
      <c r="B431" s="932">
        <f>INDEX(input!$CR$3:$CW$261,MATCH(A431,input!$E$3:$E$261,0),1)</f>
        <v>416151.47599530662</v>
      </c>
      <c r="C431" s="933">
        <f>INDEX(input!$CR$3:$CW$261,MATCH(A431,input!$E$3:$E$261,0),2)</f>
        <v>734092210525.72168</v>
      </c>
      <c r="D431" s="934">
        <f>INDEX(input!$CR$3:$CW$261,MATCH(A431,input!$E$3:$E$261,0),3)</f>
        <v>1853.8394275253072</v>
      </c>
      <c r="E431" s="934">
        <f>INDEX(input!$CR$3:$CW$261,MATCH(A431,input!$E$3:$E$261,0),4)</f>
        <v>1319.1605724746928</v>
      </c>
      <c r="F431" s="935">
        <f>INDEX(input!$CR$3:$CW$261,MATCH(A431,input!$E$3:$E$261,0),5)</f>
        <v>395984786.83003438</v>
      </c>
      <c r="G431" s="936">
        <f>INDEX(input!$CR$3:$CW$261,MATCH(A431,input!$E$3:$E$261,0),6)</f>
        <v>556484347.57915318</v>
      </c>
      <c r="H431" s="942" t="s">
        <v>2094</v>
      </c>
      <c r="I431" s="932">
        <f>INDEX(input!$CZ$3:$DE$261,MATCH(H431,input!$E$3:$E$261,0),1)</f>
        <v>315117.54830899747</v>
      </c>
      <c r="J431" s="933">
        <f>INDEX(input!$CZ$3:$DE$261,MATCH(H431,input!$E$3:$E$261,0),2)</f>
        <v>589462622312.31006</v>
      </c>
      <c r="K431" s="934">
        <f>INDEX(input!$CZ$3:$DE$261,MATCH(H431,input!$E$3:$E$261,0),3)</f>
        <v>1522.5844049856012</v>
      </c>
      <c r="L431" s="934">
        <f>INDEX(input!$CZ$3:$DE$261,MATCH(H431,input!$E$3:$E$261,0),4)</f>
        <v>1650.4155950143988</v>
      </c>
      <c r="M431" s="935">
        <f>INDEX(input!$CZ$3:$DE$261,MATCH(H431,input!$E$3:$E$261,0),5)</f>
        <v>387146105.25508732</v>
      </c>
      <c r="N431" s="936">
        <f>INDEX(input!$CZ$3:$DE$261,MATCH(H431,input!$E$3:$E$261,0),6)</f>
        <v>357160114.15122831</v>
      </c>
      <c r="P431" s="899"/>
      <c r="X431" s="73"/>
      <c r="Z431" s="73"/>
      <c r="AC431" s="73"/>
    </row>
    <row r="432" spans="1:29" ht="15" customHeight="1">
      <c r="A432" s="942" t="s">
        <v>2095</v>
      </c>
      <c r="B432" s="932">
        <f>INDEX(input!$CR$3:$CW$261,MATCH(A432,input!$E$3:$E$261,0),1)</f>
        <v>442846.07199384994</v>
      </c>
      <c r="C432" s="933">
        <f>INDEX(input!$CR$3:$CW$261,MATCH(A432,input!$E$3:$E$261,0),2)</f>
        <v>797356979103.35107</v>
      </c>
      <c r="D432" s="934">
        <f>INDEX(input!$CR$3:$CW$261,MATCH(A432,input!$E$3:$E$261,0),3)</f>
        <v>1951.8641657020185</v>
      </c>
      <c r="E432" s="934">
        <f>INDEX(input!$CR$3:$CW$261,MATCH(A432,input!$E$3:$E$261,0),4)</f>
        <v>1318.1358342979815</v>
      </c>
      <c r="F432" s="935">
        <f>INDEX(input!$CR$3:$CW$261,MATCH(A432,input!$E$3:$E$261,0),5)</f>
        <v>408510486.08526975</v>
      </c>
      <c r="G432" s="936">
        <f>INDEX(input!$CR$3:$CW$261,MATCH(A432,input!$E$3:$E$261,0),6)</f>
        <v>604912603.35700595</v>
      </c>
      <c r="H432" s="942" t="s">
        <v>2095</v>
      </c>
      <c r="I432" s="932">
        <f>INDEX(input!$CZ$3:$DE$261,MATCH(H432,input!$E$3:$E$261,0),1)</f>
        <v>325360.21518524585</v>
      </c>
      <c r="J432" s="933">
        <f>INDEX(input!$CZ$3:$DE$261,MATCH(H432,input!$E$3:$E$261,0),2)</f>
        <v>637697253297.72803</v>
      </c>
      <c r="K432" s="934">
        <f>INDEX(input!$CZ$3:$DE$261,MATCH(H432,input!$E$3:$E$261,0),3)</f>
        <v>1595.0535302354619</v>
      </c>
      <c r="L432" s="934">
        <f>INDEX(input!$CZ$3:$DE$261,MATCH(H432,input!$E$3:$E$261,0),4)</f>
        <v>1674.9464697645381</v>
      </c>
      <c r="M432" s="935">
        <f>INDEX(input!$CZ$3:$DE$261,MATCH(H432,input!$E$3:$E$261,0),5)</f>
        <v>399796772.46543008</v>
      </c>
      <c r="N432" s="936">
        <f>INDEX(input!$CZ$3:$DE$261,MATCH(H432,input!$E$3:$E$261,0),6)</f>
        <v>380726945.4929952</v>
      </c>
      <c r="P432" s="899"/>
      <c r="X432" s="73"/>
      <c r="Z432" s="73"/>
      <c r="AC432" s="73"/>
    </row>
    <row r="433" spans="1:29" ht="15" customHeight="1">
      <c r="A433" s="942" t="s">
        <v>2096</v>
      </c>
      <c r="B433" s="932">
        <f>INDEX(input!$CR$3:$CW$261,MATCH(A433,input!$E$3:$E$261,0),1)</f>
        <v>416151.47599530662</v>
      </c>
      <c r="C433" s="933">
        <f>INDEX(input!$CR$3:$CW$261,MATCH(A433,input!$E$3:$E$261,0),2)</f>
        <v>734092210525.72168</v>
      </c>
      <c r="D433" s="934">
        <f>INDEX(input!$CR$3:$CW$261,MATCH(A433,input!$E$3:$E$261,0),3)</f>
        <v>1853.8394275253072</v>
      </c>
      <c r="E433" s="934">
        <f>INDEX(input!$CR$3:$CW$261,MATCH(A433,input!$E$3:$E$261,0),4)</f>
        <v>1319.1605724746928</v>
      </c>
      <c r="F433" s="935">
        <f>INDEX(input!$CR$3:$CW$261,MATCH(A433,input!$E$3:$E$261,0),5)</f>
        <v>395984786.83003438</v>
      </c>
      <c r="G433" s="936">
        <f>INDEX(input!$CR$3:$CW$261,MATCH(A433,input!$E$3:$E$261,0),6)</f>
        <v>556484347.57915318</v>
      </c>
      <c r="H433" s="942" t="s">
        <v>2096</v>
      </c>
      <c r="I433" s="932">
        <f>INDEX(input!$CZ$3:$DE$261,MATCH(H433,input!$E$3:$E$261,0),1)</f>
        <v>315117.54830899747</v>
      </c>
      <c r="J433" s="933">
        <f>INDEX(input!$CZ$3:$DE$261,MATCH(H433,input!$E$3:$E$261,0),2)</f>
        <v>589462622312.31006</v>
      </c>
      <c r="K433" s="934">
        <f>INDEX(input!$CZ$3:$DE$261,MATCH(H433,input!$E$3:$E$261,0),3)</f>
        <v>1522.5844049856012</v>
      </c>
      <c r="L433" s="934">
        <f>INDEX(input!$CZ$3:$DE$261,MATCH(H433,input!$E$3:$E$261,0),4)</f>
        <v>1650.4155950143988</v>
      </c>
      <c r="M433" s="935">
        <f>INDEX(input!$CZ$3:$DE$261,MATCH(H433,input!$E$3:$E$261,0),5)</f>
        <v>387146105.25508732</v>
      </c>
      <c r="N433" s="936">
        <f>INDEX(input!$CZ$3:$DE$261,MATCH(H433,input!$E$3:$E$261,0),6)</f>
        <v>357160114.15122831</v>
      </c>
      <c r="P433" s="899"/>
      <c r="X433" s="73"/>
      <c r="Z433" s="73"/>
      <c r="AC433" s="73"/>
    </row>
    <row r="434" spans="1:29" ht="15" customHeight="1">
      <c r="A434" s="942" t="s">
        <v>2097</v>
      </c>
      <c r="B434" s="932">
        <f>INDEX(input!$CR$3:$CW$261,MATCH(A434,input!$E$3:$E$261,0),1)</f>
        <v>304077.9123835814</v>
      </c>
      <c r="C434" s="933">
        <f>INDEX(input!$CR$3:$CW$261,MATCH(A434,input!$E$3:$E$261,0),2)</f>
        <v>443979400215.18604</v>
      </c>
      <c r="D434" s="934">
        <f>INDEX(input!$CR$3:$CW$261,MATCH(A434,input!$E$3:$E$261,0),3)</f>
        <v>1943.2017301416934</v>
      </c>
      <c r="E434" s="934">
        <f>INDEX(input!$CR$3:$CW$261,MATCH(A434,input!$E$3:$E$261,0),4)</f>
        <v>1050.7982698583066</v>
      </c>
      <c r="F434" s="935">
        <f>INDEX(input!$CR$3:$CW$261,MATCH(A434,input!$E$3:$E$261,0),5)</f>
        <v>228478285.77366087</v>
      </c>
      <c r="G434" s="936">
        <f>INDEX(input!$CR$3:$CW$261,MATCH(A434,input!$E$3:$E$261,0),6)</f>
        <v>422516303.03412449</v>
      </c>
      <c r="H434" s="942" t="s">
        <v>2097</v>
      </c>
      <c r="I434" s="932">
        <f>INDEX(input!$CZ$3:$DE$261,MATCH(H434,input!$E$3:$E$261,0),1)</f>
        <v>232767.38743991038</v>
      </c>
      <c r="J434" s="933">
        <f>INDEX(input!$CZ$3:$DE$261,MATCH(H434,input!$E$3:$E$261,0),2)</f>
        <v>377056052501.86511</v>
      </c>
      <c r="K434" s="934">
        <f>INDEX(input!$CZ$3:$DE$261,MATCH(H434,input!$E$3:$E$261,0),3)</f>
        <v>1685.0023848372373</v>
      </c>
      <c r="L434" s="934">
        <f>INDEX(input!$CZ$3:$DE$261,MATCH(H434,input!$E$3:$E$261,0),4)</f>
        <v>1308.9976151627627</v>
      </c>
      <c r="M434" s="935">
        <f>INDEX(input!$CZ$3:$DE$261,MATCH(H434,input!$E$3:$E$261,0),5)</f>
        <v>223771821.27150926</v>
      </c>
      <c r="N434" s="936">
        <f>INDEX(input!$CZ$3:$DE$261,MATCH(H434,input!$E$3:$E$261,0),6)</f>
        <v>288049457.18329775</v>
      </c>
      <c r="P434" s="899"/>
      <c r="X434" s="73"/>
      <c r="Z434" s="73"/>
      <c r="AC434" s="73"/>
    </row>
    <row r="435" spans="1:29" ht="15" customHeight="1">
      <c r="A435" s="942" t="s">
        <v>2098</v>
      </c>
      <c r="B435" s="932">
        <f>INDEX(input!$CR$3:$CW$261,MATCH(A435,input!$E$3:$E$261,0),1)</f>
        <v>179290.83596312936</v>
      </c>
      <c r="C435" s="933">
        <f>INDEX(input!$CR$3:$CW$261,MATCH(A435,input!$E$3:$E$261,0),2)</f>
        <v>266753445076.4816</v>
      </c>
      <c r="D435" s="934">
        <f>INDEX(input!$CR$3:$CW$261,MATCH(A435,input!$E$3:$E$261,0),3)</f>
        <v>1563.7413821658145</v>
      </c>
      <c r="E435" s="934">
        <f>INDEX(input!$CR$3:$CW$261,MATCH(A435,input!$E$3:$E$261,0),4)</f>
        <v>1320.2586178341855</v>
      </c>
      <c r="F435" s="935">
        <f>INDEX(input!$CR$3:$CW$261,MATCH(A435,input!$E$3:$E$261,0),5)</f>
        <v>170586676.3639794</v>
      </c>
      <c r="G435" s="936">
        <f>INDEX(input!$CR$3:$CW$261,MATCH(A435,input!$E$3:$E$261,0),6)</f>
        <v>202046357.79168516</v>
      </c>
      <c r="H435" s="942" t="s">
        <v>2098</v>
      </c>
      <c r="I435" s="932">
        <f>INDEX(input!$CZ$3:$DE$261,MATCH(H435,input!$E$3:$E$261,0),1)</f>
        <v>179290.83596312936</v>
      </c>
      <c r="J435" s="933">
        <f>INDEX(input!$CZ$3:$DE$261,MATCH(H435,input!$E$3:$E$261,0),2)</f>
        <v>266753445076.4816</v>
      </c>
      <c r="K435" s="934">
        <f>INDEX(input!$CZ$3:$DE$261,MATCH(H435,input!$E$3:$E$261,0),3)</f>
        <v>1563.7413821658145</v>
      </c>
      <c r="L435" s="934">
        <f>INDEX(input!$CZ$3:$DE$261,MATCH(H435,input!$E$3:$E$261,0),4)</f>
        <v>1320.2586178341855</v>
      </c>
      <c r="M435" s="935">
        <f>INDEX(input!$CZ$3:$DE$261,MATCH(H435,input!$E$3:$E$261,0),5)</f>
        <v>170586676.3639794</v>
      </c>
      <c r="N435" s="936">
        <f>INDEX(input!$CZ$3:$DE$261,MATCH(H435,input!$E$3:$E$261,0),6)</f>
        <v>202046357.79168516</v>
      </c>
      <c r="P435" s="899"/>
      <c r="X435" s="73"/>
      <c r="Z435" s="73"/>
      <c r="AC435" s="73"/>
    </row>
    <row r="436" spans="1:29" ht="15" customHeight="1">
      <c r="A436" s="942" t="s">
        <v>2099</v>
      </c>
      <c r="B436" s="932">
        <f>INDEX(input!$CR$3:$CW$261,MATCH(A436,input!$E$3:$E$261,0),1)</f>
        <v>145402.96508570784</v>
      </c>
      <c r="C436" s="933">
        <f>INDEX(input!$CR$3:$CW$261,MATCH(A436,input!$E$3:$E$261,0),2)</f>
        <v>189124645922.75742</v>
      </c>
      <c r="D436" s="934">
        <f>INDEX(input!$CR$3:$CW$261,MATCH(A436,input!$E$3:$E$261,0),3)</f>
        <v>1671.9586706427854</v>
      </c>
      <c r="E436" s="934">
        <f>INDEX(input!$CR$3:$CW$261,MATCH(A436,input!$E$3:$E$261,0),4)</f>
        <v>1178.0413293572146</v>
      </c>
      <c r="F436" s="935">
        <f>INDEX(input!$CR$3:$CW$261,MATCH(A436,input!$E$3:$E$261,0),5)</f>
        <v>113115622.55904828</v>
      </c>
      <c r="G436" s="936">
        <f>INDEX(input!$CR$3:$CW$261,MATCH(A436,input!$E$3:$E$261,0),6)</f>
        <v>160541605.12853247</v>
      </c>
      <c r="H436" s="942" t="s">
        <v>2099</v>
      </c>
      <c r="I436" s="932">
        <f>INDEX(input!$CZ$3:$DE$261,MATCH(H436,input!$E$3:$E$261,0),1)</f>
        <v>145402.96508570784</v>
      </c>
      <c r="J436" s="933">
        <f>INDEX(input!$CZ$3:$DE$261,MATCH(H436,input!$E$3:$E$261,0),2)</f>
        <v>189124645922.75742</v>
      </c>
      <c r="K436" s="934">
        <f>INDEX(input!$CZ$3:$DE$261,MATCH(H436,input!$E$3:$E$261,0),3)</f>
        <v>1671.9586706427854</v>
      </c>
      <c r="L436" s="934">
        <f>INDEX(input!$CZ$3:$DE$261,MATCH(H436,input!$E$3:$E$261,0),4)</f>
        <v>1178.0413293572146</v>
      </c>
      <c r="M436" s="935">
        <f>INDEX(input!$CZ$3:$DE$261,MATCH(H436,input!$E$3:$E$261,0),5)</f>
        <v>113115622.55904828</v>
      </c>
      <c r="N436" s="936">
        <f>INDEX(input!$CZ$3:$DE$261,MATCH(H436,input!$E$3:$E$261,0),6)</f>
        <v>160541605.12853247</v>
      </c>
      <c r="P436" s="899"/>
      <c r="X436" s="73"/>
      <c r="Z436" s="73"/>
      <c r="AC436" s="73"/>
    </row>
    <row r="437" spans="1:29" ht="15" customHeight="1">
      <c r="A437" s="942" t="s">
        <v>2100</v>
      </c>
      <c r="B437" s="932">
        <f>INDEX(input!$CR$3:$CW$261,MATCH(A437,input!$E$3:$E$261,0),1)</f>
        <v>129762.96508570782</v>
      </c>
      <c r="C437" s="933">
        <f>INDEX(input!$CR$3:$CW$261,MATCH(A437,input!$E$3:$E$261,0),2)</f>
        <v>161520594572.24292</v>
      </c>
      <c r="D437" s="934">
        <f>INDEX(input!$CR$3:$CW$261,MATCH(A437,input!$E$3:$E$261,0),3)</f>
        <v>1614.0322950661719</v>
      </c>
      <c r="E437" s="934">
        <f>INDEX(input!$CR$3:$CW$261,MATCH(A437,input!$E$3:$E$261,0),4)</f>
        <v>1225.9677049338281</v>
      </c>
      <c r="F437" s="935">
        <f>INDEX(input!$CR$3:$CW$261,MATCH(A437,input!$E$3:$E$261,0),5)</f>
        <v>100072715.43821304</v>
      </c>
      <c r="G437" s="936">
        <f>INDEX(input!$CR$3:$CW$261,MATCH(A437,input!$E$3:$E$261,0),6)</f>
        <v>131749469.3556883</v>
      </c>
      <c r="H437" s="942" t="s">
        <v>2100</v>
      </c>
      <c r="I437" s="932">
        <f>INDEX(input!$CZ$3:$DE$261,MATCH(H437,input!$E$3:$E$261,0),1)</f>
        <v>129762.96508570782</v>
      </c>
      <c r="J437" s="933">
        <f>INDEX(input!$CZ$3:$DE$261,MATCH(H437,input!$E$3:$E$261,0),2)</f>
        <v>161520594572.24292</v>
      </c>
      <c r="K437" s="934">
        <f>INDEX(input!$CZ$3:$DE$261,MATCH(H437,input!$E$3:$E$261,0),3)</f>
        <v>1614.0322950661719</v>
      </c>
      <c r="L437" s="934">
        <f>INDEX(input!$CZ$3:$DE$261,MATCH(H437,input!$E$3:$E$261,0),4)</f>
        <v>1225.9677049338281</v>
      </c>
      <c r="M437" s="935">
        <f>INDEX(input!$CZ$3:$DE$261,MATCH(H437,input!$E$3:$E$261,0),5)</f>
        <v>100072715.43821304</v>
      </c>
      <c r="N437" s="936">
        <f>INDEX(input!$CZ$3:$DE$261,MATCH(H437,input!$E$3:$E$261,0),6)</f>
        <v>131749469.3556883</v>
      </c>
      <c r="P437" s="899"/>
      <c r="X437" s="73"/>
      <c r="Z437" s="73"/>
      <c r="AC437" s="73"/>
    </row>
    <row r="438" spans="1:29" ht="15" customHeight="1">
      <c r="A438" s="942" t="s">
        <v>2101</v>
      </c>
      <c r="B438" s="932">
        <f>INDEX(input!$CR$3:$CW$261,MATCH(A438,input!$E$3:$E$261,0),1)</f>
        <v>114242.96508570782</v>
      </c>
      <c r="C438" s="933">
        <f>INDEX(input!$CR$3:$CW$261,MATCH(A438,input!$E$3:$E$261,0),2)</f>
        <v>135197688550.53313</v>
      </c>
      <c r="D438" s="934">
        <f>INDEX(input!$CR$3:$CW$261,MATCH(A438,input!$E$3:$E$261,0),3)</f>
        <v>1448.02698553709</v>
      </c>
      <c r="E438" s="934">
        <f>INDEX(input!$CR$3:$CW$261,MATCH(A438,input!$E$3:$E$261,0),4)</f>
        <v>1383.97301446291</v>
      </c>
      <c r="F438" s="935">
        <f>INDEX(input!$CR$3:$CW$261,MATCH(A438,input!$E$3:$E$261,0),5)</f>
        <v>93366829.417468861</v>
      </c>
      <c r="G438" s="936">
        <f>INDEX(input!$CR$3:$CW$261,MATCH(A438,input!$E$3:$E$261,0),6)</f>
        <v>97688095.893257305</v>
      </c>
      <c r="H438" s="942" t="s">
        <v>2101</v>
      </c>
      <c r="I438" s="932">
        <f>INDEX(input!$CZ$3:$DE$261,MATCH(H438,input!$E$3:$E$261,0),1)</f>
        <v>114242.96508570782</v>
      </c>
      <c r="J438" s="933">
        <f>INDEX(input!$CZ$3:$DE$261,MATCH(H438,input!$E$3:$E$261,0),2)</f>
        <v>135197688550.53313</v>
      </c>
      <c r="K438" s="934">
        <f>INDEX(input!$CZ$3:$DE$261,MATCH(H438,input!$E$3:$E$261,0),3)</f>
        <v>1448.02698553709</v>
      </c>
      <c r="L438" s="934">
        <f>INDEX(input!$CZ$3:$DE$261,MATCH(H438,input!$E$3:$E$261,0),4)</f>
        <v>1383.97301446291</v>
      </c>
      <c r="M438" s="935">
        <f>INDEX(input!$CZ$3:$DE$261,MATCH(H438,input!$E$3:$E$261,0),5)</f>
        <v>93366829.417468861</v>
      </c>
      <c r="N438" s="936">
        <f>INDEX(input!$CZ$3:$DE$261,MATCH(H438,input!$E$3:$E$261,0),6)</f>
        <v>97688095.893257305</v>
      </c>
      <c r="P438" s="899"/>
      <c r="X438" s="73"/>
      <c r="Z438" s="73"/>
      <c r="AC438" s="73"/>
    </row>
    <row r="439" spans="1:29" ht="15" customHeight="1">
      <c r="A439" s="942" t="s">
        <v>2102</v>
      </c>
      <c r="B439" s="932">
        <f>INDEX(input!$CR$3:$CW$261,MATCH(A439,input!$E$3:$E$261,0),1)</f>
        <v>114242.96508570782</v>
      </c>
      <c r="C439" s="933">
        <f>INDEX(input!$CR$3:$CW$261,MATCH(A439,input!$E$3:$E$261,0),2)</f>
        <v>135197688550.53313</v>
      </c>
      <c r="D439" s="934">
        <f>INDEX(input!$CR$3:$CW$261,MATCH(A439,input!$E$3:$E$261,0),3)</f>
        <v>1448.02698553709</v>
      </c>
      <c r="E439" s="934">
        <f>INDEX(input!$CR$3:$CW$261,MATCH(A439,input!$E$3:$E$261,0),4)</f>
        <v>1383.97301446291</v>
      </c>
      <c r="F439" s="935">
        <f>INDEX(input!$CR$3:$CW$261,MATCH(A439,input!$E$3:$E$261,0),5)</f>
        <v>93366829.417468861</v>
      </c>
      <c r="G439" s="936">
        <f>INDEX(input!$CR$3:$CW$261,MATCH(A439,input!$E$3:$E$261,0),6)</f>
        <v>97688095.893257305</v>
      </c>
      <c r="H439" s="942" t="s">
        <v>2102</v>
      </c>
      <c r="I439" s="932">
        <f>INDEX(input!$CZ$3:$DE$261,MATCH(H439,input!$E$3:$E$261,0),1)</f>
        <v>114242.96508570782</v>
      </c>
      <c r="J439" s="933">
        <f>INDEX(input!$CZ$3:$DE$261,MATCH(H439,input!$E$3:$E$261,0),2)</f>
        <v>135197688550.53313</v>
      </c>
      <c r="K439" s="934">
        <f>INDEX(input!$CZ$3:$DE$261,MATCH(H439,input!$E$3:$E$261,0),3)</f>
        <v>1448.02698553709</v>
      </c>
      <c r="L439" s="934">
        <f>INDEX(input!$CZ$3:$DE$261,MATCH(H439,input!$E$3:$E$261,0),4)</f>
        <v>1383.97301446291</v>
      </c>
      <c r="M439" s="935">
        <f>INDEX(input!$CZ$3:$DE$261,MATCH(H439,input!$E$3:$E$261,0),5)</f>
        <v>93366829.417468861</v>
      </c>
      <c r="N439" s="936">
        <f>INDEX(input!$CZ$3:$DE$261,MATCH(H439,input!$E$3:$E$261,0),6)</f>
        <v>97688095.893257305</v>
      </c>
      <c r="P439" s="899"/>
      <c r="X439" s="73"/>
      <c r="Z439" s="73"/>
      <c r="AC439" s="73"/>
    </row>
    <row r="440" spans="1:29" ht="15" customHeight="1">
      <c r="A440" s="942" t="s">
        <v>2103</v>
      </c>
      <c r="B440" s="932">
        <f>INDEX(input!$CR$3:$CW$261,MATCH(A440,input!$E$3:$E$261,0),1)</f>
        <v>109405.61043672869</v>
      </c>
      <c r="C440" s="933">
        <f>INDEX(input!$CR$3:$CW$261,MATCH(A440,input!$E$3:$E$261,0),2)</f>
        <v>113840993993.57278</v>
      </c>
      <c r="D440" s="934">
        <f>INDEX(input!$CR$3:$CW$261,MATCH(A440,input!$E$3:$E$261,0),3)</f>
        <v>1346.8744099058233</v>
      </c>
      <c r="E440" s="934">
        <f>INDEX(input!$CR$3:$CW$261,MATCH(A440,input!$E$3:$E$261,0),4)</f>
        <v>1285.1255900941767</v>
      </c>
      <c r="F440" s="935">
        <f>INDEX(input!$CR$3:$CW$261,MATCH(A440,input!$E$3:$E$261,0),5)</f>
        <v>84522352.757101402</v>
      </c>
      <c r="G440" s="936">
        <f>INDEX(input!$CR$3:$CW$261,MATCH(A440,input!$E$3:$E$261,0),6)</f>
        <v>88583555.468092635</v>
      </c>
      <c r="H440" s="942" t="s">
        <v>2103</v>
      </c>
      <c r="I440" s="932">
        <f>INDEX(input!$CZ$3:$DE$261,MATCH(H440,input!$E$3:$E$261,0),1)</f>
        <v>109405.61043672869</v>
      </c>
      <c r="J440" s="933">
        <f>INDEX(input!$CZ$3:$DE$261,MATCH(H440,input!$E$3:$E$261,0),2)</f>
        <v>113840993993.57278</v>
      </c>
      <c r="K440" s="934">
        <f>INDEX(input!$CZ$3:$DE$261,MATCH(H440,input!$E$3:$E$261,0),3)</f>
        <v>1346.8744099058233</v>
      </c>
      <c r="L440" s="934">
        <f>INDEX(input!$CZ$3:$DE$261,MATCH(H440,input!$E$3:$E$261,0),4)</f>
        <v>1285.1255900941767</v>
      </c>
      <c r="M440" s="935">
        <f>INDEX(input!$CZ$3:$DE$261,MATCH(H440,input!$E$3:$E$261,0),5)</f>
        <v>84522352.757101402</v>
      </c>
      <c r="N440" s="936">
        <f>INDEX(input!$CZ$3:$DE$261,MATCH(H440,input!$E$3:$E$261,0),6)</f>
        <v>88583555.468092635</v>
      </c>
      <c r="P440" s="899"/>
      <c r="X440" s="73"/>
      <c r="Z440" s="73"/>
      <c r="AC440" s="73"/>
    </row>
    <row r="441" spans="1:29" ht="15" customHeight="1">
      <c r="A441" s="942" t="s">
        <v>2104</v>
      </c>
      <c r="B441" s="932">
        <f>INDEX(input!$CR$3:$CW$261,MATCH(A441,input!$E$3:$E$261,0),1)</f>
        <v>113285.61043672869</v>
      </c>
      <c r="C441" s="933">
        <f>INDEX(input!$CR$3:$CW$261,MATCH(A441,input!$E$3:$E$261,0),2)</f>
        <v>120039163080.32585</v>
      </c>
      <c r="D441" s="934">
        <f>INDEX(input!$CR$3:$CW$261,MATCH(A441,input!$E$3:$E$261,0),3)</f>
        <v>1390.9238462846163</v>
      </c>
      <c r="E441" s="934">
        <f>INDEX(input!$CR$3:$CW$261,MATCH(A441,input!$E$3:$E$261,0),4)</f>
        <v>1243.0761537153837</v>
      </c>
      <c r="F441" s="935">
        <f>INDEX(input!$CR$3:$CW$261,MATCH(A441,input!$E$3:$E$261,0),5)</f>
        <v>86301750.739963204</v>
      </c>
      <c r="G441" s="936">
        <f>INDEX(input!$CR$3:$CW$261,MATCH(A441,input!$E$3:$E$261,0),6)</f>
        <v>96566218.18506074</v>
      </c>
      <c r="H441" s="942" t="s">
        <v>2104</v>
      </c>
      <c r="I441" s="932">
        <f>INDEX(input!$CZ$3:$DE$261,MATCH(H441,input!$E$3:$E$261,0),1)</f>
        <v>113285.61043672869</v>
      </c>
      <c r="J441" s="933">
        <f>INDEX(input!$CZ$3:$DE$261,MATCH(H441,input!$E$3:$E$261,0),2)</f>
        <v>120039163080.32585</v>
      </c>
      <c r="K441" s="934">
        <f>INDEX(input!$CZ$3:$DE$261,MATCH(H441,input!$E$3:$E$261,0),3)</f>
        <v>1390.9238462846163</v>
      </c>
      <c r="L441" s="934">
        <f>INDEX(input!$CZ$3:$DE$261,MATCH(H441,input!$E$3:$E$261,0),4)</f>
        <v>1243.0761537153837</v>
      </c>
      <c r="M441" s="935">
        <f>INDEX(input!$CZ$3:$DE$261,MATCH(H441,input!$E$3:$E$261,0),5)</f>
        <v>86301750.739963204</v>
      </c>
      <c r="N441" s="936">
        <f>INDEX(input!$CZ$3:$DE$261,MATCH(H441,input!$E$3:$E$261,0),6)</f>
        <v>96566218.18506074</v>
      </c>
      <c r="P441" s="899"/>
      <c r="X441" s="73"/>
      <c r="Z441" s="73"/>
      <c r="AC441" s="73"/>
    </row>
    <row r="442" spans="1:29" ht="15" customHeight="1">
      <c r="A442" s="942" t="s">
        <v>2105</v>
      </c>
      <c r="B442" s="932">
        <f>INDEX(input!$CR$3:$CW$261,MATCH(A442,input!$E$3:$E$261,0),1)</f>
        <v>137762.96508570784</v>
      </c>
      <c r="C442" s="933">
        <f>INDEX(input!$CR$3:$CW$261,MATCH(A442,input!$E$3:$E$261,0),2)</f>
        <v>181248618073.21808</v>
      </c>
      <c r="D442" s="934">
        <f>INDEX(input!$CR$3:$CW$261,MATCH(A442,input!$E$3:$E$261,0),3)</f>
        <v>1528.071930954698</v>
      </c>
      <c r="E442" s="934">
        <f>INDEX(input!$CR$3:$CW$261,MATCH(A442,input!$E$3:$E$261,0),4)</f>
        <v>1319.928069045302</v>
      </c>
      <c r="F442" s="935">
        <f>INDEX(input!$CR$3:$CW$261,MATCH(A442,input!$E$3:$E$261,0),5)</f>
        <v>118612621.8285934</v>
      </c>
      <c r="G442" s="936">
        <f>INDEX(input!$CR$3:$CW$261,MATCH(A442,input!$E$3:$E$261,0),6)</f>
        <v>137317041.98420024</v>
      </c>
      <c r="H442" s="942" t="s">
        <v>2105</v>
      </c>
      <c r="I442" s="932">
        <f>INDEX(input!$CZ$3:$DE$261,MATCH(H442,input!$E$3:$E$261,0),1)</f>
        <v>137762.96508570784</v>
      </c>
      <c r="J442" s="933">
        <f>INDEX(input!$CZ$3:$DE$261,MATCH(H442,input!$E$3:$E$261,0),2)</f>
        <v>181248618073.21808</v>
      </c>
      <c r="K442" s="934">
        <f>INDEX(input!$CZ$3:$DE$261,MATCH(H442,input!$E$3:$E$261,0),3)</f>
        <v>1528.071930954698</v>
      </c>
      <c r="L442" s="934">
        <f>INDEX(input!$CZ$3:$DE$261,MATCH(H442,input!$E$3:$E$261,0),4)</f>
        <v>1319.928069045302</v>
      </c>
      <c r="M442" s="935">
        <f>INDEX(input!$CZ$3:$DE$261,MATCH(H442,input!$E$3:$E$261,0),5)</f>
        <v>118612621.8285934</v>
      </c>
      <c r="N442" s="936">
        <f>INDEX(input!$CZ$3:$DE$261,MATCH(H442,input!$E$3:$E$261,0),6)</f>
        <v>137317041.98420024</v>
      </c>
      <c r="P442" s="899"/>
      <c r="X442" s="73"/>
      <c r="Z442" s="73"/>
      <c r="AC442" s="73"/>
    </row>
    <row r="443" spans="1:29" ht="15" customHeight="1">
      <c r="A443" s="942" t="s">
        <v>2106</v>
      </c>
      <c r="B443" s="932">
        <f>INDEX(input!$CR$3:$CW$261,MATCH(A443,input!$E$3:$E$261,0),1)</f>
        <v>176802.96508570784</v>
      </c>
      <c r="C443" s="933">
        <f>INDEX(input!$CR$3:$CW$261,MATCH(A443,input!$E$3:$E$261,0),2)</f>
        <v>250018643484.55331</v>
      </c>
      <c r="D443" s="934">
        <f>INDEX(input!$CR$3:$CW$261,MATCH(A443,input!$E$3:$E$261,0),3)</f>
        <v>1699.8831645586633</v>
      </c>
      <c r="E443" s="934">
        <f>INDEX(input!$CR$3:$CW$261,MATCH(A443,input!$E$3:$E$261,0),4)</f>
        <v>1172.1168354413367</v>
      </c>
      <c r="F443" s="935">
        <f>INDEX(input!$CR$3:$CW$261,MATCH(A443,input!$E$3:$E$261,0),5)</f>
        <v>147079898.60554036</v>
      </c>
      <c r="G443" s="936">
        <f>INDEX(input!$CR$3:$CW$261,MATCH(A443,input!$E$3:$E$261,0),6)</f>
        <v>213305223.44251961</v>
      </c>
      <c r="H443" s="942" t="s">
        <v>2106</v>
      </c>
      <c r="I443" s="932">
        <f>INDEX(input!$CZ$3:$DE$261,MATCH(H443,input!$E$3:$E$261,0),1)</f>
        <v>176802.96508570784</v>
      </c>
      <c r="J443" s="933">
        <f>INDEX(input!$CZ$3:$DE$261,MATCH(H443,input!$E$3:$E$261,0),2)</f>
        <v>250018643484.55331</v>
      </c>
      <c r="K443" s="934">
        <f>INDEX(input!$CZ$3:$DE$261,MATCH(H443,input!$E$3:$E$261,0),3)</f>
        <v>1699.8831645586633</v>
      </c>
      <c r="L443" s="934">
        <f>INDEX(input!$CZ$3:$DE$261,MATCH(H443,input!$E$3:$E$261,0),4)</f>
        <v>1172.1168354413367</v>
      </c>
      <c r="M443" s="935">
        <f>INDEX(input!$CZ$3:$DE$261,MATCH(H443,input!$E$3:$E$261,0),5)</f>
        <v>147079898.60554036</v>
      </c>
      <c r="N443" s="936">
        <f>INDEX(input!$CZ$3:$DE$261,MATCH(H443,input!$E$3:$E$261,0),6)</f>
        <v>213305223.44251961</v>
      </c>
      <c r="X443" s="73"/>
      <c r="Z443" s="73"/>
      <c r="AC443" s="73"/>
    </row>
    <row r="444" spans="1:29" ht="15" customHeight="1">
      <c r="A444" s="942" t="s">
        <v>2107</v>
      </c>
      <c r="B444" s="932">
        <f>INDEX(input!$CR$3:$CW$261,MATCH(A444,input!$E$3:$E$261,0),1)</f>
        <v>198442.96508570784</v>
      </c>
      <c r="C444" s="933">
        <f>INDEX(input!$CR$3:$CW$261,MATCH(A444,input!$E$3:$E$261,0),2)</f>
        <v>294458361973.75983</v>
      </c>
      <c r="D444" s="934">
        <f>INDEX(input!$CR$3:$CW$261,MATCH(A444,input!$E$3:$E$261,0),3)</f>
        <v>1685.8661105921663</v>
      </c>
      <c r="E444" s="934">
        <f>INDEX(input!$CR$3:$CW$261,MATCH(A444,input!$E$3:$E$261,0),4)</f>
        <v>1194.1338894078337</v>
      </c>
      <c r="F444" s="935">
        <f>INDEX(input!$CR$3:$CW$261,MATCH(A444,input!$E$3:$E$261,0),5)</f>
        <v>174662958.18137676</v>
      </c>
      <c r="G444" s="936">
        <f>INDEX(input!$CR$3:$CW$261,MATCH(A444,input!$E$3:$E$261,0),6)</f>
        <v>246587392.40687704</v>
      </c>
      <c r="H444" s="942" t="s">
        <v>2107</v>
      </c>
      <c r="I444" s="932">
        <f>INDEX(input!$CZ$3:$DE$261,MATCH(H444,input!$E$3:$E$261,0),1)</f>
        <v>198442.96508570784</v>
      </c>
      <c r="J444" s="933">
        <f>INDEX(input!$CZ$3:$DE$261,MATCH(H444,input!$E$3:$E$261,0),2)</f>
        <v>294458361973.75983</v>
      </c>
      <c r="K444" s="934">
        <f>INDEX(input!$CZ$3:$DE$261,MATCH(H444,input!$E$3:$E$261,0),3)</f>
        <v>1685.8661105921663</v>
      </c>
      <c r="L444" s="934">
        <f>INDEX(input!$CZ$3:$DE$261,MATCH(H444,input!$E$3:$E$261,0),4)</f>
        <v>1194.1338894078337</v>
      </c>
      <c r="M444" s="935">
        <f>INDEX(input!$CZ$3:$DE$261,MATCH(H444,input!$E$3:$E$261,0),5)</f>
        <v>174662958.18137676</v>
      </c>
      <c r="N444" s="936">
        <f>INDEX(input!$CZ$3:$DE$261,MATCH(H444,input!$E$3:$E$261,0),6)</f>
        <v>246587392.40687704</v>
      </c>
      <c r="X444" s="73"/>
      <c r="Z444" s="73"/>
      <c r="AC444" s="73"/>
    </row>
    <row r="445" spans="1:29" ht="15" customHeight="1">
      <c r="A445" s="942" t="s">
        <v>2108</v>
      </c>
      <c r="B445" s="932">
        <f>INDEX(input!$CR$3:$CW$261,MATCH(A445,input!$E$3:$E$261,0),1)</f>
        <v>170922.96508570784</v>
      </c>
      <c r="C445" s="933">
        <f>INDEX(input!$CR$3:$CW$261,MATCH(A445,input!$E$3:$E$261,0),2)</f>
        <v>238917070787.51535</v>
      </c>
      <c r="D445" s="934">
        <f>INDEX(input!$CR$3:$CW$261,MATCH(A445,input!$E$3:$E$261,0),3)</f>
        <v>1691.1774126907367</v>
      </c>
      <c r="E445" s="934">
        <f>INDEX(input!$CR$3:$CW$261,MATCH(A445,input!$E$3:$E$261,0),4)</f>
        <v>1176.8225873092633</v>
      </c>
      <c r="F445" s="935">
        <f>INDEX(input!$CR$3:$CW$261,MATCH(A445,input!$E$3:$E$261,0),5)</f>
        <v>141272624.0278883</v>
      </c>
      <c r="G445" s="936">
        <f>INDEX(input!$CR$3:$CW$261,MATCH(A445,input!$E$3:$E$261,0),6)</f>
        <v>203018767.1140689</v>
      </c>
      <c r="H445" s="942" t="s">
        <v>2108</v>
      </c>
      <c r="I445" s="932">
        <f>INDEX(input!$CZ$3:$DE$261,MATCH(H445,input!$E$3:$E$261,0),1)</f>
        <v>170922.96508570784</v>
      </c>
      <c r="J445" s="933">
        <f>INDEX(input!$CZ$3:$DE$261,MATCH(H445,input!$E$3:$E$261,0),2)</f>
        <v>238917070787.51535</v>
      </c>
      <c r="K445" s="934">
        <f>INDEX(input!$CZ$3:$DE$261,MATCH(H445,input!$E$3:$E$261,0),3)</f>
        <v>1691.1774126907367</v>
      </c>
      <c r="L445" s="934">
        <f>INDEX(input!$CZ$3:$DE$261,MATCH(H445,input!$E$3:$E$261,0),4)</f>
        <v>1176.8225873092633</v>
      </c>
      <c r="M445" s="935">
        <f>INDEX(input!$CZ$3:$DE$261,MATCH(H445,input!$E$3:$E$261,0),5)</f>
        <v>141272624.0278883</v>
      </c>
      <c r="N445" s="936">
        <f>INDEX(input!$CZ$3:$DE$261,MATCH(H445,input!$E$3:$E$261,0),6)</f>
        <v>203018767.1140689</v>
      </c>
      <c r="X445" s="73"/>
      <c r="Z445" s="73"/>
      <c r="AC445" s="73"/>
    </row>
    <row r="446" spans="1:29" ht="15" customHeight="1">
      <c r="A446" s="942" t="s">
        <v>2109</v>
      </c>
      <c r="B446" s="932">
        <f>INDEX(input!$CR$3:$CW$261,MATCH(A446,input!$E$3:$E$261,0),1)</f>
        <v>164922.96508570784</v>
      </c>
      <c r="C446" s="933">
        <f>INDEX(input!$CR$3:$CW$261,MATCH(A446,input!$E$3:$E$261,0),2)</f>
        <v>221195298743.63608</v>
      </c>
      <c r="D446" s="934">
        <f>INDEX(input!$CR$3:$CW$261,MATCH(A446,input!$E$3:$E$261,0),3)</f>
        <v>1746.5943564794959</v>
      </c>
      <c r="E446" s="934">
        <f>INDEX(input!$CR$3:$CW$261,MATCH(A446,input!$E$3:$E$261,0),4)</f>
        <v>1115.4056435205041</v>
      </c>
      <c r="F446" s="935">
        <f>INDEX(input!$CR$3:$CW$261,MATCH(A446,input!$E$3:$E$261,0),5)</f>
        <v>126643772.73580913</v>
      </c>
      <c r="G446" s="936">
        <f>INDEX(input!$CR$3:$CW$261,MATCH(A446,input!$E$3:$E$261,0),6)</f>
        <v>198309287.77219328</v>
      </c>
      <c r="H446" s="942" t="s">
        <v>2109</v>
      </c>
      <c r="I446" s="932">
        <f>INDEX(input!$CZ$3:$DE$261,MATCH(H446,input!$E$3:$E$261,0),1)</f>
        <v>164922.96508570784</v>
      </c>
      <c r="J446" s="933">
        <f>INDEX(input!$CZ$3:$DE$261,MATCH(H446,input!$E$3:$E$261,0),2)</f>
        <v>221195298743.63608</v>
      </c>
      <c r="K446" s="934">
        <f>INDEX(input!$CZ$3:$DE$261,MATCH(H446,input!$E$3:$E$261,0),3)</f>
        <v>1746.5943564794959</v>
      </c>
      <c r="L446" s="934">
        <f>INDEX(input!$CZ$3:$DE$261,MATCH(H446,input!$E$3:$E$261,0),4)</f>
        <v>1115.4056435205041</v>
      </c>
      <c r="M446" s="935">
        <f>INDEX(input!$CZ$3:$DE$261,MATCH(H446,input!$E$3:$E$261,0),5)</f>
        <v>126643772.73580913</v>
      </c>
      <c r="N446" s="936">
        <f>INDEX(input!$CZ$3:$DE$261,MATCH(H446,input!$E$3:$E$261,0),6)</f>
        <v>198309287.77219328</v>
      </c>
      <c r="X446" s="73"/>
      <c r="Z446" s="73"/>
      <c r="AC446" s="73"/>
    </row>
    <row r="447" spans="1:29" ht="15" customHeight="1">
      <c r="A447" s="942" t="s">
        <v>2110</v>
      </c>
      <c r="B447" s="932">
        <f>INDEX(input!$CR$3:$CW$261,MATCH(A447,input!$E$3:$E$261,0),1)</f>
        <v>129762.96508570782</v>
      </c>
      <c r="C447" s="933">
        <f>INDEX(input!$CR$3:$CW$261,MATCH(A447,input!$E$3:$E$261,0),2)</f>
        <v>161520594572.24292</v>
      </c>
      <c r="D447" s="934">
        <f>INDEX(input!$CR$3:$CW$261,MATCH(A447,input!$E$3:$E$261,0),3)</f>
        <v>1614.0322950661719</v>
      </c>
      <c r="E447" s="934">
        <f>INDEX(input!$CR$3:$CW$261,MATCH(A447,input!$E$3:$E$261,0),4)</f>
        <v>1225.9677049338281</v>
      </c>
      <c r="F447" s="935">
        <f>INDEX(input!$CR$3:$CW$261,MATCH(A447,input!$E$3:$E$261,0),5)</f>
        <v>100072715.43821304</v>
      </c>
      <c r="G447" s="936">
        <f>INDEX(input!$CR$3:$CW$261,MATCH(A447,input!$E$3:$E$261,0),6)</f>
        <v>131749469.3556883</v>
      </c>
      <c r="H447" s="942" t="s">
        <v>2110</v>
      </c>
      <c r="I447" s="932">
        <f>INDEX(input!$CZ$3:$DE$261,MATCH(H447,input!$E$3:$E$261,0),1)</f>
        <v>129762.96508570782</v>
      </c>
      <c r="J447" s="933">
        <f>INDEX(input!$CZ$3:$DE$261,MATCH(H447,input!$E$3:$E$261,0),2)</f>
        <v>161520594572.24292</v>
      </c>
      <c r="K447" s="934">
        <f>INDEX(input!$CZ$3:$DE$261,MATCH(H447,input!$E$3:$E$261,0),3)</f>
        <v>1614.0322950661719</v>
      </c>
      <c r="L447" s="934">
        <f>INDEX(input!$CZ$3:$DE$261,MATCH(H447,input!$E$3:$E$261,0),4)</f>
        <v>1225.9677049338281</v>
      </c>
      <c r="M447" s="935">
        <f>INDEX(input!$CZ$3:$DE$261,MATCH(H447,input!$E$3:$E$261,0),5)</f>
        <v>100072715.43821304</v>
      </c>
      <c r="N447" s="936">
        <f>INDEX(input!$CZ$3:$DE$261,MATCH(H447,input!$E$3:$E$261,0),6)</f>
        <v>131749469.3556883</v>
      </c>
      <c r="X447" s="73"/>
      <c r="Z447" s="73"/>
      <c r="AC447" s="73"/>
    </row>
    <row r="448" spans="1:29" ht="15" customHeight="1">
      <c r="A448" s="942" t="s">
        <v>2111</v>
      </c>
      <c r="B448" s="932">
        <f>INDEX(input!$CR$3:$CW$261,MATCH(A448,input!$E$3:$E$261,0),1)</f>
        <v>150868.83596312936</v>
      </c>
      <c r="C448" s="933">
        <f>INDEX(input!$CR$3:$CW$261,MATCH(A448,input!$E$3:$E$261,0),2)</f>
        <v>205093687196.7587</v>
      </c>
      <c r="D448" s="934">
        <f>INDEX(input!$CR$3:$CW$261,MATCH(A448,input!$E$3:$E$261,0),3)</f>
        <v>1621.6188875146788</v>
      </c>
      <c r="E448" s="934">
        <f>INDEX(input!$CR$3:$CW$261,MATCH(A448,input!$E$3:$E$261,0),4)</f>
        <v>1242.3811124853212</v>
      </c>
      <c r="F448" s="935">
        <f>INDEX(input!$CR$3:$CW$261,MATCH(A448,input!$E$3:$E$261,0),5)</f>
        <v>126474653.67839223</v>
      </c>
      <c r="G448" s="936">
        <f>INDEX(input!$CR$3:$CW$261,MATCH(A448,input!$E$3:$E$261,0),6)</f>
        <v>165081137.45103469</v>
      </c>
      <c r="H448" s="942" t="s">
        <v>2111</v>
      </c>
      <c r="I448" s="932">
        <f>INDEX(input!$CZ$3:$DE$261,MATCH(H448,input!$E$3:$E$261,0),1)</f>
        <v>150868.83596312936</v>
      </c>
      <c r="J448" s="933">
        <f>INDEX(input!$CZ$3:$DE$261,MATCH(H448,input!$E$3:$E$261,0),2)</f>
        <v>205093687196.7587</v>
      </c>
      <c r="K448" s="934">
        <f>INDEX(input!$CZ$3:$DE$261,MATCH(H448,input!$E$3:$E$261,0),3)</f>
        <v>1621.6188875146788</v>
      </c>
      <c r="L448" s="934">
        <f>INDEX(input!$CZ$3:$DE$261,MATCH(H448,input!$E$3:$E$261,0),4)</f>
        <v>1242.3811124853212</v>
      </c>
      <c r="M448" s="935">
        <f>INDEX(input!$CZ$3:$DE$261,MATCH(H448,input!$E$3:$E$261,0),5)</f>
        <v>126474653.67839223</v>
      </c>
      <c r="N448" s="936">
        <f>INDEX(input!$CZ$3:$DE$261,MATCH(H448,input!$E$3:$E$261,0),6)</f>
        <v>165081137.45103469</v>
      </c>
      <c r="X448" s="73"/>
      <c r="Z448" s="73"/>
      <c r="AC448" s="73"/>
    </row>
    <row r="449" spans="1:29" ht="15" customHeight="1">
      <c r="A449" s="942" t="s">
        <v>2112</v>
      </c>
      <c r="B449" s="932">
        <f>INDEX(input!$CR$3:$CW$261,MATCH(A449,input!$E$3:$E$261,0),1)</f>
        <v>293859.9123835814</v>
      </c>
      <c r="C449" s="933">
        <f>INDEX(input!$CR$3:$CW$261,MATCH(A449,input!$E$3:$E$261,0),2)</f>
        <v>415413767204.64978</v>
      </c>
      <c r="D449" s="934">
        <f>INDEX(input!$CR$3:$CW$261,MATCH(A449,input!$E$3:$E$261,0),3)</f>
        <v>1967.839733911336</v>
      </c>
      <c r="E449" s="934">
        <f>INDEX(input!$CR$3:$CW$261,MATCH(A449,input!$E$3:$E$261,0),4)</f>
        <v>1020.160266088664</v>
      </c>
      <c r="F449" s="935">
        <f>INDEX(input!$CR$3:$CW$261,MATCH(A449,input!$E$3:$E$261,0),5)</f>
        <v>211101422.56298545</v>
      </c>
      <c r="G449" s="936">
        <f>INDEX(input!$CR$3:$CW$261,MATCH(A449,input!$E$3:$E$261,0),6)</f>
        <v>407204417.78953326</v>
      </c>
      <c r="H449" s="942" t="s">
        <v>2112</v>
      </c>
      <c r="I449" s="932">
        <f>INDEX(input!$CZ$3:$DE$261,MATCH(H449,input!$E$3:$E$261,0),1)</f>
        <v>222549.38743991038</v>
      </c>
      <c r="J449" s="933">
        <f>INDEX(input!$CZ$3:$DE$261,MATCH(H449,input!$E$3:$E$261,0),2)</f>
        <v>352246031230.67206</v>
      </c>
      <c r="K449" s="934">
        <f>INDEX(input!$CZ$3:$DE$261,MATCH(H449,input!$E$3:$E$261,0),3)</f>
        <v>1706.9619277266859</v>
      </c>
      <c r="L449" s="934">
        <f>INDEX(input!$CZ$3:$DE$261,MATCH(H449,input!$E$3:$E$261,0),4)</f>
        <v>1281.0380722733141</v>
      </c>
      <c r="M449" s="935">
        <f>INDEX(input!$CZ$3:$DE$261,MATCH(H449,input!$E$3:$E$261,0),5)</f>
        <v>206358457.97673392</v>
      </c>
      <c r="N449" s="936">
        <f>INDEX(input!$CZ$3:$DE$261,MATCH(H449,input!$E$3:$E$261,0),6)</f>
        <v>274969213.52663678</v>
      </c>
      <c r="X449" s="73"/>
      <c r="Z449" s="73"/>
      <c r="AC449" s="73"/>
    </row>
    <row r="450" spans="1:29" ht="15" customHeight="1">
      <c r="A450" s="942" t="s">
        <v>2113</v>
      </c>
      <c r="B450" s="932">
        <f>INDEX(input!$CR$3:$CW$261,MATCH(A450,input!$E$3:$E$261,0),1)</f>
        <v>416151.47599530662</v>
      </c>
      <c r="C450" s="933">
        <f>INDEX(input!$CR$3:$CW$261,MATCH(A450,input!$E$3:$E$261,0),2)</f>
        <v>734092210525.72168</v>
      </c>
      <c r="D450" s="934">
        <f>INDEX(input!$CR$3:$CW$261,MATCH(A450,input!$E$3:$E$261,0),3)</f>
        <v>1853.8394275253072</v>
      </c>
      <c r="E450" s="934">
        <f>INDEX(input!$CR$3:$CW$261,MATCH(A450,input!$E$3:$E$261,0),4)</f>
        <v>1319.1605724746928</v>
      </c>
      <c r="F450" s="935">
        <f>INDEX(input!$CR$3:$CW$261,MATCH(A450,input!$E$3:$E$261,0),5)</f>
        <v>395984786.83003438</v>
      </c>
      <c r="G450" s="936">
        <f>INDEX(input!$CR$3:$CW$261,MATCH(A450,input!$E$3:$E$261,0),6)</f>
        <v>556484347.57915318</v>
      </c>
      <c r="H450" s="942" t="s">
        <v>2113</v>
      </c>
      <c r="I450" s="932">
        <f>INDEX(input!$CZ$3:$DE$261,MATCH(H450,input!$E$3:$E$261,0),1)</f>
        <v>315117.54830899747</v>
      </c>
      <c r="J450" s="933">
        <f>INDEX(input!$CZ$3:$DE$261,MATCH(H450,input!$E$3:$E$261,0),2)</f>
        <v>589462622312.31006</v>
      </c>
      <c r="K450" s="934">
        <f>INDEX(input!$CZ$3:$DE$261,MATCH(H450,input!$E$3:$E$261,0),3)</f>
        <v>1522.5844049856012</v>
      </c>
      <c r="L450" s="934">
        <f>INDEX(input!$CZ$3:$DE$261,MATCH(H450,input!$E$3:$E$261,0),4)</f>
        <v>1650.4155950143988</v>
      </c>
      <c r="M450" s="935">
        <f>INDEX(input!$CZ$3:$DE$261,MATCH(H450,input!$E$3:$E$261,0),5)</f>
        <v>387146105.25508732</v>
      </c>
      <c r="N450" s="936">
        <f>INDEX(input!$CZ$3:$DE$261,MATCH(H450,input!$E$3:$E$261,0),6)</f>
        <v>357160114.15122831</v>
      </c>
      <c r="X450" s="73"/>
      <c r="Z450" s="73"/>
      <c r="AC450" s="73"/>
    </row>
    <row r="451" spans="1:29" ht="15" customHeight="1">
      <c r="A451" s="942" t="s">
        <v>2114</v>
      </c>
      <c r="B451" s="932">
        <f>INDEX(input!$CR$3:$CW$261,MATCH(A451,input!$E$3:$E$261,0),1)</f>
        <v>442846.07199384994</v>
      </c>
      <c r="C451" s="933">
        <f>INDEX(input!$CR$3:$CW$261,MATCH(A451,input!$E$3:$E$261,0),2)</f>
        <v>797356979103.35107</v>
      </c>
      <c r="D451" s="934">
        <f>INDEX(input!$CR$3:$CW$261,MATCH(A451,input!$E$3:$E$261,0),3)</f>
        <v>1951.8641657020185</v>
      </c>
      <c r="E451" s="934">
        <f>INDEX(input!$CR$3:$CW$261,MATCH(A451,input!$E$3:$E$261,0),4)</f>
        <v>1318.1358342979815</v>
      </c>
      <c r="F451" s="935">
        <f>INDEX(input!$CR$3:$CW$261,MATCH(A451,input!$E$3:$E$261,0),5)</f>
        <v>408510486.08526975</v>
      </c>
      <c r="G451" s="936">
        <f>INDEX(input!$CR$3:$CW$261,MATCH(A451,input!$E$3:$E$261,0),6)</f>
        <v>604912603.35700595</v>
      </c>
      <c r="H451" s="942" t="s">
        <v>2114</v>
      </c>
      <c r="I451" s="932">
        <f>INDEX(input!$CZ$3:$DE$261,MATCH(H451,input!$E$3:$E$261,0),1)</f>
        <v>325360.21518524585</v>
      </c>
      <c r="J451" s="933">
        <f>INDEX(input!$CZ$3:$DE$261,MATCH(H451,input!$E$3:$E$261,0),2)</f>
        <v>637697253297.72803</v>
      </c>
      <c r="K451" s="934">
        <f>INDEX(input!$CZ$3:$DE$261,MATCH(H451,input!$E$3:$E$261,0),3)</f>
        <v>1595.0535302354619</v>
      </c>
      <c r="L451" s="934">
        <f>INDEX(input!$CZ$3:$DE$261,MATCH(H451,input!$E$3:$E$261,0),4)</f>
        <v>1674.9464697645381</v>
      </c>
      <c r="M451" s="935">
        <f>INDEX(input!$CZ$3:$DE$261,MATCH(H451,input!$E$3:$E$261,0),5)</f>
        <v>399796772.46543008</v>
      </c>
      <c r="N451" s="936">
        <f>INDEX(input!$CZ$3:$DE$261,MATCH(H451,input!$E$3:$E$261,0),6)</f>
        <v>380726945.4929952</v>
      </c>
      <c r="X451" s="73"/>
      <c r="Z451" s="73"/>
      <c r="AC451" s="73"/>
    </row>
    <row r="452" spans="1:29" ht="15" customHeight="1">
      <c r="A452" s="942" t="s">
        <v>2115</v>
      </c>
      <c r="B452" s="932">
        <f>INDEX(input!$CR$3:$CW$261,MATCH(A452,input!$E$3:$E$261,0),1)</f>
        <v>416151.47599530662</v>
      </c>
      <c r="C452" s="933">
        <f>INDEX(input!$CR$3:$CW$261,MATCH(A452,input!$E$3:$E$261,0),2)</f>
        <v>734092210525.72168</v>
      </c>
      <c r="D452" s="934">
        <f>INDEX(input!$CR$3:$CW$261,MATCH(A452,input!$E$3:$E$261,0),3)</f>
        <v>1853.8394275253072</v>
      </c>
      <c r="E452" s="934">
        <f>INDEX(input!$CR$3:$CW$261,MATCH(A452,input!$E$3:$E$261,0),4)</f>
        <v>1319.1605724746928</v>
      </c>
      <c r="F452" s="935">
        <f>INDEX(input!$CR$3:$CW$261,MATCH(A452,input!$E$3:$E$261,0),5)</f>
        <v>395984786.83003438</v>
      </c>
      <c r="G452" s="936">
        <f>INDEX(input!$CR$3:$CW$261,MATCH(A452,input!$E$3:$E$261,0),6)</f>
        <v>556484347.57915318</v>
      </c>
      <c r="H452" s="942" t="s">
        <v>2115</v>
      </c>
      <c r="I452" s="932">
        <f>INDEX(input!$CZ$3:$DE$261,MATCH(H452,input!$E$3:$E$261,0),1)</f>
        <v>315117.54830899747</v>
      </c>
      <c r="J452" s="933">
        <f>INDEX(input!$CZ$3:$DE$261,MATCH(H452,input!$E$3:$E$261,0),2)</f>
        <v>589462622312.31006</v>
      </c>
      <c r="K452" s="934">
        <f>INDEX(input!$CZ$3:$DE$261,MATCH(H452,input!$E$3:$E$261,0),3)</f>
        <v>1522.5844049856012</v>
      </c>
      <c r="L452" s="934">
        <f>INDEX(input!$CZ$3:$DE$261,MATCH(H452,input!$E$3:$E$261,0),4)</f>
        <v>1650.4155950143988</v>
      </c>
      <c r="M452" s="935">
        <f>INDEX(input!$CZ$3:$DE$261,MATCH(H452,input!$E$3:$E$261,0),5)</f>
        <v>387146105.25508732</v>
      </c>
      <c r="N452" s="936">
        <f>INDEX(input!$CZ$3:$DE$261,MATCH(H452,input!$E$3:$E$261,0),6)</f>
        <v>357160114.15122831</v>
      </c>
      <c r="X452" s="73"/>
      <c r="Z452" s="73"/>
      <c r="AC452" s="73"/>
    </row>
    <row r="453" spans="1:29" ht="15" customHeight="1">
      <c r="A453" s="942" t="s">
        <v>2116</v>
      </c>
      <c r="B453" s="932">
        <f>INDEX(input!$CR$3:$CW$261,MATCH(A453,input!$E$3:$E$261,0),1)</f>
        <v>304077.9123835814</v>
      </c>
      <c r="C453" s="933">
        <f>INDEX(input!$CR$3:$CW$261,MATCH(A453,input!$E$3:$E$261,0),2)</f>
        <v>443979400215.18604</v>
      </c>
      <c r="D453" s="934">
        <f>INDEX(input!$CR$3:$CW$261,MATCH(A453,input!$E$3:$E$261,0),3)</f>
        <v>1943.2017301416934</v>
      </c>
      <c r="E453" s="934">
        <f>INDEX(input!$CR$3:$CW$261,MATCH(A453,input!$E$3:$E$261,0),4)</f>
        <v>1050.7982698583066</v>
      </c>
      <c r="F453" s="935">
        <f>INDEX(input!$CR$3:$CW$261,MATCH(A453,input!$E$3:$E$261,0),5)</f>
        <v>228478285.77366087</v>
      </c>
      <c r="G453" s="936">
        <f>INDEX(input!$CR$3:$CW$261,MATCH(A453,input!$E$3:$E$261,0),6)</f>
        <v>422516303.03412449</v>
      </c>
      <c r="H453" s="942" t="s">
        <v>2116</v>
      </c>
      <c r="I453" s="932">
        <f>INDEX(input!$CZ$3:$DE$261,MATCH(H453,input!$E$3:$E$261,0),1)</f>
        <v>232767.38743991038</v>
      </c>
      <c r="J453" s="933">
        <f>INDEX(input!$CZ$3:$DE$261,MATCH(H453,input!$E$3:$E$261,0),2)</f>
        <v>377056052501.86511</v>
      </c>
      <c r="K453" s="934">
        <f>INDEX(input!$CZ$3:$DE$261,MATCH(H453,input!$E$3:$E$261,0),3)</f>
        <v>1685.0023848372373</v>
      </c>
      <c r="L453" s="934">
        <f>INDEX(input!$CZ$3:$DE$261,MATCH(H453,input!$E$3:$E$261,0),4)</f>
        <v>1308.9976151627627</v>
      </c>
      <c r="M453" s="935">
        <f>INDEX(input!$CZ$3:$DE$261,MATCH(H453,input!$E$3:$E$261,0),5)</f>
        <v>223771821.27150926</v>
      </c>
      <c r="N453" s="936">
        <f>INDEX(input!$CZ$3:$DE$261,MATCH(H453,input!$E$3:$E$261,0),6)</f>
        <v>288049457.18329775</v>
      </c>
      <c r="X453" s="73"/>
      <c r="Z453" s="73"/>
      <c r="AC453" s="73"/>
    </row>
    <row r="454" spans="1:29" ht="15" customHeight="1">
      <c r="A454" s="942" t="s">
        <v>2117</v>
      </c>
      <c r="B454" s="932">
        <f>INDEX(input!$CR$3:$CW$261,MATCH(A454,input!$E$3:$E$261,0),1)</f>
        <v>179290.83596312936</v>
      </c>
      <c r="C454" s="933">
        <f>INDEX(input!$CR$3:$CW$261,MATCH(A454,input!$E$3:$E$261,0),2)</f>
        <v>266753445076.4816</v>
      </c>
      <c r="D454" s="934">
        <f>INDEX(input!$CR$3:$CW$261,MATCH(A454,input!$E$3:$E$261,0),3)</f>
        <v>1563.7413821658145</v>
      </c>
      <c r="E454" s="934">
        <f>INDEX(input!$CR$3:$CW$261,MATCH(A454,input!$E$3:$E$261,0),4)</f>
        <v>1320.2586178341855</v>
      </c>
      <c r="F454" s="935">
        <f>INDEX(input!$CR$3:$CW$261,MATCH(A454,input!$E$3:$E$261,0),5)</f>
        <v>170586676.3639794</v>
      </c>
      <c r="G454" s="936">
        <f>INDEX(input!$CR$3:$CW$261,MATCH(A454,input!$E$3:$E$261,0),6)</f>
        <v>202046357.79168516</v>
      </c>
      <c r="H454" s="942" t="s">
        <v>2117</v>
      </c>
      <c r="I454" s="932">
        <f>INDEX(input!$CZ$3:$DE$261,MATCH(H454,input!$E$3:$E$261,0),1)</f>
        <v>179290.83596312936</v>
      </c>
      <c r="J454" s="933">
        <f>INDEX(input!$CZ$3:$DE$261,MATCH(H454,input!$E$3:$E$261,0),2)</f>
        <v>266753445076.4816</v>
      </c>
      <c r="K454" s="934">
        <f>INDEX(input!$CZ$3:$DE$261,MATCH(H454,input!$E$3:$E$261,0),3)</f>
        <v>1563.7413821658145</v>
      </c>
      <c r="L454" s="934">
        <f>INDEX(input!$CZ$3:$DE$261,MATCH(H454,input!$E$3:$E$261,0),4)</f>
        <v>1320.2586178341855</v>
      </c>
      <c r="M454" s="935">
        <f>INDEX(input!$CZ$3:$DE$261,MATCH(H454,input!$E$3:$E$261,0),5)</f>
        <v>170586676.3639794</v>
      </c>
      <c r="N454" s="936">
        <f>INDEX(input!$CZ$3:$DE$261,MATCH(H454,input!$E$3:$E$261,0),6)</f>
        <v>202046357.79168516</v>
      </c>
      <c r="X454" s="73"/>
      <c r="Z454" s="73"/>
      <c r="AC454" s="73"/>
    </row>
    <row r="455" spans="1:29" ht="15" customHeight="1">
      <c r="A455" s="942" t="s">
        <v>2118</v>
      </c>
      <c r="B455" s="932">
        <f>INDEX(input!$CR$3:$CW$261,MATCH(A455,input!$E$3:$E$261,0),1)</f>
        <v>145402.96508570784</v>
      </c>
      <c r="C455" s="933">
        <f>INDEX(input!$CR$3:$CW$261,MATCH(A455,input!$E$3:$E$261,0),2)</f>
        <v>189124645922.75742</v>
      </c>
      <c r="D455" s="934">
        <f>INDEX(input!$CR$3:$CW$261,MATCH(A455,input!$E$3:$E$261,0),3)</f>
        <v>1671.9586706427854</v>
      </c>
      <c r="E455" s="934">
        <f>INDEX(input!$CR$3:$CW$261,MATCH(A455,input!$E$3:$E$261,0),4)</f>
        <v>1178.0413293572146</v>
      </c>
      <c r="F455" s="935">
        <f>INDEX(input!$CR$3:$CW$261,MATCH(A455,input!$E$3:$E$261,0),5)</f>
        <v>113115622.55904828</v>
      </c>
      <c r="G455" s="936">
        <f>INDEX(input!$CR$3:$CW$261,MATCH(A455,input!$E$3:$E$261,0),6)</f>
        <v>160541605.12853247</v>
      </c>
      <c r="H455" s="942" t="s">
        <v>2118</v>
      </c>
      <c r="I455" s="932">
        <f>INDEX(input!$CZ$3:$DE$261,MATCH(H455,input!$E$3:$E$261,0),1)</f>
        <v>145402.96508570784</v>
      </c>
      <c r="J455" s="933">
        <f>INDEX(input!$CZ$3:$DE$261,MATCH(H455,input!$E$3:$E$261,0),2)</f>
        <v>189124645922.75742</v>
      </c>
      <c r="K455" s="934">
        <f>INDEX(input!$CZ$3:$DE$261,MATCH(H455,input!$E$3:$E$261,0),3)</f>
        <v>1671.9586706427854</v>
      </c>
      <c r="L455" s="934">
        <f>INDEX(input!$CZ$3:$DE$261,MATCH(H455,input!$E$3:$E$261,0),4)</f>
        <v>1178.0413293572146</v>
      </c>
      <c r="M455" s="935">
        <f>INDEX(input!$CZ$3:$DE$261,MATCH(H455,input!$E$3:$E$261,0),5)</f>
        <v>113115622.55904828</v>
      </c>
      <c r="N455" s="936">
        <f>INDEX(input!$CZ$3:$DE$261,MATCH(H455,input!$E$3:$E$261,0),6)</f>
        <v>160541605.12853247</v>
      </c>
      <c r="X455" s="73"/>
      <c r="Z455" s="73"/>
      <c r="AC455" s="73"/>
    </row>
    <row r="456" spans="1:29" ht="15" customHeight="1">
      <c r="A456" s="942" t="s">
        <v>2119</v>
      </c>
      <c r="B456" s="932">
        <f>INDEX(input!$CR$3:$CW$261,MATCH(A456,input!$E$3:$E$261,0),1)</f>
        <v>129762.96508570782</v>
      </c>
      <c r="C456" s="933">
        <f>INDEX(input!$CR$3:$CW$261,MATCH(A456,input!$E$3:$E$261,0),2)</f>
        <v>161520594572.24292</v>
      </c>
      <c r="D456" s="934">
        <f>INDEX(input!$CR$3:$CW$261,MATCH(A456,input!$E$3:$E$261,0),3)</f>
        <v>1614.0322950661719</v>
      </c>
      <c r="E456" s="934">
        <f>INDEX(input!$CR$3:$CW$261,MATCH(A456,input!$E$3:$E$261,0),4)</f>
        <v>1225.9677049338281</v>
      </c>
      <c r="F456" s="935">
        <f>INDEX(input!$CR$3:$CW$261,MATCH(A456,input!$E$3:$E$261,0),5)</f>
        <v>100072715.43821304</v>
      </c>
      <c r="G456" s="936">
        <f>INDEX(input!$CR$3:$CW$261,MATCH(A456,input!$E$3:$E$261,0),6)</f>
        <v>131749469.3556883</v>
      </c>
      <c r="H456" s="942" t="s">
        <v>2119</v>
      </c>
      <c r="I456" s="932">
        <f>INDEX(input!$CZ$3:$DE$261,MATCH(H456,input!$E$3:$E$261,0),1)</f>
        <v>129762.96508570782</v>
      </c>
      <c r="J456" s="933">
        <f>INDEX(input!$CZ$3:$DE$261,MATCH(H456,input!$E$3:$E$261,0),2)</f>
        <v>161520594572.24292</v>
      </c>
      <c r="K456" s="934">
        <f>INDEX(input!$CZ$3:$DE$261,MATCH(H456,input!$E$3:$E$261,0),3)</f>
        <v>1614.0322950661719</v>
      </c>
      <c r="L456" s="934">
        <f>INDEX(input!$CZ$3:$DE$261,MATCH(H456,input!$E$3:$E$261,0),4)</f>
        <v>1225.9677049338281</v>
      </c>
      <c r="M456" s="935">
        <f>INDEX(input!$CZ$3:$DE$261,MATCH(H456,input!$E$3:$E$261,0),5)</f>
        <v>100072715.43821304</v>
      </c>
      <c r="N456" s="936">
        <f>INDEX(input!$CZ$3:$DE$261,MATCH(H456,input!$E$3:$E$261,0),6)</f>
        <v>131749469.3556883</v>
      </c>
      <c r="X456" s="73"/>
      <c r="Z456" s="73"/>
      <c r="AC456" s="73"/>
    </row>
    <row r="457" spans="1:29" ht="15" customHeight="1">
      <c r="A457" s="942" t="s">
        <v>2120</v>
      </c>
      <c r="B457" s="932">
        <f>INDEX(input!$CR$3:$CW$261,MATCH(A457,input!$E$3:$E$261,0),1)</f>
        <v>114242.96508570782</v>
      </c>
      <c r="C457" s="933">
        <f>INDEX(input!$CR$3:$CW$261,MATCH(A457,input!$E$3:$E$261,0),2)</f>
        <v>135197688550.53313</v>
      </c>
      <c r="D457" s="934">
        <f>INDEX(input!$CR$3:$CW$261,MATCH(A457,input!$E$3:$E$261,0),3)</f>
        <v>1448.02698553709</v>
      </c>
      <c r="E457" s="934">
        <f>INDEX(input!$CR$3:$CW$261,MATCH(A457,input!$E$3:$E$261,0),4)</f>
        <v>1383.97301446291</v>
      </c>
      <c r="F457" s="935">
        <f>INDEX(input!$CR$3:$CW$261,MATCH(A457,input!$E$3:$E$261,0),5)</f>
        <v>93366829.417468861</v>
      </c>
      <c r="G457" s="936">
        <f>INDEX(input!$CR$3:$CW$261,MATCH(A457,input!$E$3:$E$261,0),6)</f>
        <v>97688095.893257305</v>
      </c>
      <c r="H457" s="942" t="s">
        <v>2120</v>
      </c>
      <c r="I457" s="932">
        <f>INDEX(input!$CZ$3:$DE$261,MATCH(H457,input!$E$3:$E$261,0),1)</f>
        <v>114242.96508570782</v>
      </c>
      <c r="J457" s="933">
        <f>INDEX(input!$CZ$3:$DE$261,MATCH(H457,input!$E$3:$E$261,0),2)</f>
        <v>135197688550.53313</v>
      </c>
      <c r="K457" s="934">
        <f>INDEX(input!$CZ$3:$DE$261,MATCH(H457,input!$E$3:$E$261,0),3)</f>
        <v>1448.02698553709</v>
      </c>
      <c r="L457" s="934">
        <f>INDEX(input!$CZ$3:$DE$261,MATCH(H457,input!$E$3:$E$261,0),4)</f>
        <v>1383.97301446291</v>
      </c>
      <c r="M457" s="935">
        <f>INDEX(input!$CZ$3:$DE$261,MATCH(H457,input!$E$3:$E$261,0),5)</f>
        <v>93366829.417468861</v>
      </c>
      <c r="N457" s="936">
        <f>INDEX(input!$CZ$3:$DE$261,MATCH(H457,input!$E$3:$E$261,0),6)</f>
        <v>97688095.893257305</v>
      </c>
      <c r="X457" s="73"/>
      <c r="Z457" s="73"/>
      <c r="AC457" s="73"/>
    </row>
    <row r="458" spans="1:29" ht="15" customHeight="1">
      <c r="A458" s="942" t="s">
        <v>2121</v>
      </c>
      <c r="B458" s="932">
        <f>INDEX(input!$CR$3:$CW$261,MATCH(A458,input!$E$3:$E$261,0),1)</f>
        <v>114242.96508570782</v>
      </c>
      <c r="C458" s="933">
        <f>INDEX(input!$CR$3:$CW$261,MATCH(A458,input!$E$3:$E$261,0),2)</f>
        <v>135197688550.53313</v>
      </c>
      <c r="D458" s="934">
        <f>INDEX(input!$CR$3:$CW$261,MATCH(A458,input!$E$3:$E$261,0),3)</f>
        <v>1448.02698553709</v>
      </c>
      <c r="E458" s="934">
        <f>INDEX(input!$CR$3:$CW$261,MATCH(A458,input!$E$3:$E$261,0),4)</f>
        <v>1383.97301446291</v>
      </c>
      <c r="F458" s="935">
        <f>INDEX(input!$CR$3:$CW$261,MATCH(A458,input!$E$3:$E$261,0),5)</f>
        <v>93366829.417468861</v>
      </c>
      <c r="G458" s="936">
        <f>INDEX(input!$CR$3:$CW$261,MATCH(A458,input!$E$3:$E$261,0),6)</f>
        <v>97688095.893257305</v>
      </c>
      <c r="H458" s="942" t="s">
        <v>2121</v>
      </c>
      <c r="I458" s="932">
        <f>INDEX(input!$CZ$3:$DE$261,MATCH(H458,input!$E$3:$E$261,0),1)</f>
        <v>114242.96508570782</v>
      </c>
      <c r="J458" s="933">
        <f>INDEX(input!$CZ$3:$DE$261,MATCH(H458,input!$E$3:$E$261,0),2)</f>
        <v>135197688550.53313</v>
      </c>
      <c r="K458" s="934">
        <f>INDEX(input!$CZ$3:$DE$261,MATCH(H458,input!$E$3:$E$261,0),3)</f>
        <v>1448.02698553709</v>
      </c>
      <c r="L458" s="934">
        <f>INDEX(input!$CZ$3:$DE$261,MATCH(H458,input!$E$3:$E$261,0),4)</f>
        <v>1383.97301446291</v>
      </c>
      <c r="M458" s="935">
        <f>INDEX(input!$CZ$3:$DE$261,MATCH(H458,input!$E$3:$E$261,0),5)</f>
        <v>93366829.417468861</v>
      </c>
      <c r="N458" s="936">
        <f>INDEX(input!$CZ$3:$DE$261,MATCH(H458,input!$E$3:$E$261,0),6)</f>
        <v>97688095.893257305</v>
      </c>
      <c r="X458" s="73"/>
      <c r="Z458" s="73"/>
      <c r="AC458" s="73"/>
    </row>
    <row r="459" spans="1:29" ht="15" customHeight="1">
      <c r="A459" s="943" t="s">
        <v>2122</v>
      </c>
      <c r="B459" s="937">
        <f>INDEX(input!$CR$3:$CW$261,MATCH(A459,input!$E$3:$E$261,0),1)</f>
        <v>109405.61043672869</v>
      </c>
      <c r="C459" s="938">
        <f>INDEX(input!$CR$3:$CW$261,MATCH(A459,input!$E$3:$E$261,0),2)</f>
        <v>113840993993.57278</v>
      </c>
      <c r="D459" s="939">
        <f>INDEX(input!$CR$3:$CW$261,MATCH(A459,input!$E$3:$E$261,0),3)</f>
        <v>1346.8744099058233</v>
      </c>
      <c r="E459" s="939">
        <f>INDEX(input!$CR$3:$CW$261,MATCH(A459,input!$E$3:$E$261,0),4)</f>
        <v>1285.1255900941767</v>
      </c>
      <c r="F459" s="940">
        <f>INDEX(input!$CR$3:$CW$261,MATCH(A459,input!$E$3:$E$261,0),5)</f>
        <v>84522352.757101402</v>
      </c>
      <c r="G459" s="941">
        <f>INDEX(input!$CR$3:$CW$261,MATCH(A459,input!$E$3:$E$261,0),6)</f>
        <v>88583555.468092635</v>
      </c>
      <c r="H459" s="943" t="s">
        <v>2122</v>
      </c>
      <c r="I459" s="937">
        <f>INDEX(input!$CZ$3:$DE$261,MATCH(H459,input!$E$3:$E$261,0),1)</f>
        <v>109405.61043672869</v>
      </c>
      <c r="J459" s="938">
        <f>INDEX(input!$CZ$3:$DE$261,MATCH(H459,input!$E$3:$E$261,0),2)</f>
        <v>113840993993.57278</v>
      </c>
      <c r="K459" s="939">
        <f>INDEX(input!$CZ$3:$DE$261,MATCH(H459,input!$E$3:$E$261,0),3)</f>
        <v>1346.8744099058233</v>
      </c>
      <c r="L459" s="939">
        <f>INDEX(input!$CZ$3:$DE$261,MATCH(H459,input!$E$3:$E$261,0),4)</f>
        <v>1285.1255900941767</v>
      </c>
      <c r="M459" s="940">
        <f>INDEX(input!$CZ$3:$DE$261,MATCH(H459,input!$E$3:$E$261,0),5)</f>
        <v>84522352.757101402</v>
      </c>
      <c r="N459" s="941">
        <f>INDEX(input!$CZ$3:$DE$261,MATCH(H459,input!$E$3:$E$261,0),6)</f>
        <v>88583555.468092635</v>
      </c>
      <c r="X459" s="73"/>
      <c r="Z459" s="73"/>
      <c r="AC459" s="73"/>
    </row>
    <row r="460" spans="1:29" ht="15" customHeight="1">
      <c r="C460" s="416"/>
      <c r="D460" s="494"/>
      <c r="E460" s="806"/>
      <c r="F460" s="332"/>
      <c r="G460" s="332"/>
      <c r="H460" s="497"/>
      <c r="I460" s="497"/>
      <c r="J460" s="417"/>
      <c r="L460" s="417"/>
      <c r="X460" s="73"/>
      <c r="Z460" s="73"/>
      <c r="AC460" s="73"/>
    </row>
    <row r="461" spans="1:29" ht="15" customHeight="1">
      <c r="A461" s="97" t="s">
        <v>1144</v>
      </c>
      <c r="B461" s="495"/>
      <c r="C461" s="805"/>
      <c r="F461" s="498"/>
      <c r="G461" s="498"/>
      <c r="H461" s="97" t="s">
        <v>1145</v>
      </c>
      <c r="I461" s="495"/>
      <c r="J461" s="805"/>
      <c r="L461" s="143"/>
      <c r="M461" s="498"/>
      <c r="N461" s="498"/>
      <c r="X461" s="73"/>
      <c r="Z461" s="73"/>
      <c r="AC461" s="73"/>
    </row>
    <row r="462" spans="1:29" ht="15" customHeight="1">
      <c r="A462" s="801" t="s">
        <v>309</v>
      </c>
      <c r="B462" s="496" t="s">
        <v>1551</v>
      </c>
      <c r="C462" s="804" t="s">
        <v>2308</v>
      </c>
      <c r="D462" s="485" t="s">
        <v>1552</v>
      </c>
      <c r="E462" s="485" t="s">
        <v>1553</v>
      </c>
      <c r="F462" s="499" t="s">
        <v>1554</v>
      </c>
      <c r="G462" s="500" t="s">
        <v>1555</v>
      </c>
      <c r="H462" s="801" t="s">
        <v>309</v>
      </c>
      <c r="I462" s="496" t="s">
        <v>1556</v>
      </c>
      <c r="J462" s="804" t="s">
        <v>2309</v>
      </c>
      <c r="K462" s="485" t="s">
        <v>1557</v>
      </c>
      <c r="L462" s="485" t="s">
        <v>1558</v>
      </c>
      <c r="M462" s="499" t="s">
        <v>1559</v>
      </c>
      <c r="N462" s="500" t="s">
        <v>1560</v>
      </c>
      <c r="X462" s="73"/>
      <c r="Z462" s="73"/>
      <c r="AC462" s="73"/>
    </row>
    <row r="463" spans="1:29" ht="15" customHeight="1">
      <c r="A463" s="942" t="s">
        <v>2084</v>
      </c>
      <c r="B463" s="932">
        <f>INDEX(input!$DH$3:$DM$261,MATCH(A463,input!$E$3:$E$261,0),1)</f>
        <v>358943.55436390673</v>
      </c>
      <c r="C463" s="933">
        <f>INDEX(input!$DH$3:$DM$261,MATCH(A463,input!$E$3:$E$261,0),2)</f>
        <v>299460829947.74213</v>
      </c>
      <c r="D463" s="934">
        <f>INDEX(input!$DH$3:$DM$261,MATCH(A463,input!$E$3:$E$261,0),3)</f>
        <v>354.80712314225229</v>
      </c>
      <c r="E463" s="934">
        <f>INDEX(input!$DH$3:$DM$261,MATCH(A463,input!$E$3:$E$261,0),4)</f>
        <v>2279.1928768577477</v>
      </c>
      <c r="F463" s="935">
        <f>INDEX(input!$DH$3:$DM$261,MATCH(A463,input!$E$3:$E$261,0),5)</f>
        <v>844010197.13372481</v>
      </c>
      <c r="G463" s="936">
        <f>INDEX(input!$DH$3:$DM$261,MATCH(A463,input!$E$3:$E$261,0),6)</f>
        <v>131388981.15573239</v>
      </c>
      <c r="H463" s="942" t="s">
        <v>2084</v>
      </c>
      <c r="I463" s="932">
        <f>INDEX(input!$DP$3:$DU$261,MATCH(H463,input!$E$3:$E$261,0),1)</f>
        <v>195171.59174578806</v>
      </c>
      <c r="J463" s="933">
        <f>INDEX(input!$DP$3:$DU$261,MATCH(H463,input!$E$3:$E$261,0),2)</f>
        <v>229550135469.24408</v>
      </c>
      <c r="K463" s="934">
        <f>INDEX(input!$DP$3:$DU$261,MATCH(H463,input!$E$3:$E$261,0),3)</f>
        <v>755.74359965491362</v>
      </c>
      <c r="L463" s="934">
        <f>INDEX(input!$DP$3:$DU$261,MATCH(H463,input!$E$3:$E$261,0),4)</f>
        <v>1878.2564003450864</v>
      </c>
      <c r="M463" s="935">
        <f>INDEX(input!$DP$3:$DU$261,MATCH(H463,input!$E$3:$E$261,0),5)</f>
        <v>303740760.19176459</v>
      </c>
      <c r="N463" s="936">
        <f>INDEX(input!$DP$3:$DU$261,MATCH(H463,input!$E$3:$E$261,0),6)</f>
        <v>122214483.29795097</v>
      </c>
      <c r="X463" s="73"/>
      <c r="Z463" s="73"/>
      <c r="AC463" s="73"/>
    </row>
    <row r="464" spans="1:29" ht="15" customHeight="1">
      <c r="A464" s="942" t="s">
        <v>2086</v>
      </c>
      <c r="B464" s="932">
        <f>INDEX(input!$DH$3:$DM$261,MATCH(A464,input!$E$3:$E$261,0),1)</f>
        <v>385674.65161772241</v>
      </c>
      <c r="C464" s="933">
        <f>INDEX(input!$DH$3:$DM$261,MATCH(A464,input!$E$3:$E$261,0),2)</f>
        <v>422054115505.74689</v>
      </c>
      <c r="D464" s="934">
        <f>INDEX(input!$DH$3:$DM$261,MATCH(A464,input!$E$3:$E$261,0),3)</f>
        <v>471.90520652049327</v>
      </c>
      <c r="E464" s="934">
        <f>INDEX(input!$DH$3:$DM$261,MATCH(A464,input!$E$3:$E$261,0),4)</f>
        <v>2376.0947934795067</v>
      </c>
      <c r="F464" s="935">
        <f>INDEX(input!$DH$3:$DM$261,MATCH(A464,input!$E$3:$E$261,0),5)</f>
        <v>894362066.09731162</v>
      </c>
      <c r="G464" s="936">
        <f>INDEX(input!$DH$3:$DM$261,MATCH(A464,input!$E$3:$E$261,0),6)</f>
        <v>177625116.92039824</v>
      </c>
      <c r="H464" s="942" t="s">
        <v>2086</v>
      </c>
      <c r="I464" s="932">
        <f>INDEX(input!$DP$3:$DU$261,MATCH(H464,input!$E$3:$E$261,0),1)</f>
        <v>220400.1939297127</v>
      </c>
      <c r="J464" s="933">
        <f>INDEX(input!$DP$3:$DU$261,MATCH(H464,input!$E$3:$E$261,0),2)</f>
        <v>321274841805.49976</v>
      </c>
      <c r="K464" s="934">
        <f>INDEX(input!$DP$3:$DU$261,MATCH(H464,input!$E$3:$E$261,0),3)</f>
        <v>912.01570729835566</v>
      </c>
      <c r="L464" s="934">
        <f>INDEX(input!$DP$3:$DU$261,MATCH(H464,input!$E$3:$E$261,0),4)</f>
        <v>1935.9842927016443</v>
      </c>
      <c r="M464" s="935">
        <f>INDEX(input!$DP$3:$DU$261,MATCH(H464,input!$E$3:$E$261,0),5)</f>
        <v>352268978.7407338</v>
      </c>
      <c r="N464" s="936">
        <f>INDEX(input!$DP$3:$DU$261,MATCH(H464,input!$E$3:$E$261,0),6)</f>
        <v>165949095.25694773</v>
      </c>
      <c r="X464" s="73"/>
      <c r="Z464" s="73"/>
      <c r="AC464" s="73"/>
    </row>
    <row r="465" spans="1:29" ht="15" customHeight="1">
      <c r="A465" s="942" t="s">
        <v>2087</v>
      </c>
      <c r="B465" s="932">
        <f>INDEX(input!$DH$3:$DM$261,MATCH(A465,input!$E$3:$E$261,0),1)</f>
        <v>424714.65161772241</v>
      </c>
      <c r="C465" s="933">
        <f>INDEX(input!$DH$3:$DM$261,MATCH(A465,input!$E$3:$E$261,0),2)</f>
        <v>588693664353.30603</v>
      </c>
      <c r="D465" s="934">
        <f>INDEX(input!$DH$3:$DM$261,MATCH(A465,input!$E$3:$E$261,0),3)</f>
        <v>645.18102281284291</v>
      </c>
      <c r="E465" s="934">
        <f>INDEX(input!$DH$3:$DM$261,MATCH(A465,input!$E$3:$E$261,0),4)</f>
        <v>2226.8189771871571</v>
      </c>
      <c r="F465" s="935">
        <f>INDEX(input!$DH$3:$DM$261,MATCH(A465,input!$E$3:$E$261,0),5)</f>
        <v>912447272.2194078</v>
      </c>
      <c r="G465" s="936">
        <f>INDEX(input!$DH$3:$DM$261,MATCH(A465,input!$E$3:$E$261,0),6)</f>
        <v>264365298.83400047</v>
      </c>
      <c r="H465" s="942" t="s">
        <v>2087</v>
      </c>
      <c r="I465" s="932">
        <f>INDEX(input!$DP$3:$DU$261,MATCH(H465,input!$E$3:$E$261,0),1)</f>
        <v>259440.1939297127</v>
      </c>
      <c r="J465" s="933">
        <f>INDEX(input!$DP$3:$DU$261,MATCH(H465,input!$E$3:$E$261,0),2)</f>
        <v>434458180516.33417</v>
      </c>
      <c r="K465" s="934">
        <f>INDEX(input!$DP$3:$DU$261,MATCH(H465,input!$E$3:$E$261,0),3)</f>
        <v>1124.3523830619979</v>
      </c>
      <c r="L465" s="934">
        <f>INDEX(input!$DP$3:$DU$261,MATCH(H465,input!$E$3:$E$261,0),4)</f>
        <v>1747.6476169380021</v>
      </c>
      <c r="M465" s="935">
        <f>INDEX(input!$DP$3:$DU$261,MATCH(H465,input!$E$3:$E$261,0),5)</f>
        <v>386407488.48964524</v>
      </c>
      <c r="N465" s="936">
        <f>INDEX(input!$DP$3:$DU$261,MATCH(H465,input!$E$3:$E$261,0),6)</f>
        <v>248595984.8573676</v>
      </c>
      <c r="X465" s="73"/>
      <c r="Z465" s="73"/>
      <c r="AC465" s="73"/>
    </row>
    <row r="466" spans="1:29" ht="15" customHeight="1">
      <c r="A466" s="942" t="s">
        <v>2088</v>
      </c>
      <c r="B466" s="932">
        <f>INDEX(input!$DH$3:$DM$261,MATCH(A466,input!$E$3:$E$261,0),1)</f>
        <v>446354.65161772241</v>
      </c>
      <c r="C466" s="933">
        <f>INDEX(input!$DH$3:$DM$261,MATCH(A466,input!$E$3:$E$261,0),2)</f>
        <v>649687231067.52405</v>
      </c>
      <c r="D466" s="934">
        <f>INDEX(input!$DH$3:$DM$261,MATCH(A466,input!$E$3:$E$261,0),3)</f>
        <v>691.19374362829694</v>
      </c>
      <c r="E466" s="934">
        <f>INDEX(input!$DH$3:$DM$261,MATCH(A466,input!$E$3:$E$261,0),4)</f>
        <v>2188.8062563717031</v>
      </c>
      <c r="F466" s="935">
        <f>INDEX(input!$DH$3:$DM$261,MATCH(A466,input!$E$3:$E$261,0),5)</f>
        <v>939949525.08844781</v>
      </c>
      <c r="G466" s="936">
        <f>INDEX(input!$DH$3:$DM$261,MATCH(A466,input!$E$3:$E$261,0),6)</f>
        <v>296822630.6811114</v>
      </c>
      <c r="H466" s="942" t="s">
        <v>2088</v>
      </c>
      <c r="I466" s="932">
        <f>INDEX(input!$DP$3:$DU$261,MATCH(H466,input!$E$3:$E$261,0),1)</f>
        <v>281080.1939297127</v>
      </c>
      <c r="J466" s="933">
        <f>INDEX(input!$DP$3:$DU$261,MATCH(H466,input!$E$3:$E$261,0),2)</f>
        <v>482152011680.10175</v>
      </c>
      <c r="K466" s="934">
        <f>INDEX(input!$DP$3:$DU$261,MATCH(H466,input!$E$3:$E$261,0),3)</f>
        <v>1159.3536924066825</v>
      </c>
      <c r="L466" s="934">
        <f>INDEX(input!$DP$3:$DU$261,MATCH(H466,input!$E$3:$E$261,0),4)</f>
        <v>1720.6463075933175</v>
      </c>
      <c r="M466" s="935">
        <f>INDEX(input!$DP$3:$DU$261,MATCH(H466,input!$E$3:$E$261,0),5)</f>
        <v>415879998.34563911</v>
      </c>
      <c r="N466" s="936">
        <f>INDEX(input!$DP$3:$DU$261,MATCH(H466,input!$E$3:$E$261,0),6)</f>
        <v>280215643.12917501</v>
      </c>
      <c r="X466" s="73"/>
      <c r="Z466" s="73"/>
      <c r="AC466" s="73"/>
    </row>
    <row r="467" spans="1:29" ht="15" customHeight="1">
      <c r="A467" s="942" t="s">
        <v>2089</v>
      </c>
      <c r="B467" s="932">
        <f>INDEX(input!$DH$3:$DM$261,MATCH(A467,input!$E$3:$E$261,0),1)</f>
        <v>418834.65161772241</v>
      </c>
      <c r="C467" s="933">
        <f>INDEX(input!$DH$3:$DM$261,MATCH(A467,input!$E$3:$E$261,0),2)</f>
        <v>568512249725.37402</v>
      </c>
      <c r="D467" s="934">
        <f>INDEX(input!$DH$3:$DM$261,MATCH(A467,input!$E$3:$E$261,0),3)</f>
        <v>625.63754698657112</v>
      </c>
      <c r="E467" s="934">
        <f>INDEX(input!$DH$3:$DM$261,MATCH(A467,input!$E$3:$E$261,0),4)</f>
        <v>2242.3624530134289</v>
      </c>
      <c r="F467" s="935">
        <f>INDEX(input!$DH$3:$DM$261,MATCH(A467,input!$E$3:$E$261,0),5)</f>
        <v>908692664.72841144</v>
      </c>
      <c r="G467" s="936">
        <f>INDEX(input!$DH$3:$DM$261,MATCH(A467,input!$E$3:$E$261,0),6)</f>
        <v>253532719.01309764</v>
      </c>
      <c r="H467" s="942" t="s">
        <v>2089</v>
      </c>
      <c r="I467" s="932">
        <f>INDEX(input!$DP$3:$DU$261,MATCH(H467,input!$E$3:$E$261,0),1)</f>
        <v>253560.1939297127</v>
      </c>
      <c r="J467" s="933">
        <f>INDEX(input!$DP$3:$DU$261,MATCH(H467,input!$E$3:$E$261,0),2)</f>
        <v>420016377790.86359</v>
      </c>
      <c r="K467" s="934">
        <f>INDEX(input!$DP$3:$DU$261,MATCH(H467,input!$E$3:$E$261,0),3)</f>
        <v>1104.4856670077768</v>
      </c>
      <c r="L467" s="934">
        <f>INDEX(input!$DP$3:$DU$261,MATCH(H467,input!$E$3:$E$261,0),4)</f>
        <v>1763.5143329922232</v>
      </c>
      <c r="M467" s="935">
        <f>INDEX(input!$DP$3:$DU$261,MATCH(H467,input!$E$3:$E$261,0),5)</f>
        <v>380282325.37299752</v>
      </c>
      <c r="N467" s="936">
        <f>INDEX(input!$DP$3:$DU$261,MATCH(H467,input!$E$3:$E$261,0),6)</f>
        <v>238170095.88927212</v>
      </c>
      <c r="X467" s="73"/>
      <c r="Z467" s="73"/>
      <c r="AC467" s="73"/>
    </row>
    <row r="468" spans="1:29" ht="15" customHeight="1">
      <c r="A468" s="942" t="s">
        <v>2090</v>
      </c>
      <c r="B468" s="932">
        <f>INDEX(input!$DH$3:$DM$261,MATCH(A468,input!$E$3:$E$261,0),1)</f>
        <v>412834.65161772241</v>
      </c>
      <c r="C468" s="933">
        <f>INDEX(input!$DH$3:$DM$261,MATCH(A468,input!$E$3:$E$261,0),2)</f>
        <v>566152360388.05957</v>
      </c>
      <c r="D468" s="934">
        <f>INDEX(input!$DH$3:$DM$261,MATCH(A468,input!$E$3:$E$261,0),3)</f>
        <v>628.6867517160681</v>
      </c>
      <c r="E468" s="934">
        <f>INDEX(input!$DH$3:$DM$261,MATCH(A468,input!$E$3:$E$261,0),4)</f>
        <v>2233.3132482839319</v>
      </c>
      <c r="F468" s="935">
        <f>INDEX(input!$DH$3:$DM$261,MATCH(A468,input!$E$3:$E$261,0),5)</f>
        <v>900531717.65221047</v>
      </c>
      <c r="G468" s="936">
        <f>INDEX(input!$DH$3:$DM$261,MATCH(A468,input!$E$3:$E$261,0),6)</f>
        <v>253503336.72317958</v>
      </c>
      <c r="H468" s="942" t="s">
        <v>2090</v>
      </c>
      <c r="I468" s="932">
        <f>INDEX(input!$DP$3:$DU$261,MATCH(H468,input!$E$3:$E$261,0),1)</f>
        <v>247560.1939297127</v>
      </c>
      <c r="J468" s="933">
        <f>INDEX(input!$DP$3:$DU$261,MATCH(H468,input!$E$3:$E$261,0),2)</f>
        <v>412560302918.47009</v>
      </c>
      <c r="K468" s="934">
        <f>INDEX(input!$DP$3:$DU$261,MATCH(H468,input!$E$3:$E$261,0),3)</f>
        <v>1125.1818571227475</v>
      </c>
      <c r="L468" s="934">
        <f>INDEX(input!$DP$3:$DU$261,MATCH(H468,input!$E$3:$E$261,0),4)</f>
        <v>1736.8181428772525</v>
      </c>
      <c r="M468" s="935">
        <f>INDEX(input!$DP$3:$DU$261,MATCH(H468,input!$E$3:$E$261,0),5)</f>
        <v>366660998.2260524</v>
      </c>
      <c r="N468" s="936">
        <f>INDEX(input!$DP$3:$DU$261,MATCH(H468,input!$E$3:$E$261,0),6)</f>
        <v>237537997.06111619</v>
      </c>
      <c r="X468" s="73"/>
      <c r="Z468" s="73"/>
      <c r="AC468" s="73"/>
    </row>
    <row r="469" spans="1:29" ht="15" customHeight="1">
      <c r="A469" s="942" t="s">
        <v>2091</v>
      </c>
      <c r="B469" s="932">
        <f>INDEX(input!$DH$3:$DM$261,MATCH(A469,input!$E$3:$E$261,0),1)</f>
        <v>377674.65161772241</v>
      </c>
      <c r="C469" s="933">
        <f>INDEX(input!$DH$3:$DM$261,MATCH(A469,input!$E$3:$E$261,0),2)</f>
        <v>420265490240.5509</v>
      </c>
      <c r="D469" s="934">
        <f>INDEX(input!$DH$3:$DM$261,MATCH(A469,input!$E$3:$E$261,0),3)</f>
        <v>473.81649295745774</v>
      </c>
      <c r="E469" s="934">
        <f>INDEX(input!$DH$3:$DM$261,MATCH(A469,input!$E$3:$E$261,0),4)</f>
        <v>2366.1835070425423</v>
      </c>
      <c r="F469" s="935">
        <f>INDEX(input!$DH$3:$DM$261,MATCH(A469,input!$E$3:$E$261,0),5)</f>
        <v>886979445.60212898</v>
      </c>
      <c r="G469" s="936">
        <f>INDEX(input!$DH$3:$DM$261,MATCH(A469,input!$E$3:$E$261,0),6)</f>
        <v>177613227.7947599</v>
      </c>
      <c r="H469" s="942" t="s">
        <v>2091</v>
      </c>
      <c r="I469" s="932">
        <f>INDEX(input!$DP$3:$DU$261,MATCH(H469,input!$E$3:$E$261,0),1)</f>
        <v>212400.1939297127</v>
      </c>
      <c r="J469" s="933">
        <f>INDEX(input!$DP$3:$DU$261,MATCH(H469,input!$E$3:$E$261,0),2)</f>
        <v>314430424509.01593</v>
      </c>
      <c r="K469" s="934">
        <f>INDEX(input!$DP$3:$DU$261,MATCH(H469,input!$E$3:$E$261,0),3)</f>
        <v>938.2158910363737</v>
      </c>
      <c r="L469" s="934">
        <f>INDEX(input!$DP$3:$DU$261,MATCH(H469,input!$E$3:$E$261,0),4)</f>
        <v>1901.7841089636263</v>
      </c>
      <c r="M469" s="935">
        <f>INDEX(input!$DP$3:$DU$261,MATCH(H469,input!$E$3:$E$261,0),5)</f>
        <v>335136536.81743681</v>
      </c>
      <c r="N469" s="936">
        <f>INDEX(input!$DP$3:$DU$261,MATCH(H469,input!$E$3:$E$261,0),6)</f>
        <v>165334447.28401071</v>
      </c>
      <c r="X469" s="73"/>
      <c r="Z469" s="73"/>
      <c r="AC469" s="73"/>
    </row>
    <row r="470" spans="1:29" ht="15" customHeight="1">
      <c r="A470" s="942" t="s">
        <v>2092</v>
      </c>
      <c r="B470" s="932">
        <f>INDEX(input!$DH$3:$DM$261,MATCH(A470,input!$E$3:$E$261,0),1)</f>
        <v>398780.52249514393</v>
      </c>
      <c r="C470" s="933">
        <f>INDEX(input!$DH$3:$DM$261,MATCH(A470,input!$E$3:$E$261,0),2)</f>
        <v>490995741742.52405</v>
      </c>
      <c r="D470" s="934">
        <f>INDEX(input!$DH$3:$DM$261,MATCH(A470,input!$E$3:$E$261,0),3)</f>
        <v>539.52049084963664</v>
      </c>
      <c r="E470" s="934">
        <f>INDEX(input!$DH$3:$DM$261,MATCH(A470,input!$E$3:$E$261,0),4)</f>
        <v>2324.4795091503634</v>
      </c>
      <c r="F470" s="935">
        <f>INDEX(input!$DH$3:$DM$261,MATCH(A470,input!$E$3:$E$261,0),5)</f>
        <v>910059488.13789105</v>
      </c>
      <c r="G470" s="936">
        <f>INDEX(input!$DH$3:$DM$261,MATCH(A470,input!$E$3:$E$261,0),6)</f>
        <v>211228251.2320323</v>
      </c>
      <c r="H470" s="942" t="s">
        <v>2092</v>
      </c>
      <c r="I470" s="932">
        <f>INDEX(input!$DP$3:$DU$261,MATCH(H470,input!$E$3:$E$261,0),1)</f>
        <v>233506.06480713421</v>
      </c>
      <c r="J470" s="933">
        <f>INDEX(input!$DP$3:$DU$261,MATCH(H470,input!$E$3:$E$261,0),2)</f>
        <v>367437814540.55322</v>
      </c>
      <c r="K470" s="934">
        <f>INDEX(input!$DP$3:$DU$261,MATCH(H470,input!$E$3:$E$261,0),3)</f>
        <v>1005.6180934601296</v>
      </c>
      <c r="L470" s="934">
        <f>INDEX(input!$DP$3:$DU$261,MATCH(H470,input!$E$3:$E$261,0),4)</f>
        <v>1858.3819065398704</v>
      </c>
      <c r="M470" s="935">
        <f>INDEX(input!$DP$3:$DU$261,MATCH(H470,input!$E$3:$E$261,0),5)</f>
        <v>365385047.1964696</v>
      </c>
      <c r="N470" s="936">
        <f>INDEX(input!$DP$3:$DU$261,MATCH(H470,input!$E$3:$E$261,0),6)</f>
        <v>197719216.51168427</v>
      </c>
      <c r="X470" s="73"/>
      <c r="Z470" s="73"/>
      <c r="AC470" s="73"/>
    </row>
    <row r="471" spans="1:29" ht="15" customHeight="1">
      <c r="A471" s="942" t="s">
        <v>2093</v>
      </c>
      <c r="B471" s="932">
        <f>INDEX(input!$DH$3:$DM$261,MATCH(A471,input!$E$3:$E$261,0),1)</f>
        <v>434805.81150008948</v>
      </c>
      <c r="C471" s="933">
        <f>INDEX(input!$DH$3:$DM$261,MATCH(A471,input!$E$3:$E$261,0),2)</f>
        <v>581052792095.00635</v>
      </c>
      <c r="D471" s="934">
        <f>INDEX(input!$DH$3:$DM$261,MATCH(A471,input!$E$3:$E$261,0),3)</f>
        <v>583.40530568123404</v>
      </c>
      <c r="E471" s="934">
        <f>INDEX(input!$DH$3:$DM$261,MATCH(A471,input!$E$3:$E$261,0),4)</f>
        <v>2404.594694318766</v>
      </c>
      <c r="F471" s="935">
        <f>INDEX(input!$DH$3:$DM$261,MATCH(A471,input!$E$3:$E$261,0),5)</f>
        <v>995967617.0865798</v>
      </c>
      <c r="G471" s="936">
        <f>INDEX(input!$DH$3:$DM$261,MATCH(A471,input!$E$3:$E$261,0),6)</f>
        <v>241642715.70083523</v>
      </c>
      <c r="H471" s="942" t="s">
        <v>2093</v>
      </c>
      <c r="I471" s="932">
        <f>INDEX(input!$DP$3:$DU$261,MATCH(H471,input!$E$3:$E$261,0),1)</f>
        <v>269531.35381207976</v>
      </c>
      <c r="J471" s="933">
        <f>INDEX(input!$DP$3:$DU$261,MATCH(H471,input!$E$3:$E$261,0),2)</f>
        <v>452070446937.92261</v>
      </c>
      <c r="K471" s="934">
        <f>INDEX(input!$DP$3:$DU$261,MATCH(H471,input!$E$3:$E$261,0),3)</f>
        <v>1007.9826684935513</v>
      </c>
      <c r="L471" s="934">
        <f>INDEX(input!$DP$3:$DU$261,MATCH(H471,input!$E$3:$E$261,0),4)</f>
        <v>1980.0173315064487</v>
      </c>
      <c r="M471" s="935">
        <f>INDEX(input!$DP$3:$DU$261,MATCH(H471,input!$E$3:$E$261,0),5)</f>
        <v>448490297.56984836</v>
      </c>
      <c r="N471" s="936">
        <f>INDEX(input!$DP$3:$DU$261,MATCH(H471,input!$E$3:$E$261,0),6)</f>
        <v>228316409.02555922</v>
      </c>
      <c r="X471" s="73"/>
      <c r="Z471" s="73"/>
      <c r="AC471" s="73"/>
    </row>
    <row r="472" spans="1:29" ht="15" customHeight="1">
      <c r="A472" s="942" t="s">
        <v>2094</v>
      </c>
      <c r="B472" s="932">
        <f>INDEX(input!$DH$3:$DM$261,MATCH(A472,input!$E$3:$E$261,0),1)</f>
        <v>510258.52839302097</v>
      </c>
      <c r="C472" s="933">
        <f>INDEX(input!$DH$3:$DM$261,MATCH(A472,input!$E$3:$E$261,0),2)</f>
        <v>716165249859.62256</v>
      </c>
      <c r="D472" s="934">
        <f>INDEX(input!$DH$3:$DM$261,MATCH(A472,input!$E$3:$E$261,0),3)</f>
        <v>603.92230392606234</v>
      </c>
      <c r="E472" s="934">
        <f>INDEX(input!$DH$3:$DM$261,MATCH(A472,input!$E$3:$E$261,0),4)</f>
        <v>2569.0776960739377</v>
      </c>
      <c r="F472" s="935">
        <f>INDEX(input!$DH$3:$DM$261,MATCH(A472,input!$E$3:$E$261,0),5)</f>
        <v>1185856599.7709899</v>
      </c>
      <c r="G472" s="936">
        <f>INDEX(input!$DH$3:$DM$261,MATCH(A472,input!$E$3:$E$261,0),6)</f>
        <v>278763562.09625953</v>
      </c>
      <c r="H472" s="942" t="s">
        <v>2094</v>
      </c>
      <c r="I472" s="932">
        <f>INDEX(input!$DP$3:$DU$261,MATCH(H472,input!$E$3:$E$261,0),1)</f>
        <v>346486.56577490224</v>
      </c>
      <c r="J472" s="933">
        <f>INDEX(input!$DP$3:$DU$261,MATCH(H472,input!$E$3:$E$261,0),2)</f>
        <v>593806852134.37146</v>
      </c>
      <c r="K472" s="934">
        <f>INDEX(input!$DP$3:$DU$261,MATCH(H472,input!$E$3:$E$261,0),3)</f>
        <v>939.00483966037973</v>
      </c>
      <c r="L472" s="934">
        <f>INDEX(input!$DP$3:$DU$261,MATCH(H472,input!$E$3:$E$261,0),4)</f>
        <v>2233.9951603396203</v>
      </c>
      <c r="M472" s="935">
        <f>INDEX(input!$DP$3:$DU$261,MATCH(H472,input!$E$3:$E$261,0),5)</f>
        <v>632378904.82986236</v>
      </c>
      <c r="N472" s="936">
        <f>INDEX(input!$DP$3:$DU$261,MATCH(H472,input!$E$3:$E$261,0),6)</f>
        <v>265804896.39203101</v>
      </c>
      <c r="X472" s="73"/>
      <c r="Z472" s="73"/>
      <c r="AC472" s="73"/>
    </row>
    <row r="473" spans="1:29" ht="15" customHeight="1">
      <c r="A473" s="942" t="s">
        <v>2095</v>
      </c>
      <c r="B473" s="932">
        <f>INDEX(input!$DH$3:$DM$261,MATCH(A473,input!$E$3:$E$261,0),1)</f>
        <v>512275.23070812179</v>
      </c>
      <c r="C473" s="933">
        <f>INDEX(input!$DH$3:$DM$261,MATCH(A473,input!$E$3:$E$261,0),2)</f>
        <v>759917387621.1991</v>
      </c>
      <c r="D473" s="934">
        <f>INDEX(input!$DH$3:$DM$261,MATCH(A473,input!$E$3:$E$261,0),3)</f>
        <v>625.57907741392819</v>
      </c>
      <c r="E473" s="934">
        <f>INDEX(input!$DH$3:$DM$261,MATCH(A473,input!$E$3:$E$261,0),4)</f>
        <v>2644.4209225860718</v>
      </c>
      <c r="F473" s="935">
        <f>INDEX(input!$DH$3:$DM$261,MATCH(A473,input!$E$3:$E$261,0),5)</f>
        <v>1214742332.4363885</v>
      </c>
      <c r="G473" s="936">
        <f>INDEX(input!$DH$3:$DM$261,MATCH(A473,input!$E$3:$E$261,0),6)</f>
        <v>287366274.07941139</v>
      </c>
      <c r="H473" s="942" t="s">
        <v>2095</v>
      </c>
      <c r="I473" s="932">
        <f>INDEX(input!$DP$3:$DU$261,MATCH(H473,input!$E$3:$E$261,0),1)</f>
        <v>348503.26809000311</v>
      </c>
      <c r="J473" s="933">
        <f>INDEX(input!$DP$3:$DU$261,MATCH(H473,input!$E$3:$E$261,0),2)</f>
        <v>630279267595.50842</v>
      </c>
      <c r="K473" s="934">
        <f>INDEX(input!$DP$3:$DU$261,MATCH(H473,input!$E$3:$E$261,0),3)</f>
        <v>968.89972978988681</v>
      </c>
      <c r="L473" s="934">
        <f>INDEX(input!$DP$3:$DU$261,MATCH(H473,input!$E$3:$E$261,0),4)</f>
        <v>2301.1002702101132</v>
      </c>
      <c r="M473" s="935">
        <f>INDEX(input!$DP$3:$DU$261,MATCH(H473,input!$E$3:$E$261,0),5)</f>
        <v>650510314.13971937</v>
      </c>
      <c r="N473" s="936">
        <f>INDEX(input!$DP$3:$DU$261,MATCH(H473,input!$E$3:$E$261,0),6)</f>
        <v>273903434.698201</v>
      </c>
      <c r="X473" s="73"/>
      <c r="Z473" s="73"/>
      <c r="AC473" s="73"/>
    </row>
    <row r="474" spans="1:29" ht="15" customHeight="1">
      <c r="A474" s="942" t="s">
        <v>2096</v>
      </c>
      <c r="B474" s="932">
        <f>INDEX(input!$DH$3:$DM$261,MATCH(A474,input!$E$3:$E$261,0),1)</f>
        <v>510258.52839302097</v>
      </c>
      <c r="C474" s="933">
        <f>INDEX(input!$DH$3:$DM$261,MATCH(A474,input!$E$3:$E$261,0),2)</f>
        <v>716165249859.62256</v>
      </c>
      <c r="D474" s="934">
        <f>INDEX(input!$DH$3:$DM$261,MATCH(A474,input!$E$3:$E$261,0),3)</f>
        <v>603.92230392606234</v>
      </c>
      <c r="E474" s="934">
        <f>INDEX(input!$DH$3:$DM$261,MATCH(A474,input!$E$3:$E$261,0),4)</f>
        <v>2569.0776960739377</v>
      </c>
      <c r="F474" s="935">
        <f>INDEX(input!$DH$3:$DM$261,MATCH(A474,input!$E$3:$E$261,0),5)</f>
        <v>1185856599.7709899</v>
      </c>
      <c r="G474" s="936">
        <f>INDEX(input!$DH$3:$DM$261,MATCH(A474,input!$E$3:$E$261,0),6)</f>
        <v>278763562.09625953</v>
      </c>
      <c r="H474" s="942" t="s">
        <v>2096</v>
      </c>
      <c r="I474" s="932">
        <f>INDEX(input!$DP$3:$DU$261,MATCH(H474,input!$E$3:$E$261,0),1)</f>
        <v>346486.56577490224</v>
      </c>
      <c r="J474" s="933">
        <f>INDEX(input!$DP$3:$DU$261,MATCH(H474,input!$E$3:$E$261,0),2)</f>
        <v>593806852134.37146</v>
      </c>
      <c r="K474" s="934">
        <f>INDEX(input!$DP$3:$DU$261,MATCH(H474,input!$E$3:$E$261,0),3)</f>
        <v>939.00483966037973</v>
      </c>
      <c r="L474" s="934">
        <f>INDEX(input!$DP$3:$DU$261,MATCH(H474,input!$E$3:$E$261,0),4)</f>
        <v>2233.9951603396203</v>
      </c>
      <c r="M474" s="935">
        <f>INDEX(input!$DP$3:$DU$261,MATCH(H474,input!$E$3:$E$261,0),5)</f>
        <v>632378904.82986236</v>
      </c>
      <c r="N474" s="936">
        <f>INDEX(input!$DP$3:$DU$261,MATCH(H474,input!$E$3:$E$261,0),6)</f>
        <v>265804896.39203101</v>
      </c>
      <c r="X474" s="73"/>
      <c r="Z474" s="73"/>
      <c r="AC474" s="73"/>
    </row>
    <row r="475" spans="1:29" ht="15" customHeight="1">
      <c r="A475" s="942" t="s">
        <v>2097</v>
      </c>
      <c r="B475" s="932">
        <f>INDEX(input!$DH$3:$DM$261,MATCH(A475,input!$E$3:$E$261,0),1)</f>
        <v>445023.81150008948</v>
      </c>
      <c r="C475" s="933">
        <f>INDEX(input!$DH$3:$DM$261,MATCH(A475,input!$E$3:$E$261,0),2)</f>
        <v>605273958783.20898</v>
      </c>
      <c r="D475" s="934">
        <f>INDEX(input!$DH$3:$DM$261,MATCH(A475,input!$E$3:$E$261,0),3)</f>
        <v>599.62480146106373</v>
      </c>
      <c r="E475" s="934">
        <f>INDEX(input!$DH$3:$DM$261,MATCH(A475,input!$E$3:$E$261,0),4)</f>
        <v>2394.3751985389363</v>
      </c>
      <c r="F475" s="935">
        <f>INDEX(input!$DH$3:$DM$261,MATCH(A475,input!$E$3:$E$261,0),5)</f>
        <v>1009421153.5419822</v>
      </c>
      <c r="G475" s="936">
        <f>INDEX(input!$DH$3:$DM$261,MATCH(A475,input!$E$3:$E$261,0),6)</f>
        <v>252789938.33236796</v>
      </c>
      <c r="H475" s="942" t="s">
        <v>2097</v>
      </c>
      <c r="I475" s="932">
        <f>INDEX(input!$DP$3:$DU$261,MATCH(H475,input!$E$3:$E$261,0),1)</f>
        <v>279749.35381207976</v>
      </c>
      <c r="J475" s="933">
        <f>INDEX(input!$DP$3:$DU$261,MATCH(H475,input!$E$3:$E$261,0),2)</f>
        <v>473578022724.30658</v>
      </c>
      <c r="K475" s="934">
        <f>INDEX(input!$DP$3:$DU$261,MATCH(H475,input!$E$3:$E$261,0),3)</f>
        <v>1015.9134553867054</v>
      </c>
      <c r="L475" s="934">
        <f>INDEX(input!$DP$3:$DU$261,MATCH(H475,input!$E$3:$E$261,0),4)</f>
        <v>1978.0865446132946</v>
      </c>
      <c r="M475" s="935">
        <f>INDEX(input!$DP$3:$DU$261,MATCH(H475,input!$E$3:$E$261,0),5)</f>
        <v>466159809.39443314</v>
      </c>
      <c r="N475" s="936">
        <f>INDEX(input!$DP$3:$DU$261,MATCH(H475,input!$E$3:$E$261,0),6)</f>
        <v>239412185.4849827</v>
      </c>
      <c r="X475" s="73"/>
      <c r="Z475" s="73"/>
      <c r="AC475" s="73"/>
    </row>
    <row r="476" spans="1:29" ht="15" customHeight="1">
      <c r="A476" s="942" t="s">
        <v>2098</v>
      </c>
      <c r="B476" s="932">
        <f>INDEX(input!$DH$3:$DM$261,MATCH(A476,input!$E$3:$E$261,0),1)</f>
        <v>427202.52249514393</v>
      </c>
      <c r="C476" s="933">
        <f>INDEX(input!$DH$3:$DM$261,MATCH(A476,input!$E$3:$E$261,0),2)</f>
        <v>558224821559.12451</v>
      </c>
      <c r="D476" s="934">
        <f>INDEX(input!$DH$3:$DM$261,MATCH(A476,input!$E$3:$E$261,0),3)</f>
        <v>595.34707582555939</v>
      </c>
      <c r="E476" s="934">
        <f>INDEX(input!$DH$3:$DM$261,MATCH(A476,input!$E$3:$E$261,0),4)</f>
        <v>2288.6529241744406</v>
      </c>
      <c r="F476" s="935">
        <f>INDEX(input!$DH$3:$DM$261,MATCH(A476,input!$E$3:$E$261,0),5)</f>
        <v>937646029.05799448</v>
      </c>
      <c r="G476" s="936">
        <f>INDEX(input!$DH$3:$DM$261,MATCH(A476,input!$E$3:$E$261,0),6)</f>
        <v>243909775.77366236</v>
      </c>
      <c r="H476" s="942" t="s">
        <v>2098</v>
      </c>
      <c r="I476" s="932">
        <f>INDEX(input!$DP$3:$DU$261,MATCH(H476,input!$E$3:$E$261,0),1)</f>
        <v>261928.06480713421</v>
      </c>
      <c r="J476" s="933">
        <f>INDEX(input!$DP$3:$DU$261,MATCH(H476,input!$E$3:$E$261,0),2)</f>
        <v>424850480392.37915</v>
      </c>
      <c r="K476" s="934">
        <f>INDEX(input!$DP$3:$DU$261,MATCH(H476,input!$E$3:$E$261,0),3)</f>
        <v>1037.2603287474358</v>
      </c>
      <c r="L476" s="934">
        <f>INDEX(input!$DP$3:$DU$261,MATCH(H476,input!$E$3:$E$261,0),4)</f>
        <v>1846.7396712525642</v>
      </c>
      <c r="M476" s="935">
        <f>INDEX(input!$DP$3:$DU$261,MATCH(H476,input!$E$3:$E$261,0),5)</f>
        <v>409589057.46006477</v>
      </c>
      <c r="N476" s="936">
        <f>INDEX(input!$DP$3:$DU$261,MATCH(H476,input!$E$3:$E$261,0),6)</f>
        <v>230054342.25833321</v>
      </c>
      <c r="X476" s="73"/>
      <c r="Z476" s="73"/>
      <c r="AC476" s="73"/>
    </row>
    <row r="477" spans="1:29" ht="15" customHeight="1">
      <c r="A477" s="942" t="s">
        <v>2099</v>
      </c>
      <c r="B477" s="932">
        <f>INDEX(input!$DH$3:$DM$261,MATCH(A477,input!$E$3:$E$261,0),1)</f>
        <v>393314.65161772241</v>
      </c>
      <c r="C477" s="933">
        <f>INDEX(input!$DH$3:$DM$261,MATCH(A477,input!$E$3:$E$261,0),2)</f>
        <v>484830911260.67322</v>
      </c>
      <c r="D477" s="934">
        <f>INDEX(input!$DH$3:$DM$261,MATCH(A477,input!$E$3:$E$261,0),3)</f>
        <v>543.09255105635339</v>
      </c>
      <c r="E477" s="934">
        <f>INDEX(input!$DH$3:$DM$261,MATCH(A477,input!$E$3:$E$261,0),4)</f>
        <v>2306.9074489436466</v>
      </c>
      <c r="F477" s="935">
        <f>INDEX(input!$DH$3:$DM$261,MATCH(A477,input!$E$3:$E$261,0),5)</f>
        <v>892722447.24705362</v>
      </c>
      <c r="G477" s="936">
        <f>INDEX(input!$DH$3:$DM$261,MATCH(A477,input!$E$3:$E$261,0),6)</f>
        <v>210164873.09999436</v>
      </c>
      <c r="H477" s="942" t="s">
        <v>2099</v>
      </c>
      <c r="I477" s="932">
        <f>INDEX(input!$DP$3:$DU$261,MATCH(H477,input!$E$3:$E$261,0),1)</f>
        <v>228040.1939297127</v>
      </c>
      <c r="J477" s="933">
        <f>INDEX(input!$DP$3:$DU$261,MATCH(H477,input!$E$3:$E$261,0),2)</f>
        <v>358712367866.07629</v>
      </c>
      <c r="K477" s="934">
        <f>INDEX(input!$DP$3:$DU$261,MATCH(H477,input!$E$3:$E$261,0),3)</f>
        <v>1022.9508840519725</v>
      </c>
      <c r="L477" s="934">
        <f>INDEX(input!$DP$3:$DU$261,MATCH(H477,input!$E$3:$E$261,0),4)</f>
        <v>1827.0491159480275</v>
      </c>
      <c r="M477" s="935">
        <f>INDEX(input!$DP$3:$DU$261,MATCH(H477,input!$E$3:$E$261,0),5)</f>
        <v>350664311.9024387</v>
      </c>
      <c r="N477" s="936">
        <f>INDEX(input!$DP$3:$DU$261,MATCH(H477,input!$E$3:$E$261,0),6)</f>
        <v>196334277.35189593</v>
      </c>
      <c r="X477" s="73"/>
      <c r="Z477" s="73"/>
      <c r="AC477" s="73"/>
    </row>
    <row r="478" spans="1:29" ht="15" customHeight="1">
      <c r="A478" s="942" t="s">
        <v>2100</v>
      </c>
      <c r="B478" s="932">
        <f>INDEX(input!$DH$3:$DM$261,MATCH(A478,input!$E$3:$E$261,0),1)</f>
        <v>377674.65161772241</v>
      </c>
      <c r="C478" s="933">
        <f>INDEX(input!$DH$3:$DM$261,MATCH(A478,input!$E$3:$E$261,0),2)</f>
        <v>420265490240.5509</v>
      </c>
      <c r="D478" s="934">
        <f>INDEX(input!$DH$3:$DM$261,MATCH(A478,input!$E$3:$E$261,0),3)</f>
        <v>473.81649295745774</v>
      </c>
      <c r="E478" s="934">
        <f>INDEX(input!$DH$3:$DM$261,MATCH(A478,input!$E$3:$E$261,0),4)</f>
        <v>2366.1835070425423</v>
      </c>
      <c r="F478" s="935">
        <f>INDEX(input!$DH$3:$DM$261,MATCH(A478,input!$E$3:$E$261,0),5)</f>
        <v>886979445.60212898</v>
      </c>
      <c r="G478" s="936">
        <f>INDEX(input!$DH$3:$DM$261,MATCH(A478,input!$E$3:$E$261,0),6)</f>
        <v>177613227.7947599</v>
      </c>
      <c r="H478" s="942" t="s">
        <v>2100</v>
      </c>
      <c r="I478" s="932">
        <f>INDEX(input!$DP$3:$DU$261,MATCH(H478,input!$E$3:$E$261,0),1)</f>
        <v>212400.1939297127</v>
      </c>
      <c r="J478" s="933">
        <f>INDEX(input!$DP$3:$DU$261,MATCH(H478,input!$E$3:$E$261,0),2)</f>
        <v>314430424509.01593</v>
      </c>
      <c r="K478" s="934">
        <f>INDEX(input!$DP$3:$DU$261,MATCH(H478,input!$E$3:$E$261,0),3)</f>
        <v>938.2158910363737</v>
      </c>
      <c r="L478" s="934">
        <f>INDEX(input!$DP$3:$DU$261,MATCH(H478,input!$E$3:$E$261,0),4)</f>
        <v>1901.7841089636263</v>
      </c>
      <c r="M478" s="935">
        <f>INDEX(input!$DP$3:$DU$261,MATCH(H478,input!$E$3:$E$261,0),5)</f>
        <v>335136536.81743681</v>
      </c>
      <c r="N478" s="936">
        <f>INDEX(input!$DP$3:$DU$261,MATCH(H478,input!$E$3:$E$261,0),6)</f>
        <v>165334447.28401071</v>
      </c>
      <c r="X478" s="73"/>
      <c r="Z478" s="73"/>
      <c r="AC478" s="73"/>
    </row>
    <row r="479" spans="1:29" ht="15" customHeight="1">
      <c r="A479" s="942" t="s">
        <v>2101</v>
      </c>
      <c r="B479" s="932">
        <f>INDEX(input!$DH$3:$DM$261,MATCH(A479,input!$E$3:$E$261,0),1)</f>
        <v>362154.65161772241</v>
      </c>
      <c r="C479" s="933">
        <f>INDEX(input!$DH$3:$DM$261,MATCH(A479,input!$E$3:$E$261,0),2)</f>
        <v>329953970555.92291</v>
      </c>
      <c r="D479" s="934">
        <f>INDEX(input!$DH$3:$DM$261,MATCH(A479,input!$E$3:$E$261,0),3)</f>
        <v>372.58601623836148</v>
      </c>
      <c r="E479" s="934">
        <f>INDEX(input!$DH$3:$DM$261,MATCH(A479,input!$E$3:$E$261,0),4)</f>
        <v>2459.4139837616385</v>
      </c>
      <c r="F479" s="935">
        <f>INDEX(input!$DH$3:$DM$261,MATCH(A479,input!$E$3:$E$261,0),5)</f>
        <v>885577977.09948206</v>
      </c>
      <c r="G479" s="936">
        <f>INDEX(input!$DH$3:$DM$261,MATCH(A479,input!$E$3:$E$261,0),6)</f>
        <v>134159589.53411455</v>
      </c>
      <c r="H479" s="942" t="s">
        <v>2101</v>
      </c>
      <c r="I479" s="932">
        <f>INDEX(input!$DP$3:$DU$261,MATCH(H479,input!$E$3:$E$261,0),1)</f>
        <v>196880.1939297127</v>
      </c>
      <c r="J479" s="933">
        <f>INDEX(input!$DP$3:$DU$261,MATCH(H479,input!$E$3:$E$261,0),2)</f>
        <v>254127440236.13666</v>
      </c>
      <c r="K479" s="934">
        <f>INDEX(input!$DP$3:$DU$261,MATCH(H479,input!$E$3:$E$261,0),3)</f>
        <v>788.61420290704064</v>
      </c>
      <c r="L479" s="934">
        <f>INDEX(input!$DP$3:$DU$261,MATCH(H479,input!$E$3:$E$261,0),4)</f>
        <v>2043.3857970929594</v>
      </c>
      <c r="M479" s="935">
        <f>INDEX(input!$DP$3:$DU$261,MATCH(H479,input!$E$3:$E$261,0),5)</f>
        <v>322245578.76253772</v>
      </c>
      <c r="N479" s="936">
        <f>INDEX(input!$DP$3:$DU$261,MATCH(H479,input!$E$3:$E$261,0),6)</f>
        <v>124365864.04665887</v>
      </c>
      <c r="X479" s="73"/>
      <c r="Z479" s="73"/>
      <c r="AC479" s="73"/>
    </row>
    <row r="480" spans="1:29" ht="15" customHeight="1">
      <c r="A480" s="942" t="s">
        <v>2102</v>
      </c>
      <c r="B480" s="932">
        <f>INDEX(input!$DH$3:$DM$261,MATCH(A480,input!$E$3:$E$261,0),1)</f>
        <v>362154.65161772241</v>
      </c>
      <c r="C480" s="933">
        <f>INDEX(input!$DH$3:$DM$261,MATCH(A480,input!$E$3:$E$261,0),2)</f>
        <v>329953970555.92291</v>
      </c>
      <c r="D480" s="934">
        <f>INDEX(input!$DH$3:$DM$261,MATCH(A480,input!$E$3:$E$261,0),3)</f>
        <v>372.58601623836148</v>
      </c>
      <c r="E480" s="934">
        <f>INDEX(input!$DH$3:$DM$261,MATCH(A480,input!$E$3:$E$261,0),4)</f>
        <v>2459.4139837616385</v>
      </c>
      <c r="F480" s="935">
        <f>INDEX(input!$DH$3:$DM$261,MATCH(A480,input!$E$3:$E$261,0),5)</f>
        <v>885577977.09948206</v>
      </c>
      <c r="G480" s="936">
        <f>INDEX(input!$DH$3:$DM$261,MATCH(A480,input!$E$3:$E$261,0),6)</f>
        <v>134159589.53411455</v>
      </c>
      <c r="H480" s="942" t="s">
        <v>2102</v>
      </c>
      <c r="I480" s="932">
        <f>INDEX(input!$DP$3:$DU$261,MATCH(H480,input!$E$3:$E$261,0),1)</f>
        <v>196880.1939297127</v>
      </c>
      <c r="J480" s="933">
        <f>INDEX(input!$DP$3:$DU$261,MATCH(H480,input!$E$3:$E$261,0),2)</f>
        <v>254127440236.13666</v>
      </c>
      <c r="K480" s="934">
        <f>INDEX(input!$DP$3:$DU$261,MATCH(H480,input!$E$3:$E$261,0),3)</f>
        <v>788.61420290704064</v>
      </c>
      <c r="L480" s="934">
        <f>INDEX(input!$DP$3:$DU$261,MATCH(H480,input!$E$3:$E$261,0),4)</f>
        <v>2043.3857970929594</v>
      </c>
      <c r="M480" s="935">
        <f>INDEX(input!$DP$3:$DU$261,MATCH(H480,input!$E$3:$E$261,0),5)</f>
        <v>322245578.76253772</v>
      </c>
      <c r="N480" s="936">
        <f>INDEX(input!$DP$3:$DU$261,MATCH(H480,input!$E$3:$E$261,0),6)</f>
        <v>124365864.04665887</v>
      </c>
      <c r="X480" s="73"/>
      <c r="Z480" s="73"/>
      <c r="AC480" s="73"/>
    </row>
    <row r="481" spans="1:29" ht="15" customHeight="1">
      <c r="A481" s="942" t="s">
        <v>2103</v>
      </c>
      <c r="B481" s="932">
        <f>INDEX(input!$DH$3:$DM$261,MATCH(A481,input!$E$3:$E$261,0),1)</f>
        <v>355063.55436390673</v>
      </c>
      <c r="C481" s="933">
        <f>INDEX(input!$DH$3:$DM$261,MATCH(A481,input!$E$3:$E$261,0),2)</f>
        <v>279102938457.66693</v>
      </c>
      <c r="D481" s="934">
        <f>INDEX(input!$DH$3:$DM$261,MATCH(A481,input!$E$3:$E$261,0),3)</f>
        <v>329.91189451749597</v>
      </c>
      <c r="E481" s="934">
        <f>INDEX(input!$DH$3:$DM$261,MATCH(A481,input!$E$3:$E$261,0),4)</f>
        <v>2302.088105482504</v>
      </c>
      <c r="F481" s="935">
        <f>INDEX(input!$DH$3:$DM$261,MATCH(A481,input!$E$3:$E$261,0),5)</f>
        <v>845992348.55069911</v>
      </c>
      <c r="G481" s="936">
        <f>INDEX(input!$DH$3:$DM$261,MATCH(A481,input!$E$3:$E$261,0),6)</f>
        <v>121239034.15901999</v>
      </c>
      <c r="H481" s="942" t="s">
        <v>2103</v>
      </c>
      <c r="I481" s="932">
        <f>INDEX(input!$DP$3:$DU$261,MATCH(H481,input!$E$3:$E$261,0),1)</f>
        <v>191291.59174578806</v>
      </c>
      <c r="J481" s="933">
        <f>INDEX(input!$DP$3:$DU$261,MATCH(H481,input!$E$3:$E$261,0),2)</f>
        <v>215599317361.93048</v>
      </c>
      <c r="K481" s="934">
        <f>INDEX(input!$DP$3:$DU$261,MATCH(H481,input!$E$3:$E$261,0),3)</f>
        <v>717.66688772594102</v>
      </c>
      <c r="L481" s="934">
        <f>INDEX(input!$DP$3:$DU$261,MATCH(H481,input!$E$3:$E$261,0),4)</f>
        <v>1914.333112274059</v>
      </c>
      <c r="M481" s="935">
        <f>INDEX(input!$DP$3:$DU$261,MATCH(H481,input!$E$3:$E$261,0),5)</f>
        <v>300416977.63860393</v>
      </c>
      <c r="N481" s="936">
        <f>INDEX(input!$DP$3:$DU$261,MATCH(H481,input!$E$3:$E$261,0),6)</f>
        <v>112623720.49022205</v>
      </c>
      <c r="X481" s="73"/>
      <c r="Z481" s="73"/>
      <c r="AC481" s="73"/>
    </row>
    <row r="482" spans="1:29" ht="15" customHeight="1">
      <c r="A482" s="942" t="s">
        <v>2104</v>
      </c>
      <c r="B482" s="932">
        <f>INDEX(input!$DH$3:$DM$261,MATCH(A482,input!$E$3:$E$261,0),1)</f>
        <v>358943.55436390673</v>
      </c>
      <c r="C482" s="933">
        <f>INDEX(input!$DH$3:$DM$261,MATCH(A482,input!$E$3:$E$261,0),2)</f>
        <v>299460829947.74213</v>
      </c>
      <c r="D482" s="934">
        <f>INDEX(input!$DH$3:$DM$261,MATCH(A482,input!$E$3:$E$261,0),3)</f>
        <v>354.80712314225229</v>
      </c>
      <c r="E482" s="934">
        <f>INDEX(input!$DH$3:$DM$261,MATCH(A482,input!$E$3:$E$261,0),4)</f>
        <v>2279.1928768577477</v>
      </c>
      <c r="F482" s="935">
        <f>INDEX(input!$DH$3:$DM$261,MATCH(A482,input!$E$3:$E$261,0),5)</f>
        <v>844010197.13372481</v>
      </c>
      <c r="G482" s="936">
        <f>INDEX(input!$DH$3:$DM$261,MATCH(A482,input!$E$3:$E$261,0),6)</f>
        <v>131388981.15573239</v>
      </c>
      <c r="H482" s="942" t="s">
        <v>2104</v>
      </c>
      <c r="I482" s="932">
        <f>INDEX(input!$DP$3:$DU$261,MATCH(H482,input!$E$3:$E$261,0),1)</f>
        <v>195171.59174578806</v>
      </c>
      <c r="J482" s="933">
        <f>INDEX(input!$DP$3:$DU$261,MATCH(H482,input!$E$3:$E$261,0),2)</f>
        <v>229550135469.24408</v>
      </c>
      <c r="K482" s="934">
        <f>INDEX(input!$DP$3:$DU$261,MATCH(H482,input!$E$3:$E$261,0),3)</f>
        <v>755.74359965491362</v>
      </c>
      <c r="L482" s="934">
        <f>INDEX(input!$DP$3:$DU$261,MATCH(H482,input!$E$3:$E$261,0),4)</f>
        <v>1878.2564003450864</v>
      </c>
      <c r="M482" s="935">
        <f>INDEX(input!$DP$3:$DU$261,MATCH(H482,input!$E$3:$E$261,0),5)</f>
        <v>303740760.19176459</v>
      </c>
      <c r="N482" s="936">
        <f>INDEX(input!$DP$3:$DU$261,MATCH(H482,input!$E$3:$E$261,0),6)</f>
        <v>122214483.29795097</v>
      </c>
      <c r="X482" s="73"/>
      <c r="Z482" s="73"/>
      <c r="AC482" s="73"/>
    </row>
    <row r="483" spans="1:29" ht="15" customHeight="1">
      <c r="A483" s="942" t="s">
        <v>2105</v>
      </c>
      <c r="B483" s="932">
        <f>INDEX(input!$DH$3:$DM$261,MATCH(A483,input!$E$3:$E$261,0),1)</f>
        <v>385674.65161772241</v>
      </c>
      <c r="C483" s="933">
        <f>INDEX(input!$DH$3:$DM$261,MATCH(A483,input!$E$3:$E$261,0),2)</f>
        <v>422054115505.74689</v>
      </c>
      <c r="D483" s="934">
        <f>INDEX(input!$DH$3:$DM$261,MATCH(A483,input!$E$3:$E$261,0),3)</f>
        <v>471.90520652049327</v>
      </c>
      <c r="E483" s="934">
        <f>INDEX(input!$DH$3:$DM$261,MATCH(A483,input!$E$3:$E$261,0),4)</f>
        <v>2376.0947934795067</v>
      </c>
      <c r="F483" s="935">
        <f>INDEX(input!$DH$3:$DM$261,MATCH(A483,input!$E$3:$E$261,0),5)</f>
        <v>894362066.09731162</v>
      </c>
      <c r="G483" s="936">
        <f>INDEX(input!$DH$3:$DM$261,MATCH(A483,input!$E$3:$E$261,0),6)</f>
        <v>177625116.92039824</v>
      </c>
      <c r="H483" s="942" t="s">
        <v>2105</v>
      </c>
      <c r="I483" s="932">
        <f>INDEX(input!$DP$3:$DU$261,MATCH(H483,input!$E$3:$E$261,0),1)</f>
        <v>220400.1939297127</v>
      </c>
      <c r="J483" s="933">
        <f>INDEX(input!$DP$3:$DU$261,MATCH(H483,input!$E$3:$E$261,0),2)</f>
        <v>321274841805.49976</v>
      </c>
      <c r="K483" s="934">
        <f>INDEX(input!$DP$3:$DU$261,MATCH(H483,input!$E$3:$E$261,0),3)</f>
        <v>912.01570729835566</v>
      </c>
      <c r="L483" s="934">
        <f>INDEX(input!$DP$3:$DU$261,MATCH(H483,input!$E$3:$E$261,0),4)</f>
        <v>1935.9842927016443</v>
      </c>
      <c r="M483" s="935">
        <f>INDEX(input!$DP$3:$DU$261,MATCH(H483,input!$E$3:$E$261,0),5)</f>
        <v>352268978.7407338</v>
      </c>
      <c r="N483" s="936">
        <f>INDEX(input!$DP$3:$DU$261,MATCH(H483,input!$E$3:$E$261,0),6)</f>
        <v>165949095.25694773</v>
      </c>
      <c r="X483" s="73"/>
      <c r="Z483" s="73"/>
      <c r="AC483" s="73"/>
    </row>
    <row r="484" spans="1:29" ht="15" customHeight="1">
      <c r="A484" s="942" t="s">
        <v>2106</v>
      </c>
      <c r="B484" s="932">
        <f>INDEX(input!$DH$3:$DM$261,MATCH(A484,input!$E$3:$E$261,0),1)</f>
        <v>424714.65161772241</v>
      </c>
      <c r="C484" s="933">
        <f>INDEX(input!$DH$3:$DM$261,MATCH(A484,input!$E$3:$E$261,0),2)</f>
        <v>588693664353.30603</v>
      </c>
      <c r="D484" s="934">
        <f>INDEX(input!$DH$3:$DM$261,MATCH(A484,input!$E$3:$E$261,0),3)</f>
        <v>645.18102281284291</v>
      </c>
      <c r="E484" s="934">
        <f>INDEX(input!$DH$3:$DM$261,MATCH(A484,input!$E$3:$E$261,0),4)</f>
        <v>2226.8189771871571</v>
      </c>
      <c r="F484" s="935">
        <f>INDEX(input!$DH$3:$DM$261,MATCH(A484,input!$E$3:$E$261,0),5)</f>
        <v>912447272.2194078</v>
      </c>
      <c r="G484" s="936">
        <f>INDEX(input!$DH$3:$DM$261,MATCH(A484,input!$E$3:$E$261,0),6)</f>
        <v>264365298.83400047</v>
      </c>
      <c r="H484" s="942" t="s">
        <v>2106</v>
      </c>
      <c r="I484" s="932">
        <f>INDEX(input!$DP$3:$DU$261,MATCH(H484,input!$E$3:$E$261,0),1)</f>
        <v>259440.1939297127</v>
      </c>
      <c r="J484" s="933">
        <f>INDEX(input!$DP$3:$DU$261,MATCH(H484,input!$E$3:$E$261,0),2)</f>
        <v>434458180516.33417</v>
      </c>
      <c r="K484" s="934">
        <f>INDEX(input!$DP$3:$DU$261,MATCH(H484,input!$E$3:$E$261,0),3)</f>
        <v>1124.3523830619979</v>
      </c>
      <c r="L484" s="934">
        <f>INDEX(input!$DP$3:$DU$261,MATCH(H484,input!$E$3:$E$261,0),4)</f>
        <v>1747.6476169380021</v>
      </c>
      <c r="M484" s="935">
        <f>INDEX(input!$DP$3:$DU$261,MATCH(H484,input!$E$3:$E$261,0),5)</f>
        <v>386407488.48964524</v>
      </c>
      <c r="N484" s="936">
        <f>INDEX(input!$DP$3:$DU$261,MATCH(H484,input!$E$3:$E$261,0),6)</f>
        <v>248595984.8573676</v>
      </c>
      <c r="X484" s="73"/>
      <c r="Z484" s="73"/>
      <c r="AC484" s="73"/>
    </row>
    <row r="485" spans="1:29" ht="15" customHeight="1">
      <c r="A485" s="942" t="s">
        <v>2107</v>
      </c>
      <c r="B485" s="932">
        <f>INDEX(input!$DH$3:$DM$261,MATCH(A485,input!$E$3:$E$261,0),1)</f>
        <v>446354.65161772241</v>
      </c>
      <c r="C485" s="933">
        <f>INDEX(input!$DH$3:$DM$261,MATCH(A485,input!$E$3:$E$261,0),2)</f>
        <v>649687231067.52405</v>
      </c>
      <c r="D485" s="934">
        <f>INDEX(input!$DH$3:$DM$261,MATCH(A485,input!$E$3:$E$261,0),3)</f>
        <v>691.19374362829694</v>
      </c>
      <c r="E485" s="934">
        <f>INDEX(input!$DH$3:$DM$261,MATCH(A485,input!$E$3:$E$261,0),4)</f>
        <v>2188.8062563717031</v>
      </c>
      <c r="F485" s="935">
        <f>INDEX(input!$DH$3:$DM$261,MATCH(A485,input!$E$3:$E$261,0),5)</f>
        <v>939949525.08844781</v>
      </c>
      <c r="G485" s="936">
        <f>INDEX(input!$DH$3:$DM$261,MATCH(A485,input!$E$3:$E$261,0),6)</f>
        <v>296822630.6811114</v>
      </c>
      <c r="H485" s="942" t="s">
        <v>2107</v>
      </c>
      <c r="I485" s="932">
        <f>INDEX(input!$DP$3:$DU$261,MATCH(H485,input!$E$3:$E$261,0),1)</f>
        <v>281080.1939297127</v>
      </c>
      <c r="J485" s="933">
        <f>INDEX(input!$DP$3:$DU$261,MATCH(H485,input!$E$3:$E$261,0),2)</f>
        <v>482152011680.10175</v>
      </c>
      <c r="K485" s="934">
        <f>INDEX(input!$DP$3:$DU$261,MATCH(H485,input!$E$3:$E$261,0),3)</f>
        <v>1159.3536924066825</v>
      </c>
      <c r="L485" s="934">
        <f>INDEX(input!$DP$3:$DU$261,MATCH(H485,input!$E$3:$E$261,0),4)</f>
        <v>1720.6463075933175</v>
      </c>
      <c r="M485" s="935">
        <f>INDEX(input!$DP$3:$DU$261,MATCH(H485,input!$E$3:$E$261,0),5)</f>
        <v>415879998.34563911</v>
      </c>
      <c r="N485" s="936">
        <f>INDEX(input!$DP$3:$DU$261,MATCH(H485,input!$E$3:$E$261,0),6)</f>
        <v>280215643.12917501</v>
      </c>
      <c r="X485" s="73"/>
      <c r="Z485" s="73"/>
      <c r="AC485" s="73"/>
    </row>
    <row r="486" spans="1:29" ht="15" customHeight="1">
      <c r="A486" s="942" t="s">
        <v>2108</v>
      </c>
      <c r="B486" s="932">
        <f>INDEX(input!$DH$3:$DM$261,MATCH(A486,input!$E$3:$E$261,0),1)</f>
        <v>418834.65161772241</v>
      </c>
      <c r="C486" s="933">
        <f>INDEX(input!$DH$3:$DM$261,MATCH(A486,input!$E$3:$E$261,0),2)</f>
        <v>568512249725.37402</v>
      </c>
      <c r="D486" s="934">
        <f>INDEX(input!$DH$3:$DM$261,MATCH(A486,input!$E$3:$E$261,0),3)</f>
        <v>625.63754698657112</v>
      </c>
      <c r="E486" s="934">
        <f>INDEX(input!$DH$3:$DM$261,MATCH(A486,input!$E$3:$E$261,0),4)</f>
        <v>2242.3624530134289</v>
      </c>
      <c r="F486" s="935">
        <f>INDEX(input!$DH$3:$DM$261,MATCH(A486,input!$E$3:$E$261,0),5)</f>
        <v>908692664.72841144</v>
      </c>
      <c r="G486" s="936">
        <f>INDEX(input!$DH$3:$DM$261,MATCH(A486,input!$E$3:$E$261,0),6)</f>
        <v>253532719.01309764</v>
      </c>
      <c r="H486" s="942" t="s">
        <v>2108</v>
      </c>
      <c r="I486" s="932">
        <f>INDEX(input!$DP$3:$DU$261,MATCH(H486,input!$E$3:$E$261,0),1)</f>
        <v>253560.1939297127</v>
      </c>
      <c r="J486" s="933">
        <f>INDEX(input!$DP$3:$DU$261,MATCH(H486,input!$E$3:$E$261,0),2)</f>
        <v>420016377790.86359</v>
      </c>
      <c r="K486" s="934">
        <f>INDEX(input!$DP$3:$DU$261,MATCH(H486,input!$E$3:$E$261,0),3)</f>
        <v>1104.4856670077768</v>
      </c>
      <c r="L486" s="934">
        <f>INDEX(input!$DP$3:$DU$261,MATCH(H486,input!$E$3:$E$261,0),4)</f>
        <v>1763.5143329922232</v>
      </c>
      <c r="M486" s="935">
        <f>INDEX(input!$DP$3:$DU$261,MATCH(H486,input!$E$3:$E$261,0),5)</f>
        <v>380282325.37299752</v>
      </c>
      <c r="N486" s="936">
        <f>INDEX(input!$DP$3:$DU$261,MATCH(H486,input!$E$3:$E$261,0),6)</f>
        <v>238170095.88927212</v>
      </c>
      <c r="X486" s="73"/>
      <c r="Z486" s="73"/>
      <c r="AC486" s="73"/>
    </row>
    <row r="487" spans="1:29" ht="15" customHeight="1">
      <c r="A487" s="942" t="s">
        <v>2109</v>
      </c>
      <c r="B487" s="932">
        <f>INDEX(input!$DH$3:$DM$261,MATCH(A487,input!$E$3:$E$261,0),1)</f>
        <v>412834.65161772241</v>
      </c>
      <c r="C487" s="933">
        <f>INDEX(input!$DH$3:$DM$261,MATCH(A487,input!$E$3:$E$261,0),2)</f>
        <v>566152360388.05957</v>
      </c>
      <c r="D487" s="934">
        <f>INDEX(input!$DH$3:$DM$261,MATCH(A487,input!$E$3:$E$261,0),3)</f>
        <v>628.6867517160681</v>
      </c>
      <c r="E487" s="934">
        <f>INDEX(input!$DH$3:$DM$261,MATCH(A487,input!$E$3:$E$261,0),4)</f>
        <v>2233.3132482839319</v>
      </c>
      <c r="F487" s="935">
        <f>INDEX(input!$DH$3:$DM$261,MATCH(A487,input!$E$3:$E$261,0),5)</f>
        <v>900531717.65221047</v>
      </c>
      <c r="G487" s="936">
        <f>INDEX(input!$DH$3:$DM$261,MATCH(A487,input!$E$3:$E$261,0),6)</f>
        <v>253503336.72317958</v>
      </c>
      <c r="H487" s="942" t="s">
        <v>2109</v>
      </c>
      <c r="I487" s="932">
        <f>INDEX(input!$DP$3:$DU$261,MATCH(H487,input!$E$3:$E$261,0),1)</f>
        <v>247560.1939297127</v>
      </c>
      <c r="J487" s="933">
        <f>INDEX(input!$DP$3:$DU$261,MATCH(H487,input!$E$3:$E$261,0),2)</f>
        <v>412560302918.47009</v>
      </c>
      <c r="K487" s="934">
        <f>INDEX(input!$DP$3:$DU$261,MATCH(H487,input!$E$3:$E$261,0),3)</f>
        <v>1125.1818571227475</v>
      </c>
      <c r="L487" s="934">
        <f>INDEX(input!$DP$3:$DU$261,MATCH(H487,input!$E$3:$E$261,0),4)</f>
        <v>1736.8181428772525</v>
      </c>
      <c r="M487" s="935">
        <f>INDEX(input!$DP$3:$DU$261,MATCH(H487,input!$E$3:$E$261,0),5)</f>
        <v>366660998.2260524</v>
      </c>
      <c r="N487" s="936">
        <f>INDEX(input!$DP$3:$DU$261,MATCH(H487,input!$E$3:$E$261,0),6)</f>
        <v>237537997.06111619</v>
      </c>
      <c r="X487" s="73"/>
      <c r="Z487" s="73"/>
      <c r="AC487" s="73"/>
    </row>
    <row r="488" spans="1:29" ht="15" customHeight="1">
      <c r="A488" s="942" t="s">
        <v>2110</v>
      </c>
      <c r="B488" s="932">
        <f>INDEX(input!$DH$3:$DM$261,MATCH(A488,input!$E$3:$E$261,0),1)</f>
        <v>377674.65161772241</v>
      </c>
      <c r="C488" s="933">
        <f>INDEX(input!$DH$3:$DM$261,MATCH(A488,input!$E$3:$E$261,0),2)</f>
        <v>420265490240.5509</v>
      </c>
      <c r="D488" s="934">
        <f>INDEX(input!$DH$3:$DM$261,MATCH(A488,input!$E$3:$E$261,0),3)</f>
        <v>473.81649295745774</v>
      </c>
      <c r="E488" s="934">
        <f>INDEX(input!$DH$3:$DM$261,MATCH(A488,input!$E$3:$E$261,0),4)</f>
        <v>2366.1835070425423</v>
      </c>
      <c r="F488" s="935">
        <f>INDEX(input!$DH$3:$DM$261,MATCH(A488,input!$E$3:$E$261,0),5)</f>
        <v>886979445.60212898</v>
      </c>
      <c r="G488" s="936">
        <f>INDEX(input!$DH$3:$DM$261,MATCH(A488,input!$E$3:$E$261,0),6)</f>
        <v>177613227.7947599</v>
      </c>
      <c r="H488" s="942" t="s">
        <v>2110</v>
      </c>
      <c r="I488" s="932">
        <f>INDEX(input!$DP$3:$DU$261,MATCH(H488,input!$E$3:$E$261,0),1)</f>
        <v>212400.1939297127</v>
      </c>
      <c r="J488" s="933">
        <f>INDEX(input!$DP$3:$DU$261,MATCH(H488,input!$E$3:$E$261,0),2)</f>
        <v>314430424509.01593</v>
      </c>
      <c r="K488" s="934">
        <f>INDEX(input!$DP$3:$DU$261,MATCH(H488,input!$E$3:$E$261,0),3)</f>
        <v>938.2158910363737</v>
      </c>
      <c r="L488" s="934">
        <f>INDEX(input!$DP$3:$DU$261,MATCH(H488,input!$E$3:$E$261,0),4)</f>
        <v>1901.7841089636263</v>
      </c>
      <c r="M488" s="935">
        <f>INDEX(input!$DP$3:$DU$261,MATCH(H488,input!$E$3:$E$261,0),5)</f>
        <v>335136536.81743681</v>
      </c>
      <c r="N488" s="936">
        <f>INDEX(input!$DP$3:$DU$261,MATCH(H488,input!$E$3:$E$261,0),6)</f>
        <v>165334447.28401071</v>
      </c>
      <c r="X488" s="73"/>
      <c r="Z488" s="73"/>
      <c r="AC488" s="73"/>
    </row>
    <row r="489" spans="1:29" ht="15" customHeight="1">
      <c r="A489" s="942" t="s">
        <v>2111</v>
      </c>
      <c r="B489" s="932">
        <f>INDEX(input!$DH$3:$DM$261,MATCH(A489,input!$E$3:$E$261,0),1)</f>
        <v>398780.52249514393</v>
      </c>
      <c r="C489" s="933">
        <f>INDEX(input!$DH$3:$DM$261,MATCH(A489,input!$E$3:$E$261,0),2)</f>
        <v>490995741742.52405</v>
      </c>
      <c r="D489" s="934">
        <f>INDEX(input!$DH$3:$DM$261,MATCH(A489,input!$E$3:$E$261,0),3)</f>
        <v>539.52049084963664</v>
      </c>
      <c r="E489" s="934">
        <f>INDEX(input!$DH$3:$DM$261,MATCH(A489,input!$E$3:$E$261,0),4)</f>
        <v>2324.4795091503634</v>
      </c>
      <c r="F489" s="935">
        <f>INDEX(input!$DH$3:$DM$261,MATCH(A489,input!$E$3:$E$261,0),5)</f>
        <v>910059488.13789105</v>
      </c>
      <c r="G489" s="936">
        <f>INDEX(input!$DH$3:$DM$261,MATCH(A489,input!$E$3:$E$261,0),6)</f>
        <v>211228251.2320323</v>
      </c>
      <c r="H489" s="942" t="s">
        <v>2111</v>
      </c>
      <c r="I489" s="932">
        <f>INDEX(input!$DP$3:$DU$261,MATCH(H489,input!$E$3:$E$261,0),1)</f>
        <v>233506.06480713421</v>
      </c>
      <c r="J489" s="933">
        <f>INDEX(input!$DP$3:$DU$261,MATCH(H489,input!$E$3:$E$261,0),2)</f>
        <v>367437814540.55322</v>
      </c>
      <c r="K489" s="934">
        <f>INDEX(input!$DP$3:$DU$261,MATCH(H489,input!$E$3:$E$261,0),3)</f>
        <v>1005.6180934601296</v>
      </c>
      <c r="L489" s="934">
        <f>INDEX(input!$DP$3:$DU$261,MATCH(H489,input!$E$3:$E$261,0),4)</f>
        <v>1858.3819065398704</v>
      </c>
      <c r="M489" s="935">
        <f>INDEX(input!$DP$3:$DU$261,MATCH(H489,input!$E$3:$E$261,0),5)</f>
        <v>365385047.1964696</v>
      </c>
      <c r="N489" s="936">
        <f>INDEX(input!$DP$3:$DU$261,MATCH(H489,input!$E$3:$E$261,0),6)</f>
        <v>197719216.51168427</v>
      </c>
      <c r="X489" s="73"/>
      <c r="Z489" s="73"/>
      <c r="AC489" s="73"/>
    </row>
    <row r="490" spans="1:29" ht="15" customHeight="1">
      <c r="A490" s="942" t="s">
        <v>2112</v>
      </c>
      <c r="B490" s="932">
        <f>INDEX(input!$DH$3:$DM$261,MATCH(A490,input!$E$3:$E$261,0),1)</f>
        <v>434805.81150008948</v>
      </c>
      <c r="C490" s="933">
        <f>INDEX(input!$DH$3:$DM$261,MATCH(A490,input!$E$3:$E$261,0),2)</f>
        <v>581052792095.00635</v>
      </c>
      <c r="D490" s="934">
        <f>INDEX(input!$DH$3:$DM$261,MATCH(A490,input!$E$3:$E$261,0),3)</f>
        <v>583.40530568123404</v>
      </c>
      <c r="E490" s="934">
        <f>INDEX(input!$DH$3:$DM$261,MATCH(A490,input!$E$3:$E$261,0),4)</f>
        <v>2404.594694318766</v>
      </c>
      <c r="F490" s="935">
        <f>INDEX(input!$DH$3:$DM$261,MATCH(A490,input!$E$3:$E$261,0),5)</f>
        <v>995967617.0865798</v>
      </c>
      <c r="G490" s="936">
        <f>INDEX(input!$DH$3:$DM$261,MATCH(A490,input!$E$3:$E$261,0),6)</f>
        <v>241642715.70083523</v>
      </c>
      <c r="H490" s="942" t="s">
        <v>2112</v>
      </c>
      <c r="I490" s="932">
        <f>INDEX(input!$DP$3:$DU$261,MATCH(H490,input!$E$3:$E$261,0),1)</f>
        <v>269531.35381207976</v>
      </c>
      <c r="J490" s="933">
        <f>INDEX(input!$DP$3:$DU$261,MATCH(H490,input!$E$3:$E$261,0),2)</f>
        <v>452070446937.92261</v>
      </c>
      <c r="K490" s="934">
        <f>INDEX(input!$DP$3:$DU$261,MATCH(H490,input!$E$3:$E$261,0),3)</f>
        <v>1007.9826684935513</v>
      </c>
      <c r="L490" s="934">
        <f>INDEX(input!$DP$3:$DU$261,MATCH(H490,input!$E$3:$E$261,0),4)</f>
        <v>1980.0173315064487</v>
      </c>
      <c r="M490" s="935">
        <f>INDEX(input!$DP$3:$DU$261,MATCH(H490,input!$E$3:$E$261,0),5)</f>
        <v>448490297.56984836</v>
      </c>
      <c r="N490" s="936">
        <f>INDEX(input!$DP$3:$DU$261,MATCH(H490,input!$E$3:$E$261,0),6)</f>
        <v>228316409.02555922</v>
      </c>
      <c r="X490" s="73"/>
      <c r="Z490" s="73"/>
      <c r="AC490" s="73"/>
    </row>
    <row r="491" spans="1:29" ht="15" customHeight="1">
      <c r="A491" s="942" t="s">
        <v>2113</v>
      </c>
      <c r="B491" s="932">
        <f>INDEX(input!$DH$3:$DM$261,MATCH(A491,input!$E$3:$E$261,0),1)</f>
        <v>510258.52839302097</v>
      </c>
      <c r="C491" s="933">
        <f>INDEX(input!$DH$3:$DM$261,MATCH(A491,input!$E$3:$E$261,0),2)</f>
        <v>716165249859.62256</v>
      </c>
      <c r="D491" s="934">
        <f>INDEX(input!$DH$3:$DM$261,MATCH(A491,input!$E$3:$E$261,0),3)</f>
        <v>603.92230392606234</v>
      </c>
      <c r="E491" s="934">
        <f>INDEX(input!$DH$3:$DM$261,MATCH(A491,input!$E$3:$E$261,0),4)</f>
        <v>2569.0776960739377</v>
      </c>
      <c r="F491" s="935">
        <f>INDEX(input!$DH$3:$DM$261,MATCH(A491,input!$E$3:$E$261,0),5)</f>
        <v>1185856599.7709899</v>
      </c>
      <c r="G491" s="936">
        <f>INDEX(input!$DH$3:$DM$261,MATCH(A491,input!$E$3:$E$261,0),6)</f>
        <v>278763562.09625953</v>
      </c>
      <c r="H491" s="942" t="s">
        <v>2113</v>
      </c>
      <c r="I491" s="932">
        <f>INDEX(input!$DP$3:$DU$261,MATCH(H491,input!$E$3:$E$261,0),1)</f>
        <v>346486.56577490224</v>
      </c>
      <c r="J491" s="933">
        <f>INDEX(input!$DP$3:$DU$261,MATCH(H491,input!$E$3:$E$261,0),2)</f>
        <v>593806852134.37146</v>
      </c>
      <c r="K491" s="934">
        <f>INDEX(input!$DP$3:$DU$261,MATCH(H491,input!$E$3:$E$261,0),3)</f>
        <v>939.00483966037973</v>
      </c>
      <c r="L491" s="934">
        <f>INDEX(input!$DP$3:$DU$261,MATCH(H491,input!$E$3:$E$261,0),4)</f>
        <v>2233.9951603396203</v>
      </c>
      <c r="M491" s="935">
        <f>INDEX(input!$DP$3:$DU$261,MATCH(H491,input!$E$3:$E$261,0),5)</f>
        <v>632378904.82986236</v>
      </c>
      <c r="N491" s="936">
        <f>INDEX(input!$DP$3:$DU$261,MATCH(H491,input!$E$3:$E$261,0),6)</f>
        <v>265804896.39203101</v>
      </c>
      <c r="X491" s="73"/>
      <c r="Z491" s="73"/>
      <c r="AC491" s="73"/>
    </row>
    <row r="492" spans="1:29" ht="15" customHeight="1">
      <c r="A492" s="942" t="s">
        <v>2114</v>
      </c>
      <c r="B492" s="932">
        <f>INDEX(input!$DH$3:$DM$261,MATCH(A492,input!$E$3:$E$261,0),1)</f>
        <v>512275.23070812179</v>
      </c>
      <c r="C492" s="933">
        <f>INDEX(input!$DH$3:$DM$261,MATCH(A492,input!$E$3:$E$261,0),2)</f>
        <v>759917387621.1991</v>
      </c>
      <c r="D492" s="934">
        <f>INDEX(input!$DH$3:$DM$261,MATCH(A492,input!$E$3:$E$261,0),3)</f>
        <v>625.57907741392819</v>
      </c>
      <c r="E492" s="934">
        <f>INDEX(input!$DH$3:$DM$261,MATCH(A492,input!$E$3:$E$261,0),4)</f>
        <v>2644.4209225860718</v>
      </c>
      <c r="F492" s="935">
        <f>INDEX(input!$DH$3:$DM$261,MATCH(A492,input!$E$3:$E$261,0),5)</f>
        <v>1214742332.4363885</v>
      </c>
      <c r="G492" s="936">
        <f>INDEX(input!$DH$3:$DM$261,MATCH(A492,input!$E$3:$E$261,0),6)</f>
        <v>287366274.07941139</v>
      </c>
      <c r="H492" s="942" t="s">
        <v>2114</v>
      </c>
      <c r="I492" s="932">
        <f>INDEX(input!$DP$3:$DU$261,MATCH(H492,input!$E$3:$E$261,0),1)</f>
        <v>348503.26809000311</v>
      </c>
      <c r="J492" s="933">
        <f>INDEX(input!$DP$3:$DU$261,MATCH(H492,input!$E$3:$E$261,0),2)</f>
        <v>630279267595.50842</v>
      </c>
      <c r="K492" s="934">
        <f>INDEX(input!$DP$3:$DU$261,MATCH(H492,input!$E$3:$E$261,0),3)</f>
        <v>968.89972978988681</v>
      </c>
      <c r="L492" s="934">
        <f>INDEX(input!$DP$3:$DU$261,MATCH(H492,input!$E$3:$E$261,0),4)</f>
        <v>2301.1002702101132</v>
      </c>
      <c r="M492" s="935">
        <f>INDEX(input!$DP$3:$DU$261,MATCH(H492,input!$E$3:$E$261,0),5)</f>
        <v>650510314.13971937</v>
      </c>
      <c r="N492" s="936">
        <f>INDEX(input!$DP$3:$DU$261,MATCH(H492,input!$E$3:$E$261,0),6)</f>
        <v>273903434.698201</v>
      </c>
      <c r="X492" s="73"/>
      <c r="Z492" s="73"/>
      <c r="AC492" s="73"/>
    </row>
    <row r="493" spans="1:29" ht="15" customHeight="1">
      <c r="A493" s="942" t="s">
        <v>2115</v>
      </c>
      <c r="B493" s="932">
        <f>INDEX(input!$DH$3:$DM$261,MATCH(A493,input!$E$3:$E$261,0),1)</f>
        <v>510258.52839302097</v>
      </c>
      <c r="C493" s="933">
        <f>INDEX(input!$DH$3:$DM$261,MATCH(A493,input!$E$3:$E$261,0),2)</f>
        <v>716165249859.62256</v>
      </c>
      <c r="D493" s="934">
        <f>INDEX(input!$DH$3:$DM$261,MATCH(A493,input!$E$3:$E$261,0),3)</f>
        <v>603.92230392606234</v>
      </c>
      <c r="E493" s="934">
        <f>INDEX(input!$DH$3:$DM$261,MATCH(A493,input!$E$3:$E$261,0),4)</f>
        <v>2569.0776960739377</v>
      </c>
      <c r="F493" s="935">
        <f>INDEX(input!$DH$3:$DM$261,MATCH(A493,input!$E$3:$E$261,0),5)</f>
        <v>1185856599.7709899</v>
      </c>
      <c r="G493" s="936">
        <f>INDEX(input!$DH$3:$DM$261,MATCH(A493,input!$E$3:$E$261,0),6)</f>
        <v>278763562.09625953</v>
      </c>
      <c r="H493" s="942" t="s">
        <v>2115</v>
      </c>
      <c r="I493" s="932">
        <f>INDEX(input!$DP$3:$DU$261,MATCH(H493,input!$E$3:$E$261,0),1)</f>
        <v>346486.56577490224</v>
      </c>
      <c r="J493" s="933">
        <f>INDEX(input!$DP$3:$DU$261,MATCH(H493,input!$E$3:$E$261,0),2)</f>
        <v>593806852134.37146</v>
      </c>
      <c r="K493" s="934">
        <f>INDEX(input!$DP$3:$DU$261,MATCH(H493,input!$E$3:$E$261,0),3)</f>
        <v>939.00483966037973</v>
      </c>
      <c r="L493" s="934">
        <f>INDEX(input!$DP$3:$DU$261,MATCH(H493,input!$E$3:$E$261,0),4)</f>
        <v>2233.9951603396203</v>
      </c>
      <c r="M493" s="935">
        <f>INDEX(input!$DP$3:$DU$261,MATCH(H493,input!$E$3:$E$261,0),5)</f>
        <v>632378904.82986236</v>
      </c>
      <c r="N493" s="936">
        <f>INDEX(input!$DP$3:$DU$261,MATCH(H493,input!$E$3:$E$261,0),6)</f>
        <v>265804896.39203101</v>
      </c>
      <c r="X493" s="73"/>
      <c r="Z493" s="73"/>
      <c r="AC493" s="73"/>
    </row>
    <row r="494" spans="1:29" ht="15" customHeight="1">
      <c r="A494" s="942" t="s">
        <v>2116</v>
      </c>
      <c r="B494" s="932">
        <f>INDEX(input!$DH$3:$DM$261,MATCH(A494,input!$E$3:$E$261,0),1)</f>
        <v>445023.81150008948</v>
      </c>
      <c r="C494" s="933">
        <f>INDEX(input!$DH$3:$DM$261,MATCH(A494,input!$E$3:$E$261,0),2)</f>
        <v>605273958783.20898</v>
      </c>
      <c r="D494" s="934">
        <f>INDEX(input!$DH$3:$DM$261,MATCH(A494,input!$E$3:$E$261,0),3)</f>
        <v>599.62480146106373</v>
      </c>
      <c r="E494" s="934">
        <f>INDEX(input!$DH$3:$DM$261,MATCH(A494,input!$E$3:$E$261,0),4)</f>
        <v>2394.3751985389363</v>
      </c>
      <c r="F494" s="935">
        <f>INDEX(input!$DH$3:$DM$261,MATCH(A494,input!$E$3:$E$261,0),5)</f>
        <v>1009421153.5419822</v>
      </c>
      <c r="G494" s="936">
        <f>INDEX(input!$DH$3:$DM$261,MATCH(A494,input!$E$3:$E$261,0),6)</f>
        <v>252789938.33236796</v>
      </c>
      <c r="H494" s="942" t="s">
        <v>2116</v>
      </c>
      <c r="I494" s="932">
        <f>INDEX(input!$DP$3:$DU$261,MATCH(H494,input!$E$3:$E$261,0),1)</f>
        <v>279749.35381207976</v>
      </c>
      <c r="J494" s="933">
        <f>INDEX(input!$DP$3:$DU$261,MATCH(H494,input!$E$3:$E$261,0),2)</f>
        <v>473578022724.30658</v>
      </c>
      <c r="K494" s="934">
        <f>INDEX(input!$DP$3:$DU$261,MATCH(H494,input!$E$3:$E$261,0),3)</f>
        <v>1015.9134553867054</v>
      </c>
      <c r="L494" s="934">
        <f>INDEX(input!$DP$3:$DU$261,MATCH(H494,input!$E$3:$E$261,0),4)</f>
        <v>1978.0865446132946</v>
      </c>
      <c r="M494" s="935">
        <f>INDEX(input!$DP$3:$DU$261,MATCH(H494,input!$E$3:$E$261,0),5)</f>
        <v>466159809.39443314</v>
      </c>
      <c r="N494" s="936">
        <f>INDEX(input!$DP$3:$DU$261,MATCH(H494,input!$E$3:$E$261,0),6)</f>
        <v>239412185.4849827</v>
      </c>
      <c r="X494" s="73"/>
      <c r="Z494" s="73"/>
      <c r="AC494" s="73"/>
    </row>
    <row r="495" spans="1:29" ht="15" customHeight="1">
      <c r="A495" s="942" t="s">
        <v>2117</v>
      </c>
      <c r="B495" s="932">
        <f>INDEX(input!$DH$3:$DM$261,MATCH(A495,input!$E$3:$E$261,0),1)</f>
        <v>427202.52249514393</v>
      </c>
      <c r="C495" s="933">
        <f>INDEX(input!$DH$3:$DM$261,MATCH(A495,input!$E$3:$E$261,0),2)</f>
        <v>558224821559.12451</v>
      </c>
      <c r="D495" s="934">
        <f>INDEX(input!$DH$3:$DM$261,MATCH(A495,input!$E$3:$E$261,0),3)</f>
        <v>595.34707582555939</v>
      </c>
      <c r="E495" s="934">
        <f>INDEX(input!$DH$3:$DM$261,MATCH(A495,input!$E$3:$E$261,0),4)</f>
        <v>2288.6529241744406</v>
      </c>
      <c r="F495" s="935">
        <f>INDEX(input!$DH$3:$DM$261,MATCH(A495,input!$E$3:$E$261,0),5)</f>
        <v>937646029.05799448</v>
      </c>
      <c r="G495" s="936">
        <f>INDEX(input!$DH$3:$DM$261,MATCH(A495,input!$E$3:$E$261,0),6)</f>
        <v>243909775.77366236</v>
      </c>
      <c r="H495" s="942" t="s">
        <v>2117</v>
      </c>
      <c r="I495" s="932">
        <f>INDEX(input!$DP$3:$DU$261,MATCH(H495,input!$E$3:$E$261,0),1)</f>
        <v>261928.06480713421</v>
      </c>
      <c r="J495" s="933">
        <f>INDEX(input!$DP$3:$DU$261,MATCH(H495,input!$E$3:$E$261,0),2)</f>
        <v>424850480392.37915</v>
      </c>
      <c r="K495" s="934">
        <f>INDEX(input!$DP$3:$DU$261,MATCH(H495,input!$E$3:$E$261,0),3)</f>
        <v>1037.2603287474358</v>
      </c>
      <c r="L495" s="934">
        <f>INDEX(input!$DP$3:$DU$261,MATCH(H495,input!$E$3:$E$261,0),4)</f>
        <v>1846.7396712525642</v>
      </c>
      <c r="M495" s="935">
        <f>INDEX(input!$DP$3:$DU$261,MATCH(H495,input!$E$3:$E$261,0),5)</f>
        <v>409589057.46006477</v>
      </c>
      <c r="N495" s="936">
        <f>INDEX(input!$DP$3:$DU$261,MATCH(H495,input!$E$3:$E$261,0),6)</f>
        <v>230054342.25833321</v>
      </c>
      <c r="X495" s="73"/>
      <c r="Z495" s="73"/>
      <c r="AC495" s="73"/>
    </row>
    <row r="496" spans="1:29" ht="15" customHeight="1">
      <c r="A496" s="942" t="s">
        <v>2118</v>
      </c>
      <c r="B496" s="932">
        <f>INDEX(input!$DH$3:$DM$261,MATCH(A496,input!$E$3:$E$261,0),1)</f>
        <v>393314.65161772241</v>
      </c>
      <c r="C496" s="933">
        <f>INDEX(input!$DH$3:$DM$261,MATCH(A496,input!$E$3:$E$261,0),2)</f>
        <v>484830911260.67322</v>
      </c>
      <c r="D496" s="934">
        <f>INDEX(input!$DH$3:$DM$261,MATCH(A496,input!$E$3:$E$261,0),3)</f>
        <v>543.09255105635339</v>
      </c>
      <c r="E496" s="934">
        <f>INDEX(input!$DH$3:$DM$261,MATCH(A496,input!$E$3:$E$261,0),4)</f>
        <v>2306.9074489436466</v>
      </c>
      <c r="F496" s="935">
        <f>INDEX(input!$DH$3:$DM$261,MATCH(A496,input!$E$3:$E$261,0),5)</f>
        <v>892722447.24705362</v>
      </c>
      <c r="G496" s="936">
        <f>INDEX(input!$DH$3:$DM$261,MATCH(A496,input!$E$3:$E$261,0),6)</f>
        <v>210164873.09999436</v>
      </c>
      <c r="H496" s="942" t="s">
        <v>2118</v>
      </c>
      <c r="I496" s="932">
        <f>INDEX(input!$DP$3:$DU$261,MATCH(H496,input!$E$3:$E$261,0),1)</f>
        <v>228040.1939297127</v>
      </c>
      <c r="J496" s="933">
        <f>INDEX(input!$DP$3:$DU$261,MATCH(H496,input!$E$3:$E$261,0),2)</f>
        <v>358712367866.07629</v>
      </c>
      <c r="K496" s="934">
        <f>INDEX(input!$DP$3:$DU$261,MATCH(H496,input!$E$3:$E$261,0),3)</f>
        <v>1022.9508840519725</v>
      </c>
      <c r="L496" s="934">
        <f>INDEX(input!$DP$3:$DU$261,MATCH(H496,input!$E$3:$E$261,0),4)</f>
        <v>1827.0491159480275</v>
      </c>
      <c r="M496" s="935">
        <f>INDEX(input!$DP$3:$DU$261,MATCH(H496,input!$E$3:$E$261,0),5)</f>
        <v>350664311.9024387</v>
      </c>
      <c r="N496" s="936">
        <f>INDEX(input!$DP$3:$DU$261,MATCH(H496,input!$E$3:$E$261,0),6)</f>
        <v>196334277.35189593</v>
      </c>
      <c r="X496" s="73"/>
      <c r="Z496" s="73"/>
      <c r="AC496" s="73"/>
    </row>
    <row r="497" spans="1:29" ht="15" customHeight="1">
      <c r="A497" s="942" t="s">
        <v>2119</v>
      </c>
      <c r="B497" s="932">
        <f>INDEX(input!$DH$3:$DM$261,MATCH(A497,input!$E$3:$E$261,0),1)</f>
        <v>377674.65161772241</v>
      </c>
      <c r="C497" s="933">
        <f>INDEX(input!$DH$3:$DM$261,MATCH(A497,input!$E$3:$E$261,0),2)</f>
        <v>420265490240.5509</v>
      </c>
      <c r="D497" s="934">
        <f>INDEX(input!$DH$3:$DM$261,MATCH(A497,input!$E$3:$E$261,0),3)</f>
        <v>473.81649295745774</v>
      </c>
      <c r="E497" s="934">
        <f>INDEX(input!$DH$3:$DM$261,MATCH(A497,input!$E$3:$E$261,0),4)</f>
        <v>2366.1835070425423</v>
      </c>
      <c r="F497" s="935">
        <f>INDEX(input!$DH$3:$DM$261,MATCH(A497,input!$E$3:$E$261,0),5)</f>
        <v>886979445.60212898</v>
      </c>
      <c r="G497" s="936">
        <f>INDEX(input!$DH$3:$DM$261,MATCH(A497,input!$E$3:$E$261,0),6)</f>
        <v>177613227.7947599</v>
      </c>
      <c r="H497" s="942" t="s">
        <v>2119</v>
      </c>
      <c r="I497" s="932">
        <f>INDEX(input!$DP$3:$DU$261,MATCH(H497,input!$E$3:$E$261,0),1)</f>
        <v>212400.1939297127</v>
      </c>
      <c r="J497" s="933">
        <f>INDEX(input!$DP$3:$DU$261,MATCH(H497,input!$E$3:$E$261,0),2)</f>
        <v>314430424509.01593</v>
      </c>
      <c r="K497" s="934">
        <f>INDEX(input!$DP$3:$DU$261,MATCH(H497,input!$E$3:$E$261,0),3)</f>
        <v>938.2158910363737</v>
      </c>
      <c r="L497" s="934">
        <f>INDEX(input!$DP$3:$DU$261,MATCH(H497,input!$E$3:$E$261,0),4)</f>
        <v>1901.7841089636263</v>
      </c>
      <c r="M497" s="935">
        <f>INDEX(input!$DP$3:$DU$261,MATCH(H497,input!$E$3:$E$261,0),5)</f>
        <v>335136536.81743681</v>
      </c>
      <c r="N497" s="936">
        <f>INDEX(input!$DP$3:$DU$261,MATCH(H497,input!$E$3:$E$261,0),6)</f>
        <v>165334447.28401071</v>
      </c>
      <c r="X497" s="73"/>
      <c r="Z497" s="73"/>
      <c r="AC497" s="73"/>
    </row>
    <row r="498" spans="1:29" ht="15" customHeight="1">
      <c r="A498" s="942" t="s">
        <v>2120</v>
      </c>
      <c r="B498" s="932">
        <f>INDEX(input!$DH$3:$DM$261,MATCH(A498,input!$E$3:$E$261,0),1)</f>
        <v>362154.65161772241</v>
      </c>
      <c r="C498" s="933">
        <f>INDEX(input!$DH$3:$DM$261,MATCH(A498,input!$E$3:$E$261,0),2)</f>
        <v>329953970555.92291</v>
      </c>
      <c r="D498" s="934">
        <f>INDEX(input!$DH$3:$DM$261,MATCH(A498,input!$E$3:$E$261,0),3)</f>
        <v>372.58601623836148</v>
      </c>
      <c r="E498" s="934">
        <f>INDEX(input!$DH$3:$DM$261,MATCH(A498,input!$E$3:$E$261,0),4)</f>
        <v>2459.4139837616385</v>
      </c>
      <c r="F498" s="935">
        <f>INDEX(input!$DH$3:$DM$261,MATCH(A498,input!$E$3:$E$261,0),5)</f>
        <v>885577977.09948206</v>
      </c>
      <c r="G498" s="936">
        <f>INDEX(input!$DH$3:$DM$261,MATCH(A498,input!$E$3:$E$261,0),6)</f>
        <v>134159589.53411455</v>
      </c>
      <c r="H498" s="942" t="s">
        <v>2120</v>
      </c>
      <c r="I498" s="932">
        <f>INDEX(input!$DP$3:$DU$261,MATCH(H498,input!$E$3:$E$261,0),1)</f>
        <v>196880.1939297127</v>
      </c>
      <c r="J498" s="933">
        <f>INDEX(input!$DP$3:$DU$261,MATCH(H498,input!$E$3:$E$261,0),2)</f>
        <v>254127440236.13666</v>
      </c>
      <c r="K498" s="934">
        <f>INDEX(input!$DP$3:$DU$261,MATCH(H498,input!$E$3:$E$261,0),3)</f>
        <v>788.61420290704064</v>
      </c>
      <c r="L498" s="934">
        <f>INDEX(input!$DP$3:$DU$261,MATCH(H498,input!$E$3:$E$261,0),4)</f>
        <v>2043.3857970929594</v>
      </c>
      <c r="M498" s="935">
        <f>INDEX(input!$DP$3:$DU$261,MATCH(H498,input!$E$3:$E$261,0),5)</f>
        <v>322245578.76253772</v>
      </c>
      <c r="N498" s="936">
        <f>INDEX(input!$DP$3:$DU$261,MATCH(H498,input!$E$3:$E$261,0),6)</f>
        <v>124365864.04665887</v>
      </c>
      <c r="X498" s="73"/>
      <c r="Z498" s="73"/>
      <c r="AC498" s="73"/>
    </row>
    <row r="499" spans="1:29" ht="15" customHeight="1">
      <c r="A499" s="942" t="s">
        <v>2121</v>
      </c>
      <c r="B499" s="932">
        <f>INDEX(input!$DH$3:$DM$261,MATCH(A499,input!$E$3:$E$261,0),1)</f>
        <v>362154.65161772241</v>
      </c>
      <c r="C499" s="933">
        <f>INDEX(input!$DH$3:$DM$261,MATCH(A499,input!$E$3:$E$261,0),2)</f>
        <v>329953970555.92291</v>
      </c>
      <c r="D499" s="934">
        <f>INDEX(input!$DH$3:$DM$261,MATCH(A499,input!$E$3:$E$261,0),3)</f>
        <v>372.58601623836148</v>
      </c>
      <c r="E499" s="934">
        <f>INDEX(input!$DH$3:$DM$261,MATCH(A499,input!$E$3:$E$261,0),4)</f>
        <v>2459.4139837616385</v>
      </c>
      <c r="F499" s="935">
        <f>INDEX(input!$DH$3:$DM$261,MATCH(A499,input!$E$3:$E$261,0),5)</f>
        <v>885577977.09948206</v>
      </c>
      <c r="G499" s="936">
        <f>INDEX(input!$DH$3:$DM$261,MATCH(A499,input!$E$3:$E$261,0),6)</f>
        <v>134159589.53411455</v>
      </c>
      <c r="H499" s="942" t="s">
        <v>2121</v>
      </c>
      <c r="I499" s="932">
        <f>INDEX(input!$DP$3:$DU$261,MATCH(H499,input!$E$3:$E$261,0),1)</f>
        <v>196880.1939297127</v>
      </c>
      <c r="J499" s="933">
        <f>INDEX(input!$DP$3:$DU$261,MATCH(H499,input!$E$3:$E$261,0),2)</f>
        <v>254127440236.13666</v>
      </c>
      <c r="K499" s="934">
        <f>INDEX(input!$DP$3:$DU$261,MATCH(H499,input!$E$3:$E$261,0),3)</f>
        <v>788.61420290704064</v>
      </c>
      <c r="L499" s="934">
        <f>INDEX(input!$DP$3:$DU$261,MATCH(H499,input!$E$3:$E$261,0),4)</f>
        <v>2043.3857970929594</v>
      </c>
      <c r="M499" s="935">
        <f>INDEX(input!$DP$3:$DU$261,MATCH(H499,input!$E$3:$E$261,0),5)</f>
        <v>322245578.76253772</v>
      </c>
      <c r="N499" s="936">
        <f>INDEX(input!$DP$3:$DU$261,MATCH(H499,input!$E$3:$E$261,0),6)</f>
        <v>124365864.04665887</v>
      </c>
      <c r="X499" s="73"/>
      <c r="Z499" s="73"/>
      <c r="AC499" s="73"/>
    </row>
    <row r="500" spans="1:29" ht="15" customHeight="1">
      <c r="A500" s="943" t="s">
        <v>2122</v>
      </c>
      <c r="B500" s="937">
        <f>INDEX(input!$DH$3:$DM$261,MATCH(A500,input!$E$3:$E$261,0),1)</f>
        <v>355063.55436390673</v>
      </c>
      <c r="C500" s="938">
        <f>INDEX(input!$DH$3:$DM$261,MATCH(A500,input!$E$3:$E$261,0),2)</f>
        <v>279102938457.66693</v>
      </c>
      <c r="D500" s="939">
        <f>INDEX(input!$DH$3:$DM$261,MATCH(A500,input!$E$3:$E$261,0),3)</f>
        <v>329.91189451749597</v>
      </c>
      <c r="E500" s="939">
        <f>INDEX(input!$DH$3:$DM$261,MATCH(A500,input!$E$3:$E$261,0),4)</f>
        <v>2302.088105482504</v>
      </c>
      <c r="F500" s="940">
        <f>INDEX(input!$DH$3:$DM$261,MATCH(A500,input!$E$3:$E$261,0),5)</f>
        <v>845992348.55069911</v>
      </c>
      <c r="G500" s="941">
        <f>INDEX(input!$DH$3:$DM$261,MATCH(A500,input!$E$3:$E$261,0),6)</f>
        <v>121239034.15901999</v>
      </c>
      <c r="H500" s="943" t="s">
        <v>2122</v>
      </c>
      <c r="I500" s="937">
        <f>INDEX(input!$DP$3:$DU$261,MATCH(H500,input!$E$3:$E$261,0),1)</f>
        <v>191291.59174578806</v>
      </c>
      <c r="J500" s="938">
        <f>INDEX(input!$DP$3:$DU$261,MATCH(H500,input!$E$3:$E$261,0),2)</f>
        <v>215599317361.93048</v>
      </c>
      <c r="K500" s="939">
        <f>INDEX(input!$DP$3:$DU$261,MATCH(H500,input!$E$3:$E$261,0),3)</f>
        <v>717.66688772594102</v>
      </c>
      <c r="L500" s="939">
        <f>INDEX(input!$DP$3:$DU$261,MATCH(H500,input!$E$3:$E$261,0),4)</f>
        <v>1914.333112274059</v>
      </c>
      <c r="M500" s="940">
        <f>INDEX(input!$DP$3:$DU$261,MATCH(H500,input!$E$3:$E$261,0),5)</f>
        <v>300416977.63860393</v>
      </c>
      <c r="N500" s="941">
        <f>INDEX(input!$DP$3:$DU$261,MATCH(H500,input!$E$3:$E$261,0),6)</f>
        <v>112623720.49022205</v>
      </c>
      <c r="X500" s="73"/>
      <c r="Z500" s="73"/>
      <c r="AC500" s="73"/>
    </row>
    <row r="501" spans="1:29" ht="15" customHeight="1">
      <c r="D501" s="495"/>
      <c r="E501" s="805"/>
      <c r="H501" s="498"/>
      <c r="I501" s="498"/>
      <c r="J501" s="278"/>
      <c r="L501" s="278"/>
      <c r="X501" s="73"/>
      <c r="Z501" s="73"/>
      <c r="AC501" s="73"/>
    </row>
    <row r="502" spans="1:29" ht="15" customHeight="1">
      <c r="A502" s="97" t="s">
        <v>1146</v>
      </c>
      <c r="B502" s="495"/>
      <c r="C502" s="805"/>
      <c r="F502" s="498"/>
      <c r="G502" s="498"/>
      <c r="H502" s="97" t="s">
        <v>1147</v>
      </c>
      <c r="I502" s="495"/>
      <c r="J502" s="805"/>
      <c r="L502" s="143"/>
      <c r="M502" s="498"/>
      <c r="N502" s="498"/>
      <c r="X502" s="73"/>
      <c r="Z502" s="73"/>
      <c r="AC502" s="73"/>
    </row>
    <row r="503" spans="1:29" ht="15" customHeight="1">
      <c r="A503" s="801" t="s">
        <v>309</v>
      </c>
      <c r="B503" s="496" t="s">
        <v>1561</v>
      </c>
      <c r="C503" s="804" t="s">
        <v>2310</v>
      </c>
      <c r="D503" s="485" t="s">
        <v>1562</v>
      </c>
      <c r="E503" s="485" t="s">
        <v>1563</v>
      </c>
      <c r="F503" s="499" t="s">
        <v>1564</v>
      </c>
      <c r="G503" s="500" t="s">
        <v>1565</v>
      </c>
      <c r="H503" s="801" t="s">
        <v>309</v>
      </c>
      <c r="I503" s="496" t="s">
        <v>1566</v>
      </c>
      <c r="J503" s="804" t="s">
        <v>2311</v>
      </c>
      <c r="K503" s="485" t="s">
        <v>1567</v>
      </c>
      <c r="L503" s="485" t="s">
        <v>1568</v>
      </c>
      <c r="M503" s="499" t="s">
        <v>1569</v>
      </c>
      <c r="N503" s="500" t="s">
        <v>1570</v>
      </c>
      <c r="X503" s="73"/>
      <c r="Z503" s="73"/>
      <c r="AC503" s="73"/>
    </row>
    <row r="504" spans="1:29" ht="15" customHeight="1">
      <c r="A504" s="942" t="s">
        <v>2084</v>
      </c>
      <c r="B504" s="932">
        <f>INDEX(input!$DX$3:$EC$261,MATCH(A504,input!$E$3:$E$261,0),1)</f>
        <v>126369.55844076678</v>
      </c>
      <c r="C504" s="933">
        <f>INDEX(input!$DX$3:$EC$261,MATCH(A504,input!$E$3:$E$261,0),2)</f>
        <v>147478061351.25607</v>
      </c>
      <c r="D504" s="934">
        <f>INDEX(input!$DX$3:$EC$261,MATCH(A504,input!$E$3:$E$261,0),3)</f>
        <v>1232.932145019611</v>
      </c>
      <c r="E504" s="934">
        <f>INDEX(input!$DX$3:$EC$261,MATCH(A504,input!$E$3:$E$261,0),4)</f>
        <v>1401.067854980389</v>
      </c>
      <c r="F504" s="935">
        <f>INDEX(input!$DX$3:$EC$261,MATCH(A504,input!$E$3:$E$261,0),5)</f>
        <v>119615716.03675747</v>
      </c>
      <c r="G504" s="936">
        <f>INDEX(input!$DX$3:$EC$261,MATCH(A504,input!$E$3:$E$261,0),6)</f>
        <v>105261184.05116099</v>
      </c>
      <c r="H504" s="942" t="s">
        <v>2084</v>
      </c>
      <c r="I504" s="932">
        <f>INDEX(input!$EF$3:$EK$261,MATCH(H504,input!$E$3:$E$261,0),1)</f>
        <v>117646.92643807472</v>
      </c>
      <c r="J504" s="933">
        <f>INDEX(input!$EF$3:$EK$261,MATCH(H504,input!$E$3:$E$261,0),2)</f>
        <v>129860445246.22394</v>
      </c>
      <c r="K504" s="934">
        <f>INDEX(input!$EF$3:$EK$261,MATCH(H504,input!$E$3:$E$261,0),3)</f>
        <v>1334.3553149719196</v>
      </c>
      <c r="L504" s="934">
        <f>INDEX(input!$EF$3:$EK$261,MATCH(H504,input!$E$3:$E$261,0),4)</f>
        <v>1299.6446850280804</v>
      </c>
      <c r="M504" s="935">
        <f>INDEX(input!$EF$3:$EK$261,MATCH(H504,input!$E$3:$E$261,0),5)</f>
        <v>97320738.928489029</v>
      </c>
      <c r="N504" s="936">
        <f>INDEX(input!$EF$3:$EK$261,MATCH(H504,input!$E$3:$E$261,0),6)</f>
        <v>99919960.233914346</v>
      </c>
      <c r="X504" s="73"/>
      <c r="Z504" s="73"/>
      <c r="AC504" s="73"/>
    </row>
    <row r="505" spans="1:29" ht="15" customHeight="1">
      <c r="A505" s="942" t="s">
        <v>2086</v>
      </c>
      <c r="B505" s="932">
        <f>INDEX(input!$DX$3:$EC$261,MATCH(A505,input!$E$3:$E$261,0),1)</f>
        <v>150846.91308974594</v>
      </c>
      <c r="C505" s="933">
        <f>INDEX(input!$DX$3:$EC$261,MATCH(A505,input!$E$3:$E$261,0),2)</f>
        <v>214108336764.70999</v>
      </c>
      <c r="D505" s="934">
        <f>INDEX(input!$DX$3:$EC$261,MATCH(A505,input!$E$3:$E$261,0),3)</f>
        <v>1384.5150764771718</v>
      </c>
      <c r="E505" s="934">
        <f>INDEX(input!$DX$3:$EC$261,MATCH(A505,input!$E$3:$E$261,0),4)</f>
        <v>1463.4849235228282</v>
      </c>
      <c r="F505" s="935">
        <f>INDEX(input!$DX$3:$EC$261,MATCH(A505,input!$E$3:$E$261,0),5)</f>
        <v>154645001.99557072</v>
      </c>
      <c r="G505" s="936">
        <f>INDEX(input!$DX$3:$EC$261,MATCH(A505,input!$E$3:$E$261,0),6)</f>
        <v>146300336.49360666</v>
      </c>
      <c r="H505" s="942" t="s">
        <v>2086</v>
      </c>
      <c r="I505" s="932">
        <f>INDEX(input!$EF$3:$EK$261,MATCH(H505,input!$E$3:$E$261,0),1)</f>
        <v>142124.28108705388</v>
      </c>
      <c r="J505" s="933">
        <f>INDEX(input!$EF$3:$EK$261,MATCH(H505,input!$E$3:$E$261,0),2)</f>
        <v>192871489301.60898</v>
      </c>
      <c r="K505" s="934">
        <f>INDEX(input!$EF$3:$EK$261,MATCH(H505,input!$E$3:$E$261,0),3)</f>
        <v>1477.2827948897061</v>
      </c>
      <c r="L505" s="934">
        <f>INDEX(input!$EF$3:$EK$261,MATCH(H505,input!$E$3:$E$261,0),4)</f>
        <v>1370.7172051102939</v>
      </c>
      <c r="M505" s="935">
        <f>INDEX(input!$EF$3:$EK$261,MATCH(H505,input!$E$3:$E$261,0),5)</f>
        <v>130558272.23386079</v>
      </c>
      <c r="N505" s="936">
        <f>INDEX(input!$EF$3:$EK$261,MATCH(H505,input!$E$3:$E$261,0),6)</f>
        <v>140708447.06883919</v>
      </c>
      <c r="X505" s="73"/>
      <c r="Z505" s="73"/>
      <c r="AC505" s="73"/>
    </row>
    <row r="506" spans="1:29" ht="15" customHeight="1">
      <c r="A506" s="942" t="s">
        <v>2087</v>
      </c>
      <c r="B506" s="932">
        <f>INDEX(input!$DX$3:$EC$261,MATCH(A506,input!$E$3:$E$261,0),1)</f>
        <v>189886.91308974594</v>
      </c>
      <c r="C506" s="933">
        <f>INDEX(input!$DX$3:$EC$261,MATCH(A506,input!$E$3:$E$261,0),2)</f>
        <v>290450258588.50891</v>
      </c>
      <c r="D506" s="934">
        <f>INDEX(input!$DX$3:$EC$261,MATCH(A506,input!$E$3:$E$261,0),3)</f>
        <v>1574.5538007466741</v>
      </c>
      <c r="E506" s="934">
        <f>INDEX(input!$DX$3:$EC$261,MATCH(A506,input!$E$3:$E$261,0),4)</f>
        <v>1297.4461992533259</v>
      </c>
      <c r="F506" s="935">
        <f>INDEX(input!$DX$3:$EC$261,MATCH(A506,input!$E$3:$E$261,0),5)</f>
        <v>184465121.77022696</v>
      </c>
      <c r="G506" s="936">
        <f>INDEX(input!$DX$3:$EC$261,MATCH(A506,input!$E$3:$E$261,0),6)</f>
        <v>223863046.3102529</v>
      </c>
      <c r="H506" s="942" t="s">
        <v>2087</v>
      </c>
      <c r="I506" s="932">
        <f>INDEX(input!$EF$3:$EK$261,MATCH(H506,input!$E$3:$E$261,0),1)</f>
        <v>181164.28108705388</v>
      </c>
      <c r="J506" s="933">
        <f>INDEX(input!$EF$3:$EK$261,MATCH(H506,input!$E$3:$E$261,0),2)</f>
        <v>264142700868.93478</v>
      </c>
      <c r="K506" s="934">
        <f>INDEX(input!$EF$3:$EK$261,MATCH(H506,input!$E$3:$E$261,0),3)</f>
        <v>1656.0952723925752</v>
      </c>
      <c r="L506" s="934">
        <f>INDEX(input!$EF$3:$EK$261,MATCH(H506,input!$E$3:$E$261,0),4)</f>
        <v>1215.9047276074248</v>
      </c>
      <c r="M506" s="935">
        <f>INDEX(input!$EF$3:$EK$261,MATCH(H506,input!$E$3:$E$261,0),5)</f>
        <v>159497285.73726651</v>
      </c>
      <c r="N506" s="936">
        <f>INDEX(input!$EF$3:$EK$261,MATCH(H506,input!$E$3:$E$261,0),6)</f>
        <v>217239636.3559643</v>
      </c>
      <c r="X506" s="73"/>
      <c r="Z506" s="73"/>
      <c r="AC506" s="73"/>
    </row>
    <row r="507" spans="1:29" ht="15" customHeight="1">
      <c r="A507" s="942" t="s">
        <v>2088</v>
      </c>
      <c r="B507" s="932">
        <f>INDEX(input!$DX$3:$EC$261,MATCH(A507,input!$E$3:$E$261,0),1)</f>
        <v>211526.91308974594</v>
      </c>
      <c r="C507" s="933">
        <f>INDEX(input!$DX$3:$EC$261,MATCH(A507,input!$E$3:$E$261,0),2)</f>
        <v>334483056239.52264</v>
      </c>
      <c r="D507" s="934">
        <f>INDEX(input!$DX$3:$EC$261,MATCH(A507,input!$E$3:$E$261,0),3)</f>
        <v>1574.3491439427423</v>
      </c>
      <c r="E507" s="934">
        <f>INDEX(input!$DX$3:$EC$261,MATCH(A507,input!$E$3:$E$261,0),4)</f>
        <v>1305.6508560572577</v>
      </c>
      <c r="F507" s="935">
        <f>INDEX(input!$DX$3:$EC$261,MATCH(A507,input!$E$3:$E$261,0),5)</f>
        <v>212457990.99039462</v>
      </c>
      <c r="G507" s="936">
        <f>INDEX(input!$DX$3:$EC$261,MATCH(A507,input!$E$3:$E$261,0),6)</f>
        <v>256181087.53022891</v>
      </c>
      <c r="H507" s="942" t="s">
        <v>2088</v>
      </c>
      <c r="I507" s="932">
        <f>INDEX(input!$EF$3:$EK$261,MATCH(H507,input!$E$3:$E$261,0),1)</f>
        <v>202804.28108705388</v>
      </c>
      <c r="J507" s="933">
        <f>INDEX(input!$EF$3:$EK$261,MATCH(H507,input!$E$3:$E$261,0),2)</f>
        <v>308371923533.24579</v>
      </c>
      <c r="K507" s="934">
        <f>INDEX(input!$EF$3:$EK$261,MATCH(H507,input!$E$3:$E$261,0),3)</f>
        <v>1647.0950031545817</v>
      </c>
      <c r="L507" s="934">
        <f>INDEX(input!$EF$3:$EK$261,MATCH(H507,input!$E$3:$E$261,0),4)</f>
        <v>1232.9049968454183</v>
      </c>
      <c r="M507" s="935">
        <f>INDEX(input!$EF$3:$EK$261,MATCH(H507,input!$E$3:$E$261,0),5)</f>
        <v>187221698.16716075</v>
      </c>
      <c r="N507" s="936">
        <f>INDEX(input!$EF$3:$EK$261,MATCH(H507,input!$E$3:$E$261,0),6)</f>
        <v>250118155.35038298</v>
      </c>
      <c r="X507" s="73"/>
      <c r="Z507" s="73"/>
      <c r="AC507" s="73"/>
    </row>
    <row r="508" spans="1:29" ht="15" customHeight="1">
      <c r="A508" s="942" t="s">
        <v>2089</v>
      </c>
      <c r="B508" s="932">
        <f>INDEX(input!$DX$3:$EC$261,MATCH(A508,input!$E$3:$E$261,0),1)</f>
        <v>184006.91308974594</v>
      </c>
      <c r="C508" s="933">
        <f>INDEX(input!$DX$3:$EC$261,MATCH(A508,input!$E$3:$E$261,0),2)</f>
        <v>278957443793.89447</v>
      </c>
      <c r="D508" s="934">
        <f>INDEX(input!$DX$3:$EC$261,MATCH(A508,input!$E$3:$E$261,0),3)</f>
        <v>1562.3199262688654</v>
      </c>
      <c r="E508" s="934">
        <f>INDEX(input!$DX$3:$EC$261,MATCH(A508,input!$E$3:$E$261,0),4)</f>
        <v>1305.6800737311346</v>
      </c>
      <c r="F508" s="935">
        <f>INDEX(input!$DX$3:$EC$261,MATCH(A508,input!$E$3:$E$261,0),5)</f>
        <v>178553341.79862958</v>
      </c>
      <c r="G508" s="936">
        <f>INDEX(input!$DX$3:$EC$261,MATCH(A508,input!$E$3:$E$261,0),6)</f>
        <v>213649154.49520549</v>
      </c>
      <c r="H508" s="942" t="s">
        <v>2089</v>
      </c>
      <c r="I508" s="932">
        <f>INDEX(input!$EF$3:$EK$261,MATCH(H508,input!$E$3:$E$261,0),1)</f>
        <v>175284.28108705388</v>
      </c>
      <c r="J508" s="933">
        <f>INDEX(input!$EF$3:$EK$261,MATCH(H508,input!$E$3:$E$261,0),2)</f>
        <v>252925923365.1283</v>
      </c>
      <c r="K508" s="934">
        <f>INDEX(input!$EF$3:$EK$261,MATCH(H508,input!$E$3:$E$261,0),3)</f>
        <v>1646.0874819071607</v>
      </c>
      <c r="L508" s="934">
        <f>INDEX(input!$EF$3:$EK$261,MATCH(H508,input!$E$3:$E$261,0),4)</f>
        <v>1221.9125180928393</v>
      </c>
      <c r="M508" s="935">
        <f>INDEX(input!$EF$3:$EK$261,MATCH(H508,input!$E$3:$E$261,0),5)</f>
        <v>153652783.43049407</v>
      </c>
      <c r="N508" s="936">
        <f>INDEX(input!$EF$3:$EK$261,MATCH(H508,input!$E$3:$E$261,0),6)</f>
        <v>206991842.39465442</v>
      </c>
      <c r="X508" s="73"/>
      <c r="Z508" s="73"/>
      <c r="AC508" s="73"/>
    </row>
    <row r="509" spans="1:29" ht="15" customHeight="1">
      <c r="A509" s="942" t="s">
        <v>2090</v>
      </c>
      <c r="B509" s="932">
        <f>INDEX(input!$DX$3:$EC$261,MATCH(A509,input!$E$3:$E$261,0),1)</f>
        <v>178006.91308974594</v>
      </c>
      <c r="C509" s="933">
        <f>INDEX(input!$DX$3:$EC$261,MATCH(A509,input!$E$3:$E$261,0),2)</f>
        <v>263876813373.73816</v>
      </c>
      <c r="D509" s="934">
        <f>INDEX(input!$DX$3:$EC$261,MATCH(A509,input!$E$3:$E$261,0),3)</f>
        <v>1608.8792308218083</v>
      </c>
      <c r="E509" s="934">
        <f>INDEX(input!$DX$3:$EC$261,MATCH(A509,input!$E$3:$E$261,0),4)</f>
        <v>1253.1207691781917</v>
      </c>
      <c r="F509" s="935">
        <f>INDEX(input!$DX$3:$EC$261,MATCH(A509,input!$E$3:$E$261,0),5)</f>
        <v>164012816.07628876</v>
      </c>
      <c r="G509" s="936">
        <f>INDEX(input!$DX$3:$EC$261,MATCH(A509,input!$E$3:$E$261,0),6)</f>
        <v>210575724.11539474</v>
      </c>
      <c r="H509" s="942" t="s">
        <v>2090</v>
      </c>
      <c r="I509" s="932">
        <f>INDEX(input!$EF$3:$EK$261,MATCH(H509,input!$E$3:$E$261,0),1)</f>
        <v>169284.28108705388</v>
      </c>
      <c r="J509" s="933">
        <f>INDEX(input!$EF$3:$EK$261,MATCH(H509,input!$E$3:$E$261,0),2)</f>
        <v>236153360491.24203</v>
      </c>
      <c r="K509" s="934">
        <f>INDEX(input!$EF$3:$EK$261,MATCH(H509,input!$E$3:$E$261,0),3)</f>
        <v>1698.3239869632519</v>
      </c>
      <c r="L509" s="934">
        <f>INDEX(input!$EF$3:$EK$261,MATCH(H509,input!$E$3:$E$261,0),4)</f>
        <v>1163.6760130367481</v>
      </c>
      <c r="M509" s="935">
        <f>INDEX(input!$EF$3:$EK$261,MATCH(H509,input!$E$3:$E$261,0),5)</f>
        <v>139050830.29151839</v>
      </c>
      <c r="N509" s="936">
        <f>INDEX(input!$EF$3:$EK$261,MATCH(H509,input!$E$3:$E$261,0),6)</f>
        <v>202937379.34407732</v>
      </c>
      <c r="X509" s="73"/>
      <c r="Z509" s="73"/>
      <c r="AC509" s="73"/>
    </row>
    <row r="510" spans="1:29" ht="15" customHeight="1">
      <c r="A510" s="942" t="s">
        <v>2091</v>
      </c>
      <c r="B510" s="932">
        <f>INDEX(input!$DX$3:$EC$261,MATCH(A510,input!$E$3:$E$261,0),1)</f>
        <v>142846.91308974591</v>
      </c>
      <c r="C510" s="933">
        <f>INDEX(input!$DX$3:$EC$261,MATCH(A510,input!$E$3:$E$261,0),2)</f>
        <v>198007849742.18506</v>
      </c>
      <c r="D510" s="934">
        <f>INDEX(input!$DX$3:$EC$261,MATCH(A510,input!$E$3:$E$261,0),3)</f>
        <v>1453.8294571168058</v>
      </c>
      <c r="E510" s="934">
        <f>INDEX(input!$DX$3:$EC$261,MATCH(A510,input!$E$3:$E$261,0),4)</f>
        <v>1386.1705428831942</v>
      </c>
      <c r="F510" s="935">
        <f>INDEX(input!$DX$3:$EC$261,MATCH(A510,input!$E$3:$E$261,0),5)</f>
        <v>136197439.64664793</v>
      </c>
      <c r="G510" s="936">
        <f>INDEX(input!$DX$3:$EC$261,MATCH(A510,input!$E$3:$E$261,0),6)</f>
        <v>142845229.80147487</v>
      </c>
      <c r="H510" s="942" t="s">
        <v>2091</v>
      </c>
      <c r="I510" s="932">
        <f>INDEX(input!$EF$3:$EK$261,MATCH(H510,input!$E$3:$E$261,0),1)</f>
        <v>134124.28108705385</v>
      </c>
      <c r="J510" s="933">
        <f>INDEX(input!$EF$3:$EK$261,MATCH(H510,input!$E$3:$E$261,0),2)</f>
        <v>174471223269.76736</v>
      </c>
      <c r="K510" s="934">
        <f>INDEX(input!$EF$3:$EK$261,MATCH(H510,input!$E$3:$E$261,0),3)</f>
        <v>1557.158474547349</v>
      </c>
      <c r="L510" s="934">
        <f>INDEX(input!$EF$3:$EK$261,MATCH(H510,input!$E$3:$E$261,0),4)</f>
        <v>1282.841525452651</v>
      </c>
      <c r="M510" s="935">
        <f>INDEX(input!$EF$3:$EK$261,MATCH(H510,input!$E$3:$E$261,0),5)</f>
        <v>112044615.96016069</v>
      </c>
      <c r="N510" s="936">
        <f>INDEX(input!$EF$3:$EK$261,MATCH(H510,input!$E$3:$E$261,0),6)</f>
        <v>136003722.8356832</v>
      </c>
      <c r="X510" s="73"/>
      <c r="Z510" s="73"/>
      <c r="AC510" s="73"/>
    </row>
    <row r="511" spans="1:29" ht="15" customHeight="1">
      <c r="A511" s="942" t="s">
        <v>2092</v>
      </c>
      <c r="B511" s="932">
        <f>INDEX(input!$DX$3:$EC$261,MATCH(A511,input!$E$3:$E$261,0),1)</f>
        <v>163952.78396716746</v>
      </c>
      <c r="C511" s="933">
        <f>INDEX(input!$DX$3:$EC$261,MATCH(A511,input!$E$3:$E$261,0),2)</f>
        <v>242204101540.91312</v>
      </c>
      <c r="D511" s="934">
        <f>INDEX(input!$DX$3:$EC$261,MATCH(A511,input!$E$3:$E$261,0),3)</f>
        <v>1481.7529632923504</v>
      </c>
      <c r="E511" s="934">
        <f>INDEX(input!$DX$3:$EC$261,MATCH(A511,input!$E$3:$E$261,0),4)</f>
        <v>1382.2470367076496</v>
      </c>
      <c r="F511" s="935">
        <f>INDEX(input!$DX$3:$EC$261,MATCH(A511,input!$E$3:$E$261,0),5)</f>
        <v>163457814.85920078</v>
      </c>
      <c r="G511" s="936">
        <f>INDEX(input!$DX$3:$EC$261,MATCH(A511,input!$E$3:$E$261,0),6)</f>
        <v>175224901.9956772</v>
      </c>
      <c r="H511" s="942" t="s">
        <v>2092</v>
      </c>
      <c r="I511" s="932">
        <f>INDEX(input!$EF$3:$EK$261,MATCH(H511,input!$E$3:$E$261,0),1)</f>
        <v>155230.1519644754</v>
      </c>
      <c r="J511" s="933">
        <f>INDEX(input!$EF$3:$EK$261,MATCH(H511,input!$E$3:$E$261,0),2)</f>
        <v>218156538693.52585</v>
      </c>
      <c r="K511" s="934">
        <f>INDEX(input!$EF$3:$EK$261,MATCH(H511,input!$E$3:$E$261,0),3)</f>
        <v>1572.3771489989135</v>
      </c>
      <c r="L511" s="934">
        <f>INDEX(input!$EF$3:$EK$261,MATCH(H511,input!$E$3:$E$261,0),4)</f>
        <v>1291.6228510010865</v>
      </c>
      <c r="M511" s="935">
        <f>INDEX(input!$EF$3:$EK$261,MATCH(H511,input!$E$3:$E$261,0),5)</f>
        <v>138743137.31436488</v>
      </c>
      <c r="N511" s="936">
        <f>INDEX(input!$EF$3:$EK$261,MATCH(H511,input!$E$3:$E$261,0),6)</f>
        <v>168901114.22575191</v>
      </c>
      <c r="X511" s="73"/>
      <c r="Z511" s="73"/>
      <c r="AC511" s="73"/>
    </row>
    <row r="512" spans="1:29" ht="15" customHeight="1">
      <c r="A512" s="942" t="s">
        <v>2093</v>
      </c>
      <c r="B512" s="932">
        <f>INDEX(input!$DX$3:$EC$261,MATCH(A512,input!$E$3:$E$261,0),1)</f>
        <v>306943.86038761947</v>
      </c>
      <c r="C512" s="933">
        <f>INDEX(input!$DX$3:$EC$261,MATCH(A512,input!$E$3:$E$261,0),2)</f>
        <v>470197078608.39197</v>
      </c>
      <c r="D512" s="934">
        <f>INDEX(input!$DX$3:$EC$261,MATCH(A512,input!$E$3:$E$261,0),3)</f>
        <v>1878.7990093436404</v>
      </c>
      <c r="E512" s="934">
        <f>INDEX(input!$DX$3:$EC$261,MATCH(A512,input!$E$3:$E$261,0),4)</f>
        <v>1109.2009906563596</v>
      </c>
      <c r="F512" s="935">
        <f>INDEX(input!$DX$3:$EC$261,MATCH(A512,input!$E$3:$E$261,0),5)</f>
        <v>250264704.3510288</v>
      </c>
      <c r="G512" s="936">
        <f>INDEX(input!$DX$3:$EC$261,MATCH(A512,input!$E$3:$E$261,0),6)</f>
        <v>423906111.30824643</v>
      </c>
      <c r="H512" s="942" t="s">
        <v>2093</v>
      </c>
      <c r="I512" s="932">
        <f>INDEX(input!$EF$3:$EK$261,MATCH(H512,input!$E$3:$E$261,0),1)</f>
        <v>226910.70344125642</v>
      </c>
      <c r="J512" s="933">
        <f>INDEX(input!$EF$3:$EK$261,MATCH(H512,input!$E$3:$E$261,0),2)</f>
        <v>366581742522.76697</v>
      </c>
      <c r="K512" s="934">
        <f>INDEX(input!$EF$3:$EK$261,MATCH(H512,input!$E$3:$E$261,0),3)</f>
        <v>1671.8274134056028</v>
      </c>
      <c r="L512" s="934">
        <f>INDEX(input!$EF$3:$EK$261,MATCH(H512,input!$E$3:$E$261,0),4)</f>
        <v>1316.1725865943972</v>
      </c>
      <c r="M512" s="935">
        <f>INDEX(input!$EF$3:$EK$261,MATCH(H512,input!$E$3:$E$261,0),5)</f>
        <v>219270087.08154878</v>
      </c>
      <c r="N512" s="936">
        <f>INDEX(input!$EF$3:$EK$261,MATCH(H512,input!$E$3:$E$261,0),6)</f>
        <v>278521028.51594788</v>
      </c>
      <c r="X512" s="73"/>
      <c r="Z512" s="73"/>
      <c r="AC512" s="73"/>
    </row>
    <row r="513" spans="1:29" ht="15" customHeight="1">
      <c r="A513" s="942" t="s">
        <v>2094</v>
      </c>
      <c r="B513" s="932">
        <f>INDEX(input!$DX$3:$EC$261,MATCH(A513,input!$E$3:$E$261,0),1)</f>
        <v>429235.4239993447</v>
      </c>
      <c r="C513" s="933">
        <f>INDEX(input!$DX$3:$EC$261,MATCH(A513,input!$E$3:$E$261,0),2)</f>
        <v>783492069802.26025</v>
      </c>
      <c r="D513" s="934">
        <f>INDEX(input!$DX$3:$EC$261,MATCH(A513,input!$E$3:$E$261,0),3)</f>
        <v>1793.7637850793956</v>
      </c>
      <c r="E513" s="934">
        <f>INDEX(input!$DX$3:$EC$261,MATCH(A513,input!$E$3:$E$261,0),4)</f>
        <v>1379.2362149206044</v>
      </c>
      <c r="F513" s="935">
        <f>INDEX(input!$DX$3:$EC$261,MATCH(A513,input!$E$3:$E$261,0),5)</f>
        <v>436786647.33861893</v>
      </c>
      <c r="G513" s="936">
        <f>INDEX(input!$DX$3:$EC$261,MATCH(A513,input!$E$3:$E$261,0),6)</f>
        <v>568062280.6495564</v>
      </c>
      <c r="H513" s="942" t="s">
        <v>2094</v>
      </c>
      <c r="I513" s="932">
        <f>INDEX(input!$EF$3:$EK$261,MATCH(H513,input!$E$3:$E$261,0),1)</f>
        <v>319478.86431034352</v>
      </c>
      <c r="J513" s="933">
        <f>INDEX(input!$EF$3:$EK$261,MATCH(H513,input!$E$3:$E$261,0),2)</f>
        <v>601069509769.9563</v>
      </c>
      <c r="K513" s="934">
        <f>INDEX(input!$EF$3:$EK$261,MATCH(H513,input!$E$3:$E$261,0),3)</f>
        <v>1500.201630241251</v>
      </c>
      <c r="L513" s="934">
        <f>INDEX(input!$EF$3:$EK$261,MATCH(H513,input!$E$3:$E$261,0),4)</f>
        <v>1672.798369758749</v>
      </c>
      <c r="M513" s="935">
        <f>INDEX(input!$EF$3:$EK$261,MATCH(H513,input!$E$3:$E$261,0),5)</f>
        <v>400659149.84594232</v>
      </c>
      <c r="N513" s="936">
        <f>INDEX(input!$EF$3:$EK$261,MATCH(H513,input!$E$3:$E$261,0),6)</f>
        <v>359319760.60966784</v>
      </c>
      <c r="X513" s="73"/>
      <c r="Z513" s="73"/>
      <c r="AC513" s="73"/>
    </row>
    <row r="514" spans="1:29" ht="15" customHeight="1">
      <c r="A514" s="942" t="s">
        <v>2095</v>
      </c>
      <c r="B514" s="932">
        <f>INDEX(input!$DX$3:$EC$261,MATCH(A514,input!$E$3:$E$261,0),1)</f>
        <v>455930.01999788801</v>
      </c>
      <c r="C514" s="933">
        <f>INDEX(input!$DX$3:$EC$261,MATCH(A514,input!$E$3:$E$261,0),2)</f>
        <v>851880024989.76282</v>
      </c>
      <c r="D514" s="934">
        <f>INDEX(input!$DX$3:$EC$261,MATCH(A514,input!$E$3:$E$261,0),3)</f>
        <v>1892.4928954468974</v>
      </c>
      <c r="E514" s="934">
        <f>INDEX(input!$DX$3:$EC$261,MATCH(A514,input!$E$3:$E$261,0),4)</f>
        <v>1377.5071045531026</v>
      </c>
      <c r="F514" s="935">
        <f>INDEX(input!$DX$3:$EC$261,MATCH(A514,input!$E$3:$E$261,0),5)</f>
        <v>450136445.44678622</v>
      </c>
      <c r="G514" s="936">
        <f>INDEX(input!$DX$3:$EC$261,MATCH(A514,input!$E$3:$E$261,0),6)</f>
        <v>618421510.98460853</v>
      </c>
      <c r="H514" s="942" t="s">
        <v>2095</v>
      </c>
      <c r="I514" s="932">
        <f>INDEX(input!$EF$3:$EK$261,MATCH(H514,input!$E$3:$E$261,0),1)</f>
        <v>329721.53118659189</v>
      </c>
      <c r="J514" s="933">
        <f>INDEX(input!$EF$3:$EK$261,MATCH(H514,input!$E$3:$E$261,0),2)</f>
        <v>650354433218.04102</v>
      </c>
      <c r="K514" s="934">
        <f>INDEX(input!$EF$3:$EK$261,MATCH(H514,input!$E$3:$E$261,0),3)</f>
        <v>1572.4074986459461</v>
      </c>
      <c r="L514" s="934">
        <f>INDEX(input!$EF$3:$EK$261,MATCH(H514,input!$E$3:$E$261,0),4)</f>
        <v>1697.5925013540539</v>
      </c>
      <c r="M514" s="935">
        <f>INDEX(input!$EF$3:$EK$261,MATCH(H514,input!$E$3:$E$261,0),5)</f>
        <v>413604255.7530942</v>
      </c>
      <c r="N514" s="936">
        <f>INDEX(input!$EF$3:$EK$261,MATCH(H514,input!$E$3:$E$261,0),6)</f>
        <v>383103973.83311814</v>
      </c>
      <c r="X514" s="73"/>
      <c r="Z514" s="73"/>
      <c r="AC514" s="73"/>
    </row>
    <row r="515" spans="1:29" ht="15" customHeight="1">
      <c r="A515" s="942" t="s">
        <v>2096</v>
      </c>
      <c r="B515" s="932">
        <f>INDEX(input!$DX$3:$EC$261,MATCH(A515,input!$E$3:$E$261,0),1)</f>
        <v>429235.4239993447</v>
      </c>
      <c r="C515" s="933">
        <f>INDEX(input!$DX$3:$EC$261,MATCH(A515,input!$E$3:$E$261,0),2)</f>
        <v>783492069802.26025</v>
      </c>
      <c r="D515" s="934">
        <f>INDEX(input!$DX$3:$EC$261,MATCH(A515,input!$E$3:$E$261,0),3)</f>
        <v>1793.7637850793956</v>
      </c>
      <c r="E515" s="934">
        <f>INDEX(input!$DX$3:$EC$261,MATCH(A515,input!$E$3:$E$261,0),4)</f>
        <v>1379.2362149206044</v>
      </c>
      <c r="F515" s="935">
        <f>INDEX(input!$DX$3:$EC$261,MATCH(A515,input!$E$3:$E$261,0),5)</f>
        <v>436786647.33861893</v>
      </c>
      <c r="G515" s="936">
        <f>INDEX(input!$DX$3:$EC$261,MATCH(A515,input!$E$3:$E$261,0),6)</f>
        <v>568062280.6495564</v>
      </c>
      <c r="H515" s="942" t="s">
        <v>2096</v>
      </c>
      <c r="I515" s="932">
        <f>INDEX(input!$EF$3:$EK$261,MATCH(H515,input!$E$3:$E$261,0),1)</f>
        <v>319478.86431034352</v>
      </c>
      <c r="J515" s="933">
        <f>INDEX(input!$EF$3:$EK$261,MATCH(H515,input!$E$3:$E$261,0),2)</f>
        <v>601069509769.9563</v>
      </c>
      <c r="K515" s="934">
        <f>INDEX(input!$EF$3:$EK$261,MATCH(H515,input!$E$3:$E$261,0),3)</f>
        <v>1500.201630241251</v>
      </c>
      <c r="L515" s="934">
        <f>INDEX(input!$EF$3:$EK$261,MATCH(H515,input!$E$3:$E$261,0),4)</f>
        <v>1672.798369758749</v>
      </c>
      <c r="M515" s="935">
        <f>INDEX(input!$EF$3:$EK$261,MATCH(H515,input!$E$3:$E$261,0),5)</f>
        <v>400659149.84594232</v>
      </c>
      <c r="N515" s="936">
        <f>INDEX(input!$EF$3:$EK$261,MATCH(H515,input!$E$3:$E$261,0),6)</f>
        <v>359319760.60966784</v>
      </c>
      <c r="X515" s="73"/>
      <c r="Z515" s="73"/>
      <c r="AC515" s="73"/>
    </row>
    <row r="516" spans="1:29" ht="15" customHeight="1">
      <c r="A516" s="942" t="s">
        <v>2097</v>
      </c>
      <c r="B516" s="932">
        <f>INDEX(input!$DX$3:$EC$261,MATCH(A516,input!$E$3:$E$261,0),1)</f>
        <v>317161.86038761947</v>
      </c>
      <c r="C516" s="933">
        <f>INDEX(input!$DX$3:$EC$261,MATCH(A516,input!$E$3:$E$261,0),2)</f>
        <v>497350595408.77948</v>
      </c>
      <c r="D516" s="934">
        <f>INDEX(input!$DX$3:$EC$261,MATCH(A516,input!$E$3:$E$261,0),3)</f>
        <v>1858.2110394410092</v>
      </c>
      <c r="E516" s="934">
        <f>INDEX(input!$DX$3:$EC$261,MATCH(A516,input!$E$3:$E$261,0),4)</f>
        <v>1135.7889605589908</v>
      </c>
      <c r="F516" s="935">
        <f>INDEX(input!$DX$3:$EC$261,MATCH(A516,input!$E$3:$E$261,0),5)</f>
        <v>267650221.0203172</v>
      </c>
      <c r="G516" s="936">
        <f>INDEX(input!$DX$3:$EC$261,MATCH(A516,input!$E$3:$E$261,0),6)</f>
        <v>437889971.35876638</v>
      </c>
      <c r="H516" s="942" t="s">
        <v>2097</v>
      </c>
      <c r="I516" s="932">
        <f>INDEX(input!$EF$3:$EK$261,MATCH(H516,input!$E$3:$E$261,0),1)</f>
        <v>237128.70344125642</v>
      </c>
      <c r="J516" s="933">
        <f>INDEX(input!$EF$3:$EK$261,MATCH(H516,input!$E$3:$E$261,0),2)</f>
        <v>391000412051.83636</v>
      </c>
      <c r="K516" s="934">
        <f>INDEX(input!$EF$3:$EK$261,MATCH(H516,input!$E$3:$E$261,0),3)</f>
        <v>1651.8592879627608</v>
      </c>
      <c r="L516" s="934">
        <f>INDEX(input!$EF$3:$EK$261,MATCH(H516,input!$E$3:$E$261,0),4)</f>
        <v>1342.1407120372392</v>
      </c>
      <c r="M516" s="935">
        <f>INDEX(input!$EF$3:$EK$261,MATCH(H516,input!$E$3:$E$261,0),5)</f>
        <v>236703219.76035708</v>
      </c>
      <c r="N516" s="936">
        <f>INDEX(input!$EF$3:$EK$261,MATCH(H516,input!$E$3:$E$261,0),6)</f>
        <v>291325945.59205031</v>
      </c>
      <c r="X516" s="73"/>
      <c r="Z516" s="73"/>
      <c r="AC516" s="73"/>
    </row>
    <row r="517" spans="1:29" ht="15" customHeight="1">
      <c r="A517" s="942" t="s">
        <v>2098</v>
      </c>
      <c r="B517" s="932">
        <f>INDEX(input!$DX$3:$EC$261,MATCH(A517,input!$E$3:$E$261,0),1)</f>
        <v>192374.78396716746</v>
      </c>
      <c r="C517" s="933">
        <f>INDEX(input!$DX$3:$EC$261,MATCH(A517,input!$E$3:$E$261,0),2)</f>
        <v>301328417339.36444</v>
      </c>
      <c r="D517" s="934">
        <f>INDEX(input!$DX$3:$EC$261,MATCH(A517,input!$E$3:$E$261,0),3)</f>
        <v>1449.4282395478074</v>
      </c>
      <c r="E517" s="934">
        <f>INDEX(input!$DX$3:$EC$261,MATCH(A517,input!$E$3:$E$261,0),4)</f>
        <v>1434.5717604521926</v>
      </c>
      <c r="F517" s="935">
        <f>INDEX(input!$DX$3:$EC$261,MATCH(A517,input!$E$3:$E$261,0),5)</f>
        <v>207894678.13416749</v>
      </c>
      <c r="G517" s="936">
        <f>INDEX(input!$DX$3:$EC$261,MATCH(A517,input!$E$3:$E$261,0),6)</f>
        <v>210047643.23841316</v>
      </c>
      <c r="H517" s="942" t="s">
        <v>2098</v>
      </c>
      <c r="I517" s="932">
        <f>INDEX(input!$EF$3:$EK$261,MATCH(H517,input!$E$3:$E$261,0),1)</f>
        <v>183652.1519644754</v>
      </c>
      <c r="J517" s="933">
        <f>INDEX(input!$EF$3:$EK$261,MATCH(H517,input!$E$3:$E$261,0),2)</f>
        <v>278823804306.33636</v>
      </c>
      <c r="K517" s="934">
        <f>INDEX(input!$EF$3:$EK$261,MATCH(H517,input!$E$3:$E$261,0),3)</f>
        <v>1523.8272185681001</v>
      </c>
      <c r="L517" s="934">
        <f>INDEX(input!$EF$3:$EK$261,MATCH(H517,input!$E$3:$E$261,0),4)</f>
        <v>1360.1727814318999</v>
      </c>
      <c r="M517" s="935">
        <f>INDEX(input!$EF$3:$EK$261,MATCH(H517,input!$E$3:$E$261,0),5)</f>
        <v>182975996.82484978</v>
      </c>
      <c r="N517" s="936">
        <f>INDEX(input!$EF$3:$EK$261,MATCH(H517,input!$E$3:$E$261,0),6)</f>
        <v>204991459.99143514</v>
      </c>
      <c r="X517" s="73"/>
      <c r="Z517" s="73"/>
      <c r="AC517" s="73"/>
    </row>
    <row r="518" spans="1:29" ht="15" customHeight="1">
      <c r="A518" s="942" t="s">
        <v>2099</v>
      </c>
      <c r="B518" s="932">
        <f>INDEX(input!$DX$3:$EC$261,MATCH(A518,input!$E$3:$E$261,0),1)</f>
        <v>158486.91308974594</v>
      </c>
      <c r="C518" s="933">
        <f>INDEX(input!$DX$3:$EC$261,MATCH(A518,input!$E$3:$E$261,0),2)</f>
        <v>228272991963.38809</v>
      </c>
      <c r="D518" s="934">
        <f>INDEX(input!$DX$3:$EC$261,MATCH(A518,input!$E$3:$E$261,0),3)</f>
        <v>1523.1132530402854</v>
      </c>
      <c r="E518" s="934">
        <f>INDEX(input!$DX$3:$EC$261,MATCH(A518,input!$E$3:$E$261,0),4)</f>
        <v>1326.8867469597146</v>
      </c>
      <c r="F518" s="935">
        <f>INDEX(input!$DX$3:$EC$261,MATCH(A518,input!$E$3:$E$261,0),5)</f>
        <v>149872631.93182287</v>
      </c>
      <c r="G518" s="936">
        <f>INDEX(input!$DX$3:$EC$261,MATCH(A518,input!$E$3:$E$261,0),6)</f>
        <v>172036530.23623022</v>
      </c>
      <c r="H518" s="942" t="s">
        <v>2099</v>
      </c>
      <c r="I518" s="932">
        <f>INDEX(input!$EF$3:$EK$261,MATCH(H518,input!$E$3:$E$261,0),1)</f>
        <v>149764.28108705388</v>
      </c>
      <c r="J518" s="933">
        <f>INDEX(input!$EF$3:$EK$261,MATCH(H518,input!$E$3:$E$261,0),2)</f>
        <v>202931654274.86081</v>
      </c>
      <c r="K518" s="934">
        <f>INDEX(input!$EF$3:$EK$261,MATCH(H518,input!$E$3:$E$261,0),3)</f>
        <v>1619.4538263809727</v>
      </c>
      <c r="L518" s="934">
        <f>INDEX(input!$EF$3:$EK$261,MATCH(H518,input!$E$3:$E$261,0),4)</f>
        <v>1230.5461736190273</v>
      </c>
      <c r="M518" s="935">
        <f>INDEX(input!$EF$3:$EK$261,MATCH(H518,input!$E$3:$E$261,0),5)</f>
        <v>125308700.35878479</v>
      </c>
      <c r="N518" s="936">
        <f>INDEX(input!$EF$3:$EK$261,MATCH(H518,input!$E$3:$E$261,0),6)</f>
        <v>164911856.72297066</v>
      </c>
      <c r="X518" s="73"/>
      <c r="Z518" s="73"/>
      <c r="AC518" s="73"/>
    </row>
    <row r="519" spans="1:29" ht="15" customHeight="1">
      <c r="A519" s="942" t="s">
        <v>2100</v>
      </c>
      <c r="B519" s="932">
        <f>INDEX(input!$DX$3:$EC$261,MATCH(A519,input!$E$3:$E$261,0),1)</f>
        <v>142846.91308974591</v>
      </c>
      <c r="C519" s="933">
        <f>INDEX(input!$DX$3:$EC$261,MATCH(A519,input!$E$3:$E$261,0),2)</f>
        <v>198007849742.18506</v>
      </c>
      <c r="D519" s="934">
        <f>INDEX(input!$DX$3:$EC$261,MATCH(A519,input!$E$3:$E$261,0),3)</f>
        <v>1453.8294571168058</v>
      </c>
      <c r="E519" s="934">
        <f>INDEX(input!$DX$3:$EC$261,MATCH(A519,input!$E$3:$E$261,0),4)</f>
        <v>1386.1705428831942</v>
      </c>
      <c r="F519" s="935">
        <f>INDEX(input!$DX$3:$EC$261,MATCH(A519,input!$E$3:$E$261,0),5)</f>
        <v>136197439.64664793</v>
      </c>
      <c r="G519" s="936">
        <f>INDEX(input!$DX$3:$EC$261,MATCH(A519,input!$E$3:$E$261,0),6)</f>
        <v>142845229.80147487</v>
      </c>
      <c r="H519" s="942" t="s">
        <v>2100</v>
      </c>
      <c r="I519" s="932">
        <f>INDEX(input!$EF$3:$EK$261,MATCH(H519,input!$E$3:$E$261,0),1)</f>
        <v>134124.28108705385</v>
      </c>
      <c r="J519" s="933">
        <f>INDEX(input!$EF$3:$EK$261,MATCH(H519,input!$E$3:$E$261,0),2)</f>
        <v>174471223269.76736</v>
      </c>
      <c r="K519" s="934">
        <f>INDEX(input!$EF$3:$EK$261,MATCH(H519,input!$E$3:$E$261,0),3)</f>
        <v>1557.158474547349</v>
      </c>
      <c r="L519" s="934">
        <f>INDEX(input!$EF$3:$EK$261,MATCH(H519,input!$E$3:$E$261,0),4)</f>
        <v>1282.841525452651</v>
      </c>
      <c r="M519" s="935">
        <f>INDEX(input!$EF$3:$EK$261,MATCH(H519,input!$E$3:$E$261,0),5)</f>
        <v>112044615.96016069</v>
      </c>
      <c r="N519" s="936">
        <f>INDEX(input!$EF$3:$EK$261,MATCH(H519,input!$E$3:$E$261,0),6)</f>
        <v>136003722.8356832</v>
      </c>
      <c r="X519" s="73"/>
      <c r="Z519" s="73"/>
      <c r="AC519" s="73"/>
    </row>
    <row r="520" spans="1:29" ht="15" customHeight="1">
      <c r="A520" s="942" t="s">
        <v>2101</v>
      </c>
      <c r="B520" s="932">
        <f>INDEX(input!$DX$3:$EC$261,MATCH(A520,input!$E$3:$E$261,0),1)</f>
        <v>127326.91308974591</v>
      </c>
      <c r="C520" s="933">
        <f>INDEX(input!$DX$3:$EC$261,MATCH(A520,input!$E$3:$E$261,0),2)</f>
        <v>164744444014.17923</v>
      </c>
      <c r="D520" s="934">
        <f>INDEX(input!$DX$3:$EC$261,MATCH(A520,input!$E$3:$E$261,0),3)</f>
        <v>1285.3553591825589</v>
      </c>
      <c r="E520" s="934">
        <f>INDEX(input!$DX$3:$EC$261,MATCH(A520,input!$E$3:$E$261,0),4)</f>
        <v>1546.6446408174411</v>
      </c>
      <c r="F520" s="935">
        <f>INDEX(input!$DX$3:$EC$261,MATCH(A520,input!$E$3:$E$261,0),5)</f>
        <v>128170348.25213701</v>
      </c>
      <c r="G520" s="936">
        <f>INDEX(input!$DX$3:$EC$261,MATCH(A520,input!$E$3:$E$261,0),6)</f>
        <v>106517321.21679069</v>
      </c>
      <c r="H520" s="942" t="s">
        <v>2101</v>
      </c>
      <c r="I520" s="932">
        <f>INDEX(input!$EF$3:$EK$261,MATCH(H520,input!$E$3:$E$261,0),1)</f>
        <v>118604.28108705385</v>
      </c>
      <c r="J520" s="933">
        <f>INDEX(input!$EF$3:$EK$261,MATCH(H520,input!$E$3:$E$261,0),2)</f>
        <v>145767814837.80017</v>
      </c>
      <c r="K520" s="934">
        <f>INDEX(input!$EF$3:$EK$261,MATCH(H520,input!$E$3:$E$261,0),3)</f>
        <v>1389.8152699588293</v>
      </c>
      <c r="L520" s="934">
        <f>INDEX(input!$EF$3:$EK$261,MATCH(H520,input!$E$3:$E$261,0),4)</f>
        <v>1442.1847300411707</v>
      </c>
      <c r="M520" s="935">
        <f>INDEX(input!$EF$3:$EK$261,MATCH(H520,input!$E$3:$E$261,0),5)</f>
        <v>104882870.39911303</v>
      </c>
      <c r="N520" s="936">
        <f>INDEX(input!$EF$3:$EK$261,MATCH(H520,input!$E$3:$E$261,0),6)</f>
        <v>101074301.92638281</v>
      </c>
      <c r="X520" s="73"/>
      <c r="Z520" s="73"/>
      <c r="AC520" s="73"/>
    </row>
    <row r="521" spans="1:29" ht="15" customHeight="1">
      <c r="A521" s="942" t="s">
        <v>2102</v>
      </c>
      <c r="B521" s="932">
        <f>INDEX(input!$DX$3:$EC$261,MATCH(A521,input!$E$3:$E$261,0),1)</f>
        <v>127326.91308974591</v>
      </c>
      <c r="C521" s="933">
        <f>INDEX(input!$DX$3:$EC$261,MATCH(A521,input!$E$3:$E$261,0),2)</f>
        <v>164744444014.17923</v>
      </c>
      <c r="D521" s="934">
        <f>INDEX(input!$DX$3:$EC$261,MATCH(A521,input!$E$3:$E$261,0),3)</f>
        <v>1285.3553591825589</v>
      </c>
      <c r="E521" s="934">
        <f>INDEX(input!$DX$3:$EC$261,MATCH(A521,input!$E$3:$E$261,0),4)</f>
        <v>1546.6446408174411</v>
      </c>
      <c r="F521" s="935">
        <f>INDEX(input!$DX$3:$EC$261,MATCH(A521,input!$E$3:$E$261,0),5)</f>
        <v>128170348.25213701</v>
      </c>
      <c r="G521" s="936">
        <f>INDEX(input!$DX$3:$EC$261,MATCH(A521,input!$E$3:$E$261,0),6)</f>
        <v>106517321.21679069</v>
      </c>
      <c r="H521" s="942" t="s">
        <v>2102</v>
      </c>
      <c r="I521" s="932">
        <f>INDEX(input!$EF$3:$EK$261,MATCH(H521,input!$E$3:$E$261,0),1)</f>
        <v>118604.28108705385</v>
      </c>
      <c r="J521" s="933">
        <f>INDEX(input!$EF$3:$EK$261,MATCH(H521,input!$E$3:$E$261,0),2)</f>
        <v>145767814837.80017</v>
      </c>
      <c r="K521" s="934">
        <f>INDEX(input!$EF$3:$EK$261,MATCH(H521,input!$E$3:$E$261,0),3)</f>
        <v>1389.8152699588293</v>
      </c>
      <c r="L521" s="934">
        <f>INDEX(input!$EF$3:$EK$261,MATCH(H521,input!$E$3:$E$261,0),4)</f>
        <v>1442.1847300411707</v>
      </c>
      <c r="M521" s="935">
        <f>INDEX(input!$EF$3:$EK$261,MATCH(H521,input!$E$3:$E$261,0),5)</f>
        <v>104882870.39911303</v>
      </c>
      <c r="N521" s="936">
        <f>INDEX(input!$EF$3:$EK$261,MATCH(H521,input!$E$3:$E$261,0),6)</f>
        <v>101074301.92638281</v>
      </c>
      <c r="X521" s="73"/>
      <c r="Z521" s="73"/>
      <c r="AC521" s="73"/>
    </row>
    <row r="522" spans="1:29" ht="15" customHeight="1">
      <c r="A522" s="942" t="s">
        <v>2103</v>
      </c>
      <c r="B522" s="932">
        <f>INDEX(input!$DX$3:$EC$261,MATCH(A522,input!$E$3:$E$261,0),1)</f>
        <v>122489.55844076678</v>
      </c>
      <c r="C522" s="933">
        <f>INDEX(input!$DX$3:$EC$261,MATCH(A522,input!$E$3:$E$261,0),2)</f>
        <v>139631608579.18436</v>
      </c>
      <c r="D522" s="934">
        <f>INDEX(input!$DX$3:$EC$261,MATCH(A522,input!$E$3:$E$261,0),3)</f>
        <v>1188.5833585069154</v>
      </c>
      <c r="E522" s="934">
        <f>INDEX(input!$DX$3:$EC$261,MATCH(A522,input!$E$3:$E$261,0),4)</f>
        <v>1443.4166414930846</v>
      </c>
      <c r="F522" s="935">
        <f>INDEX(input!$DX$3:$EC$261,MATCH(A522,input!$E$3:$E$261,0),5)</f>
        <v>117477337.6892875</v>
      </c>
      <c r="G522" s="936">
        <f>INDEX(input!$DX$3:$EC$261,MATCH(A522,input!$E$3:$E$261,0),6)</f>
        <v>96736870.398520574</v>
      </c>
      <c r="H522" s="942" t="s">
        <v>2103</v>
      </c>
      <c r="I522" s="932">
        <f>INDEX(input!$EF$3:$EK$261,MATCH(H522,input!$E$3:$E$261,0),1)</f>
        <v>113766.92643807472</v>
      </c>
      <c r="J522" s="933">
        <f>INDEX(input!$EF$3:$EK$261,MATCH(H522,input!$E$3:$E$261,0),2)</f>
        <v>123093743201.32808</v>
      </c>
      <c r="K522" s="934">
        <f>INDEX(input!$EF$3:$EK$261,MATCH(H522,input!$E$3:$E$261,0),3)</f>
        <v>1290.0652780018902</v>
      </c>
      <c r="L522" s="934">
        <f>INDEX(input!$EF$3:$EK$261,MATCH(H522,input!$E$3:$E$261,0),4)</f>
        <v>1341.9347219981098</v>
      </c>
      <c r="M522" s="935">
        <f>INDEX(input!$EF$3:$EK$261,MATCH(H522,input!$E$3:$E$261,0),5)</f>
        <v>95416677.97770752</v>
      </c>
      <c r="N522" s="936">
        <f>INDEX(input!$EF$3:$EK$261,MATCH(H522,input!$E$3:$E$261,0),6)</f>
        <v>91728562.636820614</v>
      </c>
      <c r="X522" s="73"/>
      <c r="Z522" s="73"/>
      <c r="AC522" s="73"/>
    </row>
    <row r="523" spans="1:29" ht="15" customHeight="1">
      <c r="A523" s="942" t="s">
        <v>2104</v>
      </c>
      <c r="B523" s="932">
        <f>INDEX(input!$DX$3:$EC$261,MATCH(A523,input!$E$3:$E$261,0),1)</f>
        <v>126369.55844076678</v>
      </c>
      <c r="C523" s="933">
        <f>INDEX(input!$DX$3:$EC$261,MATCH(A523,input!$E$3:$E$261,0),2)</f>
        <v>147478061351.25607</v>
      </c>
      <c r="D523" s="934">
        <f>INDEX(input!$DX$3:$EC$261,MATCH(A523,input!$E$3:$E$261,0),3)</f>
        <v>1232.932145019611</v>
      </c>
      <c r="E523" s="934">
        <f>INDEX(input!$DX$3:$EC$261,MATCH(A523,input!$E$3:$E$261,0),4)</f>
        <v>1401.067854980389</v>
      </c>
      <c r="F523" s="935">
        <f>INDEX(input!$DX$3:$EC$261,MATCH(A523,input!$E$3:$E$261,0),5)</f>
        <v>119615716.03675747</v>
      </c>
      <c r="G523" s="936">
        <f>INDEX(input!$DX$3:$EC$261,MATCH(A523,input!$E$3:$E$261,0),6)</f>
        <v>105261184.05116099</v>
      </c>
      <c r="H523" s="942" t="s">
        <v>2104</v>
      </c>
      <c r="I523" s="932">
        <f>INDEX(input!$EF$3:$EK$261,MATCH(H523,input!$E$3:$E$261,0),1)</f>
        <v>117646.92643807472</v>
      </c>
      <c r="J523" s="933">
        <f>INDEX(input!$EF$3:$EK$261,MATCH(H523,input!$E$3:$E$261,0),2)</f>
        <v>129860445246.22394</v>
      </c>
      <c r="K523" s="934">
        <f>INDEX(input!$EF$3:$EK$261,MATCH(H523,input!$E$3:$E$261,0),3)</f>
        <v>1334.3553149719196</v>
      </c>
      <c r="L523" s="934">
        <f>INDEX(input!$EF$3:$EK$261,MATCH(H523,input!$E$3:$E$261,0),4)</f>
        <v>1299.6446850280804</v>
      </c>
      <c r="M523" s="935">
        <f>INDEX(input!$EF$3:$EK$261,MATCH(H523,input!$E$3:$E$261,0),5)</f>
        <v>97320738.928489029</v>
      </c>
      <c r="N523" s="936">
        <f>INDEX(input!$EF$3:$EK$261,MATCH(H523,input!$E$3:$E$261,0),6)</f>
        <v>99919960.233914346</v>
      </c>
      <c r="X523" s="73"/>
      <c r="Z523" s="73"/>
      <c r="AC523" s="73"/>
    </row>
    <row r="524" spans="1:29" ht="15" customHeight="1">
      <c r="A524" s="942" t="s">
        <v>2105</v>
      </c>
      <c r="B524" s="932">
        <f>INDEX(input!$DX$3:$EC$261,MATCH(A524,input!$E$3:$E$261,0),1)</f>
        <v>150846.91308974594</v>
      </c>
      <c r="C524" s="933">
        <f>INDEX(input!$DX$3:$EC$261,MATCH(A524,input!$E$3:$E$261,0),2)</f>
        <v>214108336764.70999</v>
      </c>
      <c r="D524" s="934">
        <f>INDEX(input!$DX$3:$EC$261,MATCH(A524,input!$E$3:$E$261,0),3)</f>
        <v>1384.5150764771718</v>
      </c>
      <c r="E524" s="934">
        <f>INDEX(input!$DX$3:$EC$261,MATCH(A524,input!$E$3:$E$261,0),4)</f>
        <v>1463.4849235228282</v>
      </c>
      <c r="F524" s="935">
        <f>INDEX(input!$DX$3:$EC$261,MATCH(A524,input!$E$3:$E$261,0),5)</f>
        <v>154645001.99557072</v>
      </c>
      <c r="G524" s="936">
        <f>INDEX(input!$DX$3:$EC$261,MATCH(A524,input!$E$3:$E$261,0),6)</f>
        <v>146300336.49360666</v>
      </c>
      <c r="H524" s="942" t="s">
        <v>2105</v>
      </c>
      <c r="I524" s="932">
        <f>INDEX(input!$EF$3:$EK$261,MATCH(H524,input!$E$3:$E$261,0),1)</f>
        <v>142124.28108705388</v>
      </c>
      <c r="J524" s="933">
        <f>INDEX(input!$EF$3:$EK$261,MATCH(H524,input!$E$3:$E$261,0),2)</f>
        <v>192871489301.60898</v>
      </c>
      <c r="K524" s="934">
        <f>INDEX(input!$EF$3:$EK$261,MATCH(H524,input!$E$3:$E$261,0),3)</f>
        <v>1477.2827948897061</v>
      </c>
      <c r="L524" s="934">
        <f>INDEX(input!$EF$3:$EK$261,MATCH(H524,input!$E$3:$E$261,0),4)</f>
        <v>1370.7172051102939</v>
      </c>
      <c r="M524" s="935">
        <f>INDEX(input!$EF$3:$EK$261,MATCH(H524,input!$E$3:$E$261,0),5)</f>
        <v>130558272.23386079</v>
      </c>
      <c r="N524" s="936">
        <f>INDEX(input!$EF$3:$EK$261,MATCH(H524,input!$E$3:$E$261,0),6)</f>
        <v>140708447.06883919</v>
      </c>
      <c r="X524" s="73"/>
      <c r="Z524" s="73"/>
      <c r="AC524" s="73"/>
    </row>
    <row r="525" spans="1:29" ht="15" customHeight="1">
      <c r="A525" s="942" t="s">
        <v>2106</v>
      </c>
      <c r="B525" s="932">
        <f>INDEX(input!$DX$3:$EC$261,MATCH(A525,input!$E$3:$E$261,0),1)</f>
        <v>189886.91308974594</v>
      </c>
      <c r="C525" s="933">
        <f>INDEX(input!$DX$3:$EC$261,MATCH(A525,input!$E$3:$E$261,0),2)</f>
        <v>290450258588.50891</v>
      </c>
      <c r="D525" s="934">
        <f>INDEX(input!$DX$3:$EC$261,MATCH(A525,input!$E$3:$E$261,0),3)</f>
        <v>1574.5538007466741</v>
      </c>
      <c r="E525" s="934">
        <f>INDEX(input!$DX$3:$EC$261,MATCH(A525,input!$E$3:$E$261,0),4)</f>
        <v>1297.4461992533259</v>
      </c>
      <c r="F525" s="935">
        <f>INDEX(input!$DX$3:$EC$261,MATCH(A525,input!$E$3:$E$261,0),5)</f>
        <v>184465121.77022696</v>
      </c>
      <c r="G525" s="936">
        <f>INDEX(input!$DX$3:$EC$261,MATCH(A525,input!$E$3:$E$261,0),6)</f>
        <v>223863046.3102529</v>
      </c>
      <c r="H525" s="942" t="s">
        <v>2106</v>
      </c>
      <c r="I525" s="932">
        <f>INDEX(input!$EF$3:$EK$261,MATCH(H525,input!$E$3:$E$261,0),1)</f>
        <v>181164.28108705388</v>
      </c>
      <c r="J525" s="933">
        <f>INDEX(input!$EF$3:$EK$261,MATCH(H525,input!$E$3:$E$261,0),2)</f>
        <v>264142700868.93478</v>
      </c>
      <c r="K525" s="934">
        <f>INDEX(input!$EF$3:$EK$261,MATCH(H525,input!$E$3:$E$261,0),3)</f>
        <v>1656.0952723925752</v>
      </c>
      <c r="L525" s="934">
        <f>INDEX(input!$EF$3:$EK$261,MATCH(H525,input!$E$3:$E$261,0),4)</f>
        <v>1215.9047276074248</v>
      </c>
      <c r="M525" s="935">
        <f>INDEX(input!$EF$3:$EK$261,MATCH(H525,input!$E$3:$E$261,0),5)</f>
        <v>159497285.73726651</v>
      </c>
      <c r="N525" s="936">
        <f>INDEX(input!$EF$3:$EK$261,MATCH(H525,input!$E$3:$E$261,0),6)</f>
        <v>217239636.3559643</v>
      </c>
      <c r="X525" s="73"/>
      <c r="Z525" s="73"/>
      <c r="AC525" s="73"/>
    </row>
    <row r="526" spans="1:29" ht="15" customHeight="1">
      <c r="A526" s="942" t="s">
        <v>2107</v>
      </c>
      <c r="B526" s="932">
        <f>INDEX(input!$DX$3:$EC$261,MATCH(A526,input!$E$3:$E$261,0),1)</f>
        <v>211526.91308974594</v>
      </c>
      <c r="C526" s="933">
        <f>INDEX(input!$DX$3:$EC$261,MATCH(A526,input!$E$3:$E$261,0),2)</f>
        <v>334483056239.52264</v>
      </c>
      <c r="D526" s="934">
        <f>INDEX(input!$DX$3:$EC$261,MATCH(A526,input!$E$3:$E$261,0),3)</f>
        <v>1574.3491439427423</v>
      </c>
      <c r="E526" s="934">
        <f>INDEX(input!$DX$3:$EC$261,MATCH(A526,input!$E$3:$E$261,0),4)</f>
        <v>1305.6508560572577</v>
      </c>
      <c r="F526" s="935">
        <f>INDEX(input!$DX$3:$EC$261,MATCH(A526,input!$E$3:$E$261,0),5)</f>
        <v>212457990.99039462</v>
      </c>
      <c r="G526" s="936">
        <f>INDEX(input!$DX$3:$EC$261,MATCH(A526,input!$E$3:$E$261,0),6)</f>
        <v>256181087.53022891</v>
      </c>
      <c r="H526" s="942" t="s">
        <v>2107</v>
      </c>
      <c r="I526" s="932">
        <f>INDEX(input!$EF$3:$EK$261,MATCH(H526,input!$E$3:$E$261,0),1)</f>
        <v>202804.28108705388</v>
      </c>
      <c r="J526" s="933">
        <f>INDEX(input!$EF$3:$EK$261,MATCH(H526,input!$E$3:$E$261,0),2)</f>
        <v>308371923533.24579</v>
      </c>
      <c r="K526" s="934">
        <f>INDEX(input!$EF$3:$EK$261,MATCH(H526,input!$E$3:$E$261,0),3)</f>
        <v>1647.0950031545817</v>
      </c>
      <c r="L526" s="934">
        <f>INDEX(input!$EF$3:$EK$261,MATCH(H526,input!$E$3:$E$261,0),4)</f>
        <v>1232.9049968454183</v>
      </c>
      <c r="M526" s="935">
        <f>INDEX(input!$EF$3:$EK$261,MATCH(H526,input!$E$3:$E$261,0),5)</f>
        <v>187221698.16716075</v>
      </c>
      <c r="N526" s="936">
        <f>INDEX(input!$EF$3:$EK$261,MATCH(H526,input!$E$3:$E$261,0),6)</f>
        <v>250118155.35038298</v>
      </c>
      <c r="X526" s="73"/>
      <c r="Z526" s="73"/>
      <c r="AC526" s="73"/>
    </row>
    <row r="527" spans="1:29" ht="15" customHeight="1">
      <c r="A527" s="942" t="s">
        <v>2108</v>
      </c>
      <c r="B527" s="932">
        <f>INDEX(input!$DX$3:$EC$261,MATCH(A527,input!$E$3:$E$261,0),1)</f>
        <v>184006.91308974594</v>
      </c>
      <c r="C527" s="933">
        <f>INDEX(input!$DX$3:$EC$261,MATCH(A527,input!$E$3:$E$261,0),2)</f>
        <v>278957443793.89447</v>
      </c>
      <c r="D527" s="934">
        <f>INDEX(input!$DX$3:$EC$261,MATCH(A527,input!$E$3:$E$261,0),3)</f>
        <v>1562.3199262688654</v>
      </c>
      <c r="E527" s="934">
        <f>INDEX(input!$DX$3:$EC$261,MATCH(A527,input!$E$3:$E$261,0),4)</f>
        <v>1305.6800737311346</v>
      </c>
      <c r="F527" s="935">
        <f>INDEX(input!$DX$3:$EC$261,MATCH(A527,input!$E$3:$E$261,0),5)</f>
        <v>178553341.79862958</v>
      </c>
      <c r="G527" s="936">
        <f>INDEX(input!$DX$3:$EC$261,MATCH(A527,input!$E$3:$E$261,0),6)</f>
        <v>213649154.49520549</v>
      </c>
      <c r="H527" s="942" t="s">
        <v>2108</v>
      </c>
      <c r="I527" s="932">
        <f>INDEX(input!$EF$3:$EK$261,MATCH(H527,input!$E$3:$E$261,0),1)</f>
        <v>175284.28108705388</v>
      </c>
      <c r="J527" s="933">
        <f>INDEX(input!$EF$3:$EK$261,MATCH(H527,input!$E$3:$E$261,0),2)</f>
        <v>252925923365.1283</v>
      </c>
      <c r="K527" s="934">
        <f>INDEX(input!$EF$3:$EK$261,MATCH(H527,input!$E$3:$E$261,0),3)</f>
        <v>1646.0874819071607</v>
      </c>
      <c r="L527" s="934">
        <f>INDEX(input!$EF$3:$EK$261,MATCH(H527,input!$E$3:$E$261,0),4)</f>
        <v>1221.9125180928393</v>
      </c>
      <c r="M527" s="935">
        <f>INDEX(input!$EF$3:$EK$261,MATCH(H527,input!$E$3:$E$261,0),5)</f>
        <v>153652783.43049407</v>
      </c>
      <c r="N527" s="936">
        <f>INDEX(input!$EF$3:$EK$261,MATCH(H527,input!$E$3:$E$261,0),6)</f>
        <v>206991842.39465442</v>
      </c>
      <c r="X527" s="73"/>
      <c r="Z527" s="73"/>
      <c r="AC527" s="73"/>
    </row>
    <row r="528" spans="1:29" ht="15" customHeight="1">
      <c r="A528" s="942" t="s">
        <v>2109</v>
      </c>
      <c r="B528" s="932">
        <f>INDEX(input!$DX$3:$EC$261,MATCH(A528,input!$E$3:$E$261,0),1)</f>
        <v>178006.91308974594</v>
      </c>
      <c r="C528" s="933">
        <f>INDEX(input!$DX$3:$EC$261,MATCH(A528,input!$E$3:$E$261,0),2)</f>
        <v>263876813373.73816</v>
      </c>
      <c r="D528" s="934">
        <f>INDEX(input!$DX$3:$EC$261,MATCH(A528,input!$E$3:$E$261,0),3)</f>
        <v>1608.8792308218083</v>
      </c>
      <c r="E528" s="934">
        <f>INDEX(input!$DX$3:$EC$261,MATCH(A528,input!$E$3:$E$261,0),4)</f>
        <v>1253.1207691781917</v>
      </c>
      <c r="F528" s="935">
        <f>INDEX(input!$DX$3:$EC$261,MATCH(A528,input!$E$3:$E$261,0),5)</f>
        <v>164012816.07628876</v>
      </c>
      <c r="G528" s="936">
        <f>INDEX(input!$DX$3:$EC$261,MATCH(A528,input!$E$3:$E$261,0),6)</f>
        <v>210575724.11539474</v>
      </c>
      <c r="H528" s="942" t="s">
        <v>2109</v>
      </c>
      <c r="I528" s="932">
        <f>INDEX(input!$EF$3:$EK$261,MATCH(H528,input!$E$3:$E$261,0),1)</f>
        <v>169284.28108705388</v>
      </c>
      <c r="J528" s="933">
        <f>INDEX(input!$EF$3:$EK$261,MATCH(H528,input!$E$3:$E$261,0),2)</f>
        <v>236153360491.24203</v>
      </c>
      <c r="K528" s="934">
        <f>INDEX(input!$EF$3:$EK$261,MATCH(H528,input!$E$3:$E$261,0),3)</f>
        <v>1698.3239869632519</v>
      </c>
      <c r="L528" s="934">
        <f>INDEX(input!$EF$3:$EK$261,MATCH(H528,input!$E$3:$E$261,0),4)</f>
        <v>1163.6760130367481</v>
      </c>
      <c r="M528" s="935">
        <f>INDEX(input!$EF$3:$EK$261,MATCH(H528,input!$E$3:$E$261,0),5)</f>
        <v>139050830.29151839</v>
      </c>
      <c r="N528" s="936">
        <f>INDEX(input!$EF$3:$EK$261,MATCH(H528,input!$E$3:$E$261,0),6)</f>
        <v>202937379.34407732</v>
      </c>
      <c r="X528" s="73"/>
      <c r="Z528" s="73"/>
      <c r="AC528" s="73"/>
    </row>
    <row r="529" spans="1:29" ht="15" customHeight="1">
      <c r="A529" s="942" t="s">
        <v>2110</v>
      </c>
      <c r="B529" s="932">
        <f>INDEX(input!$DX$3:$EC$261,MATCH(A529,input!$E$3:$E$261,0),1)</f>
        <v>142846.91308974591</v>
      </c>
      <c r="C529" s="933">
        <f>INDEX(input!$DX$3:$EC$261,MATCH(A529,input!$E$3:$E$261,0),2)</f>
        <v>198007849742.18506</v>
      </c>
      <c r="D529" s="934">
        <f>INDEX(input!$DX$3:$EC$261,MATCH(A529,input!$E$3:$E$261,0),3)</f>
        <v>1453.8294571168058</v>
      </c>
      <c r="E529" s="934">
        <f>INDEX(input!$DX$3:$EC$261,MATCH(A529,input!$E$3:$E$261,0),4)</f>
        <v>1386.1705428831942</v>
      </c>
      <c r="F529" s="935">
        <f>INDEX(input!$DX$3:$EC$261,MATCH(A529,input!$E$3:$E$261,0),5)</f>
        <v>136197439.64664793</v>
      </c>
      <c r="G529" s="936">
        <f>INDEX(input!$DX$3:$EC$261,MATCH(A529,input!$E$3:$E$261,0),6)</f>
        <v>142845229.80147487</v>
      </c>
      <c r="H529" s="942" t="s">
        <v>2110</v>
      </c>
      <c r="I529" s="932">
        <f>INDEX(input!$EF$3:$EK$261,MATCH(H529,input!$E$3:$E$261,0),1)</f>
        <v>134124.28108705385</v>
      </c>
      <c r="J529" s="933">
        <f>INDEX(input!$EF$3:$EK$261,MATCH(H529,input!$E$3:$E$261,0),2)</f>
        <v>174471223269.76736</v>
      </c>
      <c r="K529" s="934">
        <f>INDEX(input!$EF$3:$EK$261,MATCH(H529,input!$E$3:$E$261,0),3)</f>
        <v>1557.158474547349</v>
      </c>
      <c r="L529" s="934">
        <f>INDEX(input!$EF$3:$EK$261,MATCH(H529,input!$E$3:$E$261,0),4)</f>
        <v>1282.841525452651</v>
      </c>
      <c r="M529" s="935">
        <f>INDEX(input!$EF$3:$EK$261,MATCH(H529,input!$E$3:$E$261,0),5)</f>
        <v>112044615.96016069</v>
      </c>
      <c r="N529" s="936">
        <f>INDEX(input!$EF$3:$EK$261,MATCH(H529,input!$E$3:$E$261,0),6)</f>
        <v>136003722.8356832</v>
      </c>
      <c r="X529" s="73"/>
      <c r="Z529" s="73"/>
      <c r="AC529" s="73"/>
    </row>
    <row r="530" spans="1:29" ht="15" customHeight="1">
      <c r="A530" s="942" t="s">
        <v>2111</v>
      </c>
      <c r="B530" s="932">
        <f>INDEX(input!$DX$3:$EC$261,MATCH(A530,input!$E$3:$E$261,0),1)</f>
        <v>163952.78396716746</v>
      </c>
      <c r="C530" s="933">
        <f>INDEX(input!$DX$3:$EC$261,MATCH(A530,input!$E$3:$E$261,0),2)</f>
        <v>242204101540.91312</v>
      </c>
      <c r="D530" s="934">
        <f>INDEX(input!$DX$3:$EC$261,MATCH(A530,input!$E$3:$E$261,0),3)</f>
        <v>1481.7529632923504</v>
      </c>
      <c r="E530" s="934">
        <f>INDEX(input!$DX$3:$EC$261,MATCH(A530,input!$E$3:$E$261,0),4)</f>
        <v>1382.2470367076496</v>
      </c>
      <c r="F530" s="935">
        <f>INDEX(input!$DX$3:$EC$261,MATCH(A530,input!$E$3:$E$261,0),5)</f>
        <v>163457814.85920078</v>
      </c>
      <c r="G530" s="936">
        <f>INDEX(input!$DX$3:$EC$261,MATCH(A530,input!$E$3:$E$261,0),6)</f>
        <v>175224901.9956772</v>
      </c>
      <c r="H530" s="942" t="s">
        <v>2111</v>
      </c>
      <c r="I530" s="932">
        <f>INDEX(input!$EF$3:$EK$261,MATCH(H530,input!$E$3:$E$261,0),1)</f>
        <v>155230.1519644754</v>
      </c>
      <c r="J530" s="933">
        <f>INDEX(input!$EF$3:$EK$261,MATCH(H530,input!$E$3:$E$261,0),2)</f>
        <v>218156538693.52585</v>
      </c>
      <c r="K530" s="934">
        <f>INDEX(input!$EF$3:$EK$261,MATCH(H530,input!$E$3:$E$261,0),3)</f>
        <v>1572.3771489989135</v>
      </c>
      <c r="L530" s="934">
        <f>INDEX(input!$EF$3:$EK$261,MATCH(H530,input!$E$3:$E$261,0),4)</f>
        <v>1291.6228510010865</v>
      </c>
      <c r="M530" s="935">
        <f>INDEX(input!$EF$3:$EK$261,MATCH(H530,input!$E$3:$E$261,0),5)</f>
        <v>138743137.31436488</v>
      </c>
      <c r="N530" s="936">
        <f>INDEX(input!$EF$3:$EK$261,MATCH(H530,input!$E$3:$E$261,0),6)</f>
        <v>168901114.22575191</v>
      </c>
      <c r="X530" s="73"/>
      <c r="Z530" s="73"/>
      <c r="AC530" s="73"/>
    </row>
    <row r="531" spans="1:29" ht="15" customHeight="1">
      <c r="A531" s="942" t="s">
        <v>2112</v>
      </c>
      <c r="B531" s="932">
        <f>INDEX(input!$DX$3:$EC$261,MATCH(A531,input!$E$3:$E$261,0),1)</f>
        <v>306943.86038761947</v>
      </c>
      <c r="C531" s="933">
        <f>INDEX(input!$DX$3:$EC$261,MATCH(A531,input!$E$3:$E$261,0),2)</f>
        <v>470197078608.39197</v>
      </c>
      <c r="D531" s="934">
        <f>INDEX(input!$DX$3:$EC$261,MATCH(A531,input!$E$3:$E$261,0),3)</f>
        <v>1878.7990093436404</v>
      </c>
      <c r="E531" s="934">
        <f>INDEX(input!$DX$3:$EC$261,MATCH(A531,input!$E$3:$E$261,0),4)</f>
        <v>1109.2009906563596</v>
      </c>
      <c r="F531" s="935">
        <f>INDEX(input!$DX$3:$EC$261,MATCH(A531,input!$E$3:$E$261,0),5)</f>
        <v>250264704.3510288</v>
      </c>
      <c r="G531" s="936">
        <f>INDEX(input!$DX$3:$EC$261,MATCH(A531,input!$E$3:$E$261,0),6)</f>
        <v>423906111.30824643</v>
      </c>
      <c r="H531" s="942" t="s">
        <v>2112</v>
      </c>
      <c r="I531" s="932">
        <f>INDEX(input!$EF$3:$EK$261,MATCH(H531,input!$E$3:$E$261,0),1)</f>
        <v>226910.70344125642</v>
      </c>
      <c r="J531" s="933">
        <f>INDEX(input!$EF$3:$EK$261,MATCH(H531,input!$E$3:$E$261,0),2)</f>
        <v>366581742522.76697</v>
      </c>
      <c r="K531" s="934">
        <f>INDEX(input!$EF$3:$EK$261,MATCH(H531,input!$E$3:$E$261,0),3)</f>
        <v>1671.8274134056028</v>
      </c>
      <c r="L531" s="934">
        <f>INDEX(input!$EF$3:$EK$261,MATCH(H531,input!$E$3:$E$261,0),4)</f>
        <v>1316.1725865943972</v>
      </c>
      <c r="M531" s="935">
        <f>INDEX(input!$EF$3:$EK$261,MATCH(H531,input!$E$3:$E$261,0),5)</f>
        <v>219270087.08154878</v>
      </c>
      <c r="N531" s="936">
        <f>INDEX(input!$EF$3:$EK$261,MATCH(H531,input!$E$3:$E$261,0),6)</f>
        <v>278521028.51594788</v>
      </c>
      <c r="X531" s="73"/>
      <c r="Z531" s="73"/>
      <c r="AC531" s="73"/>
    </row>
    <row r="532" spans="1:29" ht="15" customHeight="1">
      <c r="A532" s="942" t="s">
        <v>2113</v>
      </c>
      <c r="B532" s="932">
        <f>INDEX(input!$DX$3:$EC$261,MATCH(A532,input!$E$3:$E$261,0),1)</f>
        <v>429235.4239993447</v>
      </c>
      <c r="C532" s="933">
        <f>INDEX(input!$DX$3:$EC$261,MATCH(A532,input!$E$3:$E$261,0),2)</f>
        <v>783492069802.26025</v>
      </c>
      <c r="D532" s="934">
        <f>INDEX(input!$DX$3:$EC$261,MATCH(A532,input!$E$3:$E$261,0),3)</f>
        <v>1793.7637850793956</v>
      </c>
      <c r="E532" s="934">
        <f>INDEX(input!$DX$3:$EC$261,MATCH(A532,input!$E$3:$E$261,0),4)</f>
        <v>1379.2362149206044</v>
      </c>
      <c r="F532" s="935">
        <f>INDEX(input!$DX$3:$EC$261,MATCH(A532,input!$E$3:$E$261,0),5)</f>
        <v>436786647.33861893</v>
      </c>
      <c r="G532" s="936">
        <f>INDEX(input!$DX$3:$EC$261,MATCH(A532,input!$E$3:$E$261,0),6)</f>
        <v>568062280.6495564</v>
      </c>
      <c r="H532" s="942" t="s">
        <v>2113</v>
      </c>
      <c r="I532" s="932">
        <f>INDEX(input!$EF$3:$EK$261,MATCH(H532,input!$E$3:$E$261,0),1)</f>
        <v>319478.86431034352</v>
      </c>
      <c r="J532" s="933">
        <f>INDEX(input!$EF$3:$EK$261,MATCH(H532,input!$E$3:$E$261,0),2)</f>
        <v>601069509769.9563</v>
      </c>
      <c r="K532" s="934">
        <f>INDEX(input!$EF$3:$EK$261,MATCH(H532,input!$E$3:$E$261,0),3)</f>
        <v>1500.201630241251</v>
      </c>
      <c r="L532" s="934">
        <f>INDEX(input!$EF$3:$EK$261,MATCH(H532,input!$E$3:$E$261,0),4)</f>
        <v>1672.798369758749</v>
      </c>
      <c r="M532" s="935">
        <f>INDEX(input!$EF$3:$EK$261,MATCH(H532,input!$E$3:$E$261,0),5)</f>
        <v>400659149.84594232</v>
      </c>
      <c r="N532" s="936">
        <f>INDEX(input!$EF$3:$EK$261,MATCH(H532,input!$E$3:$E$261,0),6)</f>
        <v>359319760.60966784</v>
      </c>
      <c r="X532" s="73"/>
      <c r="Z532" s="73"/>
      <c r="AC532" s="73"/>
    </row>
    <row r="533" spans="1:29" ht="15" customHeight="1">
      <c r="A533" s="942" t="s">
        <v>2114</v>
      </c>
      <c r="B533" s="932">
        <f>INDEX(input!$DX$3:$EC$261,MATCH(A533,input!$E$3:$E$261,0),1)</f>
        <v>455930.01999788801</v>
      </c>
      <c r="C533" s="933">
        <f>INDEX(input!$DX$3:$EC$261,MATCH(A533,input!$E$3:$E$261,0),2)</f>
        <v>851880024989.76282</v>
      </c>
      <c r="D533" s="934">
        <f>INDEX(input!$DX$3:$EC$261,MATCH(A533,input!$E$3:$E$261,0),3)</f>
        <v>1892.4928954468974</v>
      </c>
      <c r="E533" s="934">
        <f>INDEX(input!$DX$3:$EC$261,MATCH(A533,input!$E$3:$E$261,0),4)</f>
        <v>1377.5071045531026</v>
      </c>
      <c r="F533" s="935">
        <f>INDEX(input!$DX$3:$EC$261,MATCH(A533,input!$E$3:$E$261,0),5)</f>
        <v>450136445.44678622</v>
      </c>
      <c r="G533" s="936">
        <f>INDEX(input!$DX$3:$EC$261,MATCH(A533,input!$E$3:$E$261,0),6)</f>
        <v>618421510.98460853</v>
      </c>
      <c r="H533" s="942" t="s">
        <v>2114</v>
      </c>
      <c r="I533" s="932">
        <f>INDEX(input!$EF$3:$EK$261,MATCH(H533,input!$E$3:$E$261,0),1)</f>
        <v>329721.53118659189</v>
      </c>
      <c r="J533" s="933">
        <f>INDEX(input!$EF$3:$EK$261,MATCH(H533,input!$E$3:$E$261,0),2)</f>
        <v>650354433218.04102</v>
      </c>
      <c r="K533" s="934">
        <f>INDEX(input!$EF$3:$EK$261,MATCH(H533,input!$E$3:$E$261,0),3)</f>
        <v>1572.4074986459461</v>
      </c>
      <c r="L533" s="934">
        <f>INDEX(input!$EF$3:$EK$261,MATCH(H533,input!$E$3:$E$261,0),4)</f>
        <v>1697.5925013540539</v>
      </c>
      <c r="M533" s="935">
        <f>INDEX(input!$EF$3:$EK$261,MATCH(H533,input!$E$3:$E$261,0),5)</f>
        <v>413604255.7530942</v>
      </c>
      <c r="N533" s="936">
        <f>INDEX(input!$EF$3:$EK$261,MATCH(H533,input!$E$3:$E$261,0),6)</f>
        <v>383103973.83311814</v>
      </c>
      <c r="X533" s="73"/>
      <c r="Z533" s="73"/>
      <c r="AC533" s="73"/>
    </row>
    <row r="534" spans="1:29" ht="15" customHeight="1">
      <c r="A534" s="942" t="s">
        <v>2115</v>
      </c>
      <c r="B534" s="932">
        <f>INDEX(input!$DX$3:$EC$261,MATCH(A534,input!$E$3:$E$261,0),1)</f>
        <v>429235.4239993447</v>
      </c>
      <c r="C534" s="933">
        <f>INDEX(input!$DX$3:$EC$261,MATCH(A534,input!$E$3:$E$261,0),2)</f>
        <v>783492069802.26025</v>
      </c>
      <c r="D534" s="934">
        <f>INDEX(input!$DX$3:$EC$261,MATCH(A534,input!$E$3:$E$261,0),3)</f>
        <v>1793.7637850793956</v>
      </c>
      <c r="E534" s="934">
        <f>INDEX(input!$DX$3:$EC$261,MATCH(A534,input!$E$3:$E$261,0),4)</f>
        <v>1379.2362149206044</v>
      </c>
      <c r="F534" s="935">
        <f>INDEX(input!$DX$3:$EC$261,MATCH(A534,input!$E$3:$E$261,0),5)</f>
        <v>436786647.33861893</v>
      </c>
      <c r="G534" s="936">
        <f>INDEX(input!$DX$3:$EC$261,MATCH(A534,input!$E$3:$E$261,0),6)</f>
        <v>568062280.6495564</v>
      </c>
      <c r="H534" s="942" t="s">
        <v>2115</v>
      </c>
      <c r="I534" s="932">
        <f>INDEX(input!$EF$3:$EK$261,MATCH(H534,input!$E$3:$E$261,0),1)</f>
        <v>319478.86431034352</v>
      </c>
      <c r="J534" s="933">
        <f>INDEX(input!$EF$3:$EK$261,MATCH(H534,input!$E$3:$E$261,0),2)</f>
        <v>601069509769.9563</v>
      </c>
      <c r="K534" s="934">
        <f>INDEX(input!$EF$3:$EK$261,MATCH(H534,input!$E$3:$E$261,0),3)</f>
        <v>1500.201630241251</v>
      </c>
      <c r="L534" s="934">
        <f>INDEX(input!$EF$3:$EK$261,MATCH(H534,input!$E$3:$E$261,0),4)</f>
        <v>1672.798369758749</v>
      </c>
      <c r="M534" s="935">
        <f>INDEX(input!$EF$3:$EK$261,MATCH(H534,input!$E$3:$E$261,0),5)</f>
        <v>400659149.84594232</v>
      </c>
      <c r="N534" s="936">
        <f>INDEX(input!$EF$3:$EK$261,MATCH(H534,input!$E$3:$E$261,0),6)</f>
        <v>359319760.60966784</v>
      </c>
      <c r="X534" s="73"/>
      <c r="Z534" s="73"/>
      <c r="AC534" s="73"/>
    </row>
    <row r="535" spans="1:29" ht="15" customHeight="1">
      <c r="A535" s="942" t="s">
        <v>2116</v>
      </c>
      <c r="B535" s="932">
        <f>INDEX(input!$DX$3:$EC$261,MATCH(A535,input!$E$3:$E$261,0),1)</f>
        <v>317161.86038761947</v>
      </c>
      <c r="C535" s="933">
        <f>INDEX(input!$DX$3:$EC$261,MATCH(A535,input!$E$3:$E$261,0),2)</f>
        <v>497350595408.77948</v>
      </c>
      <c r="D535" s="934">
        <f>INDEX(input!$DX$3:$EC$261,MATCH(A535,input!$E$3:$E$261,0),3)</f>
        <v>1858.2110394410092</v>
      </c>
      <c r="E535" s="934">
        <f>INDEX(input!$DX$3:$EC$261,MATCH(A535,input!$E$3:$E$261,0),4)</f>
        <v>1135.7889605589908</v>
      </c>
      <c r="F535" s="935">
        <f>INDEX(input!$DX$3:$EC$261,MATCH(A535,input!$E$3:$E$261,0),5)</f>
        <v>267650221.0203172</v>
      </c>
      <c r="G535" s="936">
        <f>INDEX(input!$DX$3:$EC$261,MATCH(A535,input!$E$3:$E$261,0),6)</f>
        <v>437889971.35876638</v>
      </c>
      <c r="H535" s="942" t="s">
        <v>2116</v>
      </c>
      <c r="I535" s="932">
        <f>INDEX(input!$EF$3:$EK$261,MATCH(H535,input!$E$3:$E$261,0),1)</f>
        <v>237128.70344125642</v>
      </c>
      <c r="J535" s="933">
        <f>INDEX(input!$EF$3:$EK$261,MATCH(H535,input!$E$3:$E$261,0),2)</f>
        <v>391000412051.83636</v>
      </c>
      <c r="K535" s="934">
        <f>INDEX(input!$EF$3:$EK$261,MATCH(H535,input!$E$3:$E$261,0),3)</f>
        <v>1651.8592879627608</v>
      </c>
      <c r="L535" s="934">
        <f>INDEX(input!$EF$3:$EK$261,MATCH(H535,input!$E$3:$E$261,0),4)</f>
        <v>1342.1407120372392</v>
      </c>
      <c r="M535" s="935">
        <f>INDEX(input!$EF$3:$EK$261,MATCH(H535,input!$E$3:$E$261,0),5)</f>
        <v>236703219.76035708</v>
      </c>
      <c r="N535" s="936">
        <f>INDEX(input!$EF$3:$EK$261,MATCH(H535,input!$E$3:$E$261,0),6)</f>
        <v>291325945.59205031</v>
      </c>
      <c r="X535" s="73"/>
      <c r="Z535" s="73"/>
      <c r="AC535" s="73"/>
    </row>
    <row r="536" spans="1:29" ht="15" customHeight="1">
      <c r="A536" s="942" t="s">
        <v>2117</v>
      </c>
      <c r="B536" s="932">
        <f>INDEX(input!$DX$3:$EC$261,MATCH(A536,input!$E$3:$E$261,0),1)</f>
        <v>192374.78396716746</v>
      </c>
      <c r="C536" s="933">
        <f>INDEX(input!$DX$3:$EC$261,MATCH(A536,input!$E$3:$E$261,0),2)</f>
        <v>301328417339.36444</v>
      </c>
      <c r="D536" s="934">
        <f>INDEX(input!$DX$3:$EC$261,MATCH(A536,input!$E$3:$E$261,0),3)</f>
        <v>1449.4282395478074</v>
      </c>
      <c r="E536" s="934">
        <f>INDEX(input!$DX$3:$EC$261,MATCH(A536,input!$E$3:$E$261,0),4)</f>
        <v>1434.5717604521926</v>
      </c>
      <c r="F536" s="935">
        <f>INDEX(input!$DX$3:$EC$261,MATCH(A536,input!$E$3:$E$261,0),5)</f>
        <v>207894678.13416749</v>
      </c>
      <c r="G536" s="936">
        <f>INDEX(input!$DX$3:$EC$261,MATCH(A536,input!$E$3:$E$261,0),6)</f>
        <v>210047643.23841316</v>
      </c>
      <c r="H536" s="942" t="s">
        <v>2117</v>
      </c>
      <c r="I536" s="932">
        <f>INDEX(input!$EF$3:$EK$261,MATCH(H536,input!$E$3:$E$261,0),1)</f>
        <v>183652.1519644754</v>
      </c>
      <c r="J536" s="933">
        <f>INDEX(input!$EF$3:$EK$261,MATCH(H536,input!$E$3:$E$261,0),2)</f>
        <v>278823804306.33636</v>
      </c>
      <c r="K536" s="934">
        <f>INDEX(input!$EF$3:$EK$261,MATCH(H536,input!$E$3:$E$261,0),3)</f>
        <v>1523.8272185681001</v>
      </c>
      <c r="L536" s="934">
        <f>INDEX(input!$EF$3:$EK$261,MATCH(H536,input!$E$3:$E$261,0),4)</f>
        <v>1360.1727814318999</v>
      </c>
      <c r="M536" s="935">
        <f>INDEX(input!$EF$3:$EK$261,MATCH(H536,input!$E$3:$E$261,0),5)</f>
        <v>182975996.82484978</v>
      </c>
      <c r="N536" s="936">
        <f>INDEX(input!$EF$3:$EK$261,MATCH(H536,input!$E$3:$E$261,0),6)</f>
        <v>204991459.99143514</v>
      </c>
      <c r="X536" s="73"/>
      <c r="Z536" s="73"/>
      <c r="AC536" s="73"/>
    </row>
    <row r="537" spans="1:29" ht="15" customHeight="1">
      <c r="A537" s="942" t="s">
        <v>2118</v>
      </c>
      <c r="B537" s="932">
        <f>INDEX(input!$DX$3:$EC$261,MATCH(A537,input!$E$3:$E$261,0),1)</f>
        <v>158486.91308974594</v>
      </c>
      <c r="C537" s="933">
        <f>INDEX(input!$DX$3:$EC$261,MATCH(A537,input!$E$3:$E$261,0),2)</f>
        <v>228272991963.38809</v>
      </c>
      <c r="D537" s="934">
        <f>INDEX(input!$DX$3:$EC$261,MATCH(A537,input!$E$3:$E$261,0),3)</f>
        <v>1523.1132530402854</v>
      </c>
      <c r="E537" s="934">
        <f>INDEX(input!$DX$3:$EC$261,MATCH(A537,input!$E$3:$E$261,0),4)</f>
        <v>1326.8867469597146</v>
      </c>
      <c r="F537" s="935">
        <f>INDEX(input!$DX$3:$EC$261,MATCH(A537,input!$E$3:$E$261,0),5)</f>
        <v>149872631.93182287</v>
      </c>
      <c r="G537" s="936">
        <f>INDEX(input!$DX$3:$EC$261,MATCH(A537,input!$E$3:$E$261,0),6)</f>
        <v>172036530.23623022</v>
      </c>
      <c r="H537" s="942" t="s">
        <v>2118</v>
      </c>
      <c r="I537" s="932">
        <f>INDEX(input!$EF$3:$EK$261,MATCH(H537,input!$E$3:$E$261,0),1)</f>
        <v>149764.28108705388</v>
      </c>
      <c r="J537" s="933">
        <f>INDEX(input!$EF$3:$EK$261,MATCH(H537,input!$E$3:$E$261,0),2)</f>
        <v>202931654274.86081</v>
      </c>
      <c r="K537" s="934">
        <f>INDEX(input!$EF$3:$EK$261,MATCH(H537,input!$E$3:$E$261,0),3)</f>
        <v>1619.4538263809727</v>
      </c>
      <c r="L537" s="934">
        <f>INDEX(input!$EF$3:$EK$261,MATCH(H537,input!$E$3:$E$261,0),4)</f>
        <v>1230.5461736190273</v>
      </c>
      <c r="M537" s="935">
        <f>INDEX(input!$EF$3:$EK$261,MATCH(H537,input!$E$3:$E$261,0),5)</f>
        <v>125308700.35878479</v>
      </c>
      <c r="N537" s="936">
        <f>INDEX(input!$EF$3:$EK$261,MATCH(H537,input!$E$3:$E$261,0),6)</f>
        <v>164911856.72297066</v>
      </c>
      <c r="X537" s="73"/>
      <c r="Z537" s="73"/>
      <c r="AC537" s="73"/>
    </row>
    <row r="538" spans="1:29" ht="15" customHeight="1">
      <c r="A538" s="942" t="s">
        <v>2119</v>
      </c>
      <c r="B538" s="932">
        <f>INDEX(input!$DX$3:$EC$261,MATCH(A538,input!$E$3:$E$261,0),1)</f>
        <v>142846.91308974591</v>
      </c>
      <c r="C538" s="933">
        <f>INDEX(input!$DX$3:$EC$261,MATCH(A538,input!$E$3:$E$261,0),2)</f>
        <v>198007849742.18506</v>
      </c>
      <c r="D538" s="934">
        <f>INDEX(input!$DX$3:$EC$261,MATCH(A538,input!$E$3:$E$261,0),3)</f>
        <v>1453.8294571168058</v>
      </c>
      <c r="E538" s="934">
        <f>INDEX(input!$DX$3:$EC$261,MATCH(A538,input!$E$3:$E$261,0),4)</f>
        <v>1386.1705428831942</v>
      </c>
      <c r="F538" s="935">
        <f>INDEX(input!$DX$3:$EC$261,MATCH(A538,input!$E$3:$E$261,0),5)</f>
        <v>136197439.64664793</v>
      </c>
      <c r="G538" s="936">
        <f>INDEX(input!$DX$3:$EC$261,MATCH(A538,input!$E$3:$E$261,0),6)</f>
        <v>142845229.80147487</v>
      </c>
      <c r="H538" s="942" t="s">
        <v>2119</v>
      </c>
      <c r="I538" s="932">
        <f>INDEX(input!$EF$3:$EK$261,MATCH(H538,input!$E$3:$E$261,0),1)</f>
        <v>134124.28108705385</v>
      </c>
      <c r="J538" s="933">
        <f>INDEX(input!$EF$3:$EK$261,MATCH(H538,input!$E$3:$E$261,0),2)</f>
        <v>174471223269.76736</v>
      </c>
      <c r="K538" s="934">
        <f>INDEX(input!$EF$3:$EK$261,MATCH(H538,input!$E$3:$E$261,0),3)</f>
        <v>1557.158474547349</v>
      </c>
      <c r="L538" s="934">
        <f>INDEX(input!$EF$3:$EK$261,MATCH(H538,input!$E$3:$E$261,0),4)</f>
        <v>1282.841525452651</v>
      </c>
      <c r="M538" s="935">
        <f>INDEX(input!$EF$3:$EK$261,MATCH(H538,input!$E$3:$E$261,0),5)</f>
        <v>112044615.96016069</v>
      </c>
      <c r="N538" s="936">
        <f>INDEX(input!$EF$3:$EK$261,MATCH(H538,input!$E$3:$E$261,0),6)</f>
        <v>136003722.8356832</v>
      </c>
      <c r="X538" s="73"/>
      <c r="Z538" s="73"/>
      <c r="AC538" s="73"/>
    </row>
    <row r="539" spans="1:29" ht="15" customHeight="1">
      <c r="A539" s="942" t="s">
        <v>2120</v>
      </c>
      <c r="B539" s="932">
        <f>INDEX(input!$DX$3:$EC$261,MATCH(A539,input!$E$3:$E$261,0),1)</f>
        <v>127326.91308974591</v>
      </c>
      <c r="C539" s="933">
        <f>INDEX(input!$DX$3:$EC$261,MATCH(A539,input!$E$3:$E$261,0),2)</f>
        <v>164744444014.17923</v>
      </c>
      <c r="D539" s="934">
        <f>INDEX(input!$DX$3:$EC$261,MATCH(A539,input!$E$3:$E$261,0),3)</f>
        <v>1285.3553591825589</v>
      </c>
      <c r="E539" s="934">
        <f>INDEX(input!$DX$3:$EC$261,MATCH(A539,input!$E$3:$E$261,0),4)</f>
        <v>1546.6446408174411</v>
      </c>
      <c r="F539" s="935">
        <f>INDEX(input!$DX$3:$EC$261,MATCH(A539,input!$E$3:$E$261,0),5)</f>
        <v>128170348.25213701</v>
      </c>
      <c r="G539" s="936">
        <f>INDEX(input!$DX$3:$EC$261,MATCH(A539,input!$E$3:$E$261,0),6)</f>
        <v>106517321.21679069</v>
      </c>
      <c r="H539" s="942" t="s">
        <v>2120</v>
      </c>
      <c r="I539" s="932">
        <f>INDEX(input!$EF$3:$EK$261,MATCH(H539,input!$E$3:$E$261,0),1)</f>
        <v>118604.28108705385</v>
      </c>
      <c r="J539" s="933">
        <f>INDEX(input!$EF$3:$EK$261,MATCH(H539,input!$E$3:$E$261,0),2)</f>
        <v>145767814837.80017</v>
      </c>
      <c r="K539" s="934">
        <f>INDEX(input!$EF$3:$EK$261,MATCH(H539,input!$E$3:$E$261,0),3)</f>
        <v>1389.8152699588293</v>
      </c>
      <c r="L539" s="934">
        <f>INDEX(input!$EF$3:$EK$261,MATCH(H539,input!$E$3:$E$261,0),4)</f>
        <v>1442.1847300411707</v>
      </c>
      <c r="M539" s="935">
        <f>INDEX(input!$EF$3:$EK$261,MATCH(H539,input!$E$3:$E$261,0),5)</f>
        <v>104882870.39911303</v>
      </c>
      <c r="N539" s="936">
        <f>INDEX(input!$EF$3:$EK$261,MATCH(H539,input!$E$3:$E$261,0),6)</f>
        <v>101074301.92638281</v>
      </c>
      <c r="X539" s="73"/>
      <c r="Z539" s="73"/>
      <c r="AC539" s="73"/>
    </row>
    <row r="540" spans="1:29" ht="15" customHeight="1">
      <c r="A540" s="942" t="s">
        <v>2121</v>
      </c>
      <c r="B540" s="932">
        <f>INDEX(input!$DX$3:$EC$261,MATCH(A540,input!$E$3:$E$261,0),1)</f>
        <v>127326.91308974591</v>
      </c>
      <c r="C540" s="933">
        <f>INDEX(input!$DX$3:$EC$261,MATCH(A540,input!$E$3:$E$261,0),2)</f>
        <v>164744444014.17923</v>
      </c>
      <c r="D540" s="934">
        <f>INDEX(input!$DX$3:$EC$261,MATCH(A540,input!$E$3:$E$261,0),3)</f>
        <v>1285.3553591825589</v>
      </c>
      <c r="E540" s="934">
        <f>INDEX(input!$DX$3:$EC$261,MATCH(A540,input!$E$3:$E$261,0),4)</f>
        <v>1546.6446408174411</v>
      </c>
      <c r="F540" s="935">
        <f>INDEX(input!$DX$3:$EC$261,MATCH(A540,input!$E$3:$E$261,0),5)</f>
        <v>128170348.25213701</v>
      </c>
      <c r="G540" s="936">
        <f>INDEX(input!$DX$3:$EC$261,MATCH(A540,input!$E$3:$E$261,0),6)</f>
        <v>106517321.21679069</v>
      </c>
      <c r="H540" s="942" t="s">
        <v>2121</v>
      </c>
      <c r="I540" s="932">
        <f>INDEX(input!$EF$3:$EK$261,MATCH(H540,input!$E$3:$E$261,0),1)</f>
        <v>118604.28108705385</v>
      </c>
      <c r="J540" s="933">
        <f>INDEX(input!$EF$3:$EK$261,MATCH(H540,input!$E$3:$E$261,0),2)</f>
        <v>145767814837.80017</v>
      </c>
      <c r="K540" s="934">
        <f>INDEX(input!$EF$3:$EK$261,MATCH(H540,input!$E$3:$E$261,0),3)</f>
        <v>1389.8152699588293</v>
      </c>
      <c r="L540" s="934">
        <f>INDEX(input!$EF$3:$EK$261,MATCH(H540,input!$E$3:$E$261,0),4)</f>
        <v>1442.1847300411707</v>
      </c>
      <c r="M540" s="935">
        <f>INDEX(input!$EF$3:$EK$261,MATCH(H540,input!$E$3:$E$261,0),5)</f>
        <v>104882870.39911303</v>
      </c>
      <c r="N540" s="936">
        <f>INDEX(input!$EF$3:$EK$261,MATCH(H540,input!$E$3:$E$261,0),6)</f>
        <v>101074301.92638281</v>
      </c>
      <c r="X540" s="73"/>
      <c r="Z540" s="73"/>
      <c r="AC540" s="73"/>
    </row>
    <row r="541" spans="1:29" ht="15" customHeight="1">
      <c r="A541" s="943" t="s">
        <v>2122</v>
      </c>
      <c r="B541" s="937">
        <f>INDEX(input!$DX$3:$EC$261,MATCH(A541,input!$E$3:$E$261,0),1)</f>
        <v>122489.55844076678</v>
      </c>
      <c r="C541" s="938">
        <f>INDEX(input!$DX$3:$EC$261,MATCH(A541,input!$E$3:$E$261,0),2)</f>
        <v>139631608579.18436</v>
      </c>
      <c r="D541" s="939">
        <f>INDEX(input!$DX$3:$EC$261,MATCH(A541,input!$E$3:$E$261,0),3)</f>
        <v>1188.5833585069154</v>
      </c>
      <c r="E541" s="939">
        <f>INDEX(input!$DX$3:$EC$261,MATCH(A541,input!$E$3:$E$261,0),4)</f>
        <v>1443.4166414930846</v>
      </c>
      <c r="F541" s="940">
        <f>INDEX(input!$DX$3:$EC$261,MATCH(A541,input!$E$3:$E$261,0),5)</f>
        <v>117477337.6892875</v>
      </c>
      <c r="G541" s="941">
        <f>INDEX(input!$DX$3:$EC$261,MATCH(A541,input!$E$3:$E$261,0),6)</f>
        <v>96736870.398520574</v>
      </c>
      <c r="H541" s="943" t="s">
        <v>2122</v>
      </c>
      <c r="I541" s="937">
        <f>INDEX(input!$EF$3:$EK$261,MATCH(H541,input!$E$3:$E$261,0),1)</f>
        <v>113766.92643807472</v>
      </c>
      <c r="J541" s="938">
        <f>INDEX(input!$EF$3:$EK$261,MATCH(H541,input!$E$3:$E$261,0),2)</f>
        <v>123093743201.32808</v>
      </c>
      <c r="K541" s="939">
        <f>INDEX(input!$EF$3:$EK$261,MATCH(H541,input!$E$3:$E$261,0),3)</f>
        <v>1290.0652780018902</v>
      </c>
      <c r="L541" s="939">
        <f>INDEX(input!$EF$3:$EK$261,MATCH(H541,input!$E$3:$E$261,0),4)</f>
        <v>1341.9347219981098</v>
      </c>
      <c r="M541" s="940">
        <f>INDEX(input!$EF$3:$EK$261,MATCH(H541,input!$E$3:$E$261,0),5)</f>
        <v>95416677.97770752</v>
      </c>
      <c r="N541" s="941">
        <f>INDEX(input!$EF$3:$EK$261,MATCH(H541,input!$E$3:$E$261,0),6)</f>
        <v>91728562.636820614</v>
      </c>
      <c r="X541" s="73"/>
      <c r="Z541" s="73"/>
      <c r="AC541" s="73"/>
    </row>
    <row r="542" spans="1:29" ht="15" customHeight="1">
      <c r="D542" s="495"/>
      <c r="E542" s="805"/>
      <c r="F542" s="156"/>
      <c r="L542" s="143"/>
      <c r="X542" s="73"/>
      <c r="Z542" s="73"/>
      <c r="AC542" s="73"/>
    </row>
    <row r="543" spans="1:29" ht="15" customHeight="1">
      <c r="D543" s="495"/>
      <c r="E543" s="805"/>
      <c r="F543" s="417"/>
      <c r="H543" s="498"/>
      <c r="I543" s="498"/>
      <c r="J543" s="417"/>
      <c r="L543" s="417"/>
      <c r="X543" s="73"/>
      <c r="Z543" s="73"/>
      <c r="AC543" s="73"/>
    </row>
    <row r="544" spans="1:29" ht="15" customHeight="1">
      <c r="A544" s="78" t="s">
        <v>311</v>
      </c>
      <c r="B544" s="96" t="s">
        <v>352</v>
      </c>
      <c r="C544" s="160"/>
      <c r="M544" s="137" t="s">
        <v>24</v>
      </c>
    </row>
    <row r="545" spans="1:29" ht="15" customHeight="1">
      <c r="A545" s="78"/>
      <c r="B545" s="20" t="s">
        <v>121</v>
      </c>
      <c r="C545" s="160"/>
      <c r="N545" s="137"/>
    </row>
    <row r="546" spans="1:29" ht="15" customHeight="1">
      <c r="A546" s="78"/>
      <c r="B546" s="65" t="s">
        <v>25</v>
      </c>
      <c r="C546" s="15"/>
      <c r="D546" s="15" t="s">
        <v>29</v>
      </c>
      <c r="E546" s="15"/>
      <c r="F546" s="15"/>
      <c r="G546" s="16"/>
      <c r="H546" s="65" t="s">
        <v>26</v>
      </c>
      <c r="I546" s="15"/>
      <c r="J546" s="15"/>
      <c r="K546" s="15"/>
      <c r="L546" s="15"/>
      <c r="M546" s="16"/>
      <c r="Q546" s="461" t="s">
        <v>28</v>
      </c>
    </row>
    <row r="547" spans="1:29" ht="15" customHeight="1">
      <c r="A547" s="78"/>
      <c r="B547" s="67"/>
      <c r="C547" s="9"/>
      <c r="D547" s="9"/>
      <c r="E547" s="9"/>
      <c r="F547" s="9"/>
      <c r="G547" s="10"/>
      <c r="H547" s="1876" t="s">
        <v>2016</v>
      </c>
      <c r="I547" s="167" t="s">
        <v>189</v>
      </c>
      <c r="J547" s="1872" t="s">
        <v>27</v>
      </c>
      <c r="K547" s="49"/>
      <c r="L547" s="49"/>
      <c r="M547" s="475" t="s">
        <v>1656</v>
      </c>
      <c r="Q547" s="460" t="s">
        <v>29</v>
      </c>
    </row>
    <row r="548" spans="1:29" ht="15" customHeight="1">
      <c r="A548" s="78"/>
      <c r="B548" s="802" t="s">
        <v>2019</v>
      </c>
      <c r="C548" s="33" t="s">
        <v>36</v>
      </c>
      <c r="D548" s="33"/>
      <c r="E548" s="33"/>
      <c r="F548" s="33"/>
      <c r="G548" s="32" t="s">
        <v>201</v>
      </c>
      <c r="H548" s="1876"/>
      <c r="I548" s="154" t="s">
        <v>190</v>
      </c>
      <c r="J548" s="1872"/>
      <c r="K548" s="49"/>
      <c r="L548" s="49"/>
      <c r="M548" s="501"/>
    </row>
    <row r="549" spans="1:29" ht="15" customHeight="1">
      <c r="A549" s="78"/>
      <c r="B549" s="1868" t="s">
        <v>2015</v>
      </c>
      <c r="C549" s="474" t="s">
        <v>5</v>
      </c>
      <c r="D549" s="1874" t="s">
        <v>30</v>
      </c>
      <c r="E549" s="1872">
        <f>+IF(D546="(수평보강재가 있음)",300,150)</f>
        <v>300</v>
      </c>
      <c r="F549" s="49"/>
      <c r="G549" s="475" t="s">
        <v>1655</v>
      </c>
      <c r="H549" s="802" t="s">
        <v>2017</v>
      </c>
      <c r="I549" s="48" t="s">
        <v>191</v>
      </c>
      <c r="J549" s="49"/>
      <c r="K549" s="49"/>
      <c r="L549" s="49"/>
      <c r="M549" s="32" t="s">
        <v>186</v>
      </c>
    </row>
    <row r="550" spans="1:29" ht="15" customHeight="1">
      <c r="A550" s="78"/>
      <c r="B550" s="1869"/>
      <c r="C550" s="155" t="s">
        <v>188</v>
      </c>
      <c r="D550" s="1875"/>
      <c r="E550" s="1873"/>
      <c r="F550" s="69"/>
      <c r="G550" s="502"/>
      <c r="H550" s="803" t="s">
        <v>2018</v>
      </c>
      <c r="I550" s="68" t="s">
        <v>192</v>
      </c>
      <c r="J550" s="69"/>
      <c r="K550" s="69"/>
      <c r="L550" s="69"/>
      <c r="M550" s="70" t="s">
        <v>187</v>
      </c>
    </row>
    <row r="551" spans="1:29" ht="15" customHeight="1" thickBot="1">
      <c r="A551" s="78"/>
      <c r="B551" s="96"/>
      <c r="C551" s="160"/>
      <c r="N551" s="137"/>
    </row>
    <row r="552" spans="1:29" ht="15" customHeight="1">
      <c r="B552" s="659" t="s">
        <v>309</v>
      </c>
      <c r="C552" s="660" t="s">
        <v>5</v>
      </c>
      <c r="D552" s="660" t="s">
        <v>6</v>
      </c>
      <c r="E552" s="660" t="s">
        <v>31</v>
      </c>
      <c r="F552" s="660" t="s">
        <v>35</v>
      </c>
      <c r="G552" s="660" t="s">
        <v>33</v>
      </c>
      <c r="H552" s="503" t="s">
        <v>3</v>
      </c>
      <c r="I552" s="503"/>
      <c r="J552" s="503"/>
      <c r="K552" s="503"/>
      <c r="L552" s="503"/>
      <c r="M552" s="478" t="s">
        <v>34</v>
      </c>
      <c r="V552" s="463"/>
      <c r="Z552" s="73"/>
      <c r="AC552" s="73"/>
    </row>
    <row r="553" spans="1:29" ht="15" customHeight="1">
      <c r="B553" s="661"/>
      <c r="C553" s="480"/>
      <c r="D553" s="480"/>
      <c r="E553" s="480"/>
      <c r="F553" s="480"/>
      <c r="G553" s="480"/>
      <c r="H553" s="662" t="s">
        <v>2019</v>
      </c>
      <c r="I553" s="662" t="s">
        <v>2015</v>
      </c>
      <c r="J553" s="662" t="s">
        <v>2016</v>
      </c>
      <c r="K553" s="662" t="s">
        <v>2017</v>
      </c>
      <c r="L553" s="633" t="s">
        <v>2018</v>
      </c>
      <c r="M553" s="481"/>
      <c r="V553" s="463"/>
      <c r="Z553" s="73"/>
      <c r="AC553" s="73"/>
    </row>
    <row r="554" spans="1:29" ht="15" customHeight="1">
      <c r="B554" s="799" t="s">
        <v>2084</v>
      </c>
      <c r="C554" s="488">
        <f>+INDEX(input!$BQ$3:$BQ$261,MATCH(B554,input!$E$3:$E$261,0),1)</f>
        <v>2620.2337681970284</v>
      </c>
      <c r="D554" s="171">
        <f>+INDEX(input!$M$3:$N$261,MATCH(B554,input!$E$3:$E$261,0),2)</f>
        <v>12</v>
      </c>
      <c r="E554" s="487">
        <f>+INDEX(input!$G$3:$H$261,MATCH(B554,input!$E$3:$E$261,0),1)</f>
        <v>500</v>
      </c>
      <c r="F554" s="171">
        <f>+INDEX(input!$G$3:$H$261,MATCH(B554,input!$E$3:$E$261,0),2)</f>
        <v>22</v>
      </c>
      <c r="G554" s="490">
        <f>+INDEX(input!$BP$3:$BP$261,MATCH(B554,input!$E$3:$E$261,0),1)</f>
        <v>0.125</v>
      </c>
      <c r="H554" s="491" t="str">
        <f>IF(G554&lt;=0.25,"OK","NG")</f>
        <v>OK</v>
      </c>
      <c r="I554" s="492" t="str">
        <f t="shared" ref="I554:I572" si="12">IF(M554="폐합단면","-",IF(C554/D554&lt;=$E$549,"OK","NG"))</f>
        <v>OK</v>
      </c>
      <c r="J554" s="492" t="str">
        <f t="shared" ref="J554:J572" si="13">IF(M554="폐합단면","-",IF(E554/2/F554&lt;=12,"OK","NG"))</f>
        <v>OK</v>
      </c>
      <c r="K554" s="492" t="str">
        <f t="shared" ref="K554:K572" si="14">IF(M554="폐합단면","-",IF(E554&gt;=C554/6,"OK","NG"))</f>
        <v>OK</v>
      </c>
      <c r="L554" s="492" t="str">
        <f t="shared" ref="L554:L572" si="15">IF(M554="폐합단면","-",IF(F554&gt;1.1*D554,"OK","NG"))</f>
        <v>OK</v>
      </c>
      <c r="M554" s="944" t="str">
        <f>IF(INDEX(input!$F$3:$F$261,MATCH(B554,input!$E$3:$E$261,0),1)=1,"폐합단면","-")</f>
        <v>-</v>
      </c>
      <c r="V554" s="463"/>
      <c r="Z554" s="73"/>
      <c r="AC554" s="73"/>
    </row>
    <row r="555" spans="1:29" ht="15" customHeight="1">
      <c r="B555" s="799" t="s">
        <v>2086</v>
      </c>
      <c r="C555" s="488">
        <f>+INDEX(input!$BQ$3:$BQ$261,MATCH(B555,input!$E$3:$E$261,0),1)</f>
        <v>2821.7902119044925</v>
      </c>
      <c r="D555" s="171">
        <f>+INDEX(input!$M$3:$N$261,MATCH(B555,input!$E$3:$E$261,0),2)</f>
        <v>12</v>
      </c>
      <c r="E555" s="487">
        <f>+INDEX(input!$G$3:$H$261,MATCH(B555,input!$E$3:$E$261,0),1)</f>
        <v>500</v>
      </c>
      <c r="F555" s="171">
        <f>+INDEX(input!$G$3:$H$261,MATCH(B555,input!$E$3:$E$261,0),2)</f>
        <v>30</v>
      </c>
      <c r="G555" s="490">
        <f>+INDEX(input!$BP$3:$BP$261,MATCH(B555,input!$E$3:$E$261,0),1)</f>
        <v>0.125</v>
      </c>
      <c r="H555" s="491" t="str">
        <f t="shared" ref="H555:H572" si="16">IF(G555&lt;=0.25,"OK","NG")</f>
        <v>OK</v>
      </c>
      <c r="I555" s="492" t="str">
        <f t="shared" si="12"/>
        <v>OK</v>
      </c>
      <c r="J555" s="492" t="str">
        <f t="shared" si="13"/>
        <v>OK</v>
      </c>
      <c r="K555" s="492" t="str">
        <f t="shared" si="14"/>
        <v>OK</v>
      </c>
      <c r="L555" s="492" t="str">
        <f t="shared" si="15"/>
        <v>OK</v>
      </c>
      <c r="M555" s="944" t="str">
        <f>IF(INDEX(input!$F$3:$F$261,MATCH(B555,input!$E$3:$E$261,0),1)=1,"폐합단면","-")</f>
        <v>-</v>
      </c>
      <c r="V555" s="463"/>
      <c r="Z555" s="73"/>
      <c r="AC555" s="73"/>
    </row>
    <row r="556" spans="1:29" ht="15" customHeight="1">
      <c r="B556" s="799" t="s">
        <v>2087</v>
      </c>
      <c r="C556" s="488">
        <f>+INDEX(input!$BQ$3:$BQ$261,MATCH(B556,input!$E$3:$E$261,0),1)</f>
        <v>2821.7902119044925</v>
      </c>
      <c r="D556" s="171">
        <f>+INDEX(input!$M$3:$N$261,MATCH(B556,input!$E$3:$E$261,0),2)</f>
        <v>12</v>
      </c>
      <c r="E556" s="487">
        <f>+INDEX(input!$G$3:$H$261,MATCH(B556,input!$E$3:$E$261,0),1)</f>
        <v>500</v>
      </c>
      <c r="F556" s="171">
        <f>+INDEX(input!$G$3:$H$261,MATCH(B556,input!$E$3:$E$261,0),2)</f>
        <v>38</v>
      </c>
      <c r="G556" s="490">
        <f>+INDEX(input!$BP$3:$BP$261,MATCH(B556,input!$E$3:$E$261,0),1)</f>
        <v>0.125</v>
      </c>
      <c r="H556" s="491" t="str">
        <f t="shared" si="16"/>
        <v>OK</v>
      </c>
      <c r="I556" s="492" t="str">
        <f t="shared" si="12"/>
        <v>OK</v>
      </c>
      <c r="J556" s="492" t="str">
        <f t="shared" si="13"/>
        <v>OK</v>
      </c>
      <c r="K556" s="492" t="str">
        <f t="shared" si="14"/>
        <v>OK</v>
      </c>
      <c r="L556" s="492" t="str">
        <f t="shared" si="15"/>
        <v>OK</v>
      </c>
      <c r="M556" s="944" t="str">
        <f>IF(INDEX(input!$F$3:$F$261,MATCH(B556,input!$E$3:$E$261,0),1)=1,"폐합단면","-")</f>
        <v>-</v>
      </c>
      <c r="V556" s="463"/>
      <c r="Z556" s="73"/>
      <c r="AC556" s="73"/>
    </row>
    <row r="557" spans="1:29" ht="15" customHeight="1">
      <c r="B557" s="799" t="s">
        <v>2088</v>
      </c>
      <c r="C557" s="488">
        <f>+INDEX(input!$BQ$3:$BQ$261,MATCH(B557,input!$E$3:$E$261,0),1)</f>
        <v>2821.7902119044925</v>
      </c>
      <c r="D557" s="171">
        <f>+INDEX(input!$M$3:$N$261,MATCH(B557,input!$E$3:$E$261,0),2)</f>
        <v>12</v>
      </c>
      <c r="E557" s="487">
        <f>+INDEX(input!$G$3:$H$261,MATCH(B557,input!$E$3:$E$261,0),1)</f>
        <v>600</v>
      </c>
      <c r="F557" s="171">
        <f>+INDEX(input!$G$3:$H$261,MATCH(B557,input!$E$3:$E$261,0),2)</f>
        <v>40</v>
      </c>
      <c r="G557" s="490">
        <f>+INDEX(input!$BP$3:$BP$261,MATCH(B557,input!$E$3:$E$261,0),1)</f>
        <v>0.125</v>
      </c>
      <c r="H557" s="491" t="str">
        <f t="shared" si="16"/>
        <v>OK</v>
      </c>
      <c r="I557" s="492" t="str">
        <f t="shared" si="12"/>
        <v>OK</v>
      </c>
      <c r="J557" s="492" t="str">
        <f t="shared" si="13"/>
        <v>OK</v>
      </c>
      <c r="K557" s="492" t="str">
        <f t="shared" si="14"/>
        <v>OK</v>
      </c>
      <c r="L557" s="492" t="str">
        <f t="shared" si="15"/>
        <v>OK</v>
      </c>
      <c r="M557" s="944" t="str">
        <f>IF(INDEX(input!$F$3:$F$261,MATCH(B557,input!$E$3:$E$261,0),1)=1,"폐합단면","-")</f>
        <v>-</v>
      </c>
      <c r="V557" s="463"/>
      <c r="Z557" s="73"/>
      <c r="AC557" s="73"/>
    </row>
    <row r="558" spans="1:29" ht="15" customHeight="1">
      <c r="B558" s="799" t="s">
        <v>2089</v>
      </c>
      <c r="C558" s="488">
        <f>+INDEX(input!$BQ$3:$BQ$261,MATCH(B558,input!$E$3:$E$261,0),1)</f>
        <v>2821.7902119044925</v>
      </c>
      <c r="D558" s="171">
        <f>+INDEX(input!$M$3:$N$261,MATCH(B558,input!$E$3:$E$261,0),2)</f>
        <v>12</v>
      </c>
      <c r="E558" s="487">
        <f>+INDEX(input!$G$3:$H$261,MATCH(B558,input!$E$3:$E$261,0),1)</f>
        <v>500</v>
      </c>
      <c r="F558" s="171">
        <f>+INDEX(input!$G$3:$H$261,MATCH(B558,input!$E$3:$E$261,0),2)</f>
        <v>36</v>
      </c>
      <c r="G558" s="490">
        <f>+INDEX(input!$BP$3:$BP$261,MATCH(B558,input!$E$3:$E$261,0),1)</f>
        <v>0.125</v>
      </c>
      <c r="H558" s="491" t="str">
        <f t="shared" si="16"/>
        <v>OK</v>
      </c>
      <c r="I558" s="492" t="str">
        <f t="shared" si="12"/>
        <v>OK</v>
      </c>
      <c r="J558" s="492" t="str">
        <f t="shared" si="13"/>
        <v>OK</v>
      </c>
      <c r="K558" s="492" t="str">
        <f t="shared" si="14"/>
        <v>OK</v>
      </c>
      <c r="L558" s="492" t="str">
        <f t="shared" si="15"/>
        <v>OK</v>
      </c>
      <c r="M558" s="944" t="str">
        <f>IF(INDEX(input!$F$3:$F$261,MATCH(B558,input!$E$3:$E$261,0),1)=1,"폐합단면","-")</f>
        <v>-</v>
      </c>
      <c r="V558" s="463"/>
      <c r="Z558" s="73"/>
      <c r="AC558" s="73"/>
    </row>
    <row r="559" spans="1:29" ht="15" customHeight="1">
      <c r="B559" s="799" t="s">
        <v>2090</v>
      </c>
      <c r="C559" s="488">
        <f>+INDEX(input!$BQ$3:$BQ$261,MATCH(B559,input!$E$3:$E$261,0),1)</f>
        <v>2821.7902119044925</v>
      </c>
      <c r="D559" s="171">
        <f>+INDEX(input!$M$3:$N$261,MATCH(B559,input!$E$3:$E$261,0),2)</f>
        <v>12</v>
      </c>
      <c r="E559" s="487">
        <f>+INDEX(input!$G$3:$H$261,MATCH(B559,input!$E$3:$E$261,0),1)</f>
        <v>500</v>
      </c>
      <c r="F559" s="171">
        <f>+INDEX(input!$G$3:$H$261,MATCH(B559,input!$E$3:$E$261,0),2)</f>
        <v>30</v>
      </c>
      <c r="G559" s="490">
        <f>+INDEX(input!$BP$3:$BP$261,MATCH(B559,input!$E$3:$E$261,0),1)</f>
        <v>0.125</v>
      </c>
      <c r="H559" s="491" t="str">
        <f t="shared" si="16"/>
        <v>OK</v>
      </c>
      <c r="I559" s="492" t="str">
        <f t="shared" si="12"/>
        <v>OK</v>
      </c>
      <c r="J559" s="492" t="str">
        <f t="shared" si="13"/>
        <v>OK</v>
      </c>
      <c r="K559" s="492" t="str">
        <f t="shared" si="14"/>
        <v>OK</v>
      </c>
      <c r="L559" s="492" t="str">
        <f t="shared" si="15"/>
        <v>OK</v>
      </c>
      <c r="M559" s="944" t="str">
        <f>IF(INDEX(input!$F$3:$F$261,MATCH(B559,input!$E$3:$E$261,0),1)=1,"폐합단면","-")</f>
        <v>-</v>
      </c>
      <c r="V559" s="463"/>
      <c r="Z559" s="73"/>
      <c r="AC559" s="73"/>
    </row>
    <row r="560" spans="1:29" ht="15" customHeight="1">
      <c r="B560" s="799" t="s">
        <v>2091</v>
      </c>
      <c r="C560" s="488">
        <f>+INDEX(input!$BQ$3:$BQ$261,MATCH(B560,input!$E$3:$E$261,0),1)</f>
        <v>2821.7902119044925</v>
      </c>
      <c r="D560" s="171">
        <f>+INDEX(input!$M$3:$N$261,MATCH(B560,input!$E$3:$E$261,0),2)</f>
        <v>12</v>
      </c>
      <c r="E560" s="487">
        <f>+INDEX(input!$G$3:$H$261,MATCH(B560,input!$E$3:$E$261,0),1)</f>
        <v>500</v>
      </c>
      <c r="F560" s="171">
        <f>+INDEX(input!$G$3:$H$261,MATCH(B560,input!$E$3:$E$261,0),2)</f>
        <v>22</v>
      </c>
      <c r="G560" s="490">
        <f>+INDEX(input!$BP$3:$BP$261,MATCH(B560,input!$E$3:$E$261,0),1)</f>
        <v>0.125</v>
      </c>
      <c r="H560" s="491" t="str">
        <f t="shared" si="16"/>
        <v>OK</v>
      </c>
      <c r="I560" s="492" t="str">
        <f t="shared" si="12"/>
        <v>OK</v>
      </c>
      <c r="J560" s="492" t="str">
        <f t="shared" si="13"/>
        <v>OK</v>
      </c>
      <c r="K560" s="492" t="str">
        <f t="shared" si="14"/>
        <v>OK</v>
      </c>
      <c r="L560" s="492" t="str">
        <f t="shared" si="15"/>
        <v>OK</v>
      </c>
      <c r="M560" s="944" t="str">
        <f>IF(INDEX(input!$F$3:$F$261,MATCH(B560,input!$E$3:$E$261,0),1)=1,"폐합단면","-")</f>
        <v>-</v>
      </c>
      <c r="V560" s="463"/>
      <c r="Z560" s="73"/>
      <c r="AC560" s="73"/>
    </row>
    <row r="561" spans="2:29" ht="15" customHeight="1">
      <c r="B561" s="799" t="s">
        <v>2092</v>
      </c>
      <c r="C561" s="488">
        <f>+INDEX(input!$BQ$3:$BQ$261,MATCH(B561,input!$E$3:$E$261,0),1)</f>
        <v>2835.8681651303891</v>
      </c>
      <c r="D561" s="171">
        <f>+INDEX(input!$M$3:$N$261,MATCH(B561,input!$E$3:$E$261,0),2)</f>
        <v>12</v>
      </c>
      <c r="E561" s="487">
        <f>+INDEX(input!$G$3:$H$261,MATCH(B561,input!$E$3:$E$261,0),1)</f>
        <v>600</v>
      </c>
      <c r="F561" s="171">
        <f>+INDEX(input!$G$3:$H$261,MATCH(B561,input!$E$3:$E$261,0),2)</f>
        <v>26</v>
      </c>
      <c r="G561" s="490">
        <f>+INDEX(input!$BP$3:$BP$261,MATCH(B561,input!$E$3:$E$261,0),1)</f>
        <v>0.12491115849324805</v>
      </c>
      <c r="H561" s="491" t="str">
        <f t="shared" si="16"/>
        <v>OK</v>
      </c>
      <c r="I561" s="492" t="str">
        <f t="shared" si="12"/>
        <v>OK</v>
      </c>
      <c r="J561" s="492" t="str">
        <f t="shared" si="13"/>
        <v>OK</v>
      </c>
      <c r="K561" s="492" t="str">
        <f t="shared" si="14"/>
        <v>OK</v>
      </c>
      <c r="L561" s="492" t="str">
        <f t="shared" si="15"/>
        <v>OK</v>
      </c>
      <c r="M561" s="944" t="str">
        <f>IF(INDEX(input!$F$3:$F$261,MATCH(B561,input!$E$3:$E$261,0),1)=1,"폐합단면","-")</f>
        <v>-</v>
      </c>
      <c r="V561" s="463"/>
      <c r="Z561" s="73"/>
      <c r="AC561" s="73"/>
    </row>
    <row r="562" spans="2:29" ht="15" customHeight="1">
      <c r="B562" s="799" t="s">
        <v>2093</v>
      </c>
      <c r="C562" s="488">
        <f>+INDEX(input!$BQ$3:$BQ$261,MATCH(B562,input!$E$3:$E$261,0),1)</f>
        <v>2946.7552070031197</v>
      </c>
      <c r="D562" s="171">
        <f>+INDEX(input!$M$3:$N$261,MATCH(B562,input!$E$3:$E$261,0),2)</f>
        <v>12</v>
      </c>
      <c r="E562" s="487">
        <f>+INDEX(input!$G$3:$H$261,MATCH(B562,input!$E$3:$E$261,0),1)</f>
        <v>800</v>
      </c>
      <c r="F562" s="171">
        <f>+INDEX(input!$G$3:$H$261,MATCH(B562,input!$E$3:$E$261,0),2)</f>
        <v>36</v>
      </c>
      <c r="G562" s="490">
        <f>+INDEX(input!$BP$3:$BP$261,MATCH(B562,input!$E$3:$E$261,0),1)</f>
        <v>0.125</v>
      </c>
      <c r="H562" s="491" t="str">
        <f t="shared" si="16"/>
        <v>OK</v>
      </c>
      <c r="I562" s="492" t="str">
        <f t="shared" si="12"/>
        <v>OK</v>
      </c>
      <c r="J562" s="492" t="str">
        <f t="shared" si="13"/>
        <v>OK</v>
      </c>
      <c r="K562" s="492" t="str">
        <f t="shared" si="14"/>
        <v>OK</v>
      </c>
      <c r="L562" s="492" t="str">
        <f t="shared" si="15"/>
        <v>OK</v>
      </c>
      <c r="M562" s="944" t="str">
        <f>IF(INDEX(input!$F$3:$F$261,MATCH(B562,input!$E$3:$E$261,0),1)=1,"폐합단면","-")</f>
        <v>-</v>
      </c>
      <c r="V562" s="463"/>
      <c r="Z562" s="73"/>
      <c r="AC562" s="73"/>
    </row>
    <row r="563" spans="2:29" ht="15" customHeight="1">
      <c r="B563" s="799" t="s">
        <v>2094</v>
      </c>
      <c r="C563" s="488">
        <f>+INDEX(input!$BQ$3:$BQ$261,MATCH(B563,input!$E$3:$E$261,0),1)</f>
        <v>3127.1637309229591</v>
      </c>
      <c r="D563" s="171">
        <f>+INDEX(input!$M$3:$N$261,MATCH(B563,input!$E$3:$E$261,0),2)</f>
        <v>14</v>
      </c>
      <c r="E563" s="487">
        <f>+INDEX(input!$G$3:$H$261,MATCH(B563,input!$E$3:$E$261,0),1)</f>
        <v>2900</v>
      </c>
      <c r="F563" s="171">
        <f>+INDEX(input!$G$3:$H$261,MATCH(B563,input!$E$3:$E$261,0),2)</f>
        <v>40</v>
      </c>
      <c r="G563" s="490">
        <f>+INDEX(input!$BP$3:$BP$261,MATCH(B563,input!$E$3:$E$261,0),1)</f>
        <v>0.1250402835965195</v>
      </c>
      <c r="H563" s="491" t="str">
        <f t="shared" si="16"/>
        <v>OK</v>
      </c>
      <c r="I563" s="492" t="str">
        <f t="shared" si="12"/>
        <v>-</v>
      </c>
      <c r="J563" s="492" t="str">
        <f t="shared" si="13"/>
        <v>-</v>
      </c>
      <c r="K563" s="492" t="str">
        <f t="shared" si="14"/>
        <v>-</v>
      </c>
      <c r="L563" s="492" t="str">
        <f t="shared" si="15"/>
        <v>-</v>
      </c>
      <c r="M563" s="944" t="str">
        <f>IF(INDEX(input!$F$3:$F$261,MATCH(B563,input!$E$3:$E$261,0),1)=1,"폐합단면","-")</f>
        <v>폐합단면</v>
      </c>
      <c r="V563" s="463"/>
      <c r="Z563" s="73"/>
      <c r="AC563" s="73"/>
    </row>
    <row r="564" spans="2:29" ht="15" customHeight="1">
      <c r="B564" s="799" t="s">
        <v>2095</v>
      </c>
      <c r="C564" s="488">
        <f>+INDEX(input!$BQ$3:$BQ$261,MATCH(B564,input!$E$3:$E$261,0),1)</f>
        <v>3224.9030993194197</v>
      </c>
      <c r="D564" s="171">
        <f>+INDEX(input!$M$3:$N$261,MATCH(B564,input!$E$3:$E$261,0),2)</f>
        <v>14</v>
      </c>
      <c r="E564" s="487">
        <f>+INDEX(input!$G$3:$H$261,MATCH(B564,input!$E$3:$E$261,0),1)</f>
        <v>2900</v>
      </c>
      <c r="F564" s="171">
        <f>+INDEX(input!$G$3:$H$261,MATCH(B564,input!$E$3:$E$261,0),2)</f>
        <v>40</v>
      </c>
      <c r="G564" s="490">
        <f>+INDEX(input!$BP$3:$BP$261,MATCH(B564,input!$E$3:$E$261,0),1)</f>
        <v>0.125</v>
      </c>
      <c r="H564" s="491" t="str">
        <f t="shared" si="16"/>
        <v>OK</v>
      </c>
      <c r="I564" s="492" t="str">
        <f t="shared" si="12"/>
        <v>-</v>
      </c>
      <c r="J564" s="492" t="str">
        <f t="shared" si="13"/>
        <v>-</v>
      </c>
      <c r="K564" s="492" t="str">
        <f t="shared" si="14"/>
        <v>-</v>
      </c>
      <c r="L564" s="492" t="str">
        <f t="shared" si="15"/>
        <v>-</v>
      </c>
      <c r="M564" s="944" t="str">
        <f>IF(INDEX(input!$F$3:$F$261,MATCH(B564,input!$E$3:$E$261,0),1)=1,"폐합단면","-")</f>
        <v>폐합단면</v>
      </c>
      <c r="V564" s="463"/>
      <c r="Z564" s="73"/>
      <c r="AC564" s="73"/>
    </row>
    <row r="565" spans="2:29" ht="15" customHeight="1">
      <c r="B565" s="799" t="s">
        <v>2096</v>
      </c>
      <c r="C565" s="488">
        <f>+INDEX(input!$BQ$3:$BQ$261,MATCH(B565,input!$E$3:$E$261,0),1)</f>
        <v>3127.1637309229591</v>
      </c>
      <c r="D565" s="171">
        <f>+INDEX(input!$M$3:$N$261,MATCH(B565,input!$E$3:$E$261,0),2)</f>
        <v>14</v>
      </c>
      <c r="E565" s="487">
        <f>+INDEX(input!$G$3:$H$261,MATCH(B565,input!$E$3:$E$261,0),1)</f>
        <v>2900</v>
      </c>
      <c r="F565" s="171">
        <f>+INDEX(input!$G$3:$H$261,MATCH(B565,input!$E$3:$E$261,0),2)</f>
        <v>40</v>
      </c>
      <c r="G565" s="490">
        <f>+INDEX(input!$BP$3:$BP$261,MATCH(B565,input!$E$3:$E$261,0),1)</f>
        <v>0.1250402835965195</v>
      </c>
      <c r="H565" s="491" t="str">
        <f t="shared" si="16"/>
        <v>OK</v>
      </c>
      <c r="I565" s="492" t="str">
        <f t="shared" si="12"/>
        <v>-</v>
      </c>
      <c r="J565" s="492" t="str">
        <f t="shared" si="13"/>
        <v>-</v>
      </c>
      <c r="K565" s="492" t="str">
        <f t="shared" si="14"/>
        <v>-</v>
      </c>
      <c r="L565" s="492" t="str">
        <f t="shared" si="15"/>
        <v>-</v>
      </c>
      <c r="M565" s="944" t="str">
        <f>IF(INDEX(input!$F$3:$F$261,MATCH(B565,input!$E$3:$E$261,0),1)=1,"폐합단면","-")</f>
        <v>폐합단면</v>
      </c>
      <c r="V565" s="463"/>
      <c r="Z565" s="73"/>
      <c r="AC565" s="73"/>
    </row>
    <row r="566" spans="2:29" ht="15" customHeight="1">
      <c r="B566" s="799" t="s">
        <v>2097</v>
      </c>
      <c r="C566" s="488">
        <f>+INDEX(input!$BQ$3:$BQ$261,MATCH(B566,input!$E$3:$E$261,0),1)</f>
        <v>2946.7552070031197</v>
      </c>
      <c r="D566" s="171">
        <f>+INDEX(input!$M$3:$N$261,MATCH(B566,input!$E$3:$E$261,0),2)</f>
        <v>12</v>
      </c>
      <c r="E566" s="487">
        <f>+INDEX(input!$G$3:$H$261,MATCH(B566,input!$E$3:$E$261,0),1)</f>
        <v>800</v>
      </c>
      <c r="F566" s="171">
        <f>+INDEX(input!$G$3:$H$261,MATCH(B566,input!$E$3:$E$261,0),2)</f>
        <v>40</v>
      </c>
      <c r="G566" s="490">
        <f>+INDEX(input!$BP$3:$BP$261,MATCH(B566,input!$E$3:$E$261,0),1)</f>
        <v>0.125</v>
      </c>
      <c r="H566" s="491" t="str">
        <f t="shared" si="16"/>
        <v>OK</v>
      </c>
      <c r="I566" s="492" t="str">
        <f t="shared" si="12"/>
        <v>OK</v>
      </c>
      <c r="J566" s="492" t="str">
        <f t="shared" si="13"/>
        <v>OK</v>
      </c>
      <c r="K566" s="492" t="str">
        <f t="shared" si="14"/>
        <v>OK</v>
      </c>
      <c r="L566" s="492" t="str">
        <f t="shared" si="15"/>
        <v>OK</v>
      </c>
      <c r="M566" s="944" t="str">
        <f>IF(INDEX(input!$F$3:$F$261,MATCH(B566,input!$E$3:$E$261,0),1)=1,"폐합단면","-")</f>
        <v>-</v>
      </c>
      <c r="V566" s="463"/>
      <c r="Z566" s="73"/>
      <c r="AC566" s="73"/>
    </row>
    <row r="567" spans="2:29" ht="15" customHeight="1">
      <c r="B567" s="799" t="s">
        <v>2098</v>
      </c>
      <c r="C567" s="488">
        <f>+INDEX(input!$BQ$3:$BQ$261,MATCH(B567,input!$E$3:$E$261,0),1)</f>
        <v>2835.8681651303891</v>
      </c>
      <c r="D567" s="171">
        <f>+INDEX(input!$M$3:$N$261,MATCH(B567,input!$E$3:$E$261,0),2)</f>
        <v>12</v>
      </c>
      <c r="E567" s="487">
        <f>+INDEX(input!$G$3:$H$261,MATCH(B567,input!$E$3:$E$261,0),1)</f>
        <v>600</v>
      </c>
      <c r="F567" s="171">
        <f>+INDEX(input!$G$3:$H$261,MATCH(B567,input!$E$3:$E$261,0),2)</f>
        <v>40</v>
      </c>
      <c r="G567" s="490">
        <f>+INDEX(input!$BP$3:$BP$261,MATCH(B567,input!$E$3:$E$261,0),1)</f>
        <v>0.12491115849324805</v>
      </c>
      <c r="H567" s="491" t="str">
        <f t="shared" si="16"/>
        <v>OK</v>
      </c>
      <c r="I567" s="492" t="str">
        <f t="shared" si="12"/>
        <v>OK</v>
      </c>
      <c r="J567" s="492" t="str">
        <f t="shared" si="13"/>
        <v>OK</v>
      </c>
      <c r="K567" s="492" t="str">
        <f t="shared" si="14"/>
        <v>OK</v>
      </c>
      <c r="L567" s="492" t="str">
        <f t="shared" si="15"/>
        <v>OK</v>
      </c>
      <c r="M567" s="944" t="str">
        <f>IF(INDEX(input!$F$3:$F$261,MATCH(B567,input!$E$3:$E$261,0),1)=1,"폐합단면","-")</f>
        <v>-</v>
      </c>
      <c r="V567" s="463"/>
      <c r="Z567" s="73"/>
      <c r="AC567" s="73"/>
    </row>
    <row r="568" spans="2:29" ht="15" customHeight="1">
      <c r="B568" s="799" t="s">
        <v>2099</v>
      </c>
      <c r="C568" s="488">
        <f>+INDEX(input!$BQ$3:$BQ$261,MATCH(B568,input!$E$3:$E$261,0),1)</f>
        <v>2821.7902119044925</v>
      </c>
      <c r="D568" s="171">
        <f>+INDEX(input!$M$3:$N$261,MATCH(B568,input!$E$3:$E$261,0),2)</f>
        <v>12</v>
      </c>
      <c r="E568" s="487">
        <f>+INDEX(input!$G$3:$H$261,MATCH(B568,input!$E$3:$E$261,0),1)</f>
        <v>500</v>
      </c>
      <c r="F568" s="171">
        <f>+INDEX(input!$G$3:$H$261,MATCH(B568,input!$E$3:$E$261,0),2)</f>
        <v>26</v>
      </c>
      <c r="G568" s="490">
        <f>+INDEX(input!$BP$3:$BP$261,MATCH(B568,input!$E$3:$E$261,0),1)</f>
        <v>0.125</v>
      </c>
      <c r="H568" s="491" t="str">
        <f t="shared" si="16"/>
        <v>OK</v>
      </c>
      <c r="I568" s="492" t="str">
        <f t="shared" si="12"/>
        <v>OK</v>
      </c>
      <c r="J568" s="492" t="str">
        <f t="shared" si="13"/>
        <v>OK</v>
      </c>
      <c r="K568" s="492" t="str">
        <f t="shared" si="14"/>
        <v>OK</v>
      </c>
      <c r="L568" s="492" t="str">
        <f t="shared" si="15"/>
        <v>OK</v>
      </c>
      <c r="M568" s="944" t="str">
        <f>IF(INDEX(input!$F$3:$F$261,MATCH(B568,input!$E$3:$E$261,0),1)=1,"폐합단면","-")</f>
        <v>-</v>
      </c>
      <c r="V568" s="463"/>
      <c r="Z568" s="73"/>
      <c r="AC568" s="73"/>
    </row>
    <row r="569" spans="2:29" ht="15" customHeight="1">
      <c r="B569" s="799" t="s">
        <v>2100</v>
      </c>
      <c r="C569" s="488">
        <f>+INDEX(input!$BQ$3:$BQ$261,MATCH(B569,input!$E$3:$E$261,0),1)</f>
        <v>2821.7902119044925</v>
      </c>
      <c r="D569" s="171">
        <f>+INDEX(input!$M$3:$N$261,MATCH(B569,input!$E$3:$E$261,0),2)</f>
        <v>12</v>
      </c>
      <c r="E569" s="487">
        <f>+INDEX(input!$G$3:$H$261,MATCH(B569,input!$E$3:$E$261,0),1)</f>
        <v>500</v>
      </c>
      <c r="F569" s="171">
        <f>+INDEX(input!$G$3:$H$261,MATCH(B569,input!$E$3:$E$261,0),2)</f>
        <v>22</v>
      </c>
      <c r="G569" s="490">
        <f>+INDEX(input!$BP$3:$BP$261,MATCH(B569,input!$E$3:$E$261,0),1)</f>
        <v>0.125</v>
      </c>
      <c r="H569" s="491" t="str">
        <f t="shared" si="16"/>
        <v>OK</v>
      </c>
      <c r="I569" s="492" t="str">
        <f t="shared" si="12"/>
        <v>OK</v>
      </c>
      <c r="J569" s="492" t="str">
        <f t="shared" si="13"/>
        <v>OK</v>
      </c>
      <c r="K569" s="492" t="str">
        <f t="shared" si="14"/>
        <v>OK</v>
      </c>
      <c r="L569" s="492" t="str">
        <f t="shared" si="15"/>
        <v>OK</v>
      </c>
      <c r="M569" s="944" t="str">
        <f>IF(INDEX(input!$F$3:$F$261,MATCH(B569,input!$E$3:$E$261,0),1)=1,"폐합단면","-")</f>
        <v>-</v>
      </c>
      <c r="V569" s="463"/>
      <c r="Z569" s="73"/>
      <c r="AC569" s="73"/>
    </row>
    <row r="570" spans="2:29" ht="15" customHeight="1">
      <c r="B570" s="799" t="s">
        <v>2101</v>
      </c>
      <c r="C570" s="488">
        <f>+INDEX(input!$BQ$3:$BQ$261,MATCH(B570,input!$E$3:$E$261,0),1)</f>
        <v>2821.7902119044925</v>
      </c>
      <c r="D570" s="171">
        <f>+INDEX(input!$M$3:$N$261,MATCH(B570,input!$E$3:$E$261,0),2)</f>
        <v>12</v>
      </c>
      <c r="E570" s="487">
        <f>+INDEX(input!$G$3:$H$261,MATCH(B570,input!$E$3:$E$261,0),1)</f>
        <v>500</v>
      </c>
      <c r="F570" s="171">
        <f>+INDEX(input!$G$3:$H$261,MATCH(B570,input!$E$3:$E$261,0),2)</f>
        <v>22</v>
      </c>
      <c r="G570" s="490">
        <f>+INDEX(input!$BP$3:$BP$261,MATCH(B570,input!$E$3:$E$261,0),1)</f>
        <v>0.125</v>
      </c>
      <c r="H570" s="491" t="str">
        <f t="shared" si="16"/>
        <v>OK</v>
      </c>
      <c r="I570" s="492" t="str">
        <f t="shared" si="12"/>
        <v>OK</v>
      </c>
      <c r="J570" s="492" t="str">
        <f t="shared" si="13"/>
        <v>OK</v>
      </c>
      <c r="K570" s="492" t="str">
        <f t="shared" si="14"/>
        <v>OK</v>
      </c>
      <c r="L570" s="492" t="str">
        <f t="shared" si="15"/>
        <v>OK</v>
      </c>
      <c r="M570" s="944" t="str">
        <f>IF(INDEX(input!$F$3:$F$261,MATCH(B570,input!$E$3:$E$261,0),1)=1,"폐합단면","-")</f>
        <v>-</v>
      </c>
      <c r="V570" s="463"/>
      <c r="Z570" s="73"/>
      <c r="AC570" s="73"/>
    </row>
    <row r="571" spans="2:29" ht="15" customHeight="1">
      <c r="B571" s="799" t="s">
        <v>2102</v>
      </c>
      <c r="C571" s="488">
        <f>+INDEX(input!$BQ$3:$BQ$261,MATCH(B571,input!$E$3:$E$261,0),1)</f>
        <v>2821.7902119044925</v>
      </c>
      <c r="D571" s="171">
        <f>+INDEX(input!$M$3:$N$261,MATCH(B571,input!$E$3:$E$261,0),2)</f>
        <v>12</v>
      </c>
      <c r="E571" s="487">
        <f>+INDEX(input!$G$3:$H$261,MATCH(B571,input!$E$3:$E$261,0),1)</f>
        <v>500</v>
      </c>
      <c r="F571" s="171">
        <f>+INDEX(input!$G$3:$H$261,MATCH(B571,input!$E$3:$E$261,0),2)</f>
        <v>22</v>
      </c>
      <c r="G571" s="490">
        <f>+INDEX(input!$BP$3:$BP$261,MATCH(B571,input!$E$3:$E$261,0),1)</f>
        <v>0.125</v>
      </c>
      <c r="H571" s="491" t="str">
        <f t="shared" si="16"/>
        <v>OK</v>
      </c>
      <c r="I571" s="492" t="str">
        <f t="shared" si="12"/>
        <v>OK</v>
      </c>
      <c r="J571" s="492" t="str">
        <f t="shared" si="13"/>
        <v>OK</v>
      </c>
      <c r="K571" s="492" t="str">
        <f t="shared" si="14"/>
        <v>OK</v>
      </c>
      <c r="L571" s="492" t="str">
        <f t="shared" si="15"/>
        <v>OK</v>
      </c>
      <c r="M571" s="944" t="str">
        <f>IF(INDEX(input!$F$3:$F$261,MATCH(B571,input!$E$3:$E$261,0),1)=1,"폐합단면","-")</f>
        <v>-</v>
      </c>
      <c r="V571" s="463"/>
      <c r="Z571" s="73"/>
      <c r="AC571" s="73"/>
    </row>
    <row r="572" spans="2:29" ht="15" customHeight="1">
      <c r="B572" s="799" t="s">
        <v>2103</v>
      </c>
      <c r="C572" s="488">
        <f>+INDEX(input!$BQ$3:$BQ$261,MATCH(B572,input!$E$3:$E$261,0),1)</f>
        <v>2620.2337681970284</v>
      </c>
      <c r="D572" s="171">
        <f>+INDEX(input!$M$3:$N$261,MATCH(B572,input!$E$3:$E$261,0),2)</f>
        <v>12</v>
      </c>
      <c r="E572" s="487">
        <f>+INDEX(input!$G$3:$H$261,MATCH(B572,input!$E$3:$E$261,0),1)</f>
        <v>500</v>
      </c>
      <c r="F572" s="171">
        <f>+INDEX(input!$G$3:$H$261,MATCH(B572,input!$E$3:$E$261,0),2)</f>
        <v>22</v>
      </c>
      <c r="G572" s="490">
        <f>+INDEX(input!$BP$3:$BP$261,MATCH(B572,input!$E$3:$E$261,0),1)</f>
        <v>0.125</v>
      </c>
      <c r="H572" s="491" t="str">
        <f t="shared" si="16"/>
        <v>OK</v>
      </c>
      <c r="I572" s="492" t="str">
        <f t="shared" si="12"/>
        <v>OK</v>
      </c>
      <c r="J572" s="492" t="str">
        <f t="shared" si="13"/>
        <v>OK</v>
      </c>
      <c r="K572" s="492" t="str">
        <f t="shared" si="14"/>
        <v>OK</v>
      </c>
      <c r="L572" s="492" t="str">
        <f t="shared" si="15"/>
        <v>OK</v>
      </c>
      <c r="M572" s="944" t="str">
        <f>IF(INDEX(input!$F$3:$F$261,MATCH(B572,input!$E$3:$E$261,0),1)=1,"폐합단면","-")</f>
        <v>-</v>
      </c>
      <c r="V572" s="463"/>
      <c r="Z572" s="73"/>
      <c r="AC572" s="73"/>
    </row>
    <row r="573" spans="2:29" ht="15" customHeight="1">
      <c r="B573" s="799" t="s">
        <v>2104</v>
      </c>
      <c r="C573" s="488">
        <f>+INDEX(input!$BQ$3:$BQ$261,MATCH(B573,input!$E$3:$E$261,0),1)</f>
        <v>2620.2337681970284</v>
      </c>
      <c r="D573" s="171">
        <f>+INDEX(input!$M$3:$N$261,MATCH(B573,input!$E$3:$E$261,0),2)</f>
        <v>12</v>
      </c>
      <c r="E573" s="487">
        <f>+INDEX(input!$G$3:$H$261,MATCH(B573,input!$E$3:$E$261,0),1)</f>
        <v>500</v>
      </c>
      <c r="F573" s="171">
        <f>+INDEX(input!$G$3:$H$261,MATCH(B573,input!$E$3:$E$261,0),2)</f>
        <v>22</v>
      </c>
      <c r="G573" s="490">
        <f>+INDEX(input!$BP$3:$BP$261,MATCH(B573,input!$E$3:$E$261,0),1)</f>
        <v>0.125</v>
      </c>
      <c r="H573" s="491" t="str">
        <f>IF(G573&lt;=0.25,"OK","NG")</f>
        <v>OK</v>
      </c>
      <c r="I573" s="492" t="str">
        <f t="shared" ref="I573:I591" si="17">IF(M573="폐합단면","-",IF(C573/D573&lt;=$E$549,"OK","NG"))</f>
        <v>OK</v>
      </c>
      <c r="J573" s="492" t="str">
        <f t="shared" ref="J573:J591" si="18">IF(M573="폐합단면","-",IF(E573/2/F573&lt;=12,"OK","NG"))</f>
        <v>OK</v>
      </c>
      <c r="K573" s="492" t="str">
        <f t="shared" ref="K573:K591" si="19">IF(M573="폐합단면","-",IF(E573&gt;=C573/6,"OK","NG"))</f>
        <v>OK</v>
      </c>
      <c r="L573" s="492" t="str">
        <f t="shared" ref="L573:L591" si="20">IF(M573="폐합단면","-",IF(F573&gt;1.1*D573,"OK","NG"))</f>
        <v>OK</v>
      </c>
      <c r="M573" s="944" t="str">
        <f>IF(INDEX(input!$F$3:$F$261,MATCH(B573,input!$E$3:$E$261,0),1)=1,"폐합단면","-")</f>
        <v>-</v>
      </c>
      <c r="V573" s="559"/>
      <c r="X573" s="559"/>
      <c r="Z573" s="73"/>
      <c r="AC573" s="73"/>
    </row>
    <row r="574" spans="2:29" ht="15" customHeight="1">
      <c r="B574" s="799" t="s">
        <v>2105</v>
      </c>
      <c r="C574" s="488">
        <f>+INDEX(input!$BQ$3:$BQ$261,MATCH(B574,input!$E$3:$E$261,0),1)</f>
        <v>2821.7902119044925</v>
      </c>
      <c r="D574" s="171">
        <f>+INDEX(input!$M$3:$N$261,MATCH(B574,input!$E$3:$E$261,0),2)</f>
        <v>12</v>
      </c>
      <c r="E574" s="487">
        <f>+INDEX(input!$G$3:$H$261,MATCH(B574,input!$E$3:$E$261,0),1)</f>
        <v>500</v>
      </c>
      <c r="F574" s="171">
        <f>+INDEX(input!$G$3:$H$261,MATCH(B574,input!$E$3:$E$261,0),2)</f>
        <v>30</v>
      </c>
      <c r="G574" s="490">
        <f>+INDEX(input!$BP$3:$BP$261,MATCH(B574,input!$E$3:$E$261,0),1)</f>
        <v>0.125</v>
      </c>
      <c r="H574" s="491" t="str">
        <f t="shared" ref="H574:H591" si="21">IF(G574&lt;=0.25,"OK","NG")</f>
        <v>OK</v>
      </c>
      <c r="I574" s="492" t="str">
        <f t="shared" si="17"/>
        <v>OK</v>
      </c>
      <c r="J574" s="492" t="str">
        <f t="shared" si="18"/>
        <v>OK</v>
      </c>
      <c r="K574" s="492" t="str">
        <f t="shared" si="19"/>
        <v>OK</v>
      </c>
      <c r="L574" s="492" t="str">
        <f t="shared" si="20"/>
        <v>OK</v>
      </c>
      <c r="M574" s="944" t="str">
        <f>IF(INDEX(input!$F$3:$F$261,MATCH(B574,input!$E$3:$E$261,0),1)=1,"폐합단면","-")</f>
        <v>-</v>
      </c>
      <c r="V574" s="559"/>
      <c r="X574" s="559"/>
      <c r="Z574" s="73"/>
      <c r="AC574" s="73"/>
    </row>
    <row r="575" spans="2:29" ht="15" customHeight="1">
      <c r="B575" s="799" t="s">
        <v>2106</v>
      </c>
      <c r="C575" s="488">
        <f>+INDEX(input!$BQ$3:$BQ$261,MATCH(B575,input!$E$3:$E$261,0),1)</f>
        <v>2821.7902119044925</v>
      </c>
      <c r="D575" s="171">
        <f>+INDEX(input!$M$3:$N$261,MATCH(B575,input!$E$3:$E$261,0),2)</f>
        <v>12</v>
      </c>
      <c r="E575" s="487">
        <f>+INDEX(input!$G$3:$H$261,MATCH(B575,input!$E$3:$E$261,0),1)</f>
        <v>500</v>
      </c>
      <c r="F575" s="171">
        <f>+INDEX(input!$G$3:$H$261,MATCH(B575,input!$E$3:$E$261,0),2)</f>
        <v>38</v>
      </c>
      <c r="G575" s="490">
        <f>+INDEX(input!$BP$3:$BP$261,MATCH(B575,input!$E$3:$E$261,0),1)</f>
        <v>0.125</v>
      </c>
      <c r="H575" s="491" t="str">
        <f t="shared" si="21"/>
        <v>OK</v>
      </c>
      <c r="I575" s="492" t="str">
        <f t="shared" si="17"/>
        <v>OK</v>
      </c>
      <c r="J575" s="492" t="str">
        <f t="shared" si="18"/>
        <v>OK</v>
      </c>
      <c r="K575" s="492" t="str">
        <f t="shared" si="19"/>
        <v>OK</v>
      </c>
      <c r="L575" s="492" t="str">
        <f t="shared" si="20"/>
        <v>OK</v>
      </c>
      <c r="M575" s="944" t="str">
        <f>IF(INDEX(input!$F$3:$F$261,MATCH(B575,input!$E$3:$E$261,0),1)=1,"폐합단면","-")</f>
        <v>-</v>
      </c>
      <c r="V575" s="559"/>
      <c r="X575" s="559"/>
      <c r="Z575" s="73"/>
      <c r="AC575" s="73"/>
    </row>
    <row r="576" spans="2:29" ht="15" customHeight="1">
      <c r="B576" s="799" t="s">
        <v>2107</v>
      </c>
      <c r="C576" s="488">
        <f>+INDEX(input!$BQ$3:$BQ$261,MATCH(B576,input!$E$3:$E$261,0),1)</f>
        <v>2821.7902119044925</v>
      </c>
      <c r="D576" s="171">
        <f>+INDEX(input!$M$3:$N$261,MATCH(B576,input!$E$3:$E$261,0),2)</f>
        <v>12</v>
      </c>
      <c r="E576" s="487">
        <f>+INDEX(input!$G$3:$H$261,MATCH(B576,input!$E$3:$E$261,0),1)</f>
        <v>600</v>
      </c>
      <c r="F576" s="171">
        <f>+INDEX(input!$G$3:$H$261,MATCH(B576,input!$E$3:$E$261,0),2)</f>
        <v>40</v>
      </c>
      <c r="G576" s="490">
        <f>+INDEX(input!$BP$3:$BP$261,MATCH(B576,input!$E$3:$E$261,0),1)</f>
        <v>0.125</v>
      </c>
      <c r="H576" s="491" t="str">
        <f t="shared" si="21"/>
        <v>OK</v>
      </c>
      <c r="I576" s="492" t="str">
        <f t="shared" si="17"/>
        <v>OK</v>
      </c>
      <c r="J576" s="492" t="str">
        <f t="shared" si="18"/>
        <v>OK</v>
      </c>
      <c r="K576" s="492" t="str">
        <f t="shared" si="19"/>
        <v>OK</v>
      </c>
      <c r="L576" s="492" t="str">
        <f t="shared" si="20"/>
        <v>OK</v>
      </c>
      <c r="M576" s="944" t="str">
        <f>IF(INDEX(input!$F$3:$F$261,MATCH(B576,input!$E$3:$E$261,0),1)=1,"폐합단면","-")</f>
        <v>-</v>
      </c>
      <c r="V576" s="559"/>
      <c r="X576" s="559"/>
      <c r="Z576" s="73"/>
      <c r="AC576" s="73"/>
    </row>
    <row r="577" spans="2:29" ht="15" customHeight="1">
      <c r="B577" s="799" t="s">
        <v>2108</v>
      </c>
      <c r="C577" s="488">
        <f>+INDEX(input!$BQ$3:$BQ$261,MATCH(B577,input!$E$3:$E$261,0),1)</f>
        <v>2821.7902119044925</v>
      </c>
      <c r="D577" s="171">
        <f>+INDEX(input!$M$3:$N$261,MATCH(B577,input!$E$3:$E$261,0),2)</f>
        <v>12</v>
      </c>
      <c r="E577" s="487">
        <f>+INDEX(input!$G$3:$H$261,MATCH(B577,input!$E$3:$E$261,0),1)</f>
        <v>500</v>
      </c>
      <c r="F577" s="171">
        <f>+INDEX(input!$G$3:$H$261,MATCH(B577,input!$E$3:$E$261,0),2)</f>
        <v>36</v>
      </c>
      <c r="G577" s="490">
        <f>+INDEX(input!$BP$3:$BP$261,MATCH(B577,input!$E$3:$E$261,0),1)</f>
        <v>0.125</v>
      </c>
      <c r="H577" s="491" t="str">
        <f t="shared" si="21"/>
        <v>OK</v>
      </c>
      <c r="I577" s="492" t="str">
        <f t="shared" si="17"/>
        <v>OK</v>
      </c>
      <c r="J577" s="492" t="str">
        <f t="shared" si="18"/>
        <v>OK</v>
      </c>
      <c r="K577" s="492" t="str">
        <f t="shared" si="19"/>
        <v>OK</v>
      </c>
      <c r="L577" s="492" t="str">
        <f t="shared" si="20"/>
        <v>OK</v>
      </c>
      <c r="M577" s="944" t="str">
        <f>IF(INDEX(input!$F$3:$F$261,MATCH(B577,input!$E$3:$E$261,0),1)=1,"폐합단면","-")</f>
        <v>-</v>
      </c>
      <c r="V577" s="559"/>
      <c r="X577" s="559"/>
      <c r="Z577" s="73"/>
      <c r="AC577" s="73"/>
    </row>
    <row r="578" spans="2:29" ht="15" customHeight="1">
      <c r="B578" s="799" t="s">
        <v>2109</v>
      </c>
      <c r="C578" s="488">
        <f>+INDEX(input!$BQ$3:$BQ$261,MATCH(B578,input!$E$3:$E$261,0),1)</f>
        <v>2821.7902119044925</v>
      </c>
      <c r="D578" s="171">
        <f>+INDEX(input!$M$3:$N$261,MATCH(B578,input!$E$3:$E$261,0),2)</f>
        <v>12</v>
      </c>
      <c r="E578" s="487">
        <f>+INDEX(input!$G$3:$H$261,MATCH(B578,input!$E$3:$E$261,0),1)</f>
        <v>500</v>
      </c>
      <c r="F578" s="171">
        <f>+INDEX(input!$G$3:$H$261,MATCH(B578,input!$E$3:$E$261,0),2)</f>
        <v>30</v>
      </c>
      <c r="G578" s="490">
        <f>+INDEX(input!$BP$3:$BP$261,MATCH(B578,input!$E$3:$E$261,0),1)</f>
        <v>0.125</v>
      </c>
      <c r="H578" s="491" t="str">
        <f t="shared" si="21"/>
        <v>OK</v>
      </c>
      <c r="I578" s="492" t="str">
        <f t="shared" si="17"/>
        <v>OK</v>
      </c>
      <c r="J578" s="492" t="str">
        <f t="shared" si="18"/>
        <v>OK</v>
      </c>
      <c r="K578" s="492" t="str">
        <f t="shared" si="19"/>
        <v>OK</v>
      </c>
      <c r="L578" s="492" t="str">
        <f t="shared" si="20"/>
        <v>OK</v>
      </c>
      <c r="M578" s="944" t="str">
        <f>IF(INDEX(input!$F$3:$F$261,MATCH(B578,input!$E$3:$E$261,0),1)=1,"폐합단면","-")</f>
        <v>-</v>
      </c>
      <c r="V578" s="559"/>
      <c r="X578" s="559"/>
      <c r="Z578" s="73"/>
      <c r="AC578" s="73"/>
    </row>
    <row r="579" spans="2:29" ht="15" customHeight="1">
      <c r="B579" s="799" t="s">
        <v>2110</v>
      </c>
      <c r="C579" s="488">
        <f>+INDEX(input!$BQ$3:$BQ$261,MATCH(B579,input!$E$3:$E$261,0),1)</f>
        <v>2821.7902119044925</v>
      </c>
      <c r="D579" s="171">
        <f>+INDEX(input!$M$3:$N$261,MATCH(B579,input!$E$3:$E$261,0),2)</f>
        <v>12</v>
      </c>
      <c r="E579" s="487">
        <f>+INDEX(input!$G$3:$H$261,MATCH(B579,input!$E$3:$E$261,0),1)</f>
        <v>500</v>
      </c>
      <c r="F579" s="171">
        <f>+INDEX(input!$G$3:$H$261,MATCH(B579,input!$E$3:$E$261,0),2)</f>
        <v>22</v>
      </c>
      <c r="G579" s="490">
        <f>+INDEX(input!$BP$3:$BP$261,MATCH(B579,input!$E$3:$E$261,0),1)</f>
        <v>0.125</v>
      </c>
      <c r="H579" s="491" t="str">
        <f t="shared" si="21"/>
        <v>OK</v>
      </c>
      <c r="I579" s="492" t="str">
        <f t="shared" si="17"/>
        <v>OK</v>
      </c>
      <c r="J579" s="492" t="str">
        <f t="shared" si="18"/>
        <v>OK</v>
      </c>
      <c r="K579" s="492" t="str">
        <f t="shared" si="19"/>
        <v>OK</v>
      </c>
      <c r="L579" s="492" t="str">
        <f t="shared" si="20"/>
        <v>OK</v>
      </c>
      <c r="M579" s="944" t="str">
        <f>IF(INDEX(input!$F$3:$F$261,MATCH(B579,input!$E$3:$E$261,0),1)=1,"폐합단면","-")</f>
        <v>-</v>
      </c>
      <c r="V579" s="559"/>
      <c r="X579" s="559"/>
      <c r="Z579" s="73"/>
      <c r="AC579" s="73"/>
    </row>
    <row r="580" spans="2:29" ht="15" customHeight="1">
      <c r="B580" s="799" t="s">
        <v>2111</v>
      </c>
      <c r="C580" s="488">
        <f>+INDEX(input!$BQ$3:$BQ$261,MATCH(B580,input!$E$3:$E$261,0),1)</f>
        <v>2835.8681651303891</v>
      </c>
      <c r="D580" s="171">
        <f>+INDEX(input!$M$3:$N$261,MATCH(B580,input!$E$3:$E$261,0),2)</f>
        <v>12</v>
      </c>
      <c r="E580" s="487">
        <f>+INDEX(input!$G$3:$H$261,MATCH(B580,input!$E$3:$E$261,0),1)</f>
        <v>600</v>
      </c>
      <c r="F580" s="171">
        <f>+INDEX(input!$G$3:$H$261,MATCH(B580,input!$E$3:$E$261,0),2)</f>
        <v>26</v>
      </c>
      <c r="G580" s="490">
        <f>+INDEX(input!$BP$3:$BP$261,MATCH(B580,input!$E$3:$E$261,0),1)</f>
        <v>0.12491115849324805</v>
      </c>
      <c r="H580" s="491" t="str">
        <f t="shared" si="21"/>
        <v>OK</v>
      </c>
      <c r="I580" s="492" t="str">
        <f t="shared" si="17"/>
        <v>OK</v>
      </c>
      <c r="J580" s="492" t="str">
        <f t="shared" si="18"/>
        <v>OK</v>
      </c>
      <c r="K580" s="492" t="str">
        <f t="shared" si="19"/>
        <v>OK</v>
      </c>
      <c r="L580" s="492" t="str">
        <f t="shared" si="20"/>
        <v>OK</v>
      </c>
      <c r="M580" s="944" t="str">
        <f>IF(INDEX(input!$F$3:$F$261,MATCH(B580,input!$E$3:$E$261,0),1)=1,"폐합단면","-")</f>
        <v>-</v>
      </c>
      <c r="V580" s="559"/>
      <c r="X580" s="559"/>
      <c r="Z580" s="73"/>
      <c r="AC580" s="73"/>
    </row>
    <row r="581" spans="2:29" ht="15" customHeight="1">
      <c r="B581" s="799" t="s">
        <v>2112</v>
      </c>
      <c r="C581" s="488">
        <f>+INDEX(input!$BQ$3:$BQ$261,MATCH(B581,input!$E$3:$E$261,0),1)</f>
        <v>2946.7552070031197</v>
      </c>
      <c r="D581" s="171">
        <f>+INDEX(input!$M$3:$N$261,MATCH(B581,input!$E$3:$E$261,0),2)</f>
        <v>12</v>
      </c>
      <c r="E581" s="487">
        <f>+INDEX(input!$G$3:$H$261,MATCH(B581,input!$E$3:$E$261,0),1)</f>
        <v>800</v>
      </c>
      <c r="F581" s="171">
        <f>+INDEX(input!$G$3:$H$261,MATCH(B581,input!$E$3:$E$261,0),2)</f>
        <v>36</v>
      </c>
      <c r="G581" s="490">
        <f>+INDEX(input!$BP$3:$BP$261,MATCH(B581,input!$E$3:$E$261,0),1)</f>
        <v>0.125</v>
      </c>
      <c r="H581" s="491" t="str">
        <f t="shared" si="21"/>
        <v>OK</v>
      </c>
      <c r="I581" s="492" t="str">
        <f t="shared" si="17"/>
        <v>OK</v>
      </c>
      <c r="J581" s="492" t="str">
        <f t="shared" si="18"/>
        <v>OK</v>
      </c>
      <c r="K581" s="492" t="str">
        <f t="shared" si="19"/>
        <v>OK</v>
      </c>
      <c r="L581" s="492" t="str">
        <f t="shared" si="20"/>
        <v>OK</v>
      </c>
      <c r="M581" s="944" t="str">
        <f>IF(INDEX(input!$F$3:$F$261,MATCH(B581,input!$E$3:$E$261,0),1)=1,"폐합단면","-")</f>
        <v>-</v>
      </c>
      <c r="V581" s="559"/>
      <c r="X581" s="559"/>
      <c r="Z581" s="73"/>
      <c r="AC581" s="73"/>
    </row>
    <row r="582" spans="2:29" ht="15" customHeight="1">
      <c r="B582" s="799" t="s">
        <v>2113</v>
      </c>
      <c r="C582" s="488">
        <f>+INDEX(input!$BQ$3:$BQ$261,MATCH(B582,input!$E$3:$E$261,0),1)</f>
        <v>3127.1637309229591</v>
      </c>
      <c r="D582" s="171">
        <f>+INDEX(input!$M$3:$N$261,MATCH(B582,input!$E$3:$E$261,0),2)</f>
        <v>14</v>
      </c>
      <c r="E582" s="487">
        <f>+INDEX(input!$G$3:$H$261,MATCH(B582,input!$E$3:$E$261,0),1)</f>
        <v>2900</v>
      </c>
      <c r="F582" s="171">
        <f>+INDEX(input!$G$3:$H$261,MATCH(B582,input!$E$3:$E$261,0),2)</f>
        <v>40</v>
      </c>
      <c r="G582" s="490">
        <f>+INDEX(input!$BP$3:$BP$261,MATCH(B582,input!$E$3:$E$261,0),1)</f>
        <v>0.1250402835965195</v>
      </c>
      <c r="H582" s="491" t="str">
        <f t="shared" si="21"/>
        <v>OK</v>
      </c>
      <c r="I582" s="492" t="str">
        <f t="shared" si="17"/>
        <v>-</v>
      </c>
      <c r="J582" s="492" t="str">
        <f t="shared" si="18"/>
        <v>-</v>
      </c>
      <c r="K582" s="492" t="str">
        <f t="shared" si="19"/>
        <v>-</v>
      </c>
      <c r="L582" s="492" t="str">
        <f t="shared" si="20"/>
        <v>-</v>
      </c>
      <c r="M582" s="944" t="str">
        <f>IF(INDEX(input!$F$3:$F$261,MATCH(B582,input!$E$3:$E$261,0),1)=1,"폐합단면","-")</f>
        <v>폐합단면</v>
      </c>
      <c r="V582" s="559"/>
      <c r="X582" s="559"/>
      <c r="Z582" s="73"/>
      <c r="AC582" s="73"/>
    </row>
    <row r="583" spans="2:29" ht="15" customHeight="1">
      <c r="B583" s="799" t="s">
        <v>2114</v>
      </c>
      <c r="C583" s="488">
        <f>+INDEX(input!$BQ$3:$BQ$261,MATCH(B583,input!$E$3:$E$261,0),1)</f>
        <v>3224.9030993194197</v>
      </c>
      <c r="D583" s="171">
        <f>+INDEX(input!$M$3:$N$261,MATCH(B583,input!$E$3:$E$261,0),2)</f>
        <v>14</v>
      </c>
      <c r="E583" s="487">
        <f>+INDEX(input!$G$3:$H$261,MATCH(B583,input!$E$3:$E$261,0),1)</f>
        <v>2900</v>
      </c>
      <c r="F583" s="171">
        <f>+INDEX(input!$G$3:$H$261,MATCH(B583,input!$E$3:$E$261,0),2)</f>
        <v>40</v>
      </c>
      <c r="G583" s="490">
        <f>+INDEX(input!$BP$3:$BP$261,MATCH(B583,input!$E$3:$E$261,0),1)</f>
        <v>0.125</v>
      </c>
      <c r="H583" s="491" t="str">
        <f t="shared" si="21"/>
        <v>OK</v>
      </c>
      <c r="I583" s="492" t="str">
        <f t="shared" si="17"/>
        <v>-</v>
      </c>
      <c r="J583" s="492" t="str">
        <f t="shared" si="18"/>
        <v>-</v>
      </c>
      <c r="K583" s="492" t="str">
        <f t="shared" si="19"/>
        <v>-</v>
      </c>
      <c r="L583" s="492" t="str">
        <f t="shared" si="20"/>
        <v>-</v>
      </c>
      <c r="M583" s="944" t="str">
        <f>IF(INDEX(input!$F$3:$F$261,MATCH(B583,input!$E$3:$E$261,0),1)=1,"폐합단면","-")</f>
        <v>폐합단면</v>
      </c>
      <c r="V583" s="559"/>
      <c r="X583" s="559"/>
      <c r="Z583" s="73"/>
      <c r="AC583" s="73"/>
    </row>
    <row r="584" spans="2:29" ht="15" customHeight="1">
      <c r="B584" s="799" t="s">
        <v>2115</v>
      </c>
      <c r="C584" s="488">
        <f>+INDEX(input!$BQ$3:$BQ$261,MATCH(B584,input!$E$3:$E$261,0),1)</f>
        <v>3127.1637309229591</v>
      </c>
      <c r="D584" s="171">
        <f>+INDEX(input!$M$3:$N$261,MATCH(B584,input!$E$3:$E$261,0),2)</f>
        <v>14</v>
      </c>
      <c r="E584" s="487">
        <f>+INDEX(input!$G$3:$H$261,MATCH(B584,input!$E$3:$E$261,0),1)</f>
        <v>2900</v>
      </c>
      <c r="F584" s="171">
        <f>+INDEX(input!$G$3:$H$261,MATCH(B584,input!$E$3:$E$261,0),2)</f>
        <v>40</v>
      </c>
      <c r="G584" s="490">
        <f>+INDEX(input!$BP$3:$BP$261,MATCH(B584,input!$E$3:$E$261,0),1)</f>
        <v>0.1250402835965195</v>
      </c>
      <c r="H584" s="491" t="str">
        <f t="shared" si="21"/>
        <v>OK</v>
      </c>
      <c r="I584" s="492" t="str">
        <f t="shared" si="17"/>
        <v>-</v>
      </c>
      <c r="J584" s="492" t="str">
        <f t="shared" si="18"/>
        <v>-</v>
      </c>
      <c r="K584" s="492" t="str">
        <f t="shared" si="19"/>
        <v>-</v>
      </c>
      <c r="L584" s="492" t="str">
        <f t="shared" si="20"/>
        <v>-</v>
      </c>
      <c r="M584" s="944" t="str">
        <f>IF(INDEX(input!$F$3:$F$261,MATCH(B584,input!$E$3:$E$261,0),1)=1,"폐합단면","-")</f>
        <v>폐합단면</v>
      </c>
      <c r="V584" s="559"/>
      <c r="X584" s="559"/>
      <c r="Z584" s="73"/>
      <c r="AC584" s="73"/>
    </row>
    <row r="585" spans="2:29" ht="15" customHeight="1">
      <c r="B585" s="799" t="s">
        <v>2116</v>
      </c>
      <c r="C585" s="488">
        <f>+INDEX(input!$BQ$3:$BQ$261,MATCH(B585,input!$E$3:$E$261,0),1)</f>
        <v>2946.7552070031197</v>
      </c>
      <c r="D585" s="171">
        <f>+INDEX(input!$M$3:$N$261,MATCH(B585,input!$E$3:$E$261,0),2)</f>
        <v>12</v>
      </c>
      <c r="E585" s="487">
        <f>+INDEX(input!$G$3:$H$261,MATCH(B585,input!$E$3:$E$261,0),1)</f>
        <v>800</v>
      </c>
      <c r="F585" s="171">
        <f>+INDEX(input!$G$3:$H$261,MATCH(B585,input!$E$3:$E$261,0),2)</f>
        <v>40</v>
      </c>
      <c r="G585" s="490">
        <f>+INDEX(input!$BP$3:$BP$261,MATCH(B585,input!$E$3:$E$261,0),1)</f>
        <v>0.125</v>
      </c>
      <c r="H585" s="491" t="str">
        <f t="shared" si="21"/>
        <v>OK</v>
      </c>
      <c r="I585" s="492" t="str">
        <f t="shared" si="17"/>
        <v>OK</v>
      </c>
      <c r="J585" s="492" t="str">
        <f t="shared" si="18"/>
        <v>OK</v>
      </c>
      <c r="K585" s="492" t="str">
        <f t="shared" si="19"/>
        <v>OK</v>
      </c>
      <c r="L585" s="492" t="str">
        <f t="shared" si="20"/>
        <v>OK</v>
      </c>
      <c r="M585" s="944" t="str">
        <f>IF(INDEX(input!$F$3:$F$261,MATCH(B585,input!$E$3:$E$261,0),1)=1,"폐합단면","-")</f>
        <v>-</v>
      </c>
      <c r="V585" s="559"/>
      <c r="X585" s="559"/>
      <c r="Z585" s="73"/>
      <c r="AC585" s="73"/>
    </row>
    <row r="586" spans="2:29" ht="15" customHeight="1">
      <c r="B586" s="799" t="s">
        <v>2117</v>
      </c>
      <c r="C586" s="488">
        <f>+INDEX(input!$BQ$3:$BQ$261,MATCH(B586,input!$E$3:$E$261,0),1)</f>
        <v>2835.8681651303891</v>
      </c>
      <c r="D586" s="171">
        <f>+INDEX(input!$M$3:$N$261,MATCH(B586,input!$E$3:$E$261,0),2)</f>
        <v>12</v>
      </c>
      <c r="E586" s="487">
        <f>+INDEX(input!$G$3:$H$261,MATCH(B586,input!$E$3:$E$261,0),1)</f>
        <v>600</v>
      </c>
      <c r="F586" s="171">
        <f>+INDEX(input!$G$3:$H$261,MATCH(B586,input!$E$3:$E$261,0),2)</f>
        <v>40</v>
      </c>
      <c r="G586" s="490">
        <f>+INDEX(input!$BP$3:$BP$261,MATCH(B586,input!$E$3:$E$261,0),1)</f>
        <v>0.12491115849324805</v>
      </c>
      <c r="H586" s="491" t="str">
        <f t="shared" si="21"/>
        <v>OK</v>
      </c>
      <c r="I586" s="492" t="str">
        <f t="shared" si="17"/>
        <v>OK</v>
      </c>
      <c r="J586" s="492" t="str">
        <f t="shared" si="18"/>
        <v>OK</v>
      </c>
      <c r="K586" s="492" t="str">
        <f t="shared" si="19"/>
        <v>OK</v>
      </c>
      <c r="L586" s="492" t="str">
        <f t="shared" si="20"/>
        <v>OK</v>
      </c>
      <c r="M586" s="944" t="str">
        <f>IF(INDEX(input!$F$3:$F$261,MATCH(B586,input!$E$3:$E$261,0),1)=1,"폐합단면","-")</f>
        <v>-</v>
      </c>
      <c r="V586" s="559"/>
      <c r="X586" s="559"/>
      <c r="Z586" s="73"/>
      <c r="AC586" s="73"/>
    </row>
    <row r="587" spans="2:29" ht="15" customHeight="1">
      <c r="B587" s="799" t="s">
        <v>2118</v>
      </c>
      <c r="C587" s="488">
        <f>+INDEX(input!$BQ$3:$BQ$261,MATCH(B587,input!$E$3:$E$261,0),1)</f>
        <v>2821.7902119044925</v>
      </c>
      <c r="D587" s="171">
        <f>+INDEX(input!$M$3:$N$261,MATCH(B587,input!$E$3:$E$261,0),2)</f>
        <v>12</v>
      </c>
      <c r="E587" s="487">
        <f>+INDEX(input!$G$3:$H$261,MATCH(B587,input!$E$3:$E$261,0),1)</f>
        <v>500</v>
      </c>
      <c r="F587" s="171">
        <f>+INDEX(input!$G$3:$H$261,MATCH(B587,input!$E$3:$E$261,0),2)</f>
        <v>26</v>
      </c>
      <c r="G587" s="490">
        <f>+INDEX(input!$BP$3:$BP$261,MATCH(B587,input!$E$3:$E$261,0),1)</f>
        <v>0.125</v>
      </c>
      <c r="H587" s="491" t="str">
        <f t="shared" si="21"/>
        <v>OK</v>
      </c>
      <c r="I587" s="492" t="str">
        <f t="shared" si="17"/>
        <v>OK</v>
      </c>
      <c r="J587" s="492" t="str">
        <f t="shared" si="18"/>
        <v>OK</v>
      </c>
      <c r="K587" s="492" t="str">
        <f t="shared" si="19"/>
        <v>OK</v>
      </c>
      <c r="L587" s="492" t="str">
        <f t="shared" si="20"/>
        <v>OK</v>
      </c>
      <c r="M587" s="944" t="str">
        <f>IF(INDEX(input!$F$3:$F$261,MATCH(B587,input!$E$3:$E$261,0),1)=1,"폐합단면","-")</f>
        <v>-</v>
      </c>
      <c r="V587" s="559"/>
      <c r="X587" s="559"/>
      <c r="Z587" s="73"/>
      <c r="AC587" s="73"/>
    </row>
    <row r="588" spans="2:29" ht="15" customHeight="1">
      <c r="B588" s="799" t="s">
        <v>2119</v>
      </c>
      <c r="C588" s="488">
        <f>+INDEX(input!$BQ$3:$BQ$261,MATCH(B588,input!$E$3:$E$261,0),1)</f>
        <v>2821.7902119044925</v>
      </c>
      <c r="D588" s="171">
        <f>+INDEX(input!$M$3:$N$261,MATCH(B588,input!$E$3:$E$261,0),2)</f>
        <v>12</v>
      </c>
      <c r="E588" s="487">
        <f>+INDEX(input!$G$3:$H$261,MATCH(B588,input!$E$3:$E$261,0),1)</f>
        <v>500</v>
      </c>
      <c r="F588" s="171">
        <f>+INDEX(input!$G$3:$H$261,MATCH(B588,input!$E$3:$E$261,0),2)</f>
        <v>22</v>
      </c>
      <c r="G588" s="490">
        <f>+INDEX(input!$BP$3:$BP$261,MATCH(B588,input!$E$3:$E$261,0),1)</f>
        <v>0.125</v>
      </c>
      <c r="H588" s="491" t="str">
        <f t="shared" si="21"/>
        <v>OK</v>
      </c>
      <c r="I588" s="492" t="str">
        <f t="shared" si="17"/>
        <v>OK</v>
      </c>
      <c r="J588" s="492" t="str">
        <f t="shared" si="18"/>
        <v>OK</v>
      </c>
      <c r="K588" s="492" t="str">
        <f t="shared" si="19"/>
        <v>OK</v>
      </c>
      <c r="L588" s="492" t="str">
        <f t="shared" si="20"/>
        <v>OK</v>
      </c>
      <c r="M588" s="944" t="str">
        <f>IF(INDEX(input!$F$3:$F$261,MATCH(B588,input!$E$3:$E$261,0),1)=1,"폐합단면","-")</f>
        <v>-</v>
      </c>
      <c r="V588" s="559"/>
      <c r="X588" s="559"/>
      <c r="Z588" s="73"/>
      <c r="AC588" s="73"/>
    </row>
    <row r="589" spans="2:29" ht="15" customHeight="1">
      <c r="B589" s="799" t="s">
        <v>2120</v>
      </c>
      <c r="C589" s="488">
        <f>+INDEX(input!$BQ$3:$BQ$261,MATCH(B589,input!$E$3:$E$261,0),1)</f>
        <v>2821.7902119044925</v>
      </c>
      <c r="D589" s="171">
        <f>+INDEX(input!$M$3:$N$261,MATCH(B589,input!$E$3:$E$261,0),2)</f>
        <v>12</v>
      </c>
      <c r="E589" s="487">
        <f>+INDEX(input!$G$3:$H$261,MATCH(B589,input!$E$3:$E$261,0),1)</f>
        <v>500</v>
      </c>
      <c r="F589" s="171">
        <f>+INDEX(input!$G$3:$H$261,MATCH(B589,input!$E$3:$E$261,0),2)</f>
        <v>22</v>
      </c>
      <c r="G589" s="490">
        <f>+INDEX(input!$BP$3:$BP$261,MATCH(B589,input!$E$3:$E$261,0),1)</f>
        <v>0.125</v>
      </c>
      <c r="H589" s="491" t="str">
        <f t="shared" si="21"/>
        <v>OK</v>
      </c>
      <c r="I589" s="492" t="str">
        <f t="shared" si="17"/>
        <v>OK</v>
      </c>
      <c r="J589" s="492" t="str">
        <f t="shared" si="18"/>
        <v>OK</v>
      </c>
      <c r="K589" s="492" t="str">
        <f t="shared" si="19"/>
        <v>OK</v>
      </c>
      <c r="L589" s="492" t="str">
        <f t="shared" si="20"/>
        <v>OK</v>
      </c>
      <c r="M589" s="944" t="str">
        <f>IF(INDEX(input!$F$3:$F$261,MATCH(B589,input!$E$3:$E$261,0),1)=1,"폐합단면","-")</f>
        <v>-</v>
      </c>
      <c r="V589" s="559"/>
      <c r="X589" s="559"/>
      <c r="Z589" s="73"/>
      <c r="AC589" s="73"/>
    </row>
    <row r="590" spans="2:29" ht="15" customHeight="1">
      <c r="B590" s="799" t="s">
        <v>2121</v>
      </c>
      <c r="C590" s="488">
        <f>+INDEX(input!$BQ$3:$BQ$261,MATCH(B590,input!$E$3:$E$261,0),1)</f>
        <v>2821.7902119044925</v>
      </c>
      <c r="D590" s="171">
        <f>+INDEX(input!$M$3:$N$261,MATCH(B590,input!$E$3:$E$261,0),2)</f>
        <v>12</v>
      </c>
      <c r="E590" s="487">
        <f>+INDEX(input!$G$3:$H$261,MATCH(B590,input!$E$3:$E$261,0),1)</f>
        <v>500</v>
      </c>
      <c r="F590" s="171">
        <f>+INDEX(input!$G$3:$H$261,MATCH(B590,input!$E$3:$E$261,0),2)</f>
        <v>22</v>
      </c>
      <c r="G590" s="490">
        <f>+INDEX(input!$BP$3:$BP$261,MATCH(B590,input!$E$3:$E$261,0),1)</f>
        <v>0.125</v>
      </c>
      <c r="H590" s="491" t="str">
        <f t="shared" si="21"/>
        <v>OK</v>
      </c>
      <c r="I590" s="492" t="str">
        <f t="shared" si="17"/>
        <v>OK</v>
      </c>
      <c r="J590" s="492" t="str">
        <f t="shared" si="18"/>
        <v>OK</v>
      </c>
      <c r="K590" s="492" t="str">
        <f t="shared" si="19"/>
        <v>OK</v>
      </c>
      <c r="L590" s="492" t="str">
        <f t="shared" si="20"/>
        <v>OK</v>
      </c>
      <c r="M590" s="944" t="str">
        <f>IF(INDEX(input!$F$3:$F$261,MATCH(B590,input!$E$3:$E$261,0),1)=1,"폐합단면","-")</f>
        <v>-</v>
      </c>
      <c r="V590" s="559"/>
      <c r="X590" s="559"/>
      <c r="Z590" s="73"/>
      <c r="AC590" s="73"/>
    </row>
    <row r="591" spans="2:29" ht="15" customHeight="1" thickBot="1">
      <c r="B591" s="904" t="s">
        <v>2122</v>
      </c>
      <c r="C591" s="905">
        <f>+INDEX(input!$BQ$3:$BQ$261,MATCH(B591,input!$E$3:$E$261,0),1)</f>
        <v>2620.2337681970284</v>
      </c>
      <c r="D591" s="906">
        <f>+INDEX(input!$M$3:$N$261,MATCH(B591,input!$E$3:$E$261,0),2)</f>
        <v>12</v>
      </c>
      <c r="E591" s="907">
        <f>+INDEX(input!$G$3:$H$261,MATCH(B591,input!$E$3:$E$261,0),1)</f>
        <v>500</v>
      </c>
      <c r="F591" s="906">
        <f>+INDEX(input!$G$3:$H$261,MATCH(B591,input!$E$3:$E$261,0),2)</f>
        <v>22</v>
      </c>
      <c r="G591" s="908">
        <f>+INDEX(input!$BP$3:$BP$261,MATCH(B591,input!$E$3:$E$261,0),1)</f>
        <v>0.125</v>
      </c>
      <c r="H591" s="909" t="str">
        <f t="shared" si="21"/>
        <v>OK</v>
      </c>
      <c r="I591" s="910" t="str">
        <f t="shared" si="17"/>
        <v>OK</v>
      </c>
      <c r="J591" s="910" t="str">
        <f t="shared" si="18"/>
        <v>OK</v>
      </c>
      <c r="K591" s="910" t="str">
        <f t="shared" si="19"/>
        <v>OK</v>
      </c>
      <c r="L591" s="910" t="str">
        <f t="shared" si="20"/>
        <v>OK</v>
      </c>
      <c r="M591" s="945" t="str">
        <f>IF(INDEX(input!$F$3:$F$261,MATCH(B591,input!$E$3:$E$261,0),1)=1,"폐합단면","-")</f>
        <v>-</v>
      </c>
      <c r="V591" s="559"/>
      <c r="X591" s="559"/>
      <c r="Z591" s="73"/>
      <c r="AC591" s="73"/>
    </row>
    <row r="670" spans="2:2" ht="15" customHeight="1">
      <c r="B670" s="144"/>
    </row>
  </sheetData>
  <mergeCells count="19">
    <mergeCell ref="E240:E241"/>
    <mergeCell ref="F240:F241"/>
    <mergeCell ref="J277:J278"/>
    <mergeCell ref="D277:D278"/>
    <mergeCell ref="E277:E278"/>
    <mergeCell ref="I277:I278"/>
    <mergeCell ref="J313:J314"/>
    <mergeCell ref="C355:C356"/>
    <mergeCell ref="D355:D356"/>
    <mergeCell ref="D549:D550"/>
    <mergeCell ref="H547:H548"/>
    <mergeCell ref="J547:J548"/>
    <mergeCell ref="I355:I356"/>
    <mergeCell ref="J355:J356"/>
    <mergeCell ref="B549:B550"/>
    <mergeCell ref="C313:C314"/>
    <mergeCell ref="D313:D314"/>
    <mergeCell ref="E549:E550"/>
    <mergeCell ref="I313:I314"/>
  </mergeCells>
  <phoneticPr fontId="34" type="noConversion"/>
  <dataValidations disablePrompts="1" count="1">
    <dataValidation type="list" allowBlank="1" showInputMessage="1" showErrorMessage="1" sqref="D546" xr:uid="{00000000-0002-0000-0400-000000000000}">
      <formula1>$Q$546:$Q$547</formula1>
    </dataValidation>
  </dataValidations>
  <pageMargins left="0.70866141732283472" right="0.70866141732283472" top="0.74803149606299213" bottom="0.74803149606299213" header="0.31496062992125984" footer="0.31496062992125984"/>
  <pageSetup paperSize="9" scale="98" orientation="portrait" r:id="rId1"/>
  <rowBreaks count="11" manualBreakCount="11">
    <brk id="78" max="13" man="1"/>
    <brk id="188" max="13" man="1"/>
    <brk id="218" max="13" man="1"/>
    <brk id="256" max="13" man="1"/>
    <brk id="292" max="13" man="1"/>
    <brk id="334" max="13" man="1"/>
    <brk id="377" max="13" man="1"/>
    <brk id="418" max="13" man="1"/>
    <brk id="460" max="13" man="1"/>
    <brk id="501" max="13" man="1"/>
    <brk id="543" max="1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AT956"/>
  <sheetViews>
    <sheetView showGridLines="0" view="pageBreakPreview" topLeftCell="A424" zoomScale="98" zoomScaleNormal="100" zoomScaleSheetLayoutView="98" workbookViewId="0">
      <selection activeCell="K49" sqref="K49"/>
    </sheetView>
  </sheetViews>
  <sheetFormatPr defaultColWidth="9.77734375" defaultRowHeight="15" customHeight="1"/>
  <cols>
    <col min="1" max="1" width="4.33203125" style="143" customWidth="1"/>
    <col min="2" max="11" width="5.77734375" style="143" customWidth="1"/>
    <col min="12" max="12" width="5.77734375" style="156" customWidth="1"/>
    <col min="13" max="16" width="5.77734375" style="143" customWidth="1"/>
    <col min="17" max="17" width="5" style="143" customWidth="1"/>
    <col min="18" max="23" width="4.77734375" style="143" customWidth="1"/>
    <col min="24" max="24" width="4.77734375" style="156" customWidth="1"/>
    <col min="25" max="25" width="4.77734375" style="143" customWidth="1"/>
    <col min="26" max="26" width="4.77734375" style="156" customWidth="1"/>
    <col min="27" max="28" width="4.77734375" style="143" customWidth="1"/>
    <col min="29" max="29" width="4.77734375" style="156" customWidth="1"/>
    <col min="30" max="35" width="4.77734375" style="143" customWidth="1"/>
    <col min="36" max="44" width="5.77734375" style="73" customWidth="1"/>
    <col min="45" max="45" width="7" style="73" customWidth="1"/>
    <col min="46" max="46" width="5.33203125" style="73" customWidth="1"/>
    <col min="47" max="64" width="5.33203125" style="143" customWidth="1"/>
    <col min="65" max="79" width="2.77734375" style="143" customWidth="1"/>
    <col min="80" max="16384" width="9.77734375" style="143"/>
  </cols>
  <sheetData>
    <row r="1" spans="1:43" ht="23.25" customHeight="1" thickBot="1">
      <c r="A1" s="82" t="s">
        <v>312</v>
      </c>
      <c r="B1" s="83" t="s">
        <v>313</v>
      </c>
      <c r="C1" s="83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X1" s="143"/>
      <c r="Z1" s="143"/>
      <c r="AC1" s="143"/>
      <c r="AQ1" s="76"/>
    </row>
    <row r="2" spans="1:43" ht="15" customHeight="1" thickTop="1">
      <c r="A2" s="159"/>
      <c r="B2" s="160"/>
      <c r="C2" s="160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X2" s="143"/>
      <c r="Z2" s="143"/>
      <c r="AC2" s="143"/>
      <c r="AQ2" s="76"/>
    </row>
    <row r="3" spans="1:43" ht="15" customHeight="1">
      <c r="A3" s="78" t="s">
        <v>314</v>
      </c>
      <c r="B3" s="96" t="s">
        <v>315</v>
      </c>
      <c r="C3" s="160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AQ3" s="76"/>
    </row>
    <row r="4" spans="1:43" ht="15" customHeight="1">
      <c r="A4" s="78"/>
      <c r="B4" s="96"/>
      <c r="C4" s="160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X4" s="386"/>
      <c r="Z4" s="386"/>
      <c r="AC4" s="386"/>
      <c r="AQ4" s="76"/>
    </row>
    <row r="5" spans="1:43" ht="15" customHeight="1">
      <c r="A5" s="78"/>
      <c r="B5" s="96"/>
      <c r="C5" s="16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X5" s="386"/>
      <c r="Z5" s="386"/>
      <c r="AC5" s="386"/>
      <c r="AQ5" s="76"/>
    </row>
    <row r="6" spans="1:43" ht="15" customHeight="1">
      <c r="A6" s="78"/>
      <c r="B6" s="96"/>
      <c r="C6" s="16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X6" s="386"/>
      <c r="Z6" s="386"/>
      <c r="AC6" s="386"/>
      <c r="AQ6" s="76"/>
    </row>
    <row r="7" spans="1:43" ht="15" customHeight="1">
      <c r="A7" s="78"/>
      <c r="B7" s="96"/>
      <c r="C7" s="160"/>
      <c r="D7" s="170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170"/>
      <c r="X7" s="386"/>
      <c r="Z7" s="386"/>
      <c r="AC7" s="386"/>
      <c r="AQ7" s="76"/>
    </row>
    <row r="8" spans="1:43" ht="15" customHeight="1">
      <c r="A8" s="78"/>
      <c r="B8" s="96"/>
      <c r="C8" s="160"/>
      <c r="D8" s="170"/>
      <c r="E8" s="170"/>
      <c r="F8" s="170"/>
      <c r="G8" s="170"/>
      <c r="H8" s="170"/>
      <c r="I8" s="170"/>
      <c r="J8" s="170"/>
      <c r="K8" s="170"/>
      <c r="L8" s="170"/>
      <c r="M8" s="170"/>
      <c r="N8" s="170"/>
      <c r="O8" s="170"/>
      <c r="X8" s="386"/>
      <c r="Z8" s="386"/>
      <c r="AC8" s="386"/>
      <c r="AQ8" s="76"/>
    </row>
    <row r="9" spans="1:43" ht="15" customHeight="1">
      <c r="A9" s="78"/>
      <c r="B9" s="96"/>
      <c r="C9" s="160"/>
      <c r="D9" s="170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X9" s="386"/>
      <c r="Z9" s="386"/>
      <c r="AC9" s="386"/>
      <c r="AQ9" s="76"/>
    </row>
    <row r="10" spans="1:43" ht="15" customHeight="1">
      <c r="A10" s="78"/>
      <c r="B10" s="96"/>
      <c r="C10" s="160"/>
      <c r="D10" s="170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X10" s="386"/>
      <c r="Z10" s="386"/>
      <c r="AC10" s="386"/>
      <c r="AQ10" s="76"/>
    </row>
    <row r="11" spans="1:43" ht="15" customHeight="1">
      <c r="A11" s="78"/>
      <c r="B11" s="96"/>
      <c r="C11" s="160"/>
      <c r="D11" s="170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170"/>
      <c r="X11" s="386"/>
      <c r="Z11" s="386"/>
      <c r="AC11" s="386"/>
    </row>
    <row r="12" spans="1:43" ht="15" customHeight="1">
      <c r="A12" s="78"/>
      <c r="B12" s="96"/>
      <c r="C12" s="16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X12" s="386"/>
      <c r="Z12" s="386"/>
      <c r="AC12" s="386"/>
    </row>
    <row r="13" spans="1:43" ht="15" customHeight="1">
      <c r="A13" s="78"/>
      <c r="B13" s="96"/>
      <c r="C13" s="16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170"/>
      <c r="X13" s="386"/>
      <c r="Z13" s="386"/>
      <c r="AC13" s="386"/>
    </row>
    <row r="14" spans="1:43" ht="15" customHeight="1">
      <c r="A14" s="78"/>
      <c r="B14" s="96"/>
      <c r="C14" s="16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X14" s="386"/>
      <c r="Z14" s="386"/>
      <c r="AC14" s="386"/>
    </row>
    <row r="15" spans="1:43" ht="15" customHeight="1">
      <c r="A15" s="78"/>
      <c r="B15" s="96"/>
      <c r="C15" s="16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X15" s="386"/>
      <c r="Z15" s="386"/>
      <c r="AC15" s="386"/>
    </row>
    <row r="16" spans="1:43" ht="15" customHeight="1">
      <c r="A16" s="78"/>
      <c r="B16" s="96"/>
      <c r="C16" s="16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X16" s="386"/>
      <c r="Z16" s="386"/>
      <c r="AC16" s="386"/>
    </row>
    <row r="17" spans="1:46" ht="15" customHeight="1">
      <c r="A17" s="78"/>
      <c r="B17" s="96"/>
      <c r="C17" s="16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X17" s="386"/>
      <c r="Z17" s="386"/>
      <c r="AC17" s="386"/>
    </row>
    <row r="18" spans="1:46" ht="15" customHeight="1">
      <c r="A18" s="78"/>
      <c r="B18" s="96"/>
      <c r="C18" s="160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N18" s="144"/>
      <c r="O18" s="144"/>
    </row>
    <row r="19" spans="1:46" ht="15" customHeight="1">
      <c r="A19" s="78" t="s">
        <v>316</v>
      </c>
      <c r="B19" s="96" t="s">
        <v>317</v>
      </c>
      <c r="C19" s="160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</row>
    <row r="20" spans="1:46" ht="15" customHeight="1" thickBot="1">
      <c r="A20" s="78"/>
      <c r="B20" s="96"/>
      <c r="C20" s="160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X20" s="386"/>
      <c r="Z20" s="386"/>
      <c r="AC20" s="386"/>
    </row>
    <row r="21" spans="1:46" ht="15" customHeight="1">
      <c r="D21" s="1881" t="s">
        <v>1790</v>
      </c>
      <c r="E21" s="1882"/>
      <c r="F21" s="1883"/>
      <c r="G21" s="1877" t="s">
        <v>1038</v>
      </c>
      <c r="H21" s="1877" t="s">
        <v>1657</v>
      </c>
      <c r="I21" s="1877" t="s">
        <v>1791</v>
      </c>
      <c r="J21" s="1877" t="s">
        <v>1658</v>
      </c>
      <c r="K21" s="1877" t="s">
        <v>1659</v>
      </c>
      <c r="L21" s="1877" t="s">
        <v>1792</v>
      </c>
      <c r="M21" s="1877" t="s">
        <v>1660</v>
      </c>
      <c r="N21" s="1879" t="s">
        <v>1661</v>
      </c>
      <c r="O21" s="170"/>
      <c r="X21" s="14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</row>
    <row r="22" spans="1:46" ht="15" customHeight="1">
      <c r="D22" s="1884"/>
      <c r="E22" s="1885"/>
      <c r="F22" s="1886"/>
      <c r="G22" s="1878"/>
      <c r="H22" s="1878"/>
      <c r="I22" s="1878"/>
      <c r="J22" s="1878"/>
      <c r="K22" s="1878"/>
      <c r="L22" s="1878"/>
      <c r="M22" s="1878"/>
      <c r="N22" s="1880"/>
      <c r="O22" s="170"/>
      <c r="X22" s="14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</row>
    <row r="23" spans="1:46" ht="15" customHeight="1">
      <c r="D23" s="1890" t="s">
        <v>1014</v>
      </c>
      <c r="E23" s="1891"/>
      <c r="F23" s="512" t="s">
        <v>1015</v>
      </c>
      <c r="G23" s="515">
        <v>1.25</v>
      </c>
      <c r="H23" s="515">
        <v>1.5</v>
      </c>
      <c r="I23" s="515">
        <v>1.8</v>
      </c>
      <c r="J23" s="515">
        <v>0</v>
      </c>
      <c r="K23" s="515">
        <v>1.2</v>
      </c>
      <c r="L23" s="515">
        <v>1</v>
      </c>
      <c r="M23" s="515">
        <v>0</v>
      </c>
      <c r="N23" s="728">
        <v>1</v>
      </c>
      <c r="O23" s="170"/>
      <c r="X23" s="14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</row>
    <row r="24" spans="1:46" ht="15" customHeight="1">
      <c r="D24" s="1892"/>
      <c r="E24" s="1893"/>
      <c r="F24" s="513" t="s">
        <v>1016</v>
      </c>
      <c r="G24" s="516">
        <v>0.9</v>
      </c>
      <c r="H24" s="516">
        <v>0.65</v>
      </c>
      <c r="I24" s="516">
        <v>1.8</v>
      </c>
      <c r="J24" s="516">
        <v>0</v>
      </c>
      <c r="K24" s="516">
        <v>0.5</v>
      </c>
      <c r="L24" s="516">
        <v>1</v>
      </c>
      <c r="M24" s="516">
        <v>0</v>
      </c>
      <c r="N24" s="729">
        <v>1</v>
      </c>
      <c r="O24" s="170"/>
      <c r="X24" s="14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</row>
    <row r="25" spans="1:46" ht="15" customHeight="1">
      <c r="D25" s="1894" t="s">
        <v>1017</v>
      </c>
      <c r="E25" s="1895"/>
      <c r="F25" s="513" t="s">
        <v>1018</v>
      </c>
      <c r="G25" s="516">
        <v>1</v>
      </c>
      <c r="H25" s="516">
        <v>1</v>
      </c>
      <c r="I25" s="516">
        <v>1.3</v>
      </c>
      <c r="J25" s="516">
        <v>0</v>
      </c>
      <c r="K25" s="516">
        <v>1.2</v>
      </c>
      <c r="L25" s="516">
        <v>1</v>
      </c>
      <c r="M25" s="516">
        <v>0.5</v>
      </c>
      <c r="N25" s="729">
        <v>1</v>
      </c>
      <c r="O25" s="170"/>
      <c r="X25" s="14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3"/>
      <c r="AT25" s="143"/>
    </row>
    <row r="26" spans="1:46" ht="15" customHeight="1">
      <c r="D26" s="1892"/>
      <c r="E26" s="1893"/>
      <c r="F26" s="513" t="s">
        <v>1016</v>
      </c>
      <c r="G26" s="516">
        <v>1</v>
      </c>
      <c r="H26" s="516">
        <v>1</v>
      </c>
      <c r="I26" s="516">
        <v>1.3</v>
      </c>
      <c r="J26" s="516">
        <v>0</v>
      </c>
      <c r="K26" s="516">
        <v>1</v>
      </c>
      <c r="L26" s="516">
        <v>1</v>
      </c>
      <c r="M26" s="516">
        <v>0.5</v>
      </c>
      <c r="N26" s="729">
        <v>1</v>
      </c>
      <c r="O26" s="170"/>
      <c r="X26" s="14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3"/>
      <c r="AT26" s="143"/>
    </row>
    <row r="27" spans="1:46" ht="15" customHeight="1">
      <c r="D27" s="1894" t="s">
        <v>1019</v>
      </c>
      <c r="E27" s="1895"/>
      <c r="F27" s="513" t="s">
        <v>1015</v>
      </c>
      <c r="G27" s="516">
        <v>0</v>
      </c>
      <c r="H27" s="516">
        <v>0</v>
      </c>
      <c r="I27" s="516">
        <v>0</v>
      </c>
      <c r="J27" s="516">
        <v>0.75</v>
      </c>
      <c r="K27" s="516">
        <v>0</v>
      </c>
      <c r="L27" s="516">
        <v>0</v>
      </c>
      <c r="M27" s="516">
        <v>0</v>
      </c>
      <c r="N27" s="729">
        <v>0</v>
      </c>
      <c r="O27" s="170"/>
      <c r="X27" s="14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3"/>
      <c r="AT27" s="143"/>
    </row>
    <row r="28" spans="1:46" ht="15" customHeight="1" thickBot="1">
      <c r="D28" s="1896"/>
      <c r="E28" s="1897"/>
      <c r="F28" s="514" t="s">
        <v>1020</v>
      </c>
      <c r="G28" s="517">
        <v>0</v>
      </c>
      <c r="H28" s="517">
        <v>0</v>
      </c>
      <c r="I28" s="517">
        <v>0</v>
      </c>
      <c r="J28" s="517">
        <v>0.75</v>
      </c>
      <c r="K28" s="517">
        <v>0</v>
      </c>
      <c r="L28" s="517">
        <v>0</v>
      </c>
      <c r="M28" s="517">
        <v>0</v>
      </c>
      <c r="N28" s="730">
        <v>0</v>
      </c>
      <c r="O28" s="170"/>
      <c r="X28" s="14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</row>
    <row r="29" spans="1:46" ht="15" customHeight="1">
      <c r="L29" s="170"/>
      <c r="M29" s="170"/>
      <c r="N29" s="170"/>
      <c r="O29" s="170"/>
      <c r="X29" s="143"/>
      <c r="Z29" s="143"/>
      <c r="AC29" s="143"/>
    </row>
    <row r="30" spans="1:46" ht="15" customHeight="1">
      <c r="A30" s="78"/>
      <c r="B30" s="414" t="s">
        <v>1039</v>
      </c>
      <c r="C30" s="408" t="s">
        <v>1040</v>
      </c>
      <c r="D30" s="409"/>
      <c r="F30" s="409"/>
      <c r="G30" s="409"/>
      <c r="H30" s="409"/>
      <c r="I30" s="409"/>
      <c r="J30" s="409"/>
      <c r="K30" s="409"/>
      <c r="L30" s="170"/>
      <c r="M30" s="170"/>
      <c r="N30" s="170"/>
      <c r="O30" s="170"/>
      <c r="U30" s="410"/>
      <c r="V30" s="409"/>
      <c r="W30" s="409"/>
      <c r="X30" s="411"/>
      <c r="Y30" s="411"/>
      <c r="Z30" s="411"/>
      <c r="AA30" s="411"/>
      <c r="AB30" s="406"/>
      <c r="AC30" s="406"/>
      <c r="AD30" s="406"/>
      <c r="AE30" s="406"/>
      <c r="AF30" s="406"/>
      <c r="AG30" s="407"/>
      <c r="AH30" s="407"/>
      <c r="AI30" s="407"/>
    </row>
    <row r="31" spans="1:46" ht="15" customHeight="1">
      <c r="A31" s="78"/>
      <c r="B31" s="414"/>
      <c r="D31" s="408" t="s">
        <v>1041</v>
      </c>
      <c r="G31" s="410" t="s">
        <v>1021</v>
      </c>
      <c r="H31" s="415" t="s">
        <v>1276</v>
      </c>
      <c r="K31" s="409"/>
      <c r="L31" s="409"/>
      <c r="O31" s="409"/>
      <c r="P31" s="409"/>
      <c r="Q31" s="409"/>
      <c r="R31" s="409"/>
      <c r="S31" s="409"/>
      <c r="T31" s="409"/>
      <c r="U31" s="410"/>
      <c r="V31" s="409"/>
      <c r="W31" s="409"/>
      <c r="X31" s="411"/>
      <c r="Y31" s="411"/>
      <c r="Z31" s="411"/>
      <c r="AA31" s="411"/>
      <c r="AB31" s="406"/>
      <c r="AC31" s="406"/>
      <c r="AD31" s="406"/>
      <c r="AE31" s="406"/>
      <c r="AF31" s="406"/>
      <c r="AG31" s="407"/>
      <c r="AH31" s="407"/>
      <c r="AI31" s="407"/>
    </row>
    <row r="32" spans="1:46" ht="15" customHeight="1">
      <c r="A32" s="78"/>
      <c r="B32" s="414"/>
      <c r="D32" s="408" t="s">
        <v>1042</v>
      </c>
      <c r="G32" s="410" t="s">
        <v>1021</v>
      </c>
      <c r="H32" s="415" t="s">
        <v>1278</v>
      </c>
      <c r="K32" s="409"/>
      <c r="L32" s="409"/>
      <c r="O32" s="409"/>
      <c r="P32" s="409"/>
      <c r="Q32" s="409"/>
      <c r="R32" s="409"/>
      <c r="S32" s="409"/>
      <c r="T32" s="409"/>
      <c r="U32" s="410"/>
      <c r="V32" s="409"/>
      <c r="W32" s="409"/>
      <c r="X32" s="411"/>
      <c r="Y32" s="411"/>
      <c r="Z32" s="411"/>
      <c r="AA32" s="411"/>
      <c r="AB32" s="406"/>
      <c r="AC32" s="406"/>
      <c r="AD32" s="406"/>
      <c r="AE32" s="406"/>
      <c r="AF32" s="406"/>
      <c r="AG32" s="407"/>
      <c r="AH32" s="407"/>
      <c r="AI32" s="407"/>
    </row>
    <row r="33" spans="1:46" ht="15" customHeight="1">
      <c r="A33" s="78"/>
      <c r="B33" s="414"/>
      <c r="D33" s="408" t="s">
        <v>1043</v>
      </c>
      <c r="G33" s="410" t="s">
        <v>1021</v>
      </c>
      <c r="H33" s="408" t="s">
        <v>1280</v>
      </c>
      <c r="K33" s="409"/>
      <c r="L33" s="409"/>
      <c r="O33" s="409"/>
      <c r="P33" s="409"/>
      <c r="Q33" s="409"/>
      <c r="R33" s="409"/>
      <c r="S33" s="409"/>
      <c r="T33" s="409"/>
      <c r="U33" s="410"/>
      <c r="V33" s="409"/>
      <c r="W33" s="409"/>
      <c r="X33" s="411"/>
      <c r="Y33" s="411"/>
      <c r="Z33" s="411"/>
      <c r="AA33" s="411"/>
      <c r="AB33" s="406"/>
      <c r="AC33" s="406"/>
      <c r="AD33" s="406"/>
      <c r="AE33" s="406"/>
      <c r="AF33" s="406"/>
      <c r="AG33" s="407"/>
      <c r="AH33" s="407"/>
      <c r="AI33" s="407"/>
    </row>
    <row r="34" spans="1:46" ht="15" customHeight="1">
      <c r="A34" s="78"/>
      <c r="B34" s="414"/>
      <c r="D34" s="408" t="s">
        <v>1044</v>
      </c>
      <c r="G34" s="410" t="s">
        <v>1022</v>
      </c>
      <c r="H34" s="408" t="s">
        <v>1023</v>
      </c>
      <c r="K34" s="409"/>
      <c r="L34" s="409"/>
      <c r="O34" s="409"/>
      <c r="P34" s="409"/>
      <c r="Q34" s="409"/>
      <c r="R34" s="409"/>
      <c r="S34" s="409"/>
      <c r="T34" s="409"/>
      <c r="U34" s="410"/>
      <c r="V34" s="409"/>
      <c r="W34" s="409"/>
      <c r="X34" s="411"/>
      <c r="Y34" s="411"/>
      <c r="Z34" s="411"/>
      <c r="AA34" s="411"/>
      <c r="AB34" s="406"/>
      <c r="AC34" s="406"/>
      <c r="AD34" s="406"/>
      <c r="AE34" s="406"/>
      <c r="AF34" s="406"/>
      <c r="AG34" s="407"/>
      <c r="AH34" s="407"/>
      <c r="AI34" s="407"/>
    </row>
    <row r="35" spans="1:46" ht="15" customHeight="1">
      <c r="A35" s="78"/>
      <c r="B35" s="414" t="s">
        <v>1039</v>
      </c>
      <c r="C35" s="408" t="s">
        <v>1024</v>
      </c>
      <c r="D35" s="409"/>
      <c r="G35" s="410" t="s">
        <v>1022</v>
      </c>
      <c r="H35" s="408" t="s">
        <v>1025</v>
      </c>
      <c r="L35" s="409"/>
      <c r="O35" s="409"/>
      <c r="P35" s="409"/>
      <c r="Q35" s="409"/>
      <c r="R35" s="410"/>
      <c r="S35" s="409"/>
      <c r="T35" s="409"/>
      <c r="U35" s="411"/>
      <c r="V35" s="411"/>
      <c r="W35" s="411"/>
      <c r="X35" s="411"/>
      <c r="Y35" s="412"/>
      <c r="Z35" s="412"/>
      <c r="AA35" s="412"/>
      <c r="AC35" s="143"/>
      <c r="AD35" s="412"/>
      <c r="AE35" s="412"/>
      <c r="AF35" s="412"/>
      <c r="AG35" s="412"/>
      <c r="AH35" s="412"/>
      <c r="AI35" s="412"/>
      <c r="AJ35" s="412"/>
      <c r="AK35" s="412"/>
      <c r="AL35" s="412"/>
      <c r="AM35" s="413"/>
      <c r="AQ35" s="76"/>
    </row>
    <row r="36" spans="1:46" ht="15" customHeight="1">
      <c r="A36" s="78"/>
      <c r="B36" s="414" t="s">
        <v>1039</v>
      </c>
      <c r="C36" s="408" t="s">
        <v>1026</v>
      </c>
      <c r="D36" s="409"/>
      <c r="F36" s="410" t="s">
        <v>1022</v>
      </c>
      <c r="G36" s="408" t="s">
        <v>1027</v>
      </c>
      <c r="L36" s="143"/>
      <c r="O36" s="409"/>
      <c r="P36" s="409"/>
      <c r="Q36" s="409"/>
      <c r="R36" s="409"/>
      <c r="S36" s="410"/>
      <c r="T36" s="409"/>
      <c r="U36" s="409"/>
      <c r="V36" s="411"/>
      <c r="W36" s="411"/>
      <c r="X36" s="411"/>
      <c r="Y36" s="411"/>
      <c r="Z36" s="412"/>
      <c r="AA36" s="412"/>
      <c r="AC36" s="143"/>
      <c r="AD36" s="412"/>
      <c r="AE36" s="412"/>
      <c r="AF36" s="412"/>
      <c r="AG36" s="412"/>
      <c r="AH36" s="412"/>
      <c r="AI36" s="413"/>
      <c r="AJ36" s="413"/>
      <c r="AK36" s="413"/>
      <c r="AL36" s="413"/>
      <c r="AM36" s="413"/>
      <c r="AQ36" s="76"/>
    </row>
    <row r="37" spans="1:46" ht="15" customHeight="1">
      <c r="A37" s="78"/>
      <c r="B37" s="414" t="s">
        <v>1039</v>
      </c>
      <c r="C37" s="408" t="s">
        <v>1028</v>
      </c>
      <c r="D37" s="409"/>
      <c r="G37" s="410" t="s">
        <v>1022</v>
      </c>
      <c r="H37" s="408" t="s">
        <v>1029</v>
      </c>
      <c r="K37" s="409"/>
      <c r="L37" s="143"/>
      <c r="O37" s="409"/>
      <c r="P37" s="409"/>
      <c r="Q37" s="409"/>
      <c r="R37" s="409"/>
      <c r="S37" s="409"/>
      <c r="T37" s="410"/>
      <c r="U37" s="409"/>
      <c r="V37" s="409"/>
      <c r="W37" s="411"/>
      <c r="X37" s="411"/>
      <c r="Y37" s="411"/>
      <c r="Z37" s="411"/>
      <c r="AA37" s="412"/>
      <c r="AC37" s="143"/>
      <c r="AD37" s="412"/>
      <c r="AE37" s="412"/>
      <c r="AF37" s="412"/>
      <c r="AG37" s="412"/>
      <c r="AH37" s="412"/>
      <c r="AI37" s="412"/>
      <c r="AJ37" s="413"/>
      <c r="AK37" s="413"/>
      <c r="AL37" s="413"/>
      <c r="AM37" s="413"/>
      <c r="AQ37" s="76"/>
    </row>
    <row r="38" spans="1:46" ht="15" customHeight="1">
      <c r="A38" s="78"/>
      <c r="B38" s="414" t="s">
        <v>1039</v>
      </c>
      <c r="C38" s="408" t="s">
        <v>1030</v>
      </c>
      <c r="D38" s="409"/>
      <c r="G38" s="410" t="s">
        <v>1021</v>
      </c>
      <c r="H38" s="408" t="s">
        <v>1031</v>
      </c>
      <c r="L38" s="409"/>
      <c r="O38" s="409"/>
      <c r="P38" s="409"/>
      <c r="Q38" s="409"/>
      <c r="R38" s="410"/>
      <c r="S38" s="409"/>
      <c r="T38" s="409"/>
      <c r="U38" s="411"/>
      <c r="V38" s="411"/>
      <c r="W38" s="411"/>
      <c r="X38" s="411"/>
      <c r="Y38" s="412"/>
      <c r="Z38" s="412"/>
      <c r="AA38" s="412"/>
      <c r="AC38" s="143"/>
      <c r="AD38" s="412"/>
      <c r="AE38" s="412"/>
      <c r="AF38" s="412"/>
      <c r="AG38" s="412"/>
      <c r="AH38" s="412"/>
      <c r="AI38" s="412"/>
      <c r="AJ38" s="412"/>
      <c r="AK38" s="413"/>
      <c r="AL38" s="413"/>
      <c r="AM38" s="413"/>
      <c r="AQ38" s="76"/>
    </row>
    <row r="39" spans="1:46" ht="15" customHeight="1">
      <c r="A39" s="78"/>
      <c r="B39" s="414" t="s">
        <v>1039</v>
      </c>
      <c r="C39" s="408" t="s">
        <v>1032</v>
      </c>
      <c r="D39" s="409"/>
      <c r="G39" s="410" t="s">
        <v>1021</v>
      </c>
      <c r="H39" s="408" t="s">
        <v>1033</v>
      </c>
      <c r="K39" s="409"/>
      <c r="L39" s="409"/>
      <c r="Q39" s="409"/>
      <c r="R39" s="409"/>
      <c r="S39" s="409"/>
      <c r="T39" s="409"/>
      <c r="U39" s="409"/>
      <c r="V39" s="410"/>
      <c r="W39" s="409"/>
      <c r="X39" s="409"/>
      <c r="Y39" s="411"/>
      <c r="Z39" s="411"/>
      <c r="AA39" s="411"/>
      <c r="AC39" s="143"/>
      <c r="AD39" s="412"/>
      <c r="AE39" s="412"/>
      <c r="AF39" s="412"/>
      <c r="AG39" s="412"/>
      <c r="AH39" s="412"/>
      <c r="AI39" s="413"/>
      <c r="AJ39" s="413"/>
      <c r="AK39" s="413"/>
      <c r="AL39" s="413"/>
      <c r="AM39" s="413"/>
      <c r="AQ39" s="76"/>
    </row>
    <row r="40" spans="1:46" ht="15" customHeight="1">
      <c r="A40" s="78"/>
      <c r="B40" s="414" t="s">
        <v>1039</v>
      </c>
      <c r="C40" s="408" t="s">
        <v>1034</v>
      </c>
      <c r="D40" s="409"/>
      <c r="G40" s="410" t="s">
        <v>1021</v>
      </c>
      <c r="H40" s="408" t="s">
        <v>1037</v>
      </c>
      <c r="L40" s="409"/>
      <c r="O40" s="409"/>
      <c r="P40" s="409"/>
      <c r="Q40" s="409"/>
      <c r="R40" s="410"/>
      <c r="S40" s="409"/>
      <c r="T40" s="409"/>
      <c r="U40" s="411"/>
      <c r="V40" s="411"/>
      <c r="W40" s="411"/>
      <c r="X40" s="411"/>
      <c r="Y40" s="412"/>
      <c r="Z40" s="412"/>
      <c r="AA40" s="412"/>
      <c r="AC40" s="143"/>
      <c r="AD40" s="412"/>
      <c r="AE40" s="412"/>
      <c r="AF40" s="412"/>
      <c r="AG40" s="412"/>
      <c r="AH40" s="412"/>
      <c r="AI40" s="412"/>
      <c r="AJ40" s="412"/>
      <c r="AK40" s="412"/>
      <c r="AL40" s="412"/>
      <c r="AM40" s="413"/>
      <c r="AQ40" s="76"/>
    </row>
    <row r="41" spans="1:46" ht="15" customHeight="1">
      <c r="A41" s="78"/>
      <c r="B41" s="414" t="s">
        <v>1039</v>
      </c>
      <c r="C41" s="408" t="s">
        <v>1035</v>
      </c>
      <c r="D41" s="409"/>
      <c r="G41" s="410" t="s">
        <v>1022</v>
      </c>
      <c r="H41" s="408" t="s">
        <v>1036</v>
      </c>
      <c r="K41" s="409"/>
      <c r="L41" s="143"/>
      <c r="O41" s="409"/>
      <c r="P41" s="409"/>
      <c r="Q41" s="409"/>
      <c r="R41" s="409"/>
      <c r="S41" s="409"/>
      <c r="T41" s="410"/>
      <c r="U41" s="409"/>
      <c r="V41" s="409"/>
      <c r="W41" s="411"/>
      <c r="X41" s="411"/>
      <c r="Y41" s="411"/>
      <c r="Z41" s="411"/>
      <c r="AA41" s="412"/>
      <c r="AC41" s="412"/>
      <c r="AD41" s="412"/>
      <c r="AE41" s="412"/>
      <c r="AF41" s="412"/>
      <c r="AG41" s="412"/>
      <c r="AH41" s="412"/>
      <c r="AI41" s="413"/>
      <c r="AJ41" s="413"/>
      <c r="AK41" s="413"/>
      <c r="AL41" s="413"/>
      <c r="AM41" s="413"/>
      <c r="AQ41" s="76"/>
    </row>
    <row r="42" spans="1:46" ht="15" customHeight="1">
      <c r="A42" s="78"/>
      <c r="B42" s="405"/>
      <c r="C42" s="405"/>
      <c r="AC42" s="412"/>
      <c r="AD42" s="412"/>
      <c r="AE42" s="412"/>
      <c r="AF42" s="412"/>
      <c r="AG42" s="412"/>
      <c r="AH42" s="412"/>
      <c r="AI42" s="412"/>
      <c r="AJ42" s="412"/>
      <c r="AK42" s="413"/>
      <c r="AL42" s="413"/>
      <c r="AM42" s="413"/>
      <c r="AQ42" s="76"/>
    </row>
    <row r="43" spans="1:46" ht="15" customHeight="1">
      <c r="A43" s="78"/>
      <c r="B43" s="96"/>
      <c r="C43" s="160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AQ43" s="76"/>
    </row>
    <row r="44" spans="1:46" ht="15" customHeight="1">
      <c r="A44" s="78" t="s">
        <v>1045</v>
      </c>
      <c r="B44" s="96"/>
      <c r="C44" s="160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AQ44" s="76"/>
    </row>
    <row r="45" spans="1:46" ht="15" customHeight="1" thickBot="1">
      <c r="D45" s="472" t="s">
        <v>1647</v>
      </c>
      <c r="E45" s="96"/>
      <c r="F45" s="160"/>
      <c r="G45" s="170"/>
      <c r="H45" s="170"/>
      <c r="I45" s="170"/>
      <c r="J45" s="170"/>
      <c r="K45" s="170"/>
      <c r="X45" s="466"/>
      <c r="Z45" s="466"/>
      <c r="AC45" s="466"/>
      <c r="AQ45" s="76"/>
    </row>
    <row r="46" spans="1:46" ht="15" customHeight="1">
      <c r="D46" s="1923" t="s">
        <v>318</v>
      </c>
      <c r="E46" s="1924"/>
      <c r="F46" s="1924"/>
      <c r="G46" s="1924"/>
      <c r="H46" s="1924"/>
      <c r="I46" s="1924"/>
      <c r="J46" s="1924"/>
      <c r="K46" s="1924"/>
      <c r="L46" s="1924"/>
      <c r="M46" s="1925"/>
      <c r="U46" s="462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</row>
    <row r="47" spans="1:46" ht="15" customHeight="1">
      <c r="D47" s="742" t="s">
        <v>16</v>
      </c>
      <c r="E47" s="743" t="s">
        <v>7</v>
      </c>
      <c r="F47" s="743" t="s">
        <v>196</v>
      </c>
      <c r="G47" s="743" t="s">
        <v>23</v>
      </c>
      <c r="H47" s="743" t="s">
        <v>198</v>
      </c>
      <c r="I47" s="743" t="s">
        <v>199</v>
      </c>
      <c r="J47" s="1920" t="s">
        <v>1800</v>
      </c>
      <c r="K47" s="1921"/>
      <c r="L47" s="1920" t="s">
        <v>1801</v>
      </c>
      <c r="M47" s="1922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</row>
    <row r="48" spans="1:46" ht="15" customHeight="1">
      <c r="D48" s="661"/>
      <c r="E48" s="662" t="s">
        <v>8</v>
      </c>
      <c r="F48" s="662" t="s">
        <v>9</v>
      </c>
      <c r="G48" s="662" t="s">
        <v>10</v>
      </c>
      <c r="H48" s="662" t="s">
        <v>197</v>
      </c>
      <c r="I48" s="662" t="s">
        <v>11</v>
      </c>
      <c r="J48" s="662" t="s">
        <v>12</v>
      </c>
      <c r="K48" s="662" t="s">
        <v>13</v>
      </c>
      <c r="L48" s="662" t="s">
        <v>12</v>
      </c>
      <c r="M48" s="664" t="s">
        <v>13</v>
      </c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</row>
    <row r="49" spans="4:46" ht="15" customHeight="1">
      <c r="D49" s="807" t="str">
        <f>+input!B3</f>
        <v>101i</v>
      </c>
      <c r="E49" s="808">
        <f>+MST!B4</f>
        <v>0</v>
      </c>
      <c r="F49" s="808">
        <f>+MST!C4</f>
        <v>0</v>
      </c>
      <c r="G49" s="808">
        <f>+MST!D4</f>
        <v>-0.03</v>
      </c>
      <c r="H49" s="808">
        <f>+MST!E4</f>
        <v>0</v>
      </c>
      <c r="I49" s="808">
        <f>+MST!F4</f>
        <v>0.01</v>
      </c>
      <c r="J49" s="808">
        <f>+MST!V4</f>
        <v>0</v>
      </c>
      <c r="K49" s="808">
        <f>+MST!W4</f>
        <v>0</v>
      </c>
      <c r="L49" s="808">
        <f>MST!AD4</f>
        <v>0.02</v>
      </c>
      <c r="M49" s="809">
        <f>MST!AE4</f>
        <v>-0.01</v>
      </c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/>
    </row>
    <row r="50" spans="4:46" ht="15" customHeight="1">
      <c r="D50" s="807" t="str">
        <f>+input!B4</f>
        <v>101j</v>
      </c>
      <c r="E50" s="808">
        <f>+MST!B5</f>
        <v>-1.92</v>
      </c>
      <c r="F50" s="808">
        <f>+MST!C5</f>
        <v>0</v>
      </c>
      <c r="G50" s="808">
        <f>+MST!D5</f>
        <v>-8.81</v>
      </c>
      <c r="H50" s="808">
        <f>+MST!E5</f>
        <v>-1.22</v>
      </c>
      <c r="I50" s="808">
        <f>+MST!F5</f>
        <v>-1.2</v>
      </c>
      <c r="J50" s="808">
        <f>+MST!V5</f>
        <v>0</v>
      </c>
      <c r="K50" s="808">
        <f>+MST!W5</f>
        <v>-143.27000000000001</v>
      </c>
      <c r="L50" s="808">
        <f>MST!AD5</f>
        <v>0.01</v>
      </c>
      <c r="M50" s="809">
        <f>MST!AE5</f>
        <v>-104.64</v>
      </c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</row>
    <row r="51" spans="4:46" ht="15" customHeight="1">
      <c r="D51" s="807" t="str">
        <f>+input!B5</f>
        <v>102i</v>
      </c>
      <c r="E51" s="808">
        <f>+MST!B6</f>
        <v>-1.93</v>
      </c>
      <c r="F51" s="808">
        <f>+MST!C6</f>
        <v>0</v>
      </c>
      <c r="G51" s="808">
        <f>+MST!D6</f>
        <v>-8.84</v>
      </c>
      <c r="H51" s="808">
        <f>+MST!E6</f>
        <v>-1.21</v>
      </c>
      <c r="I51" s="808">
        <f>+MST!F6</f>
        <v>-1.1599999999999999</v>
      </c>
      <c r="J51" s="808">
        <f>+MST!V6</f>
        <v>-2</v>
      </c>
      <c r="K51" s="808">
        <f>+MST!W6</f>
        <v>-143.28</v>
      </c>
      <c r="L51" s="808">
        <f>MST!AD6</f>
        <v>0.02</v>
      </c>
      <c r="M51" s="809">
        <f>MST!AE6</f>
        <v>-104.63</v>
      </c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</row>
    <row r="52" spans="4:46" ht="15" customHeight="1">
      <c r="D52" s="807" t="str">
        <f>+input!B6</f>
        <v>102j</v>
      </c>
      <c r="E52" s="808">
        <f>+MST!B7</f>
        <v>1731.44</v>
      </c>
      <c r="F52" s="808">
        <f>+MST!C7</f>
        <v>2.12</v>
      </c>
      <c r="G52" s="808">
        <f>+MST!D7</f>
        <v>3569.13</v>
      </c>
      <c r="H52" s="808">
        <f>+MST!E7</f>
        <v>839.05</v>
      </c>
      <c r="I52" s="808">
        <f>+MST!F7</f>
        <v>737.07</v>
      </c>
      <c r="J52" s="808">
        <f>+MST!V7</f>
        <v>3052.93</v>
      </c>
      <c r="K52" s="808">
        <f>+MST!W7</f>
        <v>-232.68</v>
      </c>
      <c r="L52" s="808">
        <f>MST!AD7</f>
        <v>966.14</v>
      </c>
      <c r="M52" s="809">
        <f>MST!AE7</f>
        <v>-89.29</v>
      </c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</row>
    <row r="53" spans="4:46" ht="15" customHeight="1">
      <c r="D53" s="807" t="str">
        <f>+input!B7</f>
        <v>103i</v>
      </c>
      <c r="E53" s="808">
        <f>+MST!B8</f>
        <v>1731.43</v>
      </c>
      <c r="F53" s="808">
        <f>+MST!C8</f>
        <v>2.12</v>
      </c>
      <c r="G53" s="808">
        <f>+MST!D8</f>
        <v>3569.12</v>
      </c>
      <c r="H53" s="808">
        <f>+MST!E8</f>
        <v>839.05</v>
      </c>
      <c r="I53" s="808">
        <f>+MST!F8</f>
        <v>737.07</v>
      </c>
      <c r="J53" s="808">
        <f>+MST!V8</f>
        <v>3052.93</v>
      </c>
      <c r="K53" s="808">
        <f>+MST!W8</f>
        <v>-232.68</v>
      </c>
      <c r="L53" s="808">
        <f>MST!AD8</f>
        <v>966.14</v>
      </c>
      <c r="M53" s="809">
        <f>MST!AE8</f>
        <v>-89.29</v>
      </c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3"/>
    </row>
    <row r="54" spans="4:46" ht="15" customHeight="1">
      <c r="D54" s="807" t="str">
        <f>+input!B8</f>
        <v>103j</v>
      </c>
      <c r="E54" s="808">
        <f>+MST!B9</f>
        <v>3983.77</v>
      </c>
      <c r="F54" s="808">
        <f>+MST!C9</f>
        <v>5.08</v>
      </c>
      <c r="G54" s="808">
        <f>+MST!D9</f>
        <v>8032.88</v>
      </c>
      <c r="H54" s="808">
        <f>+MST!E9</f>
        <v>1917.72</v>
      </c>
      <c r="I54" s="808">
        <f>+MST!F9</f>
        <v>1677.12</v>
      </c>
      <c r="J54" s="808">
        <f>+MST!V9</f>
        <v>6811.78</v>
      </c>
      <c r="K54" s="808">
        <f>+MST!W9</f>
        <v>-426.71</v>
      </c>
      <c r="L54" s="808">
        <f>MST!AD9</f>
        <v>1941.74</v>
      </c>
      <c r="M54" s="809">
        <f>MST!AE9</f>
        <v>-75.94</v>
      </c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</row>
    <row r="55" spans="4:46" ht="15" customHeight="1">
      <c r="D55" s="807" t="str">
        <f>+input!B9</f>
        <v>104i</v>
      </c>
      <c r="E55" s="808">
        <f>+MST!B10</f>
        <v>3983.74</v>
      </c>
      <c r="F55" s="808">
        <f>+MST!C10</f>
        <v>5.08</v>
      </c>
      <c r="G55" s="808">
        <f>+MST!D10</f>
        <v>8032.88</v>
      </c>
      <c r="H55" s="808">
        <f>+MST!E10</f>
        <v>1917.7</v>
      </c>
      <c r="I55" s="808">
        <f>+MST!F10</f>
        <v>1677.12</v>
      </c>
      <c r="J55" s="808">
        <f>+MST!V10</f>
        <v>6811.79</v>
      </c>
      <c r="K55" s="808">
        <f>+MST!W10</f>
        <v>-426.71</v>
      </c>
      <c r="L55" s="808">
        <f>MST!AD10</f>
        <v>1941.73</v>
      </c>
      <c r="M55" s="809">
        <f>MST!AE10</f>
        <v>-75.94</v>
      </c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</row>
    <row r="56" spans="4:46" ht="15" customHeight="1">
      <c r="D56" s="807" t="str">
        <f>+input!B10</f>
        <v>104j</v>
      </c>
      <c r="E56" s="808">
        <f>+MST!B11</f>
        <v>6617.31</v>
      </c>
      <c r="F56" s="808">
        <f>+MST!C11</f>
        <v>9.11</v>
      </c>
      <c r="G56" s="808">
        <f>+MST!D11</f>
        <v>12938.79</v>
      </c>
      <c r="H56" s="808">
        <f>+MST!E11</f>
        <v>3093.97</v>
      </c>
      <c r="I56" s="808">
        <f>+MST!F11</f>
        <v>2716.56</v>
      </c>
      <c r="J56" s="808">
        <f>+MST!V11</f>
        <v>10915.31</v>
      </c>
      <c r="K56" s="808">
        <f>+MST!W11</f>
        <v>-759.3</v>
      </c>
      <c r="L56" s="808">
        <f>MST!AD11</f>
        <v>3043.12</v>
      </c>
      <c r="M56" s="809">
        <f>MST!AE11</f>
        <v>-158.93</v>
      </c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3"/>
    </row>
    <row r="57" spans="4:46" ht="15" customHeight="1">
      <c r="D57" s="807" t="str">
        <f>+input!B11</f>
        <v>105i</v>
      </c>
      <c r="E57" s="808">
        <f>+MST!B12</f>
        <v>6617.28</v>
      </c>
      <c r="F57" s="808">
        <f>+MST!C12</f>
        <v>9.11</v>
      </c>
      <c r="G57" s="808">
        <f>+MST!D12</f>
        <v>12938.75</v>
      </c>
      <c r="H57" s="808">
        <f>+MST!E12</f>
        <v>3094</v>
      </c>
      <c r="I57" s="808">
        <f>+MST!F12</f>
        <v>2716.57</v>
      </c>
      <c r="J57" s="808">
        <f>+MST!V12</f>
        <v>10915.31</v>
      </c>
      <c r="K57" s="808">
        <f>+MST!W12</f>
        <v>-759.3</v>
      </c>
      <c r="L57" s="808">
        <f>MST!AD12</f>
        <v>3043.12</v>
      </c>
      <c r="M57" s="809">
        <f>MST!AE12</f>
        <v>-158.93</v>
      </c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</row>
    <row r="58" spans="4:46" ht="15" customHeight="1">
      <c r="D58" s="807" t="str">
        <f>+input!B12</f>
        <v>105j</v>
      </c>
      <c r="E58" s="808">
        <f>+MST!B13</f>
        <v>8810.4500000000007</v>
      </c>
      <c r="F58" s="808">
        <f>+MST!C13</f>
        <v>13.13</v>
      </c>
      <c r="G58" s="808">
        <f>+MST!D13</f>
        <v>16949.810000000001</v>
      </c>
      <c r="H58" s="808">
        <f>+MST!E13</f>
        <v>4068.96</v>
      </c>
      <c r="I58" s="808">
        <f>+MST!F13</f>
        <v>3563</v>
      </c>
      <c r="J58" s="808">
        <f>+MST!V13</f>
        <v>14208.06</v>
      </c>
      <c r="K58" s="808">
        <f>+MST!W13</f>
        <v>-1091.99</v>
      </c>
      <c r="L58" s="808">
        <f>MST!AD13</f>
        <v>3617.16</v>
      </c>
      <c r="M58" s="809">
        <f>MST!AE13</f>
        <v>-223.79</v>
      </c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</row>
    <row r="59" spans="4:46" ht="15" customHeight="1">
      <c r="D59" s="807" t="str">
        <f>+input!B13</f>
        <v>106i</v>
      </c>
      <c r="E59" s="808">
        <f>+MST!B14</f>
        <v>8810.48</v>
      </c>
      <c r="F59" s="808">
        <f>+MST!C14</f>
        <v>13.13</v>
      </c>
      <c r="G59" s="808">
        <f>+MST!D14</f>
        <v>16949.71</v>
      </c>
      <c r="H59" s="808">
        <f>+MST!E14</f>
        <v>4068.95</v>
      </c>
      <c r="I59" s="808">
        <f>+MST!F14</f>
        <v>3563.02</v>
      </c>
      <c r="J59" s="808">
        <f>+MST!V14</f>
        <v>14208.06</v>
      </c>
      <c r="K59" s="808">
        <f>+MST!W14</f>
        <v>-1091.99</v>
      </c>
      <c r="L59" s="808">
        <f>MST!AD14</f>
        <v>3617.15</v>
      </c>
      <c r="M59" s="809">
        <f>MST!AE14</f>
        <v>-223.79</v>
      </c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</row>
    <row r="60" spans="4:46" ht="15" customHeight="1">
      <c r="D60" s="807" t="str">
        <f>+input!B14</f>
        <v>106j</v>
      </c>
      <c r="E60" s="808">
        <f>+MST!B15</f>
        <v>10413.719999999999</v>
      </c>
      <c r="F60" s="808">
        <f>+MST!C15</f>
        <v>17.16</v>
      </c>
      <c r="G60" s="808">
        <f>+MST!D15</f>
        <v>19658.7</v>
      </c>
      <c r="H60" s="808">
        <f>+MST!E15</f>
        <v>4719.8999999999996</v>
      </c>
      <c r="I60" s="808">
        <f>+MST!F15</f>
        <v>4141.9799999999996</v>
      </c>
      <c r="J60" s="808">
        <f>+MST!V15</f>
        <v>16441.72</v>
      </c>
      <c r="K60" s="808">
        <f>+MST!W15</f>
        <v>-1424.83</v>
      </c>
      <c r="L60" s="808">
        <f>MST!AD15</f>
        <v>4185.6899999999996</v>
      </c>
      <c r="M60" s="809">
        <f>MST!AE15</f>
        <v>-286.23</v>
      </c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</row>
    <row r="61" spans="4:46" ht="15" customHeight="1">
      <c r="D61" s="807" t="str">
        <f>+input!B15</f>
        <v>107i</v>
      </c>
      <c r="E61" s="808">
        <f>+MST!B16</f>
        <v>10413.700000000001</v>
      </c>
      <c r="F61" s="808">
        <f>+MST!C16</f>
        <v>17.16</v>
      </c>
      <c r="G61" s="808">
        <f>+MST!D16</f>
        <v>19658.689999999999</v>
      </c>
      <c r="H61" s="808">
        <f>+MST!E16</f>
        <v>4719.87</v>
      </c>
      <c r="I61" s="808">
        <f>+MST!F16</f>
        <v>4141.9799999999996</v>
      </c>
      <c r="J61" s="808">
        <f>+MST!V16</f>
        <v>16441.72</v>
      </c>
      <c r="K61" s="808">
        <f>+MST!W16</f>
        <v>-1424.83</v>
      </c>
      <c r="L61" s="808">
        <f>MST!AD16</f>
        <v>4185.7</v>
      </c>
      <c r="M61" s="809">
        <f>MST!AE16</f>
        <v>-286.22000000000003</v>
      </c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</row>
    <row r="62" spans="4:46" ht="15" customHeight="1">
      <c r="D62" s="807" t="str">
        <f>+input!B16</f>
        <v>107j</v>
      </c>
      <c r="E62" s="808">
        <f>+MST!B17</f>
        <v>11491.86</v>
      </c>
      <c r="F62" s="808">
        <f>+MST!C17</f>
        <v>21.18</v>
      </c>
      <c r="G62" s="808">
        <f>+MST!D17</f>
        <v>21472.55</v>
      </c>
      <c r="H62" s="808">
        <f>+MST!E17</f>
        <v>5169.4799999999996</v>
      </c>
      <c r="I62" s="808">
        <f>+MST!F17</f>
        <v>4528.01</v>
      </c>
      <c r="J62" s="808">
        <f>+MST!V17</f>
        <v>18066.830000000002</v>
      </c>
      <c r="K62" s="808">
        <f>+MST!W17</f>
        <v>-1759.08</v>
      </c>
      <c r="L62" s="808">
        <f>MST!AD17</f>
        <v>4321.82</v>
      </c>
      <c r="M62" s="809">
        <f>MST!AE17</f>
        <v>-358.88</v>
      </c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</row>
    <row r="63" spans="4:46" ht="15" customHeight="1">
      <c r="D63" s="807" t="str">
        <f>+input!B17</f>
        <v>108i</v>
      </c>
      <c r="E63" s="808">
        <f>+MST!B18</f>
        <v>11491.83</v>
      </c>
      <c r="F63" s="808">
        <f>+MST!C18</f>
        <v>21.18</v>
      </c>
      <c r="G63" s="808">
        <f>+MST!D18</f>
        <v>21472.54</v>
      </c>
      <c r="H63" s="808">
        <f>+MST!E18</f>
        <v>5169.4799999999996</v>
      </c>
      <c r="I63" s="808">
        <f>+MST!F18</f>
        <v>4527.96</v>
      </c>
      <c r="J63" s="808">
        <f>+MST!V18</f>
        <v>18066.830000000002</v>
      </c>
      <c r="K63" s="808">
        <f>+MST!W18</f>
        <v>-1759.08</v>
      </c>
      <c r="L63" s="808">
        <f>MST!AD18</f>
        <v>4321.82</v>
      </c>
      <c r="M63" s="809">
        <f>MST!AE18</f>
        <v>-358.88</v>
      </c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</row>
    <row r="64" spans="4:46" ht="15" customHeight="1">
      <c r="D64" s="807" t="str">
        <f>+input!B18</f>
        <v>108j</v>
      </c>
      <c r="E64" s="808">
        <f>+MST!B19</f>
        <v>11912.56</v>
      </c>
      <c r="F64" s="808">
        <f>+MST!C19</f>
        <v>25.2</v>
      </c>
      <c r="G64" s="808">
        <f>+MST!D19</f>
        <v>21961.119999999999</v>
      </c>
      <c r="H64" s="808">
        <f>+MST!E19</f>
        <v>5291.55</v>
      </c>
      <c r="I64" s="808">
        <f>+MST!F19</f>
        <v>4644.6099999999997</v>
      </c>
      <c r="J64" s="808">
        <f>+MST!V19</f>
        <v>18634.91</v>
      </c>
      <c r="K64" s="808">
        <f>+MST!W19</f>
        <v>-2093.64</v>
      </c>
      <c r="L64" s="808">
        <f>MST!AD19</f>
        <v>4526.41</v>
      </c>
      <c r="M64" s="809">
        <f>MST!AE19</f>
        <v>-433.36</v>
      </c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</row>
    <row r="65" spans="4:46" ht="15" customHeight="1">
      <c r="D65" s="807" t="str">
        <f>+input!B19</f>
        <v>109i</v>
      </c>
      <c r="E65" s="808">
        <f>+MST!B20</f>
        <v>11912.56</v>
      </c>
      <c r="F65" s="808">
        <f>+MST!C20</f>
        <v>25.2</v>
      </c>
      <c r="G65" s="808">
        <f>+MST!D20</f>
        <v>21961.16</v>
      </c>
      <c r="H65" s="808">
        <f>+MST!E20</f>
        <v>5291.58</v>
      </c>
      <c r="I65" s="808">
        <f>+MST!F20</f>
        <v>4644.62</v>
      </c>
      <c r="J65" s="808">
        <f>+MST!V20</f>
        <v>18634.91</v>
      </c>
      <c r="K65" s="808">
        <f>+MST!W20</f>
        <v>-2093.64</v>
      </c>
      <c r="L65" s="808">
        <f>MST!AD20</f>
        <v>4526.41</v>
      </c>
      <c r="M65" s="809">
        <f>MST!AE20</f>
        <v>-433.36</v>
      </c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</row>
    <row r="66" spans="4:46" ht="15" customHeight="1">
      <c r="D66" s="807" t="str">
        <f>+input!B20</f>
        <v>109j</v>
      </c>
      <c r="E66" s="808">
        <f>+MST!B21</f>
        <v>11777.86</v>
      </c>
      <c r="F66" s="808">
        <f>+MST!C21</f>
        <v>29.22</v>
      </c>
      <c r="G66" s="808">
        <f>+MST!D21</f>
        <v>21554.5</v>
      </c>
      <c r="H66" s="808">
        <f>+MST!E21</f>
        <v>5212.3</v>
      </c>
      <c r="I66" s="808">
        <f>+MST!F21</f>
        <v>4568.1499999999996</v>
      </c>
      <c r="J66" s="808">
        <f>+MST!V21</f>
        <v>18650.66</v>
      </c>
      <c r="K66" s="808">
        <f>+MST!W21</f>
        <v>-2428.21</v>
      </c>
      <c r="L66" s="808">
        <f>MST!AD21</f>
        <v>4334.87</v>
      </c>
      <c r="M66" s="809">
        <f>MST!AE21</f>
        <v>-507.84</v>
      </c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</row>
    <row r="67" spans="4:46" ht="15" customHeight="1">
      <c r="D67" s="807" t="str">
        <f>+input!B21</f>
        <v>110i</v>
      </c>
      <c r="E67" s="808">
        <f>+MST!B22</f>
        <v>11777.89</v>
      </c>
      <c r="F67" s="808">
        <f>+MST!C22</f>
        <v>29.22</v>
      </c>
      <c r="G67" s="808">
        <f>+MST!D22</f>
        <v>21554.52</v>
      </c>
      <c r="H67" s="808">
        <f>+MST!E22</f>
        <v>5212.29</v>
      </c>
      <c r="I67" s="808">
        <f>+MST!F22</f>
        <v>4568.1899999999996</v>
      </c>
      <c r="J67" s="808">
        <f>+MST!V22</f>
        <v>18650.650000000001</v>
      </c>
      <c r="K67" s="808">
        <f>+MST!W22</f>
        <v>-2428.21</v>
      </c>
      <c r="L67" s="808">
        <f>MST!AD22</f>
        <v>4334.88</v>
      </c>
      <c r="M67" s="809">
        <f>MST!AE22</f>
        <v>-507.85</v>
      </c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</row>
    <row r="68" spans="4:46" ht="15" customHeight="1">
      <c r="D68" s="807" t="str">
        <f>+input!B22</f>
        <v>110j</v>
      </c>
      <c r="E68" s="808">
        <f>+MST!B23</f>
        <v>11009.52</v>
      </c>
      <c r="F68" s="808">
        <f>+MST!C23</f>
        <v>33.24</v>
      </c>
      <c r="G68" s="808">
        <f>+MST!D23</f>
        <v>19967.650000000001</v>
      </c>
      <c r="H68" s="808">
        <f>+MST!E23</f>
        <v>4845.6899999999996</v>
      </c>
      <c r="I68" s="808">
        <f>+MST!F23</f>
        <v>4246.6000000000004</v>
      </c>
      <c r="J68" s="808">
        <f>+MST!V23</f>
        <v>17828.849999999999</v>
      </c>
      <c r="K68" s="808">
        <f>+MST!W23</f>
        <v>-2762.12</v>
      </c>
      <c r="L68" s="808">
        <f>MST!AD23</f>
        <v>4156.32</v>
      </c>
      <c r="M68" s="809">
        <f>MST!AE23</f>
        <v>-579.47</v>
      </c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</row>
    <row r="69" spans="4:46" ht="15" customHeight="1">
      <c r="D69" s="807" t="str">
        <f>+input!B23</f>
        <v>111i</v>
      </c>
      <c r="E69" s="808">
        <f>+MST!B24</f>
        <v>11009.53</v>
      </c>
      <c r="F69" s="808">
        <f>+MST!C24</f>
        <v>33.24</v>
      </c>
      <c r="G69" s="808">
        <f>+MST!D24</f>
        <v>19967.689999999999</v>
      </c>
      <c r="H69" s="808">
        <f>+MST!E24</f>
        <v>4845.68</v>
      </c>
      <c r="I69" s="808">
        <f>+MST!F24</f>
        <v>4246.5600000000004</v>
      </c>
      <c r="J69" s="808">
        <f>+MST!V24</f>
        <v>17828.849999999999</v>
      </c>
      <c r="K69" s="808">
        <f>+MST!W24</f>
        <v>-2762.12</v>
      </c>
      <c r="L69" s="808">
        <f>MST!AD24</f>
        <v>4156.33</v>
      </c>
      <c r="M69" s="809">
        <f>MST!AE24</f>
        <v>-579.47</v>
      </c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</row>
    <row r="70" spans="4:46" ht="15" customHeight="1">
      <c r="D70" s="807" t="str">
        <f>+input!B24</f>
        <v>111j</v>
      </c>
      <c r="E70" s="808">
        <f>+MST!B25</f>
        <v>9596.94</v>
      </c>
      <c r="F70" s="808">
        <f>+MST!C25</f>
        <v>37.229999999999997</v>
      </c>
      <c r="G70" s="808">
        <f>+MST!D25</f>
        <v>17179.14</v>
      </c>
      <c r="H70" s="808">
        <f>+MST!E25</f>
        <v>4190.54</v>
      </c>
      <c r="I70" s="808">
        <f>+MST!F25</f>
        <v>3679.05</v>
      </c>
      <c r="J70" s="808">
        <f>+MST!V25</f>
        <v>16156.45</v>
      </c>
      <c r="K70" s="808">
        <f>+MST!W25</f>
        <v>-3094.24</v>
      </c>
      <c r="L70" s="808">
        <f>MST!AD25</f>
        <v>4001.01</v>
      </c>
      <c r="M70" s="809">
        <f>MST!AE25</f>
        <v>-640.96</v>
      </c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</row>
    <row r="71" spans="4:46" ht="15" customHeight="1">
      <c r="D71" s="807" t="str">
        <f>+input!B25</f>
        <v>112i</v>
      </c>
      <c r="E71" s="808">
        <f>+MST!B26</f>
        <v>9596.94</v>
      </c>
      <c r="F71" s="808">
        <f>+MST!C26</f>
        <v>37.229999999999997</v>
      </c>
      <c r="G71" s="808">
        <f>+MST!D26</f>
        <v>17179.23</v>
      </c>
      <c r="H71" s="808">
        <f>+MST!E26</f>
        <v>4190.55</v>
      </c>
      <c r="I71" s="808">
        <f>+MST!F26</f>
        <v>3679.04</v>
      </c>
      <c r="J71" s="808">
        <f>+MST!V26</f>
        <v>16156.45</v>
      </c>
      <c r="K71" s="808">
        <f>+MST!W26</f>
        <v>-3094.24</v>
      </c>
      <c r="L71" s="808">
        <f>MST!AD26</f>
        <v>4000.99</v>
      </c>
      <c r="M71" s="809">
        <f>MST!AE26</f>
        <v>-640.95000000000005</v>
      </c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</row>
    <row r="72" spans="4:46" ht="15" customHeight="1">
      <c r="D72" s="807" t="str">
        <f>+input!B26</f>
        <v>112j</v>
      </c>
      <c r="E72" s="808">
        <f>+MST!B27</f>
        <v>7666.94</v>
      </c>
      <c r="F72" s="808">
        <f>+MST!C27</f>
        <v>41.22</v>
      </c>
      <c r="G72" s="808">
        <f>+MST!D27</f>
        <v>13495.84</v>
      </c>
      <c r="H72" s="808">
        <f>+MST!E27</f>
        <v>3334.3</v>
      </c>
      <c r="I72" s="808">
        <f>+MST!F27</f>
        <v>2918.38</v>
      </c>
      <c r="J72" s="808">
        <f>+MST!V27</f>
        <v>13989.12</v>
      </c>
      <c r="K72" s="808">
        <f>+MST!W27</f>
        <v>-3426.36</v>
      </c>
      <c r="L72" s="808">
        <f>MST!AD27</f>
        <v>3490.86</v>
      </c>
      <c r="M72" s="809">
        <f>MST!AE27</f>
        <v>-702.42</v>
      </c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</row>
    <row r="73" spans="4:46" ht="15" customHeight="1">
      <c r="D73" s="807" t="str">
        <f>+input!B27</f>
        <v>113i</v>
      </c>
      <c r="E73" s="808">
        <f>+MST!B28</f>
        <v>7667.03</v>
      </c>
      <c r="F73" s="808">
        <f>+MST!C28</f>
        <v>41.22</v>
      </c>
      <c r="G73" s="808">
        <f>+MST!D28</f>
        <v>13495.9</v>
      </c>
      <c r="H73" s="808">
        <f>+MST!E28</f>
        <v>3334.27</v>
      </c>
      <c r="I73" s="808">
        <f>+MST!F28</f>
        <v>2918.4</v>
      </c>
      <c r="J73" s="808">
        <f>+MST!V28</f>
        <v>13989.12</v>
      </c>
      <c r="K73" s="808">
        <f>+MST!W28</f>
        <v>-3426.36</v>
      </c>
      <c r="L73" s="808">
        <f>MST!AD28</f>
        <v>3490.86</v>
      </c>
      <c r="M73" s="809">
        <f>MST!AE28</f>
        <v>-702.42</v>
      </c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</row>
    <row r="74" spans="4:46" ht="15" customHeight="1">
      <c r="D74" s="807" t="str">
        <f>+input!B28</f>
        <v>113j</v>
      </c>
      <c r="E74" s="808">
        <f>+MST!B29</f>
        <v>5180.59</v>
      </c>
      <c r="F74" s="808">
        <f>+MST!C29</f>
        <v>45.2</v>
      </c>
      <c r="G74" s="808">
        <f>+MST!D29</f>
        <v>8519.91</v>
      </c>
      <c r="H74" s="808">
        <f>+MST!E29</f>
        <v>2151.7600000000002</v>
      </c>
      <c r="I74" s="808">
        <f>+MST!F29</f>
        <v>1889.88</v>
      </c>
      <c r="J74" s="808">
        <f>+MST!V29</f>
        <v>10897.17</v>
      </c>
      <c r="K74" s="808">
        <f>+MST!W29</f>
        <v>-3757.43</v>
      </c>
      <c r="L74" s="808">
        <f>MST!AD29</f>
        <v>3091.93</v>
      </c>
      <c r="M74" s="809">
        <f>MST!AE29</f>
        <v>-785.01</v>
      </c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</row>
    <row r="75" spans="4:46" ht="15" customHeight="1">
      <c r="D75" s="807" t="str">
        <f>+input!B29</f>
        <v>114i</v>
      </c>
      <c r="E75" s="808">
        <f>+MST!B30</f>
        <v>5180.6099999999997</v>
      </c>
      <c r="F75" s="808">
        <f>+MST!C30</f>
        <v>45.2</v>
      </c>
      <c r="G75" s="808">
        <f>+MST!D30</f>
        <v>8519.93</v>
      </c>
      <c r="H75" s="808">
        <f>+MST!E30</f>
        <v>2151.7800000000002</v>
      </c>
      <c r="I75" s="808">
        <f>+MST!F30</f>
        <v>1889.87</v>
      </c>
      <c r="J75" s="808">
        <f>+MST!V30</f>
        <v>10897.17</v>
      </c>
      <c r="K75" s="808">
        <f>+MST!W30</f>
        <v>-3757.43</v>
      </c>
      <c r="L75" s="808">
        <f>MST!AD30</f>
        <v>3091.92</v>
      </c>
      <c r="M75" s="809">
        <f>MST!AE30</f>
        <v>-785</v>
      </c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</row>
    <row r="76" spans="4:46" ht="15" customHeight="1">
      <c r="D76" s="807" t="str">
        <f>+input!B30</f>
        <v>114j</v>
      </c>
      <c r="E76" s="808">
        <f>+MST!B31</f>
        <v>2232.41</v>
      </c>
      <c r="F76" s="808">
        <f>+MST!C31</f>
        <v>49.17</v>
      </c>
      <c r="G76" s="808">
        <f>+MST!D31</f>
        <v>2649.12</v>
      </c>
      <c r="H76" s="808">
        <f>+MST!E31</f>
        <v>767.98</v>
      </c>
      <c r="I76" s="808">
        <f>+MST!F31</f>
        <v>668.33</v>
      </c>
      <c r="J76" s="808">
        <f>+MST!V31</f>
        <v>7461.16</v>
      </c>
      <c r="K76" s="808">
        <f>+MST!W31</f>
        <v>-4121.78</v>
      </c>
      <c r="L76" s="808">
        <f>MST!AD31</f>
        <v>2395.6799999999998</v>
      </c>
      <c r="M76" s="809">
        <f>MST!AE31</f>
        <v>-898.1</v>
      </c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43"/>
    </row>
    <row r="77" spans="4:46" ht="15" customHeight="1">
      <c r="D77" s="807" t="str">
        <f>+input!B31</f>
        <v>115i</v>
      </c>
      <c r="E77" s="808">
        <f>+MST!B32</f>
        <v>2232.38</v>
      </c>
      <c r="F77" s="808">
        <f>+MST!C32</f>
        <v>49.17</v>
      </c>
      <c r="G77" s="808">
        <f>+MST!D32</f>
        <v>2649.07</v>
      </c>
      <c r="H77" s="808">
        <f>+MST!E32</f>
        <v>767.99</v>
      </c>
      <c r="I77" s="808">
        <f>+MST!F32</f>
        <v>668.33</v>
      </c>
      <c r="J77" s="808">
        <f>+MST!V32</f>
        <v>7461.16</v>
      </c>
      <c r="K77" s="808">
        <f>+MST!W32</f>
        <v>-4121.78</v>
      </c>
      <c r="L77" s="808">
        <f>MST!AD32</f>
        <v>2395.6799999999998</v>
      </c>
      <c r="M77" s="809">
        <f>MST!AE32</f>
        <v>-898.09</v>
      </c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</row>
    <row r="78" spans="4:46" ht="15" customHeight="1">
      <c r="D78" s="807" t="str">
        <f>+input!B32</f>
        <v>115j</v>
      </c>
      <c r="E78" s="808">
        <f>+MST!B33</f>
        <v>-1220.5899999999999</v>
      </c>
      <c r="F78" s="808">
        <f>+MST!C33</f>
        <v>53.15</v>
      </c>
      <c r="G78" s="808">
        <f>+MST!D33</f>
        <v>-4521.53</v>
      </c>
      <c r="H78" s="808">
        <f>+MST!E33</f>
        <v>-936.79</v>
      </c>
      <c r="I78" s="808">
        <f>+MST!F33</f>
        <v>-818.91</v>
      </c>
      <c r="J78" s="808">
        <f>+MST!V33</f>
        <v>4169.05</v>
      </c>
      <c r="K78" s="808">
        <f>+MST!W33</f>
        <v>-5438.6</v>
      </c>
      <c r="L78" s="808">
        <f>MST!AD33</f>
        <v>1862.68</v>
      </c>
      <c r="M78" s="809">
        <f>MST!AE33</f>
        <v>-1116.4100000000001</v>
      </c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3"/>
      <c r="AT78" s="143"/>
    </row>
    <row r="79" spans="4:46" ht="15" customHeight="1">
      <c r="D79" s="807" t="str">
        <f>+input!B33</f>
        <v>116i</v>
      </c>
      <c r="E79" s="808">
        <f>+MST!B34</f>
        <v>-1220.5899999999999</v>
      </c>
      <c r="F79" s="808">
        <f>+MST!C34</f>
        <v>53.15</v>
      </c>
      <c r="G79" s="808">
        <f>+MST!D34</f>
        <v>-4521.54</v>
      </c>
      <c r="H79" s="808">
        <f>+MST!E34</f>
        <v>-936.79</v>
      </c>
      <c r="I79" s="808">
        <f>+MST!F34</f>
        <v>-818.91</v>
      </c>
      <c r="J79" s="808">
        <f>+MST!V34</f>
        <v>4169.05</v>
      </c>
      <c r="K79" s="808">
        <f>+MST!W34</f>
        <v>-5438.6</v>
      </c>
      <c r="L79" s="808">
        <f>MST!AD34</f>
        <v>1862.68</v>
      </c>
      <c r="M79" s="809">
        <f>MST!AE34</f>
        <v>-1116.4100000000001</v>
      </c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</row>
    <row r="80" spans="4:46" ht="15" customHeight="1">
      <c r="D80" s="807" t="str">
        <f>+input!B34</f>
        <v>116j</v>
      </c>
      <c r="E80" s="808">
        <f>+MST!B35</f>
        <v>-5066.55</v>
      </c>
      <c r="F80" s="808">
        <f>+MST!C35</f>
        <v>57.12</v>
      </c>
      <c r="G80" s="808">
        <f>+MST!D35</f>
        <v>-12587.19</v>
      </c>
      <c r="H80" s="808">
        <f>+MST!E35</f>
        <v>-2842.86</v>
      </c>
      <c r="I80" s="808">
        <f>+MST!F35</f>
        <v>-2499.17</v>
      </c>
      <c r="J80" s="808">
        <f>+MST!V35</f>
        <v>2079.2399999999998</v>
      </c>
      <c r="K80" s="808">
        <f>+MST!W35</f>
        <v>-8137.54</v>
      </c>
      <c r="L80" s="808">
        <f>MST!AD35</f>
        <v>1147.17</v>
      </c>
      <c r="M80" s="809">
        <f>MST!AE35</f>
        <v>-1334.73</v>
      </c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3"/>
      <c r="AT80" s="143"/>
    </row>
    <row r="81" spans="4:46" ht="15" customHeight="1">
      <c r="D81" s="807" t="str">
        <f>+input!B35</f>
        <v>117i</v>
      </c>
      <c r="E81" s="808">
        <f>+MST!B36</f>
        <v>-5066.54</v>
      </c>
      <c r="F81" s="808">
        <f>+MST!C36</f>
        <v>57.12</v>
      </c>
      <c r="G81" s="808">
        <f>+MST!D36</f>
        <v>-12587.16</v>
      </c>
      <c r="H81" s="808">
        <f>+MST!E36</f>
        <v>-2842.86</v>
      </c>
      <c r="I81" s="808">
        <f>+MST!F36</f>
        <v>-2499.16</v>
      </c>
      <c r="J81" s="808">
        <f>+MST!V36</f>
        <v>2079.2399999999998</v>
      </c>
      <c r="K81" s="808">
        <f>+MST!W36</f>
        <v>-8137.55</v>
      </c>
      <c r="L81" s="808">
        <f>MST!AD36</f>
        <v>1147.17</v>
      </c>
      <c r="M81" s="809">
        <f>MST!AE36</f>
        <v>-1334.74</v>
      </c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3"/>
      <c r="AT81" s="143"/>
    </row>
    <row r="82" spans="4:46" ht="15" customHeight="1">
      <c r="D82" s="807" t="str">
        <f>+input!B36</f>
        <v>117j</v>
      </c>
      <c r="E82" s="808">
        <f>+MST!B37</f>
        <v>-9508.75</v>
      </c>
      <c r="F82" s="808">
        <f>+MST!C37</f>
        <v>-122.96</v>
      </c>
      <c r="G82" s="808">
        <f>+MST!D37</f>
        <v>-22022.67</v>
      </c>
      <c r="H82" s="808">
        <f>+MST!E37</f>
        <v>-5077.75</v>
      </c>
      <c r="I82" s="808">
        <f>+MST!F37</f>
        <v>-4450.6499999999996</v>
      </c>
      <c r="J82" s="808">
        <f>+MST!V37</f>
        <v>646.76</v>
      </c>
      <c r="K82" s="808">
        <f>+MST!W37</f>
        <v>-13419.43</v>
      </c>
      <c r="L82" s="808">
        <f>MST!AD37</f>
        <v>427.55</v>
      </c>
      <c r="M82" s="809">
        <f>MST!AE37</f>
        <v>-2319.87</v>
      </c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3"/>
      <c r="AT82" s="143"/>
    </row>
    <row r="83" spans="4:46" ht="15" customHeight="1">
      <c r="D83" s="807" t="str">
        <f>+input!B37</f>
        <v>118i</v>
      </c>
      <c r="E83" s="808">
        <f>+MST!B38</f>
        <v>-9508.7199999999993</v>
      </c>
      <c r="F83" s="808">
        <f>+MST!C38</f>
        <v>-122.96</v>
      </c>
      <c r="G83" s="808">
        <f>+MST!D38</f>
        <v>-22022.61</v>
      </c>
      <c r="H83" s="808">
        <f>+MST!E38</f>
        <v>-5077.78</v>
      </c>
      <c r="I83" s="808">
        <f>+MST!F38</f>
        <v>-4450.66</v>
      </c>
      <c r="J83" s="808">
        <f>+MST!V38</f>
        <v>646.76</v>
      </c>
      <c r="K83" s="808">
        <f>+MST!W38</f>
        <v>-13419.43</v>
      </c>
      <c r="L83" s="808">
        <f>MST!AD38</f>
        <v>427.55</v>
      </c>
      <c r="M83" s="809">
        <f>MST!AE38</f>
        <v>-2319.88</v>
      </c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J83" s="143"/>
      <c r="AK83" s="143"/>
      <c r="AL83" s="143"/>
      <c r="AM83" s="143"/>
      <c r="AN83" s="143"/>
      <c r="AO83" s="143"/>
      <c r="AP83" s="143"/>
      <c r="AQ83" s="143"/>
      <c r="AR83" s="143"/>
      <c r="AS83" s="143"/>
      <c r="AT83" s="143"/>
    </row>
    <row r="84" spans="4:46" ht="15" customHeight="1">
      <c r="D84" s="807" t="str">
        <f>+input!B38</f>
        <v>118j</v>
      </c>
      <c r="E84" s="808">
        <f>+MST!B39</f>
        <v>-12983.05</v>
      </c>
      <c r="F84" s="808">
        <f>+MST!C39</f>
        <v>-522.67999999999995</v>
      </c>
      <c r="G84" s="808">
        <f>+MST!D39</f>
        <v>-29159.98</v>
      </c>
      <c r="H84" s="808">
        <f>+MST!E39</f>
        <v>-6761.92</v>
      </c>
      <c r="I84" s="808">
        <f>+MST!F39</f>
        <v>-5931.48</v>
      </c>
      <c r="J84" s="808">
        <f>+MST!V39</f>
        <v>186.16</v>
      </c>
      <c r="K84" s="808">
        <f>+MST!W39</f>
        <v>-17772.48</v>
      </c>
      <c r="L84" s="808">
        <f>MST!AD39</f>
        <v>60.71</v>
      </c>
      <c r="M84" s="809">
        <f>MST!AE39</f>
        <v>-3130.61</v>
      </c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J84" s="143"/>
      <c r="AK84" s="143"/>
      <c r="AL84" s="143"/>
      <c r="AM84" s="143"/>
      <c r="AN84" s="143"/>
      <c r="AO84" s="143"/>
      <c r="AP84" s="143"/>
      <c r="AQ84" s="143"/>
      <c r="AR84" s="143"/>
      <c r="AS84" s="143"/>
      <c r="AT84" s="143"/>
    </row>
    <row r="85" spans="4:46" ht="15" customHeight="1">
      <c r="D85" s="807" t="str">
        <f>+input!B39</f>
        <v>119i</v>
      </c>
      <c r="E85" s="808">
        <f>+MST!B40</f>
        <v>-12983.01</v>
      </c>
      <c r="F85" s="808">
        <f>+MST!C40</f>
        <v>-522.67999999999995</v>
      </c>
      <c r="G85" s="808">
        <f>+MST!D40</f>
        <v>-29160.05</v>
      </c>
      <c r="H85" s="808">
        <f>+MST!E40</f>
        <v>-6761.96</v>
      </c>
      <c r="I85" s="808">
        <f>+MST!F40</f>
        <v>-5931.51</v>
      </c>
      <c r="J85" s="808">
        <f>+MST!V40</f>
        <v>186.16</v>
      </c>
      <c r="K85" s="808">
        <f>+MST!W40</f>
        <v>-17772.48</v>
      </c>
      <c r="L85" s="808">
        <f>MST!AD40</f>
        <v>60.71</v>
      </c>
      <c r="M85" s="809">
        <f>MST!AE40</f>
        <v>-3130.64</v>
      </c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J85" s="143"/>
      <c r="AK85" s="143"/>
      <c r="AL85" s="143"/>
      <c r="AM85" s="143"/>
      <c r="AN85" s="143"/>
      <c r="AO85" s="143"/>
      <c r="AP85" s="143"/>
      <c r="AQ85" s="143"/>
      <c r="AR85" s="143"/>
      <c r="AS85" s="143"/>
      <c r="AT85" s="143"/>
    </row>
    <row r="86" spans="4:46" ht="15" customHeight="1">
      <c r="D86" s="807" t="str">
        <f>+input!B40</f>
        <v>119j</v>
      </c>
      <c r="E86" s="808">
        <f>+MST!B41</f>
        <v>-14583.37</v>
      </c>
      <c r="F86" s="808">
        <f>+MST!C41</f>
        <v>-782.53</v>
      </c>
      <c r="G86" s="808">
        <f>+MST!D41</f>
        <v>-32352.95</v>
      </c>
      <c r="H86" s="808">
        <f>+MST!E41</f>
        <v>-7513.9</v>
      </c>
      <c r="I86" s="808">
        <f>+MST!F41</f>
        <v>-6595.1</v>
      </c>
      <c r="J86" s="808">
        <f>+MST!V41</f>
        <v>96.52</v>
      </c>
      <c r="K86" s="808">
        <f>+MST!W41</f>
        <v>-19772.95</v>
      </c>
      <c r="L86" s="808">
        <f>MST!AD41</f>
        <v>105.24</v>
      </c>
      <c r="M86" s="809">
        <f>MST!AE41</f>
        <v>-3506.61</v>
      </c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J86" s="143"/>
      <c r="AK86" s="143"/>
      <c r="AL86" s="143"/>
      <c r="AM86" s="143"/>
      <c r="AN86" s="143"/>
      <c r="AO86" s="143"/>
      <c r="AP86" s="143"/>
      <c r="AQ86" s="143"/>
      <c r="AR86" s="143"/>
      <c r="AS86" s="143"/>
      <c r="AT86" s="143"/>
    </row>
    <row r="87" spans="4:46" ht="15" customHeight="1">
      <c r="D87" s="807" t="str">
        <f>+input!B41</f>
        <v>120i</v>
      </c>
      <c r="E87" s="808">
        <f>+MST!B42</f>
        <v>-14583.37</v>
      </c>
      <c r="F87" s="808">
        <f>+MST!C42</f>
        <v>-782.53</v>
      </c>
      <c r="G87" s="808">
        <f>+MST!D42</f>
        <v>-32352.99</v>
      </c>
      <c r="H87" s="808">
        <f>+MST!E42</f>
        <v>-7514.01</v>
      </c>
      <c r="I87" s="808">
        <f>+MST!F42</f>
        <v>-6595.07</v>
      </c>
      <c r="J87" s="808">
        <f>+MST!V42</f>
        <v>102.46</v>
      </c>
      <c r="K87" s="808">
        <f>+MST!W42</f>
        <v>-19771.39</v>
      </c>
      <c r="L87" s="808">
        <f>MST!AD42</f>
        <v>109.46</v>
      </c>
      <c r="M87" s="809">
        <f>MST!AE42</f>
        <v>-3500.21</v>
      </c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J87" s="143"/>
      <c r="AK87" s="143"/>
      <c r="AL87" s="143"/>
      <c r="AM87" s="143"/>
      <c r="AN87" s="143"/>
      <c r="AO87" s="143"/>
      <c r="AP87" s="143"/>
      <c r="AQ87" s="143"/>
      <c r="AR87" s="143"/>
      <c r="AS87" s="143"/>
      <c r="AT87" s="143"/>
    </row>
    <row r="88" spans="4:46" ht="15" customHeight="1">
      <c r="D88" s="807" t="str">
        <f>+input!B42</f>
        <v>120j</v>
      </c>
      <c r="E88" s="808">
        <f>+MST!B43</f>
        <v>-13389</v>
      </c>
      <c r="F88" s="808">
        <f>+MST!C43</f>
        <v>-524.54</v>
      </c>
      <c r="G88" s="808">
        <f>+MST!D43</f>
        <v>-29828.04</v>
      </c>
      <c r="H88" s="808">
        <f>+MST!E43</f>
        <v>-6923.42</v>
      </c>
      <c r="I88" s="808">
        <f>+MST!F43</f>
        <v>-6073.09</v>
      </c>
      <c r="J88" s="808">
        <f>+MST!V43</f>
        <v>335.08</v>
      </c>
      <c r="K88" s="808">
        <f>+MST!W43</f>
        <v>-18524.96</v>
      </c>
      <c r="L88" s="808">
        <f>MST!AD43</f>
        <v>162.72</v>
      </c>
      <c r="M88" s="809">
        <f>MST!AE43</f>
        <v>-3328.53</v>
      </c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J88" s="143"/>
      <c r="AK88" s="143"/>
      <c r="AL88" s="143"/>
      <c r="AM88" s="143"/>
      <c r="AN88" s="143"/>
      <c r="AO88" s="143"/>
      <c r="AP88" s="143"/>
      <c r="AQ88" s="143"/>
      <c r="AR88" s="143"/>
      <c r="AS88" s="143"/>
      <c r="AT88" s="143"/>
    </row>
    <row r="89" spans="4:46" ht="15" customHeight="1">
      <c r="D89" s="807" t="str">
        <f>+input!B43</f>
        <v>121i</v>
      </c>
      <c r="E89" s="808">
        <f>+MST!B44</f>
        <v>-13389.03</v>
      </c>
      <c r="F89" s="808">
        <f>+MST!C44</f>
        <v>-524.54</v>
      </c>
      <c r="G89" s="808">
        <f>+MST!D44</f>
        <v>-29827.91</v>
      </c>
      <c r="H89" s="808">
        <f>+MST!E44</f>
        <v>-6923.43</v>
      </c>
      <c r="I89" s="808">
        <f>+MST!F44</f>
        <v>-6073.06</v>
      </c>
      <c r="J89" s="808">
        <f>+MST!V44</f>
        <v>335.08</v>
      </c>
      <c r="K89" s="808">
        <f>+MST!W44</f>
        <v>-18524.96</v>
      </c>
      <c r="L89" s="808">
        <f>MST!AD44</f>
        <v>162.72</v>
      </c>
      <c r="M89" s="809">
        <f>MST!AE44</f>
        <v>-3328.53</v>
      </c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J89" s="143"/>
      <c r="AK89" s="143"/>
      <c r="AL89" s="143"/>
      <c r="AM89" s="143"/>
      <c r="AN89" s="143"/>
      <c r="AO89" s="143"/>
      <c r="AP89" s="143"/>
      <c r="AQ89" s="143"/>
      <c r="AR89" s="143"/>
      <c r="AS89" s="143"/>
      <c r="AT89" s="143"/>
    </row>
    <row r="90" spans="4:46" ht="15" customHeight="1">
      <c r="D90" s="807" t="str">
        <f>+input!B44</f>
        <v>121j</v>
      </c>
      <c r="E90" s="808">
        <f>+MST!B45</f>
        <v>-10862.18</v>
      </c>
      <c r="F90" s="808">
        <f>+MST!C45</f>
        <v>-128.22999999999999</v>
      </c>
      <c r="G90" s="808">
        <f>+MST!D45</f>
        <v>-24249.52</v>
      </c>
      <c r="H90" s="808">
        <f>+MST!E45</f>
        <v>-5615.86</v>
      </c>
      <c r="I90" s="808">
        <f>+MST!F45</f>
        <v>-4922.5200000000004</v>
      </c>
      <c r="J90" s="808">
        <f>+MST!V45</f>
        <v>1418.58</v>
      </c>
      <c r="K90" s="808">
        <f>+MST!W45</f>
        <v>-16035.12</v>
      </c>
      <c r="L90" s="808">
        <f>MST!AD45</f>
        <v>699.62</v>
      </c>
      <c r="M90" s="809">
        <f>MST!AE45</f>
        <v>-2927.92</v>
      </c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J90" s="143"/>
      <c r="AK90" s="143"/>
      <c r="AL90" s="143"/>
      <c r="AM90" s="143"/>
      <c r="AN90" s="143"/>
      <c r="AO90" s="143"/>
      <c r="AP90" s="143"/>
      <c r="AQ90" s="143"/>
      <c r="AR90" s="143"/>
      <c r="AS90" s="143"/>
      <c r="AT90" s="143"/>
    </row>
    <row r="91" spans="4:46" ht="15" customHeight="1">
      <c r="D91" s="807" t="str">
        <f>+input!B45</f>
        <v>122i</v>
      </c>
      <c r="E91" s="808">
        <f>+MST!B46</f>
        <v>-10862.16</v>
      </c>
      <c r="F91" s="808">
        <f>+MST!C46</f>
        <v>-128.22999999999999</v>
      </c>
      <c r="G91" s="808">
        <f>+MST!D46</f>
        <v>-24249.43</v>
      </c>
      <c r="H91" s="808">
        <f>+MST!E46</f>
        <v>-5615.86</v>
      </c>
      <c r="I91" s="808">
        <f>+MST!F46</f>
        <v>-4922.5200000000004</v>
      </c>
      <c r="J91" s="808">
        <f>+MST!V46</f>
        <v>1418.58</v>
      </c>
      <c r="K91" s="808">
        <f>+MST!W46</f>
        <v>-16035.12</v>
      </c>
      <c r="L91" s="808">
        <f>MST!AD46</f>
        <v>699.62</v>
      </c>
      <c r="M91" s="809">
        <f>MST!AE46</f>
        <v>-2927.92</v>
      </c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J91" s="143"/>
      <c r="AK91" s="143"/>
      <c r="AL91" s="143"/>
      <c r="AM91" s="143"/>
      <c r="AN91" s="143"/>
      <c r="AO91" s="143"/>
      <c r="AP91" s="143"/>
      <c r="AQ91" s="143"/>
      <c r="AR91" s="143"/>
      <c r="AS91" s="143"/>
      <c r="AT91" s="143"/>
    </row>
    <row r="92" spans="4:46" ht="15" customHeight="1">
      <c r="D92" s="807" t="str">
        <f>+input!B46</f>
        <v>122j</v>
      </c>
      <c r="E92" s="808">
        <f>+MST!B47</f>
        <v>-7787.66</v>
      </c>
      <c r="F92" s="808">
        <f>+MST!C47</f>
        <v>49.59</v>
      </c>
      <c r="G92" s="808">
        <f>+MST!D47</f>
        <v>-17040.900000000001</v>
      </c>
      <c r="H92" s="808">
        <f>+MST!E47</f>
        <v>-3918.95</v>
      </c>
      <c r="I92" s="808">
        <f>+MST!F47</f>
        <v>-3442.96</v>
      </c>
      <c r="J92" s="808">
        <f>+MST!V47</f>
        <v>4031.51</v>
      </c>
      <c r="K92" s="808">
        <f>+MST!W47</f>
        <v>-13409.34</v>
      </c>
      <c r="L92" s="808">
        <f>MST!AD47</f>
        <v>1551.12</v>
      </c>
      <c r="M92" s="809">
        <f>MST!AE47</f>
        <v>-2357.67</v>
      </c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J92" s="143"/>
      <c r="AK92" s="143"/>
      <c r="AL92" s="143"/>
      <c r="AM92" s="143"/>
      <c r="AN92" s="143"/>
      <c r="AO92" s="143"/>
      <c r="AP92" s="143"/>
      <c r="AQ92" s="143"/>
      <c r="AR92" s="143"/>
      <c r="AS92" s="143"/>
      <c r="AT92" s="143"/>
    </row>
    <row r="93" spans="4:46" ht="15" customHeight="1">
      <c r="D93" s="807" t="str">
        <f>+input!B47</f>
        <v>123i</v>
      </c>
      <c r="E93" s="808">
        <f>+MST!B48</f>
        <v>-7787.66</v>
      </c>
      <c r="F93" s="808">
        <f>+MST!C48</f>
        <v>49.59</v>
      </c>
      <c r="G93" s="808">
        <f>+MST!D48</f>
        <v>-17040.91</v>
      </c>
      <c r="H93" s="808">
        <f>+MST!E48</f>
        <v>-3918.95</v>
      </c>
      <c r="I93" s="808">
        <f>+MST!F48</f>
        <v>-3442.95</v>
      </c>
      <c r="J93" s="808">
        <f>+MST!V48</f>
        <v>4031.51</v>
      </c>
      <c r="K93" s="808">
        <f>+MST!W48</f>
        <v>-13409.34</v>
      </c>
      <c r="L93" s="808">
        <f>MST!AD48</f>
        <v>1551.12</v>
      </c>
      <c r="M93" s="809">
        <f>MST!AE48</f>
        <v>-2357.67</v>
      </c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  <c r="AT93" s="143"/>
    </row>
    <row r="94" spans="4:46" ht="15" customHeight="1">
      <c r="D94" s="807" t="str">
        <f>+input!B48</f>
        <v>123j</v>
      </c>
      <c r="E94" s="808">
        <f>+MST!B49</f>
        <v>-5346.41</v>
      </c>
      <c r="F94" s="808">
        <f>+MST!C49</f>
        <v>43.3</v>
      </c>
      <c r="G94" s="808">
        <f>+MST!D49</f>
        <v>-11167.3</v>
      </c>
      <c r="H94" s="808">
        <f>+MST!E49</f>
        <v>-2548.35</v>
      </c>
      <c r="I94" s="808">
        <f>+MST!F49</f>
        <v>-2232.4699999999998</v>
      </c>
      <c r="J94" s="808">
        <f>+MST!V49</f>
        <v>6352.81</v>
      </c>
      <c r="K94" s="808">
        <f>+MST!W49</f>
        <v>-11535.72</v>
      </c>
      <c r="L94" s="808">
        <f>MST!AD49</f>
        <v>2269.4</v>
      </c>
      <c r="M94" s="809">
        <f>MST!AE49</f>
        <v>-1954.13</v>
      </c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</row>
    <row r="95" spans="4:46" ht="15" customHeight="1">
      <c r="D95" s="807" t="str">
        <f>+input!B49</f>
        <v>124i</v>
      </c>
      <c r="E95" s="808">
        <f>+MST!B50</f>
        <v>-5346.41</v>
      </c>
      <c r="F95" s="808">
        <f>+MST!C50</f>
        <v>43.3</v>
      </c>
      <c r="G95" s="808">
        <f>+MST!D50</f>
        <v>-11167.32</v>
      </c>
      <c r="H95" s="808">
        <f>+MST!E50</f>
        <v>-2548.35</v>
      </c>
      <c r="I95" s="808">
        <f>+MST!F50</f>
        <v>-2232.48</v>
      </c>
      <c r="J95" s="808">
        <f>+MST!V50</f>
        <v>6352.81</v>
      </c>
      <c r="K95" s="808">
        <f>+MST!W50</f>
        <v>-11535.72</v>
      </c>
      <c r="L95" s="808">
        <f>MST!AD50</f>
        <v>2269.4</v>
      </c>
      <c r="M95" s="809">
        <f>MST!AE50</f>
        <v>-1954.13</v>
      </c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  <c r="AT95" s="143"/>
    </row>
    <row r="96" spans="4:46" ht="15" customHeight="1">
      <c r="D96" s="807" t="str">
        <f>+input!B50</f>
        <v>124j</v>
      </c>
      <c r="E96" s="808">
        <f>+MST!B51</f>
        <v>-3359.75</v>
      </c>
      <c r="F96" s="808">
        <f>+MST!C51</f>
        <v>37.01</v>
      </c>
      <c r="G96" s="808">
        <f>+MST!D51</f>
        <v>-6188.78</v>
      </c>
      <c r="H96" s="808">
        <f>+MST!E51</f>
        <v>-1378.99</v>
      </c>
      <c r="I96" s="808">
        <f>+MST!F51</f>
        <v>-1214.99</v>
      </c>
      <c r="J96" s="808">
        <f>+MST!V51</f>
        <v>8258.86</v>
      </c>
      <c r="K96" s="808">
        <f>+MST!W51</f>
        <v>-9806.02</v>
      </c>
      <c r="L96" s="808">
        <f>MST!AD51</f>
        <v>2613.7600000000002</v>
      </c>
      <c r="M96" s="809">
        <f>MST!AE51</f>
        <v>-1557.93</v>
      </c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</row>
    <row r="97" spans="4:46" ht="15" customHeight="1">
      <c r="D97" s="948" t="str">
        <f>+input!B51</f>
        <v>125i</v>
      </c>
      <c r="E97" s="949">
        <f>+MST!B52</f>
        <v>-3359.75</v>
      </c>
      <c r="F97" s="949">
        <f>+MST!C52</f>
        <v>37.01</v>
      </c>
      <c r="G97" s="949">
        <f>+MST!D52</f>
        <v>-6188.76</v>
      </c>
      <c r="H97" s="949">
        <f>+MST!E52</f>
        <v>-1378.99</v>
      </c>
      <c r="I97" s="949">
        <f>+MST!F52</f>
        <v>-1214.99</v>
      </c>
      <c r="J97" s="949">
        <f>+MST!V52</f>
        <v>8258.86</v>
      </c>
      <c r="K97" s="949">
        <f>+MST!W52</f>
        <v>-9806.02</v>
      </c>
      <c r="L97" s="949">
        <f>MST!AD52</f>
        <v>2613.7600000000002</v>
      </c>
      <c r="M97" s="950">
        <f>MST!AE52</f>
        <v>-1557.93</v>
      </c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/>
      <c r="AT97" s="143"/>
    </row>
    <row r="98" spans="4:46" ht="15" customHeight="1">
      <c r="D98" s="812" t="str">
        <f>+input!B52</f>
        <v>125j</v>
      </c>
      <c r="E98" s="946">
        <f>+MST!B53</f>
        <v>-1865.98</v>
      </c>
      <c r="F98" s="946">
        <f>+MST!C53</f>
        <v>30.67</v>
      </c>
      <c r="G98" s="946">
        <f>+MST!D53</f>
        <v>-2546.4899999999998</v>
      </c>
      <c r="H98" s="946">
        <f>+MST!E53</f>
        <v>-534.80999999999995</v>
      </c>
      <c r="I98" s="946">
        <f>+MST!F53</f>
        <v>-466.31</v>
      </c>
      <c r="J98" s="946">
        <f>+MST!V53</f>
        <v>9072.0499999999993</v>
      </c>
      <c r="K98" s="946">
        <f>+MST!W53</f>
        <v>-8125.96</v>
      </c>
      <c r="L98" s="946">
        <f>MST!AD53</f>
        <v>2980.58</v>
      </c>
      <c r="M98" s="947">
        <f>MST!AE53</f>
        <v>-1265.9100000000001</v>
      </c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  <c r="AT98" s="143"/>
    </row>
    <row r="99" spans="4:46" ht="15" customHeight="1">
      <c r="D99" s="807" t="str">
        <f>+input!B53</f>
        <v>126i</v>
      </c>
      <c r="E99" s="808">
        <f>+MST!B54</f>
        <v>-1865.98</v>
      </c>
      <c r="F99" s="808">
        <f>+MST!C54</f>
        <v>30.67</v>
      </c>
      <c r="G99" s="808">
        <f>+MST!D54</f>
        <v>-2546.4899999999998</v>
      </c>
      <c r="H99" s="808">
        <f>+MST!E54</f>
        <v>-534.80999999999995</v>
      </c>
      <c r="I99" s="808">
        <f>+MST!F54</f>
        <v>-466.31</v>
      </c>
      <c r="J99" s="808">
        <f>+MST!V54</f>
        <v>9072.0499999999993</v>
      </c>
      <c r="K99" s="808">
        <f>+MST!W54</f>
        <v>-8125.96</v>
      </c>
      <c r="L99" s="808">
        <f>MST!AD54</f>
        <v>2980.59</v>
      </c>
      <c r="M99" s="809">
        <f>MST!AE54</f>
        <v>-1265.9100000000001</v>
      </c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  <c r="AT99" s="143"/>
    </row>
    <row r="100" spans="4:46" ht="15" customHeight="1">
      <c r="D100" s="807" t="str">
        <f>+input!B54</f>
        <v>126j</v>
      </c>
      <c r="E100" s="808">
        <f>+MST!B55</f>
        <v>-735.55</v>
      </c>
      <c r="F100" s="808">
        <f>+MST!C55</f>
        <v>24.33</v>
      </c>
      <c r="G100" s="808">
        <f>+MST!D55</f>
        <v>200.82</v>
      </c>
      <c r="H100" s="808">
        <f>+MST!E55</f>
        <v>108.11</v>
      </c>
      <c r="I100" s="808">
        <f>+MST!F55</f>
        <v>89.38</v>
      </c>
      <c r="J100" s="808">
        <f>+MST!V55</f>
        <v>9290.6299999999992</v>
      </c>
      <c r="K100" s="808">
        <f>+MST!W55</f>
        <v>-6449.89</v>
      </c>
      <c r="L100" s="808">
        <f>MST!AD55</f>
        <v>2894.68</v>
      </c>
      <c r="M100" s="809">
        <f>MST!AE55</f>
        <v>-978.96</v>
      </c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  <c r="AT100" s="143"/>
    </row>
    <row r="101" spans="4:46" ht="15" customHeight="1">
      <c r="D101" s="807" t="str">
        <f>+input!B55</f>
        <v>127i</v>
      </c>
      <c r="E101" s="808">
        <f>+MST!B56</f>
        <v>-735.55</v>
      </c>
      <c r="F101" s="808">
        <f>+MST!C56</f>
        <v>24.33</v>
      </c>
      <c r="G101" s="808">
        <f>+MST!D56</f>
        <v>200.81</v>
      </c>
      <c r="H101" s="808">
        <f>+MST!E56</f>
        <v>108.11</v>
      </c>
      <c r="I101" s="808">
        <f>+MST!F56</f>
        <v>89.38</v>
      </c>
      <c r="J101" s="808">
        <f>+MST!V56</f>
        <v>9290.6200000000008</v>
      </c>
      <c r="K101" s="808">
        <f>+MST!W56</f>
        <v>-6449.89</v>
      </c>
      <c r="L101" s="808">
        <f>MST!AD56</f>
        <v>2894.67</v>
      </c>
      <c r="M101" s="809">
        <f>MST!AE56</f>
        <v>-978.97</v>
      </c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  <c r="AT101" s="143"/>
    </row>
    <row r="102" spans="4:46" ht="15" customHeight="1">
      <c r="D102" s="807" t="str">
        <f>+input!B56</f>
        <v>127j</v>
      </c>
      <c r="E102" s="808">
        <f>+MST!B57</f>
        <v>-40.26</v>
      </c>
      <c r="F102" s="808">
        <f>+MST!C57</f>
        <v>18.05</v>
      </c>
      <c r="G102" s="808">
        <f>+MST!D57</f>
        <v>1668.99</v>
      </c>
      <c r="H102" s="808">
        <f>+MST!E57</f>
        <v>432.01</v>
      </c>
      <c r="I102" s="808">
        <f>+MST!F57</f>
        <v>381.07</v>
      </c>
      <c r="J102" s="808">
        <f>+MST!V57</f>
        <v>8328.8700000000008</v>
      </c>
      <c r="K102" s="808">
        <f>+MST!W57</f>
        <v>-4784.82</v>
      </c>
      <c r="L102" s="808">
        <f>MST!AD57</f>
        <v>2824.52</v>
      </c>
      <c r="M102" s="809">
        <f>MST!AE57</f>
        <v>-727.06</v>
      </c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  <c r="AT102" s="143"/>
    </row>
    <row r="103" spans="4:46" ht="15" customHeight="1">
      <c r="D103" s="807" t="str">
        <f>+input!B57</f>
        <v>128i</v>
      </c>
      <c r="E103" s="808">
        <f>+MST!B58</f>
        <v>-40.26</v>
      </c>
      <c r="F103" s="808">
        <f>+MST!C58</f>
        <v>18.05</v>
      </c>
      <c r="G103" s="808">
        <f>+MST!D58</f>
        <v>1668.99</v>
      </c>
      <c r="H103" s="808">
        <f>+MST!E58</f>
        <v>432.01</v>
      </c>
      <c r="I103" s="808">
        <f>+MST!F58</f>
        <v>381.07</v>
      </c>
      <c r="J103" s="808">
        <f>+MST!V58</f>
        <v>8328.8700000000008</v>
      </c>
      <c r="K103" s="808">
        <f>+MST!W58</f>
        <v>-4784.82</v>
      </c>
      <c r="L103" s="808">
        <f>MST!AD58</f>
        <v>2824.52</v>
      </c>
      <c r="M103" s="809">
        <f>MST!AE58</f>
        <v>-727.06</v>
      </c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  <c r="AT103" s="143"/>
    </row>
    <row r="104" spans="4:46" ht="15" customHeight="1">
      <c r="D104" s="807" t="str">
        <f>+input!B58</f>
        <v>128j</v>
      </c>
      <c r="E104" s="808">
        <f>+MST!B59</f>
        <v>335.14</v>
      </c>
      <c r="F104" s="808">
        <f>+MST!C59</f>
        <v>11.76</v>
      </c>
      <c r="G104" s="808">
        <f>+MST!D59</f>
        <v>2242.16</v>
      </c>
      <c r="H104" s="808">
        <f>+MST!E59</f>
        <v>554.65</v>
      </c>
      <c r="I104" s="808">
        <f>+MST!F59</f>
        <v>479.76</v>
      </c>
      <c r="J104" s="808">
        <f>+MST!V59</f>
        <v>6607.9</v>
      </c>
      <c r="K104" s="808">
        <f>+MST!W59</f>
        <v>-3119.75</v>
      </c>
      <c r="L104" s="808">
        <f>MST!AD59</f>
        <v>2268.25</v>
      </c>
      <c r="M104" s="809">
        <f>MST!AE59</f>
        <v>-475.15</v>
      </c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  <c r="AT104" s="143"/>
    </row>
    <row r="105" spans="4:46" ht="15" customHeight="1">
      <c r="D105" s="807" t="str">
        <f>+input!B59</f>
        <v>129i</v>
      </c>
      <c r="E105" s="808">
        <f>+MST!B60</f>
        <v>335.14</v>
      </c>
      <c r="F105" s="808">
        <f>+MST!C60</f>
        <v>11.76</v>
      </c>
      <c r="G105" s="808">
        <f>+MST!D60</f>
        <v>2242.17</v>
      </c>
      <c r="H105" s="808">
        <f>+MST!E60</f>
        <v>554.65</v>
      </c>
      <c r="I105" s="808">
        <f>+MST!F60</f>
        <v>479.76</v>
      </c>
      <c r="J105" s="808">
        <f>+MST!V60</f>
        <v>6607.9</v>
      </c>
      <c r="K105" s="808">
        <f>+MST!W60</f>
        <v>-3119.75</v>
      </c>
      <c r="L105" s="808">
        <f>MST!AD60</f>
        <v>2268.2600000000002</v>
      </c>
      <c r="M105" s="809">
        <f>MST!AE60</f>
        <v>-475.15</v>
      </c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  <c r="AT105" s="143"/>
    </row>
    <row r="106" spans="4:46" ht="15" customHeight="1">
      <c r="D106" s="807" t="str">
        <f>+input!B60</f>
        <v>129j</v>
      </c>
      <c r="E106" s="808">
        <f>+MST!B61</f>
        <v>220.91</v>
      </c>
      <c r="F106" s="808">
        <f>+MST!C61</f>
        <v>3.64</v>
      </c>
      <c r="G106" s="808">
        <f>+MST!D61</f>
        <v>1089.68</v>
      </c>
      <c r="H106" s="808">
        <f>+MST!E61</f>
        <v>246.35</v>
      </c>
      <c r="I106" s="808">
        <f>+MST!F61</f>
        <v>220.11</v>
      </c>
      <c r="J106" s="808">
        <f>+MST!V61</f>
        <v>2460.86</v>
      </c>
      <c r="K106" s="808">
        <f>+MST!W61</f>
        <v>-967.1</v>
      </c>
      <c r="L106" s="808">
        <f>MST!AD61</f>
        <v>1055.57</v>
      </c>
      <c r="M106" s="809">
        <f>MST!AE61</f>
        <v>-147.06</v>
      </c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  <c r="AT106" s="143"/>
    </row>
    <row r="107" spans="4:46" ht="15" customHeight="1">
      <c r="D107" s="807" t="str">
        <f>+input!B61</f>
        <v>130i</v>
      </c>
      <c r="E107" s="808">
        <f>+MST!B62</f>
        <v>220.92</v>
      </c>
      <c r="F107" s="808">
        <f>+MST!C62</f>
        <v>3.64</v>
      </c>
      <c r="G107" s="808">
        <f>+MST!D62</f>
        <v>1089.68</v>
      </c>
      <c r="H107" s="808">
        <f>+MST!E62</f>
        <v>246.35</v>
      </c>
      <c r="I107" s="808">
        <f>+MST!F62</f>
        <v>220.11</v>
      </c>
      <c r="J107" s="808">
        <f>+MST!V62</f>
        <v>2460.86</v>
      </c>
      <c r="K107" s="808">
        <f>+MST!W62</f>
        <v>-967.1</v>
      </c>
      <c r="L107" s="808">
        <f>MST!AD62</f>
        <v>1055.57</v>
      </c>
      <c r="M107" s="809">
        <f>MST!AE62</f>
        <v>-147.06</v>
      </c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  <c r="AT107" s="143"/>
    </row>
    <row r="108" spans="4:46" ht="15" customHeight="1">
      <c r="D108" s="807" t="str">
        <f>+input!B62</f>
        <v>130j</v>
      </c>
      <c r="E108" s="808">
        <f>+MST!B63</f>
        <v>-1.85</v>
      </c>
      <c r="F108" s="808">
        <f>+MST!C63</f>
        <v>0</v>
      </c>
      <c r="G108" s="808">
        <f>+MST!D63</f>
        <v>-8.83</v>
      </c>
      <c r="H108" s="808">
        <f>+MST!E63</f>
        <v>-1.21</v>
      </c>
      <c r="I108" s="808">
        <f>+MST!F63</f>
        <v>-1.1599999999999999</v>
      </c>
      <c r="J108" s="808">
        <f>+MST!V63</f>
        <v>-2</v>
      </c>
      <c r="K108" s="808">
        <f>+MST!W63</f>
        <v>-143.29</v>
      </c>
      <c r="L108" s="808">
        <f>MST!AD63</f>
        <v>0.05</v>
      </c>
      <c r="M108" s="809">
        <f>MST!AE63</f>
        <v>-104.64</v>
      </c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  <c r="AT108" s="143"/>
    </row>
    <row r="109" spans="4:46" ht="15" customHeight="1">
      <c r="D109" s="807" t="str">
        <f>+input!B63</f>
        <v>131i</v>
      </c>
      <c r="E109" s="808">
        <f>+MST!B64</f>
        <v>-1.86</v>
      </c>
      <c r="F109" s="808">
        <f>+MST!C64</f>
        <v>0</v>
      </c>
      <c r="G109" s="808">
        <f>+MST!D64</f>
        <v>-8.86</v>
      </c>
      <c r="H109" s="808">
        <f>+MST!E64</f>
        <v>-1.22</v>
      </c>
      <c r="I109" s="808">
        <f>+MST!F64</f>
        <v>-1.17</v>
      </c>
      <c r="J109" s="808">
        <f>+MST!V64</f>
        <v>0</v>
      </c>
      <c r="K109" s="808">
        <f>+MST!W64</f>
        <v>-143.27000000000001</v>
      </c>
      <c r="L109" s="808">
        <f>MST!AD64</f>
        <v>0.01</v>
      </c>
      <c r="M109" s="809">
        <f>MST!AE64</f>
        <v>-104.63</v>
      </c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  <c r="AT109" s="143"/>
    </row>
    <row r="110" spans="4:46" ht="15" customHeight="1">
      <c r="D110" s="810" t="str">
        <f>+input!B64</f>
        <v>131j</v>
      </c>
      <c r="E110" s="811">
        <f>+MST!B65</f>
        <v>0</v>
      </c>
      <c r="F110" s="811">
        <f>+MST!C65</f>
        <v>0</v>
      </c>
      <c r="G110" s="811">
        <f>+MST!D65</f>
        <v>0</v>
      </c>
      <c r="H110" s="811">
        <f>+MST!E65</f>
        <v>0</v>
      </c>
      <c r="I110" s="811">
        <f>+MST!F65</f>
        <v>0</v>
      </c>
      <c r="J110" s="811">
        <f>+MST!V65</f>
        <v>0</v>
      </c>
      <c r="K110" s="811">
        <f>+MST!W65</f>
        <v>0</v>
      </c>
      <c r="L110" s="808">
        <f>MST!AD65</f>
        <v>0.01</v>
      </c>
      <c r="M110" s="809">
        <f>MST!AE65</f>
        <v>-0.01</v>
      </c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  <c r="AT110" s="143"/>
    </row>
    <row r="111" spans="4:46" ht="15" customHeight="1">
      <c r="D111" s="807" t="str">
        <f>+input!B65</f>
        <v>201i</v>
      </c>
      <c r="E111" s="808">
        <f>+MST!B66</f>
        <v>-0.03</v>
      </c>
      <c r="F111" s="808">
        <f>+MST!C66</f>
        <v>0</v>
      </c>
      <c r="G111" s="808">
        <f>+MST!D66</f>
        <v>0</v>
      </c>
      <c r="H111" s="808">
        <f>+MST!E66</f>
        <v>0.05</v>
      </c>
      <c r="I111" s="808">
        <f>+MST!F66</f>
        <v>-0.03</v>
      </c>
      <c r="J111" s="808">
        <f>+MST!V66</f>
        <v>0</v>
      </c>
      <c r="K111" s="808">
        <f>+MST!W66</f>
        <v>0</v>
      </c>
      <c r="L111" s="808">
        <f>MST!AD66</f>
        <v>0</v>
      </c>
      <c r="M111" s="809">
        <f>MST!AE66</f>
        <v>0</v>
      </c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  <c r="AT111" s="143"/>
    </row>
    <row r="112" spans="4:46" ht="15" customHeight="1">
      <c r="D112" s="807" t="str">
        <f>+input!B66</f>
        <v>201j</v>
      </c>
      <c r="E112" s="808">
        <f>+MST!B67</f>
        <v>-1.89</v>
      </c>
      <c r="F112" s="808">
        <f>+MST!C67</f>
        <v>0</v>
      </c>
      <c r="G112" s="808">
        <f>+MST!D67</f>
        <v>-8.84</v>
      </c>
      <c r="H112" s="808">
        <f>+MST!E67</f>
        <v>-1.27</v>
      </c>
      <c r="I112" s="808">
        <f>+MST!F67</f>
        <v>-1.1499999999999999</v>
      </c>
      <c r="J112" s="808">
        <f>+MST!V67</f>
        <v>0</v>
      </c>
      <c r="K112" s="808">
        <f>+MST!W67</f>
        <v>-142.16</v>
      </c>
      <c r="L112" s="808">
        <f>MST!AD67</f>
        <v>0</v>
      </c>
      <c r="M112" s="809">
        <f>MST!AE67</f>
        <v>0</v>
      </c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  <c r="AT112" s="143"/>
    </row>
    <row r="113" spans="4:46" ht="15" customHeight="1">
      <c r="D113" s="807" t="str">
        <f>+input!B67</f>
        <v>202i</v>
      </c>
      <c r="E113" s="808">
        <f>+MST!B68</f>
        <v>-1.92</v>
      </c>
      <c r="F113" s="808">
        <f>+MST!C68</f>
        <v>0</v>
      </c>
      <c r="G113" s="808">
        <f>+MST!D68</f>
        <v>-8.81</v>
      </c>
      <c r="H113" s="808">
        <f>+MST!E68</f>
        <v>-1.22</v>
      </c>
      <c r="I113" s="808">
        <f>+MST!F68</f>
        <v>-1.17</v>
      </c>
      <c r="J113" s="808">
        <f>+MST!V68</f>
        <v>0.03</v>
      </c>
      <c r="K113" s="808">
        <f>+MST!W68</f>
        <v>-142.16</v>
      </c>
      <c r="L113" s="808">
        <f>MST!AD68</f>
        <v>0</v>
      </c>
      <c r="M113" s="809">
        <f>MST!AE68</f>
        <v>0</v>
      </c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  <c r="AT113" s="143"/>
    </row>
    <row r="114" spans="4:46" ht="15" customHeight="1">
      <c r="D114" s="807" t="str">
        <f>+input!B68</f>
        <v>202j</v>
      </c>
      <c r="E114" s="808">
        <f>+MST!B69</f>
        <v>1731.43</v>
      </c>
      <c r="F114" s="808">
        <f>+MST!C69</f>
        <v>2.12</v>
      </c>
      <c r="G114" s="808">
        <f>+MST!D69</f>
        <v>3569.1</v>
      </c>
      <c r="H114" s="808">
        <f>+MST!E69</f>
        <v>838.98</v>
      </c>
      <c r="I114" s="808">
        <f>+MST!F69</f>
        <v>737.09</v>
      </c>
      <c r="J114" s="808">
        <f>+MST!V69</f>
        <v>3052.93</v>
      </c>
      <c r="K114" s="808">
        <f>+MST!W69</f>
        <v>-232.67</v>
      </c>
      <c r="L114" s="808">
        <f>MST!AD69</f>
        <v>0</v>
      </c>
      <c r="M114" s="809">
        <f>MST!AE69</f>
        <v>0</v>
      </c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  <c r="AT114" s="143"/>
    </row>
    <row r="115" spans="4:46" ht="15" customHeight="1">
      <c r="D115" s="807" t="str">
        <f>+input!B69</f>
        <v>203i</v>
      </c>
      <c r="E115" s="808">
        <f>+MST!B70</f>
        <v>1731.4</v>
      </c>
      <c r="F115" s="808">
        <f>+MST!C70</f>
        <v>2.12</v>
      </c>
      <c r="G115" s="808">
        <f>+MST!D70</f>
        <v>3569.19</v>
      </c>
      <c r="H115" s="808">
        <f>+MST!E70</f>
        <v>838.97</v>
      </c>
      <c r="I115" s="808">
        <f>+MST!F70</f>
        <v>737.09</v>
      </c>
      <c r="J115" s="808">
        <f>+MST!V70</f>
        <v>3052.93</v>
      </c>
      <c r="K115" s="808">
        <f>+MST!W70</f>
        <v>-232.67</v>
      </c>
      <c r="L115" s="808">
        <f>MST!AD70</f>
        <v>0</v>
      </c>
      <c r="M115" s="809">
        <f>MST!AE70</f>
        <v>0</v>
      </c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  <c r="AT115" s="143"/>
    </row>
    <row r="116" spans="4:46" ht="15" customHeight="1">
      <c r="D116" s="807" t="str">
        <f>+input!B70</f>
        <v>203j</v>
      </c>
      <c r="E116" s="808">
        <f>+MST!B71</f>
        <v>3983.79</v>
      </c>
      <c r="F116" s="808">
        <f>+MST!C71</f>
        <v>5.08</v>
      </c>
      <c r="G116" s="808">
        <f>+MST!D71</f>
        <v>8032.83</v>
      </c>
      <c r="H116" s="808">
        <f>+MST!E71</f>
        <v>1917.51</v>
      </c>
      <c r="I116" s="808">
        <f>+MST!F71</f>
        <v>1677.14</v>
      </c>
      <c r="J116" s="808">
        <f>+MST!V71</f>
        <v>6811.79</v>
      </c>
      <c r="K116" s="808">
        <f>+MST!W71</f>
        <v>-426.67</v>
      </c>
      <c r="L116" s="808">
        <f>MST!AD71</f>
        <v>0</v>
      </c>
      <c r="M116" s="809">
        <f>MST!AE71</f>
        <v>0</v>
      </c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  <c r="AT116" s="143"/>
    </row>
    <row r="117" spans="4:46" ht="15" customHeight="1">
      <c r="D117" s="807" t="str">
        <f>+input!B71</f>
        <v>204i</v>
      </c>
      <c r="E117" s="808">
        <f>+MST!B72</f>
        <v>3983.78</v>
      </c>
      <c r="F117" s="808">
        <f>+MST!C72</f>
        <v>5.08</v>
      </c>
      <c r="G117" s="808">
        <f>+MST!D72</f>
        <v>8032.86</v>
      </c>
      <c r="H117" s="808">
        <f>+MST!E72</f>
        <v>1917.52</v>
      </c>
      <c r="I117" s="808">
        <f>+MST!F72</f>
        <v>1677.15</v>
      </c>
      <c r="J117" s="808">
        <f>+MST!V72</f>
        <v>6811.8</v>
      </c>
      <c r="K117" s="808">
        <f>+MST!W72</f>
        <v>-426.67</v>
      </c>
      <c r="L117" s="808">
        <f>MST!AD72</f>
        <v>0</v>
      </c>
      <c r="M117" s="809">
        <f>MST!AE72</f>
        <v>0</v>
      </c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  <c r="AT117" s="143"/>
    </row>
    <row r="118" spans="4:46" ht="15" customHeight="1">
      <c r="D118" s="807" t="str">
        <f>+input!B72</f>
        <v>204j</v>
      </c>
      <c r="E118" s="808">
        <f>+MST!B73</f>
        <v>6617.28</v>
      </c>
      <c r="F118" s="808">
        <f>+MST!C73</f>
        <v>9.11</v>
      </c>
      <c r="G118" s="808">
        <f>+MST!D73</f>
        <v>12938.83</v>
      </c>
      <c r="H118" s="808">
        <f>+MST!E73</f>
        <v>3093.79</v>
      </c>
      <c r="I118" s="808">
        <f>+MST!F73</f>
        <v>2716.59</v>
      </c>
      <c r="J118" s="808">
        <f>+MST!V73</f>
        <v>10915.33</v>
      </c>
      <c r="K118" s="808">
        <f>+MST!W73</f>
        <v>-759.26</v>
      </c>
      <c r="L118" s="808">
        <f>MST!AD73</f>
        <v>0</v>
      </c>
      <c r="M118" s="809">
        <f>MST!AE73</f>
        <v>0</v>
      </c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  <c r="AT118" s="143"/>
    </row>
    <row r="119" spans="4:46" ht="15" customHeight="1">
      <c r="D119" s="807" t="str">
        <f>+input!B73</f>
        <v>205i</v>
      </c>
      <c r="E119" s="808">
        <f>+MST!B74</f>
        <v>6617.25</v>
      </c>
      <c r="F119" s="808">
        <f>+MST!C74</f>
        <v>9.11</v>
      </c>
      <c r="G119" s="808">
        <f>+MST!D74</f>
        <v>12938.77</v>
      </c>
      <c r="H119" s="808">
        <f>+MST!E74</f>
        <v>3093.79</v>
      </c>
      <c r="I119" s="808">
        <f>+MST!F74</f>
        <v>2716.57</v>
      </c>
      <c r="J119" s="808">
        <f>+MST!V74</f>
        <v>10915.33</v>
      </c>
      <c r="K119" s="808">
        <f>+MST!W74</f>
        <v>-759.26</v>
      </c>
      <c r="L119" s="808">
        <f>MST!AD74</f>
        <v>0</v>
      </c>
      <c r="M119" s="809">
        <f>MST!AE74</f>
        <v>0</v>
      </c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  <c r="AT119" s="143"/>
    </row>
    <row r="120" spans="4:46" ht="15" customHeight="1">
      <c r="D120" s="807" t="str">
        <f>+input!B74</f>
        <v>205j</v>
      </c>
      <c r="E120" s="808">
        <f>+MST!B75</f>
        <v>8810.4699999999993</v>
      </c>
      <c r="F120" s="808">
        <f>+MST!C75</f>
        <v>13.13</v>
      </c>
      <c r="G120" s="808">
        <f>+MST!D75</f>
        <v>16949.810000000001</v>
      </c>
      <c r="H120" s="808">
        <f>+MST!E75</f>
        <v>4068.84</v>
      </c>
      <c r="I120" s="808">
        <f>+MST!F75</f>
        <v>3563.04</v>
      </c>
      <c r="J120" s="808">
        <f>+MST!V75</f>
        <v>14208.08</v>
      </c>
      <c r="K120" s="808">
        <f>+MST!W75</f>
        <v>-1091.95</v>
      </c>
      <c r="L120" s="808">
        <f>MST!AD75</f>
        <v>0</v>
      </c>
      <c r="M120" s="809">
        <f>MST!AE75</f>
        <v>0</v>
      </c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  <c r="AT120" s="143"/>
    </row>
    <row r="121" spans="4:46" ht="15" customHeight="1">
      <c r="D121" s="807" t="str">
        <f>+input!B75</f>
        <v>206i</v>
      </c>
      <c r="E121" s="808">
        <f>+MST!B76</f>
        <v>8810.4699999999993</v>
      </c>
      <c r="F121" s="808">
        <f>+MST!C76</f>
        <v>13.13</v>
      </c>
      <c r="G121" s="808">
        <f>+MST!D76</f>
        <v>16949.759999999998</v>
      </c>
      <c r="H121" s="808">
        <f>+MST!E76</f>
        <v>4068.83</v>
      </c>
      <c r="I121" s="808">
        <f>+MST!F76</f>
        <v>3563.05</v>
      </c>
      <c r="J121" s="808">
        <f>+MST!V76</f>
        <v>14208.08</v>
      </c>
      <c r="K121" s="808">
        <f>+MST!W76</f>
        <v>-1091.95</v>
      </c>
      <c r="L121" s="808">
        <f>MST!AD76</f>
        <v>0</v>
      </c>
      <c r="M121" s="809">
        <f>MST!AE76</f>
        <v>0</v>
      </c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  <c r="AT121" s="143"/>
    </row>
    <row r="122" spans="4:46" ht="15" customHeight="1">
      <c r="D122" s="807" t="str">
        <f>+input!B76</f>
        <v>206j</v>
      </c>
      <c r="E122" s="808">
        <f>+MST!B77</f>
        <v>10413.74</v>
      </c>
      <c r="F122" s="808">
        <f>+MST!C77</f>
        <v>17.16</v>
      </c>
      <c r="G122" s="808">
        <f>+MST!D77</f>
        <v>19658.66</v>
      </c>
      <c r="H122" s="808">
        <f>+MST!E77</f>
        <v>4719.75</v>
      </c>
      <c r="I122" s="808">
        <f>+MST!F77</f>
        <v>4141.9799999999996</v>
      </c>
      <c r="J122" s="808">
        <f>+MST!V77</f>
        <v>16441.740000000002</v>
      </c>
      <c r="K122" s="808">
        <f>+MST!W77</f>
        <v>-1424.81</v>
      </c>
      <c r="L122" s="808">
        <f>MST!AD77</f>
        <v>0</v>
      </c>
      <c r="M122" s="809">
        <f>MST!AE77</f>
        <v>0</v>
      </c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  <c r="AT122" s="143"/>
    </row>
    <row r="123" spans="4:46" ht="15" customHeight="1">
      <c r="D123" s="807" t="str">
        <f>+input!B77</f>
        <v>207i</v>
      </c>
      <c r="E123" s="808">
        <f>+MST!B78</f>
        <v>10413.790000000001</v>
      </c>
      <c r="F123" s="808">
        <f>+MST!C78</f>
        <v>17.16</v>
      </c>
      <c r="G123" s="808">
        <f>+MST!D78</f>
        <v>19658.7</v>
      </c>
      <c r="H123" s="808">
        <f>+MST!E78</f>
        <v>4719.75</v>
      </c>
      <c r="I123" s="808">
        <f>+MST!F78</f>
        <v>4141.99</v>
      </c>
      <c r="J123" s="808">
        <f>+MST!V78</f>
        <v>16441.740000000002</v>
      </c>
      <c r="K123" s="808">
        <f>+MST!W78</f>
        <v>-1424.81</v>
      </c>
      <c r="L123" s="808">
        <f>MST!AD78</f>
        <v>0</v>
      </c>
      <c r="M123" s="809">
        <f>MST!AE78</f>
        <v>0</v>
      </c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  <c r="AT123" s="143"/>
    </row>
    <row r="124" spans="4:46" ht="15" customHeight="1">
      <c r="D124" s="807" t="str">
        <f>+input!B78</f>
        <v>207j</v>
      </c>
      <c r="E124" s="808">
        <f>+MST!B79</f>
        <v>11491.77</v>
      </c>
      <c r="F124" s="808">
        <f>+MST!C79</f>
        <v>21.18</v>
      </c>
      <c r="G124" s="808">
        <f>+MST!D79</f>
        <v>21472.55</v>
      </c>
      <c r="H124" s="808">
        <f>+MST!E79</f>
        <v>5169.42</v>
      </c>
      <c r="I124" s="808">
        <f>+MST!F79</f>
        <v>4528.03</v>
      </c>
      <c r="J124" s="808">
        <f>+MST!V79</f>
        <v>18066.84</v>
      </c>
      <c r="K124" s="808">
        <f>+MST!W79</f>
        <v>-1759.07</v>
      </c>
      <c r="L124" s="808">
        <f>MST!AD79</f>
        <v>0</v>
      </c>
      <c r="M124" s="809">
        <f>MST!AE79</f>
        <v>0</v>
      </c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  <c r="AT124" s="143"/>
    </row>
    <row r="125" spans="4:46" ht="15" customHeight="1">
      <c r="D125" s="807" t="str">
        <f>+input!B79</f>
        <v>208i</v>
      </c>
      <c r="E125" s="808">
        <f>+MST!B80</f>
        <v>11491.81</v>
      </c>
      <c r="F125" s="808">
        <f>+MST!C80</f>
        <v>21.18</v>
      </c>
      <c r="G125" s="808">
        <f>+MST!D80</f>
        <v>21472.52</v>
      </c>
      <c r="H125" s="808">
        <f>+MST!E80</f>
        <v>5169.42</v>
      </c>
      <c r="I125" s="808">
        <f>+MST!F80</f>
        <v>4528.01</v>
      </c>
      <c r="J125" s="808">
        <f>+MST!V80</f>
        <v>18066.84</v>
      </c>
      <c r="K125" s="808">
        <f>+MST!W80</f>
        <v>-1759.07</v>
      </c>
      <c r="L125" s="808">
        <f>MST!AD80</f>
        <v>0</v>
      </c>
      <c r="M125" s="809">
        <f>MST!AE80</f>
        <v>0</v>
      </c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</row>
    <row r="126" spans="4:46" ht="15" customHeight="1">
      <c r="D126" s="807" t="str">
        <f>+input!B80</f>
        <v>208j</v>
      </c>
      <c r="E126" s="808">
        <f>+MST!B81</f>
        <v>11912.59</v>
      </c>
      <c r="F126" s="808">
        <f>+MST!C81</f>
        <v>25.2</v>
      </c>
      <c r="G126" s="808">
        <f>+MST!D81</f>
        <v>21961.15</v>
      </c>
      <c r="H126" s="808">
        <f>+MST!E81</f>
        <v>5291.5</v>
      </c>
      <c r="I126" s="808">
        <f>+MST!F81</f>
        <v>4644.58</v>
      </c>
      <c r="J126" s="808">
        <f>+MST!V81</f>
        <v>18634.919999999998</v>
      </c>
      <c r="K126" s="808">
        <f>+MST!W81</f>
        <v>-2093.64</v>
      </c>
      <c r="L126" s="808">
        <f>MST!AD81</f>
        <v>0</v>
      </c>
      <c r="M126" s="809">
        <f>MST!AE81</f>
        <v>0</v>
      </c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  <c r="AT126" s="143"/>
    </row>
    <row r="127" spans="4:46" ht="15" customHeight="1">
      <c r="D127" s="807" t="str">
        <f>+input!B81</f>
        <v>209i</v>
      </c>
      <c r="E127" s="808">
        <f>+MST!B82</f>
        <v>11912.54</v>
      </c>
      <c r="F127" s="808">
        <f>+MST!C82</f>
        <v>25.2</v>
      </c>
      <c r="G127" s="808">
        <f>+MST!D82</f>
        <v>21961.119999999999</v>
      </c>
      <c r="H127" s="808">
        <f>+MST!E82</f>
        <v>5291.49</v>
      </c>
      <c r="I127" s="808">
        <f>+MST!F82</f>
        <v>4644.58</v>
      </c>
      <c r="J127" s="808">
        <f>+MST!V82</f>
        <v>18634.919999999998</v>
      </c>
      <c r="K127" s="808">
        <f>+MST!W82</f>
        <v>-2093.64</v>
      </c>
      <c r="L127" s="808">
        <f>MST!AD82</f>
        <v>0</v>
      </c>
      <c r="M127" s="809">
        <f>MST!AE82</f>
        <v>0</v>
      </c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</row>
    <row r="128" spans="4:46" ht="15" customHeight="1">
      <c r="D128" s="807" t="str">
        <f>+input!B82</f>
        <v>209j</v>
      </c>
      <c r="E128" s="808">
        <f>+MST!B83</f>
        <v>11777.89</v>
      </c>
      <c r="F128" s="808">
        <f>+MST!C83</f>
        <v>29.22</v>
      </c>
      <c r="G128" s="808">
        <f>+MST!D83</f>
        <v>21554.55</v>
      </c>
      <c r="H128" s="808">
        <f>+MST!E83</f>
        <v>5212.3500000000004</v>
      </c>
      <c r="I128" s="808">
        <f>+MST!F83</f>
        <v>4568.2</v>
      </c>
      <c r="J128" s="808">
        <f>+MST!V83</f>
        <v>18650.669999999998</v>
      </c>
      <c r="K128" s="808">
        <f>+MST!W83</f>
        <v>-2428.21</v>
      </c>
      <c r="L128" s="808">
        <f>MST!AD83</f>
        <v>0</v>
      </c>
      <c r="M128" s="809">
        <f>MST!AE83</f>
        <v>0</v>
      </c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  <c r="AT128" s="143"/>
    </row>
    <row r="129" spans="4:46" ht="15" customHeight="1">
      <c r="D129" s="807" t="str">
        <f>+input!B83</f>
        <v>210i</v>
      </c>
      <c r="E129" s="808">
        <f>+MST!B84</f>
        <v>11777.86</v>
      </c>
      <c r="F129" s="808">
        <f>+MST!C84</f>
        <v>29.22</v>
      </c>
      <c r="G129" s="808">
        <f>+MST!D84</f>
        <v>21554.7</v>
      </c>
      <c r="H129" s="808">
        <f>+MST!E84</f>
        <v>5212.3599999999997</v>
      </c>
      <c r="I129" s="808">
        <f>+MST!F84</f>
        <v>4568.2</v>
      </c>
      <c r="J129" s="808">
        <f>+MST!V84</f>
        <v>18650.66</v>
      </c>
      <c r="K129" s="808">
        <f>+MST!W84</f>
        <v>-2428.21</v>
      </c>
      <c r="L129" s="808">
        <f>MST!AD84</f>
        <v>0</v>
      </c>
      <c r="M129" s="809">
        <f>MST!AE84</f>
        <v>0</v>
      </c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  <c r="AT129" s="143"/>
    </row>
    <row r="130" spans="4:46" ht="15" customHeight="1">
      <c r="D130" s="807" t="str">
        <f>+input!B84</f>
        <v>210j</v>
      </c>
      <c r="E130" s="808">
        <f>+MST!B85</f>
        <v>11009.55</v>
      </c>
      <c r="F130" s="808">
        <f>+MST!C85</f>
        <v>33.24</v>
      </c>
      <c r="G130" s="808">
        <f>+MST!D85</f>
        <v>19967.47</v>
      </c>
      <c r="H130" s="808">
        <f>+MST!E85</f>
        <v>4845.6499999999996</v>
      </c>
      <c r="I130" s="808">
        <f>+MST!F85</f>
        <v>4246.58</v>
      </c>
      <c r="J130" s="808">
        <f>+MST!V85</f>
        <v>17828.849999999999</v>
      </c>
      <c r="K130" s="808">
        <f>+MST!W85</f>
        <v>-2762.13</v>
      </c>
      <c r="L130" s="808">
        <f>MST!AD85</f>
        <v>0</v>
      </c>
      <c r="M130" s="809">
        <f>MST!AE85</f>
        <v>0</v>
      </c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</row>
    <row r="131" spans="4:46" ht="15" customHeight="1">
      <c r="D131" s="807" t="str">
        <f>+input!B85</f>
        <v>211i</v>
      </c>
      <c r="E131" s="808">
        <f>+MST!B86</f>
        <v>11009.61</v>
      </c>
      <c r="F131" s="808">
        <f>+MST!C86</f>
        <v>33.24</v>
      </c>
      <c r="G131" s="808">
        <f>+MST!D86</f>
        <v>19967.63</v>
      </c>
      <c r="H131" s="808">
        <f>+MST!E86</f>
        <v>4845.6400000000003</v>
      </c>
      <c r="I131" s="808">
        <f>+MST!F86</f>
        <v>4246.6000000000004</v>
      </c>
      <c r="J131" s="808">
        <f>+MST!V86</f>
        <v>17828.849999999999</v>
      </c>
      <c r="K131" s="808">
        <f>+MST!W86</f>
        <v>-2762.13</v>
      </c>
      <c r="L131" s="808">
        <f>MST!AD86</f>
        <v>0</v>
      </c>
      <c r="M131" s="809">
        <f>MST!AE86</f>
        <v>0</v>
      </c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</row>
    <row r="132" spans="4:46" ht="15" customHeight="1">
      <c r="D132" s="807" t="str">
        <f>+input!B86</f>
        <v>211j</v>
      </c>
      <c r="E132" s="808">
        <f>+MST!B87</f>
        <v>9596.86</v>
      </c>
      <c r="F132" s="808">
        <f>+MST!C87</f>
        <v>37.229999999999997</v>
      </c>
      <c r="G132" s="808">
        <f>+MST!D87</f>
        <v>17179.2</v>
      </c>
      <c r="H132" s="808">
        <f>+MST!E87</f>
        <v>4190.6899999999996</v>
      </c>
      <c r="I132" s="808">
        <f>+MST!F87</f>
        <v>3679</v>
      </c>
      <c r="J132" s="808">
        <f>+MST!V87</f>
        <v>16156.43</v>
      </c>
      <c r="K132" s="808">
        <f>+MST!W87</f>
        <v>-3094.26</v>
      </c>
      <c r="L132" s="808">
        <f>MST!AD87</f>
        <v>0</v>
      </c>
      <c r="M132" s="809">
        <f>MST!AE87</f>
        <v>0</v>
      </c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  <c r="AT132" s="143"/>
    </row>
    <row r="133" spans="4:46" ht="15" customHeight="1">
      <c r="D133" s="807" t="str">
        <f>+input!B87</f>
        <v>212i</v>
      </c>
      <c r="E133" s="808">
        <f>+MST!B88</f>
        <v>9596.83</v>
      </c>
      <c r="F133" s="808">
        <f>+MST!C88</f>
        <v>37.229999999999997</v>
      </c>
      <c r="G133" s="808">
        <f>+MST!D88</f>
        <v>17179.189999999999</v>
      </c>
      <c r="H133" s="808">
        <f>+MST!E88</f>
        <v>4190.66</v>
      </c>
      <c r="I133" s="808">
        <f>+MST!F88</f>
        <v>3679.02</v>
      </c>
      <c r="J133" s="808">
        <f>+MST!V88</f>
        <v>16156.43</v>
      </c>
      <c r="K133" s="808">
        <f>+MST!W88</f>
        <v>-3094.26</v>
      </c>
      <c r="L133" s="808">
        <f>MST!AD88</f>
        <v>0</v>
      </c>
      <c r="M133" s="809">
        <f>MST!AE88</f>
        <v>0</v>
      </c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</row>
    <row r="134" spans="4:46" ht="15" customHeight="1">
      <c r="D134" s="807" t="str">
        <f>+input!B88</f>
        <v>212j</v>
      </c>
      <c r="E134" s="808">
        <f>+MST!B89</f>
        <v>7667.05</v>
      </c>
      <c r="F134" s="808">
        <f>+MST!C89</f>
        <v>41.23</v>
      </c>
      <c r="G134" s="808">
        <f>+MST!D89</f>
        <v>13495.88</v>
      </c>
      <c r="H134" s="808">
        <f>+MST!E89</f>
        <v>3334.36</v>
      </c>
      <c r="I134" s="808">
        <f>+MST!F89</f>
        <v>2918.37</v>
      </c>
      <c r="J134" s="808">
        <f>+MST!V89</f>
        <v>13989.09</v>
      </c>
      <c r="K134" s="808">
        <f>+MST!W89</f>
        <v>-3426.38</v>
      </c>
      <c r="L134" s="808">
        <f>MST!AD89</f>
        <v>0</v>
      </c>
      <c r="M134" s="809">
        <f>MST!AE89</f>
        <v>0</v>
      </c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  <c r="AT134" s="143"/>
    </row>
    <row r="135" spans="4:46" ht="15" customHeight="1">
      <c r="D135" s="807" t="str">
        <f>+input!B89</f>
        <v>213i</v>
      </c>
      <c r="E135" s="808">
        <f>+MST!B90</f>
        <v>7667.02</v>
      </c>
      <c r="F135" s="808">
        <f>+MST!C90</f>
        <v>41.22</v>
      </c>
      <c r="G135" s="808">
        <f>+MST!D90</f>
        <v>13495.88</v>
      </c>
      <c r="H135" s="808">
        <f>+MST!E90</f>
        <v>3334.39</v>
      </c>
      <c r="I135" s="808">
        <f>+MST!F90</f>
        <v>2918.37</v>
      </c>
      <c r="J135" s="808">
        <f>+MST!V90</f>
        <v>13989.08</v>
      </c>
      <c r="K135" s="808">
        <f>+MST!W90</f>
        <v>-3426.38</v>
      </c>
      <c r="L135" s="808">
        <f>MST!AD90</f>
        <v>0</v>
      </c>
      <c r="M135" s="809">
        <f>MST!AE90</f>
        <v>0</v>
      </c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</row>
    <row r="136" spans="4:46" ht="15" customHeight="1">
      <c r="D136" s="807" t="str">
        <f>+input!B90</f>
        <v>213j</v>
      </c>
      <c r="E136" s="808">
        <f>+MST!B91</f>
        <v>5180.6000000000004</v>
      </c>
      <c r="F136" s="808">
        <f>+MST!C91</f>
        <v>45.2</v>
      </c>
      <c r="G136" s="808">
        <f>+MST!D91</f>
        <v>8519.93</v>
      </c>
      <c r="H136" s="808">
        <f>+MST!E91</f>
        <v>2151.88</v>
      </c>
      <c r="I136" s="808">
        <f>+MST!F91</f>
        <v>1889.87</v>
      </c>
      <c r="J136" s="808">
        <f>+MST!V91</f>
        <v>10897.11</v>
      </c>
      <c r="K136" s="808">
        <f>+MST!W91</f>
        <v>-3757.44</v>
      </c>
      <c r="L136" s="808">
        <f>MST!AD91</f>
        <v>0</v>
      </c>
      <c r="M136" s="809">
        <f>MST!AE91</f>
        <v>0</v>
      </c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  <c r="AT136" s="143"/>
    </row>
    <row r="137" spans="4:46" ht="15" customHeight="1">
      <c r="D137" s="807" t="str">
        <f>+input!B91</f>
        <v>214i</v>
      </c>
      <c r="E137" s="808">
        <f>+MST!B92</f>
        <v>5180.68</v>
      </c>
      <c r="F137" s="808">
        <f>+MST!C92</f>
        <v>45.2</v>
      </c>
      <c r="G137" s="808">
        <f>+MST!D92</f>
        <v>8519.92</v>
      </c>
      <c r="H137" s="808">
        <f>+MST!E92</f>
        <v>2151.88</v>
      </c>
      <c r="I137" s="808">
        <f>+MST!F92</f>
        <v>1889.86</v>
      </c>
      <c r="J137" s="808">
        <f>+MST!V92</f>
        <v>10897.11</v>
      </c>
      <c r="K137" s="808">
        <f>+MST!W92</f>
        <v>-3757.44</v>
      </c>
      <c r="L137" s="808">
        <f>MST!AD92</f>
        <v>0</v>
      </c>
      <c r="M137" s="809">
        <f>MST!AE92</f>
        <v>0</v>
      </c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  <c r="AT137" s="143"/>
    </row>
    <row r="138" spans="4:46" ht="15" customHeight="1">
      <c r="D138" s="807" t="str">
        <f>+input!B92</f>
        <v>214j</v>
      </c>
      <c r="E138" s="808">
        <f>+MST!B93</f>
        <v>2232.33</v>
      </c>
      <c r="F138" s="808">
        <f>+MST!C93</f>
        <v>49.17</v>
      </c>
      <c r="G138" s="808">
        <f>+MST!D93</f>
        <v>2649.13</v>
      </c>
      <c r="H138" s="808">
        <f>+MST!E93</f>
        <v>768.19</v>
      </c>
      <c r="I138" s="808">
        <f>+MST!F93</f>
        <v>668.3</v>
      </c>
      <c r="J138" s="808">
        <f>+MST!V93</f>
        <v>7461.05</v>
      </c>
      <c r="K138" s="808">
        <f>+MST!W93</f>
        <v>-4121.78</v>
      </c>
      <c r="L138" s="808">
        <f>MST!AD93</f>
        <v>0</v>
      </c>
      <c r="M138" s="809">
        <f>MST!AE93</f>
        <v>0</v>
      </c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</row>
    <row r="139" spans="4:46" ht="15" customHeight="1">
      <c r="D139" s="807" t="str">
        <f>+input!B93</f>
        <v>215i</v>
      </c>
      <c r="E139" s="808">
        <f>+MST!B94</f>
        <v>2232.38</v>
      </c>
      <c r="F139" s="808">
        <f>+MST!C94</f>
        <v>49.17</v>
      </c>
      <c r="G139" s="808">
        <f>+MST!D94</f>
        <v>2649.12</v>
      </c>
      <c r="H139" s="808">
        <f>+MST!E94</f>
        <v>768.17</v>
      </c>
      <c r="I139" s="808">
        <f>+MST!F94</f>
        <v>668.3</v>
      </c>
      <c r="J139" s="808">
        <f>+MST!V94</f>
        <v>7461.05</v>
      </c>
      <c r="K139" s="808">
        <f>+MST!W94</f>
        <v>-4121.78</v>
      </c>
      <c r="L139" s="808">
        <f>MST!AD94</f>
        <v>0</v>
      </c>
      <c r="M139" s="809">
        <f>MST!AE94</f>
        <v>0</v>
      </c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</row>
    <row r="140" spans="4:46" ht="15" customHeight="1">
      <c r="D140" s="807" t="str">
        <f>+input!B94</f>
        <v>215j</v>
      </c>
      <c r="E140" s="808">
        <f>+MST!B95</f>
        <v>-1220.5999999999999</v>
      </c>
      <c r="F140" s="808">
        <f>+MST!C95</f>
        <v>53.15</v>
      </c>
      <c r="G140" s="808">
        <f>+MST!D95</f>
        <v>-4521.58</v>
      </c>
      <c r="H140" s="808">
        <f>+MST!E95</f>
        <v>-936.69</v>
      </c>
      <c r="I140" s="808">
        <f>+MST!F95</f>
        <v>-818.92</v>
      </c>
      <c r="J140" s="808">
        <f>+MST!V95</f>
        <v>4168.96</v>
      </c>
      <c r="K140" s="808">
        <f>+MST!W95</f>
        <v>-5438.58</v>
      </c>
      <c r="L140" s="808">
        <f>MST!AD95</f>
        <v>0</v>
      </c>
      <c r="M140" s="809">
        <f>MST!AE95</f>
        <v>0</v>
      </c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</row>
    <row r="141" spans="4:46" ht="15" customHeight="1">
      <c r="D141" s="807" t="str">
        <f>+input!B95</f>
        <v>216i</v>
      </c>
      <c r="E141" s="808">
        <f>+MST!B96</f>
        <v>-1220.6199999999999</v>
      </c>
      <c r="F141" s="808">
        <f>+MST!C96</f>
        <v>53.15</v>
      </c>
      <c r="G141" s="808">
        <f>+MST!D96</f>
        <v>-4521.57</v>
      </c>
      <c r="H141" s="808">
        <f>+MST!E96</f>
        <v>-936.68</v>
      </c>
      <c r="I141" s="808">
        <f>+MST!F96</f>
        <v>-818.93</v>
      </c>
      <c r="J141" s="808">
        <f>+MST!V96</f>
        <v>4168.96</v>
      </c>
      <c r="K141" s="808">
        <f>+MST!W96</f>
        <v>-5438.58</v>
      </c>
      <c r="L141" s="808">
        <f>MST!AD96</f>
        <v>0</v>
      </c>
      <c r="M141" s="809">
        <f>MST!AE96</f>
        <v>0</v>
      </c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</row>
    <row r="142" spans="4:46" ht="15" customHeight="1">
      <c r="D142" s="807" t="str">
        <f>+input!B96</f>
        <v>216j</v>
      </c>
      <c r="E142" s="808">
        <f>+MST!B97</f>
        <v>-5066.53</v>
      </c>
      <c r="F142" s="808">
        <f>+MST!C97</f>
        <v>57.12</v>
      </c>
      <c r="G142" s="808">
        <f>+MST!D97</f>
        <v>-12587.15</v>
      </c>
      <c r="H142" s="808">
        <f>+MST!E97</f>
        <v>-2842.79</v>
      </c>
      <c r="I142" s="808">
        <f>+MST!F97</f>
        <v>-2499.1799999999998</v>
      </c>
      <c r="J142" s="808">
        <f>+MST!V97</f>
        <v>2079.1799999999998</v>
      </c>
      <c r="K142" s="808">
        <f>+MST!W97</f>
        <v>-8137.56</v>
      </c>
      <c r="L142" s="808">
        <f>MST!AD97</f>
        <v>0</v>
      </c>
      <c r="M142" s="809">
        <f>MST!AE97</f>
        <v>0</v>
      </c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</row>
    <row r="143" spans="4:46" ht="15" customHeight="1">
      <c r="D143" s="807" t="str">
        <f>+input!B97</f>
        <v>217i</v>
      </c>
      <c r="E143" s="808">
        <f>+MST!B98</f>
        <v>-5066.53</v>
      </c>
      <c r="F143" s="808">
        <f>+MST!C98</f>
        <v>57.12</v>
      </c>
      <c r="G143" s="808">
        <f>+MST!D98</f>
        <v>-12587.2</v>
      </c>
      <c r="H143" s="808">
        <f>+MST!E98</f>
        <v>-2842.79</v>
      </c>
      <c r="I143" s="808">
        <f>+MST!F98</f>
        <v>-2499.19</v>
      </c>
      <c r="J143" s="808">
        <f>+MST!V98</f>
        <v>2079.19</v>
      </c>
      <c r="K143" s="808">
        <f>+MST!W98</f>
        <v>-8137.57</v>
      </c>
      <c r="L143" s="808">
        <f>MST!AD98</f>
        <v>0</v>
      </c>
      <c r="M143" s="809">
        <f>MST!AE98</f>
        <v>0</v>
      </c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</row>
    <row r="144" spans="4:46" ht="15" customHeight="1">
      <c r="D144" s="807" t="str">
        <f>+input!B98</f>
        <v>217j</v>
      </c>
      <c r="E144" s="808">
        <f>+MST!B99</f>
        <v>-9508.76</v>
      </c>
      <c r="F144" s="808">
        <f>+MST!C99</f>
        <v>-122.96</v>
      </c>
      <c r="G144" s="808">
        <f>+MST!D99</f>
        <v>-22022.560000000001</v>
      </c>
      <c r="H144" s="808">
        <f>+MST!E99</f>
        <v>-5078.07</v>
      </c>
      <c r="I144" s="808">
        <f>+MST!F99</f>
        <v>-4450.58</v>
      </c>
      <c r="J144" s="808">
        <f>+MST!V99</f>
        <v>630.33000000000004</v>
      </c>
      <c r="K144" s="808">
        <f>+MST!W99</f>
        <v>-13419.36</v>
      </c>
      <c r="L144" s="808">
        <f>MST!AD99</f>
        <v>0</v>
      </c>
      <c r="M144" s="809">
        <f>MST!AE99</f>
        <v>0</v>
      </c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</row>
    <row r="145" spans="4:46" ht="15" customHeight="1">
      <c r="D145" s="807" t="str">
        <f>+input!B99</f>
        <v>218i</v>
      </c>
      <c r="E145" s="808">
        <f>+MST!B100</f>
        <v>-9508.75</v>
      </c>
      <c r="F145" s="808">
        <f>+MST!C100</f>
        <v>-122.96</v>
      </c>
      <c r="G145" s="808">
        <f>+MST!D100</f>
        <v>-22022.66</v>
      </c>
      <c r="H145" s="808">
        <f>+MST!E100</f>
        <v>-5078.1000000000004</v>
      </c>
      <c r="I145" s="808">
        <f>+MST!F100</f>
        <v>-4450.58</v>
      </c>
      <c r="J145" s="808">
        <f>+MST!V100</f>
        <v>630.33000000000004</v>
      </c>
      <c r="K145" s="808">
        <f>+MST!W100</f>
        <v>-13419.36</v>
      </c>
      <c r="L145" s="808">
        <f>MST!AD100</f>
        <v>0</v>
      </c>
      <c r="M145" s="809">
        <f>MST!AE100</f>
        <v>0</v>
      </c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</row>
    <row r="146" spans="4:46" ht="15" customHeight="1">
      <c r="D146" s="807" t="str">
        <f>+input!B100</f>
        <v>218j</v>
      </c>
      <c r="E146" s="808">
        <f>+MST!B101</f>
        <v>-12983.01</v>
      </c>
      <c r="F146" s="808">
        <f>+MST!C101</f>
        <v>-522.67999999999995</v>
      </c>
      <c r="G146" s="808">
        <f>+MST!D101</f>
        <v>-29159.81</v>
      </c>
      <c r="H146" s="808">
        <f>+MST!E101</f>
        <v>-6762.51</v>
      </c>
      <c r="I146" s="808">
        <f>+MST!F101</f>
        <v>-5931.43</v>
      </c>
      <c r="J146" s="808">
        <f>+MST!V101</f>
        <v>185.98</v>
      </c>
      <c r="K146" s="808">
        <f>+MST!W101</f>
        <v>-17772.28</v>
      </c>
      <c r="L146" s="808">
        <f>MST!AD101</f>
        <v>0</v>
      </c>
      <c r="M146" s="809">
        <f>MST!AE101</f>
        <v>0</v>
      </c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</row>
    <row r="147" spans="4:46" ht="15" customHeight="1">
      <c r="D147" s="807" t="str">
        <f>+input!B101</f>
        <v>219i</v>
      </c>
      <c r="E147" s="808">
        <f>+MST!B102</f>
        <v>-12983</v>
      </c>
      <c r="F147" s="808">
        <f>+MST!C102</f>
        <v>-522.67999999999995</v>
      </c>
      <c r="G147" s="808">
        <f>+MST!D102</f>
        <v>-29159.87</v>
      </c>
      <c r="H147" s="808">
        <f>+MST!E102</f>
        <v>-6762.48</v>
      </c>
      <c r="I147" s="808">
        <f>+MST!F102</f>
        <v>-5931.39</v>
      </c>
      <c r="J147" s="808">
        <f>+MST!V102</f>
        <v>185.98</v>
      </c>
      <c r="K147" s="808">
        <f>+MST!W102</f>
        <v>-17772.28</v>
      </c>
      <c r="L147" s="808">
        <f>MST!AD102</f>
        <v>0</v>
      </c>
      <c r="M147" s="809">
        <f>MST!AE102</f>
        <v>0</v>
      </c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</row>
    <row r="148" spans="4:46" ht="15" customHeight="1">
      <c r="D148" s="807" t="str">
        <f>+input!B102</f>
        <v>219j</v>
      </c>
      <c r="E148" s="808">
        <f>+MST!B103</f>
        <v>-14583.37</v>
      </c>
      <c r="F148" s="808">
        <f>+MST!C103</f>
        <v>-782.53</v>
      </c>
      <c r="G148" s="808">
        <f>+MST!D103</f>
        <v>-32353.02</v>
      </c>
      <c r="H148" s="808">
        <f>+MST!E103</f>
        <v>-7514.67</v>
      </c>
      <c r="I148" s="808">
        <f>+MST!F103</f>
        <v>-6595.03</v>
      </c>
      <c r="J148" s="808">
        <f>+MST!V103</f>
        <v>96.43</v>
      </c>
      <c r="K148" s="808">
        <f>+MST!W103</f>
        <v>-19772.71</v>
      </c>
      <c r="L148" s="808">
        <f>MST!AD103</f>
        <v>0</v>
      </c>
      <c r="M148" s="809">
        <f>MST!AE103</f>
        <v>0</v>
      </c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</row>
    <row r="149" spans="4:46" ht="15" customHeight="1">
      <c r="D149" s="807" t="str">
        <f>+input!B103</f>
        <v>220i</v>
      </c>
      <c r="E149" s="808">
        <f>+MST!B104</f>
        <v>-14583.28</v>
      </c>
      <c r="F149" s="808">
        <f>+MST!C104</f>
        <v>-782.53</v>
      </c>
      <c r="G149" s="808">
        <f>+MST!D104</f>
        <v>-32353.06</v>
      </c>
      <c r="H149" s="808">
        <f>+MST!E104</f>
        <v>-7514.51</v>
      </c>
      <c r="I149" s="808">
        <f>+MST!F104</f>
        <v>-6595.01</v>
      </c>
      <c r="J149" s="808">
        <f>+MST!V104</f>
        <v>102.4</v>
      </c>
      <c r="K149" s="808">
        <f>+MST!W104</f>
        <v>-19771.150000000001</v>
      </c>
      <c r="L149" s="808">
        <f>MST!AD104</f>
        <v>0</v>
      </c>
      <c r="M149" s="809">
        <f>MST!AE104</f>
        <v>0</v>
      </c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</row>
    <row r="150" spans="4:46" ht="15" customHeight="1">
      <c r="D150" s="807" t="str">
        <f>+input!B104</f>
        <v>220j</v>
      </c>
      <c r="E150" s="808">
        <f>+MST!B105</f>
        <v>-13389.08</v>
      </c>
      <c r="F150" s="808">
        <f>+MST!C105</f>
        <v>-524.54</v>
      </c>
      <c r="G150" s="808">
        <f>+MST!D105</f>
        <v>-29827.91</v>
      </c>
      <c r="H150" s="808">
        <f>+MST!E105</f>
        <v>-6923.88</v>
      </c>
      <c r="I150" s="808">
        <f>+MST!F105</f>
        <v>-6073</v>
      </c>
      <c r="J150" s="808">
        <f>+MST!V105</f>
        <v>335.19</v>
      </c>
      <c r="K150" s="808">
        <f>+MST!W105</f>
        <v>-18524.78</v>
      </c>
      <c r="L150" s="808">
        <f>MST!AD105</f>
        <v>0</v>
      </c>
      <c r="M150" s="809">
        <f>MST!AE105</f>
        <v>0</v>
      </c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</row>
    <row r="151" spans="4:46" ht="15" customHeight="1">
      <c r="D151" s="948" t="str">
        <f>+input!B105</f>
        <v>221i</v>
      </c>
      <c r="E151" s="949">
        <f>+MST!B106</f>
        <v>-13389.03</v>
      </c>
      <c r="F151" s="949">
        <f>+MST!C106</f>
        <v>-524.54</v>
      </c>
      <c r="G151" s="949">
        <f>+MST!D106</f>
        <v>-29827.96</v>
      </c>
      <c r="H151" s="949">
        <f>+MST!E106</f>
        <v>-6923.87</v>
      </c>
      <c r="I151" s="949">
        <f>+MST!F106</f>
        <v>-6072.99</v>
      </c>
      <c r="J151" s="949">
        <f>+MST!V106</f>
        <v>335.19</v>
      </c>
      <c r="K151" s="949">
        <f>+MST!W106</f>
        <v>-18524.78</v>
      </c>
      <c r="L151" s="949">
        <f>MST!AD106</f>
        <v>0</v>
      </c>
      <c r="M151" s="950">
        <f>MST!AE106</f>
        <v>0</v>
      </c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</row>
    <row r="152" spans="4:46" ht="15" customHeight="1">
      <c r="D152" s="812" t="str">
        <f>+input!B106</f>
        <v>221j</v>
      </c>
      <c r="E152" s="946">
        <f>+MST!B107</f>
        <v>-10862.15</v>
      </c>
      <c r="F152" s="946">
        <f>+MST!C107</f>
        <v>-128.22999999999999</v>
      </c>
      <c r="G152" s="946">
        <f>+MST!D107</f>
        <v>-24249.48</v>
      </c>
      <c r="H152" s="946">
        <f>+MST!E107</f>
        <v>-5616.04</v>
      </c>
      <c r="I152" s="946">
        <f>+MST!F107</f>
        <v>-4922.5</v>
      </c>
      <c r="J152" s="946">
        <f>+MST!V107</f>
        <v>1418.68</v>
      </c>
      <c r="K152" s="946">
        <f>+MST!W107</f>
        <v>-16035.04</v>
      </c>
      <c r="L152" s="946">
        <f>MST!AD107</f>
        <v>0</v>
      </c>
      <c r="M152" s="947">
        <f>MST!AE107</f>
        <v>0</v>
      </c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</row>
    <row r="153" spans="4:46" ht="15" customHeight="1">
      <c r="D153" s="807" t="str">
        <f>+input!B107</f>
        <v>222i</v>
      </c>
      <c r="E153" s="808">
        <f>+MST!B108</f>
        <v>-10862.16</v>
      </c>
      <c r="F153" s="808">
        <f>+MST!C108</f>
        <v>-128.22999999999999</v>
      </c>
      <c r="G153" s="808">
        <f>+MST!D108</f>
        <v>-24249.5</v>
      </c>
      <c r="H153" s="808">
        <f>+MST!E108</f>
        <v>-5616.05</v>
      </c>
      <c r="I153" s="808">
        <f>+MST!F108</f>
        <v>-4922.5</v>
      </c>
      <c r="J153" s="808">
        <f>+MST!V108</f>
        <v>1418.68</v>
      </c>
      <c r="K153" s="808">
        <f>+MST!W108</f>
        <v>-16035.04</v>
      </c>
      <c r="L153" s="808">
        <f>MST!AD108</f>
        <v>0</v>
      </c>
      <c r="M153" s="809">
        <f>MST!AE108</f>
        <v>0</v>
      </c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</row>
    <row r="154" spans="4:46" ht="15" customHeight="1">
      <c r="D154" s="807" t="str">
        <f>+input!B108</f>
        <v>222j</v>
      </c>
      <c r="E154" s="808">
        <f>+MST!B109</f>
        <v>-7787.66</v>
      </c>
      <c r="F154" s="808">
        <f>+MST!C109</f>
        <v>49.59</v>
      </c>
      <c r="G154" s="808">
        <f>+MST!D109</f>
        <v>-17040.88</v>
      </c>
      <c r="H154" s="808">
        <f>+MST!E109</f>
        <v>-3918.83</v>
      </c>
      <c r="I154" s="808">
        <f>+MST!F109</f>
        <v>-3442.97</v>
      </c>
      <c r="J154" s="808">
        <f>+MST!V109</f>
        <v>4031.38</v>
      </c>
      <c r="K154" s="808">
        <f>+MST!W109</f>
        <v>-13409.31</v>
      </c>
      <c r="L154" s="808">
        <f>MST!AD109</f>
        <v>0</v>
      </c>
      <c r="M154" s="809">
        <f>MST!AE109</f>
        <v>0</v>
      </c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</row>
    <row r="155" spans="4:46" ht="15" customHeight="1">
      <c r="D155" s="807" t="str">
        <f>+input!B109</f>
        <v>223i</v>
      </c>
      <c r="E155" s="808">
        <f>+MST!B110</f>
        <v>-7787.64</v>
      </c>
      <c r="F155" s="808">
        <f>+MST!C110</f>
        <v>49.59</v>
      </c>
      <c r="G155" s="808">
        <f>+MST!D110</f>
        <v>-17040.900000000001</v>
      </c>
      <c r="H155" s="808">
        <f>+MST!E110</f>
        <v>-3918.83</v>
      </c>
      <c r="I155" s="808">
        <f>+MST!F110</f>
        <v>-3442.97</v>
      </c>
      <c r="J155" s="808">
        <f>+MST!V110</f>
        <v>4031.38</v>
      </c>
      <c r="K155" s="808">
        <f>+MST!W110</f>
        <v>-13409.31</v>
      </c>
      <c r="L155" s="808">
        <f>MST!AD110</f>
        <v>0</v>
      </c>
      <c r="M155" s="809">
        <f>MST!AE110</f>
        <v>0</v>
      </c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</row>
    <row r="156" spans="4:46" ht="15" customHeight="1">
      <c r="D156" s="807" t="str">
        <f>+input!B110</f>
        <v>223j</v>
      </c>
      <c r="E156" s="808">
        <f>+MST!B111</f>
        <v>-5346.42</v>
      </c>
      <c r="F156" s="808">
        <f>+MST!C111</f>
        <v>43.3</v>
      </c>
      <c r="G156" s="808">
        <f>+MST!D111</f>
        <v>-11167.36</v>
      </c>
      <c r="H156" s="808">
        <f>+MST!E111</f>
        <v>-2548.21</v>
      </c>
      <c r="I156" s="808">
        <f>+MST!F111</f>
        <v>-2232.4899999999998</v>
      </c>
      <c r="J156" s="808">
        <f>+MST!V111</f>
        <v>6352.7</v>
      </c>
      <c r="K156" s="808">
        <f>+MST!W111</f>
        <v>-11535.7</v>
      </c>
      <c r="L156" s="808">
        <f>MST!AD111</f>
        <v>0</v>
      </c>
      <c r="M156" s="809">
        <f>MST!AE111</f>
        <v>0</v>
      </c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</row>
    <row r="157" spans="4:46" ht="15" customHeight="1">
      <c r="D157" s="807" t="str">
        <f>+input!B111</f>
        <v>224i</v>
      </c>
      <c r="E157" s="808">
        <f>+MST!B112</f>
        <v>-5346.42</v>
      </c>
      <c r="F157" s="808">
        <f>+MST!C112</f>
        <v>43.3</v>
      </c>
      <c r="G157" s="808">
        <f>+MST!D112</f>
        <v>-11167.35</v>
      </c>
      <c r="H157" s="808">
        <f>+MST!E112</f>
        <v>-2548.21</v>
      </c>
      <c r="I157" s="808">
        <f>+MST!F112</f>
        <v>-2232.4899999999998</v>
      </c>
      <c r="J157" s="808">
        <f>+MST!V112</f>
        <v>6352.7</v>
      </c>
      <c r="K157" s="808">
        <f>+MST!W112</f>
        <v>-11535.7</v>
      </c>
      <c r="L157" s="808">
        <f>MST!AD112</f>
        <v>0</v>
      </c>
      <c r="M157" s="809">
        <f>MST!AE112</f>
        <v>0</v>
      </c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</row>
    <row r="158" spans="4:46" ht="15" customHeight="1">
      <c r="D158" s="807" t="str">
        <f>+input!B112</f>
        <v>224j</v>
      </c>
      <c r="E158" s="808">
        <f>+MST!B113</f>
        <v>-3359.74</v>
      </c>
      <c r="F158" s="808">
        <f>+MST!C113</f>
        <v>37.01</v>
      </c>
      <c r="G158" s="808">
        <f>+MST!D113</f>
        <v>-6188.78</v>
      </c>
      <c r="H158" s="808">
        <f>+MST!E113</f>
        <v>-1378.86</v>
      </c>
      <c r="I158" s="808">
        <f>+MST!F113</f>
        <v>-1215.01</v>
      </c>
      <c r="J158" s="808">
        <f>+MST!V113</f>
        <v>8258.7999999999993</v>
      </c>
      <c r="K158" s="808">
        <f>+MST!W113</f>
        <v>-9806.0400000000009</v>
      </c>
      <c r="L158" s="808">
        <f>MST!AD113</f>
        <v>0</v>
      </c>
      <c r="M158" s="809">
        <f>MST!AE113</f>
        <v>0</v>
      </c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</row>
    <row r="159" spans="4:46" ht="15" customHeight="1">
      <c r="D159" s="807" t="str">
        <f>+input!B113</f>
        <v>225i</v>
      </c>
      <c r="E159" s="808">
        <f>+MST!B114</f>
        <v>-3359.74</v>
      </c>
      <c r="F159" s="808">
        <f>+MST!C114</f>
        <v>37.01</v>
      </c>
      <c r="G159" s="808">
        <f>+MST!D114</f>
        <v>-6188.77</v>
      </c>
      <c r="H159" s="808">
        <f>+MST!E114</f>
        <v>-1378.86</v>
      </c>
      <c r="I159" s="808">
        <f>+MST!F114</f>
        <v>-1215.01</v>
      </c>
      <c r="J159" s="808">
        <f>+MST!V114</f>
        <v>8258.7999999999993</v>
      </c>
      <c r="K159" s="808">
        <f>+MST!W114</f>
        <v>-9806.0400000000009</v>
      </c>
      <c r="L159" s="808">
        <f>MST!AD114</f>
        <v>0</v>
      </c>
      <c r="M159" s="809">
        <f>MST!AE114</f>
        <v>0</v>
      </c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</row>
    <row r="160" spans="4:46" ht="15" customHeight="1">
      <c r="D160" s="807" t="str">
        <f>+input!B114</f>
        <v>225j</v>
      </c>
      <c r="E160" s="808">
        <f>+MST!B115</f>
        <v>-1865.99</v>
      </c>
      <c r="F160" s="808">
        <f>+MST!C115</f>
        <v>30.67</v>
      </c>
      <c r="G160" s="808">
        <f>+MST!D115</f>
        <v>-2546.5</v>
      </c>
      <c r="H160" s="808">
        <f>+MST!E115</f>
        <v>-534.78</v>
      </c>
      <c r="I160" s="808">
        <f>+MST!F115</f>
        <v>-466.32</v>
      </c>
      <c r="J160" s="808">
        <f>+MST!V115</f>
        <v>9072.02</v>
      </c>
      <c r="K160" s="808">
        <f>+MST!W115</f>
        <v>-8125.96</v>
      </c>
      <c r="L160" s="808">
        <f>MST!AD115</f>
        <v>0</v>
      </c>
      <c r="M160" s="809">
        <f>MST!AE115</f>
        <v>0</v>
      </c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</row>
    <row r="161" spans="1:46" ht="15" customHeight="1">
      <c r="D161" s="807" t="str">
        <f>+input!B115</f>
        <v>226i</v>
      </c>
      <c r="E161" s="808">
        <f>+MST!B116</f>
        <v>-1865.98</v>
      </c>
      <c r="F161" s="808">
        <f>+MST!C116</f>
        <v>30.67</v>
      </c>
      <c r="G161" s="808">
        <f>+MST!D116</f>
        <v>-2546.48</v>
      </c>
      <c r="H161" s="808">
        <f>+MST!E116</f>
        <v>-534.78</v>
      </c>
      <c r="I161" s="808">
        <f>+MST!F116</f>
        <v>-466.31</v>
      </c>
      <c r="J161" s="808">
        <f>+MST!V116</f>
        <v>9072.02</v>
      </c>
      <c r="K161" s="808">
        <f>+MST!W116</f>
        <v>-8125.96</v>
      </c>
      <c r="L161" s="808">
        <f>MST!AD116</f>
        <v>0</v>
      </c>
      <c r="M161" s="809">
        <f>MST!AE116</f>
        <v>0</v>
      </c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</row>
    <row r="162" spans="1:46" ht="15" customHeight="1">
      <c r="D162" s="807" t="str">
        <f>+input!B116</f>
        <v>226j</v>
      </c>
      <c r="E162" s="808">
        <f>+MST!B117</f>
        <v>-735.54</v>
      </c>
      <c r="F162" s="808">
        <f>+MST!C117</f>
        <v>24.33</v>
      </c>
      <c r="G162" s="808">
        <f>+MST!D117</f>
        <v>200.81</v>
      </c>
      <c r="H162" s="808">
        <f>+MST!E117</f>
        <v>108.05</v>
      </c>
      <c r="I162" s="808">
        <f>+MST!F117</f>
        <v>89.39</v>
      </c>
      <c r="J162" s="808">
        <f>+MST!V117</f>
        <v>9290.6299999999992</v>
      </c>
      <c r="K162" s="808">
        <f>+MST!W117</f>
        <v>-6449.87</v>
      </c>
      <c r="L162" s="808">
        <f>MST!AD117</f>
        <v>0</v>
      </c>
      <c r="M162" s="809">
        <f>MST!AE117</f>
        <v>0</v>
      </c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</row>
    <row r="163" spans="1:46" ht="15" customHeight="1">
      <c r="D163" s="807" t="str">
        <f>+input!B117</f>
        <v>227i</v>
      </c>
      <c r="E163" s="808">
        <f>+MST!B118</f>
        <v>-735.55</v>
      </c>
      <c r="F163" s="808">
        <f>+MST!C118</f>
        <v>24.33</v>
      </c>
      <c r="G163" s="808">
        <f>+MST!D118</f>
        <v>200.81</v>
      </c>
      <c r="H163" s="808">
        <f>+MST!E118</f>
        <v>108.05</v>
      </c>
      <c r="I163" s="808">
        <f>+MST!F118</f>
        <v>89.39</v>
      </c>
      <c r="J163" s="808">
        <f>+MST!V118</f>
        <v>9290.6200000000008</v>
      </c>
      <c r="K163" s="808">
        <f>+MST!W118</f>
        <v>-6449.86</v>
      </c>
      <c r="L163" s="808">
        <f>MST!AD118</f>
        <v>0</v>
      </c>
      <c r="M163" s="809">
        <f>MST!AE118</f>
        <v>0</v>
      </c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</row>
    <row r="164" spans="1:46" ht="15" customHeight="1">
      <c r="D164" s="807" t="str">
        <f>+input!B118</f>
        <v>227j</v>
      </c>
      <c r="E164" s="808">
        <f>+MST!B119</f>
        <v>-40.26</v>
      </c>
      <c r="F164" s="808">
        <f>+MST!C119</f>
        <v>18.05</v>
      </c>
      <c r="G164" s="808">
        <f>+MST!D119</f>
        <v>1669.01</v>
      </c>
      <c r="H164" s="808">
        <f>+MST!E119</f>
        <v>431.86</v>
      </c>
      <c r="I164" s="808">
        <f>+MST!F119</f>
        <v>381.09</v>
      </c>
      <c r="J164" s="808">
        <f>+MST!V119</f>
        <v>8328.86</v>
      </c>
      <c r="K164" s="808">
        <f>+MST!W119</f>
        <v>-4784.7700000000004</v>
      </c>
      <c r="L164" s="808">
        <f>MST!AD119</f>
        <v>0</v>
      </c>
      <c r="M164" s="809">
        <f>MST!AE119</f>
        <v>0</v>
      </c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</row>
    <row r="165" spans="1:46" ht="15" customHeight="1">
      <c r="D165" s="807" t="str">
        <f>+input!B119</f>
        <v>228i</v>
      </c>
      <c r="E165" s="808">
        <f>+MST!B120</f>
        <v>-40.26</v>
      </c>
      <c r="F165" s="808">
        <f>+MST!C120</f>
        <v>18.05</v>
      </c>
      <c r="G165" s="808">
        <f>+MST!D120</f>
        <v>1669</v>
      </c>
      <c r="H165" s="808">
        <f>+MST!E120</f>
        <v>431.86</v>
      </c>
      <c r="I165" s="808">
        <f>+MST!F120</f>
        <v>381.09</v>
      </c>
      <c r="J165" s="808">
        <f>+MST!V120</f>
        <v>8328.86</v>
      </c>
      <c r="K165" s="808">
        <f>+MST!W120</f>
        <v>-4784.7700000000004</v>
      </c>
      <c r="L165" s="808">
        <f>MST!AD120</f>
        <v>0</v>
      </c>
      <c r="M165" s="809">
        <f>MST!AE120</f>
        <v>0</v>
      </c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</row>
    <row r="166" spans="1:46" ht="15" customHeight="1">
      <c r="D166" s="807" t="str">
        <f>+input!B120</f>
        <v>228j</v>
      </c>
      <c r="E166" s="808">
        <f>+MST!B121</f>
        <v>335.14</v>
      </c>
      <c r="F166" s="808">
        <f>+MST!C121</f>
        <v>11.76</v>
      </c>
      <c r="G166" s="808">
        <f>+MST!D121</f>
        <v>2242.1799999999998</v>
      </c>
      <c r="H166" s="808">
        <f>+MST!E121</f>
        <v>554.41999999999996</v>
      </c>
      <c r="I166" s="808">
        <f>+MST!F121</f>
        <v>479.8</v>
      </c>
      <c r="J166" s="808">
        <f>+MST!V121</f>
        <v>6607.87</v>
      </c>
      <c r="K166" s="808">
        <f>+MST!W121</f>
        <v>-3119.67</v>
      </c>
      <c r="L166" s="808">
        <f>MST!AD121</f>
        <v>0</v>
      </c>
      <c r="M166" s="809">
        <f>MST!AE121</f>
        <v>0</v>
      </c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</row>
    <row r="167" spans="1:46" ht="15" customHeight="1">
      <c r="D167" s="807" t="str">
        <f>+input!B121</f>
        <v>229i</v>
      </c>
      <c r="E167" s="808">
        <f>+MST!B122</f>
        <v>335.14</v>
      </c>
      <c r="F167" s="808">
        <f>+MST!C122</f>
        <v>11.76</v>
      </c>
      <c r="G167" s="808">
        <f>+MST!D122</f>
        <v>2242.1799999999998</v>
      </c>
      <c r="H167" s="808">
        <f>+MST!E122</f>
        <v>554.41999999999996</v>
      </c>
      <c r="I167" s="808">
        <f>+MST!F122</f>
        <v>479.8</v>
      </c>
      <c r="J167" s="808">
        <f>+MST!V122</f>
        <v>6607.87</v>
      </c>
      <c r="K167" s="808">
        <f>+MST!W122</f>
        <v>-3119.67</v>
      </c>
      <c r="L167" s="808">
        <f>MST!AD122</f>
        <v>0</v>
      </c>
      <c r="M167" s="809">
        <f>MST!AE122</f>
        <v>0</v>
      </c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</row>
    <row r="168" spans="1:46" ht="15" customHeight="1">
      <c r="D168" s="807" t="str">
        <f>+input!B122</f>
        <v>229j</v>
      </c>
      <c r="E168" s="808">
        <f>+MST!B123</f>
        <v>220.92</v>
      </c>
      <c r="F168" s="808">
        <f>+MST!C123</f>
        <v>3.64</v>
      </c>
      <c r="G168" s="808">
        <f>+MST!D123</f>
        <v>1089.69</v>
      </c>
      <c r="H168" s="808">
        <f>+MST!E123</f>
        <v>246.28</v>
      </c>
      <c r="I168" s="808">
        <f>+MST!F123</f>
        <v>220.12</v>
      </c>
      <c r="J168" s="808">
        <f>+MST!V123</f>
        <v>2460.85</v>
      </c>
      <c r="K168" s="808">
        <f>+MST!W123</f>
        <v>-967.07</v>
      </c>
      <c r="L168" s="808">
        <f>MST!AD123</f>
        <v>0</v>
      </c>
      <c r="M168" s="809">
        <f>MST!AE123</f>
        <v>0</v>
      </c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</row>
    <row r="169" spans="1:46" ht="15" customHeight="1">
      <c r="D169" s="807" t="str">
        <f>+input!B123</f>
        <v>230i</v>
      </c>
      <c r="E169" s="808">
        <f>+MST!B124</f>
        <v>220.91</v>
      </c>
      <c r="F169" s="808">
        <f>+MST!C124</f>
        <v>3.64</v>
      </c>
      <c r="G169" s="808">
        <f>+MST!D124</f>
        <v>1089.69</v>
      </c>
      <c r="H169" s="808">
        <f>+MST!E124</f>
        <v>246.28</v>
      </c>
      <c r="I169" s="808">
        <f>+MST!F124</f>
        <v>220.12</v>
      </c>
      <c r="J169" s="808">
        <f>+MST!V124</f>
        <v>2460.85</v>
      </c>
      <c r="K169" s="808">
        <f>+MST!W124</f>
        <v>-967.07</v>
      </c>
      <c r="L169" s="808">
        <f>MST!AD124</f>
        <v>0</v>
      </c>
      <c r="M169" s="809">
        <f>MST!AE124</f>
        <v>0</v>
      </c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</row>
    <row r="170" spans="1:46" ht="15" customHeight="1">
      <c r="D170" s="807" t="str">
        <f>+input!B124</f>
        <v>230j</v>
      </c>
      <c r="E170" s="808">
        <f>+MST!B125</f>
        <v>-1.85</v>
      </c>
      <c r="F170" s="808">
        <f>+MST!C125</f>
        <v>0</v>
      </c>
      <c r="G170" s="808">
        <f>+MST!D125</f>
        <v>-8.83</v>
      </c>
      <c r="H170" s="808">
        <f>+MST!E125</f>
        <v>-1.21</v>
      </c>
      <c r="I170" s="808">
        <f>+MST!F125</f>
        <v>-1.1599999999999999</v>
      </c>
      <c r="J170" s="808">
        <f>+MST!V125</f>
        <v>-2</v>
      </c>
      <c r="K170" s="808">
        <f>+MST!W125</f>
        <v>-142.16</v>
      </c>
      <c r="L170" s="808">
        <f>MST!AD125</f>
        <v>0</v>
      </c>
      <c r="M170" s="809">
        <f>MST!AE125</f>
        <v>0</v>
      </c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</row>
    <row r="171" spans="1:46" ht="15" customHeight="1">
      <c r="D171" s="807" t="str">
        <f>+input!B125</f>
        <v>231i</v>
      </c>
      <c r="E171" s="808">
        <f>+MST!B126</f>
        <v>-1.86</v>
      </c>
      <c r="F171" s="808">
        <f>+MST!C126</f>
        <v>0</v>
      </c>
      <c r="G171" s="808">
        <f>+MST!D126</f>
        <v>-8.85</v>
      </c>
      <c r="H171" s="808">
        <f>+MST!E126</f>
        <v>-1.22</v>
      </c>
      <c r="I171" s="808">
        <f>+MST!F126</f>
        <v>-1.17</v>
      </c>
      <c r="J171" s="808">
        <f>+MST!V126</f>
        <v>0</v>
      </c>
      <c r="K171" s="808">
        <f>+MST!W126</f>
        <v>-142.16</v>
      </c>
      <c r="L171" s="808">
        <f>MST!AD126</f>
        <v>0</v>
      </c>
      <c r="M171" s="809">
        <f>MST!AE126</f>
        <v>0</v>
      </c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</row>
    <row r="172" spans="1:46" ht="15" customHeight="1" thickBot="1">
      <c r="D172" s="911" t="str">
        <f>+input!B126</f>
        <v>231j</v>
      </c>
      <c r="E172" s="912">
        <f>+MST!B127</f>
        <v>0</v>
      </c>
      <c r="F172" s="912">
        <f>+MST!C127</f>
        <v>0</v>
      </c>
      <c r="G172" s="912">
        <f>+MST!D127</f>
        <v>-0.01</v>
      </c>
      <c r="H172" s="912">
        <f>+MST!E127</f>
        <v>0</v>
      </c>
      <c r="I172" s="912">
        <f>+MST!F127</f>
        <v>0</v>
      </c>
      <c r="J172" s="912">
        <f>+MST!V127</f>
        <v>0</v>
      </c>
      <c r="K172" s="912">
        <f>+MST!W127</f>
        <v>0</v>
      </c>
      <c r="L172" s="913">
        <f>MST!AD127</f>
        <v>0</v>
      </c>
      <c r="M172" s="914">
        <f>MST!AE127</f>
        <v>0</v>
      </c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</row>
    <row r="173" spans="1:46" ht="15" customHeight="1">
      <c r="A173" s="741"/>
      <c r="B173" s="741"/>
      <c r="C173" s="741"/>
      <c r="D173" s="741"/>
      <c r="E173" s="741"/>
      <c r="F173" s="741"/>
      <c r="G173" s="741"/>
      <c r="H173" s="741"/>
      <c r="I173" s="741"/>
      <c r="J173" s="741"/>
      <c r="K173" s="741"/>
      <c r="L173" s="741"/>
      <c r="M173" s="741"/>
      <c r="N173" s="741"/>
      <c r="O173" s="741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</row>
    <row r="174" spans="1:46" ht="15" customHeight="1" thickBot="1">
      <c r="A174" s="741"/>
      <c r="B174" s="741"/>
      <c r="C174" s="741"/>
      <c r="D174" s="741"/>
      <c r="E174" s="472" t="s">
        <v>1648</v>
      </c>
      <c r="F174" s="170"/>
      <c r="G174" s="170"/>
      <c r="H174" s="170"/>
      <c r="I174" s="170"/>
      <c r="J174" s="170"/>
      <c r="K174" s="170"/>
      <c r="L174" s="741"/>
      <c r="M174" s="741"/>
      <c r="N174" s="741"/>
      <c r="O174" s="741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</row>
    <row r="175" spans="1:46" ht="15" customHeight="1">
      <c r="A175" s="741"/>
      <c r="B175" s="741"/>
      <c r="C175" s="741"/>
      <c r="D175" s="1923"/>
      <c r="E175" s="1924" t="s">
        <v>319</v>
      </c>
      <c r="F175" s="1924"/>
      <c r="G175" s="1924"/>
      <c r="H175" s="1924"/>
      <c r="I175" s="1924"/>
      <c r="J175" s="1924"/>
      <c r="K175" s="1924"/>
      <c r="L175" s="1924"/>
      <c r="M175" s="1925"/>
      <c r="N175" s="741"/>
      <c r="O175" s="741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</row>
    <row r="176" spans="1:46" ht="15" customHeight="1">
      <c r="A176" s="741"/>
      <c r="B176" s="741"/>
      <c r="C176" s="741"/>
      <c r="D176" s="742" t="s">
        <v>16</v>
      </c>
      <c r="E176" s="743" t="s">
        <v>7</v>
      </c>
      <c r="F176" s="743" t="s">
        <v>196</v>
      </c>
      <c r="G176" s="743" t="s">
        <v>23</v>
      </c>
      <c r="H176" s="743" t="s">
        <v>198</v>
      </c>
      <c r="I176" s="743" t="s">
        <v>199</v>
      </c>
      <c r="J176" s="1920" t="s">
        <v>1802</v>
      </c>
      <c r="K176" s="1921"/>
      <c r="L176" s="1920" t="s">
        <v>1801</v>
      </c>
      <c r="M176" s="1922"/>
      <c r="N176" s="741"/>
      <c r="O176" s="741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</row>
    <row r="177" spans="1:46" ht="15" customHeight="1">
      <c r="A177" s="741"/>
      <c r="B177" s="741"/>
      <c r="C177" s="741"/>
      <c r="D177" s="661"/>
      <c r="E177" s="662" t="s">
        <v>8</v>
      </c>
      <c r="F177" s="662" t="s">
        <v>9</v>
      </c>
      <c r="G177" s="662" t="s">
        <v>10</v>
      </c>
      <c r="H177" s="662" t="s">
        <v>197</v>
      </c>
      <c r="I177" s="662" t="s">
        <v>11</v>
      </c>
      <c r="J177" s="662" t="s">
        <v>12</v>
      </c>
      <c r="K177" s="662" t="s">
        <v>13</v>
      </c>
      <c r="L177" s="662" t="s">
        <v>12</v>
      </c>
      <c r="M177" s="664" t="s">
        <v>13</v>
      </c>
      <c r="N177" s="741"/>
      <c r="O177" s="741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</row>
    <row r="178" spans="1:46" ht="15" customHeight="1">
      <c r="A178" s="741"/>
      <c r="B178" s="741"/>
      <c r="C178" s="741"/>
      <c r="D178" s="807" t="str">
        <f>+input!B3</f>
        <v>101i</v>
      </c>
      <c r="E178" s="808">
        <f>+MST!G4</f>
        <v>0.25</v>
      </c>
      <c r="F178" s="808">
        <f>+MST!H4</f>
        <v>0</v>
      </c>
      <c r="G178" s="808">
        <f>+MST!I4</f>
        <v>0.12</v>
      </c>
      <c r="H178" s="808">
        <f>+MST!J4</f>
        <v>-0.22</v>
      </c>
      <c r="I178" s="808">
        <f>+MST!K4</f>
        <v>-0.11</v>
      </c>
      <c r="J178" s="808">
        <f>+MST!X4</f>
        <v>0</v>
      </c>
      <c r="K178" s="808">
        <f>+MST!Y4</f>
        <v>-260.5</v>
      </c>
      <c r="L178" s="808">
        <f>MST!AF4</f>
        <v>3.36</v>
      </c>
      <c r="M178" s="809">
        <f>MST!AE4</f>
        <v>-0.01</v>
      </c>
      <c r="N178" s="741"/>
      <c r="O178" s="741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</row>
    <row r="179" spans="1:46" ht="15" customHeight="1">
      <c r="A179" s="741"/>
      <c r="B179" s="741"/>
      <c r="C179" s="741"/>
      <c r="D179" s="807" t="str">
        <f>+input!B4</f>
        <v>101j</v>
      </c>
      <c r="E179" s="808">
        <f>+MST!G5</f>
        <v>-6.73</v>
      </c>
      <c r="F179" s="808">
        <f>+MST!H5</f>
        <v>0</v>
      </c>
      <c r="G179" s="808">
        <f>+MST!I5</f>
        <v>-32.06</v>
      </c>
      <c r="H179" s="808">
        <f>+MST!J5</f>
        <v>-4.6399999999999997</v>
      </c>
      <c r="I179" s="808">
        <f>+MST!K5</f>
        <v>-4.3499999999999996</v>
      </c>
      <c r="J179" s="808">
        <f>+MST!X5</f>
        <v>0</v>
      </c>
      <c r="K179" s="808">
        <f>+MST!Y5</f>
        <v>-260.5</v>
      </c>
      <c r="L179" s="808">
        <f>MST!AF5</f>
        <v>3.65</v>
      </c>
      <c r="M179" s="809">
        <f>MST!AE5</f>
        <v>-104.64</v>
      </c>
      <c r="N179" s="741"/>
      <c r="O179" s="741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</row>
    <row r="180" spans="1:46" ht="15" customHeight="1">
      <c r="A180" s="741"/>
      <c r="B180" s="741"/>
      <c r="C180" s="741"/>
      <c r="D180" s="807" t="str">
        <f>+input!B5</f>
        <v>102i</v>
      </c>
      <c r="E180" s="808">
        <f>+MST!G6</f>
        <v>670.91</v>
      </c>
      <c r="F180" s="808">
        <f>+MST!H6</f>
        <v>0.8</v>
      </c>
      <c r="G180" s="808">
        <f>+MST!I6</f>
        <v>1427.75</v>
      </c>
      <c r="H180" s="808">
        <f>+MST!J6</f>
        <v>327.74</v>
      </c>
      <c r="I180" s="808">
        <f>+MST!K6</f>
        <v>288.8</v>
      </c>
      <c r="J180" s="808">
        <f>+MST!X6</f>
        <v>1215.58</v>
      </c>
      <c r="K180" s="808">
        <f>+MST!Y6</f>
        <v>-66.89</v>
      </c>
      <c r="L180" s="808">
        <f>MST!AF6</f>
        <v>413.69</v>
      </c>
      <c r="M180" s="809">
        <f>MST!AE6</f>
        <v>-104.63</v>
      </c>
      <c r="N180" s="741"/>
      <c r="O180" s="741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</row>
    <row r="181" spans="1:46" ht="15" customHeight="1">
      <c r="A181" s="741"/>
      <c r="B181" s="741"/>
      <c r="C181" s="741"/>
      <c r="D181" s="807" t="str">
        <f>+input!B6</f>
        <v>102j</v>
      </c>
      <c r="E181" s="808">
        <f>+MST!G7</f>
        <v>637.29</v>
      </c>
      <c r="F181" s="808">
        <f>+MST!H7</f>
        <v>0.8</v>
      </c>
      <c r="G181" s="808">
        <f>+MST!I7</f>
        <v>1272.67</v>
      </c>
      <c r="H181" s="808">
        <f>+MST!J7</f>
        <v>306.41000000000003</v>
      </c>
      <c r="I181" s="808">
        <f>+MST!K7</f>
        <v>268.33999999999997</v>
      </c>
      <c r="J181" s="808">
        <f>+MST!X7</f>
        <v>1133.21</v>
      </c>
      <c r="K181" s="808">
        <f>+MST!Y7</f>
        <v>-77.16</v>
      </c>
      <c r="L181" s="808">
        <f>MST!AF7</f>
        <v>364.58</v>
      </c>
      <c r="M181" s="809">
        <f>MST!AE7</f>
        <v>-89.29</v>
      </c>
      <c r="N181" s="741"/>
      <c r="O181" s="741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</row>
    <row r="182" spans="1:46" ht="15" customHeight="1">
      <c r="A182" s="741"/>
      <c r="B182" s="741"/>
      <c r="C182" s="741"/>
      <c r="D182" s="807" t="str">
        <f>+input!B7</f>
        <v>103i</v>
      </c>
      <c r="E182" s="808">
        <f>+MST!G8</f>
        <v>637.28</v>
      </c>
      <c r="F182" s="808">
        <f>+MST!H8</f>
        <v>0.8</v>
      </c>
      <c r="G182" s="808">
        <f>+MST!I8</f>
        <v>1272.6400000000001</v>
      </c>
      <c r="H182" s="808">
        <f>+MST!J8</f>
        <v>306.43</v>
      </c>
      <c r="I182" s="808">
        <f>+MST!K8</f>
        <v>268.35000000000002</v>
      </c>
      <c r="J182" s="808">
        <f>+MST!X8</f>
        <v>1133.21</v>
      </c>
      <c r="K182" s="808">
        <f>+MST!Y8</f>
        <v>-77.16</v>
      </c>
      <c r="L182" s="808">
        <f>MST!AF8</f>
        <v>364.58</v>
      </c>
      <c r="M182" s="809">
        <f>MST!AE8</f>
        <v>-89.29</v>
      </c>
      <c r="N182" s="741"/>
      <c r="O182" s="741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</row>
    <row r="183" spans="1:46" ht="15" customHeight="1">
      <c r="A183" s="741"/>
      <c r="B183" s="741"/>
      <c r="C183" s="741"/>
      <c r="D183" s="807" t="str">
        <f>+input!B8</f>
        <v>103j</v>
      </c>
      <c r="E183" s="808">
        <f>+MST!G9</f>
        <v>580.19000000000005</v>
      </c>
      <c r="F183" s="808">
        <f>+MST!H9</f>
        <v>0.8</v>
      </c>
      <c r="G183" s="808">
        <f>+MST!I9</f>
        <v>1140.18</v>
      </c>
      <c r="H183" s="808">
        <f>+MST!J9</f>
        <v>276.64</v>
      </c>
      <c r="I183" s="808">
        <f>+MST!K9</f>
        <v>239.79</v>
      </c>
      <c r="J183" s="808">
        <f>+MST!X9</f>
        <v>1032.82</v>
      </c>
      <c r="K183" s="808">
        <f>+MST!Y9</f>
        <v>-125.95</v>
      </c>
      <c r="L183" s="808">
        <f>MST!AF9</f>
        <v>305.77999999999997</v>
      </c>
      <c r="M183" s="809">
        <f>MST!AE9</f>
        <v>-75.94</v>
      </c>
      <c r="N183" s="741"/>
      <c r="O183" s="741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</row>
    <row r="184" spans="1:46" ht="15" customHeight="1">
      <c r="A184" s="741"/>
      <c r="B184" s="741"/>
      <c r="C184" s="741"/>
      <c r="D184" s="807" t="str">
        <f>+input!B9</f>
        <v>104i</v>
      </c>
      <c r="E184" s="808">
        <f>+MST!G10</f>
        <v>565.29</v>
      </c>
      <c r="F184" s="808">
        <f>+MST!H10</f>
        <v>0.8</v>
      </c>
      <c r="G184" s="808">
        <f>+MST!I10</f>
        <v>1070.69</v>
      </c>
      <c r="H184" s="808">
        <f>+MST!J10</f>
        <v>255.38</v>
      </c>
      <c r="I184" s="808">
        <f>+MST!K10</f>
        <v>227.19</v>
      </c>
      <c r="J184" s="808">
        <f>+MST!X10</f>
        <v>1008.86</v>
      </c>
      <c r="K184" s="808">
        <f>+MST!Y10</f>
        <v>-109.76</v>
      </c>
      <c r="L184" s="808">
        <f>MST!AF10</f>
        <v>341.07</v>
      </c>
      <c r="M184" s="809">
        <f>MST!AE10</f>
        <v>-75.94</v>
      </c>
      <c r="N184" s="741"/>
      <c r="O184" s="741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</row>
    <row r="185" spans="1:46" ht="15" customHeight="1">
      <c r="A185" s="741"/>
      <c r="B185" s="741"/>
      <c r="C185" s="741"/>
      <c r="D185" s="807" t="str">
        <f>+input!B10</f>
        <v>104j</v>
      </c>
      <c r="E185" s="808">
        <f>+MST!G11</f>
        <v>488.14</v>
      </c>
      <c r="F185" s="808">
        <f>+MST!H11</f>
        <v>0.8</v>
      </c>
      <c r="G185" s="808">
        <f>+MST!I11</f>
        <v>891.69</v>
      </c>
      <c r="H185" s="808">
        <f>+MST!J11</f>
        <v>215.13</v>
      </c>
      <c r="I185" s="808">
        <f>+MST!K11</f>
        <v>188.59</v>
      </c>
      <c r="J185" s="808">
        <f>+MST!X11</f>
        <v>885.54</v>
      </c>
      <c r="K185" s="808">
        <f>+MST!Y11</f>
        <v>-182.9</v>
      </c>
      <c r="L185" s="808">
        <f>MST!AF11</f>
        <v>269.89999999999998</v>
      </c>
      <c r="M185" s="809">
        <f>MST!AE11</f>
        <v>-158.93</v>
      </c>
      <c r="N185" s="741"/>
      <c r="O185" s="741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</row>
    <row r="186" spans="1:46" ht="15" customHeight="1">
      <c r="A186" s="741"/>
      <c r="B186" s="741"/>
      <c r="C186" s="741"/>
      <c r="D186" s="807" t="str">
        <f>+input!B11</f>
        <v>105i</v>
      </c>
      <c r="E186" s="808">
        <f>+MST!G12</f>
        <v>488.14</v>
      </c>
      <c r="F186" s="808">
        <f>+MST!H12</f>
        <v>0.8</v>
      </c>
      <c r="G186" s="808">
        <f>+MST!I12</f>
        <v>891.71</v>
      </c>
      <c r="H186" s="808">
        <f>+MST!J12</f>
        <v>215.12</v>
      </c>
      <c r="I186" s="808">
        <f>+MST!K12</f>
        <v>188.59</v>
      </c>
      <c r="J186" s="808">
        <f>+MST!X12</f>
        <v>885.54</v>
      </c>
      <c r="K186" s="808">
        <f>+MST!Y12</f>
        <v>-182.9</v>
      </c>
      <c r="L186" s="808">
        <f>MST!AF12</f>
        <v>269.89</v>
      </c>
      <c r="M186" s="809">
        <f>MST!AE12</f>
        <v>-158.93</v>
      </c>
      <c r="N186" s="741"/>
      <c r="O186" s="741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</row>
    <row r="187" spans="1:46" ht="15" customHeight="1">
      <c r="A187" s="741"/>
      <c r="B187" s="741"/>
      <c r="C187" s="741"/>
      <c r="D187" s="807" t="str">
        <f>+input!B12</f>
        <v>105j</v>
      </c>
      <c r="E187" s="808">
        <f>+MST!G13</f>
        <v>389.13</v>
      </c>
      <c r="F187" s="808">
        <f>+MST!H13</f>
        <v>0.8</v>
      </c>
      <c r="G187" s="808">
        <f>+MST!I13</f>
        <v>712.71</v>
      </c>
      <c r="H187" s="808">
        <f>+MST!J13</f>
        <v>174.87</v>
      </c>
      <c r="I187" s="808">
        <f>+MST!K13</f>
        <v>149.99</v>
      </c>
      <c r="J187" s="808">
        <f>+MST!X13</f>
        <v>783.4</v>
      </c>
      <c r="K187" s="808">
        <f>+MST!Y13</f>
        <v>-277.99</v>
      </c>
      <c r="L187" s="808">
        <f>MST!AF13</f>
        <v>209.9</v>
      </c>
      <c r="M187" s="809">
        <f>MST!AE13</f>
        <v>-223.79</v>
      </c>
      <c r="N187" s="741"/>
      <c r="O187" s="741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</row>
    <row r="188" spans="1:46" ht="15" customHeight="1">
      <c r="A188" s="741"/>
      <c r="B188" s="741"/>
      <c r="C188" s="741"/>
      <c r="D188" s="807" t="str">
        <f>+input!B13</f>
        <v>106i</v>
      </c>
      <c r="E188" s="808">
        <f>+MST!G14</f>
        <v>370.15</v>
      </c>
      <c r="F188" s="808">
        <f>+MST!H14</f>
        <v>0.81</v>
      </c>
      <c r="G188" s="808">
        <f>+MST!I14</f>
        <v>631.29</v>
      </c>
      <c r="H188" s="808">
        <f>+MST!J14</f>
        <v>150.32</v>
      </c>
      <c r="I188" s="808">
        <f>+MST!K14</f>
        <v>135.09</v>
      </c>
      <c r="J188" s="808">
        <f>+MST!X14</f>
        <v>758.34</v>
      </c>
      <c r="K188" s="808">
        <f>+MST!Y14</f>
        <v>-221.05</v>
      </c>
      <c r="L188" s="808">
        <f>MST!AF14</f>
        <v>287.33</v>
      </c>
      <c r="M188" s="809">
        <f>MST!AE14</f>
        <v>-223.79</v>
      </c>
      <c r="N188" s="741"/>
      <c r="O188" s="741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</row>
    <row r="189" spans="1:46" ht="15" customHeight="1">
      <c r="A189" s="741"/>
      <c r="B189" s="741"/>
      <c r="C189" s="741"/>
      <c r="D189" s="807" t="str">
        <f>+input!B14</f>
        <v>106j</v>
      </c>
      <c r="E189" s="808">
        <f>+MST!G15</f>
        <v>271.14999999999998</v>
      </c>
      <c r="F189" s="808">
        <f>+MST!H15</f>
        <v>0.81</v>
      </c>
      <c r="G189" s="808">
        <f>+MST!I15</f>
        <v>452.29</v>
      </c>
      <c r="H189" s="808">
        <f>+MST!J15</f>
        <v>110.07</v>
      </c>
      <c r="I189" s="808">
        <f>+MST!K15</f>
        <v>96.49</v>
      </c>
      <c r="J189" s="808">
        <f>+MST!X15</f>
        <v>652.79999999999995</v>
      </c>
      <c r="K189" s="808">
        <f>+MST!Y15</f>
        <v>-304.18</v>
      </c>
      <c r="L189" s="808">
        <f>MST!AF15</f>
        <v>225.69</v>
      </c>
      <c r="M189" s="809">
        <f>MST!AE15</f>
        <v>-286.23</v>
      </c>
      <c r="N189" s="741"/>
      <c r="O189" s="741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</row>
    <row r="190" spans="1:46" ht="15" customHeight="1">
      <c r="A190" s="741"/>
      <c r="B190" s="741"/>
      <c r="C190" s="741"/>
      <c r="D190" s="807" t="str">
        <f>+input!B15</f>
        <v>107i</v>
      </c>
      <c r="E190" s="808">
        <f>+MST!G16</f>
        <v>271.2</v>
      </c>
      <c r="F190" s="808">
        <f>+MST!H16</f>
        <v>0.81</v>
      </c>
      <c r="G190" s="808">
        <f>+MST!I16</f>
        <v>452.28</v>
      </c>
      <c r="H190" s="808">
        <f>+MST!J16</f>
        <v>110.05</v>
      </c>
      <c r="I190" s="808">
        <f>+MST!K16</f>
        <v>96.5</v>
      </c>
      <c r="J190" s="808">
        <f>+MST!X16</f>
        <v>652.79999999999995</v>
      </c>
      <c r="K190" s="808">
        <f>+MST!Y16</f>
        <v>-304.18</v>
      </c>
      <c r="L190" s="808">
        <f>MST!AF16</f>
        <v>225.67</v>
      </c>
      <c r="M190" s="809">
        <f>MST!AE16</f>
        <v>-286.22000000000003</v>
      </c>
      <c r="N190" s="741"/>
      <c r="O190" s="741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</row>
    <row r="191" spans="1:46" ht="15" customHeight="1">
      <c r="A191" s="741"/>
      <c r="B191" s="741"/>
      <c r="C191" s="741"/>
      <c r="D191" s="807" t="str">
        <f>+input!B16</f>
        <v>107j</v>
      </c>
      <c r="E191" s="808">
        <f>+MST!G17</f>
        <v>160.07</v>
      </c>
      <c r="F191" s="808">
        <f>+MST!H17</f>
        <v>0.81</v>
      </c>
      <c r="G191" s="808">
        <f>+MST!I17</f>
        <v>273.27999999999997</v>
      </c>
      <c r="H191" s="808">
        <f>+MST!J17</f>
        <v>69.8</v>
      </c>
      <c r="I191" s="808">
        <f>+MST!K17</f>
        <v>57.9</v>
      </c>
      <c r="J191" s="808">
        <f>+MST!X17</f>
        <v>563.48</v>
      </c>
      <c r="K191" s="808">
        <f>+MST!Y17</f>
        <v>-403.78</v>
      </c>
      <c r="L191" s="808">
        <f>MST!AF17</f>
        <v>171.8</v>
      </c>
      <c r="M191" s="809">
        <f>MST!AE17</f>
        <v>-358.88</v>
      </c>
      <c r="N191" s="741"/>
      <c r="O191" s="741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</row>
    <row r="192" spans="1:46" ht="15" customHeight="1">
      <c r="A192" s="741"/>
      <c r="B192" s="741"/>
      <c r="C192" s="741"/>
      <c r="D192" s="807" t="str">
        <f>+input!B17</f>
        <v>108i</v>
      </c>
      <c r="E192" s="808">
        <f>+MST!G18</f>
        <v>139.71</v>
      </c>
      <c r="F192" s="808">
        <f>+MST!H18</f>
        <v>0.8</v>
      </c>
      <c r="G192" s="808">
        <f>+MST!I18</f>
        <v>187.21</v>
      </c>
      <c r="H192" s="808">
        <f>+MST!J18</f>
        <v>44.54</v>
      </c>
      <c r="I192" s="808">
        <f>+MST!K18</f>
        <v>42.63</v>
      </c>
      <c r="J192" s="808">
        <f>+MST!X18</f>
        <v>552.13</v>
      </c>
      <c r="K192" s="808">
        <f>+MST!Y18</f>
        <v>-352.17</v>
      </c>
      <c r="L192" s="808">
        <f>MST!AF18</f>
        <v>253.68</v>
      </c>
      <c r="M192" s="809">
        <f>MST!AE18</f>
        <v>-358.88</v>
      </c>
      <c r="N192" s="741"/>
      <c r="O192" s="741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  <c r="AT192" s="143"/>
    </row>
    <row r="193" spans="1:46" ht="15" customHeight="1">
      <c r="A193" s="741"/>
      <c r="B193" s="741"/>
      <c r="C193" s="741"/>
      <c r="D193" s="807" t="str">
        <f>+input!B18</f>
        <v>108j</v>
      </c>
      <c r="E193" s="808">
        <f>+MST!G19</f>
        <v>28.58</v>
      </c>
      <c r="F193" s="808">
        <f>+MST!H19</f>
        <v>0.8</v>
      </c>
      <c r="G193" s="808">
        <f>+MST!I19</f>
        <v>8.2100000000000009</v>
      </c>
      <c r="H193" s="808">
        <f>+MST!J19</f>
        <v>4.29</v>
      </c>
      <c r="I193" s="808">
        <f>+MST!K19</f>
        <v>4.03</v>
      </c>
      <c r="J193" s="808">
        <f>+MST!X19</f>
        <v>454.01</v>
      </c>
      <c r="K193" s="808">
        <f>+MST!Y19</f>
        <v>-439.91</v>
      </c>
      <c r="L193" s="808">
        <f>MST!AF19</f>
        <v>193.2</v>
      </c>
      <c r="M193" s="809">
        <f>MST!AE19</f>
        <v>-433.36</v>
      </c>
      <c r="N193" s="741"/>
      <c r="O193" s="741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</row>
    <row r="194" spans="1:46" ht="15" customHeight="1">
      <c r="A194" s="741"/>
      <c r="B194" s="741"/>
      <c r="C194" s="741"/>
      <c r="D194" s="807" t="str">
        <f>+input!B19</f>
        <v>109i</v>
      </c>
      <c r="E194" s="808">
        <f>+MST!G20</f>
        <v>28.62</v>
      </c>
      <c r="F194" s="808">
        <f>+MST!H20</f>
        <v>0.8</v>
      </c>
      <c r="G194" s="808">
        <f>+MST!I20</f>
        <v>8.17</v>
      </c>
      <c r="H194" s="808">
        <f>+MST!J20</f>
        <v>4.2699999999999996</v>
      </c>
      <c r="I194" s="808">
        <f>+MST!K20</f>
        <v>4.01</v>
      </c>
      <c r="J194" s="808">
        <f>+MST!X20</f>
        <v>454.01</v>
      </c>
      <c r="K194" s="808">
        <f>+MST!Y20</f>
        <v>-439.91</v>
      </c>
      <c r="L194" s="808">
        <f>MST!AF20</f>
        <v>193.21</v>
      </c>
      <c r="M194" s="809">
        <f>MST!AE20</f>
        <v>-433.36</v>
      </c>
      <c r="N194" s="741"/>
      <c r="O194" s="741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</row>
    <row r="195" spans="1:46" ht="15" customHeight="1">
      <c r="A195" s="741"/>
      <c r="B195" s="741"/>
      <c r="C195" s="741"/>
      <c r="D195" s="807" t="str">
        <f>+input!B20</f>
        <v>109j</v>
      </c>
      <c r="E195" s="808">
        <f>+MST!G21</f>
        <v>-82.51</v>
      </c>
      <c r="F195" s="808">
        <f>+MST!H21</f>
        <v>0.8</v>
      </c>
      <c r="G195" s="808">
        <f>+MST!I21</f>
        <v>-170.83</v>
      </c>
      <c r="H195" s="808">
        <f>+MST!J21</f>
        <v>-35.979999999999997</v>
      </c>
      <c r="I195" s="808">
        <f>+MST!K21</f>
        <v>-34.590000000000003</v>
      </c>
      <c r="J195" s="808">
        <f>+MST!X21</f>
        <v>372.08</v>
      </c>
      <c r="K195" s="808">
        <f>+MST!Y21</f>
        <v>-542.6</v>
      </c>
      <c r="L195" s="808">
        <f>MST!AF21</f>
        <v>141.35</v>
      </c>
      <c r="M195" s="809">
        <f>MST!AE21</f>
        <v>-507.84</v>
      </c>
      <c r="N195" s="741"/>
      <c r="O195" s="741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</row>
    <row r="196" spans="1:46" ht="15" customHeight="1">
      <c r="A196" s="741"/>
      <c r="B196" s="741"/>
      <c r="C196" s="741"/>
      <c r="D196" s="807" t="str">
        <f>+input!B21</f>
        <v>110i</v>
      </c>
      <c r="E196" s="808">
        <f>+MST!G22</f>
        <v>-98.11</v>
      </c>
      <c r="F196" s="808">
        <f>+MST!H22</f>
        <v>0.81</v>
      </c>
      <c r="G196" s="808">
        <f>+MST!I22</f>
        <v>-227.87</v>
      </c>
      <c r="H196" s="808">
        <f>+MST!J22</f>
        <v>-53.2</v>
      </c>
      <c r="I196" s="808">
        <f>+MST!K22</f>
        <v>-45.02</v>
      </c>
      <c r="J196" s="808">
        <f>+MST!X22</f>
        <v>404.89</v>
      </c>
      <c r="K196" s="808">
        <f>+MST!Y22</f>
        <v>-544.74</v>
      </c>
      <c r="L196" s="808">
        <f>MST!AF22</f>
        <v>207.51</v>
      </c>
      <c r="M196" s="809">
        <f>MST!AE22</f>
        <v>-507.85</v>
      </c>
      <c r="N196" s="741"/>
      <c r="O196" s="741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  <c r="AT196" s="143"/>
    </row>
    <row r="197" spans="1:46" ht="15" customHeight="1">
      <c r="A197" s="741"/>
      <c r="B197" s="741"/>
      <c r="C197" s="741"/>
      <c r="D197" s="807" t="str">
        <f>+input!B22</f>
        <v>110j</v>
      </c>
      <c r="E197" s="808">
        <f>+MST!G23</f>
        <v>-209.24</v>
      </c>
      <c r="F197" s="808">
        <f>+MST!H23</f>
        <v>0.81</v>
      </c>
      <c r="G197" s="808">
        <f>+MST!I23</f>
        <v>-406.87</v>
      </c>
      <c r="H197" s="808">
        <f>+MST!J23</f>
        <v>-93.45</v>
      </c>
      <c r="I197" s="808">
        <f>+MST!K23</f>
        <v>-83.62</v>
      </c>
      <c r="J197" s="808">
        <f>+MST!X23</f>
        <v>317.18</v>
      </c>
      <c r="K197" s="808">
        <f>+MST!Y23</f>
        <v>-641.21</v>
      </c>
      <c r="L197" s="808">
        <f>MST!AF23</f>
        <v>146.88999999999999</v>
      </c>
      <c r="M197" s="809">
        <f>MST!AE23</f>
        <v>-579.47</v>
      </c>
      <c r="N197" s="741"/>
      <c r="O197" s="741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</row>
    <row r="198" spans="1:46" ht="15" customHeight="1">
      <c r="A198" s="741"/>
      <c r="B198" s="741"/>
      <c r="C198" s="741"/>
      <c r="D198" s="807" t="str">
        <f>+input!B23</f>
        <v>111i</v>
      </c>
      <c r="E198" s="808">
        <f>+MST!G24</f>
        <v>-226.95</v>
      </c>
      <c r="F198" s="808">
        <f>+MST!H24</f>
        <v>0.8</v>
      </c>
      <c r="G198" s="808">
        <f>+MST!I24</f>
        <v>-468.2</v>
      </c>
      <c r="H198" s="808">
        <f>+MST!J24</f>
        <v>-110.9</v>
      </c>
      <c r="I198" s="808">
        <f>+MST!K24</f>
        <v>-94.2</v>
      </c>
      <c r="J198" s="808">
        <f>+MST!X24</f>
        <v>361.34</v>
      </c>
      <c r="K198" s="808">
        <f>+MST!Y24</f>
        <v>-643.48</v>
      </c>
      <c r="L198" s="808">
        <f>MST!AF24</f>
        <v>219.52</v>
      </c>
      <c r="M198" s="809">
        <f>MST!AE24</f>
        <v>-579.47</v>
      </c>
      <c r="N198" s="741"/>
      <c r="O198" s="741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</row>
    <row r="199" spans="1:46" ht="15" customHeight="1">
      <c r="A199" s="741"/>
      <c r="B199" s="741"/>
      <c r="C199" s="741"/>
      <c r="D199" s="807" t="str">
        <f>+input!B24</f>
        <v>111j</v>
      </c>
      <c r="E199" s="808">
        <f>+MST!G25</f>
        <v>-338.08</v>
      </c>
      <c r="F199" s="808">
        <f>+MST!H25</f>
        <v>0.8</v>
      </c>
      <c r="G199" s="808">
        <f>+MST!I25</f>
        <v>-647.20000000000005</v>
      </c>
      <c r="H199" s="808">
        <f>+MST!J25</f>
        <v>-151.15</v>
      </c>
      <c r="I199" s="808">
        <f>+MST!K25</f>
        <v>-132.80000000000001</v>
      </c>
      <c r="J199" s="808">
        <f>+MST!X25</f>
        <v>269.23</v>
      </c>
      <c r="K199" s="808">
        <f>+MST!Y25</f>
        <v>-735.21</v>
      </c>
      <c r="L199" s="808">
        <f>MST!AF25</f>
        <v>160.13</v>
      </c>
      <c r="M199" s="809">
        <f>MST!AE25</f>
        <v>-640.96</v>
      </c>
      <c r="N199" s="741"/>
      <c r="O199" s="741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</row>
    <row r="200" spans="1:46" ht="15" customHeight="1">
      <c r="A200" s="741"/>
      <c r="B200" s="741"/>
      <c r="C200" s="741"/>
      <c r="D200" s="807" t="str">
        <f>+input!B25</f>
        <v>112i</v>
      </c>
      <c r="E200" s="808">
        <f>+MST!G26</f>
        <v>-338.14</v>
      </c>
      <c r="F200" s="808">
        <f>+MST!H26</f>
        <v>0.8</v>
      </c>
      <c r="G200" s="808">
        <f>+MST!I26</f>
        <v>-647.17999999999995</v>
      </c>
      <c r="H200" s="808">
        <f>+MST!J26</f>
        <v>-151.13</v>
      </c>
      <c r="I200" s="808">
        <f>+MST!K26</f>
        <v>-132.83000000000001</v>
      </c>
      <c r="J200" s="808">
        <f>+MST!X26</f>
        <v>269.23</v>
      </c>
      <c r="K200" s="808">
        <f>+MST!Y26</f>
        <v>-735.21</v>
      </c>
      <c r="L200" s="808">
        <f>MST!AF26</f>
        <v>160.13999999999999</v>
      </c>
      <c r="M200" s="809">
        <f>MST!AE26</f>
        <v>-640.95000000000005</v>
      </c>
      <c r="N200" s="741"/>
      <c r="O200" s="741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</row>
    <row r="201" spans="1:46" ht="15" customHeight="1">
      <c r="A201" s="741"/>
      <c r="B201" s="741"/>
      <c r="C201" s="741"/>
      <c r="D201" s="807" t="str">
        <f>+input!B26</f>
        <v>112j</v>
      </c>
      <c r="E201" s="808">
        <f>+MST!G27</f>
        <v>-433.86</v>
      </c>
      <c r="F201" s="808">
        <f>+MST!H27</f>
        <v>0.8</v>
      </c>
      <c r="G201" s="808">
        <f>+MST!I27</f>
        <v>-826.18</v>
      </c>
      <c r="H201" s="808">
        <f>+MST!J27</f>
        <v>-191.38</v>
      </c>
      <c r="I201" s="808">
        <f>+MST!K27</f>
        <v>-171.43</v>
      </c>
      <c r="J201" s="808">
        <f>+MST!X27</f>
        <v>194.31</v>
      </c>
      <c r="K201" s="808">
        <f>+MST!Y27</f>
        <v>-841.58</v>
      </c>
      <c r="L201" s="808">
        <f>MST!AF27</f>
        <v>107.48</v>
      </c>
      <c r="M201" s="809">
        <f>MST!AE27</f>
        <v>-702.42</v>
      </c>
      <c r="N201" s="741"/>
      <c r="O201" s="741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</row>
    <row r="202" spans="1:46" ht="15" customHeight="1">
      <c r="A202" s="741"/>
      <c r="B202" s="741"/>
      <c r="C202" s="741"/>
      <c r="D202" s="807" t="str">
        <f>+input!B27</f>
        <v>113i</v>
      </c>
      <c r="E202" s="808">
        <f>+MST!G28</f>
        <v>-451.11</v>
      </c>
      <c r="F202" s="808">
        <f>+MST!H28</f>
        <v>0.79</v>
      </c>
      <c r="G202" s="808">
        <f>+MST!I28</f>
        <v>-905.7</v>
      </c>
      <c r="H202" s="808">
        <f>+MST!J28</f>
        <v>-216.38</v>
      </c>
      <c r="I202" s="808">
        <f>+MST!K28</f>
        <v>-186.41</v>
      </c>
      <c r="J202" s="808">
        <f>+MST!X28</f>
        <v>261.68</v>
      </c>
      <c r="K202" s="808">
        <f>+MST!Y28</f>
        <v>-870.41</v>
      </c>
      <c r="L202" s="808">
        <f>MST!AF28</f>
        <v>182.37</v>
      </c>
      <c r="M202" s="809">
        <f>MST!AE28</f>
        <v>-702.42</v>
      </c>
      <c r="N202" s="741"/>
      <c r="O202" s="741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  <c r="AT202" s="143"/>
    </row>
    <row r="203" spans="1:46" ht="15" customHeight="1">
      <c r="A203" s="741"/>
      <c r="B203" s="741"/>
      <c r="C203" s="741"/>
      <c r="D203" s="807" t="str">
        <f>+input!B28</f>
        <v>113j</v>
      </c>
      <c r="E203" s="808">
        <f>+MST!G29</f>
        <v>-543.46</v>
      </c>
      <c r="F203" s="808">
        <f>+MST!H29</f>
        <v>0.79</v>
      </c>
      <c r="G203" s="808">
        <f>+MST!I29</f>
        <v>-1084.7</v>
      </c>
      <c r="H203" s="808">
        <f>+MST!J29</f>
        <v>-256.63</v>
      </c>
      <c r="I203" s="808">
        <f>+MST!K29</f>
        <v>-225.01</v>
      </c>
      <c r="J203" s="808">
        <f>+MST!X29</f>
        <v>181.49</v>
      </c>
      <c r="K203" s="808">
        <f>+MST!Y29</f>
        <v>-967.84</v>
      </c>
      <c r="L203" s="808">
        <f>MST!AF29</f>
        <v>124.48</v>
      </c>
      <c r="M203" s="809">
        <f>MST!AE29</f>
        <v>-785.01</v>
      </c>
      <c r="N203" s="741"/>
      <c r="O203" s="741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  <c r="AT203" s="143"/>
    </row>
    <row r="204" spans="1:46" ht="15" customHeight="1">
      <c r="A204" s="741"/>
      <c r="B204" s="741"/>
      <c r="C204" s="741"/>
      <c r="D204" s="807" t="str">
        <f>+input!B29</f>
        <v>114i</v>
      </c>
      <c r="E204" s="808">
        <f>+MST!G30</f>
        <v>-543.46</v>
      </c>
      <c r="F204" s="808">
        <f>+MST!H30</f>
        <v>0.79</v>
      </c>
      <c r="G204" s="808">
        <f>+MST!I30</f>
        <v>-1084.6600000000001</v>
      </c>
      <c r="H204" s="808">
        <f>+MST!J30</f>
        <v>-256.64</v>
      </c>
      <c r="I204" s="808">
        <f>+MST!K30</f>
        <v>-225.01</v>
      </c>
      <c r="J204" s="808">
        <f>+MST!X30</f>
        <v>181.49</v>
      </c>
      <c r="K204" s="808">
        <f>+MST!Y30</f>
        <v>-967.84</v>
      </c>
      <c r="L204" s="808">
        <f>MST!AF30</f>
        <v>124.47</v>
      </c>
      <c r="M204" s="809">
        <f>MST!AE30</f>
        <v>-785</v>
      </c>
      <c r="N204" s="741"/>
      <c r="O204" s="741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  <c r="AT204" s="143"/>
    </row>
    <row r="205" spans="1:46" ht="15" customHeight="1">
      <c r="A205" s="741"/>
      <c r="B205" s="741"/>
      <c r="C205" s="741"/>
      <c r="D205" s="807" t="str">
        <f>+input!B30</f>
        <v>114j</v>
      </c>
      <c r="E205" s="808">
        <f>+MST!G31</f>
        <v>-635.82000000000005</v>
      </c>
      <c r="F205" s="808">
        <f>+MST!H31</f>
        <v>0.79</v>
      </c>
      <c r="G205" s="808">
        <f>+MST!I31</f>
        <v>-1263.6600000000001</v>
      </c>
      <c r="H205" s="808">
        <f>+MST!J31</f>
        <v>-296.89</v>
      </c>
      <c r="I205" s="808">
        <f>+MST!K31</f>
        <v>-263.61</v>
      </c>
      <c r="J205" s="808">
        <f>+MST!X31</f>
        <v>117.89</v>
      </c>
      <c r="K205" s="808">
        <f>+MST!Y31</f>
        <v>-1078.81</v>
      </c>
      <c r="L205" s="808">
        <f>MST!AF31</f>
        <v>75.3</v>
      </c>
      <c r="M205" s="809">
        <f>MST!AE31</f>
        <v>-898.1</v>
      </c>
      <c r="N205" s="741"/>
      <c r="O205" s="741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  <c r="AT205" s="143"/>
    </row>
    <row r="206" spans="1:46" ht="15" customHeight="1">
      <c r="A206" s="741"/>
      <c r="B206" s="741"/>
      <c r="C206" s="741"/>
      <c r="D206" s="807" t="str">
        <f>+input!B31</f>
        <v>115i</v>
      </c>
      <c r="E206" s="808">
        <f>+MST!G32</f>
        <v>-654.26</v>
      </c>
      <c r="F206" s="808">
        <f>+MST!H32</f>
        <v>0.79</v>
      </c>
      <c r="G206" s="808">
        <f>+MST!I32</f>
        <v>-1344.62</v>
      </c>
      <c r="H206" s="808">
        <f>+MST!J32</f>
        <v>-320.83</v>
      </c>
      <c r="I206" s="808">
        <f>+MST!K32</f>
        <v>-278.14999999999998</v>
      </c>
      <c r="J206" s="808">
        <f>+MST!X32</f>
        <v>197.04</v>
      </c>
      <c r="K206" s="808">
        <f>+MST!Y32</f>
        <v>-1115.26</v>
      </c>
      <c r="L206" s="808">
        <f>MST!AF32</f>
        <v>139.56</v>
      </c>
      <c r="M206" s="809">
        <f>MST!AE32</f>
        <v>-898.09</v>
      </c>
      <c r="N206" s="741"/>
      <c r="O206" s="741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  <c r="AT206" s="143"/>
    </row>
    <row r="207" spans="1:46" ht="15" customHeight="1">
      <c r="A207" s="741"/>
      <c r="B207" s="741"/>
      <c r="C207" s="741"/>
      <c r="D207" s="807" t="str">
        <f>+input!B32</f>
        <v>115j</v>
      </c>
      <c r="E207" s="808">
        <f>+MST!G33</f>
        <v>-726.93</v>
      </c>
      <c r="F207" s="808">
        <f>+MST!H33</f>
        <v>0.79</v>
      </c>
      <c r="G207" s="808">
        <f>+MST!I33</f>
        <v>-1523.62</v>
      </c>
      <c r="H207" s="808">
        <f>+MST!J33</f>
        <v>-361.08</v>
      </c>
      <c r="I207" s="808">
        <f>+MST!K33</f>
        <v>-316.75</v>
      </c>
      <c r="J207" s="808">
        <f>+MST!X33</f>
        <v>132.12</v>
      </c>
      <c r="K207" s="808">
        <f>+MST!Y33</f>
        <v>-1218.23</v>
      </c>
      <c r="L207" s="808">
        <f>MST!AF33</f>
        <v>86.8</v>
      </c>
      <c r="M207" s="809">
        <f>MST!AE33</f>
        <v>-1116.4100000000001</v>
      </c>
      <c r="N207" s="741"/>
      <c r="O207" s="741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  <c r="AT207" s="143"/>
    </row>
    <row r="208" spans="1:46" ht="15" customHeight="1">
      <c r="A208" s="741"/>
      <c r="B208" s="741"/>
      <c r="C208" s="741"/>
      <c r="D208" s="807" t="str">
        <f>+input!B33</f>
        <v>116i</v>
      </c>
      <c r="E208" s="808">
        <f>+MST!G34</f>
        <v>-726.94</v>
      </c>
      <c r="F208" s="808">
        <f>+MST!H34</f>
        <v>0.79</v>
      </c>
      <c r="G208" s="808">
        <f>+MST!I34</f>
        <v>-1523.63</v>
      </c>
      <c r="H208" s="808">
        <f>+MST!J34</f>
        <v>-361.09</v>
      </c>
      <c r="I208" s="808">
        <f>+MST!K34</f>
        <v>-316.75</v>
      </c>
      <c r="J208" s="808">
        <f>+MST!X34</f>
        <v>132.12</v>
      </c>
      <c r="K208" s="808">
        <f>+MST!Y34</f>
        <v>-1218.23</v>
      </c>
      <c r="L208" s="808">
        <f>MST!AF34</f>
        <v>86.8</v>
      </c>
      <c r="M208" s="809">
        <f>MST!AE34</f>
        <v>-1116.4100000000001</v>
      </c>
      <c r="N208" s="741"/>
      <c r="O208" s="741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  <c r="AT208" s="143"/>
    </row>
    <row r="209" spans="1:46" ht="15" customHeight="1">
      <c r="A209" s="741"/>
      <c r="B209" s="741"/>
      <c r="C209" s="741"/>
      <c r="D209" s="807" t="str">
        <f>+input!B34</f>
        <v>116j</v>
      </c>
      <c r="E209" s="808">
        <f>+MST!G35</f>
        <v>-811.43</v>
      </c>
      <c r="F209" s="808">
        <f>+MST!H35</f>
        <v>0.79</v>
      </c>
      <c r="G209" s="808">
        <f>+MST!I35</f>
        <v>-1702.63</v>
      </c>
      <c r="H209" s="808">
        <f>+MST!J35</f>
        <v>-401.34</v>
      </c>
      <c r="I209" s="808">
        <f>+MST!K35</f>
        <v>-355.35</v>
      </c>
      <c r="J209" s="808">
        <f>+MST!X35</f>
        <v>81.45</v>
      </c>
      <c r="K209" s="808">
        <f>+MST!Y35</f>
        <v>-1332.23</v>
      </c>
      <c r="L209" s="808">
        <f>MST!AF35</f>
        <v>43.59</v>
      </c>
      <c r="M209" s="809">
        <f>MST!AE35</f>
        <v>-1334.73</v>
      </c>
      <c r="N209" s="741"/>
      <c r="O209" s="741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  <c r="AT209" s="143"/>
    </row>
    <row r="210" spans="1:46" ht="15" customHeight="1">
      <c r="A210" s="741"/>
      <c r="B210" s="741"/>
      <c r="C210" s="741"/>
      <c r="D210" s="807" t="str">
        <f>+input!B35</f>
        <v>117i</v>
      </c>
      <c r="E210" s="808">
        <f>+MST!G36</f>
        <v>-836.11</v>
      </c>
      <c r="F210" s="808">
        <f>+MST!H36</f>
        <v>1.05</v>
      </c>
      <c r="G210" s="808">
        <f>+MST!I36</f>
        <v>-1797.59</v>
      </c>
      <c r="H210" s="808">
        <f>+MST!J36</f>
        <v>-426.86</v>
      </c>
      <c r="I210" s="808">
        <f>+MST!K36</f>
        <v>-371</v>
      </c>
      <c r="J210" s="808">
        <f>+MST!X36</f>
        <v>161.44</v>
      </c>
      <c r="K210" s="808">
        <f>+MST!Y36</f>
        <v>-1381.37</v>
      </c>
      <c r="L210" s="808">
        <f>MST!AF36</f>
        <v>78.28</v>
      </c>
      <c r="M210" s="809">
        <f>MST!AE36</f>
        <v>-1334.74</v>
      </c>
      <c r="N210" s="741"/>
      <c r="O210" s="741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  <c r="AT210" s="143"/>
    </row>
    <row r="211" spans="1:46" ht="15" customHeight="1">
      <c r="A211" s="741"/>
      <c r="B211" s="741"/>
      <c r="C211" s="741"/>
      <c r="D211" s="807" t="str">
        <f>+input!B36</f>
        <v>117j</v>
      </c>
      <c r="E211" s="808">
        <f>+MST!G37</f>
        <v>-940.77</v>
      </c>
      <c r="F211" s="808">
        <f>+MST!H37</f>
        <v>-77.819999999999993</v>
      </c>
      <c r="G211" s="808">
        <f>+MST!I37</f>
        <v>-1976.59</v>
      </c>
      <c r="H211" s="808">
        <f>+MST!J37</f>
        <v>-467.11</v>
      </c>
      <c r="I211" s="808">
        <f>+MST!K37</f>
        <v>-409.6</v>
      </c>
      <c r="J211" s="808">
        <f>+MST!X37</f>
        <v>118.38</v>
      </c>
      <c r="K211" s="808">
        <f>+MST!Y37</f>
        <v>-1496.14</v>
      </c>
      <c r="L211" s="808">
        <f>MST!AF37</f>
        <v>49.02</v>
      </c>
      <c r="M211" s="809">
        <f>MST!AE37</f>
        <v>-2319.87</v>
      </c>
      <c r="N211" s="741"/>
      <c r="O211" s="741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  <c r="AT211" s="143"/>
    </row>
    <row r="212" spans="1:46" ht="15" customHeight="1">
      <c r="A212" s="741"/>
      <c r="B212" s="741"/>
      <c r="C212" s="741"/>
      <c r="D212" s="807" t="str">
        <f>+input!B37</f>
        <v>118i</v>
      </c>
      <c r="E212" s="808">
        <f>+MST!G38</f>
        <v>-940.8</v>
      </c>
      <c r="F212" s="808">
        <f>+MST!H38</f>
        <v>-77.819999999999993</v>
      </c>
      <c r="G212" s="808">
        <f>+MST!I38</f>
        <v>-1976.64</v>
      </c>
      <c r="H212" s="808">
        <f>+MST!J38</f>
        <v>-467.1</v>
      </c>
      <c r="I212" s="808">
        <f>+MST!K38</f>
        <v>-409.59</v>
      </c>
      <c r="J212" s="808">
        <f>+MST!X38</f>
        <v>118.38</v>
      </c>
      <c r="K212" s="808">
        <f>+MST!Y38</f>
        <v>-1496.14</v>
      </c>
      <c r="L212" s="808">
        <f>MST!AF38</f>
        <v>49.02</v>
      </c>
      <c r="M212" s="809">
        <f>MST!AE38</f>
        <v>-2319.88</v>
      </c>
      <c r="N212" s="741"/>
      <c r="O212" s="741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J212" s="143"/>
      <c r="AK212" s="143"/>
      <c r="AL212" s="143"/>
      <c r="AM212" s="143"/>
      <c r="AN212" s="143"/>
      <c r="AO212" s="143"/>
      <c r="AP212" s="143"/>
      <c r="AQ212" s="143"/>
      <c r="AR212" s="143"/>
      <c r="AS212" s="143"/>
      <c r="AT212" s="143"/>
    </row>
    <row r="213" spans="1:46" ht="15" customHeight="1">
      <c r="A213" s="741"/>
      <c r="B213" s="741"/>
      <c r="C213" s="741"/>
      <c r="D213" s="807" t="str">
        <f>+input!B38</f>
        <v>118j</v>
      </c>
      <c r="E213" s="808">
        <f>+MST!G39</f>
        <v>-1044.52</v>
      </c>
      <c r="F213" s="808">
        <f>+MST!H39</f>
        <v>-154.38999999999999</v>
      </c>
      <c r="G213" s="808">
        <f>+MST!I39</f>
        <v>-2101.94</v>
      </c>
      <c r="H213" s="808">
        <f>+MST!J39</f>
        <v>-495.28</v>
      </c>
      <c r="I213" s="808">
        <f>+MST!K39</f>
        <v>-436.61</v>
      </c>
      <c r="J213" s="808">
        <f>+MST!X39</f>
        <v>98.33</v>
      </c>
      <c r="K213" s="808">
        <f>+MST!Y39</f>
        <v>-1582.19</v>
      </c>
      <c r="L213" s="808">
        <f>MST!AF39</f>
        <v>49.02</v>
      </c>
      <c r="M213" s="809">
        <f>MST!AE39</f>
        <v>-3130.61</v>
      </c>
      <c r="N213" s="741"/>
      <c r="O213" s="741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J213" s="143"/>
      <c r="AK213" s="143"/>
      <c r="AL213" s="143"/>
      <c r="AM213" s="143"/>
      <c r="AN213" s="143"/>
      <c r="AO213" s="143"/>
      <c r="AP213" s="143"/>
      <c r="AQ213" s="143"/>
      <c r="AR213" s="143"/>
      <c r="AS213" s="143"/>
      <c r="AT213" s="143"/>
    </row>
    <row r="214" spans="1:46" ht="15" customHeight="1">
      <c r="A214" s="741"/>
      <c r="B214" s="741"/>
      <c r="C214" s="741"/>
      <c r="D214" s="807" t="str">
        <f>+input!B39</f>
        <v>119i</v>
      </c>
      <c r="E214" s="808">
        <f>+MST!G40</f>
        <v>-1044.56</v>
      </c>
      <c r="F214" s="808">
        <f>+MST!H40</f>
        <v>-154.38999999999999</v>
      </c>
      <c r="G214" s="808">
        <f>+MST!I40</f>
        <v>-2101.65</v>
      </c>
      <c r="H214" s="808">
        <f>+MST!J40</f>
        <v>-495.27</v>
      </c>
      <c r="I214" s="808">
        <f>+MST!K40</f>
        <v>-436.62</v>
      </c>
      <c r="J214" s="808">
        <f>+MST!X40</f>
        <v>98.33</v>
      </c>
      <c r="K214" s="808">
        <f>+MST!Y40</f>
        <v>-1582.19</v>
      </c>
      <c r="L214" s="808">
        <f>MST!AF40</f>
        <v>49.01</v>
      </c>
      <c r="M214" s="809">
        <f>MST!AE40</f>
        <v>-3130.64</v>
      </c>
      <c r="N214" s="741"/>
      <c r="O214" s="741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J214" s="143"/>
      <c r="AK214" s="143"/>
      <c r="AL214" s="143"/>
      <c r="AM214" s="143"/>
      <c r="AN214" s="143"/>
      <c r="AO214" s="143"/>
      <c r="AP214" s="143"/>
      <c r="AQ214" s="143"/>
      <c r="AR214" s="143"/>
      <c r="AS214" s="143"/>
      <c r="AT214" s="143"/>
    </row>
    <row r="215" spans="1:46" ht="15" customHeight="1">
      <c r="A215" s="741"/>
      <c r="B215" s="741"/>
      <c r="C215" s="741"/>
      <c r="D215" s="807" t="str">
        <f>+input!B40</f>
        <v>119j</v>
      </c>
      <c r="E215" s="808">
        <f>+MST!G41</f>
        <v>-1089.3499999999999</v>
      </c>
      <c r="F215" s="808">
        <f>+MST!H41</f>
        <v>-192.08</v>
      </c>
      <c r="G215" s="808">
        <f>+MST!I41</f>
        <v>-2155.35</v>
      </c>
      <c r="H215" s="808">
        <f>+MST!J41</f>
        <v>-507.34</v>
      </c>
      <c r="I215" s="808">
        <f>+MST!K41</f>
        <v>-448.2</v>
      </c>
      <c r="J215" s="808">
        <f>+MST!X41</f>
        <v>93.98</v>
      </c>
      <c r="K215" s="808">
        <f>+MST!Y41</f>
        <v>-1620.22</v>
      </c>
      <c r="L215" s="808">
        <f>MST!AF41</f>
        <v>189.52</v>
      </c>
      <c r="M215" s="809">
        <f>MST!AE41</f>
        <v>-3506.61</v>
      </c>
      <c r="N215" s="741"/>
      <c r="O215" s="741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J215" s="143"/>
      <c r="AK215" s="143"/>
      <c r="AL215" s="143"/>
      <c r="AM215" s="143"/>
      <c r="AN215" s="143"/>
      <c r="AO215" s="143"/>
      <c r="AP215" s="143"/>
      <c r="AQ215" s="143"/>
      <c r="AR215" s="143"/>
      <c r="AS215" s="143"/>
      <c r="AT215" s="143"/>
    </row>
    <row r="216" spans="1:46" ht="15" customHeight="1">
      <c r="A216" s="741"/>
      <c r="B216" s="741"/>
      <c r="C216" s="741"/>
      <c r="D216" s="807" t="str">
        <f>+input!B41</f>
        <v>120i</v>
      </c>
      <c r="E216" s="808">
        <f>+MST!G42</f>
        <v>818.61</v>
      </c>
      <c r="F216" s="808">
        <f>+MST!H42</f>
        <v>190.84</v>
      </c>
      <c r="G216" s="808">
        <f>+MST!I42</f>
        <v>1710.25</v>
      </c>
      <c r="H216" s="808">
        <f>+MST!J42</f>
        <v>399.79</v>
      </c>
      <c r="I216" s="808">
        <f>+MST!K42</f>
        <v>353.79</v>
      </c>
      <c r="J216" s="808">
        <f>+MST!X42</f>
        <v>1336.24</v>
      </c>
      <c r="K216" s="808">
        <f>+MST!Y42</f>
        <v>-45.18</v>
      </c>
      <c r="L216" s="808">
        <f>MST!AF42</f>
        <v>437.98</v>
      </c>
      <c r="M216" s="809">
        <f>MST!AE42</f>
        <v>-3500.21</v>
      </c>
      <c r="N216" s="741"/>
      <c r="O216" s="741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  <c r="AT216" s="143"/>
    </row>
    <row r="217" spans="1:46" ht="15" customHeight="1">
      <c r="A217" s="741"/>
      <c r="B217" s="741"/>
      <c r="C217" s="741"/>
      <c r="D217" s="807" t="str">
        <f>+input!B42</f>
        <v>120j</v>
      </c>
      <c r="E217" s="808">
        <f>+MST!G43</f>
        <v>773.82</v>
      </c>
      <c r="F217" s="808">
        <f>+MST!H43</f>
        <v>153.15</v>
      </c>
      <c r="G217" s="808">
        <f>+MST!I43</f>
        <v>1656.55</v>
      </c>
      <c r="H217" s="808">
        <f>+MST!J43</f>
        <v>387.71</v>
      </c>
      <c r="I217" s="808">
        <f>+MST!K43</f>
        <v>342.21</v>
      </c>
      <c r="J217" s="808">
        <f>+MST!X43</f>
        <v>1294.5999999999999</v>
      </c>
      <c r="K217" s="808">
        <f>+MST!Y43</f>
        <v>-49.56</v>
      </c>
      <c r="L217" s="808">
        <f>MST!AF43</f>
        <v>418.88</v>
      </c>
      <c r="M217" s="809">
        <f>MST!AE43</f>
        <v>-3328.53</v>
      </c>
      <c r="N217" s="741"/>
      <c r="O217" s="741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</row>
    <row r="218" spans="1:46" ht="15" customHeight="1">
      <c r="A218" s="741"/>
      <c r="B218" s="741"/>
      <c r="C218" s="741"/>
      <c r="D218" s="807" t="str">
        <f>+input!B43</f>
        <v>121i</v>
      </c>
      <c r="E218" s="808">
        <f>+MST!G44</f>
        <v>773.82</v>
      </c>
      <c r="F218" s="808">
        <f>+MST!H44</f>
        <v>153.15</v>
      </c>
      <c r="G218" s="808">
        <f>+MST!I44</f>
        <v>1656.49</v>
      </c>
      <c r="H218" s="808">
        <f>+MST!J44</f>
        <v>387.68</v>
      </c>
      <c r="I218" s="808">
        <f>+MST!K44</f>
        <v>342.23</v>
      </c>
      <c r="J218" s="808">
        <f>+MST!X44</f>
        <v>1294.5999999999999</v>
      </c>
      <c r="K218" s="808">
        <f>+MST!Y44</f>
        <v>-49.56</v>
      </c>
      <c r="L218" s="808">
        <f>MST!AF44</f>
        <v>418.88</v>
      </c>
      <c r="M218" s="809">
        <f>MST!AE44</f>
        <v>-3328.53</v>
      </c>
      <c r="N218" s="741"/>
      <c r="O218" s="741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J218" s="143"/>
      <c r="AK218" s="143"/>
      <c r="AL218" s="143"/>
      <c r="AM218" s="143"/>
      <c r="AN218" s="143"/>
      <c r="AO218" s="143"/>
      <c r="AP218" s="143"/>
      <c r="AQ218" s="143"/>
      <c r="AR218" s="143"/>
      <c r="AS218" s="143"/>
      <c r="AT218" s="143"/>
    </row>
    <row r="219" spans="1:46" ht="15" customHeight="1">
      <c r="A219" s="741"/>
      <c r="B219" s="741"/>
      <c r="C219" s="741"/>
      <c r="D219" s="807" t="str">
        <f>+input!B44</f>
        <v>121j</v>
      </c>
      <c r="E219" s="808">
        <f>+MST!G45</f>
        <v>670.1</v>
      </c>
      <c r="F219" s="808">
        <f>+MST!H45</f>
        <v>77.37</v>
      </c>
      <c r="G219" s="808">
        <f>+MST!I45</f>
        <v>1531.19</v>
      </c>
      <c r="H219" s="808">
        <f>+MST!J45</f>
        <v>359.51</v>
      </c>
      <c r="I219" s="808">
        <f>+MST!K45</f>
        <v>315.20999999999998</v>
      </c>
      <c r="J219" s="808">
        <f>+MST!X45</f>
        <v>1200.3699999999999</v>
      </c>
      <c r="K219" s="808">
        <f>+MST!Y45</f>
        <v>-74.39</v>
      </c>
      <c r="L219" s="808">
        <f>MST!AF45</f>
        <v>371.58</v>
      </c>
      <c r="M219" s="809">
        <f>MST!AE45</f>
        <v>-2927.92</v>
      </c>
      <c r="N219" s="741"/>
      <c r="O219" s="741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J219" s="143"/>
      <c r="AK219" s="143"/>
      <c r="AL219" s="143"/>
      <c r="AM219" s="143"/>
      <c r="AN219" s="143"/>
      <c r="AO219" s="143"/>
      <c r="AP219" s="143"/>
      <c r="AQ219" s="143"/>
      <c r="AR219" s="143"/>
      <c r="AS219" s="143"/>
      <c r="AT219" s="143"/>
    </row>
    <row r="220" spans="1:46" ht="15" customHeight="1">
      <c r="A220" s="741"/>
      <c r="B220" s="741"/>
      <c r="C220" s="741"/>
      <c r="D220" s="807" t="str">
        <f>+input!B45</f>
        <v>122i</v>
      </c>
      <c r="E220" s="808">
        <f>+MST!G46</f>
        <v>670.09</v>
      </c>
      <c r="F220" s="808">
        <f>+MST!H46</f>
        <v>77.37</v>
      </c>
      <c r="G220" s="808">
        <f>+MST!I46</f>
        <v>1531.21</v>
      </c>
      <c r="H220" s="808">
        <f>+MST!J46</f>
        <v>359.51</v>
      </c>
      <c r="I220" s="808">
        <f>+MST!K46</f>
        <v>315.20999999999998</v>
      </c>
      <c r="J220" s="808">
        <f>+MST!X46</f>
        <v>1200.3699999999999</v>
      </c>
      <c r="K220" s="808">
        <f>+MST!Y46</f>
        <v>-74.39</v>
      </c>
      <c r="L220" s="808">
        <f>MST!AF46</f>
        <v>371.58</v>
      </c>
      <c r="M220" s="809">
        <f>MST!AE46</f>
        <v>-2927.92</v>
      </c>
      <c r="N220" s="741"/>
      <c r="O220" s="741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J220" s="143"/>
      <c r="AK220" s="143"/>
      <c r="AL220" s="143"/>
      <c r="AM220" s="143"/>
      <c r="AN220" s="143"/>
      <c r="AO220" s="143"/>
      <c r="AP220" s="143"/>
      <c r="AQ220" s="143"/>
      <c r="AR220" s="143"/>
      <c r="AS220" s="143"/>
      <c r="AT220" s="143"/>
    </row>
    <row r="221" spans="1:46" ht="15" customHeight="1">
      <c r="A221" s="741"/>
      <c r="B221" s="741"/>
      <c r="C221" s="741"/>
      <c r="D221" s="807" t="str">
        <f>+input!B46</f>
        <v>122j</v>
      </c>
      <c r="E221" s="808">
        <f>+MST!G47</f>
        <v>559.71</v>
      </c>
      <c r="F221" s="808">
        <f>+MST!H47</f>
        <v>-1.5</v>
      </c>
      <c r="G221" s="808">
        <f>+MST!I47</f>
        <v>1352.21</v>
      </c>
      <c r="H221" s="808">
        <f>+MST!J47</f>
        <v>319.26</v>
      </c>
      <c r="I221" s="808">
        <f>+MST!K47</f>
        <v>276.61</v>
      </c>
      <c r="J221" s="808">
        <f>+MST!X47</f>
        <v>1074.5999999999999</v>
      </c>
      <c r="K221" s="808">
        <f>+MST!Y47</f>
        <v>-127.47</v>
      </c>
      <c r="L221" s="808">
        <f>MST!AF47</f>
        <v>307.89999999999998</v>
      </c>
      <c r="M221" s="809">
        <f>MST!AE47</f>
        <v>-2357.67</v>
      </c>
      <c r="N221" s="741"/>
      <c r="O221" s="741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J221" s="143"/>
      <c r="AK221" s="143"/>
      <c r="AL221" s="143"/>
      <c r="AM221" s="143"/>
      <c r="AN221" s="143"/>
      <c r="AO221" s="143"/>
      <c r="AP221" s="143"/>
      <c r="AQ221" s="143"/>
      <c r="AR221" s="143"/>
      <c r="AS221" s="143"/>
      <c r="AT221" s="143"/>
    </row>
    <row r="222" spans="1:46" ht="15" customHeight="1">
      <c r="A222" s="741"/>
      <c r="B222" s="741"/>
      <c r="C222" s="741"/>
      <c r="D222" s="807" t="str">
        <f>+input!B47</f>
        <v>123i</v>
      </c>
      <c r="E222" s="808">
        <f>+MST!G48</f>
        <v>538.45000000000005</v>
      </c>
      <c r="F222" s="808">
        <f>+MST!H48</f>
        <v>-1.26</v>
      </c>
      <c r="G222" s="808">
        <f>+MST!I48</f>
        <v>1264.22</v>
      </c>
      <c r="H222" s="808">
        <f>+MST!J48</f>
        <v>294.25</v>
      </c>
      <c r="I222" s="808">
        <f>+MST!K48</f>
        <v>261.39999999999998</v>
      </c>
      <c r="J222" s="808">
        <f>+MST!X48</f>
        <v>1020.04</v>
      </c>
      <c r="K222" s="808">
        <f>+MST!Y48</f>
        <v>-84.1</v>
      </c>
      <c r="L222" s="808">
        <f>MST!AF48</f>
        <v>349.8</v>
      </c>
      <c r="M222" s="809">
        <f>MST!AE48</f>
        <v>-2357.67</v>
      </c>
      <c r="N222" s="741"/>
      <c r="O222" s="741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J222" s="143"/>
      <c r="AK222" s="143"/>
      <c r="AL222" s="143"/>
      <c r="AM222" s="143"/>
      <c r="AN222" s="143"/>
      <c r="AO222" s="143"/>
      <c r="AP222" s="143"/>
      <c r="AQ222" s="143"/>
      <c r="AR222" s="143"/>
      <c r="AS222" s="143"/>
      <c r="AT222" s="143"/>
    </row>
    <row r="223" spans="1:46" ht="15" customHeight="1">
      <c r="A223" s="741"/>
      <c r="B223" s="741"/>
      <c r="C223" s="741"/>
      <c r="D223" s="807" t="str">
        <f>+input!B48</f>
        <v>123j</v>
      </c>
      <c r="E223" s="808">
        <f>+MST!G49</f>
        <v>438.05</v>
      </c>
      <c r="F223" s="808">
        <f>+MST!H49</f>
        <v>-1.26</v>
      </c>
      <c r="G223" s="808">
        <f>+MST!I49</f>
        <v>1085.22</v>
      </c>
      <c r="H223" s="808">
        <f>+MST!J49</f>
        <v>254</v>
      </c>
      <c r="I223" s="808">
        <f>+MST!K49</f>
        <v>222.8</v>
      </c>
      <c r="J223" s="808">
        <f>+MST!X49</f>
        <v>896.86</v>
      </c>
      <c r="K223" s="808">
        <f>+MST!Y49</f>
        <v>-150.58000000000001</v>
      </c>
      <c r="L223" s="808">
        <f>MST!AF49</f>
        <v>284.73</v>
      </c>
      <c r="M223" s="809">
        <f>MST!AE49</f>
        <v>-1954.13</v>
      </c>
      <c r="N223" s="741"/>
      <c r="O223" s="741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J223" s="143"/>
      <c r="AK223" s="143"/>
      <c r="AL223" s="143"/>
      <c r="AM223" s="143"/>
      <c r="AN223" s="143"/>
      <c r="AO223" s="143"/>
      <c r="AP223" s="143"/>
      <c r="AQ223" s="143"/>
      <c r="AR223" s="143"/>
      <c r="AS223" s="143"/>
      <c r="AT223" s="143"/>
    </row>
    <row r="224" spans="1:46" ht="15" customHeight="1">
      <c r="A224" s="741"/>
      <c r="B224" s="741"/>
      <c r="C224" s="741"/>
      <c r="D224" s="807" t="str">
        <f>+input!B49</f>
        <v>124i</v>
      </c>
      <c r="E224" s="808">
        <f>+MST!G50</f>
        <v>438.05</v>
      </c>
      <c r="F224" s="808">
        <f>+MST!H50</f>
        <v>-1.26</v>
      </c>
      <c r="G224" s="808">
        <f>+MST!I50</f>
        <v>1085.21</v>
      </c>
      <c r="H224" s="808">
        <f>+MST!J50</f>
        <v>254</v>
      </c>
      <c r="I224" s="808">
        <f>+MST!K50</f>
        <v>222.8</v>
      </c>
      <c r="J224" s="808">
        <f>+MST!X50</f>
        <v>896.86</v>
      </c>
      <c r="K224" s="808">
        <f>+MST!Y50</f>
        <v>-150.58000000000001</v>
      </c>
      <c r="L224" s="808">
        <f>MST!AF50</f>
        <v>284.73</v>
      </c>
      <c r="M224" s="809">
        <f>MST!AE50</f>
        <v>-1954.13</v>
      </c>
      <c r="N224" s="741"/>
      <c r="O224" s="741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J224" s="143"/>
      <c r="AK224" s="143"/>
      <c r="AL224" s="143"/>
      <c r="AM224" s="143"/>
      <c r="AN224" s="143"/>
      <c r="AO224" s="143"/>
      <c r="AP224" s="143"/>
      <c r="AQ224" s="143"/>
      <c r="AR224" s="143"/>
      <c r="AS224" s="143"/>
      <c r="AT224" s="143"/>
    </row>
    <row r="225" spans="1:46" ht="15" customHeight="1">
      <c r="A225" s="741"/>
      <c r="B225" s="741"/>
      <c r="C225" s="741"/>
      <c r="D225" s="807" t="str">
        <f>+input!B50</f>
        <v>124j</v>
      </c>
      <c r="E225" s="808">
        <f>+MST!G51</f>
        <v>356.62</v>
      </c>
      <c r="F225" s="808">
        <f>+MST!H51</f>
        <v>-1.26</v>
      </c>
      <c r="G225" s="808">
        <f>+MST!I51</f>
        <v>906.21</v>
      </c>
      <c r="H225" s="808">
        <f>+MST!J51</f>
        <v>213.75</v>
      </c>
      <c r="I225" s="808">
        <f>+MST!K51</f>
        <v>184.2</v>
      </c>
      <c r="J225" s="808">
        <f>+MST!X51</f>
        <v>785.76</v>
      </c>
      <c r="K225" s="808">
        <f>+MST!Y51</f>
        <v>-236.34</v>
      </c>
      <c r="L225" s="808">
        <f>MST!AF51</f>
        <v>222.04</v>
      </c>
      <c r="M225" s="809">
        <f>MST!AE51</f>
        <v>-1557.93</v>
      </c>
      <c r="N225" s="741"/>
      <c r="O225" s="741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J225" s="143"/>
      <c r="AK225" s="143"/>
      <c r="AL225" s="143"/>
      <c r="AM225" s="143"/>
      <c r="AN225" s="143"/>
      <c r="AO225" s="143"/>
      <c r="AP225" s="143"/>
      <c r="AQ225" s="143"/>
      <c r="AR225" s="143"/>
      <c r="AS225" s="143"/>
      <c r="AT225" s="143"/>
    </row>
    <row r="226" spans="1:46" ht="15" customHeight="1">
      <c r="A226" s="741"/>
      <c r="B226" s="741"/>
      <c r="C226" s="741"/>
      <c r="D226" s="807" t="str">
        <f>+input!B51</f>
        <v>125i</v>
      </c>
      <c r="E226" s="808">
        <f>+MST!G52</f>
        <v>335.09</v>
      </c>
      <c r="F226" s="808">
        <f>+MST!H52</f>
        <v>-1.27</v>
      </c>
      <c r="G226" s="808">
        <f>+MST!I52</f>
        <v>817.95</v>
      </c>
      <c r="H226" s="808">
        <f>+MST!J52</f>
        <v>188.96</v>
      </c>
      <c r="I226" s="808">
        <f>+MST!K52</f>
        <v>169.04</v>
      </c>
      <c r="J226" s="808">
        <f>+MST!X52</f>
        <v>758</v>
      </c>
      <c r="K226" s="808">
        <f>+MST!Y52</f>
        <v>-194.53</v>
      </c>
      <c r="L226" s="808">
        <f>MST!AF52</f>
        <v>295.37</v>
      </c>
      <c r="M226" s="809">
        <f>MST!AE52</f>
        <v>-1557.93</v>
      </c>
      <c r="N226" s="741"/>
      <c r="O226" s="741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J226" s="143"/>
      <c r="AK226" s="143"/>
      <c r="AL226" s="143"/>
      <c r="AM226" s="143"/>
      <c r="AN226" s="143"/>
      <c r="AO226" s="143"/>
      <c r="AP226" s="143"/>
      <c r="AQ226" s="143"/>
      <c r="AR226" s="143"/>
      <c r="AS226" s="143"/>
      <c r="AT226" s="143"/>
    </row>
    <row r="227" spans="1:46" ht="15" customHeight="1">
      <c r="A227" s="741"/>
      <c r="B227" s="741"/>
      <c r="C227" s="741"/>
      <c r="D227" s="948" t="str">
        <f>+input!B52</f>
        <v>125j</v>
      </c>
      <c r="E227" s="949">
        <f>+MST!G53</f>
        <v>262.42</v>
      </c>
      <c r="F227" s="949">
        <f>+MST!H53</f>
        <v>-1.27</v>
      </c>
      <c r="G227" s="949">
        <f>+MST!I53</f>
        <v>638.95000000000005</v>
      </c>
      <c r="H227" s="949">
        <f>+MST!J53</f>
        <v>148.71</v>
      </c>
      <c r="I227" s="949">
        <f>+MST!K53</f>
        <v>130.44</v>
      </c>
      <c r="J227" s="949">
        <f>+MST!X53</f>
        <v>639.65</v>
      </c>
      <c r="K227" s="949">
        <f>+MST!Y53</f>
        <v>-277.33</v>
      </c>
      <c r="L227" s="949">
        <f>MST!AF53</f>
        <v>224.89</v>
      </c>
      <c r="M227" s="950">
        <f>MST!AE53</f>
        <v>-1265.9100000000001</v>
      </c>
      <c r="N227" s="741"/>
      <c r="O227" s="741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J227" s="143"/>
      <c r="AK227" s="143"/>
      <c r="AL227" s="143"/>
      <c r="AM227" s="143"/>
      <c r="AN227" s="143"/>
      <c r="AO227" s="143"/>
      <c r="AP227" s="143"/>
      <c r="AQ227" s="143"/>
      <c r="AR227" s="143"/>
      <c r="AS227" s="143"/>
      <c r="AT227" s="143"/>
    </row>
    <row r="228" spans="1:46" ht="15" customHeight="1">
      <c r="A228" s="741"/>
      <c r="B228" s="741"/>
      <c r="C228" s="741"/>
      <c r="D228" s="812" t="str">
        <f>+input!B53</f>
        <v>126i</v>
      </c>
      <c r="E228" s="946">
        <f>+MST!G54</f>
        <v>262.42</v>
      </c>
      <c r="F228" s="946">
        <f>+MST!H54</f>
        <v>-1.27</v>
      </c>
      <c r="G228" s="946">
        <f>+MST!I54</f>
        <v>638.96</v>
      </c>
      <c r="H228" s="946">
        <f>+MST!J54</f>
        <v>148.71</v>
      </c>
      <c r="I228" s="946">
        <f>+MST!K54</f>
        <v>130.44</v>
      </c>
      <c r="J228" s="946">
        <f>+MST!X54</f>
        <v>639.65</v>
      </c>
      <c r="K228" s="946">
        <f>+MST!Y54</f>
        <v>-277.33</v>
      </c>
      <c r="L228" s="946">
        <f>MST!AF54</f>
        <v>224.89</v>
      </c>
      <c r="M228" s="947">
        <f>MST!AE54</f>
        <v>-1265.9100000000001</v>
      </c>
      <c r="N228" s="741"/>
      <c r="O228" s="741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J228" s="143"/>
      <c r="AK228" s="143"/>
      <c r="AL228" s="143"/>
      <c r="AM228" s="143"/>
      <c r="AN228" s="143"/>
      <c r="AO228" s="143"/>
      <c r="AP228" s="143"/>
      <c r="AQ228" s="143"/>
      <c r="AR228" s="143"/>
      <c r="AS228" s="143"/>
      <c r="AT228" s="143"/>
    </row>
    <row r="229" spans="1:46" ht="15" customHeight="1">
      <c r="A229" s="741"/>
      <c r="B229" s="741"/>
      <c r="C229" s="741"/>
      <c r="D229" s="807" t="str">
        <f>+input!B54</f>
        <v>126j</v>
      </c>
      <c r="E229" s="808">
        <f>+MST!G55</f>
        <v>189.75</v>
      </c>
      <c r="F229" s="808">
        <f>+MST!H55</f>
        <v>-1.27</v>
      </c>
      <c r="G229" s="808">
        <f>+MST!I55</f>
        <v>459.96</v>
      </c>
      <c r="H229" s="808">
        <f>+MST!J55</f>
        <v>108.46</v>
      </c>
      <c r="I229" s="808">
        <f>+MST!K55</f>
        <v>91.84</v>
      </c>
      <c r="J229" s="808">
        <f>+MST!X55</f>
        <v>537.66</v>
      </c>
      <c r="K229" s="808">
        <f>+MST!Y55</f>
        <v>-382.8</v>
      </c>
      <c r="L229" s="808">
        <f>MST!AF55</f>
        <v>158.44</v>
      </c>
      <c r="M229" s="809">
        <f>MST!AE55</f>
        <v>-978.96</v>
      </c>
      <c r="N229" s="741"/>
      <c r="O229" s="741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J229" s="143"/>
      <c r="AK229" s="143"/>
      <c r="AL229" s="143"/>
      <c r="AM229" s="143"/>
      <c r="AN229" s="143"/>
      <c r="AO229" s="143"/>
      <c r="AP229" s="143"/>
      <c r="AQ229" s="143"/>
      <c r="AR229" s="143"/>
      <c r="AS229" s="143"/>
      <c r="AT229" s="143"/>
    </row>
    <row r="230" spans="1:46" ht="15" customHeight="1">
      <c r="A230" s="741"/>
      <c r="B230" s="741"/>
      <c r="C230" s="741"/>
      <c r="D230" s="807" t="str">
        <f>+input!B55</f>
        <v>127i</v>
      </c>
      <c r="E230" s="808">
        <f>+MST!G56</f>
        <v>171.04</v>
      </c>
      <c r="F230" s="808">
        <f>+MST!H56</f>
        <v>-1.26</v>
      </c>
      <c r="G230" s="808">
        <f>+MST!I56</f>
        <v>383.14</v>
      </c>
      <c r="H230" s="808">
        <f>+MST!J56</f>
        <v>84.9</v>
      </c>
      <c r="I230" s="808">
        <f>+MST!K56</f>
        <v>77.64</v>
      </c>
      <c r="J230" s="808">
        <f>+MST!X56</f>
        <v>591.86</v>
      </c>
      <c r="K230" s="808">
        <f>+MST!Y56</f>
        <v>-391.46</v>
      </c>
      <c r="L230" s="808">
        <f>MST!AF56</f>
        <v>245.74</v>
      </c>
      <c r="M230" s="809">
        <f>MST!AE56</f>
        <v>-978.97</v>
      </c>
      <c r="N230" s="741"/>
      <c r="O230" s="741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J230" s="143"/>
      <c r="AK230" s="143"/>
      <c r="AL230" s="143"/>
      <c r="AM230" s="143"/>
      <c r="AN230" s="143"/>
      <c r="AO230" s="143"/>
      <c r="AP230" s="143"/>
      <c r="AQ230" s="143"/>
      <c r="AR230" s="143"/>
      <c r="AS230" s="143"/>
      <c r="AT230" s="143"/>
    </row>
    <row r="231" spans="1:46" ht="15" customHeight="1">
      <c r="A231" s="741"/>
      <c r="B231" s="741"/>
      <c r="C231" s="741"/>
      <c r="D231" s="807" t="str">
        <f>+input!B56</f>
        <v>127j</v>
      </c>
      <c r="E231" s="808">
        <f>+MST!G57</f>
        <v>107.07</v>
      </c>
      <c r="F231" s="808">
        <f>+MST!H57</f>
        <v>-1.26</v>
      </c>
      <c r="G231" s="808">
        <f>+MST!I57</f>
        <v>204.14</v>
      </c>
      <c r="H231" s="808">
        <f>+MST!J57</f>
        <v>44.65</v>
      </c>
      <c r="I231" s="808">
        <f>+MST!K57</f>
        <v>39.04</v>
      </c>
      <c r="J231" s="808">
        <f>+MST!X57</f>
        <v>480.45</v>
      </c>
      <c r="K231" s="808">
        <f>+MST!Y57</f>
        <v>-489.35</v>
      </c>
      <c r="L231" s="808">
        <f>MST!AF57</f>
        <v>167.97</v>
      </c>
      <c r="M231" s="809">
        <f>MST!AE57</f>
        <v>-727.06</v>
      </c>
      <c r="N231" s="741"/>
      <c r="O231" s="741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J231" s="143"/>
      <c r="AK231" s="143"/>
      <c r="AL231" s="143"/>
      <c r="AM231" s="143"/>
      <c r="AN231" s="143"/>
      <c r="AO231" s="143"/>
      <c r="AP231" s="143"/>
      <c r="AQ231" s="143"/>
      <c r="AR231" s="143"/>
      <c r="AS231" s="143"/>
      <c r="AT231" s="143"/>
    </row>
    <row r="232" spans="1:46" ht="15" customHeight="1">
      <c r="A232" s="741"/>
      <c r="B232" s="741"/>
      <c r="C232" s="741"/>
      <c r="D232" s="807" t="str">
        <f>+input!B57</f>
        <v>128i</v>
      </c>
      <c r="E232" s="808">
        <f>+MST!G58</f>
        <v>107.07</v>
      </c>
      <c r="F232" s="808">
        <f>+MST!H58</f>
        <v>-1.26</v>
      </c>
      <c r="G232" s="808">
        <f>+MST!I58</f>
        <v>204.14</v>
      </c>
      <c r="H232" s="808">
        <f>+MST!J58</f>
        <v>44.65</v>
      </c>
      <c r="I232" s="808">
        <f>+MST!K58</f>
        <v>39.04</v>
      </c>
      <c r="J232" s="808">
        <f>+MST!X58</f>
        <v>480.45</v>
      </c>
      <c r="K232" s="808">
        <f>+MST!Y58</f>
        <v>-489.35</v>
      </c>
      <c r="L232" s="808">
        <f>MST!AF58</f>
        <v>167.97</v>
      </c>
      <c r="M232" s="809">
        <f>MST!AE58</f>
        <v>-727.06</v>
      </c>
      <c r="N232" s="741"/>
      <c r="O232" s="741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J232" s="143"/>
      <c r="AK232" s="143"/>
      <c r="AL232" s="143"/>
      <c r="AM232" s="143"/>
      <c r="AN232" s="143"/>
      <c r="AO232" s="143"/>
      <c r="AP232" s="143"/>
      <c r="AQ232" s="143"/>
      <c r="AR232" s="143"/>
      <c r="AS232" s="143"/>
      <c r="AT232" s="143"/>
    </row>
    <row r="233" spans="1:46" ht="15" customHeight="1">
      <c r="A233" s="741"/>
      <c r="B233" s="741"/>
      <c r="C233" s="741"/>
      <c r="D233" s="807" t="str">
        <f>+input!B58</f>
        <v>128j</v>
      </c>
      <c r="E233" s="808">
        <f>+MST!G59</f>
        <v>43.09</v>
      </c>
      <c r="F233" s="808">
        <f>+MST!H59</f>
        <v>-1.26</v>
      </c>
      <c r="G233" s="808">
        <f>+MST!I59</f>
        <v>25.14</v>
      </c>
      <c r="H233" s="808">
        <f>+MST!J59</f>
        <v>4.4000000000000004</v>
      </c>
      <c r="I233" s="808">
        <f>+MST!K59</f>
        <v>0.44</v>
      </c>
      <c r="J233" s="808">
        <f>+MST!X59</f>
        <v>381.74</v>
      </c>
      <c r="K233" s="808">
        <f>+MST!Y59</f>
        <v>-611.36</v>
      </c>
      <c r="L233" s="808">
        <f>MST!AF59</f>
        <v>95.76</v>
      </c>
      <c r="M233" s="809">
        <f>MST!AE59</f>
        <v>-475.15</v>
      </c>
      <c r="N233" s="741"/>
      <c r="O233" s="741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J233" s="143"/>
      <c r="AK233" s="143"/>
      <c r="AL233" s="143"/>
      <c r="AM233" s="143"/>
      <c r="AN233" s="143"/>
      <c r="AO233" s="143"/>
      <c r="AP233" s="143"/>
      <c r="AQ233" s="143"/>
      <c r="AR233" s="143"/>
      <c r="AS233" s="143"/>
      <c r="AT233" s="143"/>
    </row>
    <row r="234" spans="1:46" ht="15" customHeight="1">
      <c r="A234" s="741"/>
      <c r="B234" s="741"/>
      <c r="C234" s="741"/>
      <c r="D234" s="807" t="str">
        <f>+input!B59</f>
        <v>129i</v>
      </c>
      <c r="E234" s="808">
        <f>+MST!G60</f>
        <v>23.74</v>
      </c>
      <c r="F234" s="808">
        <f>+MST!H60</f>
        <v>-1.26</v>
      </c>
      <c r="G234" s="808">
        <f>+MST!I60</f>
        <v>-62.32</v>
      </c>
      <c r="H234" s="808">
        <f>+MST!J60</f>
        <v>-21.61</v>
      </c>
      <c r="I234" s="808">
        <f>+MST!K60</f>
        <v>-15.16</v>
      </c>
      <c r="J234" s="808">
        <f>+MST!X60</f>
        <v>419.3</v>
      </c>
      <c r="K234" s="808">
        <f>+MST!Y60</f>
        <v>-648.28</v>
      </c>
      <c r="L234" s="808">
        <f>MST!AF60</f>
        <v>149.97</v>
      </c>
      <c r="M234" s="809">
        <f>MST!AE60</f>
        <v>-475.15</v>
      </c>
      <c r="N234" s="741"/>
      <c r="O234" s="741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J234" s="143"/>
      <c r="AK234" s="143"/>
      <c r="AL234" s="143"/>
      <c r="AM234" s="143"/>
      <c r="AN234" s="143"/>
      <c r="AO234" s="143"/>
      <c r="AP234" s="143"/>
      <c r="AQ234" s="143"/>
      <c r="AR234" s="143"/>
      <c r="AS234" s="143"/>
      <c r="AT234" s="143"/>
    </row>
    <row r="235" spans="1:46" ht="15" customHeight="1">
      <c r="A235" s="741"/>
      <c r="B235" s="741"/>
      <c r="C235" s="741"/>
      <c r="D235" s="807" t="str">
        <f>+input!B60</f>
        <v>129j</v>
      </c>
      <c r="E235" s="808">
        <f>+MST!G61</f>
        <v>-59.05</v>
      </c>
      <c r="F235" s="808">
        <f>+MST!H61</f>
        <v>-1.26</v>
      </c>
      <c r="G235" s="808">
        <f>+MST!I61</f>
        <v>-293.94</v>
      </c>
      <c r="H235" s="808">
        <f>+MST!J61</f>
        <v>-73.69</v>
      </c>
      <c r="I235" s="808">
        <f>+MST!K61</f>
        <v>-65.11</v>
      </c>
      <c r="J235" s="808">
        <f>+MST!X61</f>
        <v>335.83</v>
      </c>
      <c r="K235" s="808">
        <f>+MST!Y61</f>
        <v>-828.59</v>
      </c>
      <c r="L235" s="808">
        <f>MST!AF61</f>
        <v>50.71</v>
      </c>
      <c r="M235" s="809">
        <f>MST!AE61</f>
        <v>-147.06</v>
      </c>
      <c r="N235" s="741"/>
      <c r="O235" s="741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J235" s="143"/>
      <c r="AK235" s="143"/>
      <c r="AL235" s="143"/>
      <c r="AM235" s="143"/>
      <c r="AN235" s="143"/>
      <c r="AO235" s="143"/>
      <c r="AP235" s="143"/>
      <c r="AQ235" s="143"/>
      <c r="AR235" s="143"/>
      <c r="AS235" s="143"/>
      <c r="AT235" s="143"/>
    </row>
    <row r="236" spans="1:46" ht="15" customHeight="1">
      <c r="A236" s="741"/>
      <c r="B236" s="741"/>
      <c r="C236" s="741"/>
      <c r="D236" s="807" t="str">
        <f>+input!B61</f>
        <v>130i</v>
      </c>
      <c r="E236" s="808">
        <f>+MST!G62</f>
        <v>-59.05</v>
      </c>
      <c r="F236" s="808">
        <f>+MST!H62</f>
        <v>-1.26</v>
      </c>
      <c r="G236" s="808">
        <f>+MST!I62</f>
        <v>-293.94</v>
      </c>
      <c r="H236" s="808">
        <f>+MST!J62</f>
        <v>-73.69</v>
      </c>
      <c r="I236" s="808">
        <f>+MST!K62</f>
        <v>-65.11</v>
      </c>
      <c r="J236" s="808">
        <f>+MST!X62</f>
        <v>335.83</v>
      </c>
      <c r="K236" s="808">
        <f>+MST!Y62</f>
        <v>-828.59</v>
      </c>
      <c r="L236" s="808">
        <f>MST!AF62</f>
        <v>50.71</v>
      </c>
      <c r="M236" s="809">
        <f>MST!AE62</f>
        <v>-147.06</v>
      </c>
      <c r="N236" s="741"/>
      <c r="O236" s="741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J236" s="143"/>
      <c r="AK236" s="143"/>
      <c r="AL236" s="143"/>
      <c r="AM236" s="143"/>
      <c r="AN236" s="143"/>
      <c r="AO236" s="143"/>
      <c r="AP236" s="143"/>
      <c r="AQ236" s="143"/>
      <c r="AR236" s="143"/>
      <c r="AS236" s="143"/>
      <c r="AT236" s="143"/>
    </row>
    <row r="237" spans="1:46" ht="15" customHeight="1">
      <c r="A237" s="741"/>
      <c r="B237" s="741"/>
      <c r="C237" s="741"/>
      <c r="D237" s="807" t="str">
        <f>+input!B62</f>
        <v>130j</v>
      </c>
      <c r="E237" s="808">
        <f>+MST!G63</f>
        <v>-94.58</v>
      </c>
      <c r="F237" s="808">
        <f>+MST!H63</f>
        <v>-1.26</v>
      </c>
      <c r="G237" s="808">
        <f>+MST!I63</f>
        <v>-463.65</v>
      </c>
      <c r="H237" s="808">
        <f>+MST!J63</f>
        <v>-97.04</v>
      </c>
      <c r="I237" s="808">
        <f>+MST!K63</f>
        <v>-87.49</v>
      </c>
      <c r="J237" s="808">
        <f>+MST!X63</f>
        <v>332.78</v>
      </c>
      <c r="K237" s="808">
        <f>+MST!Y63</f>
        <v>-928.88</v>
      </c>
      <c r="L237" s="808">
        <f>MST!AF63</f>
        <v>211.61</v>
      </c>
      <c r="M237" s="809">
        <f>MST!AE63</f>
        <v>-104.64</v>
      </c>
      <c r="N237" s="741"/>
      <c r="O237" s="741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J237" s="143"/>
      <c r="AK237" s="143"/>
      <c r="AL237" s="143"/>
      <c r="AM237" s="143"/>
      <c r="AN237" s="143"/>
      <c r="AO237" s="143"/>
      <c r="AP237" s="143"/>
      <c r="AQ237" s="143"/>
      <c r="AR237" s="143"/>
      <c r="AS237" s="143"/>
      <c r="AT237" s="143"/>
    </row>
    <row r="238" spans="1:46" ht="15" customHeight="1">
      <c r="A238" s="741"/>
      <c r="B238" s="741"/>
      <c r="C238" s="741"/>
      <c r="D238" s="807" t="str">
        <f>+input!B63</f>
        <v>131i</v>
      </c>
      <c r="E238" s="808">
        <f>+MST!G64</f>
        <v>6.74</v>
      </c>
      <c r="F238" s="808">
        <f>+MST!H64</f>
        <v>0</v>
      </c>
      <c r="G238" s="808">
        <f>+MST!I64</f>
        <v>32.200000000000003</v>
      </c>
      <c r="H238" s="808">
        <f>+MST!J64</f>
        <v>4.43</v>
      </c>
      <c r="I238" s="808">
        <f>+MST!K64</f>
        <v>4.25</v>
      </c>
      <c r="J238" s="808">
        <f>+MST!X64</f>
        <v>260.5</v>
      </c>
      <c r="K238" s="808">
        <f>+MST!Y64</f>
        <v>0</v>
      </c>
      <c r="L238" s="808">
        <f>MST!AF64</f>
        <v>212.19</v>
      </c>
      <c r="M238" s="809">
        <f>MST!AE64</f>
        <v>-104.63</v>
      </c>
      <c r="N238" s="741"/>
      <c r="O238" s="741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J238" s="143"/>
      <c r="AK238" s="143"/>
      <c r="AL238" s="143"/>
      <c r="AM238" s="143"/>
      <c r="AN238" s="143"/>
      <c r="AO238" s="143"/>
      <c r="AP238" s="143"/>
      <c r="AQ238" s="143"/>
      <c r="AR238" s="143"/>
      <c r="AS238" s="143"/>
      <c r="AT238" s="143"/>
    </row>
    <row r="239" spans="1:46" ht="15" customHeight="1">
      <c r="A239" s="741"/>
      <c r="B239" s="741"/>
      <c r="C239" s="741"/>
      <c r="D239" s="807" t="str">
        <f>+input!B64</f>
        <v>131j</v>
      </c>
      <c r="E239" s="811">
        <f>+MST!G65</f>
        <v>0</v>
      </c>
      <c r="F239" s="811">
        <f>+MST!H65</f>
        <v>0</v>
      </c>
      <c r="G239" s="811">
        <f>+MST!I65</f>
        <v>0.01</v>
      </c>
      <c r="H239" s="811">
        <f>+MST!J65</f>
        <v>0</v>
      </c>
      <c r="I239" s="811">
        <f>+MST!K65</f>
        <v>0.01</v>
      </c>
      <c r="J239" s="811">
        <f>+MST!X65</f>
        <v>260.5</v>
      </c>
      <c r="K239" s="811">
        <f>+MST!Y65</f>
        <v>0</v>
      </c>
      <c r="L239" s="808">
        <f>MST!AF65</f>
        <v>190.25</v>
      </c>
      <c r="M239" s="809">
        <f>MST!AE65</f>
        <v>-0.01</v>
      </c>
      <c r="N239" s="741"/>
      <c r="O239" s="741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J239" s="143"/>
      <c r="AK239" s="143"/>
      <c r="AL239" s="143"/>
      <c r="AM239" s="143"/>
      <c r="AN239" s="143"/>
      <c r="AO239" s="143"/>
      <c r="AP239" s="143"/>
      <c r="AQ239" s="143"/>
      <c r="AR239" s="143"/>
      <c r="AS239" s="143"/>
      <c r="AT239" s="143"/>
    </row>
    <row r="240" spans="1:46" ht="15" customHeight="1">
      <c r="A240" s="741"/>
      <c r="B240" s="741"/>
      <c r="C240" s="741"/>
      <c r="D240" s="807" t="str">
        <f>+input!B65</f>
        <v>201i</v>
      </c>
      <c r="E240" s="808">
        <f>+MST!G66</f>
        <v>-0.22</v>
      </c>
      <c r="F240" s="808">
        <f>+MST!H66</f>
        <v>0</v>
      </c>
      <c r="G240" s="808">
        <f>+MST!I66</f>
        <v>-0.16</v>
      </c>
      <c r="H240" s="808">
        <f>+MST!J66</f>
        <v>-0.27</v>
      </c>
      <c r="I240" s="808">
        <f>+MST!K66</f>
        <v>-7.0000000000000007E-2</v>
      </c>
      <c r="J240" s="808">
        <f>+MST!X66</f>
        <v>0</v>
      </c>
      <c r="K240" s="808">
        <f>+MST!Y66</f>
        <v>-258.48</v>
      </c>
      <c r="L240" s="808">
        <f>MST!AF66</f>
        <v>0</v>
      </c>
      <c r="M240" s="809">
        <f>MST!AE66</f>
        <v>0</v>
      </c>
      <c r="N240" s="741"/>
      <c r="O240" s="741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J240" s="143"/>
      <c r="AK240" s="143"/>
      <c r="AL240" s="143"/>
      <c r="AM240" s="143"/>
      <c r="AN240" s="143"/>
      <c r="AO240" s="143"/>
      <c r="AP240" s="143"/>
      <c r="AQ240" s="143"/>
      <c r="AR240" s="143"/>
      <c r="AS240" s="143"/>
      <c r="AT240" s="143"/>
    </row>
    <row r="241" spans="1:46" ht="15" customHeight="1">
      <c r="A241" s="741"/>
      <c r="B241" s="741"/>
      <c r="C241" s="741"/>
      <c r="D241" s="807" t="str">
        <f>+input!B66</f>
        <v>201j</v>
      </c>
      <c r="E241" s="808">
        <f>+MST!G67</f>
        <v>-7.2</v>
      </c>
      <c r="F241" s="808">
        <f>+MST!H67</f>
        <v>0</v>
      </c>
      <c r="G241" s="808">
        <f>+MST!I67</f>
        <v>-32.340000000000003</v>
      </c>
      <c r="H241" s="808">
        <f>+MST!J67</f>
        <v>-4.7</v>
      </c>
      <c r="I241" s="808">
        <f>+MST!K67</f>
        <v>-4.3099999999999996</v>
      </c>
      <c r="J241" s="808">
        <f>+MST!X67</f>
        <v>0</v>
      </c>
      <c r="K241" s="808">
        <f>+MST!Y67</f>
        <v>-258.48</v>
      </c>
      <c r="L241" s="808">
        <f>MST!AF67</f>
        <v>0</v>
      </c>
      <c r="M241" s="809">
        <f>MST!AE67</f>
        <v>0</v>
      </c>
      <c r="N241" s="741"/>
      <c r="O241" s="741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J241" s="143"/>
      <c r="AK241" s="143"/>
      <c r="AL241" s="143"/>
      <c r="AM241" s="143"/>
      <c r="AN241" s="143"/>
      <c r="AO241" s="143"/>
      <c r="AP241" s="143"/>
      <c r="AQ241" s="143"/>
      <c r="AR241" s="143"/>
      <c r="AS241" s="143"/>
      <c r="AT241" s="143"/>
    </row>
    <row r="242" spans="1:46" ht="15" customHeight="1">
      <c r="A242" s="741"/>
      <c r="B242" s="741"/>
      <c r="C242" s="741"/>
      <c r="D242" s="807" t="str">
        <f>+input!B67</f>
        <v>202i</v>
      </c>
      <c r="E242" s="808">
        <f>+MST!G68</f>
        <v>670.9</v>
      </c>
      <c r="F242" s="808">
        <f>+MST!H68</f>
        <v>0.8</v>
      </c>
      <c r="G242" s="808">
        <f>+MST!I68</f>
        <v>1427.7</v>
      </c>
      <c r="H242" s="808">
        <f>+MST!J68</f>
        <v>327.72</v>
      </c>
      <c r="I242" s="808">
        <f>+MST!K68</f>
        <v>288.82</v>
      </c>
      <c r="J242" s="808">
        <f>+MST!X68</f>
        <v>1215.58</v>
      </c>
      <c r="K242" s="808">
        <f>+MST!Y68</f>
        <v>-66.89</v>
      </c>
      <c r="L242" s="808">
        <f>MST!AF68</f>
        <v>0</v>
      </c>
      <c r="M242" s="809">
        <f>MST!AE68</f>
        <v>0</v>
      </c>
      <c r="N242" s="741"/>
      <c r="O242" s="741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J242" s="143"/>
      <c r="AK242" s="143"/>
      <c r="AL242" s="143"/>
      <c r="AM242" s="143"/>
      <c r="AN242" s="143"/>
      <c r="AO242" s="143"/>
      <c r="AP242" s="143"/>
      <c r="AQ242" s="143"/>
      <c r="AR242" s="143"/>
      <c r="AS242" s="143"/>
      <c r="AT242" s="143"/>
    </row>
    <row r="243" spans="1:46" ht="15" customHeight="1">
      <c r="A243" s="741"/>
      <c r="B243" s="741"/>
      <c r="C243" s="741"/>
      <c r="D243" s="807" t="str">
        <f>+input!B68</f>
        <v>202j</v>
      </c>
      <c r="E243" s="808">
        <f>+MST!G69</f>
        <v>637.28</v>
      </c>
      <c r="F243" s="808">
        <f>+MST!H69</f>
        <v>0.8</v>
      </c>
      <c r="G243" s="808">
        <f>+MST!I69</f>
        <v>1272.6199999999999</v>
      </c>
      <c r="H243" s="808">
        <f>+MST!J69</f>
        <v>306.39</v>
      </c>
      <c r="I243" s="808">
        <f>+MST!K69</f>
        <v>268.36</v>
      </c>
      <c r="J243" s="808">
        <f>+MST!X69</f>
        <v>1133.22</v>
      </c>
      <c r="K243" s="808">
        <f>+MST!Y69</f>
        <v>-77.16</v>
      </c>
      <c r="L243" s="808">
        <f>MST!AF69</f>
        <v>0</v>
      </c>
      <c r="M243" s="809">
        <f>MST!AE69</f>
        <v>0</v>
      </c>
      <c r="N243" s="741"/>
      <c r="O243" s="741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J243" s="143"/>
      <c r="AK243" s="143"/>
      <c r="AL243" s="143"/>
      <c r="AM243" s="143"/>
      <c r="AN243" s="143"/>
      <c r="AO243" s="143"/>
      <c r="AP243" s="143"/>
      <c r="AQ243" s="143"/>
      <c r="AR243" s="143"/>
      <c r="AS243" s="143"/>
      <c r="AT243" s="143"/>
    </row>
    <row r="244" spans="1:46" ht="15" customHeight="1">
      <c r="A244" s="741"/>
      <c r="B244" s="741"/>
      <c r="C244" s="741"/>
      <c r="D244" s="807" t="str">
        <f>+input!B69</f>
        <v>203i</v>
      </c>
      <c r="E244" s="808">
        <f>+MST!G70</f>
        <v>637.30999999999995</v>
      </c>
      <c r="F244" s="808">
        <f>+MST!H70</f>
        <v>0.8</v>
      </c>
      <c r="G244" s="808">
        <f>+MST!I70</f>
        <v>1272.6099999999999</v>
      </c>
      <c r="H244" s="808">
        <f>+MST!J70</f>
        <v>306.39</v>
      </c>
      <c r="I244" s="808">
        <f>+MST!K70</f>
        <v>268.35000000000002</v>
      </c>
      <c r="J244" s="808">
        <f>+MST!X70</f>
        <v>1133.22</v>
      </c>
      <c r="K244" s="808">
        <f>+MST!Y70</f>
        <v>-77.16</v>
      </c>
      <c r="L244" s="808">
        <f>MST!AF70</f>
        <v>0</v>
      </c>
      <c r="M244" s="809">
        <f>MST!AE70</f>
        <v>0</v>
      </c>
      <c r="N244" s="741"/>
      <c r="O244" s="741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</row>
    <row r="245" spans="1:46" ht="15" customHeight="1">
      <c r="A245" s="741"/>
      <c r="B245" s="741"/>
      <c r="C245" s="741"/>
      <c r="D245" s="807" t="str">
        <f>+input!B70</f>
        <v>203j</v>
      </c>
      <c r="E245" s="808">
        <f>+MST!G71</f>
        <v>580.22</v>
      </c>
      <c r="F245" s="808">
        <f>+MST!H71</f>
        <v>0.8</v>
      </c>
      <c r="G245" s="808">
        <f>+MST!I71</f>
        <v>1140.1500000000001</v>
      </c>
      <c r="H245" s="808">
        <f>+MST!J71</f>
        <v>276.60000000000002</v>
      </c>
      <c r="I245" s="808">
        <f>+MST!K71</f>
        <v>239.79</v>
      </c>
      <c r="J245" s="808">
        <f>+MST!X71</f>
        <v>1032.82</v>
      </c>
      <c r="K245" s="808">
        <f>+MST!Y71</f>
        <v>-125.94</v>
      </c>
      <c r="L245" s="808">
        <f>MST!AF71</f>
        <v>0</v>
      </c>
      <c r="M245" s="809">
        <f>MST!AE71</f>
        <v>0</v>
      </c>
      <c r="N245" s="741"/>
      <c r="O245" s="741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J245" s="143"/>
      <c r="AK245" s="143"/>
      <c r="AL245" s="143"/>
      <c r="AM245" s="143"/>
      <c r="AN245" s="143"/>
      <c r="AO245" s="143"/>
      <c r="AP245" s="143"/>
      <c r="AQ245" s="143"/>
      <c r="AR245" s="143"/>
      <c r="AS245" s="143"/>
      <c r="AT245" s="143"/>
    </row>
    <row r="246" spans="1:46" ht="15" customHeight="1">
      <c r="A246" s="741"/>
      <c r="B246" s="741"/>
      <c r="C246" s="741"/>
      <c r="D246" s="807" t="str">
        <f>+input!B71</f>
        <v>204i</v>
      </c>
      <c r="E246" s="808">
        <f>+MST!G72</f>
        <v>565.27</v>
      </c>
      <c r="F246" s="808">
        <f>+MST!H72</f>
        <v>0.8</v>
      </c>
      <c r="G246" s="808">
        <f>+MST!I72</f>
        <v>1070.69</v>
      </c>
      <c r="H246" s="808">
        <f>+MST!J72</f>
        <v>255.38</v>
      </c>
      <c r="I246" s="808">
        <f>+MST!K72</f>
        <v>227.19</v>
      </c>
      <c r="J246" s="808">
        <f>+MST!X72</f>
        <v>1008.86</v>
      </c>
      <c r="K246" s="808">
        <f>+MST!Y72</f>
        <v>-109.76</v>
      </c>
      <c r="L246" s="808">
        <f>MST!AF72</f>
        <v>0</v>
      </c>
      <c r="M246" s="809">
        <f>MST!AE72</f>
        <v>0</v>
      </c>
      <c r="N246" s="741"/>
      <c r="O246" s="741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</row>
    <row r="247" spans="1:46" ht="15" customHeight="1">
      <c r="A247" s="741"/>
      <c r="B247" s="741"/>
      <c r="C247" s="741"/>
      <c r="D247" s="807" t="str">
        <f>+input!B72</f>
        <v>204j</v>
      </c>
      <c r="E247" s="808">
        <f>+MST!G73</f>
        <v>488.12</v>
      </c>
      <c r="F247" s="808">
        <f>+MST!H73</f>
        <v>0.8</v>
      </c>
      <c r="G247" s="808">
        <f>+MST!I73</f>
        <v>891.69</v>
      </c>
      <c r="H247" s="808">
        <f>+MST!J73</f>
        <v>215.13</v>
      </c>
      <c r="I247" s="808">
        <f>+MST!K73</f>
        <v>188.59</v>
      </c>
      <c r="J247" s="808">
        <f>+MST!X73</f>
        <v>885.54</v>
      </c>
      <c r="K247" s="808">
        <f>+MST!Y73</f>
        <v>-182.9</v>
      </c>
      <c r="L247" s="808">
        <f>MST!AF73</f>
        <v>0</v>
      </c>
      <c r="M247" s="809">
        <f>MST!AE73</f>
        <v>0</v>
      </c>
      <c r="N247" s="741"/>
      <c r="O247" s="741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J247" s="143"/>
      <c r="AK247" s="143"/>
      <c r="AL247" s="143"/>
      <c r="AM247" s="143"/>
      <c r="AN247" s="143"/>
      <c r="AO247" s="143"/>
      <c r="AP247" s="143"/>
      <c r="AQ247" s="143"/>
      <c r="AR247" s="143"/>
      <c r="AS247" s="143"/>
      <c r="AT247" s="143"/>
    </row>
    <row r="248" spans="1:46" ht="15" customHeight="1">
      <c r="A248" s="741"/>
      <c r="B248" s="741"/>
      <c r="C248" s="741"/>
      <c r="D248" s="807" t="str">
        <f>+input!B73</f>
        <v>205i</v>
      </c>
      <c r="E248" s="808">
        <f>+MST!G74</f>
        <v>488.15</v>
      </c>
      <c r="F248" s="808">
        <f>+MST!H74</f>
        <v>0.8</v>
      </c>
      <c r="G248" s="808">
        <f>+MST!I74</f>
        <v>891.72</v>
      </c>
      <c r="H248" s="808">
        <f>+MST!J74</f>
        <v>215.13</v>
      </c>
      <c r="I248" s="808">
        <f>+MST!K74</f>
        <v>188.6</v>
      </c>
      <c r="J248" s="808">
        <f>+MST!X74</f>
        <v>885.54</v>
      </c>
      <c r="K248" s="808">
        <f>+MST!Y74</f>
        <v>-182.9</v>
      </c>
      <c r="L248" s="808">
        <f>MST!AF74</f>
        <v>0</v>
      </c>
      <c r="M248" s="809">
        <f>MST!AE74</f>
        <v>0</v>
      </c>
      <c r="N248" s="741"/>
      <c r="O248" s="741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J248" s="143"/>
      <c r="AK248" s="143"/>
      <c r="AL248" s="143"/>
      <c r="AM248" s="143"/>
      <c r="AN248" s="143"/>
      <c r="AO248" s="143"/>
      <c r="AP248" s="143"/>
      <c r="AQ248" s="143"/>
      <c r="AR248" s="143"/>
      <c r="AS248" s="143"/>
      <c r="AT248" s="143"/>
    </row>
    <row r="249" spans="1:46" ht="15" customHeight="1">
      <c r="A249" s="741"/>
      <c r="B249" s="741"/>
      <c r="C249" s="741"/>
      <c r="D249" s="807" t="str">
        <f>+input!B74</f>
        <v>205j</v>
      </c>
      <c r="E249" s="808">
        <f>+MST!G75</f>
        <v>389.14</v>
      </c>
      <c r="F249" s="808">
        <f>+MST!H75</f>
        <v>0.8</v>
      </c>
      <c r="G249" s="808">
        <f>+MST!I75</f>
        <v>712.72</v>
      </c>
      <c r="H249" s="808">
        <f>+MST!J75</f>
        <v>174.88</v>
      </c>
      <c r="I249" s="808">
        <f>+MST!K75</f>
        <v>150</v>
      </c>
      <c r="J249" s="808">
        <f>+MST!X75</f>
        <v>783.4</v>
      </c>
      <c r="K249" s="808">
        <f>+MST!Y75</f>
        <v>-277.99</v>
      </c>
      <c r="L249" s="808">
        <f>MST!AF75</f>
        <v>0</v>
      </c>
      <c r="M249" s="809">
        <f>MST!AE75</f>
        <v>0</v>
      </c>
      <c r="N249" s="741"/>
      <c r="O249" s="741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J249" s="143"/>
      <c r="AK249" s="143"/>
      <c r="AL249" s="143"/>
      <c r="AM249" s="143"/>
      <c r="AN249" s="143"/>
      <c r="AO249" s="143"/>
      <c r="AP249" s="143"/>
      <c r="AQ249" s="143"/>
      <c r="AR249" s="143"/>
      <c r="AS249" s="143"/>
      <c r="AT249" s="143"/>
    </row>
    <row r="250" spans="1:46" ht="15" customHeight="1">
      <c r="A250" s="741"/>
      <c r="B250" s="741"/>
      <c r="C250" s="741"/>
      <c r="D250" s="807" t="str">
        <f>+input!B75</f>
        <v>206i</v>
      </c>
      <c r="E250" s="808">
        <f>+MST!G76</f>
        <v>370.16</v>
      </c>
      <c r="F250" s="808">
        <f>+MST!H76</f>
        <v>0.81</v>
      </c>
      <c r="G250" s="808">
        <f>+MST!I76</f>
        <v>631.28</v>
      </c>
      <c r="H250" s="808">
        <f>+MST!J76</f>
        <v>150.31</v>
      </c>
      <c r="I250" s="808">
        <f>+MST!K76</f>
        <v>135.09</v>
      </c>
      <c r="J250" s="808">
        <f>+MST!X76</f>
        <v>758.34</v>
      </c>
      <c r="K250" s="808">
        <f>+MST!Y76</f>
        <v>-221.05</v>
      </c>
      <c r="L250" s="808">
        <f>MST!AF76</f>
        <v>0</v>
      </c>
      <c r="M250" s="809">
        <f>MST!AE76</f>
        <v>0</v>
      </c>
      <c r="N250" s="741"/>
      <c r="O250" s="741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J250" s="143"/>
      <c r="AK250" s="143"/>
      <c r="AL250" s="143"/>
      <c r="AM250" s="143"/>
      <c r="AN250" s="143"/>
      <c r="AO250" s="143"/>
      <c r="AP250" s="143"/>
      <c r="AQ250" s="143"/>
      <c r="AR250" s="143"/>
      <c r="AS250" s="143"/>
      <c r="AT250" s="143"/>
    </row>
    <row r="251" spans="1:46" ht="15" customHeight="1">
      <c r="A251" s="741"/>
      <c r="B251" s="741"/>
      <c r="C251" s="741"/>
      <c r="D251" s="807" t="str">
        <f>+input!B76</f>
        <v>206j</v>
      </c>
      <c r="E251" s="808">
        <f>+MST!G77</f>
        <v>271.14999999999998</v>
      </c>
      <c r="F251" s="808">
        <f>+MST!H77</f>
        <v>0.81</v>
      </c>
      <c r="G251" s="808">
        <f>+MST!I77</f>
        <v>452.28</v>
      </c>
      <c r="H251" s="808">
        <f>+MST!J77</f>
        <v>110.06</v>
      </c>
      <c r="I251" s="808">
        <f>+MST!K77</f>
        <v>96.49</v>
      </c>
      <c r="J251" s="808">
        <f>+MST!X77</f>
        <v>652.79999999999995</v>
      </c>
      <c r="K251" s="808">
        <f>+MST!Y77</f>
        <v>-302.17</v>
      </c>
      <c r="L251" s="808">
        <f>MST!AF77</f>
        <v>0</v>
      </c>
      <c r="M251" s="809">
        <f>MST!AE77</f>
        <v>0</v>
      </c>
      <c r="N251" s="741"/>
      <c r="O251" s="741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J251" s="143"/>
      <c r="AK251" s="143"/>
      <c r="AL251" s="143"/>
      <c r="AM251" s="143"/>
      <c r="AN251" s="143"/>
      <c r="AO251" s="143"/>
      <c r="AP251" s="143"/>
      <c r="AQ251" s="143"/>
      <c r="AR251" s="143"/>
      <c r="AS251" s="143"/>
      <c r="AT251" s="143"/>
    </row>
    <row r="252" spans="1:46" ht="15" customHeight="1">
      <c r="A252" s="741"/>
      <c r="B252" s="741"/>
      <c r="C252" s="741"/>
      <c r="D252" s="807" t="str">
        <f>+input!B77</f>
        <v>207i</v>
      </c>
      <c r="E252" s="808">
        <f>+MST!G78</f>
        <v>271.16000000000003</v>
      </c>
      <c r="F252" s="808">
        <f>+MST!H78</f>
        <v>0.81</v>
      </c>
      <c r="G252" s="808">
        <f>+MST!I78</f>
        <v>452.27</v>
      </c>
      <c r="H252" s="808">
        <f>+MST!J78</f>
        <v>110.06</v>
      </c>
      <c r="I252" s="808">
        <f>+MST!K78</f>
        <v>96.51</v>
      </c>
      <c r="J252" s="808">
        <f>+MST!X78</f>
        <v>652.79999999999995</v>
      </c>
      <c r="K252" s="808">
        <f>+MST!Y78</f>
        <v>-302.17</v>
      </c>
      <c r="L252" s="808">
        <f>MST!AF78</f>
        <v>0</v>
      </c>
      <c r="M252" s="809">
        <f>MST!AE78</f>
        <v>0</v>
      </c>
      <c r="N252" s="741"/>
      <c r="O252" s="741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J252" s="143"/>
      <c r="AK252" s="143"/>
      <c r="AL252" s="143"/>
      <c r="AM252" s="143"/>
      <c r="AN252" s="143"/>
      <c r="AO252" s="143"/>
      <c r="AP252" s="143"/>
      <c r="AQ252" s="143"/>
      <c r="AR252" s="143"/>
      <c r="AS252" s="143"/>
      <c r="AT252" s="143"/>
    </row>
    <row r="253" spans="1:46" ht="15" customHeight="1">
      <c r="A253" s="741"/>
      <c r="B253" s="741"/>
      <c r="C253" s="741"/>
      <c r="D253" s="807" t="str">
        <f>+input!B78</f>
        <v>207j</v>
      </c>
      <c r="E253" s="808">
        <f>+MST!G79</f>
        <v>160.03</v>
      </c>
      <c r="F253" s="808">
        <f>+MST!H79</f>
        <v>0.81</v>
      </c>
      <c r="G253" s="808">
        <f>+MST!I79</f>
        <v>273.27</v>
      </c>
      <c r="H253" s="808">
        <f>+MST!J79</f>
        <v>69.81</v>
      </c>
      <c r="I253" s="808">
        <f>+MST!K79</f>
        <v>57.91</v>
      </c>
      <c r="J253" s="808">
        <f>+MST!X79</f>
        <v>563.48</v>
      </c>
      <c r="K253" s="808">
        <f>+MST!Y79</f>
        <v>-399.55</v>
      </c>
      <c r="L253" s="808">
        <f>MST!AF79</f>
        <v>0</v>
      </c>
      <c r="M253" s="809">
        <f>MST!AE79</f>
        <v>0</v>
      </c>
      <c r="N253" s="741"/>
      <c r="O253" s="741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J253" s="143"/>
      <c r="AK253" s="143"/>
      <c r="AL253" s="143"/>
      <c r="AM253" s="143"/>
      <c r="AN253" s="143"/>
      <c r="AO253" s="143"/>
      <c r="AP253" s="143"/>
      <c r="AQ253" s="143"/>
      <c r="AR253" s="143"/>
      <c r="AS253" s="143"/>
      <c r="AT253" s="143"/>
    </row>
    <row r="254" spans="1:46" ht="15" customHeight="1">
      <c r="A254" s="741"/>
      <c r="B254" s="741"/>
      <c r="C254" s="741"/>
      <c r="D254" s="807" t="str">
        <f>+input!B79</f>
        <v>208i</v>
      </c>
      <c r="E254" s="808">
        <f>+MST!G80</f>
        <v>139.72</v>
      </c>
      <c r="F254" s="808">
        <f>+MST!H80</f>
        <v>0.8</v>
      </c>
      <c r="G254" s="808">
        <f>+MST!I80</f>
        <v>187.22</v>
      </c>
      <c r="H254" s="808">
        <f>+MST!J80</f>
        <v>44.54</v>
      </c>
      <c r="I254" s="808">
        <f>+MST!K80</f>
        <v>42.61</v>
      </c>
      <c r="J254" s="808">
        <f>+MST!X80</f>
        <v>552.12</v>
      </c>
      <c r="K254" s="808">
        <f>+MST!Y80</f>
        <v>-352.16</v>
      </c>
      <c r="L254" s="808">
        <f>MST!AF80</f>
        <v>0</v>
      </c>
      <c r="M254" s="809">
        <f>MST!AE80</f>
        <v>0</v>
      </c>
      <c r="N254" s="741"/>
      <c r="O254" s="741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J254" s="143"/>
      <c r="AK254" s="143"/>
      <c r="AL254" s="143"/>
      <c r="AM254" s="143"/>
      <c r="AN254" s="143"/>
      <c r="AO254" s="143"/>
      <c r="AP254" s="143"/>
      <c r="AQ254" s="143"/>
      <c r="AR254" s="143"/>
      <c r="AS254" s="143"/>
      <c r="AT254" s="143"/>
    </row>
    <row r="255" spans="1:46" ht="15" customHeight="1">
      <c r="A255" s="741"/>
      <c r="B255" s="741"/>
      <c r="C255" s="741"/>
      <c r="D255" s="807" t="str">
        <f>+input!B80</f>
        <v>208j</v>
      </c>
      <c r="E255" s="808">
        <f>+MST!G81</f>
        <v>28.59</v>
      </c>
      <c r="F255" s="808">
        <f>+MST!H81</f>
        <v>0.8</v>
      </c>
      <c r="G255" s="808">
        <f>+MST!I81</f>
        <v>8.2200000000000006</v>
      </c>
      <c r="H255" s="808">
        <f>+MST!J81</f>
        <v>4.29</v>
      </c>
      <c r="I255" s="808">
        <f>+MST!K81</f>
        <v>4.01</v>
      </c>
      <c r="J255" s="808">
        <f>+MST!X81</f>
        <v>454</v>
      </c>
      <c r="K255" s="808">
        <f>+MST!Y81</f>
        <v>-439.91</v>
      </c>
      <c r="L255" s="808">
        <f>MST!AF81</f>
        <v>0</v>
      </c>
      <c r="M255" s="809">
        <f>MST!AE81</f>
        <v>0</v>
      </c>
      <c r="N255" s="741"/>
      <c r="O255" s="741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J255" s="143"/>
      <c r="AK255" s="143"/>
      <c r="AL255" s="143"/>
      <c r="AM255" s="143"/>
      <c r="AN255" s="143"/>
      <c r="AO255" s="143"/>
      <c r="AP255" s="143"/>
      <c r="AQ255" s="143"/>
      <c r="AR255" s="143"/>
      <c r="AS255" s="143"/>
      <c r="AT255" s="143"/>
    </row>
    <row r="256" spans="1:46" ht="15" customHeight="1">
      <c r="A256" s="741"/>
      <c r="B256" s="741"/>
      <c r="C256" s="741"/>
      <c r="D256" s="807" t="str">
        <f>+input!B81</f>
        <v>209i</v>
      </c>
      <c r="E256" s="808">
        <f>+MST!G82</f>
        <v>28.63</v>
      </c>
      <c r="F256" s="808">
        <f>+MST!H82</f>
        <v>0.8</v>
      </c>
      <c r="G256" s="808">
        <f>+MST!I82</f>
        <v>8.18</v>
      </c>
      <c r="H256" s="808">
        <f>+MST!J82</f>
        <v>4.3</v>
      </c>
      <c r="I256" s="808">
        <f>+MST!K82</f>
        <v>4.0199999999999996</v>
      </c>
      <c r="J256" s="808">
        <f>+MST!X82</f>
        <v>454</v>
      </c>
      <c r="K256" s="808">
        <f>+MST!Y82</f>
        <v>-439.91</v>
      </c>
      <c r="L256" s="808">
        <f>MST!AF82</f>
        <v>0</v>
      </c>
      <c r="M256" s="809">
        <f>MST!AE82</f>
        <v>0</v>
      </c>
      <c r="N256" s="741"/>
      <c r="O256" s="741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J256" s="143"/>
      <c r="AK256" s="143"/>
      <c r="AL256" s="143"/>
      <c r="AM256" s="143"/>
      <c r="AN256" s="143"/>
      <c r="AO256" s="143"/>
      <c r="AP256" s="143"/>
      <c r="AQ256" s="143"/>
      <c r="AR256" s="143"/>
      <c r="AS256" s="143"/>
      <c r="AT256" s="143"/>
    </row>
    <row r="257" spans="1:46" ht="15" customHeight="1">
      <c r="A257" s="741"/>
      <c r="B257" s="741"/>
      <c r="C257" s="741"/>
      <c r="D257" s="807" t="str">
        <f>+input!B82</f>
        <v>209j</v>
      </c>
      <c r="E257" s="808">
        <f>+MST!G83</f>
        <v>-82.49</v>
      </c>
      <c r="F257" s="808">
        <f>+MST!H83</f>
        <v>0.8</v>
      </c>
      <c r="G257" s="808">
        <f>+MST!I83</f>
        <v>-170.82</v>
      </c>
      <c r="H257" s="808">
        <f>+MST!J83</f>
        <v>-35.950000000000003</v>
      </c>
      <c r="I257" s="808">
        <f>+MST!K83</f>
        <v>-34.58</v>
      </c>
      <c r="J257" s="808">
        <f>+MST!X83</f>
        <v>372.08</v>
      </c>
      <c r="K257" s="808">
        <f>+MST!Y83</f>
        <v>-541.59</v>
      </c>
      <c r="L257" s="808">
        <f>MST!AF83</f>
        <v>0</v>
      </c>
      <c r="M257" s="809">
        <f>MST!AE83</f>
        <v>0</v>
      </c>
      <c r="N257" s="741"/>
      <c r="O257" s="741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J257" s="143"/>
      <c r="AK257" s="143"/>
      <c r="AL257" s="143"/>
      <c r="AM257" s="143"/>
      <c r="AN257" s="143"/>
      <c r="AO257" s="143"/>
      <c r="AP257" s="143"/>
      <c r="AQ257" s="143"/>
      <c r="AR257" s="143"/>
      <c r="AS257" s="143"/>
      <c r="AT257" s="143"/>
    </row>
    <row r="258" spans="1:46" ht="15" customHeight="1">
      <c r="A258" s="741"/>
      <c r="B258" s="741"/>
      <c r="C258" s="741"/>
      <c r="D258" s="807" t="str">
        <f>+input!B83</f>
        <v>210i</v>
      </c>
      <c r="E258" s="808">
        <f>+MST!G84</f>
        <v>-98.1</v>
      </c>
      <c r="F258" s="808">
        <f>+MST!H84</f>
        <v>0.81</v>
      </c>
      <c r="G258" s="808">
        <f>+MST!I84</f>
        <v>-227.94</v>
      </c>
      <c r="H258" s="808">
        <f>+MST!J84</f>
        <v>-53.22</v>
      </c>
      <c r="I258" s="808">
        <f>+MST!K84</f>
        <v>-45.02</v>
      </c>
      <c r="J258" s="808">
        <f>+MST!X84</f>
        <v>403.4</v>
      </c>
      <c r="K258" s="808">
        <f>+MST!Y84</f>
        <v>-544.74</v>
      </c>
      <c r="L258" s="808">
        <f>MST!AF84</f>
        <v>0</v>
      </c>
      <c r="M258" s="809">
        <f>MST!AE84</f>
        <v>0</v>
      </c>
      <c r="N258" s="741"/>
      <c r="O258" s="741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</row>
    <row r="259" spans="1:46" ht="15" customHeight="1">
      <c r="A259" s="741"/>
      <c r="B259" s="741"/>
      <c r="C259" s="741"/>
      <c r="D259" s="807" t="str">
        <f>+input!B84</f>
        <v>210j</v>
      </c>
      <c r="E259" s="808">
        <f>+MST!G85</f>
        <v>-209.22</v>
      </c>
      <c r="F259" s="808">
        <f>+MST!H85</f>
        <v>0.81</v>
      </c>
      <c r="G259" s="808">
        <f>+MST!I85</f>
        <v>-406.94</v>
      </c>
      <c r="H259" s="808">
        <f>+MST!J85</f>
        <v>-93.47</v>
      </c>
      <c r="I259" s="808">
        <f>+MST!K85</f>
        <v>-83.62</v>
      </c>
      <c r="J259" s="808">
        <f>+MST!X85</f>
        <v>317.18</v>
      </c>
      <c r="K259" s="808">
        <f>+MST!Y85</f>
        <v>-641.21</v>
      </c>
      <c r="L259" s="808">
        <f>MST!AF85</f>
        <v>0</v>
      </c>
      <c r="M259" s="809">
        <f>MST!AE85</f>
        <v>0</v>
      </c>
      <c r="N259" s="741"/>
      <c r="O259" s="741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J259" s="143"/>
      <c r="AK259" s="143"/>
      <c r="AL259" s="143"/>
      <c r="AM259" s="143"/>
      <c r="AN259" s="143"/>
      <c r="AO259" s="143"/>
      <c r="AP259" s="143"/>
      <c r="AQ259" s="143"/>
      <c r="AR259" s="143"/>
      <c r="AS259" s="143"/>
      <c r="AT259" s="143"/>
    </row>
    <row r="260" spans="1:46" ht="15" customHeight="1">
      <c r="A260" s="741"/>
      <c r="B260" s="741"/>
      <c r="C260" s="741"/>
      <c r="D260" s="807" t="str">
        <f>+input!B85</f>
        <v>211i</v>
      </c>
      <c r="E260" s="808">
        <f>+MST!G86</f>
        <v>-226.98</v>
      </c>
      <c r="F260" s="808">
        <f>+MST!H86</f>
        <v>0.8</v>
      </c>
      <c r="G260" s="808">
        <f>+MST!I86</f>
        <v>-468.18</v>
      </c>
      <c r="H260" s="808">
        <f>+MST!J86</f>
        <v>-110.87</v>
      </c>
      <c r="I260" s="808">
        <f>+MST!K86</f>
        <v>-94.22</v>
      </c>
      <c r="J260" s="808">
        <f>+MST!X86</f>
        <v>352.69</v>
      </c>
      <c r="K260" s="808">
        <f>+MST!Y86</f>
        <v>-643.48</v>
      </c>
      <c r="L260" s="808">
        <f>MST!AF86</f>
        <v>0</v>
      </c>
      <c r="M260" s="809">
        <f>MST!AE86</f>
        <v>0</v>
      </c>
      <c r="N260" s="741"/>
      <c r="O260" s="741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J260" s="143"/>
      <c r="AK260" s="143"/>
      <c r="AL260" s="143"/>
      <c r="AM260" s="143"/>
      <c r="AN260" s="143"/>
      <c r="AO260" s="143"/>
      <c r="AP260" s="143"/>
      <c r="AQ260" s="143"/>
      <c r="AR260" s="143"/>
      <c r="AS260" s="143"/>
      <c r="AT260" s="143"/>
    </row>
    <row r="261" spans="1:46" ht="15" customHeight="1">
      <c r="A261" s="741"/>
      <c r="B261" s="741"/>
      <c r="C261" s="741"/>
      <c r="D261" s="807" t="str">
        <f>+input!B86</f>
        <v>211j</v>
      </c>
      <c r="E261" s="808">
        <f>+MST!G87</f>
        <v>-338.11</v>
      </c>
      <c r="F261" s="808">
        <f>+MST!H87</f>
        <v>0.8</v>
      </c>
      <c r="G261" s="808">
        <f>+MST!I87</f>
        <v>-647.17999999999995</v>
      </c>
      <c r="H261" s="808">
        <f>+MST!J87</f>
        <v>-151.12</v>
      </c>
      <c r="I261" s="808">
        <f>+MST!K87</f>
        <v>-132.82</v>
      </c>
      <c r="J261" s="808">
        <f>+MST!X87</f>
        <v>262.55</v>
      </c>
      <c r="K261" s="808">
        <f>+MST!Y87</f>
        <v>-735.21</v>
      </c>
      <c r="L261" s="808">
        <f>MST!AF87</f>
        <v>0</v>
      </c>
      <c r="M261" s="809">
        <f>MST!AE87</f>
        <v>0</v>
      </c>
      <c r="N261" s="741"/>
      <c r="O261" s="741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J261" s="143"/>
      <c r="AK261" s="143"/>
      <c r="AL261" s="143"/>
      <c r="AM261" s="143"/>
      <c r="AN261" s="143"/>
      <c r="AO261" s="143"/>
      <c r="AP261" s="143"/>
      <c r="AQ261" s="143"/>
      <c r="AR261" s="143"/>
      <c r="AS261" s="143"/>
      <c r="AT261" s="143"/>
    </row>
    <row r="262" spans="1:46" ht="15" customHeight="1">
      <c r="A262" s="741"/>
      <c r="B262" s="741"/>
      <c r="C262" s="741"/>
      <c r="D262" s="807" t="str">
        <f>+input!B87</f>
        <v>212i</v>
      </c>
      <c r="E262" s="808">
        <f>+MST!G88</f>
        <v>-338.1</v>
      </c>
      <c r="F262" s="808">
        <f>+MST!H88</f>
        <v>0.8</v>
      </c>
      <c r="G262" s="808">
        <f>+MST!I88</f>
        <v>-647.16</v>
      </c>
      <c r="H262" s="808">
        <f>+MST!J88</f>
        <v>-151.13999999999999</v>
      </c>
      <c r="I262" s="808">
        <f>+MST!K88</f>
        <v>-132.83000000000001</v>
      </c>
      <c r="J262" s="808">
        <f>+MST!X88</f>
        <v>262.55</v>
      </c>
      <c r="K262" s="808">
        <f>+MST!Y88</f>
        <v>-735.21</v>
      </c>
      <c r="L262" s="808">
        <f>MST!AF88</f>
        <v>0</v>
      </c>
      <c r="M262" s="809">
        <f>MST!AE88</f>
        <v>0</v>
      </c>
      <c r="N262" s="741"/>
      <c r="O262" s="741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J262" s="143"/>
      <c r="AK262" s="143"/>
      <c r="AL262" s="143"/>
      <c r="AM262" s="143"/>
      <c r="AN262" s="143"/>
      <c r="AO262" s="143"/>
      <c r="AP262" s="143"/>
      <c r="AQ262" s="143"/>
      <c r="AR262" s="143"/>
      <c r="AS262" s="143"/>
      <c r="AT262" s="143"/>
    </row>
    <row r="263" spans="1:46" ht="15" customHeight="1">
      <c r="A263" s="741"/>
      <c r="B263" s="741"/>
      <c r="C263" s="741"/>
      <c r="D263" s="807" t="str">
        <f>+input!B88</f>
        <v>212j</v>
      </c>
      <c r="E263" s="808">
        <f>+MST!G89</f>
        <v>-433.82</v>
      </c>
      <c r="F263" s="808">
        <f>+MST!H89</f>
        <v>0.8</v>
      </c>
      <c r="G263" s="808">
        <f>+MST!I89</f>
        <v>-826.16</v>
      </c>
      <c r="H263" s="808">
        <f>+MST!J89</f>
        <v>-191.39</v>
      </c>
      <c r="I263" s="808">
        <f>+MST!K89</f>
        <v>-171.43</v>
      </c>
      <c r="J263" s="808">
        <f>+MST!X89</f>
        <v>189.45</v>
      </c>
      <c r="K263" s="808">
        <f>+MST!Y89</f>
        <v>-841.58</v>
      </c>
      <c r="L263" s="808">
        <f>MST!AF89</f>
        <v>0</v>
      </c>
      <c r="M263" s="809">
        <f>MST!AE89</f>
        <v>0</v>
      </c>
      <c r="N263" s="741"/>
      <c r="O263" s="741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J263" s="143"/>
      <c r="AK263" s="143"/>
      <c r="AL263" s="143"/>
      <c r="AM263" s="143"/>
      <c r="AN263" s="143"/>
      <c r="AO263" s="143"/>
      <c r="AP263" s="143"/>
      <c r="AQ263" s="143"/>
      <c r="AR263" s="143"/>
      <c r="AS263" s="143"/>
      <c r="AT263" s="143"/>
    </row>
    <row r="264" spans="1:46" ht="15" customHeight="1">
      <c r="A264" s="741"/>
      <c r="B264" s="741"/>
      <c r="C264" s="741"/>
      <c r="D264" s="807" t="str">
        <f>+input!B89</f>
        <v>213i</v>
      </c>
      <c r="E264" s="808">
        <f>+MST!G90</f>
        <v>-451.1</v>
      </c>
      <c r="F264" s="808">
        <f>+MST!H90</f>
        <v>0.79</v>
      </c>
      <c r="G264" s="808">
        <f>+MST!I90</f>
        <v>-905.69</v>
      </c>
      <c r="H264" s="808">
        <f>+MST!J90</f>
        <v>-216.37</v>
      </c>
      <c r="I264" s="808">
        <f>+MST!K90</f>
        <v>-186.4</v>
      </c>
      <c r="J264" s="808">
        <f>+MST!X90</f>
        <v>251.53</v>
      </c>
      <c r="K264" s="808">
        <f>+MST!Y90</f>
        <v>-870.41</v>
      </c>
      <c r="L264" s="808">
        <f>MST!AF90</f>
        <v>0</v>
      </c>
      <c r="M264" s="809">
        <f>MST!AE90</f>
        <v>0</v>
      </c>
      <c r="N264" s="741"/>
      <c r="O264" s="741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J264" s="143"/>
      <c r="AK264" s="143"/>
      <c r="AL264" s="143"/>
      <c r="AM264" s="143"/>
      <c r="AN264" s="143"/>
      <c r="AO264" s="143"/>
      <c r="AP264" s="143"/>
      <c r="AQ264" s="143"/>
      <c r="AR264" s="143"/>
      <c r="AS264" s="143"/>
      <c r="AT264" s="143"/>
    </row>
    <row r="265" spans="1:46" ht="15" customHeight="1">
      <c r="A265" s="741"/>
      <c r="B265" s="741"/>
      <c r="C265" s="741"/>
      <c r="D265" s="807" t="str">
        <f>+input!B90</f>
        <v>213j</v>
      </c>
      <c r="E265" s="808">
        <f>+MST!G91</f>
        <v>-543.46</v>
      </c>
      <c r="F265" s="808">
        <f>+MST!H91</f>
        <v>0.79</v>
      </c>
      <c r="G265" s="808">
        <f>+MST!I91</f>
        <v>-1084.69</v>
      </c>
      <c r="H265" s="808">
        <f>+MST!J91</f>
        <v>-256.62</v>
      </c>
      <c r="I265" s="808">
        <f>+MST!K91</f>
        <v>-225</v>
      </c>
      <c r="J265" s="808">
        <f>+MST!X91</f>
        <v>173.19</v>
      </c>
      <c r="K265" s="808">
        <f>+MST!Y91</f>
        <v>-967.84</v>
      </c>
      <c r="L265" s="808">
        <f>MST!AF91</f>
        <v>0</v>
      </c>
      <c r="M265" s="809">
        <f>MST!AE91</f>
        <v>0</v>
      </c>
      <c r="N265" s="741"/>
      <c r="O265" s="741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J265" s="143"/>
      <c r="AK265" s="143"/>
      <c r="AL265" s="143"/>
      <c r="AM265" s="143"/>
      <c r="AN265" s="143"/>
      <c r="AO265" s="143"/>
      <c r="AP265" s="143"/>
      <c r="AQ265" s="143"/>
      <c r="AR265" s="143"/>
      <c r="AS265" s="143"/>
      <c r="AT265" s="143"/>
    </row>
    <row r="266" spans="1:46" ht="15" customHeight="1">
      <c r="A266" s="741"/>
      <c r="B266" s="741"/>
      <c r="C266" s="741"/>
      <c r="D266" s="807" t="str">
        <f>+input!B91</f>
        <v>214i</v>
      </c>
      <c r="E266" s="808">
        <f>+MST!G92</f>
        <v>-543.49</v>
      </c>
      <c r="F266" s="808">
        <f>+MST!H92</f>
        <v>0.79</v>
      </c>
      <c r="G266" s="808">
        <f>+MST!I92</f>
        <v>-1084.6500000000001</v>
      </c>
      <c r="H266" s="808">
        <f>+MST!J92</f>
        <v>-256.61</v>
      </c>
      <c r="I266" s="808">
        <f>+MST!K92</f>
        <v>-225.01</v>
      </c>
      <c r="J266" s="808">
        <f>+MST!X92</f>
        <v>173.19</v>
      </c>
      <c r="K266" s="808">
        <f>+MST!Y92</f>
        <v>-967.84</v>
      </c>
      <c r="L266" s="808">
        <f>MST!AF92</f>
        <v>0</v>
      </c>
      <c r="M266" s="809">
        <f>MST!AE92</f>
        <v>0</v>
      </c>
      <c r="N266" s="741"/>
      <c r="O266" s="741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J266" s="143"/>
      <c r="AK266" s="143"/>
      <c r="AL266" s="143"/>
      <c r="AM266" s="143"/>
      <c r="AN266" s="143"/>
      <c r="AO266" s="143"/>
      <c r="AP266" s="143"/>
      <c r="AQ266" s="143"/>
      <c r="AR266" s="143"/>
      <c r="AS266" s="143"/>
      <c r="AT266" s="143"/>
    </row>
    <row r="267" spans="1:46" ht="15" customHeight="1">
      <c r="A267" s="741"/>
      <c r="B267" s="741"/>
      <c r="C267" s="741"/>
      <c r="D267" s="807" t="str">
        <f>+input!B92</f>
        <v>214j</v>
      </c>
      <c r="E267" s="808">
        <f>+MST!G93</f>
        <v>-635.84</v>
      </c>
      <c r="F267" s="808">
        <f>+MST!H93</f>
        <v>0.79</v>
      </c>
      <c r="G267" s="808">
        <f>+MST!I93</f>
        <v>-1263.6500000000001</v>
      </c>
      <c r="H267" s="808">
        <f>+MST!J93</f>
        <v>-296.86</v>
      </c>
      <c r="I267" s="808">
        <f>+MST!K93</f>
        <v>-263.61</v>
      </c>
      <c r="J267" s="808">
        <f>+MST!X93</f>
        <v>111.12</v>
      </c>
      <c r="K267" s="808">
        <f>+MST!Y93</f>
        <v>-1078.81</v>
      </c>
      <c r="L267" s="808">
        <f>MST!AF93</f>
        <v>0</v>
      </c>
      <c r="M267" s="809">
        <f>MST!AE93</f>
        <v>0</v>
      </c>
      <c r="N267" s="741"/>
      <c r="O267" s="741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J267" s="143"/>
      <c r="AK267" s="143"/>
      <c r="AL267" s="143"/>
      <c r="AM267" s="143"/>
      <c r="AN267" s="143"/>
      <c r="AO267" s="143"/>
      <c r="AP267" s="143"/>
      <c r="AQ267" s="143"/>
      <c r="AR267" s="143"/>
      <c r="AS267" s="143"/>
      <c r="AT267" s="143"/>
    </row>
    <row r="268" spans="1:46" ht="15" customHeight="1">
      <c r="A268" s="741"/>
      <c r="B268" s="741"/>
      <c r="C268" s="741"/>
      <c r="D268" s="807" t="str">
        <f>+input!B93</f>
        <v>215i</v>
      </c>
      <c r="E268" s="808">
        <f>+MST!G94</f>
        <v>-654.26</v>
      </c>
      <c r="F268" s="808">
        <f>+MST!H94</f>
        <v>0.79</v>
      </c>
      <c r="G268" s="808">
        <f>+MST!I94</f>
        <v>-1344.64</v>
      </c>
      <c r="H268" s="808">
        <f>+MST!J94</f>
        <v>-320.85000000000002</v>
      </c>
      <c r="I268" s="808">
        <f>+MST!K94</f>
        <v>-278.14</v>
      </c>
      <c r="J268" s="808">
        <f>+MST!X94</f>
        <v>197.05</v>
      </c>
      <c r="K268" s="808">
        <f>+MST!Y94</f>
        <v>-1115.26</v>
      </c>
      <c r="L268" s="808">
        <f>MST!AF94</f>
        <v>0</v>
      </c>
      <c r="M268" s="809">
        <f>MST!AE94</f>
        <v>0</v>
      </c>
      <c r="N268" s="741"/>
      <c r="O268" s="741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</row>
    <row r="269" spans="1:46" ht="15" customHeight="1">
      <c r="A269" s="741"/>
      <c r="B269" s="741"/>
      <c r="C269" s="741"/>
      <c r="D269" s="807" t="str">
        <f>+input!B94</f>
        <v>215j</v>
      </c>
      <c r="E269" s="808">
        <f>+MST!G95</f>
        <v>-726.93</v>
      </c>
      <c r="F269" s="808">
        <f>+MST!H95</f>
        <v>0.79</v>
      </c>
      <c r="G269" s="808">
        <f>+MST!I95</f>
        <v>-1523.64</v>
      </c>
      <c r="H269" s="808">
        <f>+MST!J95</f>
        <v>-361.1</v>
      </c>
      <c r="I269" s="808">
        <f>+MST!K95</f>
        <v>-316.74</v>
      </c>
      <c r="J269" s="808">
        <f>+MST!X95</f>
        <v>132.12</v>
      </c>
      <c r="K269" s="808">
        <f>+MST!Y95</f>
        <v>-1218.23</v>
      </c>
      <c r="L269" s="808">
        <f>MST!AF95</f>
        <v>0</v>
      </c>
      <c r="M269" s="809">
        <f>MST!AE95</f>
        <v>0</v>
      </c>
      <c r="N269" s="741"/>
      <c r="O269" s="741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</row>
    <row r="270" spans="1:46" ht="15" customHeight="1">
      <c r="A270" s="741"/>
      <c r="B270" s="741"/>
      <c r="C270" s="741"/>
      <c r="D270" s="807" t="str">
        <f>+input!B95</f>
        <v>216i</v>
      </c>
      <c r="E270" s="808">
        <f>+MST!G96</f>
        <v>-726.94</v>
      </c>
      <c r="F270" s="808">
        <f>+MST!H96</f>
        <v>0.79</v>
      </c>
      <c r="G270" s="808">
        <f>+MST!I96</f>
        <v>-1523.62</v>
      </c>
      <c r="H270" s="808">
        <f>+MST!J96</f>
        <v>-361.1</v>
      </c>
      <c r="I270" s="808">
        <f>+MST!K96</f>
        <v>-316.75</v>
      </c>
      <c r="J270" s="808">
        <f>+MST!X96</f>
        <v>132.12</v>
      </c>
      <c r="K270" s="808">
        <f>+MST!Y96</f>
        <v>-1218.23</v>
      </c>
      <c r="L270" s="808">
        <f>MST!AF96</f>
        <v>0</v>
      </c>
      <c r="M270" s="809">
        <f>MST!AE96</f>
        <v>0</v>
      </c>
      <c r="N270" s="741"/>
      <c r="O270" s="741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J270" s="143"/>
      <c r="AK270" s="143"/>
      <c r="AL270" s="143"/>
      <c r="AM270" s="143"/>
      <c r="AN270" s="143"/>
      <c r="AO270" s="143"/>
      <c r="AP270" s="143"/>
      <c r="AQ270" s="143"/>
      <c r="AR270" s="143"/>
      <c r="AS270" s="143"/>
      <c r="AT270" s="143"/>
    </row>
    <row r="271" spans="1:46" ht="15" customHeight="1">
      <c r="A271" s="741"/>
      <c r="B271" s="741"/>
      <c r="C271" s="741"/>
      <c r="D271" s="807" t="str">
        <f>+input!B96</f>
        <v>216j</v>
      </c>
      <c r="E271" s="808">
        <f>+MST!G97</f>
        <v>-811.42</v>
      </c>
      <c r="F271" s="808">
        <f>+MST!H97</f>
        <v>0.79</v>
      </c>
      <c r="G271" s="808">
        <f>+MST!I97</f>
        <v>-1702.62</v>
      </c>
      <c r="H271" s="808">
        <f>+MST!J97</f>
        <v>-401.35</v>
      </c>
      <c r="I271" s="808">
        <f>+MST!K97</f>
        <v>-355.35</v>
      </c>
      <c r="J271" s="808">
        <f>+MST!X97</f>
        <v>81.459999999999994</v>
      </c>
      <c r="K271" s="808">
        <f>+MST!Y97</f>
        <v>-1332.23</v>
      </c>
      <c r="L271" s="808">
        <f>MST!AF97</f>
        <v>0</v>
      </c>
      <c r="M271" s="809">
        <f>MST!AE97</f>
        <v>0</v>
      </c>
      <c r="N271" s="741"/>
      <c r="O271" s="741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J271" s="143"/>
      <c r="AK271" s="143"/>
      <c r="AL271" s="143"/>
      <c r="AM271" s="143"/>
      <c r="AN271" s="143"/>
      <c r="AO271" s="143"/>
      <c r="AP271" s="143"/>
      <c r="AQ271" s="143"/>
      <c r="AR271" s="143"/>
      <c r="AS271" s="143"/>
      <c r="AT271" s="143"/>
    </row>
    <row r="272" spans="1:46" ht="15" customHeight="1">
      <c r="A272" s="741"/>
      <c r="B272" s="741"/>
      <c r="C272" s="741"/>
      <c r="D272" s="807" t="str">
        <f>+input!B97</f>
        <v>217i</v>
      </c>
      <c r="E272" s="808">
        <f>+MST!G98</f>
        <v>-836.11</v>
      </c>
      <c r="F272" s="808">
        <f>+MST!H98</f>
        <v>1.05</v>
      </c>
      <c r="G272" s="808">
        <f>+MST!I98</f>
        <v>-1797.57</v>
      </c>
      <c r="H272" s="808">
        <f>+MST!J98</f>
        <v>-426.93</v>
      </c>
      <c r="I272" s="808">
        <f>+MST!K98</f>
        <v>-370.98</v>
      </c>
      <c r="J272" s="808">
        <f>+MST!X98</f>
        <v>161.49</v>
      </c>
      <c r="K272" s="808">
        <f>+MST!Y98</f>
        <v>-1381.34</v>
      </c>
      <c r="L272" s="808">
        <f>MST!AF98</f>
        <v>0</v>
      </c>
      <c r="M272" s="809">
        <f>MST!AE98</f>
        <v>0</v>
      </c>
      <c r="N272" s="741"/>
      <c r="O272" s="741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J272" s="143"/>
      <c r="AK272" s="143"/>
      <c r="AL272" s="143"/>
      <c r="AM272" s="143"/>
      <c r="AN272" s="143"/>
      <c r="AO272" s="143"/>
      <c r="AP272" s="143"/>
      <c r="AQ272" s="143"/>
      <c r="AR272" s="143"/>
      <c r="AS272" s="143"/>
      <c r="AT272" s="143"/>
    </row>
    <row r="273" spans="1:46" ht="15" customHeight="1">
      <c r="A273" s="741"/>
      <c r="B273" s="741"/>
      <c r="C273" s="741"/>
      <c r="D273" s="807" t="str">
        <f>+input!B98</f>
        <v>217j</v>
      </c>
      <c r="E273" s="808">
        <f>+MST!G99</f>
        <v>-940.77</v>
      </c>
      <c r="F273" s="808">
        <f>+MST!H99</f>
        <v>-77.819999999999993</v>
      </c>
      <c r="G273" s="808">
        <f>+MST!I99</f>
        <v>-1976.57</v>
      </c>
      <c r="H273" s="808">
        <f>+MST!J99</f>
        <v>-467.18</v>
      </c>
      <c r="I273" s="808">
        <f>+MST!K99</f>
        <v>-409.58</v>
      </c>
      <c r="J273" s="808">
        <f>+MST!X99</f>
        <v>118.42</v>
      </c>
      <c r="K273" s="808">
        <f>+MST!Y99</f>
        <v>-1496.11</v>
      </c>
      <c r="L273" s="808">
        <f>MST!AF99</f>
        <v>0</v>
      </c>
      <c r="M273" s="809">
        <f>MST!AE99</f>
        <v>0</v>
      </c>
      <c r="N273" s="741"/>
      <c r="O273" s="741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J273" s="143"/>
      <c r="AK273" s="143"/>
      <c r="AL273" s="143"/>
      <c r="AM273" s="143"/>
      <c r="AN273" s="143"/>
      <c r="AO273" s="143"/>
      <c r="AP273" s="143"/>
      <c r="AQ273" s="143"/>
      <c r="AR273" s="143"/>
      <c r="AS273" s="143"/>
      <c r="AT273" s="143"/>
    </row>
    <row r="274" spans="1:46" ht="15" customHeight="1">
      <c r="A274" s="741"/>
      <c r="B274" s="741"/>
      <c r="C274" s="741"/>
      <c r="D274" s="807" t="str">
        <f>+input!B99</f>
        <v>218i</v>
      </c>
      <c r="E274" s="808">
        <f>+MST!G100</f>
        <v>-940.77</v>
      </c>
      <c r="F274" s="808">
        <f>+MST!H100</f>
        <v>-77.819999999999993</v>
      </c>
      <c r="G274" s="808">
        <f>+MST!I100</f>
        <v>-1976.56</v>
      </c>
      <c r="H274" s="808">
        <f>+MST!J100</f>
        <v>-467.17</v>
      </c>
      <c r="I274" s="808">
        <f>+MST!K100</f>
        <v>-409.6</v>
      </c>
      <c r="J274" s="808">
        <f>+MST!X100</f>
        <v>118.42</v>
      </c>
      <c r="K274" s="808">
        <f>+MST!Y100</f>
        <v>-1496.11</v>
      </c>
      <c r="L274" s="808">
        <f>MST!AF100</f>
        <v>0</v>
      </c>
      <c r="M274" s="809">
        <f>MST!AE100</f>
        <v>0</v>
      </c>
      <c r="N274" s="741"/>
      <c r="O274" s="741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J274" s="143"/>
      <c r="AK274" s="143"/>
      <c r="AL274" s="143"/>
      <c r="AM274" s="143"/>
      <c r="AN274" s="143"/>
      <c r="AO274" s="143"/>
      <c r="AP274" s="143"/>
      <c r="AQ274" s="143"/>
      <c r="AR274" s="143"/>
      <c r="AS274" s="143"/>
      <c r="AT274" s="143"/>
    </row>
    <row r="275" spans="1:46" ht="15" customHeight="1">
      <c r="A275" s="741"/>
      <c r="B275" s="741"/>
      <c r="C275" s="741"/>
      <c r="D275" s="807" t="str">
        <f>+input!B100</f>
        <v>218j</v>
      </c>
      <c r="E275" s="808">
        <f>+MST!G101</f>
        <v>-1044.5</v>
      </c>
      <c r="F275" s="808">
        <f>+MST!H101</f>
        <v>-154.38999999999999</v>
      </c>
      <c r="G275" s="808">
        <f>+MST!I101</f>
        <v>-2101.86</v>
      </c>
      <c r="H275" s="808">
        <f>+MST!J101</f>
        <v>-495.35</v>
      </c>
      <c r="I275" s="808">
        <f>+MST!K101</f>
        <v>-436.62</v>
      </c>
      <c r="J275" s="808">
        <f>+MST!X101</f>
        <v>98.72</v>
      </c>
      <c r="K275" s="808">
        <f>+MST!Y101</f>
        <v>-1582.16</v>
      </c>
      <c r="L275" s="808">
        <f>MST!AF101</f>
        <v>0</v>
      </c>
      <c r="M275" s="809">
        <f>MST!AE101</f>
        <v>0</v>
      </c>
      <c r="N275" s="741"/>
      <c r="O275" s="741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</row>
    <row r="276" spans="1:46" ht="15" customHeight="1">
      <c r="A276" s="741"/>
      <c r="B276" s="741"/>
      <c r="C276" s="741"/>
      <c r="D276" s="807" t="str">
        <f>+input!B101</f>
        <v>219i</v>
      </c>
      <c r="E276" s="808">
        <f>+MST!G102</f>
        <v>-1044.47</v>
      </c>
      <c r="F276" s="808">
        <f>+MST!H102</f>
        <v>-154.38999999999999</v>
      </c>
      <c r="G276" s="808">
        <f>+MST!I102</f>
        <v>-2101.92</v>
      </c>
      <c r="H276" s="808">
        <f>+MST!J102</f>
        <v>-495.41</v>
      </c>
      <c r="I276" s="808">
        <f>+MST!K102</f>
        <v>-436.64</v>
      </c>
      <c r="J276" s="808">
        <f>+MST!X102</f>
        <v>98.72</v>
      </c>
      <c r="K276" s="808">
        <f>+MST!Y102</f>
        <v>-1582.16</v>
      </c>
      <c r="L276" s="808">
        <f>MST!AF102</f>
        <v>0</v>
      </c>
      <c r="M276" s="809">
        <f>MST!AE102</f>
        <v>0</v>
      </c>
      <c r="N276" s="741"/>
      <c r="O276" s="741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</row>
    <row r="277" spans="1:46" ht="15" customHeight="1">
      <c r="A277" s="741"/>
      <c r="B277" s="741"/>
      <c r="C277" s="741"/>
      <c r="D277" s="807" t="str">
        <f>+input!B102</f>
        <v>219j</v>
      </c>
      <c r="E277" s="808">
        <f>+MST!G103</f>
        <v>-1089.26</v>
      </c>
      <c r="F277" s="808">
        <f>+MST!H103</f>
        <v>-192.08</v>
      </c>
      <c r="G277" s="808">
        <f>+MST!I103</f>
        <v>-2155.62</v>
      </c>
      <c r="H277" s="808">
        <f>+MST!J103</f>
        <v>-507.48</v>
      </c>
      <c r="I277" s="808">
        <f>+MST!K103</f>
        <v>-448.22</v>
      </c>
      <c r="J277" s="808">
        <f>+MST!X103</f>
        <v>97.53</v>
      </c>
      <c r="K277" s="808">
        <f>+MST!Y103</f>
        <v>-1620.19</v>
      </c>
      <c r="L277" s="808">
        <f>MST!AF103</f>
        <v>0</v>
      </c>
      <c r="M277" s="809">
        <f>MST!AE103</f>
        <v>0</v>
      </c>
      <c r="N277" s="741"/>
      <c r="O277" s="741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</row>
    <row r="278" spans="1:46" ht="15" customHeight="1">
      <c r="A278" s="741"/>
      <c r="B278" s="741"/>
      <c r="C278" s="741"/>
      <c r="D278" s="807" t="str">
        <f>+input!B103</f>
        <v>220i</v>
      </c>
      <c r="E278" s="808">
        <f>+MST!G104</f>
        <v>818.55</v>
      </c>
      <c r="F278" s="808">
        <f>+MST!H104</f>
        <v>190.84</v>
      </c>
      <c r="G278" s="808">
        <f>+MST!I104</f>
        <v>1710.28</v>
      </c>
      <c r="H278" s="808">
        <f>+MST!J104</f>
        <v>399.81</v>
      </c>
      <c r="I278" s="808">
        <f>+MST!K104</f>
        <v>353.82</v>
      </c>
      <c r="J278" s="808">
        <f>+MST!X104</f>
        <v>1336.22</v>
      </c>
      <c r="K278" s="808">
        <f>+MST!Y104</f>
        <v>-46.45</v>
      </c>
      <c r="L278" s="808">
        <f>MST!AF104</f>
        <v>0</v>
      </c>
      <c r="M278" s="809">
        <f>MST!AE104</f>
        <v>0</v>
      </c>
      <c r="N278" s="741"/>
      <c r="O278" s="741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J278" s="143"/>
      <c r="AK278" s="143"/>
      <c r="AL278" s="143"/>
      <c r="AM278" s="143"/>
      <c r="AN278" s="143"/>
      <c r="AO278" s="143"/>
      <c r="AP278" s="143"/>
      <c r="AQ278" s="143"/>
      <c r="AR278" s="143"/>
      <c r="AS278" s="143"/>
      <c r="AT278" s="143"/>
    </row>
    <row r="279" spans="1:46" ht="15" customHeight="1">
      <c r="A279" s="741"/>
      <c r="B279" s="741"/>
      <c r="C279" s="741"/>
      <c r="D279" s="807" t="str">
        <f>+input!B104</f>
        <v>220j</v>
      </c>
      <c r="E279" s="808">
        <f>+MST!G105</f>
        <v>773.76</v>
      </c>
      <c r="F279" s="808">
        <f>+MST!H105</f>
        <v>153.15</v>
      </c>
      <c r="G279" s="808">
        <f>+MST!I105</f>
        <v>1656.58</v>
      </c>
      <c r="H279" s="808">
        <f>+MST!J105</f>
        <v>387.73</v>
      </c>
      <c r="I279" s="808">
        <f>+MST!K105</f>
        <v>342.24</v>
      </c>
      <c r="J279" s="808">
        <f>+MST!X105</f>
        <v>1294.58</v>
      </c>
      <c r="K279" s="808">
        <f>+MST!Y105</f>
        <v>-49.59</v>
      </c>
      <c r="L279" s="808">
        <f>MST!AF105</f>
        <v>0</v>
      </c>
      <c r="M279" s="809">
        <f>MST!AE105</f>
        <v>0</v>
      </c>
      <c r="N279" s="741"/>
      <c r="O279" s="741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J279" s="143"/>
      <c r="AK279" s="143"/>
      <c r="AL279" s="143"/>
      <c r="AM279" s="143"/>
      <c r="AN279" s="143"/>
      <c r="AO279" s="143"/>
      <c r="AP279" s="143"/>
      <c r="AQ279" s="143"/>
      <c r="AR279" s="143"/>
      <c r="AS279" s="143"/>
      <c r="AT279" s="143"/>
    </row>
    <row r="280" spans="1:46" ht="15" customHeight="1">
      <c r="A280" s="741"/>
      <c r="B280" s="741"/>
      <c r="C280" s="741"/>
      <c r="D280" s="807" t="str">
        <f>+input!B105</f>
        <v>221i</v>
      </c>
      <c r="E280" s="808">
        <f>+MST!G106</f>
        <v>773.83</v>
      </c>
      <c r="F280" s="808">
        <f>+MST!H106</f>
        <v>153.15</v>
      </c>
      <c r="G280" s="808">
        <f>+MST!I106</f>
        <v>1656.52</v>
      </c>
      <c r="H280" s="808">
        <f>+MST!J106</f>
        <v>387.75</v>
      </c>
      <c r="I280" s="808">
        <f>+MST!K106</f>
        <v>342.22</v>
      </c>
      <c r="J280" s="808">
        <f>+MST!X106</f>
        <v>1294.58</v>
      </c>
      <c r="K280" s="808">
        <f>+MST!Y106</f>
        <v>-49.59</v>
      </c>
      <c r="L280" s="808">
        <f>MST!AF106</f>
        <v>0</v>
      </c>
      <c r="M280" s="809">
        <f>MST!AE106</f>
        <v>0</v>
      </c>
      <c r="N280" s="741"/>
      <c r="O280" s="741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J280" s="143"/>
      <c r="AK280" s="143"/>
      <c r="AL280" s="143"/>
      <c r="AM280" s="143"/>
      <c r="AN280" s="143"/>
      <c r="AO280" s="143"/>
      <c r="AP280" s="143"/>
      <c r="AQ280" s="143"/>
      <c r="AR280" s="143"/>
      <c r="AS280" s="143"/>
      <c r="AT280" s="143"/>
    </row>
    <row r="281" spans="1:46" ht="15" customHeight="1">
      <c r="A281" s="741"/>
      <c r="B281" s="741"/>
      <c r="C281" s="741"/>
      <c r="D281" s="948" t="str">
        <f>+input!B106</f>
        <v>221j</v>
      </c>
      <c r="E281" s="949">
        <f>+MST!G107</f>
        <v>670.11</v>
      </c>
      <c r="F281" s="949">
        <f>+MST!H107</f>
        <v>77.37</v>
      </c>
      <c r="G281" s="949">
        <f>+MST!I107</f>
        <v>1531.22</v>
      </c>
      <c r="H281" s="949">
        <f>+MST!J107</f>
        <v>359.58</v>
      </c>
      <c r="I281" s="949">
        <f>+MST!K107</f>
        <v>315.2</v>
      </c>
      <c r="J281" s="949">
        <f>+MST!X107</f>
        <v>1200.3399999999999</v>
      </c>
      <c r="K281" s="949">
        <f>+MST!Y107</f>
        <v>-74.430000000000007</v>
      </c>
      <c r="L281" s="949">
        <f>MST!AF107</f>
        <v>0</v>
      </c>
      <c r="M281" s="950">
        <f>MST!AE107</f>
        <v>0</v>
      </c>
      <c r="N281" s="741"/>
      <c r="O281" s="741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J281" s="143"/>
      <c r="AK281" s="143"/>
      <c r="AL281" s="143"/>
      <c r="AM281" s="143"/>
      <c r="AN281" s="143"/>
      <c r="AO281" s="143"/>
      <c r="AP281" s="143"/>
      <c r="AQ281" s="143"/>
      <c r="AR281" s="143"/>
      <c r="AS281" s="143"/>
      <c r="AT281" s="143"/>
    </row>
    <row r="282" spans="1:46" ht="15" customHeight="1">
      <c r="A282" s="741"/>
      <c r="B282" s="741"/>
      <c r="C282" s="741"/>
      <c r="D282" s="812" t="str">
        <f>+input!B107</f>
        <v>222i</v>
      </c>
      <c r="E282" s="946">
        <f>+MST!G108</f>
        <v>670.09</v>
      </c>
      <c r="F282" s="946">
        <f>+MST!H108</f>
        <v>77.37</v>
      </c>
      <c r="G282" s="946">
        <f>+MST!I108</f>
        <v>1531.22</v>
      </c>
      <c r="H282" s="946">
        <f>+MST!J108</f>
        <v>359.57</v>
      </c>
      <c r="I282" s="946">
        <f>+MST!K108</f>
        <v>315.2</v>
      </c>
      <c r="J282" s="946">
        <f>+MST!X108</f>
        <v>1200.3399999999999</v>
      </c>
      <c r="K282" s="946">
        <f>+MST!Y108</f>
        <v>-74.430000000000007</v>
      </c>
      <c r="L282" s="946">
        <f>MST!AF108</f>
        <v>0</v>
      </c>
      <c r="M282" s="947">
        <f>MST!AE108</f>
        <v>0</v>
      </c>
      <c r="N282" s="741"/>
      <c r="O282" s="741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J282" s="143"/>
      <c r="AK282" s="143"/>
      <c r="AL282" s="143"/>
      <c r="AM282" s="143"/>
      <c r="AN282" s="143"/>
      <c r="AO282" s="143"/>
      <c r="AP282" s="143"/>
      <c r="AQ282" s="143"/>
      <c r="AR282" s="143"/>
      <c r="AS282" s="143"/>
      <c r="AT282" s="143"/>
    </row>
    <row r="283" spans="1:46" ht="15" customHeight="1">
      <c r="A283" s="741"/>
      <c r="B283" s="741"/>
      <c r="C283" s="741"/>
      <c r="D283" s="807" t="str">
        <f>+input!B108</f>
        <v>222j</v>
      </c>
      <c r="E283" s="808">
        <f>+MST!G109</f>
        <v>559.71</v>
      </c>
      <c r="F283" s="808">
        <f>+MST!H109</f>
        <v>-1.5</v>
      </c>
      <c r="G283" s="808">
        <f>+MST!I109</f>
        <v>1352.22</v>
      </c>
      <c r="H283" s="808">
        <f>+MST!J109</f>
        <v>319.32</v>
      </c>
      <c r="I283" s="808">
        <f>+MST!K109</f>
        <v>276.60000000000002</v>
      </c>
      <c r="J283" s="808">
        <f>+MST!X109</f>
        <v>1074.58</v>
      </c>
      <c r="K283" s="808">
        <f>+MST!Y109</f>
        <v>-127.5</v>
      </c>
      <c r="L283" s="808">
        <f>MST!AF109</f>
        <v>0</v>
      </c>
      <c r="M283" s="809">
        <f>MST!AE109</f>
        <v>0</v>
      </c>
      <c r="N283" s="741"/>
      <c r="O283" s="741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J283" s="143"/>
      <c r="AK283" s="143"/>
      <c r="AL283" s="143"/>
      <c r="AM283" s="143"/>
      <c r="AN283" s="143"/>
      <c r="AO283" s="143"/>
      <c r="AP283" s="143"/>
      <c r="AQ283" s="143"/>
      <c r="AR283" s="143"/>
      <c r="AS283" s="143"/>
      <c r="AT283" s="143"/>
    </row>
    <row r="284" spans="1:46" ht="15" customHeight="1">
      <c r="A284" s="741"/>
      <c r="B284" s="741"/>
      <c r="C284" s="741"/>
      <c r="D284" s="807" t="str">
        <f>+input!B109</f>
        <v>223i</v>
      </c>
      <c r="E284" s="808">
        <f>+MST!G110</f>
        <v>538.45000000000005</v>
      </c>
      <c r="F284" s="808">
        <f>+MST!H110</f>
        <v>-1.26</v>
      </c>
      <c r="G284" s="808">
        <f>+MST!I110</f>
        <v>1264.21</v>
      </c>
      <c r="H284" s="808">
        <f>+MST!J110</f>
        <v>294.25</v>
      </c>
      <c r="I284" s="808">
        <f>+MST!K110</f>
        <v>261.39999999999998</v>
      </c>
      <c r="J284" s="808">
        <f>+MST!X110</f>
        <v>1020.05</v>
      </c>
      <c r="K284" s="808">
        <f>+MST!Y110</f>
        <v>-77.88</v>
      </c>
      <c r="L284" s="808">
        <f>MST!AF110</f>
        <v>0</v>
      </c>
      <c r="M284" s="809">
        <f>MST!AE110</f>
        <v>0</v>
      </c>
      <c r="N284" s="741"/>
      <c r="O284" s="741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J284" s="143"/>
      <c r="AK284" s="143"/>
      <c r="AL284" s="143"/>
      <c r="AM284" s="143"/>
      <c r="AN284" s="143"/>
      <c r="AO284" s="143"/>
      <c r="AP284" s="143"/>
      <c r="AQ284" s="143"/>
      <c r="AR284" s="143"/>
      <c r="AS284" s="143"/>
      <c r="AT284" s="143"/>
    </row>
    <row r="285" spans="1:46" ht="15" customHeight="1">
      <c r="A285" s="741"/>
      <c r="B285" s="741"/>
      <c r="C285" s="741"/>
      <c r="D285" s="807" t="str">
        <f>+input!B110</f>
        <v>223j</v>
      </c>
      <c r="E285" s="808">
        <f>+MST!G111</f>
        <v>438.04</v>
      </c>
      <c r="F285" s="808">
        <f>+MST!H111</f>
        <v>-1.26</v>
      </c>
      <c r="G285" s="808">
        <f>+MST!I111</f>
        <v>1085.21</v>
      </c>
      <c r="H285" s="808">
        <f>+MST!J111</f>
        <v>254</v>
      </c>
      <c r="I285" s="808">
        <f>+MST!K111</f>
        <v>222.8</v>
      </c>
      <c r="J285" s="808">
        <f>+MST!X111</f>
        <v>896.87</v>
      </c>
      <c r="K285" s="808">
        <f>+MST!Y111</f>
        <v>-143.22999999999999</v>
      </c>
      <c r="L285" s="808">
        <f>MST!AF111</f>
        <v>0</v>
      </c>
      <c r="M285" s="809">
        <f>MST!AE111</f>
        <v>0</v>
      </c>
      <c r="N285" s="741"/>
      <c r="O285" s="741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J285" s="143"/>
      <c r="AK285" s="143"/>
      <c r="AL285" s="143"/>
      <c r="AM285" s="143"/>
      <c r="AN285" s="143"/>
      <c r="AO285" s="143"/>
      <c r="AP285" s="143"/>
      <c r="AQ285" s="143"/>
      <c r="AR285" s="143"/>
      <c r="AS285" s="143"/>
      <c r="AT285" s="143"/>
    </row>
    <row r="286" spans="1:46" ht="15" customHeight="1">
      <c r="A286" s="741"/>
      <c r="B286" s="741"/>
      <c r="C286" s="741"/>
      <c r="D286" s="807" t="str">
        <f>+input!B111</f>
        <v>224i</v>
      </c>
      <c r="E286" s="808">
        <f>+MST!G112</f>
        <v>438.05</v>
      </c>
      <c r="F286" s="808">
        <f>+MST!H112</f>
        <v>-1.26</v>
      </c>
      <c r="G286" s="808">
        <f>+MST!I112</f>
        <v>1085.21</v>
      </c>
      <c r="H286" s="808">
        <f>+MST!J112</f>
        <v>254</v>
      </c>
      <c r="I286" s="808">
        <f>+MST!K112</f>
        <v>222.8</v>
      </c>
      <c r="J286" s="808">
        <f>+MST!X112</f>
        <v>896.87</v>
      </c>
      <c r="K286" s="808">
        <f>+MST!Y112</f>
        <v>-143.22999999999999</v>
      </c>
      <c r="L286" s="808">
        <f>MST!AF112</f>
        <v>0</v>
      </c>
      <c r="M286" s="809">
        <f>MST!AE112</f>
        <v>0</v>
      </c>
      <c r="N286" s="741"/>
      <c r="O286" s="741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J286" s="143"/>
      <c r="AK286" s="143"/>
      <c r="AL286" s="143"/>
      <c r="AM286" s="143"/>
      <c r="AN286" s="143"/>
      <c r="AO286" s="143"/>
      <c r="AP286" s="143"/>
      <c r="AQ286" s="143"/>
      <c r="AR286" s="143"/>
      <c r="AS286" s="143"/>
      <c r="AT286" s="143"/>
    </row>
    <row r="287" spans="1:46" ht="15" customHeight="1">
      <c r="A287" s="741"/>
      <c r="B287" s="741"/>
      <c r="C287" s="741"/>
      <c r="D287" s="807" t="str">
        <f>+input!B112</f>
        <v>224j</v>
      </c>
      <c r="E287" s="808">
        <f>+MST!G113</f>
        <v>356.62</v>
      </c>
      <c r="F287" s="808">
        <f>+MST!H113</f>
        <v>-1.26</v>
      </c>
      <c r="G287" s="808">
        <f>+MST!I113</f>
        <v>906.22</v>
      </c>
      <c r="H287" s="808">
        <f>+MST!J113</f>
        <v>213.75</v>
      </c>
      <c r="I287" s="808">
        <f>+MST!K113</f>
        <v>184.2</v>
      </c>
      <c r="J287" s="808">
        <f>+MST!X113</f>
        <v>785.77</v>
      </c>
      <c r="K287" s="808">
        <f>+MST!Y113</f>
        <v>-227.77</v>
      </c>
      <c r="L287" s="808">
        <f>MST!AF113</f>
        <v>0</v>
      </c>
      <c r="M287" s="809">
        <f>MST!AE113</f>
        <v>0</v>
      </c>
      <c r="N287" s="741"/>
      <c r="O287" s="741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J287" s="143"/>
      <c r="AK287" s="143"/>
      <c r="AL287" s="143"/>
      <c r="AM287" s="143"/>
      <c r="AN287" s="143"/>
      <c r="AO287" s="143"/>
      <c r="AP287" s="143"/>
      <c r="AQ287" s="143"/>
      <c r="AR287" s="143"/>
      <c r="AS287" s="143"/>
      <c r="AT287" s="143"/>
    </row>
    <row r="288" spans="1:46" ht="15" customHeight="1">
      <c r="A288" s="741"/>
      <c r="B288" s="741"/>
      <c r="C288" s="741"/>
      <c r="D288" s="807" t="str">
        <f>+input!B113</f>
        <v>225i</v>
      </c>
      <c r="E288" s="808">
        <f>+MST!G114</f>
        <v>335.08</v>
      </c>
      <c r="F288" s="808">
        <f>+MST!H114</f>
        <v>-1.27</v>
      </c>
      <c r="G288" s="808">
        <f>+MST!I114</f>
        <v>817.96</v>
      </c>
      <c r="H288" s="808">
        <f>+MST!J114</f>
        <v>188.94</v>
      </c>
      <c r="I288" s="808">
        <f>+MST!K114</f>
        <v>169.04</v>
      </c>
      <c r="J288" s="808">
        <f>+MST!X114</f>
        <v>758</v>
      </c>
      <c r="K288" s="808">
        <f>+MST!Y114</f>
        <v>-192.1</v>
      </c>
      <c r="L288" s="808">
        <f>MST!AF114</f>
        <v>0</v>
      </c>
      <c r="M288" s="809">
        <f>MST!AE114</f>
        <v>0</v>
      </c>
      <c r="N288" s="741"/>
      <c r="O288" s="741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J288" s="143"/>
      <c r="AK288" s="143"/>
      <c r="AL288" s="143"/>
      <c r="AM288" s="143"/>
      <c r="AN288" s="143"/>
      <c r="AO288" s="143"/>
      <c r="AP288" s="143"/>
      <c r="AQ288" s="143"/>
      <c r="AR288" s="143"/>
      <c r="AS288" s="143"/>
      <c r="AT288" s="143"/>
    </row>
    <row r="289" spans="1:46" ht="15" customHeight="1">
      <c r="A289" s="741"/>
      <c r="B289" s="741"/>
      <c r="C289" s="741"/>
      <c r="D289" s="807" t="str">
        <f>+input!B114</f>
        <v>225j</v>
      </c>
      <c r="E289" s="808">
        <f>+MST!G115</f>
        <v>262.42</v>
      </c>
      <c r="F289" s="808">
        <f>+MST!H115</f>
        <v>-1.27</v>
      </c>
      <c r="G289" s="808">
        <f>+MST!I115</f>
        <v>638.96</v>
      </c>
      <c r="H289" s="808">
        <f>+MST!J115</f>
        <v>148.69</v>
      </c>
      <c r="I289" s="808">
        <f>+MST!K115</f>
        <v>130.44</v>
      </c>
      <c r="J289" s="808">
        <f>+MST!X115</f>
        <v>639.65</v>
      </c>
      <c r="K289" s="808">
        <f>+MST!Y115</f>
        <v>-272.88</v>
      </c>
      <c r="L289" s="808">
        <f>MST!AF115</f>
        <v>0</v>
      </c>
      <c r="M289" s="809">
        <f>MST!AE115</f>
        <v>0</v>
      </c>
      <c r="N289" s="741"/>
      <c r="O289" s="741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J289" s="143"/>
      <c r="AK289" s="143"/>
      <c r="AL289" s="143"/>
      <c r="AM289" s="143"/>
      <c r="AN289" s="143"/>
      <c r="AO289" s="143"/>
      <c r="AP289" s="143"/>
      <c r="AQ289" s="143"/>
      <c r="AR289" s="143"/>
      <c r="AS289" s="143"/>
      <c r="AT289" s="143"/>
    </row>
    <row r="290" spans="1:46" ht="15" customHeight="1">
      <c r="A290" s="741"/>
      <c r="B290" s="741"/>
      <c r="C290" s="741"/>
      <c r="D290" s="807" t="str">
        <f>+input!B115</f>
        <v>226i</v>
      </c>
      <c r="E290" s="808">
        <f>+MST!G116</f>
        <v>262.42</v>
      </c>
      <c r="F290" s="808">
        <f>+MST!H116</f>
        <v>-1.27</v>
      </c>
      <c r="G290" s="808">
        <f>+MST!I116</f>
        <v>638.96</v>
      </c>
      <c r="H290" s="808">
        <f>+MST!J116</f>
        <v>148.69</v>
      </c>
      <c r="I290" s="808">
        <f>+MST!K116</f>
        <v>130.44</v>
      </c>
      <c r="J290" s="808">
        <f>+MST!X116</f>
        <v>639.65</v>
      </c>
      <c r="K290" s="808">
        <f>+MST!Y116</f>
        <v>-272.88</v>
      </c>
      <c r="L290" s="808">
        <f>MST!AF116</f>
        <v>0</v>
      </c>
      <c r="M290" s="809">
        <f>MST!AE116</f>
        <v>0</v>
      </c>
      <c r="N290" s="741"/>
      <c r="O290" s="741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J290" s="143"/>
      <c r="AK290" s="143"/>
      <c r="AL290" s="143"/>
      <c r="AM290" s="143"/>
      <c r="AN290" s="143"/>
      <c r="AO290" s="143"/>
      <c r="AP290" s="143"/>
      <c r="AQ290" s="143"/>
      <c r="AR290" s="143"/>
      <c r="AS290" s="143"/>
      <c r="AT290" s="143"/>
    </row>
    <row r="291" spans="1:46" ht="15" customHeight="1">
      <c r="A291" s="741"/>
      <c r="B291" s="741"/>
      <c r="C291" s="741"/>
      <c r="D291" s="807" t="str">
        <f>+input!B116</f>
        <v>226j</v>
      </c>
      <c r="E291" s="808">
        <f>+MST!G117</f>
        <v>189.75</v>
      </c>
      <c r="F291" s="808">
        <f>+MST!H117</f>
        <v>-1.27</v>
      </c>
      <c r="G291" s="808">
        <f>+MST!I117</f>
        <v>459.96</v>
      </c>
      <c r="H291" s="808">
        <f>+MST!J117</f>
        <v>108.44</v>
      </c>
      <c r="I291" s="808">
        <f>+MST!K117</f>
        <v>91.84</v>
      </c>
      <c r="J291" s="808">
        <f>+MST!X117</f>
        <v>537.66</v>
      </c>
      <c r="K291" s="808">
        <f>+MST!Y117</f>
        <v>-375.85</v>
      </c>
      <c r="L291" s="808">
        <f>MST!AF117</f>
        <v>0</v>
      </c>
      <c r="M291" s="809">
        <f>MST!AE117</f>
        <v>0</v>
      </c>
      <c r="N291" s="741"/>
      <c r="O291" s="741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J291" s="143"/>
      <c r="AK291" s="143"/>
      <c r="AL291" s="143"/>
      <c r="AM291" s="143"/>
      <c r="AN291" s="143"/>
      <c r="AO291" s="143"/>
      <c r="AP291" s="143"/>
      <c r="AQ291" s="143"/>
      <c r="AR291" s="143"/>
      <c r="AS291" s="143"/>
      <c r="AT291" s="143"/>
    </row>
    <row r="292" spans="1:46" ht="15" customHeight="1">
      <c r="A292" s="741"/>
      <c r="B292" s="741"/>
      <c r="C292" s="741"/>
      <c r="D292" s="807" t="str">
        <f>+input!B117</f>
        <v>227i</v>
      </c>
      <c r="E292" s="808">
        <f>+MST!G118</f>
        <v>171.05</v>
      </c>
      <c r="F292" s="808">
        <f>+MST!H118</f>
        <v>-1.26</v>
      </c>
      <c r="G292" s="808">
        <f>+MST!I118</f>
        <v>383.14</v>
      </c>
      <c r="H292" s="808">
        <f>+MST!J118</f>
        <v>84.89</v>
      </c>
      <c r="I292" s="808">
        <f>+MST!K118</f>
        <v>77.64</v>
      </c>
      <c r="J292" s="808">
        <f>+MST!X118</f>
        <v>591.86</v>
      </c>
      <c r="K292" s="808">
        <f>+MST!Y118</f>
        <v>-391.45</v>
      </c>
      <c r="L292" s="808">
        <f>MST!AF118</f>
        <v>0</v>
      </c>
      <c r="M292" s="809">
        <f>MST!AE118</f>
        <v>0</v>
      </c>
      <c r="N292" s="741"/>
      <c r="O292" s="741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J292" s="143"/>
      <c r="AK292" s="143"/>
      <c r="AL292" s="143"/>
      <c r="AM292" s="143"/>
      <c r="AN292" s="143"/>
      <c r="AO292" s="143"/>
      <c r="AP292" s="143"/>
      <c r="AQ292" s="143"/>
      <c r="AR292" s="143"/>
      <c r="AS292" s="143"/>
      <c r="AT292" s="143"/>
    </row>
    <row r="293" spans="1:46" ht="15" customHeight="1">
      <c r="A293" s="741"/>
      <c r="B293" s="741"/>
      <c r="C293" s="741"/>
      <c r="D293" s="807" t="str">
        <f>+input!B118</f>
        <v>227j</v>
      </c>
      <c r="E293" s="808">
        <f>+MST!G119</f>
        <v>107.07</v>
      </c>
      <c r="F293" s="808">
        <f>+MST!H119</f>
        <v>-1.26</v>
      </c>
      <c r="G293" s="808">
        <f>+MST!I119</f>
        <v>204.14</v>
      </c>
      <c r="H293" s="808">
        <f>+MST!J119</f>
        <v>44.64</v>
      </c>
      <c r="I293" s="808">
        <f>+MST!K119</f>
        <v>39.04</v>
      </c>
      <c r="J293" s="808">
        <f>+MST!X119</f>
        <v>480.45</v>
      </c>
      <c r="K293" s="808">
        <f>+MST!Y119</f>
        <v>-489.35</v>
      </c>
      <c r="L293" s="808">
        <f>MST!AF119</f>
        <v>0</v>
      </c>
      <c r="M293" s="809">
        <f>MST!AE119</f>
        <v>0</v>
      </c>
      <c r="N293" s="741"/>
      <c r="O293" s="741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J293" s="143"/>
      <c r="AK293" s="143"/>
      <c r="AL293" s="143"/>
      <c r="AM293" s="143"/>
      <c r="AN293" s="143"/>
      <c r="AO293" s="143"/>
      <c r="AP293" s="143"/>
      <c r="AQ293" s="143"/>
      <c r="AR293" s="143"/>
      <c r="AS293" s="143"/>
      <c r="AT293" s="143"/>
    </row>
    <row r="294" spans="1:46" ht="15" customHeight="1">
      <c r="A294" s="741"/>
      <c r="B294" s="741"/>
      <c r="C294" s="741"/>
      <c r="D294" s="807" t="str">
        <f>+input!B119</f>
        <v>228i</v>
      </c>
      <c r="E294" s="808">
        <f>+MST!G120</f>
        <v>107.07</v>
      </c>
      <c r="F294" s="808">
        <f>+MST!H120</f>
        <v>-1.26</v>
      </c>
      <c r="G294" s="808">
        <f>+MST!I120</f>
        <v>204.14</v>
      </c>
      <c r="H294" s="808">
        <f>+MST!J120</f>
        <v>44.64</v>
      </c>
      <c r="I294" s="808">
        <f>+MST!K120</f>
        <v>39.04</v>
      </c>
      <c r="J294" s="808">
        <f>+MST!X120</f>
        <v>480.45</v>
      </c>
      <c r="K294" s="808">
        <f>+MST!Y120</f>
        <v>-489.35</v>
      </c>
      <c r="L294" s="808">
        <f>MST!AF120</f>
        <v>0</v>
      </c>
      <c r="M294" s="809">
        <f>MST!AE120</f>
        <v>0</v>
      </c>
      <c r="N294" s="741"/>
      <c r="O294" s="741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J294" s="143"/>
      <c r="AK294" s="143"/>
      <c r="AL294" s="143"/>
      <c r="AM294" s="143"/>
      <c r="AN294" s="143"/>
      <c r="AO294" s="143"/>
      <c r="AP294" s="143"/>
      <c r="AQ294" s="143"/>
      <c r="AR294" s="143"/>
      <c r="AS294" s="143"/>
      <c r="AT294" s="143"/>
    </row>
    <row r="295" spans="1:46" ht="15" customHeight="1">
      <c r="A295" s="741"/>
      <c r="B295" s="741"/>
      <c r="C295" s="741"/>
      <c r="D295" s="807" t="str">
        <f>+input!B120</f>
        <v>228j</v>
      </c>
      <c r="E295" s="808">
        <f>+MST!G121</f>
        <v>43.09</v>
      </c>
      <c r="F295" s="808">
        <f>+MST!H121</f>
        <v>-1.26</v>
      </c>
      <c r="G295" s="808">
        <f>+MST!I121</f>
        <v>25.14</v>
      </c>
      <c r="H295" s="808">
        <f>+MST!J121</f>
        <v>4.3899999999999997</v>
      </c>
      <c r="I295" s="808">
        <f>+MST!K121</f>
        <v>0.44</v>
      </c>
      <c r="J295" s="808">
        <f>+MST!X121</f>
        <v>381.75</v>
      </c>
      <c r="K295" s="808">
        <f>+MST!Y121</f>
        <v>-611.36</v>
      </c>
      <c r="L295" s="808">
        <f>MST!AF121</f>
        <v>0</v>
      </c>
      <c r="M295" s="809">
        <f>MST!AE121</f>
        <v>0</v>
      </c>
      <c r="N295" s="741"/>
      <c r="O295" s="741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J295" s="143"/>
      <c r="AK295" s="143"/>
      <c r="AL295" s="143"/>
      <c r="AM295" s="143"/>
      <c r="AN295" s="143"/>
      <c r="AO295" s="143"/>
      <c r="AP295" s="143"/>
      <c r="AQ295" s="143"/>
      <c r="AR295" s="143"/>
      <c r="AS295" s="143"/>
      <c r="AT295" s="143"/>
    </row>
    <row r="296" spans="1:46" ht="15" customHeight="1">
      <c r="A296" s="741"/>
      <c r="B296" s="741"/>
      <c r="C296" s="741"/>
      <c r="D296" s="807" t="str">
        <f>+input!B121</f>
        <v>229i</v>
      </c>
      <c r="E296" s="808">
        <f>+MST!G122</f>
        <v>23.74</v>
      </c>
      <c r="F296" s="808">
        <f>+MST!H122</f>
        <v>-1.26</v>
      </c>
      <c r="G296" s="808">
        <f>+MST!I122</f>
        <v>-62.32</v>
      </c>
      <c r="H296" s="808">
        <f>+MST!J122</f>
        <v>-21.59</v>
      </c>
      <c r="I296" s="808">
        <f>+MST!K122</f>
        <v>-15.16</v>
      </c>
      <c r="J296" s="808">
        <f>+MST!X122</f>
        <v>419.3</v>
      </c>
      <c r="K296" s="808">
        <f>+MST!Y122</f>
        <v>-648.27</v>
      </c>
      <c r="L296" s="808">
        <f>MST!AF122</f>
        <v>0</v>
      </c>
      <c r="M296" s="809">
        <f>MST!AE122</f>
        <v>0</v>
      </c>
      <c r="N296" s="741"/>
      <c r="O296" s="741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J296" s="143"/>
      <c r="AK296" s="143"/>
      <c r="AL296" s="143"/>
      <c r="AM296" s="143"/>
      <c r="AN296" s="143"/>
      <c r="AO296" s="143"/>
      <c r="AP296" s="143"/>
      <c r="AQ296" s="143"/>
      <c r="AR296" s="143"/>
      <c r="AS296" s="143"/>
      <c r="AT296" s="143"/>
    </row>
    <row r="297" spans="1:46" ht="15" customHeight="1">
      <c r="A297" s="741"/>
      <c r="B297" s="741"/>
      <c r="C297" s="741"/>
      <c r="D297" s="807" t="str">
        <f>+input!B122</f>
        <v>229j</v>
      </c>
      <c r="E297" s="808">
        <f>+MST!G123</f>
        <v>-59.05</v>
      </c>
      <c r="F297" s="808">
        <f>+MST!H123</f>
        <v>-1.26</v>
      </c>
      <c r="G297" s="808">
        <f>+MST!I123</f>
        <v>-293.94</v>
      </c>
      <c r="H297" s="808">
        <f>+MST!J123</f>
        <v>-73.67</v>
      </c>
      <c r="I297" s="808">
        <f>+MST!K123</f>
        <v>-65.11</v>
      </c>
      <c r="J297" s="808">
        <f>+MST!X123</f>
        <v>335.82</v>
      </c>
      <c r="K297" s="808">
        <f>+MST!Y123</f>
        <v>-828.59</v>
      </c>
      <c r="L297" s="808">
        <f>MST!AF123</f>
        <v>0</v>
      </c>
      <c r="M297" s="809">
        <f>MST!AE123</f>
        <v>0</v>
      </c>
      <c r="N297" s="741"/>
      <c r="O297" s="741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J297" s="143"/>
      <c r="AK297" s="143"/>
      <c r="AL297" s="143"/>
      <c r="AM297" s="143"/>
      <c r="AN297" s="143"/>
      <c r="AO297" s="143"/>
      <c r="AP297" s="143"/>
      <c r="AQ297" s="143"/>
      <c r="AR297" s="143"/>
      <c r="AS297" s="143"/>
      <c r="AT297" s="143"/>
    </row>
    <row r="298" spans="1:46" ht="15" customHeight="1">
      <c r="A298" s="741"/>
      <c r="B298" s="741"/>
      <c r="C298" s="741"/>
      <c r="D298" s="807" t="str">
        <f>+input!B123</f>
        <v>230i</v>
      </c>
      <c r="E298" s="808">
        <f>+MST!G124</f>
        <v>-59.05</v>
      </c>
      <c r="F298" s="808">
        <f>+MST!H124</f>
        <v>-1.26</v>
      </c>
      <c r="G298" s="808">
        <f>+MST!I124</f>
        <v>-293.94</v>
      </c>
      <c r="H298" s="808">
        <f>+MST!J124</f>
        <v>-73.67</v>
      </c>
      <c r="I298" s="808">
        <f>+MST!K124</f>
        <v>-65.11</v>
      </c>
      <c r="J298" s="808">
        <f>+MST!X124</f>
        <v>335.82</v>
      </c>
      <c r="K298" s="808">
        <f>+MST!Y124</f>
        <v>-828.59</v>
      </c>
      <c r="L298" s="808">
        <f>MST!AF124</f>
        <v>0</v>
      </c>
      <c r="M298" s="809">
        <f>MST!AE124</f>
        <v>0</v>
      </c>
      <c r="N298" s="741"/>
      <c r="O298" s="741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J298" s="143"/>
      <c r="AK298" s="143"/>
      <c r="AL298" s="143"/>
      <c r="AM298" s="143"/>
      <c r="AN298" s="143"/>
      <c r="AO298" s="143"/>
      <c r="AP298" s="143"/>
      <c r="AQ298" s="143"/>
      <c r="AR298" s="143"/>
      <c r="AS298" s="143"/>
      <c r="AT298" s="143"/>
    </row>
    <row r="299" spans="1:46" ht="15" customHeight="1">
      <c r="A299" s="741"/>
      <c r="B299" s="741"/>
      <c r="C299" s="741"/>
      <c r="D299" s="807" t="str">
        <f>+input!B124</f>
        <v>230j</v>
      </c>
      <c r="E299" s="808">
        <f>+MST!G125</f>
        <v>-94.58</v>
      </c>
      <c r="F299" s="808">
        <f>+MST!H125</f>
        <v>-1.26</v>
      </c>
      <c r="G299" s="808">
        <f>+MST!I125</f>
        <v>-463.65</v>
      </c>
      <c r="H299" s="808">
        <f>+MST!J125</f>
        <v>-97.01</v>
      </c>
      <c r="I299" s="808">
        <f>+MST!K125</f>
        <v>-87.5</v>
      </c>
      <c r="J299" s="808">
        <f>+MST!X125</f>
        <v>332.77</v>
      </c>
      <c r="K299" s="808">
        <f>+MST!Y125</f>
        <v>-928.88</v>
      </c>
      <c r="L299" s="808">
        <f>MST!AF125</f>
        <v>0</v>
      </c>
      <c r="M299" s="809">
        <f>MST!AE125</f>
        <v>0</v>
      </c>
      <c r="N299" s="741"/>
      <c r="O299" s="741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J299" s="143"/>
      <c r="AK299" s="143"/>
      <c r="AL299" s="143"/>
      <c r="AM299" s="143"/>
      <c r="AN299" s="143"/>
      <c r="AO299" s="143"/>
      <c r="AP299" s="143"/>
      <c r="AQ299" s="143"/>
      <c r="AR299" s="143"/>
      <c r="AS299" s="143"/>
      <c r="AT299" s="143"/>
    </row>
    <row r="300" spans="1:46" ht="15" customHeight="1">
      <c r="A300" s="741"/>
      <c r="B300" s="741"/>
      <c r="C300" s="741"/>
      <c r="D300" s="807" t="str">
        <f>+input!B125</f>
        <v>231i</v>
      </c>
      <c r="E300" s="808">
        <f>+MST!G126</f>
        <v>6.76</v>
      </c>
      <c r="F300" s="808">
        <f>+MST!H126</f>
        <v>0</v>
      </c>
      <c r="G300" s="808">
        <f>+MST!I126</f>
        <v>32.18</v>
      </c>
      <c r="H300" s="808">
        <f>+MST!J126</f>
        <v>4.43</v>
      </c>
      <c r="I300" s="808">
        <f>+MST!K126</f>
        <v>4.25</v>
      </c>
      <c r="J300" s="808">
        <f>+MST!X126</f>
        <v>258.48</v>
      </c>
      <c r="K300" s="808">
        <f>+MST!Y126</f>
        <v>0</v>
      </c>
      <c r="L300" s="808">
        <f>MST!AF126</f>
        <v>0</v>
      </c>
      <c r="M300" s="809">
        <f>MST!AE126</f>
        <v>0</v>
      </c>
      <c r="N300" s="741"/>
      <c r="O300" s="741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J300" s="143"/>
      <c r="AK300" s="143"/>
      <c r="AL300" s="143"/>
      <c r="AM300" s="143"/>
      <c r="AN300" s="143"/>
      <c r="AO300" s="143"/>
      <c r="AP300" s="143"/>
      <c r="AQ300" s="143"/>
      <c r="AR300" s="143"/>
      <c r="AS300" s="143"/>
      <c r="AT300" s="143"/>
    </row>
    <row r="301" spans="1:46" ht="15" customHeight="1" thickBot="1">
      <c r="A301" s="741"/>
      <c r="B301" s="741"/>
      <c r="C301" s="741"/>
      <c r="D301" s="915" t="str">
        <f>+input!B126</f>
        <v>231j</v>
      </c>
      <c r="E301" s="912">
        <f>+MST!G127</f>
        <v>0.02</v>
      </c>
      <c r="F301" s="912">
        <f>+MST!H127</f>
        <v>0</v>
      </c>
      <c r="G301" s="912">
        <f>+MST!I127</f>
        <v>0</v>
      </c>
      <c r="H301" s="912">
        <f>+MST!J127</f>
        <v>0</v>
      </c>
      <c r="I301" s="912">
        <f>+MST!K127</f>
        <v>0</v>
      </c>
      <c r="J301" s="912">
        <f>+MST!X127</f>
        <v>258.48</v>
      </c>
      <c r="K301" s="912">
        <f>+MST!Y127</f>
        <v>0</v>
      </c>
      <c r="L301" s="913">
        <f>MST!AF127</f>
        <v>0</v>
      </c>
      <c r="M301" s="914">
        <f>MST!AE127</f>
        <v>0</v>
      </c>
      <c r="N301" s="741"/>
      <c r="O301" s="741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J301" s="143"/>
      <c r="AK301" s="143"/>
      <c r="AL301" s="143"/>
      <c r="AM301" s="143"/>
      <c r="AN301" s="143"/>
      <c r="AO301" s="143"/>
      <c r="AP301" s="143"/>
      <c r="AQ301" s="143"/>
      <c r="AR301" s="143"/>
      <c r="AS301" s="143"/>
      <c r="AT301" s="143"/>
    </row>
    <row r="302" spans="1:46" ht="15" customHeight="1">
      <c r="A302" s="741"/>
      <c r="B302" s="741"/>
      <c r="C302" s="741"/>
      <c r="D302" s="741"/>
      <c r="E302" s="741"/>
      <c r="F302" s="741"/>
      <c r="G302" s="741"/>
      <c r="H302" s="741"/>
      <c r="I302" s="741"/>
      <c r="J302" s="741"/>
      <c r="K302" s="741"/>
      <c r="L302" s="741"/>
      <c r="M302" s="741"/>
      <c r="N302" s="741"/>
      <c r="O302" s="741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J302" s="143"/>
      <c r="AK302" s="143"/>
      <c r="AL302" s="143"/>
      <c r="AM302" s="143"/>
      <c r="AN302" s="143"/>
      <c r="AO302" s="143"/>
      <c r="AP302" s="143"/>
      <c r="AQ302" s="143"/>
      <c r="AR302" s="143"/>
      <c r="AS302" s="143"/>
      <c r="AT302" s="143"/>
    </row>
    <row r="303" spans="1:46" ht="15" customHeight="1" thickBot="1">
      <c r="A303" s="452"/>
      <c r="B303" s="452"/>
      <c r="C303" s="452"/>
      <c r="D303" s="472" t="s">
        <v>1649</v>
      </c>
      <c r="E303" s="452"/>
      <c r="F303" s="452"/>
      <c r="G303" s="452"/>
      <c r="H303" s="452"/>
      <c r="I303" s="452"/>
      <c r="J303" s="452"/>
      <c r="K303" s="452"/>
      <c r="P303" s="452"/>
      <c r="Q303" s="452"/>
      <c r="R303" s="452"/>
      <c r="S303" s="452"/>
      <c r="T303" s="452"/>
      <c r="U303" s="452"/>
      <c r="V303" s="452"/>
      <c r="W303" s="452"/>
      <c r="X303" s="452"/>
      <c r="Y303" s="452"/>
      <c r="Z303" s="452"/>
      <c r="AA303" s="452"/>
      <c r="AB303" s="452"/>
      <c r="AC303" s="452"/>
      <c r="AD303" s="452"/>
      <c r="AE303" s="452"/>
      <c r="AF303" s="452"/>
      <c r="AG303" s="452"/>
      <c r="AH303" s="452"/>
      <c r="AI303" s="452"/>
      <c r="AJ303" s="506"/>
      <c r="AK303" s="506"/>
      <c r="AL303" s="506"/>
      <c r="AM303" s="506"/>
      <c r="AN303" s="506"/>
      <c r="AO303" s="506"/>
      <c r="AP303" s="506"/>
      <c r="AQ303" s="506"/>
      <c r="AR303" s="506"/>
    </row>
    <row r="304" spans="1:46" ht="15" customHeight="1">
      <c r="A304" s="452"/>
      <c r="B304" s="452"/>
      <c r="C304" s="452"/>
      <c r="D304" s="1923" t="s">
        <v>784</v>
      </c>
      <c r="E304" s="1924"/>
      <c r="F304" s="1924"/>
      <c r="G304" s="1924"/>
      <c r="H304" s="1924"/>
      <c r="I304" s="1924"/>
      <c r="J304" s="1924"/>
      <c r="K304" s="1924"/>
      <c r="L304" s="1924"/>
      <c r="M304" s="1925"/>
      <c r="P304" s="452"/>
      <c r="Q304" s="452"/>
      <c r="R304" s="452"/>
      <c r="S304" s="452"/>
      <c r="T304" s="452"/>
      <c r="U304" s="452"/>
      <c r="V304" s="452"/>
      <c r="X304" s="143"/>
      <c r="Z304" s="143"/>
      <c r="AB304" s="462"/>
      <c r="AC304" s="73"/>
      <c r="AD304" s="73"/>
      <c r="AE304" s="73"/>
      <c r="AF304" s="73"/>
      <c r="AG304" s="73"/>
      <c r="AH304" s="73"/>
      <c r="AI304" s="73"/>
      <c r="AM304" s="143"/>
      <c r="AN304" s="143"/>
      <c r="AO304" s="143"/>
      <c r="AP304" s="143"/>
      <c r="AQ304" s="143"/>
      <c r="AR304" s="143"/>
      <c r="AS304" s="143"/>
      <c r="AT304" s="143"/>
    </row>
    <row r="305" spans="1:46" ht="15" customHeight="1">
      <c r="A305" s="452"/>
      <c r="B305" s="452"/>
      <c r="C305" s="452"/>
      <c r="D305" s="742" t="s">
        <v>16</v>
      </c>
      <c r="E305" s="743" t="s">
        <v>7</v>
      </c>
      <c r="F305" s="743" t="s">
        <v>196</v>
      </c>
      <c r="G305" s="743" t="s">
        <v>23</v>
      </c>
      <c r="H305" s="743" t="s">
        <v>198</v>
      </c>
      <c r="I305" s="743" t="s">
        <v>199</v>
      </c>
      <c r="J305" s="1920" t="s">
        <v>1802</v>
      </c>
      <c r="K305" s="1921"/>
      <c r="L305" s="1920" t="s">
        <v>1801</v>
      </c>
      <c r="M305" s="1922"/>
      <c r="P305" s="452"/>
      <c r="Q305" s="452"/>
      <c r="R305" s="452"/>
      <c r="S305" s="452"/>
      <c r="T305" s="452"/>
      <c r="U305" s="452"/>
      <c r="V305" s="452"/>
      <c r="X305" s="143"/>
      <c r="Z305" s="143"/>
      <c r="AB305" s="73"/>
      <c r="AC305" s="73"/>
      <c r="AD305" s="73"/>
      <c r="AE305" s="73"/>
      <c r="AF305" s="73"/>
      <c r="AG305" s="73"/>
      <c r="AH305" s="73"/>
      <c r="AI305" s="73"/>
      <c r="AM305" s="143"/>
      <c r="AN305" s="143"/>
      <c r="AO305" s="143"/>
      <c r="AP305" s="143"/>
      <c r="AQ305" s="143"/>
      <c r="AR305" s="143"/>
      <c r="AS305" s="143"/>
      <c r="AT305" s="143"/>
    </row>
    <row r="306" spans="1:46" ht="15" customHeight="1">
      <c r="A306" s="452"/>
      <c r="B306" s="452"/>
      <c r="C306" s="452"/>
      <c r="D306" s="661"/>
      <c r="E306" s="662" t="s">
        <v>8</v>
      </c>
      <c r="F306" s="662" t="s">
        <v>9</v>
      </c>
      <c r="G306" s="662" t="s">
        <v>10</v>
      </c>
      <c r="H306" s="662" t="s">
        <v>197</v>
      </c>
      <c r="I306" s="662" t="s">
        <v>11</v>
      </c>
      <c r="J306" s="662" t="s">
        <v>12</v>
      </c>
      <c r="K306" s="662" t="s">
        <v>13</v>
      </c>
      <c r="L306" s="662" t="s">
        <v>12</v>
      </c>
      <c r="M306" s="664" t="s">
        <v>13</v>
      </c>
      <c r="P306" s="452"/>
      <c r="Q306" s="452"/>
      <c r="R306" s="452"/>
      <c r="S306" s="452"/>
      <c r="T306" s="452"/>
      <c r="U306" s="452"/>
      <c r="V306" s="452"/>
      <c r="X306" s="143"/>
      <c r="Z306" s="143"/>
      <c r="AB306" s="73"/>
      <c r="AC306" s="73"/>
      <c r="AD306" s="73"/>
      <c r="AE306" s="73"/>
      <c r="AF306" s="73"/>
      <c r="AG306" s="73"/>
      <c r="AH306" s="73"/>
      <c r="AI306" s="73"/>
      <c r="AM306" s="143"/>
      <c r="AN306" s="143"/>
      <c r="AO306" s="143"/>
      <c r="AP306" s="143"/>
      <c r="AQ306" s="143"/>
      <c r="AR306" s="143"/>
      <c r="AS306" s="143"/>
      <c r="AT306" s="143"/>
    </row>
    <row r="307" spans="1:46" ht="15" customHeight="1">
      <c r="A307" s="452"/>
      <c r="B307" s="452"/>
      <c r="C307" s="452"/>
      <c r="D307" s="807" t="str">
        <f>+input!B3</f>
        <v>101i</v>
      </c>
      <c r="E307" s="808">
        <f>+MST!L4</f>
        <v>0</v>
      </c>
      <c r="F307" s="808">
        <f>+MST!M4</f>
        <v>0</v>
      </c>
      <c r="G307" s="808">
        <f>+MST!N4</f>
        <v>0</v>
      </c>
      <c r="H307" s="808">
        <f>+MST!O4</f>
        <v>0</v>
      </c>
      <c r="I307" s="808">
        <f>+MST!P4</f>
        <v>0</v>
      </c>
      <c r="J307" s="808">
        <f>+MST!Z4</f>
        <v>160.28</v>
      </c>
      <c r="K307" s="808">
        <f>+MST!AA4</f>
        <v>-46.09</v>
      </c>
      <c r="L307" s="808">
        <f>MST!AH4</f>
        <v>5.12</v>
      </c>
      <c r="M307" s="809">
        <f>MST!AI4</f>
        <v>-37.090000000000003</v>
      </c>
      <c r="P307" s="452"/>
      <c r="Q307" s="452"/>
      <c r="R307" s="452"/>
      <c r="S307" s="452"/>
      <c r="T307" s="452"/>
      <c r="U307" s="452"/>
      <c r="V307" s="452"/>
      <c r="X307" s="143"/>
      <c r="Z307" s="143"/>
      <c r="AB307" s="73"/>
      <c r="AC307" s="73"/>
      <c r="AD307" s="73"/>
      <c r="AE307" s="73"/>
      <c r="AF307" s="73"/>
      <c r="AG307" s="73"/>
      <c r="AH307" s="73"/>
      <c r="AI307" s="73"/>
      <c r="AM307" s="143"/>
      <c r="AN307" s="143"/>
      <c r="AO307" s="143"/>
      <c r="AP307" s="143"/>
      <c r="AQ307" s="143"/>
      <c r="AR307" s="143"/>
      <c r="AS307" s="143"/>
      <c r="AT307" s="143"/>
    </row>
    <row r="308" spans="1:46" ht="15" customHeight="1">
      <c r="A308" s="452"/>
      <c r="B308" s="452"/>
      <c r="C308" s="452"/>
      <c r="D308" s="807" t="str">
        <f>+input!B4</f>
        <v>101j</v>
      </c>
      <c r="E308" s="808">
        <f>+MST!L5</f>
        <v>0</v>
      </c>
      <c r="F308" s="808">
        <f>+MST!M5</f>
        <v>0</v>
      </c>
      <c r="G308" s="808">
        <f>+MST!N5</f>
        <v>0.9</v>
      </c>
      <c r="H308" s="808">
        <f>+MST!O5</f>
        <v>15.89</v>
      </c>
      <c r="I308" s="808">
        <f>+MST!P5</f>
        <v>-0.72</v>
      </c>
      <c r="J308" s="808">
        <f>+MST!Z5</f>
        <v>160.28</v>
      </c>
      <c r="K308" s="808">
        <f>+MST!AA5</f>
        <v>-46.09</v>
      </c>
      <c r="L308" s="808">
        <f>MST!AH5</f>
        <v>33.909999999999997</v>
      </c>
      <c r="M308" s="809">
        <f>MST!AI5</f>
        <v>-40.35</v>
      </c>
      <c r="P308" s="452"/>
      <c r="Q308" s="452"/>
      <c r="R308" s="452"/>
      <c r="S308" s="452"/>
      <c r="T308" s="452"/>
      <c r="U308" s="452"/>
      <c r="V308" s="452"/>
      <c r="X308" s="143"/>
      <c r="Z308" s="143"/>
      <c r="AB308" s="73"/>
      <c r="AC308" s="73"/>
      <c r="AD308" s="73"/>
      <c r="AE308" s="73"/>
      <c r="AF308" s="73"/>
      <c r="AG308" s="73"/>
      <c r="AH308" s="73"/>
      <c r="AI308" s="73"/>
      <c r="AM308" s="143"/>
      <c r="AN308" s="143"/>
      <c r="AO308" s="143"/>
      <c r="AP308" s="143"/>
      <c r="AQ308" s="143"/>
      <c r="AR308" s="143"/>
      <c r="AS308" s="143"/>
      <c r="AT308" s="143"/>
    </row>
    <row r="309" spans="1:46" ht="15" customHeight="1">
      <c r="A309" s="452"/>
      <c r="B309" s="452"/>
      <c r="C309" s="452"/>
      <c r="D309" s="807" t="str">
        <f>+input!B5</f>
        <v>102i</v>
      </c>
      <c r="E309" s="808">
        <f>+MST!L6</f>
        <v>2.91</v>
      </c>
      <c r="F309" s="808">
        <f>+MST!M6</f>
        <v>0</v>
      </c>
      <c r="G309" s="808">
        <f>+MST!N6</f>
        <v>31.24</v>
      </c>
      <c r="H309" s="808">
        <f>+MST!O6</f>
        <v>-243.31</v>
      </c>
      <c r="I309" s="808">
        <f>+MST!P6</f>
        <v>26.85</v>
      </c>
      <c r="J309" s="808">
        <f>+MST!Z6</f>
        <v>974.62</v>
      </c>
      <c r="K309" s="808">
        <f>+MST!AA6</f>
        <v>-2.0699999999999998</v>
      </c>
      <c r="L309" s="808">
        <f>MST!AH6</f>
        <v>371.78</v>
      </c>
      <c r="M309" s="809">
        <f>MST!AI6</f>
        <v>-388.34</v>
      </c>
      <c r="P309" s="452"/>
      <c r="Q309" s="452"/>
      <c r="R309" s="452"/>
      <c r="S309" s="452"/>
      <c r="T309" s="452"/>
      <c r="U309" s="452"/>
      <c r="V309" s="452"/>
      <c r="X309" s="143"/>
      <c r="Z309" s="143"/>
      <c r="AB309" s="73"/>
      <c r="AC309" s="73"/>
      <c r="AD309" s="73"/>
      <c r="AE309" s="73"/>
      <c r="AF309" s="73"/>
      <c r="AG309" s="73"/>
      <c r="AH309" s="73"/>
      <c r="AI309" s="73"/>
      <c r="AM309" s="143"/>
      <c r="AN309" s="143"/>
      <c r="AO309" s="143"/>
      <c r="AP309" s="143"/>
      <c r="AQ309" s="143"/>
      <c r="AR309" s="143"/>
      <c r="AS309" s="143"/>
      <c r="AT309" s="143"/>
    </row>
    <row r="310" spans="1:46" ht="15" customHeight="1">
      <c r="A310" s="452"/>
      <c r="B310" s="452"/>
      <c r="C310" s="452"/>
      <c r="D310" s="807" t="str">
        <f>+input!B6</f>
        <v>102j</v>
      </c>
      <c r="E310" s="808">
        <f>+MST!L7</f>
        <v>2.91</v>
      </c>
      <c r="F310" s="808">
        <f>+MST!M7</f>
        <v>0</v>
      </c>
      <c r="G310" s="808">
        <f>+MST!N7</f>
        <v>35.58</v>
      </c>
      <c r="H310" s="808">
        <f>+MST!O7</f>
        <v>-166.73</v>
      </c>
      <c r="I310" s="808">
        <f>+MST!P7</f>
        <v>23.38</v>
      </c>
      <c r="J310" s="808">
        <f>+MST!Z7</f>
        <v>978.06</v>
      </c>
      <c r="K310" s="808">
        <f>+MST!AA7</f>
        <v>-1000.04</v>
      </c>
      <c r="L310" s="808">
        <f>MST!AH7</f>
        <v>371.78</v>
      </c>
      <c r="M310" s="809">
        <f>MST!AI7</f>
        <v>-388.34</v>
      </c>
      <c r="P310" s="452"/>
      <c r="Q310" s="452"/>
      <c r="R310" s="452"/>
      <c r="S310" s="452"/>
      <c r="T310" s="452"/>
      <c r="U310" s="452"/>
      <c r="V310" s="452"/>
      <c r="X310" s="143"/>
      <c r="Z310" s="143"/>
      <c r="AB310" s="73"/>
      <c r="AC310" s="73"/>
      <c r="AD310" s="73"/>
      <c r="AE310" s="73"/>
      <c r="AF310" s="73"/>
      <c r="AG310" s="73"/>
      <c r="AH310" s="73"/>
      <c r="AI310" s="73"/>
      <c r="AM310" s="143"/>
      <c r="AN310" s="143"/>
      <c r="AO310" s="143"/>
      <c r="AP310" s="143"/>
      <c r="AQ310" s="143"/>
      <c r="AR310" s="143"/>
      <c r="AS310" s="143"/>
      <c r="AT310" s="143"/>
    </row>
    <row r="311" spans="1:46" ht="15" customHeight="1">
      <c r="A311" s="452"/>
      <c r="B311" s="452"/>
      <c r="C311" s="452"/>
      <c r="D311" s="807" t="str">
        <f>+input!B7</f>
        <v>103i</v>
      </c>
      <c r="E311" s="808">
        <f>+MST!L8</f>
        <v>2.91</v>
      </c>
      <c r="F311" s="808">
        <f>+MST!M8</f>
        <v>0</v>
      </c>
      <c r="G311" s="808">
        <f>+MST!N8</f>
        <v>35.58</v>
      </c>
      <c r="H311" s="808">
        <f>+MST!O8</f>
        <v>-166.73</v>
      </c>
      <c r="I311" s="808">
        <f>+MST!P8</f>
        <v>23.38</v>
      </c>
      <c r="J311" s="808">
        <f>+MST!Z8</f>
        <v>978.06</v>
      </c>
      <c r="K311" s="808">
        <f>+MST!AA8</f>
        <v>-1000.04</v>
      </c>
      <c r="L311" s="808">
        <f>MST!AH8</f>
        <v>371.78</v>
      </c>
      <c r="M311" s="809">
        <f>MST!AI8</f>
        <v>-388.34</v>
      </c>
      <c r="P311" s="452"/>
      <c r="Q311" s="452"/>
      <c r="R311" s="452"/>
      <c r="S311" s="452"/>
      <c r="T311" s="452"/>
      <c r="U311" s="452"/>
      <c r="V311" s="452"/>
      <c r="X311" s="143"/>
      <c r="Z311" s="143"/>
      <c r="AB311" s="73"/>
      <c r="AC311" s="73"/>
      <c r="AD311" s="73"/>
      <c r="AE311" s="73"/>
      <c r="AF311" s="73"/>
      <c r="AG311" s="73"/>
      <c r="AH311" s="73"/>
      <c r="AI311" s="73"/>
      <c r="AM311" s="143"/>
      <c r="AN311" s="143"/>
      <c r="AO311" s="143"/>
      <c r="AP311" s="143"/>
      <c r="AQ311" s="143"/>
      <c r="AR311" s="143"/>
      <c r="AS311" s="143"/>
      <c r="AT311" s="143"/>
    </row>
    <row r="312" spans="1:46" ht="15" customHeight="1">
      <c r="A312" s="452"/>
      <c r="B312" s="452"/>
      <c r="C312" s="452"/>
      <c r="D312" s="807" t="str">
        <f>+input!B8</f>
        <v>103j</v>
      </c>
      <c r="E312" s="808">
        <f>+MST!L9</f>
        <v>2.91</v>
      </c>
      <c r="F312" s="808">
        <f>+MST!M9</f>
        <v>0</v>
      </c>
      <c r="G312" s="808">
        <f>+MST!N9</f>
        <v>32.549999999999997</v>
      </c>
      <c r="H312" s="808">
        <f>+MST!O9</f>
        <v>-59.8</v>
      </c>
      <c r="I312" s="808">
        <f>+MST!P9</f>
        <v>18.54</v>
      </c>
      <c r="J312" s="808">
        <f>+MST!Z9</f>
        <v>983.39</v>
      </c>
      <c r="K312" s="808">
        <f>+MST!AA9</f>
        <v>-1000.04</v>
      </c>
      <c r="L312" s="808">
        <f>MST!AH9</f>
        <v>371.78</v>
      </c>
      <c r="M312" s="809">
        <f>MST!AI9</f>
        <v>-388.34</v>
      </c>
      <c r="P312" s="452"/>
      <c r="Q312" s="452"/>
      <c r="R312" s="452"/>
      <c r="S312" s="452"/>
      <c r="T312" s="452"/>
      <c r="U312" s="452"/>
      <c r="V312" s="452"/>
      <c r="X312" s="143"/>
      <c r="Z312" s="143"/>
      <c r="AB312" s="73"/>
      <c r="AC312" s="73"/>
      <c r="AD312" s="73"/>
      <c r="AE312" s="73"/>
      <c r="AF312" s="73"/>
      <c r="AG312" s="73"/>
      <c r="AH312" s="73"/>
      <c r="AI312" s="73"/>
      <c r="AM312" s="143"/>
      <c r="AN312" s="143"/>
      <c r="AO312" s="143"/>
      <c r="AP312" s="143"/>
      <c r="AQ312" s="143"/>
      <c r="AR312" s="143"/>
      <c r="AS312" s="143"/>
      <c r="AT312" s="143"/>
    </row>
    <row r="313" spans="1:46" ht="15" customHeight="1">
      <c r="A313" s="452"/>
      <c r="B313" s="452"/>
      <c r="C313" s="452"/>
      <c r="D313" s="807" t="str">
        <f>+input!B9</f>
        <v>104i</v>
      </c>
      <c r="E313" s="808">
        <f>+MST!L10</f>
        <v>2.93</v>
      </c>
      <c r="F313" s="808">
        <f>+MST!M10</f>
        <v>0</v>
      </c>
      <c r="G313" s="808">
        <f>+MST!N10</f>
        <v>20.57</v>
      </c>
      <c r="H313" s="808">
        <f>+MST!O10</f>
        <v>-254.66</v>
      </c>
      <c r="I313" s="808">
        <f>+MST!P10</f>
        <v>22.37</v>
      </c>
      <c r="J313" s="808">
        <f>+MST!Z10</f>
        <v>1047.6300000000001</v>
      </c>
      <c r="K313" s="808">
        <f>+MST!AA10</f>
        <v>-1064.74</v>
      </c>
      <c r="L313" s="808">
        <f>MST!AH10</f>
        <v>393.59</v>
      </c>
      <c r="M313" s="809">
        <f>MST!AI10</f>
        <v>-415.83</v>
      </c>
      <c r="P313" s="452"/>
      <c r="Q313" s="452"/>
      <c r="R313" s="452"/>
      <c r="S313" s="452"/>
      <c r="T313" s="452"/>
      <c r="U313" s="452"/>
      <c r="V313" s="452"/>
      <c r="X313" s="143"/>
      <c r="Z313" s="143"/>
      <c r="AB313" s="73"/>
      <c r="AC313" s="73"/>
      <c r="AD313" s="73"/>
      <c r="AE313" s="73"/>
      <c r="AF313" s="73"/>
      <c r="AG313" s="73"/>
      <c r="AH313" s="73"/>
      <c r="AI313" s="73"/>
      <c r="AM313" s="143"/>
      <c r="AN313" s="143"/>
      <c r="AO313" s="143"/>
      <c r="AP313" s="143"/>
      <c r="AQ313" s="143"/>
      <c r="AR313" s="143"/>
      <c r="AS313" s="143"/>
      <c r="AT313" s="143"/>
    </row>
    <row r="314" spans="1:46" ht="15" customHeight="1">
      <c r="A314" s="452"/>
      <c r="B314" s="452"/>
      <c r="C314" s="452"/>
      <c r="D314" s="807" t="str">
        <f>+input!B10</f>
        <v>104j</v>
      </c>
      <c r="E314" s="808">
        <f>+MST!L11</f>
        <v>2.93</v>
      </c>
      <c r="F314" s="808">
        <f>+MST!M11</f>
        <v>0</v>
      </c>
      <c r="G314" s="808">
        <f>+MST!N11</f>
        <v>16.47</v>
      </c>
      <c r="H314" s="808">
        <f>+MST!O11</f>
        <v>-110.16</v>
      </c>
      <c r="I314" s="808">
        <f>+MST!P11</f>
        <v>15.82</v>
      </c>
      <c r="J314" s="808">
        <f>+MST!Z11</f>
        <v>1054.8399999999999</v>
      </c>
      <c r="K314" s="808">
        <f>+MST!AA11</f>
        <v>-1064.74</v>
      </c>
      <c r="L314" s="808">
        <f>MST!AH11</f>
        <v>393.59</v>
      </c>
      <c r="M314" s="809">
        <f>MST!AI11</f>
        <v>-415.83</v>
      </c>
      <c r="P314" s="452"/>
      <c r="Q314" s="452"/>
      <c r="R314" s="452"/>
      <c r="S314" s="452"/>
      <c r="T314" s="452"/>
      <c r="U314" s="452"/>
      <c r="V314" s="452"/>
      <c r="X314" s="143"/>
      <c r="Z314" s="143"/>
      <c r="AB314" s="73"/>
      <c r="AC314" s="73"/>
      <c r="AD314" s="73"/>
      <c r="AE314" s="73"/>
      <c r="AF314" s="73"/>
      <c r="AG314" s="73"/>
      <c r="AH314" s="73"/>
      <c r="AI314" s="73"/>
      <c r="AM314" s="143"/>
      <c r="AN314" s="143"/>
      <c r="AO314" s="143"/>
      <c r="AP314" s="143"/>
      <c r="AQ314" s="143"/>
      <c r="AR314" s="143"/>
      <c r="AS314" s="143"/>
      <c r="AT314" s="143"/>
    </row>
    <row r="315" spans="1:46" ht="15" customHeight="1">
      <c r="A315" s="452"/>
      <c r="B315" s="452"/>
      <c r="C315" s="452"/>
      <c r="D315" s="807" t="str">
        <f>+input!B11</f>
        <v>105i</v>
      </c>
      <c r="E315" s="808">
        <f>+MST!L12</f>
        <v>2.93</v>
      </c>
      <c r="F315" s="808">
        <f>+MST!M12</f>
        <v>0</v>
      </c>
      <c r="G315" s="808">
        <f>+MST!N12</f>
        <v>16.47</v>
      </c>
      <c r="H315" s="808">
        <f>+MST!O12</f>
        <v>-110.16</v>
      </c>
      <c r="I315" s="808">
        <f>+MST!P12</f>
        <v>15.82</v>
      </c>
      <c r="J315" s="808">
        <f>+MST!Z12</f>
        <v>1054.8399999999999</v>
      </c>
      <c r="K315" s="808">
        <f>+MST!AA12</f>
        <v>-1064.74</v>
      </c>
      <c r="L315" s="808">
        <f>MST!AH12</f>
        <v>393.59</v>
      </c>
      <c r="M315" s="809">
        <f>MST!AI12</f>
        <v>-415.83</v>
      </c>
      <c r="P315" s="452"/>
      <c r="Q315" s="452"/>
      <c r="R315" s="452"/>
      <c r="S315" s="452"/>
      <c r="T315" s="452"/>
      <c r="U315" s="452"/>
      <c r="V315" s="452"/>
      <c r="X315" s="143"/>
      <c r="Z315" s="143"/>
      <c r="AB315" s="73"/>
      <c r="AC315" s="73"/>
      <c r="AD315" s="73"/>
      <c r="AE315" s="73"/>
      <c r="AF315" s="73"/>
      <c r="AG315" s="73"/>
      <c r="AH315" s="73"/>
      <c r="AI315" s="73"/>
      <c r="AM315" s="143"/>
      <c r="AN315" s="143"/>
      <c r="AO315" s="143"/>
      <c r="AP315" s="143"/>
      <c r="AQ315" s="143"/>
      <c r="AR315" s="143"/>
      <c r="AS315" s="143"/>
      <c r="AT315" s="143"/>
    </row>
    <row r="316" spans="1:46" ht="15" customHeight="1">
      <c r="A316" s="452"/>
      <c r="B316" s="452"/>
      <c r="C316" s="452"/>
      <c r="D316" s="807" t="str">
        <f>+input!B12</f>
        <v>105j</v>
      </c>
      <c r="E316" s="808">
        <f>+MST!L13</f>
        <v>2.93</v>
      </c>
      <c r="F316" s="808">
        <f>+MST!M13</f>
        <v>0</v>
      </c>
      <c r="G316" s="808">
        <f>+MST!N13</f>
        <v>12.37</v>
      </c>
      <c r="H316" s="808">
        <f>+MST!O13</f>
        <v>34.340000000000003</v>
      </c>
      <c r="I316" s="808">
        <f>+MST!P13</f>
        <v>9.27</v>
      </c>
      <c r="J316" s="808">
        <f>+MST!Z13</f>
        <v>1062.05</v>
      </c>
      <c r="K316" s="808">
        <f>+MST!AA13</f>
        <v>-1064.74</v>
      </c>
      <c r="L316" s="808">
        <f>MST!AH13</f>
        <v>393.59</v>
      </c>
      <c r="M316" s="809">
        <f>MST!AI13</f>
        <v>-415.83</v>
      </c>
      <c r="P316" s="452"/>
      <c r="Q316" s="452"/>
      <c r="R316" s="452"/>
      <c r="S316" s="452"/>
      <c r="T316" s="452"/>
      <c r="U316" s="452"/>
      <c r="V316" s="452"/>
      <c r="X316" s="143"/>
      <c r="Z316" s="143"/>
      <c r="AB316" s="73"/>
      <c r="AC316" s="73"/>
      <c r="AD316" s="73"/>
      <c r="AE316" s="73"/>
      <c r="AF316" s="73"/>
      <c r="AG316" s="73"/>
      <c r="AH316" s="73"/>
      <c r="AI316" s="73"/>
      <c r="AM316" s="143"/>
      <c r="AN316" s="143"/>
      <c r="AO316" s="143"/>
      <c r="AP316" s="143"/>
      <c r="AQ316" s="143"/>
      <c r="AR316" s="143"/>
      <c r="AS316" s="143"/>
      <c r="AT316" s="143"/>
    </row>
    <row r="317" spans="1:46" ht="15" customHeight="1">
      <c r="A317" s="452"/>
      <c r="B317" s="452"/>
      <c r="C317" s="452"/>
      <c r="D317" s="807" t="str">
        <f>+input!B13</f>
        <v>106i</v>
      </c>
      <c r="E317" s="808">
        <f>+MST!L14</f>
        <v>1</v>
      </c>
      <c r="F317" s="808">
        <f>+MST!M14</f>
        <v>0</v>
      </c>
      <c r="G317" s="808">
        <f>+MST!N14</f>
        <v>6.68</v>
      </c>
      <c r="H317" s="808">
        <f>+MST!O14</f>
        <v>-193.07</v>
      </c>
      <c r="I317" s="808">
        <f>+MST!P14</f>
        <v>13.42</v>
      </c>
      <c r="J317" s="808">
        <f>+MST!Z14</f>
        <v>816.45</v>
      </c>
      <c r="K317" s="808">
        <f>+MST!AA14</f>
        <v>-813.78</v>
      </c>
      <c r="L317" s="808">
        <f>MST!AH14</f>
        <v>303.45999999999998</v>
      </c>
      <c r="M317" s="809">
        <f>MST!AI14</f>
        <v>-326.67</v>
      </c>
      <c r="P317" s="452"/>
      <c r="Q317" s="452"/>
      <c r="R317" s="452"/>
      <c r="S317" s="452"/>
      <c r="T317" s="452"/>
      <c r="U317" s="452"/>
      <c r="V317" s="452"/>
      <c r="X317" s="143"/>
      <c r="Z317" s="143"/>
      <c r="AB317" s="73"/>
      <c r="AC317" s="73"/>
      <c r="AD317" s="73"/>
      <c r="AE317" s="73"/>
      <c r="AF317" s="73"/>
      <c r="AG317" s="73"/>
      <c r="AH317" s="73"/>
      <c r="AI317" s="73"/>
      <c r="AM317" s="143"/>
      <c r="AN317" s="143"/>
      <c r="AO317" s="143"/>
      <c r="AP317" s="143"/>
      <c r="AQ317" s="143"/>
      <c r="AR317" s="143"/>
      <c r="AS317" s="143"/>
      <c r="AT317" s="143"/>
    </row>
    <row r="318" spans="1:46" ht="15" customHeight="1">
      <c r="A318" s="452"/>
      <c r="B318" s="452"/>
      <c r="C318" s="452"/>
      <c r="D318" s="807" t="str">
        <f>+input!B14</f>
        <v>106j</v>
      </c>
      <c r="E318" s="808">
        <f>+MST!L15</f>
        <v>1</v>
      </c>
      <c r="F318" s="808">
        <f>+MST!M15</f>
        <v>0</v>
      </c>
      <c r="G318" s="808">
        <f>+MST!N15</f>
        <v>2.58</v>
      </c>
      <c r="H318" s="808">
        <f>+MST!O15</f>
        <v>-48.57</v>
      </c>
      <c r="I318" s="808">
        <f>+MST!P15</f>
        <v>6.87</v>
      </c>
      <c r="J318" s="808">
        <f>+MST!Z15</f>
        <v>823.66</v>
      </c>
      <c r="K318" s="808">
        <f>+MST!AA15</f>
        <v>-813.52</v>
      </c>
      <c r="L318" s="808">
        <f>MST!AH15</f>
        <v>303.45999999999998</v>
      </c>
      <c r="M318" s="809">
        <f>MST!AI15</f>
        <v>-326.67</v>
      </c>
      <c r="P318" s="452"/>
      <c r="Q318" s="452"/>
      <c r="R318" s="452"/>
      <c r="S318" s="452"/>
      <c r="T318" s="452"/>
      <c r="U318" s="452"/>
      <c r="V318" s="452"/>
      <c r="X318" s="143"/>
      <c r="Z318" s="143"/>
      <c r="AB318" s="73"/>
      <c r="AC318" s="73"/>
      <c r="AD318" s="73"/>
      <c r="AE318" s="73"/>
      <c r="AF318" s="73"/>
      <c r="AG318" s="73"/>
      <c r="AH318" s="73"/>
      <c r="AI318" s="73"/>
      <c r="AM318" s="143"/>
      <c r="AN318" s="143"/>
      <c r="AO318" s="143"/>
      <c r="AP318" s="143"/>
      <c r="AQ318" s="143"/>
      <c r="AR318" s="143"/>
      <c r="AS318" s="143"/>
      <c r="AT318" s="143"/>
    </row>
    <row r="319" spans="1:46" ht="15" customHeight="1">
      <c r="A319" s="452"/>
      <c r="B319" s="452"/>
      <c r="C319" s="452"/>
      <c r="D319" s="807" t="str">
        <f>+input!B15</f>
        <v>107i</v>
      </c>
      <c r="E319" s="808">
        <f>+MST!L16</f>
        <v>1</v>
      </c>
      <c r="F319" s="808">
        <f>+MST!M16</f>
        <v>0</v>
      </c>
      <c r="G319" s="808">
        <f>+MST!N16</f>
        <v>2.58</v>
      </c>
      <c r="H319" s="808">
        <f>+MST!O16</f>
        <v>-48.57</v>
      </c>
      <c r="I319" s="808">
        <f>+MST!P16</f>
        <v>6.87</v>
      </c>
      <c r="J319" s="808">
        <f>+MST!Z16</f>
        <v>823.66</v>
      </c>
      <c r="K319" s="808">
        <f>+MST!AA16</f>
        <v>-813.52</v>
      </c>
      <c r="L319" s="808">
        <f>MST!AH16</f>
        <v>303.45999999999998</v>
      </c>
      <c r="M319" s="809">
        <f>MST!AI16</f>
        <v>-326.67</v>
      </c>
      <c r="P319" s="452"/>
      <c r="Q319" s="452"/>
      <c r="R319" s="452"/>
      <c r="S319" s="452"/>
      <c r="T319" s="452"/>
      <c r="U319" s="452"/>
      <c r="V319" s="452"/>
      <c r="X319" s="143"/>
      <c r="Z319" s="143"/>
      <c r="AB319" s="73"/>
      <c r="AC319" s="73"/>
      <c r="AD319" s="73"/>
      <c r="AE319" s="73"/>
      <c r="AF319" s="73"/>
      <c r="AG319" s="73"/>
      <c r="AH319" s="73"/>
      <c r="AI319" s="73"/>
      <c r="AM319" s="143"/>
      <c r="AN319" s="143"/>
      <c r="AO319" s="143"/>
      <c r="AP319" s="143"/>
      <c r="AQ319" s="143"/>
      <c r="AR319" s="143"/>
      <c r="AS319" s="143"/>
      <c r="AT319" s="143"/>
    </row>
    <row r="320" spans="1:46" ht="15" customHeight="1">
      <c r="A320" s="452"/>
      <c r="B320" s="452"/>
      <c r="C320" s="452"/>
      <c r="D320" s="807" t="str">
        <f>+input!B16</f>
        <v>107j</v>
      </c>
      <c r="E320" s="808">
        <f>+MST!L17</f>
        <v>1</v>
      </c>
      <c r="F320" s="808">
        <f>+MST!M17</f>
        <v>0</v>
      </c>
      <c r="G320" s="808">
        <f>+MST!N17</f>
        <v>-1.52</v>
      </c>
      <c r="H320" s="808">
        <f>+MST!O17</f>
        <v>95.93</v>
      </c>
      <c r="I320" s="808">
        <f>+MST!P17</f>
        <v>0.32</v>
      </c>
      <c r="J320" s="808">
        <f>+MST!Z17</f>
        <v>830.87</v>
      </c>
      <c r="K320" s="808">
        <f>+MST!AA17</f>
        <v>-813.52</v>
      </c>
      <c r="L320" s="808">
        <f>MST!AH17</f>
        <v>303.45999999999998</v>
      </c>
      <c r="M320" s="809">
        <f>MST!AI17</f>
        <v>-326.67</v>
      </c>
      <c r="P320" s="452"/>
      <c r="Q320" s="452"/>
      <c r="R320" s="452"/>
      <c r="S320" s="452"/>
      <c r="T320" s="452"/>
      <c r="U320" s="452"/>
      <c r="V320" s="452"/>
      <c r="X320" s="143"/>
      <c r="Z320" s="143"/>
      <c r="AB320" s="73"/>
      <c r="AC320" s="73"/>
      <c r="AD320" s="73"/>
      <c r="AE320" s="73"/>
      <c r="AF320" s="73"/>
      <c r="AG320" s="73"/>
      <c r="AH320" s="73"/>
      <c r="AI320" s="73"/>
      <c r="AM320" s="143"/>
      <c r="AN320" s="143"/>
      <c r="AO320" s="143"/>
      <c r="AP320" s="143"/>
      <c r="AQ320" s="143"/>
      <c r="AR320" s="143"/>
      <c r="AS320" s="143"/>
      <c r="AT320" s="143"/>
    </row>
    <row r="321" spans="1:46" ht="15" customHeight="1">
      <c r="A321" s="452"/>
      <c r="B321" s="452"/>
      <c r="C321" s="452"/>
      <c r="D321" s="807" t="str">
        <f>+input!B17</f>
        <v>108i</v>
      </c>
      <c r="E321" s="808">
        <f>+MST!L18</f>
        <v>-2.04</v>
      </c>
      <c r="F321" s="808">
        <f>+MST!M18</f>
        <v>0</v>
      </c>
      <c r="G321" s="808">
        <f>+MST!N18</f>
        <v>-11.49</v>
      </c>
      <c r="H321" s="808">
        <f>+MST!O18</f>
        <v>-143.97</v>
      </c>
      <c r="I321" s="808">
        <f>+MST!P18</f>
        <v>5.47</v>
      </c>
      <c r="J321" s="808">
        <f>+MST!Z18</f>
        <v>639.02</v>
      </c>
      <c r="K321" s="808">
        <f>+MST!AA18</f>
        <v>-617.11</v>
      </c>
      <c r="L321" s="808">
        <f>MST!AH18</f>
        <v>207.2</v>
      </c>
      <c r="M321" s="809">
        <f>MST!AI18</f>
        <v>-228.95</v>
      </c>
      <c r="P321" s="452"/>
      <c r="Q321" s="452"/>
      <c r="R321" s="452"/>
      <c r="S321" s="452"/>
      <c r="T321" s="452"/>
      <c r="U321" s="452"/>
      <c r="V321" s="452"/>
      <c r="X321" s="143"/>
      <c r="Z321" s="143"/>
      <c r="AB321" s="73"/>
      <c r="AC321" s="73"/>
      <c r="AD321" s="73"/>
      <c r="AE321" s="73"/>
      <c r="AF321" s="73"/>
      <c r="AG321" s="73"/>
      <c r="AH321" s="73"/>
      <c r="AI321" s="73"/>
      <c r="AM321" s="143"/>
      <c r="AN321" s="143"/>
      <c r="AO321" s="143"/>
      <c r="AP321" s="143"/>
      <c r="AQ321" s="143"/>
      <c r="AR321" s="143"/>
      <c r="AS321" s="143"/>
      <c r="AT321" s="143"/>
    </row>
    <row r="322" spans="1:46" ht="15" customHeight="1">
      <c r="A322" s="452"/>
      <c r="B322" s="452"/>
      <c r="C322" s="452"/>
      <c r="D322" s="807" t="str">
        <f>+input!B18</f>
        <v>108j</v>
      </c>
      <c r="E322" s="808">
        <f>+MST!L19</f>
        <v>-2.04</v>
      </c>
      <c r="F322" s="808">
        <f>+MST!M19</f>
        <v>0</v>
      </c>
      <c r="G322" s="808">
        <f>+MST!N19</f>
        <v>-15.59</v>
      </c>
      <c r="H322" s="808">
        <f>+MST!O19</f>
        <v>0.53</v>
      </c>
      <c r="I322" s="808">
        <f>+MST!P19</f>
        <v>-1.08</v>
      </c>
      <c r="J322" s="808">
        <f>+MST!Z19</f>
        <v>644.38</v>
      </c>
      <c r="K322" s="808">
        <f>+MST!AA19</f>
        <v>-597.45000000000005</v>
      </c>
      <c r="L322" s="808">
        <f>MST!AH19</f>
        <v>207.2</v>
      </c>
      <c r="M322" s="809">
        <f>MST!AI19</f>
        <v>-228.95</v>
      </c>
      <c r="P322" s="452"/>
      <c r="Q322" s="452"/>
      <c r="R322" s="452"/>
      <c r="S322" s="452"/>
      <c r="T322" s="452"/>
      <c r="U322" s="452"/>
      <c r="V322" s="452"/>
      <c r="X322" s="143"/>
      <c r="Z322" s="143"/>
      <c r="AB322" s="73"/>
      <c r="AC322" s="73"/>
      <c r="AD322" s="73"/>
      <c r="AE322" s="73"/>
      <c r="AF322" s="73"/>
      <c r="AG322" s="73"/>
      <c r="AH322" s="73"/>
      <c r="AI322" s="73"/>
      <c r="AM322" s="143"/>
      <c r="AN322" s="143"/>
      <c r="AO322" s="143"/>
      <c r="AP322" s="143"/>
      <c r="AQ322" s="143"/>
      <c r="AR322" s="143"/>
      <c r="AS322" s="143"/>
      <c r="AT322" s="143"/>
    </row>
    <row r="323" spans="1:46" ht="15" customHeight="1">
      <c r="A323" s="452"/>
      <c r="B323" s="452"/>
      <c r="C323" s="452"/>
      <c r="D323" s="807" t="str">
        <f>+input!B19</f>
        <v>109i</v>
      </c>
      <c r="E323" s="808">
        <f>+MST!L20</f>
        <v>-2.04</v>
      </c>
      <c r="F323" s="808">
        <f>+MST!M20</f>
        <v>0</v>
      </c>
      <c r="G323" s="808">
        <f>+MST!N20</f>
        <v>-15.59</v>
      </c>
      <c r="H323" s="808">
        <f>+MST!O20</f>
        <v>0.53</v>
      </c>
      <c r="I323" s="808">
        <f>+MST!P20</f>
        <v>-1.08</v>
      </c>
      <c r="J323" s="808">
        <f>+MST!Z20</f>
        <v>644.38</v>
      </c>
      <c r="K323" s="808">
        <f>+MST!AA20</f>
        <v>-597.45000000000005</v>
      </c>
      <c r="L323" s="808">
        <f>MST!AH20</f>
        <v>207.2</v>
      </c>
      <c r="M323" s="809">
        <f>MST!AI20</f>
        <v>-228.95</v>
      </c>
      <c r="P323" s="452"/>
      <c r="Q323" s="452"/>
      <c r="R323" s="452"/>
      <c r="S323" s="452"/>
      <c r="T323" s="452"/>
      <c r="U323" s="452"/>
      <c r="V323" s="452"/>
      <c r="X323" s="143"/>
      <c r="Z323" s="143"/>
      <c r="AB323" s="73"/>
      <c r="AC323" s="73"/>
      <c r="AD323" s="73"/>
      <c r="AE323" s="73"/>
      <c r="AF323" s="73"/>
      <c r="AG323" s="73"/>
      <c r="AH323" s="73"/>
      <c r="AI323" s="73"/>
      <c r="AM323" s="143"/>
      <c r="AN323" s="143"/>
      <c r="AO323" s="143"/>
      <c r="AP323" s="143"/>
      <c r="AQ323" s="143"/>
      <c r="AR323" s="143"/>
      <c r="AS323" s="143"/>
      <c r="AT323" s="143"/>
    </row>
    <row r="324" spans="1:46" ht="15" customHeight="1">
      <c r="A324" s="452"/>
      <c r="B324" s="452"/>
      <c r="C324" s="452"/>
      <c r="D324" s="807" t="str">
        <f>+input!B20</f>
        <v>109j</v>
      </c>
      <c r="E324" s="808">
        <f>+MST!L21</f>
        <v>-2.04</v>
      </c>
      <c r="F324" s="808">
        <f>+MST!M21</f>
        <v>0</v>
      </c>
      <c r="G324" s="808">
        <f>+MST!N21</f>
        <v>-19.690000000000001</v>
      </c>
      <c r="H324" s="808">
        <f>+MST!O21</f>
        <v>145.03</v>
      </c>
      <c r="I324" s="808">
        <f>+MST!P21</f>
        <v>-7.63</v>
      </c>
      <c r="J324" s="808">
        <f>+MST!Z21</f>
        <v>653.1</v>
      </c>
      <c r="K324" s="808">
        <f>+MST!AA21</f>
        <v>-597.37</v>
      </c>
      <c r="L324" s="808">
        <f>MST!AH21</f>
        <v>207.2</v>
      </c>
      <c r="M324" s="809">
        <f>MST!AI21</f>
        <v>-228.95</v>
      </c>
      <c r="P324" s="452"/>
      <c r="Q324" s="452"/>
      <c r="R324" s="452"/>
      <c r="S324" s="452"/>
      <c r="T324" s="452"/>
      <c r="U324" s="452"/>
      <c r="V324" s="452"/>
      <c r="X324" s="143"/>
      <c r="Z324" s="143"/>
      <c r="AB324" s="73"/>
      <c r="AC324" s="73"/>
      <c r="AD324" s="73"/>
      <c r="AE324" s="73"/>
      <c r="AF324" s="73"/>
      <c r="AG324" s="73"/>
      <c r="AH324" s="73"/>
      <c r="AI324" s="73"/>
      <c r="AM324" s="143"/>
      <c r="AN324" s="143"/>
      <c r="AO324" s="143"/>
      <c r="AP324" s="143"/>
      <c r="AQ324" s="143"/>
      <c r="AR324" s="143"/>
      <c r="AS324" s="143"/>
      <c r="AT324" s="143"/>
    </row>
    <row r="325" spans="1:46" ht="15" customHeight="1">
      <c r="A325" s="452"/>
      <c r="B325" s="452"/>
      <c r="C325" s="452"/>
      <c r="D325" s="807" t="str">
        <f>+input!B21</f>
        <v>110i</v>
      </c>
      <c r="E325" s="808">
        <f>+MST!L22</f>
        <v>0.67</v>
      </c>
      <c r="F325" s="808">
        <f>+MST!M22</f>
        <v>0</v>
      </c>
      <c r="G325" s="808">
        <f>+MST!N22</f>
        <v>2.94</v>
      </c>
      <c r="H325" s="808">
        <f>+MST!O22</f>
        <v>-82.34</v>
      </c>
      <c r="I325" s="808">
        <f>+MST!P22</f>
        <v>4.78</v>
      </c>
      <c r="J325" s="808">
        <f>+MST!Z22</f>
        <v>615.52</v>
      </c>
      <c r="K325" s="808">
        <f>+MST!AA22</f>
        <v>-635.11</v>
      </c>
      <c r="L325" s="808">
        <f>MST!AH22</f>
        <v>201.59</v>
      </c>
      <c r="M325" s="809">
        <f>MST!AI22</f>
        <v>-163.97</v>
      </c>
      <c r="P325" s="452"/>
      <c r="Q325" s="452"/>
      <c r="R325" s="452"/>
      <c r="S325" s="452"/>
      <c r="T325" s="452"/>
      <c r="U325" s="452"/>
      <c r="V325" s="452"/>
      <c r="X325" s="143"/>
      <c r="Z325" s="143"/>
      <c r="AB325" s="73"/>
      <c r="AC325" s="73"/>
      <c r="AD325" s="73"/>
      <c r="AE325" s="73"/>
      <c r="AF325" s="73"/>
      <c r="AG325" s="73"/>
      <c r="AH325" s="73"/>
      <c r="AI325" s="73"/>
      <c r="AM325" s="143"/>
      <c r="AN325" s="143"/>
      <c r="AO325" s="143"/>
      <c r="AP325" s="143"/>
      <c r="AQ325" s="143"/>
      <c r="AR325" s="143"/>
      <c r="AS325" s="143"/>
      <c r="AT325" s="143"/>
    </row>
    <row r="326" spans="1:46" ht="15" customHeight="1">
      <c r="A326" s="452"/>
      <c r="B326" s="452"/>
      <c r="C326" s="452"/>
      <c r="D326" s="807" t="str">
        <f>+input!B22</f>
        <v>110j</v>
      </c>
      <c r="E326" s="808">
        <f>+MST!L23</f>
        <v>0.67</v>
      </c>
      <c r="F326" s="808">
        <f>+MST!M23</f>
        <v>0</v>
      </c>
      <c r="G326" s="808">
        <f>+MST!N23</f>
        <v>-1.1599999999999999</v>
      </c>
      <c r="H326" s="808">
        <f>+MST!O23</f>
        <v>62.16</v>
      </c>
      <c r="I326" s="808">
        <f>+MST!P23</f>
        <v>-1.77</v>
      </c>
      <c r="J326" s="808">
        <f>+MST!Z23</f>
        <v>616.87</v>
      </c>
      <c r="K326" s="808">
        <f>+MST!AA23</f>
        <v>-629.24</v>
      </c>
      <c r="L326" s="808">
        <f>MST!AH23</f>
        <v>201.59</v>
      </c>
      <c r="M326" s="809">
        <f>MST!AI23</f>
        <v>-163.97</v>
      </c>
      <c r="P326" s="452"/>
      <c r="Q326" s="452"/>
      <c r="R326" s="452"/>
      <c r="S326" s="452"/>
      <c r="T326" s="452"/>
      <c r="U326" s="452"/>
      <c r="V326" s="452"/>
      <c r="X326" s="143"/>
      <c r="Z326" s="143"/>
      <c r="AB326" s="73"/>
      <c r="AC326" s="73"/>
      <c r="AD326" s="73"/>
      <c r="AE326" s="73"/>
      <c r="AF326" s="73"/>
      <c r="AG326" s="73"/>
      <c r="AH326" s="73"/>
      <c r="AI326" s="73"/>
      <c r="AM326" s="143"/>
      <c r="AN326" s="143"/>
      <c r="AO326" s="143"/>
      <c r="AP326" s="143"/>
      <c r="AQ326" s="143"/>
      <c r="AR326" s="143"/>
      <c r="AS326" s="143"/>
      <c r="AT326" s="143"/>
    </row>
    <row r="327" spans="1:46" ht="15" customHeight="1">
      <c r="A327" s="452"/>
      <c r="B327" s="452"/>
      <c r="C327" s="452"/>
      <c r="D327" s="807" t="str">
        <f>+input!B23</f>
        <v>111i</v>
      </c>
      <c r="E327" s="808">
        <f>+MST!L24</f>
        <v>0.19</v>
      </c>
      <c r="F327" s="808">
        <f>+MST!M24</f>
        <v>-0.01</v>
      </c>
      <c r="G327" s="808">
        <f>+MST!N24</f>
        <v>15.33</v>
      </c>
      <c r="H327" s="808">
        <f>+MST!O24</f>
        <v>-166.65</v>
      </c>
      <c r="I327" s="808">
        <f>+MST!P24</f>
        <v>10.55</v>
      </c>
      <c r="J327" s="808">
        <f>+MST!Z24</f>
        <v>679</v>
      </c>
      <c r="K327" s="808">
        <f>+MST!AA24</f>
        <v>-729.58</v>
      </c>
      <c r="L327" s="808">
        <f>MST!AH24</f>
        <v>293.48</v>
      </c>
      <c r="M327" s="809">
        <f>MST!AI24</f>
        <v>-261.43</v>
      </c>
      <c r="P327" s="452"/>
      <c r="Q327" s="452"/>
      <c r="R327" s="452"/>
      <c r="S327" s="452"/>
      <c r="T327" s="452"/>
      <c r="U327" s="452"/>
      <c r="V327" s="452"/>
      <c r="X327" s="143"/>
      <c r="Z327" s="143"/>
      <c r="AB327" s="73"/>
      <c r="AC327" s="73"/>
      <c r="AD327" s="73"/>
      <c r="AE327" s="73"/>
      <c r="AF327" s="73"/>
      <c r="AG327" s="73"/>
      <c r="AH327" s="73"/>
      <c r="AI327" s="73"/>
      <c r="AM327" s="143"/>
      <c r="AN327" s="143"/>
      <c r="AO327" s="143"/>
      <c r="AP327" s="143"/>
      <c r="AQ327" s="143"/>
      <c r="AR327" s="143"/>
      <c r="AS327" s="143"/>
      <c r="AT327" s="143"/>
    </row>
    <row r="328" spans="1:46" ht="15" customHeight="1">
      <c r="A328" s="452"/>
      <c r="B328" s="452"/>
      <c r="C328" s="452"/>
      <c r="D328" s="807" t="str">
        <f>+input!B24</f>
        <v>111j</v>
      </c>
      <c r="E328" s="808">
        <f>+MST!L25</f>
        <v>0.19</v>
      </c>
      <c r="F328" s="808">
        <f>+MST!M25</f>
        <v>-0.01</v>
      </c>
      <c r="G328" s="808">
        <f>+MST!N25</f>
        <v>11.23</v>
      </c>
      <c r="H328" s="808">
        <f>+MST!O25</f>
        <v>-22.15</v>
      </c>
      <c r="I328" s="808">
        <f>+MST!P25</f>
        <v>4</v>
      </c>
      <c r="J328" s="808">
        <f>+MST!Z25</f>
        <v>679</v>
      </c>
      <c r="K328" s="808">
        <f>+MST!AA25</f>
        <v>-722.37</v>
      </c>
      <c r="L328" s="808">
        <f>MST!AH25</f>
        <v>293.48</v>
      </c>
      <c r="M328" s="809">
        <f>MST!AI25</f>
        <v>-261.43</v>
      </c>
      <c r="P328" s="452"/>
      <c r="Q328" s="452"/>
      <c r="R328" s="452"/>
      <c r="S328" s="452"/>
      <c r="T328" s="452"/>
      <c r="U328" s="452"/>
      <c r="V328" s="452"/>
      <c r="X328" s="143"/>
      <c r="Z328" s="143"/>
      <c r="AB328" s="73"/>
      <c r="AC328" s="73"/>
      <c r="AD328" s="73"/>
      <c r="AE328" s="73"/>
      <c r="AF328" s="73"/>
      <c r="AG328" s="73"/>
      <c r="AH328" s="73"/>
      <c r="AI328" s="73"/>
      <c r="AM328" s="143"/>
      <c r="AN328" s="143"/>
      <c r="AO328" s="143"/>
      <c r="AP328" s="143"/>
      <c r="AQ328" s="143"/>
      <c r="AR328" s="143"/>
      <c r="AS328" s="143"/>
      <c r="AT328" s="143"/>
    </row>
    <row r="329" spans="1:46" ht="15" customHeight="1">
      <c r="A329" s="452"/>
      <c r="B329" s="452"/>
      <c r="C329" s="452"/>
      <c r="D329" s="807" t="str">
        <f>+input!B25</f>
        <v>112i</v>
      </c>
      <c r="E329" s="808">
        <f>+MST!L26</f>
        <v>0.19</v>
      </c>
      <c r="F329" s="808">
        <f>+MST!M26</f>
        <v>-0.01</v>
      </c>
      <c r="G329" s="808">
        <f>+MST!N26</f>
        <v>11.23</v>
      </c>
      <c r="H329" s="808">
        <f>+MST!O26</f>
        <v>-22.15</v>
      </c>
      <c r="I329" s="808">
        <f>+MST!P26</f>
        <v>4</v>
      </c>
      <c r="J329" s="808">
        <f>+MST!Z26</f>
        <v>679</v>
      </c>
      <c r="K329" s="808">
        <f>+MST!AA26</f>
        <v>-722.37</v>
      </c>
      <c r="L329" s="808">
        <f>MST!AH26</f>
        <v>293.48</v>
      </c>
      <c r="M329" s="809">
        <f>MST!AI26</f>
        <v>-261.43</v>
      </c>
      <c r="P329" s="452"/>
      <c r="Q329" s="452"/>
      <c r="R329" s="452"/>
      <c r="S329" s="452"/>
      <c r="T329" s="452"/>
      <c r="U329" s="452"/>
      <c r="V329" s="452"/>
      <c r="X329" s="143"/>
      <c r="Z329" s="143"/>
      <c r="AB329" s="73"/>
      <c r="AC329" s="73"/>
      <c r="AD329" s="73"/>
      <c r="AE329" s="73"/>
      <c r="AF329" s="73"/>
      <c r="AG329" s="73"/>
      <c r="AH329" s="73"/>
      <c r="AI329" s="73"/>
      <c r="AM329" s="143"/>
      <c r="AN329" s="143"/>
      <c r="AO329" s="143"/>
      <c r="AP329" s="143"/>
      <c r="AQ329" s="143"/>
      <c r="AR329" s="143"/>
      <c r="AS329" s="143"/>
      <c r="AT329" s="143"/>
    </row>
    <row r="330" spans="1:46" ht="15" customHeight="1">
      <c r="A330" s="452"/>
      <c r="B330" s="452"/>
      <c r="C330" s="452"/>
      <c r="D330" s="807" t="str">
        <f>+input!B26</f>
        <v>112j</v>
      </c>
      <c r="E330" s="808">
        <f>+MST!L27</f>
        <v>0.19</v>
      </c>
      <c r="F330" s="808">
        <f>+MST!M27</f>
        <v>-0.01</v>
      </c>
      <c r="G330" s="808">
        <f>+MST!N27</f>
        <v>7.13</v>
      </c>
      <c r="H330" s="808">
        <f>+MST!O27</f>
        <v>122.35</v>
      </c>
      <c r="I330" s="808">
        <f>+MST!P27</f>
        <v>-2.5499999999999998</v>
      </c>
      <c r="J330" s="808">
        <f>+MST!Z27</f>
        <v>686.94</v>
      </c>
      <c r="K330" s="808">
        <f>+MST!AA27</f>
        <v>-715.16</v>
      </c>
      <c r="L330" s="808">
        <f>MST!AH27</f>
        <v>293.48</v>
      </c>
      <c r="M330" s="809">
        <f>MST!AI27</f>
        <v>-261.43</v>
      </c>
      <c r="P330" s="452"/>
      <c r="Q330" s="452"/>
      <c r="R330" s="452"/>
      <c r="S330" s="452"/>
      <c r="T330" s="452"/>
      <c r="U330" s="452"/>
      <c r="V330" s="452"/>
      <c r="X330" s="143"/>
      <c r="Z330" s="143"/>
      <c r="AB330" s="73"/>
      <c r="AC330" s="73"/>
      <c r="AD330" s="73"/>
      <c r="AE330" s="73"/>
      <c r="AF330" s="73"/>
      <c r="AG330" s="73"/>
      <c r="AH330" s="73"/>
      <c r="AI330" s="73"/>
      <c r="AM330" s="143"/>
      <c r="AN330" s="143"/>
      <c r="AO330" s="143"/>
      <c r="AP330" s="143"/>
      <c r="AQ330" s="143"/>
      <c r="AR330" s="143"/>
      <c r="AS330" s="143"/>
      <c r="AT330" s="143"/>
    </row>
    <row r="331" spans="1:46" ht="15" customHeight="1">
      <c r="A331" s="452"/>
      <c r="B331" s="452"/>
      <c r="C331" s="452"/>
      <c r="D331" s="807" t="str">
        <f>+input!B27</f>
        <v>113i</v>
      </c>
      <c r="E331" s="808">
        <f>+MST!L28</f>
        <v>0.69</v>
      </c>
      <c r="F331" s="808">
        <f>+MST!M28</f>
        <v>-0.02</v>
      </c>
      <c r="G331" s="808">
        <f>+MST!N28</f>
        <v>6.16</v>
      </c>
      <c r="H331" s="808">
        <f>+MST!O28</f>
        <v>-123.22</v>
      </c>
      <c r="I331" s="808">
        <f>+MST!P28</f>
        <v>3.91</v>
      </c>
      <c r="J331" s="808">
        <f>+MST!Z28</f>
        <v>848.05</v>
      </c>
      <c r="K331" s="808">
        <f>+MST!AA28</f>
        <v>-889.26</v>
      </c>
      <c r="L331" s="808">
        <f>MST!AH28</f>
        <v>364.77</v>
      </c>
      <c r="M331" s="809">
        <f>MST!AI28</f>
        <v>-329.59</v>
      </c>
      <c r="P331" s="452"/>
      <c r="Q331" s="452"/>
      <c r="R331" s="452"/>
      <c r="S331" s="452"/>
      <c r="T331" s="452"/>
      <c r="U331" s="452"/>
      <c r="V331" s="452"/>
      <c r="X331" s="143"/>
      <c r="Z331" s="143"/>
      <c r="AB331" s="73"/>
      <c r="AC331" s="73"/>
      <c r="AD331" s="73"/>
      <c r="AE331" s="73"/>
      <c r="AF331" s="73"/>
      <c r="AG331" s="73"/>
      <c r="AH331" s="73"/>
      <c r="AI331" s="73"/>
      <c r="AM331" s="143"/>
      <c r="AN331" s="143"/>
      <c r="AO331" s="143"/>
      <c r="AP331" s="143"/>
      <c r="AQ331" s="143"/>
      <c r="AR331" s="143"/>
      <c r="AS331" s="143"/>
      <c r="AT331" s="143"/>
    </row>
    <row r="332" spans="1:46" ht="15" customHeight="1">
      <c r="A332" s="452"/>
      <c r="B332" s="452"/>
      <c r="C332" s="452"/>
      <c r="D332" s="807" t="str">
        <f>+input!B28</f>
        <v>113j</v>
      </c>
      <c r="E332" s="808">
        <f>+MST!L29</f>
        <v>0.69</v>
      </c>
      <c r="F332" s="808">
        <f>+MST!M29</f>
        <v>-0.02</v>
      </c>
      <c r="G332" s="808">
        <f>+MST!N29</f>
        <v>2.06</v>
      </c>
      <c r="H332" s="808">
        <f>+MST!O29</f>
        <v>21.28</v>
      </c>
      <c r="I332" s="808">
        <f>+MST!P29</f>
        <v>-2.64</v>
      </c>
      <c r="J332" s="808">
        <f>+MST!Z29</f>
        <v>848.05</v>
      </c>
      <c r="K332" s="808">
        <f>+MST!AA29</f>
        <v>-882.05</v>
      </c>
      <c r="L332" s="808">
        <f>MST!AH29</f>
        <v>364.77</v>
      </c>
      <c r="M332" s="809">
        <f>MST!AI29</f>
        <v>-329.59</v>
      </c>
      <c r="P332" s="452"/>
      <c r="Q332" s="452"/>
      <c r="R332" s="452"/>
      <c r="S332" s="452"/>
      <c r="T332" s="452"/>
      <c r="U332" s="452"/>
      <c r="V332" s="452"/>
      <c r="X332" s="143"/>
      <c r="Z332" s="143"/>
      <c r="AB332" s="73"/>
      <c r="AC332" s="73"/>
      <c r="AD332" s="73"/>
      <c r="AE332" s="73"/>
      <c r="AF332" s="73"/>
      <c r="AG332" s="73"/>
      <c r="AH332" s="73"/>
      <c r="AI332" s="73"/>
      <c r="AM332" s="143"/>
      <c r="AN332" s="143"/>
      <c r="AO332" s="143"/>
      <c r="AP332" s="143"/>
      <c r="AQ332" s="143"/>
      <c r="AR332" s="143"/>
      <c r="AS332" s="143"/>
      <c r="AT332" s="143"/>
    </row>
    <row r="333" spans="1:46" ht="15" customHeight="1">
      <c r="A333" s="452"/>
      <c r="B333" s="452"/>
      <c r="C333" s="452"/>
      <c r="D333" s="807" t="str">
        <f>+input!B29</f>
        <v>114i</v>
      </c>
      <c r="E333" s="808">
        <f>+MST!L30</f>
        <v>0.69</v>
      </c>
      <c r="F333" s="808">
        <f>+MST!M30</f>
        <v>-0.02</v>
      </c>
      <c r="G333" s="808">
        <f>+MST!N30</f>
        <v>2.06</v>
      </c>
      <c r="H333" s="808">
        <f>+MST!O30</f>
        <v>21.28</v>
      </c>
      <c r="I333" s="808">
        <f>+MST!P30</f>
        <v>-2.64</v>
      </c>
      <c r="J333" s="808">
        <f>+MST!Z30</f>
        <v>848.05</v>
      </c>
      <c r="K333" s="808">
        <f>+MST!AA30</f>
        <v>-882.05</v>
      </c>
      <c r="L333" s="808">
        <f>MST!AH30</f>
        <v>364.77</v>
      </c>
      <c r="M333" s="809">
        <f>MST!AI30</f>
        <v>-329.59</v>
      </c>
      <c r="P333" s="452"/>
      <c r="Q333" s="452"/>
      <c r="R333" s="452"/>
      <c r="S333" s="452"/>
      <c r="T333" s="452"/>
      <c r="U333" s="452"/>
      <c r="V333" s="452"/>
      <c r="X333" s="143"/>
      <c r="Z333" s="143"/>
      <c r="AB333" s="73"/>
      <c r="AC333" s="73"/>
      <c r="AD333" s="73"/>
      <c r="AE333" s="73"/>
      <c r="AF333" s="73"/>
      <c r="AG333" s="73"/>
      <c r="AH333" s="73"/>
      <c r="AI333" s="73"/>
      <c r="AM333" s="143"/>
      <c r="AN333" s="143"/>
      <c r="AO333" s="143"/>
      <c r="AP333" s="143"/>
      <c r="AQ333" s="143"/>
      <c r="AR333" s="143"/>
      <c r="AS333" s="143"/>
      <c r="AT333" s="143"/>
    </row>
    <row r="334" spans="1:46" ht="15" customHeight="1">
      <c r="A334" s="452"/>
      <c r="B334" s="452"/>
      <c r="C334" s="452"/>
      <c r="D334" s="807" t="str">
        <f>+input!B30</f>
        <v>114j</v>
      </c>
      <c r="E334" s="808">
        <f>+MST!L31</f>
        <v>0.69</v>
      </c>
      <c r="F334" s="808">
        <f>+MST!M31</f>
        <v>-0.02</v>
      </c>
      <c r="G334" s="808">
        <f>+MST!N31</f>
        <v>-2.04</v>
      </c>
      <c r="H334" s="808">
        <f>+MST!O31</f>
        <v>165.78</v>
      </c>
      <c r="I334" s="808">
        <f>+MST!P31</f>
        <v>-9.19</v>
      </c>
      <c r="J334" s="808">
        <f>+MST!Z31</f>
        <v>850.33</v>
      </c>
      <c r="K334" s="808">
        <f>+MST!AA31</f>
        <v>-874.84</v>
      </c>
      <c r="L334" s="808">
        <f>MST!AH31</f>
        <v>364.77</v>
      </c>
      <c r="M334" s="809">
        <f>MST!AI31</f>
        <v>-329.59</v>
      </c>
      <c r="P334" s="452"/>
      <c r="Q334" s="452"/>
      <c r="R334" s="452"/>
      <c r="S334" s="452"/>
      <c r="T334" s="452"/>
      <c r="U334" s="452"/>
      <c r="V334" s="452"/>
      <c r="X334" s="143"/>
      <c r="Z334" s="143"/>
      <c r="AB334" s="73"/>
      <c r="AC334" s="73"/>
      <c r="AD334" s="73"/>
      <c r="AE334" s="73"/>
      <c r="AF334" s="73"/>
      <c r="AG334" s="73"/>
      <c r="AH334" s="73"/>
      <c r="AI334" s="73"/>
      <c r="AM334" s="143"/>
      <c r="AN334" s="143"/>
      <c r="AO334" s="143"/>
      <c r="AP334" s="143"/>
      <c r="AQ334" s="143"/>
      <c r="AR334" s="143"/>
      <c r="AS334" s="143"/>
      <c r="AT334" s="143"/>
    </row>
    <row r="335" spans="1:46" ht="15" customHeight="1">
      <c r="A335" s="452"/>
      <c r="B335" s="452"/>
      <c r="C335" s="452"/>
      <c r="D335" s="807" t="str">
        <f>+input!B31</f>
        <v>115i</v>
      </c>
      <c r="E335" s="808">
        <f>+MST!L32</f>
        <v>0.2</v>
      </c>
      <c r="F335" s="808">
        <f>+MST!M32</f>
        <v>-0.05</v>
      </c>
      <c r="G335" s="808">
        <f>+MST!N32</f>
        <v>-2.78</v>
      </c>
      <c r="H335" s="808">
        <f>+MST!O32</f>
        <v>-73.17</v>
      </c>
      <c r="I335" s="808">
        <f>+MST!P32</f>
        <v>-2.66</v>
      </c>
      <c r="J335" s="808">
        <f>+MST!Z32</f>
        <v>1097.3499999999999</v>
      </c>
      <c r="K335" s="808">
        <f>+MST!AA32</f>
        <v>-1085.8699999999999</v>
      </c>
      <c r="L335" s="808">
        <f>MST!AH32</f>
        <v>400.59</v>
      </c>
      <c r="M335" s="809">
        <f>MST!AI32</f>
        <v>-365.92</v>
      </c>
      <c r="P335" s="452"/>
      <c r="Q335" s="452"/>
      <c r="R335" s="452"/>
      <c r="S335" s="452"/>
      <c r="T335" s="452"/>
      <c r="U335" s="452"/>
      <c r="V335" s="452"/>
      <c r="X335" s="143"/>
      <c r="Z335" s="143"/>
      <c r="AB335" s="73"/>
      <c r="AC335" s="73"/>
      <c r="AD335" s="73"/>
      <c r="AE335" s="73"/>
      <c r="AF335" s="73"/>
      <c r="AG335" s="73"/>
      <c r="AH335" s="73"/>
      <c r="AI335" s="73"/>
      <c r="AM335" s="143"/>
      <c r="AN335" s="143"/>
      <c r="AO335" s="143"/>
      <c r="AP335" s="143"/>
      <c r="AQ335" s="143"/>
      <c r="AR335" s="143"/>
      <c r="AS335" s="143"/>
      <c r="AT335" s="143"/>
    </row>
    <row r="336" spans="1:46" ht="15" customHeight="1">
      <c r="A336" s="452"/>
      <c r="B336" s="452"/>
      <c r="C336" s="452"/>
      <c r="D336" s="807" t="str">
        <f>+input!B32</f>
        <v>115j</v>
      </c>
      <c r="E336" s="808">
        <f>+MST!L33</f>
        <v>0.2</v>
      </c>
      <c r="F336" s="808">
        <f>+MST!M33</f>
        <v>-0.05</v>
      </c>
      <c r="G336" s="808">
        <f>+MST!N33</f>
        <v>-6.88</v>
      </c>
      <c r="H336" s="808">
        <f>+MST!O33</f>
        <v>71.33</v>
      </c>
      <c r="I336" s="808">
        <f>+MST!P33</f>
        <v>-9.2100000000000009</v>
      </c>
      <c r="J336" s="808">
        <f>+MST!Z33</f>
        <v>1097.3499999999999</v>
      </c>
      <c r="K336" s="808">
        <f>+MST!AA33</f>
        <v>-1078.6600000000001</v>
      </c>
      <c r="L336" s="808">
        <f>MST!AH33</f>
        <v>400.59</v>
      </c>
      <c r="M336" s="809">
        <f>MST!AI33</f>
        <v>-365.92</v>
      </c>
      <c r="P336" s="452"/>
      <c r="Q336" s="452"/>
      <c r="R336" s="452"/>
      <c r="S336" s="452"/>
      <c r="T336" s="452"/>
      <c r="U336" s="452"/>
      <c r="V336" s="452"/>
      <c r="X336" s="143"/>
      <c r="Z336" s="143"/>
      <c r="AB336" s="73"/>
      <c r="AC336" s="73"/>
      <c r="AD336" s="73"/>
      <c r="AE336" s="73"/>
      <c r="AF336" s="73"/>
      <c r="AG336" s="73"/>
      <c r="AH336" s="73"/>
      <c r="AI336" s="73"/>
      <c r="AM336" s="143"/>
      <c r="AN336" s="143"/>
      <c r="AO336" s="143"/>
      <c r="AP336" s="143"/>
      <c r="AQ336" s="143"/>
      <c r="AR336" s="143"/>
      <c r="AS336" s="143"/>
      <c r="AT336" s="143"/>
    </row>
    <row r="337" spans="1:46" ht="15" customHeight="1">
      <c r="A337" s="452"/>
      <c r="B337" s="452"/>
      <c r="C337" s="452"/>
      <c r="D337" s="807" t="str">
        <f>+input!B33</f>
        <v>116i</v>
      </c>
      <c r="E337" s="808">
        <f>+MST!L34</f>
        <v>0.2</v>
      </c>
      <c r="F337" s="808">
        <f>+MST!M34</f>
        <v>-0.05</v>
      </c>
      <c r="G337" s="808">
        <f>+MST!N34</f>
        <v>-6.88</v>
      </c>
      <c r="H337" s="808">
        <f>+MST!O34</f>
        <v>71.33</v>
      </c>
      <c r="I337" s="808">
        <f>+MST!P34</f>
        <v>-9.2100000000000009</v>
      </c>
      <c r="J337" s="808">
        <f>+MST!Z34</f>
        <v>1097.3499999999999</v>
      </c>
      <c r="K337" s="808">
        <f>+MST!AA34</f>
        <v>-1078.6600000000001</v>
      </c>
      <c r="L337" s="808">
        <f>MST!AH34</f>
        <v>400.59</v>
      </c>
      <c r="M337" s="809">
        <f>MST!AI34</f>
        <v>-365.92</v>
      </c>
      <c r="P337" s="452"/>
      <c r="Q337" s="452"/>
      <c r="R337" s="452"/>
      <c r="S337" s="452"/>
      <c r="T337" s="452"/>
      <c r="U337" s="452"/>
      <c r="V337" s="452"/>
      <c r="X337" s="143"/>
      <c r="Z337" s="143"/>
      <c r="AB337" s="73"/>
      <c r="AC337" s="73"/>
      <c r="AD337" s="73"/>
      <c r="AE337" s="73"/>
      <c r="AF337" s="73"/>
      <c r="AG337" s="73"/>
      <c r="AH337" s="73"/>
      <c r="AI337" s="73"/>
      <c r="AM337" s="143"/>
      <c r="AN337" s="143"/>
      <c r="AO337" s="143"/>
      <c r="AP337" s="143"/>
      <c r="AQ337" s="143"/>
      <c r="AR337" s="143"/>
      <c r="AS337" s="143"/>
      <c r="AT337" s="143"/>
    </row>
    <row r="338" spans="1:46" ht="15" customHeight="1">
      <c r="A338" s="452"/>
      <c r="B338" s="452"/>
      <c r="C338" s="452"/>
      <c r="D338" s="807" t="str">
        <f>+input!B34</f>
        <v>116j</v>
      </c>
      <c r="E338" s="808">
        <f>+MST!L35</f>
        <v>0.2</v>
      </c>
      <c r="F338" s="808">
        <f>+MST!M35</f>
        <v>-0.05</v>
      </c>
      <c r="G338" s="808">
        <f>+MST!N35</f>
        <v>-10.98</v>
      </c>
      <c r="H338" s="808">
        <f>+MST!O35</f>
        <v>215.83</v>
      </c>
      <c r="I338" s="808">
        <f>+MST!P35</f>
        <v>-15.76</v>
      </c>
      <c r="J338" s="808">
        <f>+MST!Z35</f>
        <v>1097.3699999999999</v>
      </c>
      <c r="K338" s="808">
        <f>+MST!AA35</f>
        <v>-1071.46</v>
      </c>
      <c r="L338" s="808">
        <f>MST!AH35</f>
        <v>400.59</v>
      </c>
      <c r="M338" s="809">
        <f>MST!AI35</f>
        <v>-365.92</v>
      </c>
      <c r="P338" s="452"/>
      <c r="Q338" s="452"/>
      <c r="R338" s="452"/>
      <c r="S338" s="452"/>
      <c r="T338" s="452"/>
      <c r="U338" s="452"/>
      <c r="V338" s="452"/>
      <c r="X338" s="143"/>
      <c r="Z338" s="143"/>
      <c r="AB338" s="73"/>
      <c r="AC338" s="73"/>
      <c r="AD338" s="73"/>
      <c r="AE338" s="73"/>
      <c r="AF338" s="73"/>
      <c r="AG338" s="73"/>
      <c r="AH338" s="73"/>
      <c r="AI338" s="73"/>
      <c r="AM338" s="143"/>
      <c r="AN338" s="143"/>
      <c r="AO338" s="143"/>
      <c r="AP338" s="143"/>
      <c r="AQ338" s="143"/>
      <c r="AR338" s="143"/>
      <c r="AS338" s="143"/>
      <c r="AT338" s="143"/>
    </row>
    <row r="339" spans="1:46" ht="15" customHeight="1">
      <c r="A339" s="452"/>
      <c r="B339" s="452"/>
      <c r="C339" s="452"/>
      <c r="D339" s="807" t="str">
        <f>+input!B35</f>
        <v>117i</v>
      </c>
      <c r="E339" s="808">
        <f>+MST!L36</f>
        <v>-9.6199999999999992</v>
      </c>
      <c r="F339" s="808">
        <f>+MST!M36</f>
        <v>0.23</v>
      </c>
      <c r="G339" s="808">
        <f>+MST!N36</f>
        <v>-45.35</v>
      </c>
      <c r="H339" s="808">
        <f>+MST!O36</f>
        <v>-8.3000000000000007</v>
      </c>
      <c r="I339" s="808">
        <f>+MST!P36</f>
        <v>-13.2</v>
      </c>
      <c r="J339" s="808">
        <f>+MST!Z36</f>
        <v>1260.31</v>
      </c>
      <c r="K339" s="808">
        <f>+MST!AA36</f>
        <v>-1228.9100000000001</v>
      </c>
      <c r="L339" s="808">
        <f>MST!AH36</f>
        <v>386.83</v>
      </c>
      <c r="M339" s="809">
        <f>MST!AI36</f>
        <v>-352.43</v>
      </c>
      <c r="P339" s="452"/>
      <c r="Q339" s="452"/>
      <c r="R339" s="452"/>
      <c r="S339" s="452"/>
      <c r="T339" s="452"/>
      <c r="U339" s="452"/>
      <c r="V339" s="452"/>
      <c r="X339" s="143"/>
      <c r="Z339" s="143"/>
      <c r="AB339" s="73"/>
      <c r="AC339" s="73"/>
      <c r="AD339" s="73"/>
      <c r="AE339" s="73"/>
      <c r="AF339" s="73"/>
      <c r="AG339" s="73"/>
      <c r="AH339" s="73"/>
      <c r="AI339" s="73"/>
      <c r="AM339" s="143"/>
      <c r="AN339" s="143"/>
      <c r="AO339" s="143"/>
      <c r="AP339" s="143"/>
      <c r="AQ339" s="143"/>
      <c r="AR339" s="143"/>
      <c r="AS339" s="143"/>
      <c r="AT339" s="143"/>
    </row>
    <row r="340" spans="1:46" ht="15" customHeight="1">
      <c r="A340" s="452"/>
      <c r="B340" s="452"/>
      <c r="C340" s="452"/>
      <c r="D340" s="807" t="str">
        <f>+input!B36</f>
        <v>117j</v>
      </c>
      <c r="E340" s="808">
        <f>+MST!L37</f>
        <v>-9.6199999999999992</v>
      </c>
      <c r="F340" s="808">
        <f>+MST!M37</f>
        <v>0.23</v>
      </c>
      <c r="G340" s="808">
        <f>+MST!N37</f>
        <v>-49.45</v>
      </c>
      <c r="H340" s="808">
        <f>+MST!O37</f>
        <v>136.19999999999999</v>
      </c>
      <c r="I340" s="808">
        <f>+MST!P37</f>
        <v>-19.75</v>
      </c>
      <c r="J340" s="808">
        <f>+MST!Z37</f>
        <v>1260.31</v>
      </c>
      <c r="K340" s="808">
        <f>+MST!AA37</f>
        <v>-1221.7</v>
      </c>
      <c r="L340" s="808">
        <f>MST!AH37</f>
        <v>386.83</v>
      </c>
      <c r="M340" s="809">
        <f>MST!AI37</f>
        <v>-352.43</v>
      </c>
      <c r="P340" s="452"/>
      <c r="Q340" s="452"/>
      <c r="R340" s="452"/>
      <c r="S340" s="452"/>
      <c r="T340" s="452"/>
      <c r="U340" s="452"/>
      <c r="V340" s="452"/>
      <c r="X340" s="143"/>
      <c r="Z340" s="143"/>
      <c r="AB340" s="73"/>
      <c r="AC340" s="73"/>
      <c r="AD340" s="73"/>
      <c r="AE340" s="73"/>
      <c r="AF340" s="73"/>
      <c r="AG340" s="73"/>
      <c r="AH340" s="73"/>
      <c r="AI340" s="73"/>
      <c r="AM340" s="143"/>
      <c r="AN340" s="143"/>
      <c r="AO340" s="143"/>
      <c r="AP340" s="143"/>
      <c r="AQ340" s="143"/>
      <c r="AR340" s="143"/>
      <c r="AS340" s="143"/>
      <c r="AT340" s="143"/>
    </row>
    <row r="341" spans="1:46" ht="15" customHeight="1">
      <c r="A341" s="452"/>
      <c r="B341" s="452"/>
      <c r="C341" s="452"/>
      <c r="D341" s="807" t="str">
        <f>+input!B37</f>
        <v>118i</v>
      </c>
      <c r="E341" s="808">
        <f>+MST!L38</f>
        <v>-9.6199999999999992</v>
      </c>
      <c r="F341" s="808">
        <f>+MST!M38</f>
        <v>0.23</v>
      </c>
      <c r="G341" s="808">
        <f>+MST!N38</f>
        <v>-49.45</v>
      </c>
      <c r="H341" s="808">
        <f>+MST!O38</f>
        <v>136.19999999999999</v>
      </c>
      <c r="I341" s="808">
        <f>+MST!P38</f>
        <v>-19.75</v>
      </c>
      <c r="J341" s="808">
        <f>+MST!Z38</f>
        <v>1260.31</v>
      </c>
      <c r="K341" s="808">
        <f>+MST!AA38</f>
        <v>-1221.7</v>
      </c>
      <c r="L341" s="808">
        <f>MST!AH38</f>
        <v>386.83</v>
      </c>
      <c r="M341" s="809">
        <f>MST!AI38</f>
        <v>-352.43</v>
      </c>
      <c r="P341" s="452"/>
      <c r="Q341" s="452"/>
      <c r="R341" s="452"/>
      <c r="S341" s="452"/>
      <c r="T341" s="452"/>
      <c r="U341" s="452"/>
      <c r="V341" s="452"/>
      <c r="X341" s="143"/>
      <c r="Z341" s="143"/>
      <c r="AB341" s="73"/>
      <c r="AC341" s="73"/>
      <c r="AD341" s="73"/>
      <c r="AE341" s="73"/>
      <c r="AF341" s="73"/>
      <c r="AG341" s="73"/>
      <c r="AH341" s="73"/>
      <c r="AI341" s="73"/>
      <c r="AM341" s="143"/>
      <c r="AN341" s="143"/>
      <c r="AO341" s="143"/>
      <c r="AP341" s="143"/>
      <c r="AQ341" s="143"/>
      <c r="AR341" s="143"/>
      <c r="AS341" s="143"/>
      <c r="AT341" s="143"/>
    </row>
    <row r="342" spans="1:46" ht="15" customHeight="1">
      <c r="A342" s="452"/>
      <c r="B342" s="452"/>
      <c r="C342" s="452"/>
      <c r="D342" s="807" t="str">
        <f>+input!B38</f>
        <v>118j</v>
      </c>
      <c r="E342" s="808">
        <f>+MST!L39</f>
        <v>-9.6199999999999992</v>
      </c>
      <c r="F342" s="808">
        <f>+MST!M39</f>
        <v>0.23</v>
      </c>
      <c r="G342" s="808">
        <f>+MST!N39</f>
        <v>-52.32</v>
      </c>
      <c r="H342" s="808">
        <f>+MST!O39</f>
        <v>237.35</v>
      </c>
      <c r="I342" s="808">
        <f>+MST!P39</f>
        <v>-24.34</v>
      </c>
      <c r="J342" s="808">
        <f>+MST!Z39</f>
        <v>1264.48</v>
      </c>
      <c r="K342" s="808">
        <f>+MST!AA39</f>
        <v>-1216.7</v>
      </c>
      <c r="L342" s="808">
        <f>MST!AH39</f>
        <v>386.83</v>
      </c>
      <c r="M342" s="809">
        <f>MST!AI39</f>
        <v>-352.43</v>
      </c>
      <c r="P342" s="452"/>
      <c r="Q342" s="452"/>
      <c r="R342" s="452"/>
      <c r="S342" s="452"/>
      <c r="T342" s="452"/>
      <c r="U342" s="452"/>
      <c r="V342" s="452"/>
      <c r="X342" s="143"/>
      <c r="Z342" s="143"/>
      <c r="AB342" s="73"/>
      <c r="AC342" s="73"/>
      <c r="AD342" s="73"/>
      <c r="AE342" s="73"/>
      <c r="AF342" s="73"/>
      <c r="AG342" s="73"/>
      <c r="AH342" s="73"/>
      <c r="AI342" s="73"/>
      <c r="AM342" s="143"/>
      <c r="AN342" s="143"/>
      <c r="AO342" s="143"/>
      <c r="AP342" s="143"/>
      <c r="AQ342" s="143"/>
      <c r="AR342" s="143"/>
      <c r="AS342" s="143"/>
      <c r="AT342" s="143"/>
    </row>
    <row r="343" spans="1:46" ht="15" customHeight="1">
      <c r="A343" s="452"/>
      <c r="B343" s="452"/>
      <c r="C343" s="452"/>
      <c r="D343" s="807" t="str">
        <f>+input!B39</f>
        <v>119i</v>
      </c>
      <c r="E343" s="808">
        <f>+MST!L40</f>
        <v>-9.6199999999999992</v>
      </c>
      <c r="F343" s="808">
        <f>+MST!M40</f>
        <v>0.23</v>
      </c>
      <c r="G343" s="808">
        <f>+MST!N40</f>
        <v>-52.32</v>
      </c>
      <c r="H343" s="808">
        <f>+MST!O40</f>
        <v>237.35</v>
      </c>
      <c r="I343" s="808">
        <f>+MST!P40</f>
        <v>-24.34</v>
      </c>
      <c r="J343" s="808">
        <f>+MST!Z40</f>
        <v>1264.48</v>
      </c>
      <c r="K343" s="808">
        <f>+MST!AA40</f>
        <v>-1216.7</v>
      </c>
      <c r="L343" s="808">
        <f>MST!AH40</f>
        <v>386.83</v>
      </c>
      <c r="M343" s="809">
        <f>MST!AI40</f>
        <v>-352.43</v>
      </c>
      <c r="P343" s="452"/>
      <c r="Q343" s="452"/>
      <c r="R343" s="452"/>
      <c r="S343" s="452"/>
      <c r="T343" s="452"/>
      <c r="U343" s="452"/>
      <c r="V343" s="452"/>
      <c r="X343" s="143"/>
      <c r="Z343" s="143"/>
      <c r="AB343" s="73"/>
      <c r="AC343" s="73"/>
      <c r="AD343" s="73"/>
      <c r="AE343" s="73"/>
      <c r="AF343" s="73"/>
      <c r="AG343" s="73"/>
      <c r="AH343" s="73"/>
      <c r="AI343" s="73"/>
      <c r="AM343" s="143"/>
      <c r="AN343" s="143"/>
      <c r="AO343" s="143"/>
      <c r="AP343" s="143"/>
      <c r="AQ343" s="143"/>
      <c r="AR343" s="143"/>
      <c r="AS343" s="143"/>
      <c r="AT343" s="143"/>
    </row>
    <row r="344" spans="1:46" ht="15" customHeight="1">
      <c r="A344" s="452"/>
      <c r="B344" s="452"/>
      <c r="C344" s="452"/>
      <c r="D344" s="807" t="str">
        <f>+input!B40</f>
        <v>119j</v>
      </c>
      <c r="E344" s="808">
        <f>+MST!L41</f>
        <v>-9.6199999999999992</v>
      </c>
      <c r="F344" s="808">
        <f>+MST!M41</f>
        <v>0.23</v>
      </c>
      <c r="G344" s="808">
        <f>+MST!N41</f>
        <v>-53.55</v>
      </c>
      <c r="H344" s="808">
        <f>+MST!O41</f>
        <v>280.7</v>
      </c>
      <c r="I344" s="808">
        <f>+MST!P41</f>
        <v>-26.3</v>
      </c>
      <c r="J344" s="808">
        <f>+MST!Z41</f>
        <v>1268.82</v>
      </c>
      <c r="K344" s="808">
        <f>+MST!AA41</f>
        <v>-1215.57</v>
      </c>
      <c r="L344" s="808">
        <f>MST!AH41</f>
        <v>386.83</v>
      </c>
      <c r="M344" s="809">
        <f>MST!AI41</f>
        <v>-352.43</v>
      </c>
      <c r="P344" s="452"/>
      <c r="Q344" s="452"/>
      <c r="R344" s="452"/>
      <c r="S344" s="452"/>
      <c r="T344" s="452"/>
      <c r="U344" s="452"/>
      <c r="V344" s="452"/>
      <c r="X344" s="143"/>
      <c r="Z344" s="143"/>
      <c r="AB344" s="73"/>
      <c r="AC344" s="73"/>
      <c r="AD344" s="73"/>
      <c r="AE344" s="73"/>
      <c r="AF344" s="73"/>
      <c r="AG344" s="73"/>
      <c r="AH344" s="73"/>
      <c r="AI344" s="73"/>
      <c r="AM344" s="143"/>
      <c r="AN344" s="143"/>
      <c r="AO344" s="143"/>
      <c r="AP344" s="143"/>
      <c r="AQ344" s="143"/>
      <c r="AR344" s="143"/>
      <c r="AS344" s="143"/>
      <c r="AT344" s="143"/>
    </row>
    <row r="345" spans="1:46" ht="15" customHeight="1">
      <c r="A345" s="452"/>
      <c r="B345" s="452"/>
      <c r="C345" s="452"/>
      <c r="D345" s="807" t="str">
        <f>+input!B41</f>
        <v>120i</v>
      </c>
      <c r="E345" s="808">
        <f>+MST!L42</f>
        <v>7.99</v>
      </c>
      <c r="F345" s="808">
        <f>+MST!M42</f>
        <v>-0.22</v>
      </c>
      <c r="G345" s="808">
        <f>+MST!N42</f>
        <v>50.57</v>
      </c>
      <c r="H345" s="808">
        <f>+MST!O42</f>
        <v>-266.98</v>
      </c>
      <c r="I345" s="808">
        <f>+MST!P42</f>
        <v>24.26</v>
      </c>
      <c r="J345" s="808">
        <f>+MST!Z42</f>
        <v>974.91</v>
      </c>
      <c r="K345" s="808">
        <f>+MST!AA42</f>
        <v>-1036.2</v>
      </c>
      <c r="L345" s="808">
        <f>MST!AH42</f>
        <v>286.45</v>
      </c>
      <c r="M345" s="809">
        <f>MST!AI42</f>
        <v>-318.61</v>
      </c>
      <c r="P345" s="452"/>
      <c r="Q345" s="452"/>
      <c r="R345" s="452"/>
      <c r="S345" s="452"/>
      <c r="T345" s="452"/>
      <c r="U345" s="452"/>
      <c r="V345" s="452"/>
      <c r="X345" s="143"/>
      <c r="Z345" s="143"/>
      <c r="AB345" s="73"/>
      <c r="AC345" s="73"/>
      <c r="AD345" s="73"/>
      <c r="AE345" s="73"/>
      <c r="AF345" s="73"/>
      <c r="AG345" s="73"/>
      <c r="AH345" s="73"/>
      <c r="AI345" s="73"/>
      <c r="AM345" s="143"/>
      <c r="AN345" s="143"/>
      <c r="AO345" s="143"/>
      <c r="AP345" s="143"/>
      <c r="AQ345" s="143"/>
      <c r="AR345" s="143"/>
      <c r="AS345" s="143"/>
      <c r="AT345" s="143"/>
    </row>
    <row r="346" spans="1:46" ht="15" customHeight="1">
      <c r="A346" s="452"/>
      <c r="B346" s="452"/>
      <c r="C346" s="452"/>
      <c r="D346" s="807" t="str">
        <f>+input!B42</f>
        <v>120j</v>
      </c>
      <c r="E346" s="808">
        <f>+MST!L43</f>
        <v>7.99</v>
      </c>
      <c r="F346" s="808">
        <f>+MST!M43</f>
        <v>-0.22</v>
      </c>
      <c r="G346" s="808">
        <f>+MST!N43</f>
        <v>49.34</v>
      </c>
      <c r="H346" s="808">
        <f>+MST!O43</f>
        <v>-223.63</v>
      </c>
      <c r="I346" s="808">
        <f>+MST!P43</f>
        <v>22.3</v>
      </c>
      <c r="J346" s="808">
        <f>+MST!Z43</f>
        <v>976</v>
      </c>
      <c r="K346" s="808">
        <f>+MST!AA43</f>
        <v>-1035.1300000000001</v>
      </c>
      <c r="L346" s="808">
        <f>MST!AH43</f>
        <v>286.45</v>
      </c>
      <c r="M346" s="809">
        <f>MST!AI43</f>
        <v>-318.61</v>
      </c>
      <c r="P346" s="452"/>
      <c r="Q346" s="452"/>
      <c r="R346" s="452"/>
      <c r="S346" s="452"/>
      <c r="T346" s="452"/>
      <c r="U346" s="452"/>
      <c r="V346" s="452"/>
      <c r="X346" s="143"/>
      <c r="Z346" s="143"/>
      <c r="AB346" s="73"/>
      <c r="AC346" s="73"/>
      <c r="AD346" s="73"/>
      <c r="AE346" s="73"/>
      <c r="AF346" s="73"/>
      <c r="AG346" s="73"/>
      <c r="AH346" s="73"/>
      <c r="AI346" s="73"/>
      <c r="AM346" s="143"/>
      <c r="AN346" s="143"/>
      <c r="AO346" s="143"/>
      <c r="AP346" s="143"/>
      <c r="AQ346" s="143"/>
      <c r="AR346" s="143"/>
      <c r="AS346" s="143"/>
      <c r="AT346" s="143"/>
    </row>
    <row r="347" spans="1:46" ht="15" customHeight="1">
      <c r="A347" s="452"/>
      <c r="B347" s="452"/>
      <c r="C347" s="452"/>
      <c r="D347" s="807" t="str">
        <f>+input!B43</f>
        <v>121i</v>
      </c>
      <c r="E347" s="808">
        <f>+MST!L44</f>
        <v>7.99</v>
      </c>
      <c r="F347" s="808">
        <f>+MST!M44</f>
        <v>-0.22</v>
      </c>
      <c r="G347" s="808">
        <f>+MST!N44</f>
        <v>49.34</v>
      </c>
      <c r="H347" s="808">
        <f>+MST!O44</f>
        <v>-223.63</v>
      </c>
      <c r="I347" s="808">
        <f>+MST!P44</f>
        <v>22.3</v>
      </c>
      <c r="J347" s="808">
        <f>+MST!Z44</f>
        <v>976</v>
      </c>
      <c r="K347" s="808">
        <f>+MST!AA44</f>
        <v>-1035.1300000000001</v>
      </c>
      <c r="L347" s="808">
        <f>MST!AH44</f>
        <v>286.45</v>
      </c>
      <c r="M347" s="809">
        <f>MST!AI44</f>
        <v>-318.61</v>
      </c>
      <c r="P347" s="452"/>
      <c r="Q347" s="452"/>
      <c r="R347" s="452"/>
      <c r="S347" s="452"/>
      <c r="T347" s="452"/>
      <c r="U347" s="452"/>
      <c r="V347" s="452"/>
      <c r="X347" s="143"/>
      <c r="Z347" s="143"/>
      <c r="AB347" s="73"/>
      <c r="AC347" s="73"/>
      <c r="AD347" s="73"/>
      <c r="AE347" s="73"/>
      <c r="AF347" s="73"/>
      <c r="AG347" s="73"/>
      <c r="AH347" s="73"/>
      <c r="AI347" s="73"/>
      <c r="AM347" s="143"/>
      <c r="AN347" s="143"/>
      <c r="AO347" s="143"/>
      <c r="AP347" s="143"/>
      <c r="AQ347" s="143"/>
      <c r="AR347" s="143"/>
      <c r="AS347" s="143"/>
      <c r="AT347" s="143"/>
    </row>
    <row r="348" spans="1:46" ht="15" customHeight="1">
      <c r="A348" s="452"/>
      <c r="B348" s="452"/>
      <c r="C348" s="452"/>
      <c r="D348" s="807" t="str">
        <f>+input!B44</f>
        <v>121j</v>
      </c>
      <c r="E348" s="808">
        <f>+MST!L45</f>
        <v>7.99</v>
      </c>
      <c r="F348" s="808">
        <f>+MST!M45</f>
        <v>-0.22</v>
      </c>
      <c r="G348" s="808">
        <f>+MST!N45</f>
        <v>46.47</v>
      </c>
      <c r="H348" s="808">
        <f>+MST!O45</f>
        <v>-122.48</v>
      </c>
      <c r="I348" s="808">
        <f>+MST!P45</f>
        <v>17.71</v>
      </c>
      <c r="J348" s="808">
        <f>+MST!Z45</f>
        <v>980.99</v>
      </c>
      <c r="K348" s="808">
        <f>+MST!AA45</f>
        <v>-1035.07</v>
      </c>
      <c r="L348" s="808">
        <f>MST!AH45</f>
        <v>286.45</v>
      </c>
      <c r="M348" s="809">
        <f>MST!AI45</f>
        <v>-318.61</v>
      </c>
      <c r="P348" s="452"/>
      <c r="Q348" s="452"/>
      <c r="R348" s="452"/>
      <c r="S348" s="452"/>
      <c r="T348" s="452"/>
      <c r="U348" s="452"/>
      <c r="V348" s="452"/>
      <c r="X348" s="143"/>
      <c r="Z348" s="143"/>
      <c r="AB348" s="73"/>
      <c r="AC348" s="73"/>
      <c r="AD348" s="73"/>
      <c r="AE348" s="73"/>
      <c r="AF348" s="73"/>
      <c r="AG348" s="73"/>
      <c r="AH348" s="73"/>
      <c r="AI348" s="73"/>
      <c r="AM348" s="143"/>
      <c r="AN348" s="143"/>
      <c r="AO348" s="143"/>
      <c r="AP348" s="143"/>
      <c r="AQ348" s="143"/>
      <c r="AR348" s="143"/>
      <c r="AS348" s="143"/>
      <c r="AT348" s="143"/>
    </row>
    <row r="349" spans="1:46" ht="15" customHeight="1">
      <c r="A349" s="452"/>
      <c r="B349" s="452"/>
      <c r="C349" s="452"/>
      <c r="D349" s="807" t="str">
        <f>+input!B45</f>
        <v>122i</v>
      </c>
      <c r="E349" s="808">
        <f>+MST!L46</f>
        <v>7.99</v>
      </c>
      <c r="F349" s="808">
        <f>+MST!M46</f>
        <v>-0.22</v>
      </c>
      <c r="G349" s="808">
        <f>+MST!N46</f>
        <v>46.47</v>
      </c>
      <c r="H349" s="808">
        <f>+MST!O46</f>
        <v>-122.48</v>
      </c>
      <c r="I349" s="808">
        <f>+MST!P46</f>
        <v>17.71</v>
      </c>
      <c r="J349" s="808">
        <f>+MST!Z46</f>
        <v>980.99</v>
      </c>
      <c r="K349" s="808">
        <f>+MST!AA46</f>
        <v>-1035.07</v>
      </c>
      <c r="L349" s="808">
        <f>MST!AH46</f>
        <v>286.45</v>
      </c>
      <c r="M349" s="809">
        <f>MST!AI46</f>
        <v>-318.61</v>
      </c>
      <c r="P349" s="452"/>
      <c r="Q349" s="452"/>
      <c r="R349" s="452"/>
      <c r="S349" s="452"/>
      <c r="T349" s="452"/>
      <c r="U349" s="452"/>
      <c r="V349" s="452"/>
      <c r="X349" s="143"/>
      <c r="Z349" s="143"/>
      <c r="AB349" s="73"/>
      <c r="AC349" s="73"/>
      <c r="AD349" s="73"/>
      <c r="AE349" s="73"/>
      <c r="AF349" s="73"/>
      <c r="AG349" s="73"/>
      <c r="AH349" s="73"/>
      <c r="AI349" s="73"/>
      <c r="AM349" s="143"/>
      <c r="AN349" s="143"/>
      <c r="AO349" s="143"/>
      <c r="AP349" s="143"/>
      <c r="AQ349" s="143"/>
      <c r="AR349" s="143"/>
      <c r="AS349" s="143"/>
      <c r="AT349" s="143"/>
    </row>
    <row r="350" spans="1:46" ht="15" customHeight="1">
      <c r="A350" s="452"/>
      <c r="B350" s="452"/>
      <c r="C350" s="452"/>
      <c r="D350" s="807" t="str">
        <f>+input!B46</f>
        <v>122j</v>
      </c>
      <c r="E350" s="808">
        <f>+MST!L47</f>
        <v>7.99</v>
      </c>
      <c r="F350" s="808">
        <f>+MST!M47</f>
        <v>-0.22</v>
      </c>
      <c r="G350" s="808">
        <f>+MST!N47</f>
        <v>42.37</v>
      </c>
      <c r="H350" s="808">
        <f>+MST!O47</f>
        <v>22.02</v>
      </c>
      <c r="I350" s="808">
        <f>+MST!P47</f>
        <v>11.16</v>
      </c>
      <c r="J350" s="808">
        <f>+MST!Z47</f>
        <v>988.2</v>
      </c>
      <c r="K350" s="808">
        <f>+MST!AA47</f>
        <v>-1035.07</v>
      </c>
      <c r="L350" s="808">
        <f>MST!AH47</f>
        <v>286.45</v>
      </c>
      <c r="M350" s="809">
        <f>MST!AI47</f>
        <v>-318.61</v>
      </c>
      <c r="P350" s="452"/>
      <c r="Q350" s="452"/>
      <c r="R350" s="452"/>
      <c r="S350" s="452"/>
      <c r="T350" s="452"/>
      <c r="U350" s="452"/>
      <c r="V350" s="452"/>
      <c r="X350" s="143"/>
      <c r="Z350" s="143"/>
      <c r="AB350" s="73"/>
      <c r="AC350" s="73"/>
      <c r="AD350" s="73"/>
      <c r="AE350" s="73"/>
      <c r="AF350" s="73"/>
      <c r="AG350" s="73"/>
      <c r="AH350" s="73"/>
      <c r="AI350" s="73"/>
      <c r="AM350" s="143"/>
      <c r="AN350" s="143"/>
      <c r="AO350" s="143"/>
      <c r="AP350" s="143"/>
      <c r="AQ350" s="143"/>
      <c r="AR350" s="143"/>
      <c r="AS350" s="143"/>
      <c r="AT350" s="143"/>
    </row>
    <row r="351" spans="1:46" ht="15" customHeight="1">
      <c r="A351" s="452"/>
      <c r="B351" s="452"/>
      <c r="C351" s="452"/>
      <c r="D351" s="807" t="str">
        <f>+input!B47</f>
        <v>123i</v>
      </c>
      <c r="E351" s="808">
        <f>+MST!L48</f>
        <v>2</v>
      </c>
      <c r="F351" s="808">
        <f>+MST!M48</f>
        <v>0.05</v>
      </c>
      <c r="G351" s="808">
        <f>+MST!N48</f>
        <v>15.96</v>
      </c>
      <c r="H351" s="808">
        <f>+MST!O48</f>
        <v>-198.37</v>
      </c>
      <c r="I351" s="808">
        <f>+MST!P48</f>
        <v>13.94</v>
      </c>
      <c r="J351" s="808">
        <f>+MST!Z48</f>
        <v>660.32</v>
      </c>
      <c r="K351" s="808">
        <f>+MST!AA48</f>
        <v>-694.74</v>
      </c>
      <c r="L351" s="808">
        <f>MST!AH48</f>
        <v>246.77</v>
      </c>
      <c r="M351" s="809">
        <f>MST!AI48</f>
        <v>-282.62</v>
      </c>
      <c r="P351" s="452"/>
      <c r="Q351" s="452"/>
      <c r="R351" s="452"/>
      <c r="S351" s="452"/>
      <c r="T351" s="452"/>
      <c r="U351" s="452"/>
      <c r="V351" s="452"/>
      <c r="X351" s="143"/>
      <c r="Z351" s="143"/>
      <c r="AB351" s="73"/>
      <c r="AC351" s="73"/>
      <c r="AD351" s="73"/>
      <c r="AE351" s="73"/>
      <c r="AF351" s="73"/>
      <c r="AG351" s="73"/>
      <c r="AH351" s="73"/>
      <c r="AI351" s="73"/>
      <c r="AM351" s="143"/>
      <c r="AN351" s="143"/>
      <c r="AO351" s="143"/>
      <c r="AP351" s="143"/>
      <c r="AQ351" s="143"/>
      <c r="AR351" s="143"/>
      <c r="AS351" s="143"/>
      <c r="AT351" s="143"/>
    </row>
    <row r="352" spans="1:46" ht="15" customHeight="1">
      <c r="A352" s="452"/>
      <c r="B352" s="452"/>
      <c r="C352" s="452"/>
      <c r="D352" s="807" t="str">
        <f>+input!B48</f>
        <v>123j</v>
      </c>
      <c r="E352" s="808">
        <f>+MST!L49</f>
        <v>2</v>
      </c>
      <c r="F352" s="808">
        <f>+MST!M49</f>
        <v>0.05</v>
      </c>
      <c r="G352" s="808">
        <f>+MST!N49</f>
        <v>11.86</v>
      </c>
      <c r="H352" s="808">
        <f>+MST!O49</f>
        <v>-53.87</v>
      </c>
      <c r="I352" s="808">
        <f>+MST!P49</f>
        <v>7.39</v>
      </c>
      <c r="J352" s="808">
        <f>+MST!Z49</f>
        <v>667.53</v>
      </c>
      <c r="K352" s="808">
        <f>+MST!AA49</f>
        <v>-694.27</v>
      </c>
      <c r="L352" s="808">
        <f>MST!AH49</f>
        <v>246.77</v>
      </c>
      <c r="M352" s="809">
        <f>MST!AI49</f>
        <v>-282.62</v>
      </c>
      <c r="P352" s="452"/>
      <c r="Q352" s="452"/>
      <c r="R352" s="452"/>
      <c r="S352" s="452"/>
      <c r="T352" s="452"/>
      <c r="U352" s="452"/>
      <c r="V352" s="452"/>
      <c r="X352" s="143"/>
      <c r="Z352" s="143"/>
      <c r="AB352" s="73"/>
      <c r="AC352" s="73"/>
      <c r="AD352" s="73"/>
      <c r="AE352" s="73"/>
      <c r="AF352" s="73"/>
      <c r="AG352" s="73"/>
      <c r="AH352" s="73"/>
      <c r="AI352" s="73"/>
      <c r="AM352" s="143"/>
      <c r="AN352" s="143"/>
      <c r="AO352" s="143"/>
      <c r="AP352" s="143"/>
      <c r="AQ352" s="143"/>
      <c r="AR352" s="143"/>
      <c r="AS352" s="143"/>
      <c r="AT352" s="143"/>
    </row>
    <row r="353" spans="1:46" ht="15" customHeight="1">
      <c r="A353" s="452"/>
      <c r="B353" s="452"/>
      <c r="C353" s="452"/>
      <c r="D353" s="807" t="str">
        <f>+input!B49</f>
        <v>124i</v>
      </c>
      <c r="E353" s="808">
        <f>+MST!L50</f>
        <v>2</v>
      </c>
      <c r="F353" s="808">
        <f>+MST!M50</f>
        <v>0.05</v>
      </c>
      <c r="G353" s="808">
        <f>+MST!N50</f>
        <v>11.86</v>
      </c>
      <c r="H353" s="808">
        <f>+MST!O50</f>
        <v>-53.87</v>
      </c>
      <c r="I353" s="808">
        <f>+MST!P50</f>
        <v>7.39</v>
      </c>
      <c r="J353" s="808">
        <f>+MST!Z50</f>
        <v>667.53</v>
      </c>
      <c r="K353" s="808">
        <f>+MST!AA50</f>
        <v>-694.27</v>
      </c>
      <c r="L353" s="808">
        <f>MST!AH50</f>
        <v>246.77</v>
      </c>
      <c r="M353" s="809">
        <f>MST!AI50</f>
        <v>-282.62</v>
      </c>
      <c r="P353" s="452"/>
      <c r="Q353" s="452"/>
      <c r="R353" s="452"/>
      <c r="S353" s="452"/>
      <c r="T353" s="452"/>
      <c r="U353" s="452"/>
      <c r="V353" s="452"/>
      <c r="X353" s="143"/>
      <c r="Z353" s="143"/>
      <c r="AB353" s="73"/>
      <c r="AC353" s="73"/>
      <c r="AD353" s="73"/>
      <c r="AE353" s="73"/>
      <c r="AF353" s="73"/>
      <c r="AG353" s="73"/>
      <c r="AH353" s="73"/>
      <c r="AI353" s="73"/>
      <c r="AM353" s="143"/>
      <c r="AN353" s="143"/>
      <c r="AO353" s="143"/>
      <c r="AP353" s="143"/>
      <c r="AQ353" s="143"/>
      <c r="AR353" s="143"/>
      <c r="AS353" s="143"/>
      <c r="AT353" s="143"/>
    </row>
    <row r="354" spans="1:46" ht="15" customHeight="1">
      <c r="A354" s="452"/>
      <c r="B354" s="452"/>
      <c r="C354" s="452"/>
      <c r="D354" s="807" t="str">
        <f>+input!B50</f>
        <v>124j</v>
      </c>
      <c r="E354" s="808">
        <f>+MST!L51</f>
        <v>2</v>
      </c>
      <c r="F354" s="808">
        <f>+MST!M51</f>
        <v>0.05</v>
      </c>
      <c r="G354" s="808">
        <f>+MST!N51</f>
        <v>7.76</v>
      </c>
      <c r="H354" s="808">
        <f>+MST!O51</f>
        <v>90.63</v>
      </c>
      <c r="I354" s="808">
        <f>+MST!P51</f>
        <v>0.84</v>
      </c>
      <c r="J354" s="808">
        <f>+MST!Z51</f>
        <v>686.35</v>
      </c>
      <c r="K354" s="808">
        <f>+MST!AA51</f>
        <v>-694.27</v>
      </c>
      <c r="L354" s="808">
        <f>MST!AH51</f>
        <v>246.26</v>
      </c>
      <c r="M354" s="809">
        <f>MST!AI51</f>
        <v>-282.62</v>
      </c>
      <c r="P354" s="452"/>
      <c r="Q354" s="452"/>
      <c r="R354" s="452"/>
      <c r="S354" s="452"/>
      <c r="T354" s="452"/>
      <c r="U354" s="452"/>
      <c r="V354" s="452"/>
      <c r="X354" s="143"/>
      <c r="Z354" s="143"/>
      <c r="AB354" s="73"/>
      <c r="AC354" s="73"/>
      <c r="AD354" s="73"/>
      <c r="AE354" s="73"/>
      <c r="AF354" s="73"/>
      <c r="AG354" s="73"/>
      <c r="AH354" s="73"/>
      <c r="AI354" s="73"/>
      <c r="AM354" s="143"/>
      <c r="AN354" s="143"/>
      <c r="AO354" s="143"/>
      <c r="AP354" s="143"/>
      <c r="AQ354" s="143"/>
      <c r="AR354" s="143"/>
      <c r="AS354" s="143"/>
      <c r="AT354" s="143"/>
    </row>
    <row r="355" spans="1:46" ht="15" customHeight="1">
      <c r="A355" s="452"/>
      <c r="B355" s="452"/>
      <c r="C355" s="452"/>
      <c r="D355" s="807" t="str">
        <f>+input!B51</f>
        <v>125i</v>
      </c>
      <c r="E355" s="808">
        <f>+MST!L52</f>
        <v>-0.97</v>
      </c>
      <c r="F355" s="808">
        <f>+MST!M52</f>
        <v>0.01</v>
      </c>
      <c r="G355" s="808">
        <f>+MST!N52</f>
        <v>1.17</v>
      </c>
      <c r="H355" s="808">
        <f>+MST!O52</f>
        <v>-142.09</v>
      </c>
      <c r="I355" s="808">
        <f>+MST!P52</f>
        <v>5.47</v>
      </c>
      <c r="J355" s="808">
        <f>+MST!Z52</f>
        <v>312.62</v>
      </c>
      <c r="K355" s="808">
        <f>+MST!AA52</f>
        <v>-429.21</v>
      </c>
      <c r="L355" s="808">
        <f>MST!AH52</f>
        <v>134.88</v>
      </c>
      <c r="M355" s="809">
        <f>MST!AI52</f>
        <v>-160.78</v>
      </c>
      <c r="P355" s="452"/>
      <c r="Q355" s="452"/>
      <c r="R355" s="452"/>
      <c r="S355" s="452"/>
      <c r="T355" s="452"/>
      <c r="U355" s="452"/>
      <c r="V355" s="452"/>
      <c r="X355" s="143"/>
      <c r="Z355" s="143"/>
      <c r="AB355" s="73"/>
      <c r="AC355" s="73"/>
      <c r="AD355" s="73"/>
      <c r="AE355" s="73"/>
      <c r="AF355" s="73"/>
      <c r="AG355" s="73"/>
      <c r="AH355" s="73"/>
      <c r="AI355" s="73"/>
      <c r="AM355" s="143"/>
      <c r="AN355" s="143"/>
      <c r="AO355" s="143"/>
      <c r="AP355" s="143"/>
      <c r="AQ355" s="143"/>
      <c r="AR355" s="143"/>
      <c r="AS355" s="143"/>
      <c r="AT355" s="143"/>
    </row>
    <row r="356" spans="1:46" ht="15" customHeight="1">
      <c r="A356" s="452"/>
      <c r="B356" s="452"/>
      <c r="C356" s="452"/>
      <c r="D356" s="948" t="str">
        <f>+input!B52</f>
        <v>125j</v>
      </c>
      <c r="E356" s="949">
        <f>+MST!L53</f>
        <v>-0.97</v>
      </c>
      <c r="F356" s="949">
        <f>+MST!M53</f>
        <v>0.01</v>
      </c>
      <c r="G356" s="949">
        <f>+MST!N53</f>
        <v>-2.93</v>
      </c>
      <c r="H356" s="949">
        <f>+MST!O53</f>
        <v>2.41</v>
      </c>
      <c r="I356" s="949">
        <f>+MST!P53</f>
        <v>-1.08</v>
      </c>
      <c r="J356" s="949">
        <f>+MST!Z53</f>
        <v>326.17</v>
      </c>
      <c r="K356" s="949">
        <f>+MST!AA53</f>
        <v>-350.36</v>
      </c>
      <c r="L356" s="949">
        <f>MST!AH53</f>
        <v>131.63</v>
      </c>
      <c r="M356" s="950">
        <f>MST!AI53</f>
        <v>-160.78</v>
      </c>
      <c r="P356" s="452"/>
      <c r="Q356" s="452"/>
      <c r="R356" s="452"/>
      <c r="S356" s="452"/>
      <c r="T356" s="452"/>
      <c r="U356" s="452"/>
      <c r="V356" s="452"/>
      <c r="X356" s="143"/>
      <c r="Z356" s="143"/>
      <c r="AB356" s="73"/>
      <c r="AC356" s="73"/>
      <c r="AD356" s="73"/>
      <c r="AE356" s="73"/>
      <c r="AF356" s="73"/>
      <c r="AG356" s="73"/>
      <c r="AH356" s="73"/>
      <c r="AI356" s="73"/>
      <c r="AM356" s="143"/>
      <c r="AN356" s="143"/>
      <c r="AO356" s="143"/>
      <c r="AP356" s="143"/>
      <c r="AQ356" s="143"/>
      <c r="AR356" s="143"/>
      <c r="AS356" s="143"/>
      <c r="AT356" s="143"/>
    </row>
    <row r="357" spans="1:46" ht="15" customHeight="1">
      <c r="A357" s="452"/>
      <c r="B357" s="452"/>
      <c r="C357" s="452"/>
      <c r="D357" s="812" t="str">
        <f>+input!B53</f>
        <v>126i</v>
      </c>
      <c r="E357" s="946">
        <f>+MST!L54</f>
        <v>-0.97</v>
      </c>
      <c r="F357" s="946">
        <f>+MST!M54</f>
        <v>0.01</v>
      </c>
      <c r="G357" s="946">
        <f>+MST!N54</f>
        <v>-2.93</v>
      </c>
      <c r="H357" s="946">
        <f>+MST!O54</f>
        <v>2.41</v>
      </c>
      <c r="I357" s="946">
        <f>+MST!P54</f>
        <v>-1.08</v>
      </c>
      <c r="J357" s="946">
        <f>+MST!Z54</f>
        <v>326.17</v>
      </c>
      <c r="K357" s="946">
        <f>+MST!AA54</f>
        <v>-350.36</v>
      </c>
      <c r="L357" s="946">
        <f>MST!AH54</f>
        <v>131.63</v>
      </c>
      <c r="M357" s="947">
        <f>MST!AI54</f>
        <v>-160.78</v>
      </c>
      <c r="P357" s="452"/>
      <c r="Q357" s="452"/>
      <c r="R357" s="452"/>
      <c r="S357" s="452"/>
      <c r="T357" s="452"/>
      <c r="U357" s="452"/>
      <c r="V357" s="452"/>
      <c r="X357" s="143"/>
      <c r="Z357" s="143"/>
      <c r="AB357" s="73"/>
      <c r="AC357" s="73"/>
      <c r="AD357" s="73"/>
      <c r="AE357" s="73"/>
      <c r="AF357" s="73"/>
      <c r="AG357" s="73"/>
      <c r="AH357" s="73"/>
      <c r="AI357" s="73"/>
      <c r="AM357" s="143"/>
      <c r="AN357" s="143"/>
      <c r="AO357" s="143"/>
      <c r="AP357" s="143"/>
      <c r="AQ357" s="143"/>
      <c r="AR357" s="143"/>
      <c r="AS357" s="143"/>
      <c r="AT357" s="143"/>
    </row>
    <row r="358" spans="1:46" ht="15" customHeight="1">
      <c r="A358" s="452"/>
      <c r="B358" s="452"/>
      <c r="C358" s="452"/>
      <c r="D358" s="807" t="str">
        <f>+input!B54</f>
        <v>126j</v>
      </c>
      <c r="E358" s="808">
        <f>+MST!L55</f>
        <v>-0.97</v>
      </c>
      <c r="F358" s="808">
        <f>+MST!M55</f>
        <v>0.01</v>
      </c>
      <c r="G358" s="808">
        <f>+MST!N55</f>
        <v>-7.03</v>
      </c>
      <c r="H358" s="808">
        <f>+MST!O55</f>
        <v>146.91</v>
      </c>
      <c r="I358" s="808">
        <f>+MST!P55</f>
        <v>-7.63</v>
      </c>
      <c r="J358" s="808">
        <f>+MST!Z55</f>
        <v>405.83</v>
      </c>
      <c r="K358" s="808">
        <f>+MST!AA55</f>
        <v>-301.36</v>
      </c>
      <c r="L358" s="808">
        <f>MST!AH55</f>
        <v>128.36000000000001</v>
      </c>
      <c r="M358" s="809">
        <f>MST!AI55</f>
        <v>-145.86000000000001</v>
      </c>
      <c r="P358" s="452"/>
      <c r="Q358" s="452"/>
      <c r="R358" s="452"/>
      <c r="S358" s="452"/>
      <c r="T358" s="452"/>
      <c r="U358" s="452"/>
      <c r="V358" s="452"/>
      <c r="X358" s="143"/>
      <c r="Z358" s="143"/>
      <c r="AB358" s="73"/>
      <c r="AC358" s="73"/>
      <c r="AD358" s="73"/>
      <c r="AE358" s="73"/>
      <c r="AF358" s="73"/>
      <c r="AG358" s="73"/>
      <c r="AH358" s="73"/>
      <c r="AI358" s="73"/>
      <c r="AM358" s="143"/>
      <c r="AN358" s="143"/>
      <c r="AO358" s="143"/>
      <c r="AP358" s="143"/>
      <c r="AQ358" s="143"/>
      <c r="AR358" s="143"/>
      <c r="AS358" s="143"/>
      <c r="AT358" s="143"/>
    </row>
    <row r="359" spans="1:46" ht="15" customHeight="1">
      <c r="A359" s="452"/>
      <c r="B359" s="452"/>
      <c r="C359" s="452"/>
      <c r="D359" s="807" t="str">
        <f>+input!B55</f>
        <v>127i</v>
      </c>
      <c r="E359" s="808">
        <f>+MST!L56</f>
        <v>-1.29</v>
      </c>
      <c r="F359" s="808">
        <f>+MST!M56</f>
        <v>0.01</v>
      </c>
      <c r="G359" s="808">
        <f>+MST!N56</f>
        <v>-1.08</v>
      </c>
      <c r="H359" s="808">
        <f>+MST!O56</f>
        <v>-83.29</v>
      </c>
      <c r="I359" s="808">
        <f>+MST!P56</f>
        <v>-1.79</v>
      </c>
      <c r="J359" s="808">
        <f>+MST!Z56</f>
        <v>445.08</v>
      </c>
      <c r="K359" s="808">
        <f>+MST!AA56</f>
        <v>-502.64</v>
      </c>
      <c r="L359" s="808">
        <f>MST!AH56</f>
        <v>184.74</v>
      </c>
      <c r="M359" s="809">
        <f>MST!AI56</f>
        <v>-144.69</v>
      </c>
      <c r="P359" s="452"/>
      <c r="Q359" s="452"/>
      <c r="R359" s="452"/>
      <c r="S359" s="452"/>
      <c r="T359" s="452"/>
      <c r="U359" s="452"/>
      <c r="V359" s="452"/>
      <c r="X359" s="143"/>
      <c r="Z359" s="143"/>
      <c r="AB359" s="73"/>
      <c r="AC359" s="73"/>
      <c r="AD359" s="73"/>
      <c r="AE359" s="73"/>
      <c r="AF359" s="73"/>
      <c r="AG359" s="73"/>
      <c r="AH359" s="73"/>
      <c r="AI359" s="73"/>
      <c r="AM359" s="143"/>
      <c r="AN359" s="143"/>
      <c r="AO359" s="143"/>
      <c r="AP359" s="143"/>
      <c r="AQ359" s="143"/>
      <c r="AR359" s="143"/>
      <c r="AS359" s="143"/>
      <c r="AT359" s="143"/>
    </row>
    <row r="360" spans="1:46" ht="15" customHeight="1">
      <c r="A360" s="452"/>
      <c r="B360" s="452"/>
      <c r="C360" s="452"/>
      <c r="D360" s="807" t="str">
        <f>+input!B56</f>
        <v>127j</v>
      </c>
      <c r="E360" s="808">
        <f>+MST!L57</f>
        <v>-1.29</v>
      </c>
      <c r="F360" s="808">
        <f>+MST!M57</f>
        <v>0.01</v>
      </c>
      <c r="G360" s="808">
        <f>+MST!N57</f>
        <v>-5.18</v>
      </c>
      <c r="H360" s="808">
        <f>+MST!O57</f>
        <v>61.21</v>
      </c>
      <c r="I360" s="808">
        <f>+MST!P57</f>
        <v>-8.34</v>
      </c>
      <c r="J360" s="808">
        <f>+MST!Z57</f>
        <v>445.08</v>
      </c>
      <c r="K360" s="808">
        <f>+MST!AA57</f>
        <v>-431.01</v>
      </c>
      <c r="L360" s="808">
        <f>MST!AH57</f>
        <v>194.71</v>
      </c>
      <c r="M360" s="809">
        <f>MST!AI57</f>
        <v>-146.78</v>
      </c>
      <c r="P360" s="452"/>
      <c r="Q360" s="452"/>
      <c r="R360" s="452"/>
      <c r="S360" s="452"/>
      <c r="T360" s="452"/>
      <c r="U360" s="452"/>
      <c r="V360" s="452"/>
      <c r="X360" s="143"/>
      <c r="Z360" s="143"/>
      <c r="AB360" s="73"/>
      <c r="AC360" s="73"/>
      <c r="AD360" s="73"/>
      <c r="AE360" s="73"/>
      <c r="AF360" s="73"/>
      <c r="AG360" s="73"/>
      <c r="AH360" s="73"/>
      <c r="AI360" s="73"/>
      <c r="AM360" s="143"/>
      <c r="AN360" s="143"/>
      <c r="AO360" s="143"/>
      <c r="AP360" s="143"/>
      <c r="AQ360" s="143"/>
      <c r="AR360" s="143"/>
      <c r="AS360" s="143"/>
      <c r="AT360" s="143"/>
    </row>
    <row r="361" spans="1:46" ht="15" customHeight="1">
      <c r="A361" s="452"/>
      <c r="B361" s="452"/>
      <c r="C361" s="452"/>
      <c r="D361" s="807" t="str">
        <f>+input!B57</f>
        <v>128i</v>
      </c>
      <c r="E361" s="808">
        <f>+MST!L58</f>
        <v>-1.29</v>
      </c>
      <c r="F361" s="808">
        <f>+MST!M58</f>
        <v>0.01</v>
      </c>
      <c r="G361" s="808">
        <f>+MST!N58</f>
        <v>-5.18</v>
      </c>
      <c r="H361" s="808">
        <f>+MST!O58</f>
        <v>61.21</v>
      </c>
      <c r="I361" s="808">
        <f>+MST!P58</f>
        <v>-8.34</v>
      </c>
      <c r="J361" s="808">
        <f>+MST!Z58</f>
        <v>445.08</v>
      </c>
      <c r="K361" s="808">
        <f>+MST!AA58</f>
        <v>-431.01</v>
      </c>
      <c r="L361" s="808">
        <f>MST!AH58</f>
        <v>194.71</v>
      </c>
      <c r="M361" s="809">
        <f>MST!AI58</f>
        <v>-146.78</v>
      </c>
      <c r="P361" s="452"/>
      <c r="Q361" s="452"/>
      <c r="R361" s="452"/>
      <c r="S361" s="452"/>
      <c r="T361" s="452"/>
      <c r="U361" s="452"/>
      <c r="V361" s="452"/>
      <c r="X361" s="143"/>
      <c r="Z361" s="143"/>
      <c r="AB361" s="73"/>
      <c r="AC361" s="73"/>
      <c r="AD361" s="73"/>
      <c r="AE361" s="73"/>
      <c r="AF361" s="73"/>
      <c r="AG361" s="73"/>
      <c r="AH361" s="73"/>
      <c r="AI361" s="73"/>
      <c r="AM361" s="143"/>
      <c r="AN361" s="143"/>
      <c r="AO361" s="143"/>
      <c r="AP361" s="143"/>
      <c r="AQ361" s="143"/>
      <c r="AR361" s="143"/>
      <c r="AS361" s="143"/>
      <c r="AT361" s="143"/>
    </row>
    <row r="362" spans="1:46" ht="15" customHeight="1">
      <c r="A362" s="452"/>
      <c r="B362" s="452"/>
      <c r="C362" s="452"/>
      <c r="D362" s="807" t="str">
        <f>+input!B58</f>
        <v>128j</v>
      </c>
      <c r="E362" s="808">
        <f>+MST!L59</f>
        <v>-1.29</v>
      </c>
      <c r="F362" s="808">
        <f>+MST!M59</f>
        <v>0.01</v>
      </c>
      <c r="G362" s="808">
        <f>+MST!N59</f>
        <v>-9.2799999999999994</v>
      </c>
      <c r="H362" s="808">
        <f>+MST!O59</f>
        <v>205.71</v>
      </c>
      <c r="I362" s="808">
        <f>+MST!P59</f>
        <v>-14.89</v>
      </c>
      <c r="J362" s="808">
        <f>+MST!Z59</f>
        <v>478.4</v>
      </c>
      <c r="K362" s="808">
        <f>+MST!AA59</f>
        <v>-423.8</v>
      </c>
      <c r="L362" s="808">
        <f>MST!AH59</f>
        <v>194.71</v>
      </c>
      <c r="M362" s="809">
        <f>MST!AI59</f>
        <v>-146.78</v>
      </c>
      <c r="P362" s="452"/>
      <c r="Q362" s="452"/>
      <c r="R362" s="452"/>
      <c r="S362" s="452"/>
      <c r="T362" s="452"/>
      <c r="U362" s="452"/>
      <c r="V362" s="452"/>
      <c r="X362" s="143"/>
      <c r="Z362" s="143"/>
      <c r="AB362" s="73"/>
      <c r="AC362" s="73"/>
      <c r="AD362" s="73"/>
      <c r="AE362" s="73"/>
      <c r="AF362" s="73"/>
      <c r="AG362" s="73"/>
      <c r="AH362" s="73"/>
      <c r="AI362" s="73"/>
      <c r="AM362" s="143"/>
      <c r="AN362" s="143"/>
      <c r="AO362" s="143"/>
      <c r="AP362" s="143"/>
      <c r="AQ362" s="143"/>
      <c r="AR362" s="143"/>
      <c r="AS362" s="143"/>
      <c r="AT362" s="143"/>
    </row>
    <row r="363" spans="1:46" ht="15" customHeight="1">
      <c r="A363" s="452"/>
      <c r="B363" s="452"/>
      <c r="C363" s="452"/>
      <c r="D363" s="807" t="str">
        <f>+input!B59</f>
        <v>129i</v>
      </c>
      <c r="E363" s="808">
        <f>+MST!L60</f>
        <v>-4.93</v>
      </c>
      <c r="F363" s="808">
        <f>+MST!M60</f>
        <v>0.01</v>
      </c>
      <c r="G363" s="808">
        <f>+MST!N60</f>
        <v>-29.12</v>
      </c>
      <c r="H363" s="808">
        <f>+MST!O60</f>
        <v>-11.11</v>
      </c>
      <c r="I363" s="808">
        <f>+MST!P60</f>
        <v>-13.55</v>
      </c>
      <c r="J363" s="808">
        <f>+MST!Z60</f>
        <v>653.04</v>
      </c>
      <c r="K363" s="808">
        <f>+MST!AA60</f>
        <v>-618.69000000000005</v>
      </c>
      <c r="L363" s="808">
        <f>MST!AH60</f>
        <v>299.19</v>
      </c>
      <c r="M363" s="809">
        <f>MST!AI60</f>
        <v>-250.85</v>
      </c>
      <c r="P363" s="452"/>
      <c r="Q363" s="452"/>
      <c r="R363" s="452"/>
      <c r="S363" s="452"/>
      <c r="T363" s="452"/>
      <c r="U363" s="452"/>
      <c r="V363" s="452"/>
      <c r="X363" s="143"/>
      <c r="Z363" s="143"/>
      <c r="AB363" s="73"/>
      <c r="AC363" s="73"/>
      <c r="AD363" s="73"/>
      <c r="AE363" s="73"/>
      <c r="AF363" s="73"/>
      <c r="AG363" s="73"/>
      <c r="AH363" s="73"/>
      <c r="AI363" s="73"/>
      <c r="AM363" s="143"/>
      <c r="AN363" s="143"/>
      <c r="AO363" s="143"/>
      <c r="AP363" s="143"/>
      <c r="AQ363" s="143"/>
      <c r="AR363" s="143"/>
      <c r="AS363" s="143"/>
      <c r="AT363" s="143"/>
    </row>
    <row r="364" spans="1:46" ht="15" customHeight="1">
      <c r="A364" s="452"/>
      <c r="B364" s="452"/>
      <c r="C364" s="452"/>
      <c r="D364" s="807" t="str">
        <f>+input!B60</f>
        <v>129j</v>
      </c>
      <c r="E364" s="808">
        <f>+MST!L61</f>
        <v>-4.93</v>
      </c>
      <c r="F364" s="808">
        <f>+MST!M61</f>
        <v>0.01</v>
      </c>
      <c r="G364" s="808">
        <f>+MST!N61</f>
        <v>-34.42</v>
      </c>
      <c r="H364" s="808">
        <f>+MST!O61</f>
        <v>175.87</v>
      </c>
      <c r="I364" s="808">
        <f>+MST!P61</f>
        <v>-22.03</v>
      </c>
      <c r="J364" s="808">
        <f>+MST!Z61</f>
        <v>653.04999999999995</v>
      </c>
      <c r="K364" s="808">
        <f>+MST!AA61</f>
        <v>-608.53</v>
      </c>
      <c r="L364" s="808">
        <f>MST!AH61</f>
        <v>299.19</v>
      </c>
      <c r="M364" s="809">
        <f>MST!AI61</f>
        <v>-250.85</v>
      </c>
      <c r="P364" s="452"/>
      <c r="Q364" s="452"/>
      <c r="R364" s="452"/>
      <c r="S364" s="452"/>
      <c r="T364" s="452"/>
      <c r="U364" s="452"/>
      <c r="V364" s="452"/>
      <c r="X364" s="143"/>
      <c r="Z364" s="143"/>
      <c r="AB364" s="73"/>
      <c r="AC364" s="73"/>
      <c r="AD364" s="73"/>
      <c r="AE364" s="73"/>
      <c r="AF364" s="73"/>
      <c r="AG364" s="73"/>
      <c r="AH364" s="73"/>
      <c r="AI364" s="73"/>
      <c r="AM364" s="143"/>
      <c r="AN364" s="143"/>
      <c r="AO364" s="143"/>
      <c r="AP364" s="143"/>
      <c r="AQ364" s="143"/>
      <c r="AR364" s="143"/>
      <c r="AS364" s="143"/>
      <c r="AT364" s="143"/>
    </row>
    <row r="365" spans="1:46" ht="15" customHeight="1">
      <c r="A365" s="452"/>
      <c r="B365" s="452"/>
      <c r="C365" s="452"/>
      <c r="D365" s="807" t="str">
        <f>+input!B61</f>
        <v>130i</v>
      </c>
      <c r="E365" s="808">
        <f>+MST!L62</f>
        <v>-4.93</v>
      </c>
      <c r="F365" s="808">
        <f>+MST!M62</f>
        <v>0.01</v>
      </c>
      <c r="G365" s="808">
        <f>+MST!N62</f>
        <v>-34.42</v>
      </c>
      <c r="H365" s="808">
        <f>+MST!O62</f>
        <v>175.87</v>
      </c>
      <c r="I365" s="808">
        <f>+MST!P62</f>
        <v>-22.03</v>
      </c>
      <c r="J365" s="808">
        <f>+MST!Z62</f>
        <v>653.04999999999995</v>
      </c>
      <c r="K365" s="808">
        <f>+MST!AA62</f>
        <v>-608.53</v>
      </c>
      <c r="L365" s="808">
        <f>MST!AH62</f>
        <v>299.19</v>
      </c>
      <c r="M365" s="809">
        <f>MST!AI62</f>
        <v>-250.85</v>
      </c>
      <c r="P365" s="452"/>
      <c r="Q365" s="452"/>
      <c r="R365" s="452"/>
      <c r="S365" s="452"/>
      <c r="T365" s="452"/>
      <c r="U365" s="452"/>
      <c r="V365" s="452"/>
      <c r="X365" s="143"/>
      <c r="Z365" s="143"/>
      <c r="AB365" s="73"/>
      <c r="AC365" s="73"/>
      <c r="AD365" s="73"/>
      <c r="AE365" s="73"/>
      <c r="AF365" s="73"/>
      <c r="AG365" s="73"/>
      <c r="AH365" s="73"/>
      <c r="AI365" s="73"/>
      <c r="AM365" s="143"/>
      <c r="AN365" s="143"/>
      <c r="AO365" s="143"/>
      <c r="AP365" s="143"/>
      <c r="AQ365" s="143"/>
      <c r="AR365" s="143"/>
      <c r="AS365" s="143"/>
      <c r="AT365" s="143"/>
    </row>
    <row r="366" spans="1:46" ht="15" customHeight="1">
      <c r="A366" s="452"/>
      <c r="B366" s="452"/>
      <c r="C366" s="452"/>
      <c r="D366" s="807" t="str">
        <f>+input!B62</f>
        <v>130j</v>
      </c>
      <c r="E366" s="808">
        <f>+MST!L63</f>
        <v>-4.93</v>
      </c>
      <c r="F366" s="808">
        <f>+MST!M63</f>
        <v>0.01</v>
      </c>
      <c r="G366" s="808">
        <f>+MST!N63</f>
        <v>-29.67</v>
      </c>
      <c r="H366" s="808">
        <f>+MST!O63</f>
        <v>259.68</v>
      </c>
      <c r="I366" s="808">
        <f>+MST!P63</f>
        <v>-25.82</v>
      </c>
      <c r="J366" s="808">
        <f>+MST!Z63</f>
        <v>657.38</v>
      </c>
      <c r="K366" s="808">
        <f>+MST!AA63</f>
        <v>-2.0699999999999998</v>
      </c>
      <c r="L366" s="808">
        <f>MST!AH63</f>
        <v>299.19</v>
      </c>
      <c r="M366" s="809">
        <f>MST!AI63</f>
        <v>-250.85</v>
      </c>
      <c r="P366" s="452"/>
      <c r="Q366" s="452"/>
      <c r="R366" s="452"/>
      <c r="S366" s="452"/>
      <c r="T366" s="452"/>
      <c r="U366" s="452"/>
      <c r="V366" s="452"/>
      <c r="X366" s="143"/>
      <c r="Z366" s="143"/>
      <c r="AB366" s="73"/>
      <c r="AC366" s="73"/>
      <c r="AD366" s="73"/>
      <c r="AE366" s="73"/>
      <c r="AF366" s="73"/>
      <c r="AG366" s="73"/>
      <c r="AH366" s="73"/>
      <c r="AI366" s="73"/>
      <c r="AM366" s="143"/>
      <c r="AN366" s="143"/>
      <c r="AO366" s="143"/>
      <c r="AP366" s="143"/>
      <c r="AQ366" s="143"/>
      <c r="AR366" s="143"/>
      <c r="AS366" s="143"/>
      <c r="AT366" s="143"/>
    </row>
    <row r="367" spans="1:46" ht="15" customHeight="1">
      <c r="A367" s="452"/>
      <c r="B367" s="452"/>
      <c r="C367" s="452"/>
      <c r="D367" s="807" t="str">
        <f>+input!B63</f>
        <v>131i</v>
      </c>
      <c r="E367" s="808">
        <f>+MST!L64</f>
        <v>0</v>
      </c>
      <c r="F367" s="808">
        <f>+MST!M64</f>
        <v>0</v>
      </c>
      <c r="G367" s="808">
        <f>+MST!N64</f>
        <v>-0.9</v>
      </c>
      <c r="H367" s="808">
        <f>+MST!O64</f>
        <v>-15.89</v>
      </c>
      <c r="I367" s="808">
        <f>+MST!P64</f>
        <v>0.72</v>
      </c>
      <c r="J367" s="808">
        <f>+MST!Z64</f>
        <v>46.09</v>
      </c>
      <c r="K367" s="808">
        <f>+MST!AA64</f>
        <v>-160.28</v>
      </c>
      <c r="L367" s="808">
        <f>MST!AH64</f>
        <v>46.32</v>
      </c>
      <c r="M367" s="809">
        <f>MST!AI64</f>
        <v>-42.35</v>
      </c>
      <c r="P367" s="452"/>
      <c r="Q367" s="452"/>
      <c r="R367" s="452"/>
      <c r="S367" s="452"/>
      <c r="T367" s="452"/>
      <c r="U367" s="452"/>
      <c r="V367" s="452"/>
      <c r="X367" s="143"/>
      <c r="Z367" s="143"/>
      <c r="AB367" s="73"/>
      <c r="AC367" s="73"/>
      <c r="AD367" s="73"/>
      <c r="AE367" s="73"/>
      <c r="AF367" s="73"/>
      <c r="AG367" s="73"/>
      <c r="AH367" s="73"/>
      <c r="AI367" s="73"/>
      <c r="AM367" s="143"/>
      <c r="AN367" s="143"/>
      <c r="AO367" s="143"/>
      <c r="AP367" s="143"/>
      <c r="AQ367" s="143"/>
      <c r="AR367" s="143"/>
      <c r="AS367" s="143"/>
      <c r="AT367" s="143"/>
    </row>
    <row r="368" spans="1:46" ht="15" customHeight="1">
      <c r="A368" s="452"/>
      <c r="B368" s="452"/>
      <c r="C368" s="452"/>
      <c r="D368" s="810" t="str">
        <f>+input!B64</f>
        <v>131j</v>
      </c>
      <c r="E368" s="811">
        <f>+MST!L65</f>
        <v>0</v>
      </c>
      <c r="F368" s="811">
        <f>+MST!M65</f>
        <v>0</v>
      </c>
      <c r="G368" s="811">
        <f>+MST!N65</f>
        <v>0</v>
      </c>
      <c r="H368" s="811">
        <f>+MST!O65</f>
        <v>0</v>
      </c>
      <c r="I368" s="811">
        <f>+MST!P65</f>
        <v>0</v>
      </c>
      <c r="J368" s="811">
        <f>+MST!Z65</f>
        <v>46.09</v>
      </c>
      <c r="K368" s="811">
        <f>+MST!AA65</f>
        <v>-160.28</v>
      </c>
      <c r="L368" s="808">
        <f>MST!AH65</f>
        <v>33.909999999999997</v>
      </c>
      <c r="M368" s="809">
        <f>MST!AI65</f>
        <v>-37.090000000000003</v>
      </c>
      <c r="P368" s="452"/>
      <c r="Q368" s="452"/>
      <c r="R368" s="452"/>
      <c r="S368" s="452"/>
      <c r="T368" s="452"/>
      <c r="U368" s="452"/>
      <c r="V368" s="452"/>
      <c r="X368" s="143"/>
      <c r="Z368" s="143"/>
      <c r="AB368" s="73"/>
      <c r="AC368" s="73"/>
      <c r="AD368" s="73"/>
      <c r="AE368" s="73"/>
      <c r="AF368" s="73"/>
      <c r="AG368" s="73"/>
      <c r="AH368" s="73"/>
      <c r="AI368" s="73"/>
      <c r="AM368" s="143"/>
      <c r="AN368" s="143"/>
      <c r="AO368" s="143"/>
      <c r="AP368" s="143"/>
      <c r="AQ368" s="143"/>
      <c r="AR368" s="143"/>
      <c r="AS368" s="143"/>
      <c r="AT368" s="143"/>
    </row>
    <row r="369" spans="1:46" ht="15" customHeight="1">
      <c r="A369" s="870"/>
      <c r="B369" s="870"/>
      <c r="C369" s="870"/>
      <c r="D369" s="807" t="str">
        <f>+input!B65</f>
        <v>201i</v>
      </c>
      <c r="E369" s="808">
        <f>+MST!L66</f>
        <v>0</v>
      </c>
      <c r="F369" s="808">
        <f>+MST!M66</f>
        <v>0</v>
      </c>
      <c r="G369" s="808">
        <f>+MST!N66</f>
        <v>0</v>
      </c>
      <c r="H369" s="808">
        <f>+MST!O66</f>
        <v>0</v>
      </c>
      <c r="I369" s="808">
        <f>+MST!P66</f>
        <v>0</v>
      </c>
      <c r="J369" s="808">
        <f>+MST!Z66</f>
        <v>46.09</v>
      </c>
      <c r="K369" s="808">
        <f>+MST!AA66</f>
        <v>-160.28</v>
      </c>
      <c r="L369" s="808">
        <f>MST!AH66</f>
        <v>0</v>
      </c>
      <c r="M369" s="809">
        <f>MST!AI66</f>
        <v>0</v>
      </c>
      <c r="P369" s="870"/>
      <c r="Q369" s="870"/>
      <c r="R369" s="870"/>
      <c r="S369" s="870"/>
      <c r="T369" s="870"/>
      <c r="U369" s="870"/>
      <c r="V369" s="870"/>
      <c r="X369" s="143"/>
      <c r="Z369" s="143"/>
      <c r="AB369" s="73"/>
      <c r="AC369" s="73"/>
      <c r="AD369" s="73"/>
      <c r="AE369" s="73"/>
      <c r="AF369" s="73"/>
      <c r="AG369" s="73"/>
      <c r="AH369" s="73"/>
      <c r="AI369" s="73"/>
      <c r="AM369" s="143"/>
      <c r="AN369" s="143"/>
      <c r="AO369" s="143"/>
      <c r="AP369" s="143"/>
      <c r="AQ369" s="143"/>
      <c r="AR369" s="143"/>
      <c r="AS369" s="143"/>
      <c r="AT369" s="143"/>
    </row>
    <row r="370" spans="1:46" ht="15" customHeight="1">
      <c r="A370" s="870"/>
      <c r="B370" s="870"/>
      <c r="C370" s="870"/>
      <c r="D370" s="807" t="str">
        <f>+input!B66</f>
        <v>201j</v>
      </c>
      <c r="E370" s="808">
        <f>+MST!L67</f>
        <v>0</v>
      </c>
      <c r="F370" s="808">
        <f>+MST!M67</f>
        <v>0</v>
      </c>
      <c r="G370" s="808">
        <f>+MST!N67</f>
        <v>-0.9</v>
      </c>
      <c r="H370" s="808">
        <f>+MST!O67</f>
        <v>-15.89</v>
      </c>
      <c r="I370" s="808">
        <f>+MST!P67</f>
        <v>0.72</v>
      </c>
      <c r="J370" s="808">
        <f>+MST!Z67</f>
        <v>46.09</v>
      </c>
      <c r="K370" s="808">
        <f>+MST!AA67</f>
        <v>-160.28</v>
      </c>
      <c r="L370" s="808">
        <f>MST!AH67</f>
        <v>0</v>
      </c>
      <c r="M370" s="809">
        <f>MST!AI67</f>
        <v>0</v>
      </c>
      <c r="P370" s="870"/>
      <c r="Q370" s="870"/>
      <c r="R370" s="870"/>
      <c r="S370" s="870"/>
      <c r="T370" s="870"/>
      <c r="U370" s="870"/>
      <c r="V370" s="870"/>
      <c r="X370" s="143"/>
      <c r="Z370" s="143"/>
      <c r="AB370" s="73"/>
      <c r="AC370" s="73"/>
      <c r="AD370" s="73"/>
      <c r="AE370" s="73"/>
      <c r="AF370" s="73"/>
      <c r="AG370" s="73"/>
      <c r="AH370" s="73"/>
      <c r="AI370" s="73"/>
      <c r="AM370" s="143"/>
      <c r="AN370" s="143"/>
      <c r="AO370" s="143"/>
      <c r="AP370" s="143"/>
      <c r="AQ370" s="143"/>
      <c r="AR370" s="143"/>
      <c r="AS370" s="143"/>
      <c r="AT370" s="143"/>
    </row>
    <row r="371" spans="1:46" ht="15" customHeight="1">
      <c r="A371" s="870"/>
      <c r="B371" s="870"/>
      <c r="C371" s="870"/>
      <c r="D371" s="807" t="str">
        <f>+input!B67</f>
        <v>202i</v>
      </c>
      <c r="E371" s="808">
        <f>+MST!L68</f>
        <v>-2.92</v>
      </c>
      <c r="F371" s="808">
        <f>+MST!M68</f>
        <v>0</v>
      </c>
      <c r="G371" s="808">
        <f>+MST!N68</f>
        <v>-31.25</v>
      </c>
      <c r="H371" s="808">
        <f>+MST!O68</f>
        <v>243.51</v>
      </c>
      <c r="I371" s="808">
        <f>+MST!P68</f>
        <v>-26.88</v>
      </c>
      <c r="J371" s="808">
        <f>+MST!Z68</f>
        <v>1048.95</v>
      </c>
      <c r="K371" s="808">
        <f>+MST!AA68</f>
        <v>-536.24</v>
      </c>
      <c r="L371" s="808">
        <f>MST!AH68</f>
        <v>0</v>
      </c>
      <c r="M371" s="809">
        <f>MST!AI68</f>
        <v>0</v>
      </c>
      <c r="P371" s="870"/>
      <c r="Q371" s="870"/>
      <c r="R371" s="870"/>
      <c r="S371" s="870"/>
      <c r="T371" s="870"/>
      <c r="U371" s="870"/>
      <c r="V371" s="870"/>
      <c r="X371" s="143"/>
      <c r="Z371" s="143"/>
      <c r="AB371" s="73"/>
      <c r="AC371" s="73"/>
      <c r="AD371" s="73"/>
      <c r="AE371" s="73"/>
      <c r="AF371" s="73"/>
      <c r="AG371" s="73"/>
      <c r="AH371" s="73"/>
      <c r="AI371" s="73"/>
      <c r="AM371" s="143"/>
      <c r="AN371" s="143"/>
      <c r="AO371" s="143"/>
      <c r="AP371" s="143"/>
      <c r="AQ371" s="143"/>
      <c r="AR371" s="143"/>
      <c r="AS371" s="143"/>
      <c r="AT371" s="143"/>
    </row>
    <row r="372" spans="1:46" ht="15" customHeight="1">
      <c r="A372" s="870"/>
      <c r="B372" s="870"/>
      <c r="C372" s="870"/>
      <c r="D372" s="807" t="str">
        <f>+input!B68</f>
        <v>202j</v>
      </c>
      <c r="E372" s="808">
        <f>+MST!L69</f>
        <v>-2.92</v>
      </c>
      <c r="F372" s="808">
        <f>+MST!M69</f>
        <v>0</v>
      </c>
      <c r="G372" s="808">
        <f>+MST!N69</f>
        <v>-35.590000000000003</v>
      </c>
      <c r="H372" s="808">
        <f>+MST!O69</f>
        <v>166.93</v>
      </c>
      <c r="I372" s="808">
        <f>+MST!P69</f>
        <v>-23.41</v>
      </c>
      <c r="J372" s="808">
        <f>+MST!Z69</f>
        <v>1035.5899999999999</v>
      </c>
      <c r="K372" s="808">
        <f>+MST!AA69</f>
        <v>-948.48</v>
      </c>
      <c r="L372" s="808">
        <f>MST!AH69</f>
        <v>0</v>
      </c>
      <c r="M372" s="809">
        <f>MST!AI69</f>
        <v>0</v>
      </c>
      <c r="P372" s="870"/>
      <c r="Q372" s="870"/>
      <c r="R372" s="870"/>
      <c r="S372" s="870"/>
      <c r="T372" s="870"/>
      <c r="U372" s="870"/>
      <c r="V372" s="870"/>
      <c r="X372" s="143"/>
      <c r="Z372" s="143"/>
      <c r="AB372" s="73"/>
      <c r="AC372" s="73"/>
      <c r="AD372" s="73"/>
      <c r="AE372" s="73"/>
      <c r="AF372" s="73"/>
      <c r="AG372" s="73"/>
      <c r="AH372" s="73"/>
      <c r="AI372" s="73"/>
      <c r="AM372" s="143"/>
      <c r="AN372" s="143"/>
      <c r="AO372" s="143"/>
      <c r="AP372" s="143"/>
      <c r="AQ372" s="143"/>
      <c r="AR372" s="143"/>
      <c r="AS372" s="143"/>
      <c r="AT372" s="143"/>
    </row>
    <row r="373" spans="1:46" ht="15" customHeight="1">
      <c r="A373" s="870"/>
      <c r="B373" s="870"/>
      <c r="C373" s="870"/>
      <c r="D373" s="807" t="str">
        <f>+input!B69</f>
        <v>203i</v>
      </c>
      <c r="E373" s="808">
        <f>+MST!L70</f>
        <v>-2.92</v>
      </c>
      <c r="F373" s="808">
        <f>+MST!M70</f>
        <v>0</v>
      </c>
      <c r="G373" s="808">
        <f>+MST!N70</f>
        <v>-35.590000000000003</v>
      </c>
      <c r="H373" s="808">
        <f>+MST!O70</f>
        <v>166.93</v>
      </c>
      <c r="I373" s="808">
        <f>+MST!P70</f>
        <v>-23.41</v>
      </c>
      <c r="J373" s="808">
        <f>+MST!Z70</f>
        <v>1035.5899999999999</v>
      </c>
      <c r="K373" s="808">
        <f>+MST!AA70</f>
        <v>-948.48</v>
      </c>
      <c r="L373" s="808">
        <f>MST!AH70</f>
        <v>0</v>
      </c>
      <c r="M373" s="809">
        <f>MST!AI70</f>
        <v>0</v>
      </c>
      <c r="P373" s="870"/>
      <c r="Q373" s="870"/>
      <c r="R373" s="870"/>
      <c r="S373" s="870"/>
      <c r="T373" s="870"/>
      <c r="U373" s="870"/>
      <c r="V373" s="870"/>
      <c r="X373" s="143"/>
      <c r="Z373" s="143"/>
      <c r="AB373" s="73"/>
      <c r="AC373" s="73"/>
      <c r="AD373" s="73"/>
      <c r="AE373" s="73"/>
      <c r="AF373" s="73"/>
      <c r="AG373" s="73"/>
      <c r="AH373" s="73"/>
      <c r="AI373" s="73"/>
      <c r="AM373" s="143"/>
      <c r="AN373" s="143"/>
      <c r="AO373" s="143"/>
      <c r="AP373" s="143"/>
      <c r="AQ373" s="143"/>
      <c r="AR373" s="143"/>
      <c r="AS373" s="143"/>
      <c r="AT373" s="143"/>
    </row>
    <row r="374" spans="1:46" ht="15" customHeight="1">
      <c r="A374" s="870"/>
      <c r="B374" s="870"/>
      <c r="C374" s="870"/>
      <c r="D374" s="807" t="str">
        <f>+input!B70</f>
        <v>203j</v>
      </c>
      <c r="E374" s="808">
        <f>+MST!L71</f>
        <v>-2.92</v>
      </c>
      <c r="F374" s="808">
        <f>+MST!M71</f>
        <v>0</v>
      </c>
      <c r="G374" s="808">
        <f>+MST!N71</f>
        <v>-32.56</v>
      </c>
      <c r="H374" s="808">
        <f>+MST!O71</f>
        <v>60</v>
      </c>
      <c r="I374" s="808">
        <f>+MST!P71</f>
        <v>-18.57</v>
      </c>
      <c r="J374" s="808">
        <f>+MST!Z71</f>
        <v>1025.1199999999999</v>
      </c>
      <c r="K374" s="808">
        <f>+MST!AA71</f>
        <v>-953.81</v>
      </c>
      <c r="L374" s="808">
        <f>MST!AH71</f>
        <v>0</v>
      </c>
      <c r="M374" s="809">
        <f>MST!AI71</f>
        <v>0</v>
      </c>
      <c r="P374" s="870"/>
      <c r="Q374" s="870"/>
      <c r="R374" s="870"/>
      <c r="S374" s="870"/>
      <c r="T374" s="870"/>
      <c r="U374" s="870"/>
      <c r="V374" s="870"/>
      <c r="X374" s="143"/>
      <c r="Z374" s="143"/>
      <c r="AB374" s="73"/>
      <c r="AC374" s="73"/>
      <c r="AD374" s="73"/>
      <c r="AE374" s="73"/>
      <c r="AF374" s="73"/>
      <c r="AG374" s="73"/>
      <c r="AH374" s="73"/>
      <c r="AI374" s="73"/>
      <c r="AM374" s="143"/>
      <c r="AN374" s="143"/>
      <c r="AO374" s="143"/>
      <c r="AP374" s="143"/>
      <c r="AQ374" s="143"/>
      <c r="AR374" s="143"/>
      <c r="AS374" s="143"/>
      <c r="AT374" s="143"/>
    </row>
    <row r="375" spans="1:46" ht="15" customHeight="1">
      <c r="A375" s="870"/>
      <c r="B375" s="870"/>
      <c r="C375" s="870"/>
      <c r="D375" s="807" t="str">
        <f>+input!B71</f>
        <v>204i</v>
      </c>
      <c r="E375" s="808">
        <f>+MST!L72</f>
        <v>-2.93</v>
      </c>
      <c r="F375" s="808">
        <f>+MST!M72</f>
        <v>0</v>
      </c>
      <c r="G375" s="808">
        <f>+MST!N72</f>
        <v>-20.57</v>
      </c>
      <c r="H375" s="808">
        <f>+MST!O72</f>
        <v>254.75</v>
      </c>
      <c r="I375" s="808">
        <f>+MST!P72</f>
        <v>-22.38</v>
      </c>
      <c r="J375" s="808">
        <f>+MST!Z72</f>
        <v>1105.53</v>
      </c>
      <c r="K375" s="808">
        <f>+MST!AA72</f>
        <v>-1019</v>
      </c>
      <c r="L375" s="808">
        <f>MST!AH72</f>
        <v>0</v>
      </c>
      <c r="M375" s="809">
        <f>MST!AI72</f>
        <v>0</v>
      </c>
      <c r="P375" s="870"/>
      <c r="Q375" s="870"/>
      <c r="R375" s="870"/>
      <c r="S375" s="870"/>
      <c r="T375" s="870"/>
      <c r="U375" s="870"/>
      <c r="V375" s="870"/>
      <c r="X375" s="143"/>
      <c r="Z375" s="143"/>
      <c r="AB375" s="73"/>
      <c r="AC375" s="73"/>
      <c r="AD375" s="73"/>
      <c r="AE375" s="73"/>
      <c r="AF375" s="73"/>
      <c r="AG375" s="73"/>
      <c r="AH375" s="73"/>
      <c r="AI375" s="73"/>
      <c r="AM375" s="143"/>
      <c r="AN375" s="143"/>
      <c r="AO375" s="143"/>
      <c r="AP375" s="143"/>
      <c r="AQ375" s="143"/>
      <c r="AR375" s="143"/>
      <c r="AS375" s="143"/>
      <c r="AT375" s="143"/>
    </row>
    <row r="376" spans="1:46" ht="15" customHeight="1">
      <c r="A376" s="870"/>
      <c r="B376" s="870"/>
      <c r="C376" s="870"/>
      <c r="D376" s="807" t="str">
        <f>+input!B72</f>
        <v>204j</v>
      </c>
      <c r="E376" s="808">
        <f>+MST!L73</f>
        <v>-2.93</v>
      </c>
      <c r="F376" s="808">
        <f>+MST!M73</f>
        <v>0</v>
      </c>
      <c r="G376" s="808">
        <f>+MST!N73</f>
        <v>-16.47</v>
      </c>
      <c r="H376" s="808">
        <f>+MST!O73</f>
        <v>110.25</v>
      </c>
      <c r="I376" s="808">
        <f>+MST!P73</f>
        <v>-15.83</v>
      </c>
      <c r="J376" s="808">
        <f>+MST!Z73</f>
        <v>1091.0899999999999</v>
      </c>
      <c r="K376" s="808">
        <f>+MST!AA73</f>
        <v>-1026.21</v>
      </c>
      <c r="L376" s="808">
        <f>MST!AH73</f>
        <v>0</v>
      </c>
      <c r="M376" s="809">
        <f>MST!AI73</f>
        <v>0</v>
      </c>
      <c r="P376" s="870"/>
      <c r="Q376" s="870"/>
      <c r="R376" s="870"/>
      <c r="S376" s="870"/>
      <c r="T376" s="870"/>
      <c r="U376" s="870"/>
      <c r="V376" s="870"/>
      <c r="X376" s="143"/>
      <c r="Z376" s="143"/>
      <c r="AB376" s="73"/>
      <c r="AC376" s="73"/>
      <c r="AD376" s="73"/>
      <c r="AE376" s="73"/>
      <c r="AF376" s="73"/>
      <c r="AG376" s="73"/>
      <c r="AH376" s="73"/>
      <c r="AI376" s="73"/>
      <c r="AM376" s="143"/>
      <c r="AN376" s="143"/>
      <c r="AO376" s="143"/>
      <c r="AP376" s="143"/>
      <c r="AQ376" s="143"/>
      <c r="AR376" s="143"/>
      <c r="AS376" s="143"/>
      <c r="AT376" s="143"/>
    </row>
    <row r="377" spans="1:46" ht="15" customHeight="1">
      <c r="A377" s="870"/>
      <c r="B377" s="870"/>
      <c r="C377" s="870"/>
      <c r="D377" s="807" t="str">
        <f>+input!B73</f>
        <v>205i</v>
      </c>
      <c r="E377" s="808">
        <f>+MST!L74</f>
        <v>-2.93</v>
      </c>
      <c r="F377" s="808">
        <f>+MST!M74</f>
        <v>0</v>
      </c>
      <c r="G377" s="808">
        <f>+MST!N74</f>
        <v>-16.47</v>
      </c>
      <c r="H377" s="808">
        <f>+MST!O74</f>
        <v>110.25</v>
      </c>
      <c r="I377" s="808">
        <f>+MST!P74</f>
        <v>-15.83</v>
      </c>
      <c r="J377" s="808">
        <f>+MST!Z74</f>
        <v>1091.0899999999999</v>
      </c>
      <c r="K377" s="808">
        <f>+MST!AA74</f>
        <v>-1026.21</v>
      </c>
      <c r="L377" s="808">
        <f>MST!AH74</f>
        <v>0</v>
      </c>
      <c r="M377" s="809">
        <f>MST!AI74</f>
        <v>0</v>
      </c>
      <c r="P377" s="870"/>
      <c r="Q377" s="870"/>
      <c r="R377" s="870"/>
      <c r="S377" s="870"/>
      <c r="T377" s="870"/>
      <c r="U377" s="870"/>
      <c r="V377" s="870"/>
      <c r="X377" s="143"/>
      <c r="Z377" s="143"/>
      <c r="AB377" s="73"/>
      <c r="AC377" s="73"/>
      <c r="AD377" s="73"/>
      <c r="AE377" s="73"/>
      <c r="AF377" s="73"/>
      <c r="AG377" s="73"/>
      <c r="AH377" s="73"/>
      <c r="AI377" s="73"/>
      <c r="AM377" s="143"/>
      <c r="AN377" s="143"/>
      <c r="AO377" s="143"/>
      <c r="AP377" s="143"/>
      <c r="AQ377" s="143"/>
      <c r="AR377" s="143"/>
      <c r="AS377" s="143"/>
      <c r="AT377" s="143"/>
    </row>
    <row r="378" spans="1:46" ht="15" customHeight="1">
      <c r="A378" s="870"/>
      <c r="B378" s="870"/>
      <c r="C378" s="870"/>
      <c r="D378" s="807" t="str">
        <f>+input!B74</f>
        <v>205j</v>
      </c>
      <c r="E378" s="808">
        <f>+MST!L75</f>
        <v>-2.93</v>
      </c>
      <c r="F378" s="808">
        <f>+MST!M75</f>
        <v>0</v>
      </c>
      <c r="G378" s="808">
        <f>+MST!N75</f>
        <v>-12.37</v>
      </c>
      <c r="H378" s="808">
        <f>+MST!O75</f>
        <v>-34.25</v>
      </c>
      <c r="I378" s="808">
        <f>+MST!P75</f>
        <v>-9.2799999999999994</v>
      </c>
      <c r="J378" s="808">
        <f>+MST!Z75</f>
        <v>1082.1600000000001</v>
      </c>
      <c r="K378" s="808">
        <f>+MST!AA75</f>
        <v>-1033.42</v>
      </c>
      <c r="L378" s="808">
        <f>MST!AH75</f>
        <v>0</v>
      </c>
      <c r="M378" s="809">
        <f>MST!AI75</f>
        <v>0</v>
      </c>
      <c r="P378" s="870"/>
      <c r="Q378" s="870"/>
      <c r="R378" s="870"/>
      <c r="S378" s="870"/>
      <c r="T378" s="870"/>
      <c r="U378" s="870"/>
      <c r="V378" s="870"/>
      <c r="X378" s="143"/>
      <c r="Z378" s="143"/>
      <c r="AB378" s="73"/>
      <c r="AC378" s="73"/>
      <c r="AD378" s="73"/>
      <c r="AE378" s="73"/>
      <c r="AF378" s="73"/>
      <c r="AG378" s="73"/>
      <c r="AH378" s="73"/>
      <c r="AI378" s="73"/>
      <c r="AM378" s="143"/>
      <c r="AN378" s="143"/>
      <c r="AO378" s="143"/>
      <c r="AP378" s="143"/>
      <c r="AQ378" s="143"/>
      <c r="AR378" s="143"/>
      <c r="AS378" s="143"/>
      <c r="AT378" s="143"/>
    </row>
    <row r="379" spans="1:46" ht="15" customHeight="1">
      <c r="A379" s="870"/>
      <c r="B379" s="870"/>
      <c r="C379" s="870"/>
      <c r="D379" s="807" t="str">
        <f>+input!B75</f>
        <v>206i</v>
      </c>
      <c r="E379" s="808">
        <f>+MST!L76</f>
        <v>-1</v>
      </c>
      <c r="F379" s="808">
        <f>+MST!M76</f>
        <v>0</v>
      </c>
      <c r="G379" s="808">
        <f>+MST!N76</f>
        <v>-6.68</v>
      </c>
      <c r="H379" s="808">
        <f>+MST!O76</f>
        <v>193.15</v>
      </c>
      <c r="I379" s="808">
        <f>+MST!P76</f>
        <v>-13.43</v>
      </c>
      <c r="J379" s="808">
        <f>+MST!Z76</f>
        <v>849.35</v>
      </c>
      <c r="K379" s="808">
        <f>+MST!AA76</f>
        <v>-792.14</v>
      </c>
      <c r="L379" s="808">
        <f>MST!AH76</f>
        <v>0</v>
      </c>
      <c r="M379" s="809">
        <f>MST!AI76</f>
        <v>0</v>
      </c>
      <c r="P379" s="870"/>
      <c r="Q379" s="870"/>
      <c r="R379" s="870"/>
      <c r="S379" s="870"/>
      <c r="T379" s="870"/>
      <c r="U379" s="870"/>
      <c r="V379" s="870"/>
      <c r="X379" s="143"/>
      <c r="Z379" s="143"/>
      <c r="AB379" s="73"/>
      <c r="AC379" s="73"/>
      <c r="AD379" s="73"/>
      <c r="AE379" s="73"/>
      <c r="AF379" s="73"/>
      <c r="AG379" s="73"/>
      <c r="AH379" s="73"/>
      <c r="AI379" s="73"/>
      <c r="AM379" s="143"/>
      <c r="AN379" s="143"/>
      <c r="AO379" s="143"/>
      <c r="AP379" s="143"/>
      <c r="AQ379" s="143"/>
      <c r="AR379" s="143"/>
      <c r="AS379" s="143"/>
      <c r="AT379" s="143"/>
    </row>
    <row r="380" spans="1:46" ht="15" customHeight="1">
      <c r="A380" s="870"/>
      <c r="B380" s="870"/>
      <c r="C380" s="870"/>
      <c r="D380" s="807" t="str">
        <f>+input!B76</f>
        <v>206j</v>
      </c>
      <c r="E380" s="808">
        <f>+MST!L77</f>
        <v>-1</v>
      </c>
      <c r="F380" s="808">
        <f>+MST!M77</f>
        <v>0</v>
      </c>
      <c r="G380" s="808">
        <f>+MST!N77</f>
        <v>-2.58</v>
      </c>
      <c r="H380" s="808">
        <f>+MST!O77</f>
        <v>48.65</v>
      </c>
      <c r="I380" s="808">
        <f>+MST!P77</f>
        <v>-6.88</v>
      </c>
      <c r="J380" s="808">
        <f>+MST!Z77</f>
        <v>834.77</v>
      </c>
      <c r="K380" s="808">
        <f>+MST!AA77</f>
        <v>-799.35</v>
      </c>
      <c r="L380" s="808">
        <f>MST!AH77</f>
        <v>0</v>
      </c>
      <c r="M380" s="809">
        <f>MST!AI77</f>
        <v>0</v>
      </c>
      <c r="P380" s="870"/>
      <c r="Q380" s="870"/>
      <c r="R380" s="870"/>
      <c r="S380" s="870"/>
      <c r="T380" s="870"/>
      <c r="U380" s="870"/>
      <c r="V380" s="870"/>
      <c r="X380" s="143"/>
      <c r="Z380" s="143"/>
      <c r="AB380" s="73"/>
      <c r="AC380" s="73"/>
      <c r="AD380" s="73"/>
      <c r="AE380" s="73"/>
      <c r="AF380" s="73"/>
      <c r="AG380" s="73"/>
      <c r="AH380" s="73"/>
      <c r="AI380" s="73"/>
      <c r="AM380" s="143"/>
      <c r="AN380" s="143"/>
      <c r="AO380" s="143"/>
      <c r="AP380" s="143"/>
      <c r="AQ380" s="143"/>
      <c r="AR380" s="143"/>
      <c r="AS380" s="143"/>
      <c r="AT380" s="143"/>
    </row>
    <row r="381" spans="1:46" ht="15" customHeight="1">
      <c r="A381" s="870"/>
      <c r="B381" s="870"/>
      <c r="C381" s="870"/>
      <c r="D381" s="807" t="str">
        <f>+input!B77</f>
        <v>207i</v>
      </c>
      <c r="E381" s="808">
        <f>+MST!L78</f>
        <v>-1</v>
      </c>
      <c r="F381" s="808">
        <f>+MST!M78</f>
        <v>0</v>
      </c>
      <c r="G381" s="808">
        <f>+MST!N78</f>
        <v>-2.58</v>
      </c>
      <c r="H381" s="808">
        <f>+MST!O78</f>
        <v>48.65</v>
      </c>
      <c r="I381" s="808">
        <f>+MST!P78</f>
        <v>-6.88</v>
      </c>
      <c r="J381" s="808">
        <f>+MST!Z78</f>
        <v>834.77</v>
      </c>
      <c r="K381" s="808">
        <f>+MST!AA78</f>
        <v>-799.35</v>
      </c>
      <c r="L381" s="808">
        <f>MST!AH78</f>
        <v>0</v>
      </c>
      <c r="M381" s="809">
        <f>MST!AI78</f>
        <v>0</v>
      </c>
      <c r="P381" s="870"/>
      <c r="Q381" s="870"/>
      <c r="R381" s="870"/>
      <c r="S381" s="870"/>
      <c r="T381" s="870"/>
      <c r="U381" s="870"/>
      <c r="V381" s="870"/>
      <c r="X381" s="143"/>
      <c r="Z381" s="143"/>
      <c r="AB381" s="73"/>
      <c r="AC381" s="73"/>
      <c r="AD381" s="73"/>
      <c r="AE381" s="73"/>
      <c r="AF381" s="73"/>
      <c r="AG381" s="73"/>
      <c r="AH381" s="73"/>
      <c r="AI381" s="73"/>
      <c r="AM381" s="143"/>
      <c r="AN381" s="143"/>
      <c r="AO381" s="143"/>
      <c r="AP381" s="143"/>
      <c r="AQ381" s="143"/>
      <c r="AR381" s="143"/>
      <c r="AS381" s="143"/>
      <c r="AT381" s="143"/>
    </row>
    <row r="382" spans="1:46" ht="15" customHeight="1">
      <c r="A382" s="870"/>
      <c r="B382" s="870"/>
      <c r="C382" s="870"/>
      <c r="D382" s="807" t="str">
        <f>+input!B78</f>
        <v>207j</v>
      </c>
      <c r="E382" s="808">
        <f>+MST!L79</f>
        <v>-1</v>
      </c>
      <c r="F382" s="808">
        <f>+MST!M79</f>
        <v>0</v>
      </c>
      <c r="G382" s="808">
        <f>+MST!N79</f>
        <v>1.52</v>
      </c>
      <c r="H382" s="808">
        <f>+MST!O79</f>
        <v>-95.85</v>
      </c>
      <c r="I382" s="808">
        <f>+MST!P79</f>
        <v>-0.33</v>
      </c>
      <c r="J382" s="808">
        <f>+MST!Z79</f>
        <v>824.68</v>
      </c>
      <c r="K382" s="808">
        <f>+MST!AA79</f>
        <v>-806.56</v>
      </c>
      <c r="L382" s="808">
        <f>MST!AH79</f>
        <v>0</v>
      </c>
      <c r="M382" s="809">
        <f>MST!AI79</f>
        <v>0</v>
      </c>
      <c r="P382" s="870"/>
      <c r="Q382" s="870"/>
      <c r="R382" s="870"/>
      <c r="S382" s="870"/>
      <c r="T382" s="870"/>
      <c r="U382" s="870"/>
      <c r="V382" s="870"/>
      <c r="X382" s="143"/>
      <c r="Z382" s="143"/>
      <c r="AB382" s="73"/>
      <c r="AC382" s="73"/>
      <c r="AD382" s="73"/>
      <c r="AE382" s="73"/>
      <c r="AF382" s="73"/>
      <c r="AG382" s="73"/>
      <c r="AH382" s="73"/>
      <c r="AI382" s="73"/>
      <c r="AM382" s="143"/>
      <c r="AN382" s="143"/>
      <c r="AO382" s="143"/>
      <c r="AP382" s="143"/>
      <c r="AQ382" s="143"/>
      <c r="AR382" s="143"/>
      <c r="AS382" s="143"/>
      <c r="AT382" s="143"/>
    </row>
    <row r="383" spans="1:46" ht="15" customHeight="1">
      <c r="A383" s="870"/>
      <c r="B383" s="870"/>
      <c r="C383" s="870"/>
      <c r="D383" s="807" t="str">
        <f>+input!B79</f>
        <v>208i</v>
      </c>
      <c r="E383" s="808">
        <f>+MST!L80</f>
        <v>2.04</v>
      </c>
      <c r="F383" s="808">
        <f>+MST!M80</f>
        <v>0</v>
      </c>
      <c r="G383" s="808">
        <f>+MST!N80</f>
        <v>11.49</v>
      </c>
      <c r="H383" s="808">
        <f>+MST!O80</f>
        <v>144.06</v>
      </c>
      <c r="I383" s="808">
        <f>+MST!P80</f>
        <v>-5.48</v>
      </c>
      <c r="J383" s="808">
        <f>+MST!Z80</f>
        <v>617.16999999999996</v>
      </c>
      <c r="K383" s="808">
        <f>+MST!AA80</f>
        <v>-639.05999999999995</v>
      </c>
      <c r="L383" s="808">
        <f>MST!AH80</f>
        <v>0</v>
      </c>
      <c r="M383" s="809">
        <f>MST!AI80</f>
        <v>0</v>
      </c>
      <c r="P383" s="870"/>
      <c r="Q383" s="870"/>
      <c r="R383" s="870"/>
      <c r="S383" s="870"/>
      <c r="T383" s="870"/>
      <c r="U383" s="870"/>
      <c r="V383" s="870"/>
      <c r="X383" s="143"/>
      <c r="Z383" s="143"/>
      <c r="AB383" s="73"/>
      <c r="AC383" s="73"/>
      <c r="AD383" s="73"/>
      <c r="AE383" s="73"/>
      <c r="AF383" s="73"/>
      <c r="AG383" s="73"/>
      <c r="AH383" s="73"/>
      <c r="AI383" s="73"/>
      <c r="AM383" s="143"/>
      <c r="AN383" s="143"/>
      <c r="AO383" s="143"/>
      <c r="AP383" s="143"/>
      <c r="AQ383" s="143"/>
      <c r="AR383" s="143"/>
      <c r="AS383" s="143"/>
      <c r="AT383" s="143"/>
    </row>
    <row r="384" spans="1:46" ht="15" customHeight="1">
      <c r="A384" s="870"/>
      <c r="B384" s="870"/>
      <c r="C384" s="870"/>
      <c r="D384" s="807" t="str">
        <f>+input!B80</f>
        <v>208j</v>
      </c>
      <c r="E384" s="808">
        <f>+MST!L81</f>
        <v>2.04</v>
      </c>
      <c r="F384" s="808">
        <f>+MST!M81</f>
        <v>0</v>
      </c>
      <c r="G384" s="808">
        <f>+MST!N81</f>
        <v>15.59</v>
      </c>
      <c r="H384" s="808">
        <f>+MST!O81</f>
        <v>-0.44</v>
      </c>
      <c r="I384" s="808">
        <f>+MST!P81</f>
        <v>1.07</v>
      </c>
      <c r="J384" s="808">
        <f>+MST!Z81</f>
        <v>597.51</v>
      </c>
      <c r="K384" s="808">
        <f>+MST!AA81</f>
        <v>-644.41</v>
      </c>
      <c r="L384" s="808">
        <f>MST!AH81</f>
        <v>0</v>
      </c>
      <c r="M384" s="809">
        <f>MST!AI81</f>
        <v>0</v>
      </c>
      <c r="P384" s="870"/>
      <c r="Q384" s="870"/>
      <c r="R384" s="870"/>
      <c r="S384" s="870"/>
      <c r="T384" s="870"/>
      <c r="U384" s="870"/>
      <c r="V384" s="870"/>
      <c r="X384" s="143"/>
      <c r="Z384" s="143"/>
      <c r="AB384" s="73"/>
      <c r="AC384" s="73"/>
      <c r="AD384" s="73"/>
      <c r="AE384" s="73"/>
      <c r="AF384" s="73"/>
      <c r="AG384" s="73"/>
      <c r="AH384" s="73"/>
      <c r="AI384" s="73"/>
      <c r="AM384" s="143"/>
      <c r="AN384" s="143"/>
      <c r="AO384" s="143"/>
      <c r="AP384" s="143"/>
      <c r="AQ384" s="143"/>
      <c r="AR384" s="143"/>
      <c r="AS384" s="143"/>
      <c r="AT384" s="143"/>
    </row>
    <row r="385" spans="1:46" ht="15" customHeight="1">
      <c r="A385" s="870"/>
      <c r="B385" s="870"/>
      <c r="C385" s="870"/>
      <c r="D385" s="807" t="str">
        <f>+input!B81</f>
        <v>209i</v>
      </c>
      <c r="E385" s="808">
        <f>+MST!L82</f>
        <v>2.04</v>
      </c>
      <c r="F385" s="808">
        <f>+MST!M82</f>
        <v>0</v>
      </c>
      <c r="G385" s="808">
        <f>+MST!N82</f>
        <v>15.59</v>
      </c>
      <c r="H385" s="808">
        <f>+MST!O82</f>
        <v>-0.44</v>
      </c>
      <c r="I385" s="808">
        <f>+MST!P82</f>
        <v>1.07</v>
      </c>
      <c r="J385" s="808">
        <f>+MST!Z82</f>
        <v>597.51</v>
      </c>
      <c r="K385" s="808">
        <f>+MST!AA82</f>
        <v>-644.41</v>
      </c>
      <c r="L385" s="808">
        <f>MST!AH82</f>
        <v>0</v>
      </c>
      <c r="M385" s="809">
        <f>MST!AI82</f>
        <v>0</v>
      </c>
      <c r="P385" s="870"/>
      <c r="Q385" s="870"/>
      <c r="R385" s="870"/>
      <c r="S385" s="870"/>
      <c r="T385" s="870"/>
      <c r="U385" s="870"/>
      <c r="V385" s="870"/>
      <c r="X385" s="143"/>
      <c r="Z385" s="143"/>
      <c r="AB385" s="73"/>
      <c r="AC385" s="73"/>
      <c r="AD385" s="73"/>
      <c r="AE385" s="73"/>
      <c r="AF385" s="73"/>
      <c r="AG385" s="73"/>
      <c r="AH385" s="73"/>
      <c r="AI385" s="73"/>
      <c r="AM385" s="143"/>
      <c r="AN385" s="143"/>
      <c r="AO385" s="143"/>
      <c r="AP385" s="143"/>
      <c r="AQ385" s="143"/>
      <c r="AR385" s="143"/>
      <c r="AS385" s="143"/>
      <c r="AT385" s="143"/>
    </row>
    <row r="386" spans="1:46" ht="15" customHeight="1">
      <c r="A386" s="870"/>
      <c r="B386" s="870"/>
      <c r="C386" s="870"/>
      <c r="D386" s="807" t="str">
        <f>+input!B82</f>
        <v>209j</v>
      </c>
      <c r="E386" s="808">
        <f>+MST!L83</f>
        <v>2.04</v>
      </c>
      <c r="F386" s="808">
        <f>+MST!M83</f>
        <v>0</v>
      </c>
      <c r="G386" s="808">
        <f>+MST!N83</f>
        <v>19.690000000000001</v>
      </c>
      <c r="H386" s="808">
        <f>+MST!O83</f>
        <v>-144.94</v>
      </c>
      <c r="I386" s="808">
        <f>+MST!P83</f>
        <v>7.62</v>
      </c>
      <c r="J386" s="808">
        <f>+MST!Z83</f>
        <v>597.42999999999995</v>
      </c>
      <c r="K386" s="808">
        <f>+MST!AA83</f>
        <v>-653.11</v>
      </c>
      <c r="L386" s="808">
        <f>MST!AH83</f>
        <v>0</v>
      </c>
      <c r="M386" s="809">
        <f>MST!AI83</f>
        <v>0</v>
      </c>
      <c r="P386" s="870"/>
      <c r="Q386" s="870"/>
      <c r="R386" s="870"/>
      <c r="S386" s="870"/>
      <c r="T386" s="870"/>
      <c r="U386" s="870"/>
      <c r="V386" s="870"/>
      <c r="X386" s="143"/>
      <c r="Z386" s="143"/>
      <c r="AB386" s="73"/>
      <c r="AC386" s="73"/>
      <c r="AD386" s="73"/>
      <c r="AE386" s="73"/>
      <c r="AF386" s="73"/>
      <c r="AG386" s="73"/>
      <c r="AH386" s="73"/>
      <c r="AI386" s="73"/>
      <c r="AM386" s="143"/>
      <c r="AN386" s="143"/>
      <c r="AO386" s="143"/>
      <c r="AP386" s="143"/>
      <c r="AQ386" s="143"/>
      <c r="AR386" s="143"/>
      <c r="AS386" s="143"/>
      <c r="AT386" s="143"/>
    </row>
    <row r="387" spans="1:46" ht="15" customHeight="1">
      <c r="A387" s="870"/>
      <c r="B387" s="870"/>
      <c r="C387" s="870"/>
      <c r="D387" s="807" t="str">
        <f>+input!B83</f>
        <v>210i</v>
      </c>
      <c r="E387" s="808">
        <f>+MST!L84</f>
        <v>-0.67</v>
      </c>
      <c r="F387" s="808">
        <f>+MST!M84</f>
        <v>0</v>
      </c>
      <c r="G387" s="808">
        <f>+MST!N84</f>
        <v>-2.94</v>
      </c>
      <c r="H387" s="808">
        <f>+MST!O84</f>
        <v>82.43</v>
      </c>
      <c r="I387" s="808">
        <f>+MST!P84</f>
        <v>-4.79</v>
      </c>
      <c r="J387" s="808">
        <f>+MST!Z84</f>
        <v>635.22</v>
      </c>
      <c r="K387" s="808">
        <f>+MST!AA84</f>
        <v>-615.59</v>
      </c>
      <c r="L387" s="808">
        <f>MST!AH84</f>
        <v>0</v>
      </c>
      <c r="M387" s="809">
        <f>MST!AI84</f>
        <v>0</v>
      </c>
      <c r="P387" s="870"/>
      <c r="Q387" s="870"/>
      <c r="R387" s="870"/>
      <c r="S387" s="870"/>
      <c r="T387" s="870"/>
      <c r="U387" s="870"/>
      <c r="V387" s="870"/>
      <c r="X387" s="143"/>
      <c r="Z387" s="143"/>
      <c r="AB387" s="73"/>
      <c r="AC387" s="73"/>
      <c r="AD387" s="73"/>
      <c r="AE387" s="73"/>
      <c r="AF387" s="73"/>
      <c r="AG387" s="73"/>
      <c r="AH387" s="73"/>
      <c r="AI387" s="73"/>
      <c r="AM387" s="143"/>
      <c r="AN387" s="143"/>
      <c r="AO387" s="143"/>
      <c r="AP387" s="143"/>
      <c r="AQ387" s="143"/>
      <c r="AR387" s="143"/>
      <c r="AS387" s="143"/>
      <c r="AT387" s="143"/>
    </row>
    <row r="388" spans="1:46" ht="15" customHeight="1">
      <c r="A388" s="870"/>
      <c r="B388" s="870"/>
      <c r="C388" s="870"/>
      <c r="D388" s="807" t="str">
        <f>+input!B84</f>
        <v>210j</v>
      </c>
      <c r="E388" s="808">
        <f>+MST!L85</f>
        <v>-0.67</v>
      </c>
      <c r="F388" s="808">
        <f>+MST!M85</f>
        <v>0</v>
      </c>
      <c r="G388" s="808">
        <f>+MST!N85</f>
        <v>1.1599999999999999</v>
      </c>
      <c r="H388" s="808">
        <f>+MST!O85</f>
        <v>-62.07</v>
      </c>
      <c r="I388" s="808">
        <f>+MST!P85</f>
        <v>1.76</v>
      </c>
      <c r="J388" s="808">
        <f>+MST!Z85</f>
        <v>629.35</v>
      </c>
      <c r="K388" s="808">
        <f>+MST!AA85</f>
        <v>-616.94000000000005</v>
      </c>
      <c r="L388" s="808">
        <f>MST!AH85</f>
        <v>0</v>
      </c>
      <c r="M388" s="809">
        <f>MST!AI85</f>
        <v>0</v>
      </c>
      <c r="P388" s="870"/>
      <c r="Q388" s="870"/>
      <c r="R388" s="870"/>
      <c r="S388" s="870"/>
      <c r="T388" s="870"/>
      <c r="U388" s="870"/>
      <c r="V388" s="870"/>
      <c r="X388" s="143"/>
      <c r="Z388" s="143"/>
      <c r="AB388" s="73"/>
      <c r="AC388" s="73"/>
      <c r="AD388" s="73"/>
      <c r="AE388" s="73"/>
      <c r="AF388" s="73"/>
      <c r="AG388" s="73"/>
      <c r="AH388" s="73"/>
      <c r="AI388" s="73"/>
      <c r="AM388" s="143"/>
      <c r="AN388" s="143"/>
      <c r="AO388" s="143"/>
      <c r="AP388" s="143"/>
      <c r="AQ388" s="143"/>
      <c r="AR388" s="143"/>
      <c r="AS388" s="143"/>
      <c r="AT388" s="143"/>
    </row>
    <row r="389" spans="1:46" ht="15" customHeight="1">
      <c r="A389" s="870"/>
      <c r="B389" s="870"/>
      <c r="C389" s="870"/>
      <c r="D389" s="807" t="str">
        <f>+input!B85</f>
        <v>211i</v>
      </c>
      <c r="E389" s="808">
        <f>+MST!L86</f>
        <v>-0.19</v>
      </c>
      <c r="F389" s="808">
        <f>+MST!M86</f>
        <v>0.01</v>
      </c>
      <c r="G389" s="808">
        <f>+MST!N86</f>
        <v>-15.33</v>
      </c>
      <c r="H389" s="808">
        <f>+MST!O86</f>
        <v>166.74</v>
      </c>
      <c r="I389" s="808">
        <f>+MST!P86</f>
        <v>-10.57</v>
      </c>
      <c r="J389" s="808">
        <f>+MST!Z86</f>
        <v>729.69</v>
      </c>
      <c r="K389" s="808">
        <f>+MST!AA86</f>
        <v>-684.06</v>
      </c>
      <c r="L389" s="808">
        <f>MST!AH86</f>
        <v>0</v>
      </c>
      <c r="M389" s="809">
        <f>MST!AI86</f>
        <v>0</v>
      </c>
      <c r="P389" s="870"/>
      <c r="Q389" s="870"/>
      <c r="R389" s="870"/>
      <c r="S389" s="870"/>
      <c r="T389" s="870"/>
      <c r="U389" s="870"/>
      <c r="V389" s="870"/>
      <c r="X389" s="143"/>
      <c r="Z389" s="143"/>
      <c r="AB389" s="73"/>
      <c r="AC389" s="73"/>
      <c r="AD389" s="73"/>
      <c r="AE389" s="73"/>
      <c r="AF389" s="73"/>
      <c r="AG389" s="73"/>
      <c r="AH389" s="73"/>
      <c r="AI389" s="73"/>
      <c r="AM389" s="143"/>
      <c r="AN389" s="143"/>
      <c r="AO389" s="143"/>
      <c r="AP389" s="143"/>
      <c r="AQ389" s="143"/>
      <c r="AR389" s="143"/>
      <c r="AS389" s="143"/>
      <c r="AT389" s="143"/>
    </row>
    <row r="390" spans="1:46" ht="15" customHeight="1">
      <c r="A390" s="870"/>
      <c r="B390" s="870"/>
      <c r="C390" s="870"/>
      <c r="D390" s="807" t="str">
        <f>+input!B86</f>
        <v>211j</v>
      </c>
      <c r="E390" s="808">
        <f>+MST!L87</f>
        <v>-0.19</v>
      </c>
      <c r="F390" s="808">
        <f>+MST!M87</f>
        <v>0.01</v>
      </c>
      <c r="G390" s="808">
        <f>+MST!N87</f>
        <v>-11.23</v>
      </c>
      <c r="H390" s="808">
        <f>+MST!O87</f>
        <v>22.24</v>
      </c>
      <c r="I390" s="808">
        <f>+MST!P87</f>
        <v>-4.0199999999999996</v>
      </c>
      <c r="J390" s="808">
        <f>+MST!Z87</f>
        <v>722.48</v>
      </c>
      <c r="K390" s="808">
        <f>+MST!AA87</f>
        <v>-694.87</v>
      </c>
      <c r="L390" s="808">
        <f>MST!AH87</f>
        <v>0</v>
      </c>
      <c r="M390" s="809">
        <f>MST!AI87</f>
        <v>0</v>
      </c>
      <c r="P390" s="870"/>
      <c r="Q390" s="870"/>
      <c r="R390" s="870"/>
      <c r="S390" s="870"/>
      <c r="T390" s="870"/>
      <c r="U390" s="870"/>
      <c r="V390" s="870"/>
      <c r="X390" s="143"/>
      <c r="Z390" s="143"/>
      <c r="AB390" s="73"/>
      <c r="AC390" s="73"/>
      <c r="AD390" s="73"/>
      <c r="AE390" s="73"/>
      <c r="AF390" s="73"/>
      <c r="AG390" s="73"/>
      <c r="AH390" s="73"/>
      <c r="AI390" s="73"/>
      <c r="AM390" s="143"/>
      <c r="AN390" s="143"/>
      <c r="AO390" s="143"/>
      <c r="AP390" s="143"/>
      <c r="AQ390" s="143"/>
      <c r="AR390" s="143"/>
      <c r="AS390" s="143"/>
      <c r="AT390" s="143"/>
    </row>
    <row r="391" spans="1:46" ht="15" customHeight="1">
      <c r="A391" s="870"/>
      <c r="B391" s="870"/>
      <c r="C391" s="870"/>
      <c r="D391" s="807" t="str">
        <f>+input!B87</f>
        <v>212i</v>
      </c>
      <c r="E391" s="808">
        <f>+MST!L88</f>
        <v>-0.19</v>
      </c>
      <c r="F391" s="808">
        <f>+MST!M88</f>
        <v>0.01</v>
      </c>
      <c r="G391" s="808">
        <f>+MST!N88</f>
        <v>-11.23</v>
      </c>
      <c r="H391" s="808">
        <f>+MST!O88</f>
        <v>22.24</v>
      </c>
      <c r="I391" s="808">
        <f>+MST!P88</f>
        <v>-4.0199999999999996</v>
      </c>
      <c r="J391" s="808">
        <f>+MST!Z88</f>
        <v>722.48</v>
      </c>
      <c r="K391" s="808">
        <f>+MST!AA88</f>
        <v>-694.87</v>
      </c>
      <c r="L391" s="808">
        <f>MST!AH88</f>
        <v>0</v>
      </c>
      <c r="M391" s="809">
        <f>MST!AI88</f>
        <v>0</v>
      </c>
      <c r="P391" s="870"/>
      <c r="Q391" s="870"/>
      <c r="R391" s="870"/>
      <c r="S391" s="870"/>
      <c r="T391" s="870"/>
      <c r="U391" s="870"/>
      <c r="V391" s="870"/>
      <c r="X391" s="143"/>
      <c r="Z391" s="143"/>
      <c r="AB391" s="73"/>
      <c r="AC391" s="73"/>
      <c r="AD391" s="73"/>
      <c r="AE391" s="73"/>
      <c r="AF391" s="73"/>
      <c r="AG391" s="73"/>
      <c r="AH391" s="73"/>
      <c r="AI391" s="73"/>
      <c r="AM391" s="143"/>
      <c r="AN391" s="143"/>
      <c r="AO391" s="143"/>
      <c r="AP391" s="143"/>
      <c r="AQ391" s="143"/>
      <c r="AR391" s="143"/>
      <c r="AS391" s="143"/>
      <c r="AT391" s="143"/>
    </row>
    <row r="392" spans="1:46" ht="15" customHeight="1">
      <c r="A392" s="870"/>
      <c r="B392" s="870"/>
      <c r="C392" s="870"/>
      <c r="D392" s="807" t="str">
        <f>+input!B88</f>
        <v>212j</v>
      </c>
      <c r="E392" s="808">
        <f>+MST!L89</f>
        <v>-0.19</v>
      </c>
      <c r="F392" s="808">
        <f>+MST!M89</f>
        <v>0.01</v>
      </c>
      <c r="G392" s="808">
        <f>+MST!N89</f>
        <v>-7.13</v>
      </c>
      <c r="H392" s="808">
        <f>+MST!O89</f>
        <v>-122.26</v>
      </c>
      <c r="I392" s="808">
        <f>+MST!P89</f>
        <v>2.5299999999999998</v>
      </c>
      <c r="J392" s="808">
        <f>+MST!Z89</f>
        <v>715.27</v>
      </c>
      <c r="K392" s="808">
        <f>+MST!AA89</f>
        <v>-713.71</v>
      </c>
      <c r="L392" s="808">
        <f>MST!AH89</f>
        <v>0</v>
      </c>
      <c r="M392" s="809">
        <f>MST!AI89</f>
        <v>0</v>
      </c>
      <c r="P392" s="870"/>
      <c r="Q392" s="870"/>
      <c r="R392" s="870"/>
      <c r="S392" s="870"/>
      <c r="T392" s="870"/>
      <c r="U392" s="870"/>
      <c r="V392" s="870"/>
      <c r="X392" s="143"/>
      <c r="Z392" s="143"/>
      <c r="AB392" s="73"/>
      <c r="AC392" s="73"/>
      <c r="AD392" s="73"/>
      <c r="AE392" s="73"/>
      <c r="AF392" s="73"/>
      <c r="AG392" s="73"/>
      <c r="AH392" s="73"/>
      <c r="AI392" s="73"/>
      <c r="AM392" s="143"/>
      <c r="AN392" s="143"/>
      <c r="AO392" s="143"/>
      <c r="AP392" s="143"/>
      <c r="AQ392" s="143"/>
      <c r="AR392" s="143"/>
      <c r="AS392" s="143"/>
      <c r="AT392" s="143"/>
    </row>
    <row r="393" spans="1:46" ht="15" customHeight="1">
      <c r="A393" s="870"/>
      <c r="B393" s="870"/>
      <c r="C393" s="870"/>
      <c r="D393" s="807" t="str">
        <f>+input!B89</f>
        <v>213i</v>
      </c>
      <c r="E393" s="808">
        <f>+MST!L90</f>
        <v>-0.69</v>
      </c>
      <c r="F393" s="808">
        <f>+MST!M90</f>
        <v>0.02</v>
      </c>
      <c r="G393" s="808">
        <f>+MST!N90</f>
        <v>-6.16</v>
      </c>
      <c r="H393" s="808">
        <f>+MST!O90</f>
        <v>123.31</v>
      </c>
      <c r="I393" s="808">
        <f>+MST!P90</f>
        <v>-3.92</v>
      </c>
      <c r="J393" s="808">
        <f>+MST!Z90</f>
        <v>852.79</v>
      </c>
      <c r="K393" s="808">
        <f>+MST!AA90</f>
        <v>-884.13</v>
      </c>
      <c r="L393" s="808">
        <f>MST!AH90</f>
        <v>0</v>
      </c>
      <c r="M393" s="809">
        <f>MST!AI90</f>
        <v>0</v>
      </c>
      <c r="P393" s="870"/>
      <c r="Q393" s="870"/>
      <c r="R393" s="870"/>
      <c r="S393" s="870"/>
      <c r="T393" s="870"/>
      <c r="U393" s="870"/>
      <c r="V393" s="870"/>
      <c r="X393" s="143"/>
      <c r="Z393" s="143"/>
      <c r="AB393" s="73"/>
      <c r="AC393" s="73"/>
      <c r="AD393" s="73"/>
      <c r="AE393" s="73"/>
      <c r="AF393" s="73"/>
      <c r="AG393" s="73"/>
      <c r="AH393" s="73"/>
      <c r="AI393" s="73"/>
      <c r="AM393" s="143"/>
      <c r="AN393" s="143"/>
      <c r="AO393" s="143"/>
      <c r="AP393" s="143"/>
      <c r="AQ393" s="143"/>
      <c r="AR393" s="143"/>
      <c r="AS393" s="143"/>
      <c r="AT393" s="143"/>
    </row>
    <row r="394" spans="1:46" ht="15" customHeight="1">
      <c r="A394" s="870"/>
      <c r="B394" s="870"/>
      <c r="C394" s="870"/>
      <c r="D394" s="807" t="str">
        <f>+input!B90</f>
        <v>213j</v>
      </c>
      <c r="E394" s="808">
        <f>+MST!L91</f>
        <v>-0.69</v>
      </c>
      <c r="F394" s="808">
        <f>+MST!M91</f>
        <v>0.02</v>
      </c>
      <c r="G394" s="808">
        <f>+MST!N91</f>
        <v>-2.06</v>
      </c>
      <c r="H394" s="808">
        <f>+MST!O91</f>
        <v>-21.19</v>
      </c>
      <c r="I394" s="808">
        <f>+MST!P91</f>
        <v>2.63</v>
      </c>
      <c r="J394" s="808">
        <f>+MST!Z91</f>
        <v>845.58</v>
      </c>
      <c r="K394" s="808">
        <f>+MST!AA91</f>
        <v>-894.59</v>
      </c>
      <c r="L394" s="808">
        <f>MST!AH91</f>
        <v>0</v>
      </c>
      <c r="M394" s="809">
        <f>MST!AI91</f>
        <v>0</v>
      </c>
      <c r="P394" s="870"/>
      <c r="Q394" s="870"/>
      <c r="R394" s="870"/>
      <c r="S394" s="870"/>
      <c r="T394" s="870"/>
      <c r="U394" s="870"/>
      <c r="V394" s="870"/>
      <c r="X394" s="143"/>
      <c r="Z394" s="143"/>
      <c r="AB394" s="73"/>
      <c r="AC394" s="73"/>
      <c r="AD394" s="73"/>
      <c r="AE394" s="73"/>
      <c r="AF394" s="73"/>
      <c r="AG394" s="73"/>
      <c r="AH394" s="73"/>
      <c r="AI394" s="73"/>
      <c r="AM394" s="143"/>
      <c r="AN394" s="143"/>
      <c r="AO394" s="143"/>
      <c r="AP394" s="143"/>
      <c r="AQ394" s="143"/>
      <c r="AR394" s="143"/>
      <c r="AS394" s="143"/>
      <c r="AT394" s="143"/>
    </row>
    <row r="395" spans="1:46" ht="15" customHeight="1">
      <c r="A395" s="870"/>
      <c r="B395" s="870"/>
      <c r="C395" s="870"/>
      <c r="D395" s="807" t="str">
        <f>+input!B91</f>
        <v>214i</v>
      </c>
      <c r="E395" s="808">
        <f>+MST!L92</f>
        <v>-0.69</v>
      </c>
      <c r="F395" s="808">
        <f>+MST!M92</f>
        <v>0.02</v>
      </c>
      <c r="G395" s="808">
        <f>+MST!N92</f>
        <v>-2.06</v>
      </c>
      <c r="H395" s="808">
        <f>+MST!O92</f>
        <v>-21.19</v>
      </c>
      <c r="I395" s="808">
        <f>+MST!P92</f>
        <v>2.63</v>
      </c>
      <c r="J395" s="808">
        <f>+MST!Z92</f>
        <v>845.58</v>
      </c>
      <c r="K395" s="808">
        <f>+MST!AA92</f>
        <v>-894.59</v>
      </c>
      <c r="L395" s="808">
        <f>MST!AH92</f>
        <v>0</v>
      </c>
      <c r="M395" s="809">
        <f>MST!AI92</f>
        <v>0</v>
      </c>
      <c r="P395" s="870"/>
      <c r="Q395" s="870"/>
      <c r="R395" s="870"/>
      <c r="S395" s="870"/>
      <c r="T395" s="870"/>
      <c r="U395" s="870"/>
      <c r="V395" s="870"/>
      <c r="X395" s="143"/>
      <c r="Z395" s="143"/>
      <c r="AB395" s="73"/>
      <c r="AC395" s="73"/>
      <c r="AD395" s="73"/>
      <c r="AE395" s="73"/>
      <c r="AF395" s="73"/>
      <c r="AG395" s="73"/>
      <c r="AH395" s="73"/>
      <c r="AI395" s="73"/>
      <c r="AM395" s="143"/>
      <c r="AN395" s="143"/>
      <c r="AO395" s="143"/>
      <c r="AP395" s="143"/>
      <c r="AQ395" s="143"/>
      <c r="AR395" s="143"/>
      <c r="AS395" s="143"/>
      <c r="AT395" s="143"/>
    </row>
    <row r="396" spans="1:46" ht="15" customHeight="1">
      <c r="A396" s="870"/>
      <c r="B396" s="870"/>
      <c r="C396" s="870"/>
      <c r="D396" s="807" t="str">
        <f>+input!B92</f>
        <v>214j</v>
      </c>
      <c r="E396" s="808">
        <f>+MST!L93</f>
        <v>-0.69</v>
      </c>
      <c r="F396" s="808">
        <f>+MST!M93</f>
        <v>0.02</v>
      </c>
      <c r="G396" s="808">
        <f>+MST!N93</f>
        <v>2.04</v>
      </c>
      <c r="H396" s="808">
        <f>+MST!O93</f>
        <v>-165.69</v>
      </c>
      <c r="I396" s="808">
        <f>+MST!P93</f>
        <v>9.18</v>
      </c>
      <c r="J396" s="808">
        <f>+MST!Z93</f>
        <v>838.37</v>
      </c>
      <c r="K396" s="808">
        <f>+MST!AA93</f>
        <v>-909.88</v>
      </c>
      <c r="L396" s="808">
        <f>MST!AH93</f>
        <v>0</v>
      </c>
      <c r="M396" s="809">
        <f>MST!AI93</f>
        <v>0</v>
      </c>
      <c r="P396" s="870"/>
      <c r="Q396" s="870"/>
      <c r="R396" s="870"/>
      <c r="S396" s="870"/>
      <c r="T396" s="870"/>
      <c r="U396" s="870"/>
      <c r="V396" s="870"/>
      <c r="X396" s="143"/>
      <c r="Z396" s="143"/>
      <c r="AB396" s="73"/>
      <c r="AC396" s="73"/>
      <c r="AD396" s="73"/>
      <c r="AE396" s="73"/>
      <c r="AF396" s="73"/>
      <c r="AG396" s="73"/>
      <c r="AH396" s="73"/>
      <c r="AI396" s="73"/>
      <c r="AM396" s="143"/>
      <c r="AN396" s="143"/>
      <c r="AO396" s="143"/>
      <c r="AP396" s="143"/>
      <c r="AQ396" s="143"/>
      <c r="AR396" s="143"/>
      <c r="AS396" s="143"/>
      <c r="AT396" s="143"/>
    </row>
    <row r="397" spans="1:46" ht="15" customHeight="1">
      <c r="A397" s="870"/>
      <c r="B397" s="870"/>
      <c r="C397" s="870"/>
      <c r="D397" s="807" t="str">
        <f>+input!B93</f>
        <v>215i</v>
      </c>
      <c r="E397" s="808">
        <f>+MST!L94</f>
        <v>-0.2</v>
      </c>
      <c r="F397" s="808">
        <f>+MST!M94</f>
        <v>0.05</v>
      </c>
      <c r="G397" s="808">
        <f>+MST!N94</f>
        <v>2.78</v>
      </c>
      <c r="H397" s="808">
        <f>+MST!O94</f>
        <v>73.31</v>
      </c>
      <c r="I397" s="808">
        <f>+MST!P94</f>
        <v>2.64</v>
      </c>
      <c r="J397" s="808">
        <f>+MST!Z94</f>
        <v>1085.8499999999999</v>
      </c>
      <c r="K397" s="808">
        <f>+MST!AA94</f>
        <v>-1097.21</v>
      </c>
      <c r="L397" s="808">
        <f>MST!AH94</f>
        <v>0</v>
      </c>
      <c r="M397" s="809">
        <f>MST!AI94</f>
        <v>0</v>
      </c>
      <c r="P397" s="870"/>
      <c r="Q397" s="870"/>
      <c r="R397" s="870"/>
      <c r="S397" s="870"/>
      <c r="T397" s="870"/>
      <c r="U397" s="870"/>
      <c r="V397" s="870"/>
      <c r="X397" s="143"/>
      <c r="Z397" s="143"/>
      <c r="AB397" s="73"/>
      <c r="AC397" s="73"/>
      <c r="AD397" s="73"/>
      <c r="AE397" s="73"/>
      <c r="AF397" s="73"/>
      <c r="AG397" s="73"/>
      <c r="AH397" s="73"/>
      <c r="AI397" s="73"/>
      <c r="AM397" s="143"/>
      <c r="AN397" s="143"/>
      <c r="AO397" s="143"/>
      <c r="AP397" s="143"/>
      <c r="AQ397" s="143"/>
      <c r="AR397" s="143"/>
      <c r="AS397" s="143"/>
      <c r="AT397" s="143"/>
    </row>
    <row r="398" spans="1:46" ht="15" customHeight="1">
      <c r="A398" s="870"/>
      <c r="B398" s="870"/>
      <c r="C398" s="870"/>
      <c r="D398" s="807" t="str">
        <f>+input!B94</f>
        <v>215j</v>
      </c>
      <c r="E398" s="808">
        <f>+MST!L95</f>
        <v>-0.2</v>
      </c>
      <c r="F398" s="808">
        <f>+MST!M95</f>
        <v>0.05</v>
      </c>
      <c r="G398" s="808">
        <f>+MST!N95</f>
        <v>6.88</v>
      </c>
      <c r="H398" s="808">
        <f>+MST!O95</f>
        <v>-71.19</v>
      </c>
      <c r="I398" s="808">
        <f>+MST!P95</f>
        <v>9.19</v>
      </c>
      <c r="J398" s="808">
        <f>+MST!Z95</f>
        <v>1078.6400000000001</v>
      </c>
      <c r="K398" s="808">
        <f>+MST!AA95</f>
        <v>-1100.96</v>
      </c>
      <c r="L398" s="808">
        <f>MST!AH95</f>
        <v>0</v>
      </c>
      <c r="M398" s="809">
        <f>MST!AI95</f>
        <v>0</v>
      </c>
      <c r="P398" s="870"/>
      <c r="Q398" s="870"/>
      <c r="R398" s="870"/>
      <c r="S398" s="870"/>
      <c r="T398" s="870"/>
      <c r="U398" s="870"/>
      <c r="V398" s="870"/>
      <c r="X398" s="143"/>
      <c r="Z398" s="143"/>
      <c r="AB398" s="73"/>
      <c r="AC398" s="73"/>
      <c r="AD398" s="73"/>
      <c r="AE398" s="73"/>
      <c r="AF398" s="73"/>
      <c r="AG398" s="73"/>
      <c r="AH398" s="73"/>
      <c r="AI398" s="73"/>
      <c r="AM398" s="143"/>
      <c r="AN398" s="143"/>
      <c r="AO398" s="143"/>
      <c r="AP398" s="143"/>
      <c r="AQ398" s="143"/>
      <c r="AR398" s="143"/>
      <c r="AS398" s="143"/>
      <c r="AT398" s="143"/>
    </row>
    <row r="399" spans="1:46" ht="15" customHeight="1">
      <c r="A399" s="870"/>
      <c r="B399" s="870"/>
      <c r="C399" s="870"/>
      <c r="D399" s="807" t="str">
        <f>+input!B95</f>
        <v>216i</v>
      </c>
      <c r="E399" s="808">
        <f>+MST!L96</f>
        <v>-0.2</v>
      </c>
      <c r="F399" s="808">
        <f>+MST!M96</f>
        <v>0.05</v>
      </c>
      <c r="G399" s="808">
        <f>+MST!N96</f>
        <v>6.88</v>
      </c>
      <c r="H399" s="808">
        <f>+MST!O96</f>
        <v>-71.19</v>
      </c>
      <c r="I399" s="808">
        <f>+MST!P96</f>
        <v>9.19</v>
      </c>
      <c r="J399" s="808">
        <f>+MST!Z96</f>
        <v>1078.6400000000001</v>
      </c>
      <c r="K399" s="808">
        <f>+MST!AA96</f>
        <v>-1100.96</v>
      </c>
      <c r="L399" s="808">
        <f>MST!AH96</f>
        <v>0</v>
      </c>
      <c r="M399" s="809">
        <f>MST!AI96</f>
        <v>0</v>
      </c>
      <c r="P399" s="870"/>
      <c r="Q399" s="870"/>
      <c r="R399" s="870"/>
      <c r="S399" s="870"/>
      <c r="T399" s="870"/>
      <c r="U399" s="870"/>
      <c r="V399" s="870"/>
      <c r="X399" s="143"/>
      <c r="Z399" s="143"/>
      <c r="AB399" s="73"/>
      <c r="AC399" s="73"/>
      <c r="AD399" s="73"/>
      <c r="AE399" s="73"/>
      <c r="AF399" s="73"/>
      <c r="AG399" s="73"/>
      <c r="AH399" s="73"/>
      <c r="AI399" s="73"/>
      <c r="AM399" s="143"/>
      <c r="AN399" s="143"/>
      <c r="AO399" s="143"/>
      <c r="AP399" s="143"/>
      <c r="AQ399" s="143"/>
      <c r="AR399" s="143"/>
      <c r="AS399" s="143"/>
      <c r="AT399" s="143"/>
    </row>
    <row r="400" spans="1:46" ht="15" customHeight="1">
      <c r="A400" s="870"/>
      <c r="B400" s="870"/>
      <c r="C400" s="870"/>
      <c r="D400" s="807" t="str">
        <f>+input!B96</f>
        <v>216j</v>
      </c>
      <c r="E400" s="808">
        <f>+MST!L97</f>
        <v>-0.2</v>
      </c>
      <c r="F400" s="808">
        <f>+MST!M97</f>
        <v>0.05</v>
      </c>
      <c r="G400" s="808">
        <f>+MST!N97</f>
        <v>10.98</v>
      </c>
      <c r="H400" s="808">
        <f>+MST!O97</f>
        <v>-215.69</v>
      </c>
      <c r="I400" s="808">
        <f>+MST!P97</f>
        <v>15.74</v>
      </c>
      <c r="J400" s="808">
        <f>+MST!Z97</f>
        <v>1071.43</v>
      </c>
      <c r="K400" s="808">
        <f>+MST!AA97</f>
        <v>-1116.1600000000001</v>
      </c>
      <c r="L400" s="808">
        <f>MST!AH97</f>
        <v>0</v>
      </c>
      <c r="M400" s="809">
        <f>MST!AI97</f>
        <v>0</v>
      </c>
      <c r="P400" s="870"/>
      <c r="Q400" s="870"/>
      <c r="R400" s="870"/>
      <c r="S400" s="870"/>
      <c r="T400" s="870"/>
      <c r="U400" s="870"/>
      <c r="V400" s="870"/>
      <c r="X400" s="143"/>
      <c r="Z400" s="143"/>
      <c r="AB400" s="73"/>
      <c r="AC400" s="73"/>
      <c r="AD400" s="73"/>
      <c r="AE400" s="73"/>
      <c r="AF400" s="73"/>
      <c r="AG400" s="73"/>
      <c r="AH400" s="73"/>
      <c r="AI400" s="73"/>
      <c r="AM400" s="143"/>
      <c r="AN400" s="143"/>
      <c r="AO400" s="143"/>
      <c r="AP400" s="143"/>
      <c r="AQ400" s="143"/>
      <c r="AR400" s="143"/>
      <c r="AS400" s="143"/>
      <c r="AT400" s="143"/>
    </row>
    <row r="401" spans="1:46" ht="15" customHeight="1">
      <c r="A401" s="870"/>
      <c r="B401" s="870"/>
      <c r="C401" s="870"/>
      <c r="D401" s="807" t="str">
        <f>+input!B97</f>
        <v>217i</v>
      </c>
      <c r="E401" s="808">
        <f>+MST!L98</f>
        <v>9.61</v>
      </c>
      <c r="F401" s="808">
        <f>+MST!M98</f>
        <v>-0.23</v>
      </c>
      <c r="G401" s="808">
        <f>+MST!N98</f>
        <v>45.32</v>
      </c>
      <c r="H401" s="808">
        <f>+MST!O98</f>
        <v>8.65</v>
      </c>
      <c r="I401" s="808">
        <f>+MST!P98</f>
        <v>13.15</v>
      </c>
      <c r="J401" s="808">
        <f>+MST!Z98</f>
        <v>1228.8800000000001</v>
      </c>
      <c r="K401" s="808">
        <f>+MST!AA98</f>
        <v>-1259.92</v>
      </c>
      <c r="L401" s="808">
        <f>MST!AH98</f>
        <v>0</v>
      </c>
      <c r="M401" s="809">
        <f>MST!AI98</f>
        <v>0</v>
      </c>
      <c r="P401" s="870"/>
      <c r="Q401" s="870"/>
      <c r="R401" s="870"/>
      <c r="S401" s="870"/>
      <c r="T401" s="870"/>
      <c r="U401" s="870"/>
      <c r="V401" s="870"/>
      <c r="X401" s="143"/>
      <c r="Z401" s="143"/>
      <c r="AB401" s="73"/>
      <c r="AC401" s="73"/>
      <c r="AD401" s="73"/>
      <c r="AE401" s="73"/>
      <c r="AF401" s="73"/>
      <c r="AG401" s="73"/>
      <c r="AH401" s="73"/>
      <c r="AI401" s="73"/>
      <c r="AM401" s="143"/>
      <c r="AN401" s="143"/>
      <c r="AO401" s="143"/>
      <c r="AP401" s="143"/>
      <c r="AQ401" s="143"/>
      <c r="AR401" s="143"/>
      <c r="AS401" s="143"/>
      <c r="AT401" s="143"/>
    </row>
    <row r="402" spans="1:46" ht="15" customHeight="1">
      <c r="A402" s="870"/>
      <c r="B402" s="870"/>
      <c r="C402" s="870"/>
      <c r="D402" s="807" t="str">
        <f>+input!B98</f>
        <v>217j</v>
      </c>
      <c r="E402" s="808">
        <f>+MST!L99</f>
        <v>9.61</v>
      </c>
      <c r="F402" s="808">
        <f>+MST!M99</f>
        <v>-0.23</v>
      </c>
      <c r="G402" s="808">
        <f>+MST!N99</f>
        <v>49.42</v>
      </c>
      <c r="H402" s="808">
        <f>+MST!O99</f>
        <v>-135.85</v>
      </c>
      <c r="I402" s="808">
        <f>+MST!P99</f>
        <v>19.7</v>
      </c>
      <c r="J402" s="808">
        <f>+MST!Z99</f>
        <v>1221.68</v>
      </c>
      <c r="K402" s="808">
        <f>+MST!AA99</f>
        <v>-1259.92</v>
      </c>
      <c r="L402" s="808">
        <f>MST!AH99</f>
        <v>0</v>
      </c>
      <c r="M402" s="809">
        <f>MST!AI99</f>
        <v>0</v>
      </c>
      <c r="P402" s="870"/>
      <c r="Q402" s="870"/>
      <c r="R402" s="870"/>
      <c r="S402" s="870"/>
      <c r="T402" s="870"/>
      <c r="U402" s="870"/>
      <c r="V402" s="870"/>
      <c r="X402" s="143"/>
      <c r="Z402" s="143"/>
      <c r="AB402" s="73"/>
      <c r="AC402" s="73"/>
      <c r="AD402" s="73"/>
      <c r="AE402" s="73"/>
      <c r="AF402" s="73"/>
      <c r="AG402" s="73"/>
      <c r="AH402" s="73"/>
      <c r="AI402" s="73"/>
      <c r="AM402" s="143"/>
      <c r="AN402" s="143"/>
      <c r="AO402" s="143"/>
      <c r="AP402" s="143"/>
      <c r="AQ402" s="143"/>
      <c r="AR402" s="143"/>
      <c r="AS402" s="143"/>
      <c r="AT402" s="143"/>
    </row>
    <row r="403" spans="1:46" ht="15" customHeight="1">
      <c r="A403" s="870"/>
      <c r="B403" s="870"/>
      <c r="C403" s="870"/>
      <c r="D403" s="807" t="str">
        <f>+input!B99</f>
        <v>218i</v>
      </c>
      <c r="E403" s="808">
        <f>+MST!L100</f>
        <v>9.61</v>
      </c>
      <c r="F403" s="808">
        <f>+MST!M100</f>
        <v>-0.23</v>
      </c>
      <c r="G403" s="808">
        <f>+MST!N100</f>
        <v>49.42</v>
      </c>
      <c r="H403" s="808">
        <f>+MST!O100</f>
        <v>-135.85</v>
      </c>
      <c r="I403" s="808">
        <f>+MST!P100</f>
        <v>19.7</v>
      </c>
      <c r="J403" s="808">
        <f>+MST!Z100</f>
        <v>1221.68</v>
      </c>
      <c r="K403" s="808">
        <f>+MST!AA100</f>
        <v>-1259.92</v>
      </c>
      <c r="L403" s="808">
        <f>MST!AH100</f>
        <v>0</v>
      </c>
      <c r="M403" s="809">
        <f>MST!AI100</f>
        <v>0</v>
      </c>
      <c r="P403" s="870"/>
      <c r="Q403" s="870"/>
      <c r="R403" s="870"/>
      <c r="S403" s="870"/>
      <c r="T403" s="870"/>
      <c r="U403" s="870"/>
      <c r="V403" s="870"/>
      <c r="X403" s="143"/>
      <c r="Z403" s="143"/>
      <c r="AB403" s="73"/>
      <c r="AC403" s="73"/>
      <c r="AD403" s="73"/>
      <c r="AE403" s="73"/>
      <c r="AF403" s="73"/>
      <c r="AG403" s="73"/>
      <c r="AH403" s="73"/>
      <c r="AI403" s="73"/>
      <c r="AM403" s="143"/>
      <c r="AN403" s="143"/>
      <c r="AO403" s="143"/>
      <c r="AP403" s="143"/>
      <c r="AQ403" s="143"/>
      <c r="AR403" s="143"/>
      <c r="AS403" s="143"/>
      <c r="AT403" s="143"/>
    </row>
    <row r="404" spans="1:46" ht="15" customHeight="1">
      <c r="A404" s="870"/>
      <c r="B404" s="870"/>
      <c r="C404" s="870"/>
      <c r="D404" s="807" t="str">
        <f>+input!B100</f>
        <v>218j</v>
      </c>
      <c r="E404" s="808">
        <f>+MST!L101</f>
        <v>9.61</v>
      </c>
      <c r="F404" s="808">
        <f>+MST!M101</f>
        <v>-0.23</v>
      </c>
      <c r="G404" s="808">
        <f>+MST!N101</f>
        <v>52.29</v>
      </c>
      <c r="H404" s="808">
        <f>+MST!O101</f>
        <v>-237</v>
      </c>
      <c r="I404" s="808">
        <f>+MST!P101</f>
        <v>24.28</v>
      </c>
      <c r="J404" s="808">
        <f>+MST!Z101</f>
        <v>1216.67</v>
      </c>
      <c r="K404" s="808">
        <f>+MST!AA101</f>
        <v>-1264.0899999999999</v>
      </c>
      <c r="L404" s="808">
        <f>MST!AH101</f>
        <v>0</v>
      </c>
      <c r="M404" s="809">
        <f>MST!AI101</f>
        <v>0</v>
      </c>
      <c r="P404" s="870"/>
      <c r="Q404" s="870"/>
      <c r="R404" s="870"/>
      <c r="S404" s="870"/>
      <c r="T404" s="870"/>
      <c r="U404" s="870"/>
      <c r="V404" s="870"/>
      <c r="X404" s="143"/>
      <c r="Z404" s="143"/>
      <c r="AB404" s="73"/>
      <c r="AC404" s="73"/>
      <c r="AD404" s="73"/>
      <c r="AE404" s="73"/>
      <c r="AF404" s="73"/>
      <c r="AG404" s="73"/>
      <c r="AH404" s="73"/>
      <c r="AI404" s="73"/>
      <c r="AM404" s="143"/>
      <c r="AN404" s="143"/>
      <c r="AO404" s="143"/>
      <c r="AP404" s="143"/>
      <c r="AQ404" s="143"/>
      <c r="AR404" s="143"/>
      <c r="AS404" s="143"/>
      <c r="AT404" s="143"/>
    </row>
    <row r="405" spans="1:46" ht="15" customHeight="1">
      <c r="A405" s="870"/>
      <c r="B405" s="870"/>
      <c r="C405" s="870"/>
      <c r="D405" s="807" t="str">
        <f>+input!B101</f>
        <v>219i</v>
      </c>
      <c r="E405" s="808">
        <f>+MST!L102</f>
        <v>9.61</v>
      </c>
      <c r="F405" s="808">
        <f>+MST!M102</f>
        <v>-0.23</v>
      </c>
      <c r="G405" s="808">
        <f>+MST!N102</f>
        <v>52.29</v>
      </c>
      <c r="H405" s="808">
        <f>+MST!O102</f>
        <v>-237</v>
      </c>
      <c r="I405" s="808">
        <f>+MST!P102</f>
        <v>24.28</v>
      </c>
      <c r="J405" s="808">
        <f>+MST!Z102</f>
        <v>1216.67</v>
      </c>
      <c r="K405" s="808">
        <f>+MST!AA102</f>
        <v>-1264.0899999999999</v>
      </c>
      <c r="L405" s="808">
        <f>MST!AH102</f>
        <v>0</v>
      </c>
      <c r="M405" s="809">
        <f>MST!AI102</f>
        <v>0</v>
      </c>
      <c r="P405" s="870"/>
      <c r="Q405" s="870"/>
      <c r="R405" s="870"/>
      <c r="S405" s="870"/>
      <c r="T405" s="870"/>
      <c r="U405" s="870"/>
      <c r="V405" s="870"/>
      <c r="X405" s="143"/>
      <c r="Z405" s="143"/>
      <c r="AB405" s="73"/>
      <c r="AC405" s="73"/>
      <c r="AD405" s="73"/>
      <c r="AE405" s="73"/>
      <c r="AF405" s="73"/>
      <c r="AG405" s="73"/>
      <c r="AH405" s="73"/>
      <c r="AI405" s="73"/>
      <c r="AM405" s="143"/>
      <c r="AN405" s="143"/>
      <c r="AO405" s="143"/>
      <c r="AP405" s="143"/>
      <c r="AQ405" s="143"/>
      <c r="AR405" s="143"/>
      <c r="AS405" s="143"/>
      <c r="AT405" s="143"/>
    </row>
    <row r="406" spans="1:46" ht="15" customHeight="1">
      <c r="A406" s="870"/>
      <c r="B406" s="870"/>
      <c r="C406" s="870"/>
      <c r="D406" s="807" t="str">
        <f>+input!B102</f>
        <v>219j</v>
      </c>
      <c r="E406" s="808">
        <f>+MST!L103</f>
        <v>9.61</v>
      </c>
      <c r="F406" s="808">
        <f>+MST!M103</f>
        <v>-0.23</v>
      </c>
      <c r="G406" s="808">
        <f>+MST!N103</f>
        <v>53.52</v>
      </c>
      <c r="H406" s="808">
        <f>+MST!O103</f>
        <v>-280.35000000000002</v>
      </c>
      <c r="I406" s="808">
        <f>+MST!P103</f>
        <v>26.25</v>
      </c>
      <c r="J406" s="808">
        <f>+MST!Z103</f>
        <v>1215.55</v>
      </c>
      <c r="K406" s="808">
        <f>+MST!AA103</f>
        <v>-1268.42</v>
      </c>
      <c r="L406" s="808">
        <f>MST!AH103</f>
        <v>0</v>
      </c>
      <c r="M406" s="809">
        <f>MST!AI103</f>
        <v>0</v>
      </c>
      <c r="P406" s="870"/>
      <c r="Q406" s="870"/>
      <c r="R406" s="870"/>
      <c r="S406" s="870"/>
      <c r="T406" s="870"/>
      <c r="U406" s="870"/>
      <c r="V406" s="870"/>
      <c r="X406" s="143"/>
      <c r="Z406" s="143"/>
      <c r="AB406" s="73"/>
      <c r="AC406" s="73"/>
      <c r="AD406" s="73"/>
      <c r="AE406" s="73"/>
      <c r="AF406" s="73"/>
      <c r="AG406" s="73"/>
      <c r="AH406" s="73"/>
      <c r="AI406" s="73"/>
      <c r="AM406" s="143"/>
      <c r="AN406" s="143"/>
      <c r="AO406" s="143"/>
      <c r="AP406" s="143"/>
      <c r="AQ406" s="143"/>
      <c r="AR406" s="143"/>
      <c r="AS406" s="143"/>
      <c r="AT406" s="143"/>
    </row>
    <row r="407" spans="1:46" ht="15" customHeight="1">
      <c r="A407" s="870"/>
      <c r="B407" s="870"/>
      <c r="C407" s="870"/>
      <c r="D407" s="807" t="str">
        <f>+input!B103</f>
        <v>220i</v>
      </c>
      <c r="E407" s="808">
        <f>+MST!L104</f>
        <v>-7.99</v>
      </c>
      <c r="F407" s="808">
        <f>+MST!M104</f>
        <v>0.22</v>
      </c>
      <c r="G407" s="808">
        <f>+MST!N104</f>
        <v>-50.55</v>
      </c>
      <c r="H407" s="808">
        <f>+MST!O104</f>
        <v>266.55</v>
      </c>
      <c r="I407" s="808">
        <f>+MST!P104</f>
        <v>-24.2</v>
      </c>
      <c r="J407" s="808">
        <f>+MST!Z104</f>
        <v>1036.51</v>
      </c>
      <c r="K407" s="808">
        <f>+MST!AA104</f>
        <v>-975.63</v>
      </c>
      <c r="L407" s="808">
        <f>MST!AH104</f>
        <v>0</v>
      </c>
      <c r="M407" s="809">
        <f>MST!AI104</f>
        <v>0</v>
      </c>
      <c r="P407" s="870"/>
      <c r="Q407" s="870"/>
      <c r="R407" s="870"/>
      <c r="S407" s="870"/>
      <c r="T407" s="870"/>
      <c r="U407" s="870"/>
      <c r="V407" s="870"/>
      <c r="X407" s="143"/>
      <c r="Z407" s="143"/>
      <c r="AB407" s="73"/>
      <c r="AC407" s="73"/>
      <c r="AD407" s="73"/>
      <c r="AE407" s="73"/>
      <c r="AF407" s="73"/>
      <c r="AG407" s="73"/>
      <c r="AH407" s="73"/>
      <c r="AI407" s="73"/>
      <c r="AM407" s="143"/>
      <c r="AN407" s="143"/>
      <c r="AO407" s="143"/>
      <c r="AP407" s="143"/>
      <c r="AQ407" s="143"/>
      <c r="AR407" s="143"/>
      <c r="AS407" s="143"/>
      <c r="AT407" s="143"/>
    </row>
    <row r="408" spans="1:46" ht="15" customHeight="1">
      <c r="A408" s="870"/>
      <c r="B408" s="870"/>
      <c r="C408" s="870"/>
      <c r="D408" s="807" t="str">
        <f>+input!B104</f>
        <v>220j</v>
      </c>
      <c r="E408" s="808">
        <f>+MST!L105</f>
        <v>-7.99</v>
      </c>
      <c r="F408" s="808">
        <f>+MST!M105</f>
        <v>0.22</v>
      </c>
      <c r="G408" s="808">
        <f>+MST!N105</f>
        <v>-49.32</v>
      </c>
      <c r="H408" s="808">
        <f>+MST!O105</f>
        <v>223.2</v>
      </c>
      <c r="I408" s="808">
        <f>+MST!P105</f>
        <v>-22.23</v>
      </c>
      <c r="J408" s="808">
        <f>+MST!Z105</f>
        <v>1035.44</v>
      </c>
      <c r="K408" s="808">
        <f>+MST!AA105</f>
        <v>-976.72</v>
      </c>
      <c r="L408" s="808">
        <f>MST!AH105</f>
        <v>0</v>
      </c>
      <c r="M408" s="809">
        <f>MST!AI105</f>
        <v>0</v>
      </c>
      <c r="P408" s="870"/>
      <c r="Q408" s="870"/>
      <c r="R408" s="870"/>
      <c r="S408" s="870"/>
      <c r="T408" s="870"/>
      <c r="U408" s="870"/>
      <c r="V408" s="870"/>
      <c r="X408" s="143"/>
      <c r="Z408" s="143"/>
      <c r="AB408" s="73"/>
      <c r="AC408" s="73"/>
      <c r="AD408" s="73"/>
      <c r="AE408" s="73"/>
      <c r="AF408" s="73"/>
      <c r="AG408" s="73"/>
      <c r="AH408" s="73"/>
      <c r="AI408" s="73"/>
      <c r="AM408" s="143"/>
      <c r="AN408" s="143"/>
      <c r="AO408" s="143"/>
      <c r="AP408" s="143"/>
      <c r="AQ408" s="143"/>
      <c r="AR408" s="143"/>
      <c r="AS408" s="143"/>
      <c r="AT408" s="143"/>
    </row>
    <row r="409" spans="1:46" ht="15" customHeight="1">
      <c r="A409" s="870"/>
      <c r="B409" s="870"/>
      <c r="C409" s="870"/>
      <c r="D409" s="807" t="str">
        <f>+input!B105</f>
        <v>221i</v>
      </c>
      <c r="E409" s="808">
        <f>+MST!L106</f>
        <v>-7.99</v>
      </c>
      <c r="F409" s="808">
        <f>+MST!M106</f>
        <v>0.22</v>
      </c>
      <c r="G409" s="808">
        <f>+MST!N106</f>
        <v>-49.32</v>
      </c>
      <c r="H409" s="808">
        <f>+MST!O106</f>
        <v>223.2</v>
      </c>
      <c r="I409" s="808">
        <f>+MST!P106</f>
        <v>-22.23</v>
      </c>
      <c r="J409" s="808">
        <f>+MST!Z106</f>
        <v>1035.44</v>
      </c>
      <c r="K409" s="808">
        <f>+MST!AA106</f>
        <v>-976.72</v>
      </c>
      <c r="L409" s="808">
        <f>MST!AH106</f>
        <v>0</v>
      </c>
      <c r="M409" s="809">
        <f>MST!AI106</f>
        <v>0</v>
      </c>
      <c r="P409" s="870"/>
      <c r="Q409" s="870"/>
      <c r="R409" s="870"/>
      <c r="S409" s="870"/>
      <c r="T409" s="870"/>
      <c r="U409" s="870"/>
      <c r="V409" s="870"/>
      <c r="X409" s="143"/>
      <c r="Z409" s="143"/>
      <c r="AB409" s="73"/>
      <c r="AC409" s="73"/>
      <c r="AD409" s="73"/>
      <c r="AE409" s="73"/>
      <c r="AF409" s="73"/>
      <c r="AG409" s="73"/>
      <c r="AH409" s="73"/>
      <c r="AI409" s="73"/>
      <c r="AM409" s="143"/>
      <c r="AN409" s="143"/>
      <c r="AO409" s="143"/>
      <c r="AP409" s="143"/>
      <c r="AQ409" s="143"/>
      <c r="AR409" s="143"/>
      <c r="AS409" s="143"/>
      <c r="AT409" s="143"/>
    </row>
    <row r="410" spans="1:46" ht="15" customHeight="1">
      <c r="A410" s="870"/>
      <c r="B410" s="870"/>
      <c r="C410" s="870"/>
      <c r="D410" s="948" t="str">
        <f>+input!B106</f>
        <v>221j</v>
      </c>
      <c r="E410" s="949">
        <f>+MST!L107</f>
        <v>-7.99</v>
      </c>
      <c r="F410" s="949">
        <f>+MST!M107</f>
        <v>0.22</v>
      </c>
      <c r="G410" s="949">
        <f>+MST!N107</f>
        <v>-46.45</v>
      </c>
      <c r="H410" s="949">
        <f>+MST!O107</f>
        <v>122.05</v>
      </c>
      <c r="I410" s="949">
        <f>+MST!P107</f>
        <v>-17.649999999999999</v>
      </c>
      <c r="J410" s="949">
        <f>+MST!Z107</f>
        <v>1035.3800000000001</v>
      </c>
      <c r="K410" s="949">
        <f>+MST!AA107</f>
        <v>-981.71</v>
      </c>
      <c r="L410" s="949">
        <f>MST!AH107</f>
        <v>0</v>
      </c>
      <c r="M410" s="950">
        <f>MST!AI107</f>
        <v>0</v>
      </c>
      <c r="P410" s="870"/>
      <c r="Q410" s="870"/>
      <c r="R410" s="870"/>
      <c r="S410" s="870"/>
      <c r="T410" s="870"/>
      <c r="U410" s="870"/>
      <c r="V410" s="870"/>
      <c r="X410" s="143"/>
      <c r="Z410" s="143"/>
      <c r="AB410" s="73"/>
      <c r="AC410" s="73"/>
      <c r="AD410" s="73"/>
      <c r="AE410" s="73"/>
      <c r="AF410" s="73"/>
      <c r="AG410" s="73"/>
      <c r="AH410" s="73"/>
      <c r="AI410" s="73"/>
      <c r="AM410" s="143"/>
      <c r="AN410" s="143"/>
      <c r="AO410" s="143"/>
      <c r="AP410" s="143"/>
      <c r="AQ410" s="143"/>
      <c r="AR410" s="143"/>
      <c r="AS410" s="143"/>
      <c r="AT410" s="143"/>
    </row>
    <row r="411" spans="1:46" ht="15" customHeight="1">
      <c r="A411" s="870"/>
      <c r="B411" s="870"/>
      <c r="C411" s="870"/>
      <c r="D411" s="812" t="str">
        <f>+input!B107</f>
        <v>222i</v>
      </c>
      <c r="E411" s="946">
        <f>+MST!L108</f>
        <v>-7.99</v>
      </c>
      <c r="F411" s="946">
        <f>+MST!M108</f>
        <v>0.22</v>
      </c>
      <c r="G411" s="946">
        <f>+MST!N108</f>
        <v>-46.45</v>
      </c>
      <c r="H411" s="946">
        <f>+MST!O108</f>
        <v>122.05</v>
      </c>
      <c r="I411" s="946">
        <f>+MST!P108</f>
        <v>-17.649999999999999</v>
      </c>
      <c r="J411" s="946">
        <f>+MST!Z108</f>
        <v>1035.3800000000001</v>
      </c>
      <c r="K411" s="946">
        <f>+MST!AA108</f>
        <v>-981.71</v>
      </c>
      <c r="L411" s="946">
        <f>MST!AH108</f>
        <v>0</v>
      </c>
      <c r="M411" s="947">
        <f>MST!AI108</f>
        <v>0</v>
      </c>
      <c r="P411" s="870"/>
      <c r="Q411" s="870"/>
      <c r="R411" s="870"/>
      <c r="S411" s="870"/>
      <c r="T411" s="870"/>
      <c r="U411" s="870"/>
      <c r="V411" s="870"/>
      <c r="X411" s="143"/>
      <c r="Z411" s="143"/>
      <c r="AB411" s="73"/>
      <c r="AC411" s="73"/>
      <c r="AD411" s="73"/>
      <c r="AE411" s="73"/>
      <c r="AF411" s="73"/>
      <c r="AG411" s="73"/>
      <c r="AH411" s="73"/>
      <c r="AI411" s="73"/>
      <c r="AM411" s="143"/>
      <c r="AN411" s="143"/>
      <c r="AO411" s="143"/>
      <c r="AP411" s="143"/>
      <c r="AQ411" s="143"/>
      <c r="AR411" s="143"/>
      <c r="AS411" s="143"/>
      <c r="AT411" s="143"/>
    </row>
    <row r="412" spans="1:46" ht="15" customHeight="1">
      <c r="A412" s="870"/>
      <c r="B412" s="870"/>
      <c r="C412" s="870"/>
      <c r="D412" s="807" t="str">
        <f>+input!B108</f>
        <v>222j</v>
      </c>
      <c r="E412" s="808">
        <f>+MST!L109</f>
        <v>-7.99</v>
      </c>
      <c r="F412" s="808">
        <f>+MST!M109</f>
        <v>0.22</v>
      </c>
      <c r="G412" s="808">
        <f>+MST!N109</f>
        <v>-42.35</v>
      </c>
      <c r="H412" s="808">
        <f>+MST!O109</f>
        <v>-22.45</v>
      </c>
      <c r="I412" s="808">
        <f>+MST!P109</f>
        <v>-11.1</v>
      </c>
      <c r="J412" s="808">
        <f>+MST!Z109</f>
        <v>1035.3800000000001</v>
      </c>
      <c r="K412" s="808">
        <f>+MST!AA109</f>
        <v>-988.92</v>
      </c>
      <c r="L412" s="808">
        <f>MST!AH109</f>
        <v>0</v>
      </c>
      <c r="M412" s="809">
        <f>MST!AI109</f>
        <v>0</v>
      </c>
      <c r="P412" s="870"/>
      <c r="Q412" s="870"/>
      <c r="R412" s="870"/>
      <c r="S412" s="870"/>
      <c r="T412" s="870"/>
      <c r="U412" s="870"/>
      <c r="V412" s="870"/>
      <c r="X412" s="143"/>
      <c r="Z412" s="143"/>
      <c r="AB412" s="73"/>
      <c r="AC412" s="73"/>
      <c r="AD412" s="73"/>
      <c r="AE412" s="73"/>
      <c r="AF412" s="73"/>
      <c r="AG412" s="73"/>
      <c r="AH412" s="73"/>
      <c r="AI412" s="73"/>
      <c r="AM412" s="143"/>
      <c r="AN412" s="143"/>
      <c r="AO412" s="143"/>
      <c r="AP412" s="143"/>
      <c r="AQ412" s="143"/>
      <c r="AR412" s="143"/>
      <c r="AS412" s="143"/>
      <c r="AT412" s="143"/>
    </row>
    <row r="413" spans="1:46" ht="15" customHeight="1">
      <c r="A413" s="870"/>
      <c r="B413" s="870"/>
      <c r="C413" s="870"/>
      <c r="D413" s="807" t="str">
        <f>+input!B109</f>
        <v>223i</v>
      </c>
      <c r="E413" s="808">
        <f>+MST!L110</f>
        <v>-2</v>
      </c>
      <c r="F413" s="808">
        <f>+MST!M110</f>
        <v>-0.05</v>
      </c>
      <c r="G413" s="808">
        <f>+MST!N110</f>
        <v>-15.95</v>
      </c>
      <c r="H413" s="808">
        <f>+MST!O110</f>
        <v>198.15</v>
      </c>
      <c r="I413" s="808">
        <f>+MST!P110</f>
        <v>-13.9</v>
      </c>
      <c r="J413" s="808">
        <f>+MST!Z110</f>
        <v>709.96</v>
      </c>
      <c r="K413" s="808">
        <f>+MST!AA110</f>
        <v>-660.86</v>
      </c>
      <c r="L413" s="808">
        <f>MST!AH110</f>
        <v>0</v>
      </c>
      <c r="M413" s="809">
        <f>MST!AI110</f>
        <v>0</v>
      </c>
      <c r="P413" s="870"/>
      <c r="Q413" s="870"/>
      <c r="R413" s="870"/>
      <c r="S413" s="870"/>
      <c r="T413" s="870"/>
      <c r="U413" s="870"/>
      <c r="V413" s="870"/>
      <c r="X413" s="143"/>
      <c r="Z413" s="143"/>
      <c r="AB413" s="73"/>
      <c r="AC413" s="73"/>
      <c r="AD413" s="73"/>
      <c r="AE413" s="73"/>
      <c r="AF413" s="73"/>
      <c r="AG413" s="73"/>
      <c r="AH413" s="73"/>
      <c r="AI413" s="73"/>
      <c r="AM413" s="143"/>
      <c r="AN413" s="143"/>
      <c r="AO413" s="143"/>
      <c r="AP413" s="143"/>
      <c r="AQ413" s="143"/>
      <c r="AR413" s="143"/>
      <c r="AS413" s="143"/>
      <c r="AT413" s="143"/>
    </row>
    <row r="414" spans="1:46" ht="15" customHeight="1">
      <c r="A414" s="870"/>
      <c r="B414" s="870"/>
      <c r="C414" s="870"/>
      <c r="D414" s="807" t="str">
        <f>+input!B110</f>
        <v>223j</v>
      </c>
      <c r="E414" s="808">
        <f>+MST!L111</f>
        <v>-2</v>
      </c>
      <c r="F414" s="808">
        <f>+MST!M111</f>
        <v>-0.05</v>
      </c>
      <c r="G414" s="808">
        <f>+MST!N111</f>
        <v>-11.85</v>
      </c>
      <c r="H414" s="808">
        <f>+MST!O111</f>
        <v>53.65</v>
      </c>
      <c r="I414" s="808">
        <f>+MST!P111</f>
        <v>-7.35</v>
      </c>
      <c r="J414" s="808">
        <f>+MST!Z111</f>
        <v>695.14</v>
      </c>
      <c r="K414" s="808">
        <f>+MST!AA111</f>
        <v>-668.07</v>
      </c>
      <c r="L414" s="808">
        <f>MST!AH111</f>
        <v>0</v>
      </c>
      <c r="M414" s="809">
        <f>MST!AI111</f>
        <v>0</v>
      </c>
      <c r="P414" s="870"/>
      <c r="Q414" s="870"/>
      <c r="R414" s="870"/>
      <c r="S414" s="870"/>
      <c r="T414" s="870"/>
      <c r="U414" s="870"/>
      <c r="V414" s="870"/>
      <c r="X414" s="143"/>
      <c r="Z414" s="143"/>
      <c r="AB414" s="73"/>
      <c r="AC414" s="73"/>
      <c r="AD414" s="73"/>
      <c r="AE414" s="73"/>
      <c r="AF414" s="73"/>
      <c r="AG414" s="73"/>
      <c r="AH414" s="73"/>
      <c r="AI414" s="73"/>
      <c r="AM414" s="143"/>
      <c r="AN414" s="143"/>
      <c r="AO414" s="143"/>
      <c r="AP414" s="143"/>
      <c r="AQ414" s="143"/>
      <c r="AR414" s="143"/>
      <c r="AS414" s="143"/>
      <c r="AT414" s="143"/>
    </row>
    <row r="415" spans="1:46" ht="15" customHeight="1">
      <c r="A415" s="870"/>
      <c r="B415" s="870"/>
      <c r="C415" s="870"/>
      <c r="D415" s="807" t="str">
        <f>+input!B111</f>
        <v>224i</v>
      </c>
      <c r="E415" s="808">
        <f>+MST!L112</f>
        <v>-2</v>
      </c>
      <c r="F415" s="808">
        <f>+MST!M112</f>
        <v>-0.05</v>
      </c>
      <c r="G415" s="808">
        <f>+MST!N112</f>
        <v>-11.85</v>
      </c>
      <c r="H415" s="808">
        <f>+MST!O112</f>
        <v>53.65</v>
      </c>
      <c r="I415" s="808">
        <f>+MST!P112</f>
        <v>-7.36</v>
      </c>
      <c r="J415" s="808">
        <f>+MST!Z112</f>
        <v>695.14</v>
      </c>
      <c r="K415" s="808">
        <f>+MST!AA112</f>
        <v>-668.07</v>
      </c>
      <c r="L415" s="808">
        <f>MST!AH112</f>
        <v>0</v>
      </c>
      <c r="M415" s="809">
        <f>MST!AI112</f>
        <v>0</v>
      </c>
      <c r="P415" s="870"/>
      <c r="Q415" s="870"/>
      <c r="R415" s="870"/>
      <c r="S415" s="870"/>
      <c r="T415" s="870"/>
      <c r="U415" s="870"/>
      <c r="V415" s="870"/>
      <c r="X415" s="143"/>
      <c r="Z415" s="143"/>
      <c r="AB415" s="73"/>
      <c r="AC415" s="73"/>
      <c r="AD415" s="73"/>
      <c r="AE415" s="73"/>
      <c r="AF415" s="73"/>
      <c r="AG415" s="73"/>
      <c r="AH415" s="73"/>
      <c r="AI415" s="73"/>
      <c r="AM415" s="143"/>
      <c r="AN415" s="143"/>
      <c r="AO415" s="143"/>
      <c r="AP415" s="143"/>
      <c r="AQ415" s="143"/>
      <c r="AR415" s="143"/>
      <c r="AS415" s="143"/>
      <c r="AT415" s="143"/>
    </row>
    <row r="416" spans="1:46" ht="15" customHeight="1">
      <c r="A416" s="870"/>
      <c r="B416" s="870"/>
      <c r="C416" s="870"/>
      <c r="D416" s="807" t="str">
        <f>+input!B112</f>
        <v>224j</v>
      </c>
      <c r="E416" s="808">
        <f>+MST!L113</f>
        <v>-2</v>
      </c>
      <c r="F416" s="808">
        <f>+MST!M113</f>
        <v>-0.05</v>
      </c>
      <c r="G416" s="808">
        <f>+MST!N113</f>
        <v>-7.75</v>
      </c>
      <c r="H416" s="808">
        <f>+MST!O113</f>
        <v>-90.85</v>
      </c>
      <c r="I416" s="808">
        <f>+MST!P113</f>
        <v>-0.81</v>
      </c>
      <c r="J416" s="808">
        <f>+MST!Z113</f>
        <v>694.64</v>
      </c>
      <c r="K416" s="808">
        <f>+MST!AA113</f>
        <v>-686.88</v>
      </c>
      <c r="L416" s="808">
        <f>MST!AH113</f>
        <v>0</v>
      </c>
      <c r="M416" s="809">
        <f>MST!AI113</f>
        <v>0</v>
      </c>
      <c r="P416" s="870"/>
      <c r="Q416" s="870"/>
      <c r="R416" s="870"/>
      <c r="S416" s="870"/>
      <c r="T416" s="870"/>
      <c r="U416" s="870"/>
      <c r="V416" s="870"/>
      <c r="X416" s="143"/>
      <c r="Z416" s="143"/>
      <c r="AB416" s="73"/>
      <c r="AC416" s="73"/>
      <c r="AD416" s="73"/>
      <c r="AE416" s="73"/>
      <c r="AF416" s="73"/>
      <c r="AG416" s="73"/>
      <c r="AH416" s="73"/>
      <c r="AI416" s="73"/>
      <c r="AM416" s="143"/>
      <c r="AN416" s="143"/>
      <c r="AO416" s="143"/>
      <c r="AP416" s="143"/>
      <c r="AQ416" s="143"/>
      <c r="AR416" s="143"/>
      <c r="AS416" s="143"/>
      <c r="AT416" s="143"/>
    </row>
    <row r="417" spans="1:46" ht="15" customHeight="1">
      <c r="A417" s="870"/>
      <c r="B417" s="870"/>
      <c r="C417" s="870"/>
      <c r="D417" s="807" t="str">
        <f>+input!B113</f>
        <v>225i</v>
      </c>
      <c r="E417" s="808">
        <f>+MST!L114</f>
        <v>0.97</v>
      </c>
      <c r="F417" s="808">
        <f>+MST!M114</f>
        <v>-0.01</v>
      </c>
      <c r="G417" s="808">
        <f>+MST!N114</f>
        <v>-1.17</v>
      </c>
      <c r="H417" s="808">
        <f>+MST!O114</f>
        <v>141.93</v>
      </c>
      <c r="I417" s="808">
        <f>+MST!P114</f>
        <v>-5.44</v>
      </c>
      <c r="J417" s="808">
        <f>+MST!Z114</f>
        <v>429.28</v>
      </c>
      <c r="K417" s="808">
        <f>+MST!AA114</f>
        <v>-290.18</v>
      </c>
      <c r="L417" s="808">
        <f>MST!AH114</f>
        <v>0</v>
      </c>
      <c r="M417" s="809">
        <f>MST!AI114</f>
        <v>0</v>
      </c>
      <c r="P417" s="870"/>
      <c r="Q417" s="870"/>
      <c r="R417" s="870"/>
      <c r="S417" s="870"/>
      <c r="T417" s="870"/>
      <c r="U417" s="870"/>
      <c r="V417" s="870"/>
      <c r="X417" s="143"/>
      <c r="Z417" s="143"/>
      <c r="AB417" s="73"/>
      <c r="AC417" s="73"/>
      <c r="AD417" s="73"/>
      <c r="AE417" s="73"/>
      <c r="AF417" s="73"/>
      <c r="AG417" s="73"/>
      <c r="AH417" s="73"/>
      <c r="AI417" s="73"/>
      <c r="AM417" s="143"/>
      <c r="AN417" s="143"/>
      <c r="AO417" s="143"/>
      <c r="AP417" s="143"/>
      <c r="AQ417" s="143"/>
      <c r="AR417" s="143"/>
      <c r="AS417" s="143"/>
      <c r="AT417" s="143"/>
    </row>
    <row r="418" spans="1:46" ht="15" customHeight="1">
      <c r="A418" s="870"/>
      <c r="B418" s="870"/>
      <c r="C418" s="870"/>
      <c r="D418" s="807" t="str">
        <f>+input!B114</f>
        <v>225j</v>
      </c>
      <c r="E418" s="808">
        <f>+MST!L115</f>
        <v>0.97</v>
      </c>
      <c r="F418" s="808">
        <f>+MST!M115</f>
        <v>-0.01</v>
      </c>
      <c r="G418" s="808">
        <f>+MST!N115</f>
        <v>2.93</v>
      </c>
      <c r="H418" s="808">
        <f>+MST!O115</f>
        <v>-2.57</v>
      </c>
      <c r="I418" s="808">
        <f>+MST!P115</f>
        <v>1.1100000000000001</v>
      </c>
      <c r="J418" s="808">
        <f>+MST!Z115</f>
        <v>359.79</v>
      </c>
      <c r="K418" s="808">
        <f>+MST!AA115</f>
        <v>-326.24</v>
      </c>
      <c r="L418" s="808">
        <f>MST!AH115</f>
        <v>0</v>
      </c>
      <c r="M418" s="809">
        <f>MST!AI115</f>
        <v>0</v>
      </c>
      <c r="P418" s="870"/>
      <c r="Q418" s="870"/>
      <c r="R418" s="870"/>
      <c r="S418" s="870"/>
      <c r="T418" s="870"/>
      <c r="U418" s="870"/>
      <c r="V418" s="870"/>
      <c r="X418" s="143"/>
      <c r="Z418" s="143"/>
      <c r="AB418" s="73"/>
      <c r="AC418" s="73"/>
      <c r="AD418" s="73"/>
      <c r="AE418" s="73"/>
      <c r="AF418" s="73"/>
      <c r="AG418" s="73"/>
      <c r="AH418" s="73"/>
      <c r="AI418" s="73"/>
      <c r="AM418" s="143"/>
      <c r="AN418" s="143"/>
      <c r="AO418" s="143"/>
      <c r="AP418" s="143"/>
      <c r="AQ418" s="143"/>
      <c r="AR418" s="143"/>
      <c r="AS418" s="143"/>
      <c r="AT418" s="143"/>
    </row>
    <row r="419" spans="1:46" ht="15" customHeight="1">
      <c r="A419" s="870"/>
      <c r="B419" s="870"/>
      <c r="C419" s="870"/>
      <c r="D419" s="807" t="str">
        <f>+input!B115</f>
        <v>226i</v>
      </c>
      <c r="E419" s="808">
        <f>+MST!L116</f>
        <v>0.97</v>
      </c>
      <c r="F419" s="808">
        <f>+MST!M116</f>
        <v>-0.01</v>
      </c>
      <c r="G419" s="808">
        <f>+MST!N116</f>
        <v>2.93</v>
      </c>
      <c r="H419" s="808">
        <f>+MST!O116</f>
        <v>-2.57</v>
      </c>
      <c r="I419" s="808">
        <f>+MST!P116</f>
        <v>1.1100000000000001</v>
      </c>
      <c r="J419" s="808">
        <f>+MST!Z116</f>
        <v>359.79</v>
      </c>
      <c r="K419" s="808">
        <f>+MST!AA116</f>
        <v>-326.24</v>
      </c>
      <c r="L419" s="808">
        <f>MST!AH116</f>
        <v>0</v>
      </c>
      <c r="M419" s="809">
        <f>MST!AI116</f>
        <v>0</v>
      </c>
      <c r="P419" s="870"/>
      <c r="Q419" s="870"/>
      <c r="R419" s="870"/>
      <c r="S419" s="870"/>
      <c r="T419" s="870"/>
      <c r="U419" s="870"/>
      <c r="V419" s="870"/>
      <c r="X419" s="143"/>
      <c r="Z419" s="143"/>
      <c r="AB419" s="73"/>
      <c r="AC419" s="73"/>
      <c r="AD419" s="73"/>
      <c r="AE419" s="73"/>
      <c r="AF419" s="73"/>
      <c r="AG419" s="73"/>
      <c r="AH419" s="73"/>
      <c r="AI419" s="73"/>
      <c r="AM419" s="143"/>
      <c r="AN419" s="143"/>
      <c r="AO419" s="143"/>
      <c r="AP419" s="143"/>
      <c r="AQ419" s="143"/>
      <c r="AR419" s="143"/>
      <c r="AS419" s="143"/>
      <c r="AT419" s="143"/>
    </row>
    <row r="420" spans="1:46" ht="15" customHeight="1">
      <c r="A420" s="870"/>
      <c r="B420" s="870"/>
      <c r="C420" s="870"/>
      <c r="D420" s="807" t="str">
        <f>+input!B116</f>
        <v>226j</v>
      </c>
      <c r="E420" s="808">
        <f>+MST!L117</f>
        <v>0.97</v>
      </c>
      <c r="F420" s="808">
        <f>+MST!M117</f>
        <v>-0.01</v>
      </c>
      <c r="G420" s="808">
        <f>+MST!N117</f>
        <v>7.03</v>
      </c>
      <c r="H420" s="808">
        <f>+MST!O117</f>
        <v>-147.07</v>
      </c>
      <c r="I420" s="808">
        <f>+MST!P117</f>
        <v>7.66</v>
      </c>
      <c r="J420" s="808">
        <f>+MST!Z117</f>
        <v>332.06</v>
      </c>
      <c r="K420" s="808">
        <f>+MST!AA117</f>
        <v>-406.03</v>
      </c>
      <c r="L420" s="808">
        <f>MST!AH117</f>
        <v>0</v>
      </c>
      <c r="M420" s="809">
        <f>MST!AI117</f>
        <v>0</v>
      </c>
      <c r="P420" s="870"/>
      <c r="Q420" s="870"/>
      <c r="R420" s="870"/>
      <c r="S420" s="870"/>
      <c r="T420" s="870"/>
      <c r="U420" s="870"/>
      <c r="V420" s="870"/>
      <c r="X420" s="143"/>
      <c r="Z420" s="143"/>
      <c r="AB420" s="73"/>
      <c r="AC420" s="73"/>
      <c r="AD420" s="73"/>
      <c r="AE420" s="73"/>
      <c r="AF420" s="73"/>
      <c r="AG420" s="73"/>
      <c r="AH420" s="73"/>
      <c r="AI420" s="73"/>
      <c r="AM420" s="143"/>
      <c r="AN420" s="143"/>
      <c r="AO420" s="143"/>
      <c r="AP420" s="143"/>
      <c r="AQ420" s="143"/>
      <c r="AR420" s="143"/>
      <c r="AS420" s="143"/>
      <c r="AT420" s="143"/>
    </row>
    <row r="421" spans="1:46" ht="15" customHeight="1">
      <c r="A421" s="870"/>
      <c r="B421" s="870"/>
      <c r="C421" s="870"/>
      <c r="D421" s="807" t="str">
        <f>+input!B117</f>
        <v>227i</v>
      </c>
      <c r="E421" s="808">
        <f>+MST!L118</f>
        <v>1.29</v>
      </c>
      <c r="F421" s="808">
        <f>+MST!M118</f>
        <v>-0.01</v>
      </c>
      <c r="G421" s="808">
        <f>+MST!N118</f>
        <v>1.08</v>
      </c>
      <c r="H421" s="808">
        <f>+MST!O118</f>
        <v>83.12</v>
      </c>
      <c r="I421" s="808">
        <f>+MST!P118</f>
        <v>1.81</v>
      </c>
      <c r="J421" s="808">
        <f>+MST!Z118</f>
        <v>502.43</v>
      </c>
      <c r="K421" s="808">
        <f>+MST!AA118</f>
        <v>-444.71</v>
      </c>
      <c r="L421" s="808">
        <f>MST!AH118</f>
        <v>0</v>
      </c>
      <c r="M421" s="809">
        <f>MST!AI118</f>
        <v>0</v>
      </c>
      <c r="P421" s="870"/>
      <c r="Q421" s="870"/>
      <c r="R421" s="870"/>
      <c r="S421" s="870"/>
      <c r="T421" s="870"/>
      <c r="U421" s="870"/>
      <c r="V421" s="870"/>
      <c r="X421" s="143"/>
      <c r="Z421" s="143"/>
      <c r="AB421" s="73"/>
      <c r="AC421" s="73"/>
      <c r="AD421" s="73"/>
      <c r="AE421" s="73"/>
      <c r="AF421" s="73"/>
      <c r="AG421" s="73"/>
      <c r="AH421" s="73"/>
      <c r="AI421" s="73"/>
      <c r="AM421" s="143"/>
      <c r="AN421" s="143"/>
      <c r="AO421" s="143"/>
      <c r="AP421" s="143"/>
      <c r="AQ421" s="143"/>
      <c r="AR421" s="143"/>
      <c r="AS421" s="143"/>
      <c r="AT421" s="143"/>
    </row>
    <row r="422" spans="1:46" ht="15" customHeight="1">
      <c r="A422" s="870"/>
      <c r="B422" s="870"/>
      <c r="C422" s="870"/>
      <c r="D422" s="807" t="str">
        <f>+input!B118</f>
        <v>227j</v>
      </c>
      <c r="E422" s="808">
        <f>+MST!L119</f>
        <v>1.29</v>
      </c>
      <c r="F422" s="808">
        <f>+MST!M119</f>
        <v>-0.01</v>
      </c>
      <c r="G422" s="808">
        <f>+MST!N119</f>
        <v>5.18</v>
      </c>
      <c r="H422" s="808">
        <f>+MST!O119</f>
        <v>-61.38</v>
      </c>
      <c r="I422" s="808">
        <f>+MST!P119</f>
        <v>8.36</v>
      </c>
      <c r="J422" s="808">
        <f>+MST!Z119</f>
        <v>430.15</v>
      </c>
      <c r="K422" s="808">
        <f>+MST!AA119</f>
        <v>-447.49</v>
      </c>
      <c r="L422" s="808">
        <f>MST!AH119</f>
        <v>0</v>
      </c>
      <c r="M422" s="809">
        <f>MST!AI119</f>
        <v>0</v>
      </c>
      <c r="P422" s="870"/>
      <c r="Q422" s="870"/>
      <c r="R422" s="870"/>
      <c r="S422" s="870"/>
      <c r="T422" s="870"/>
      <c r="U422" s="870"/>
      <c r="V422" s="870"/>
      <c r="X422" s="143"/>
      <c r="Z422" s="143"/>
      <c r="AB422" s="73"/>
      <c r="AC422" s="73"/>
      <c r="AD422" s="73"/>
      <c r="AE422" s="73"/>
      <c r="AF422" s="73"/>
      <c r="AG422" s="73"/>
      <c r="AH422" s="73"/>
      <c r="AI422" s="73"/>
      <c r="AM422" s="143"/>
      <c r="AN422" s="143"/>
      <c r="AO422" s="143"/>
      <c r="AP422" s="143"/>
      <c r="AQ422" s="143"/>
      <c r="AR422" s="143"/>
      <c r="AS422" s="143"/>
      <c r="AT422" s="143"/>
    </row>
    <row r="423" spans="1:46" ht="15" customHeight="1">
      <c r="A423" s="870"/>
      <c r="B423" s="870"/>
      <c r="C423" s="870"/>
      <c r="D423" s="807" t="str">
        <f>+input!B119</f>
        <v>228i</v>
      </c>
      <c r="E423" s="808">
        <f>+MST!L120</f>
        <v>1.29</v>
      </c>
      <c r="F423" s="808">
        <f>+MST!M120</f>
        <v>-0.01</v>
      </c>
      <c r="G423" s="808">
        <f>+MST!N120</f>
        <v>5.18</v>
      </c>
      <c r="H423" s="808">
        <f>+MST!O120</f>
        <v>-61.38</v>
      </c>
      <c r="I423" s="808">
        <f>+MST!P120</f>
        <v>8.36</v>
      </c>
      <c r="J423" s="808">
        <f>+MST!Z120</f>
        <v>430.15</v>
      </c>
      <c r="K423" s="808">
        <f>+MST!AA120</f>
        <v>-447.49</v>
      </c>
      <c r="L423" s="808">
        <f>MST!AH120</f>
        <v>0</v>
      </c>
      <c r="M423" s="809">
        <f>MST!AI120</f>
        <v>0</v>
      </c>
      <c r="P423" s="870"/>
      <c r="Q423" s="870"/>
      <c r="R423" s="870"/>
      <c r="S423" s="870"/>
      <c r="T423" s="870"/>
      <c r="U423" s="870"/>
      <c r="V423" s="870"/>
      <c r="X423" s="143"/>
      <c r="Z423" s="143"/>
      <c r="AB423" s="73"/>
      <c r="AC423" s="73"/>
      <c r="AD423" s="73"/>
      <c r="AE423" s="73"/>
      <c r="AF423" s="73"/>
      <c r="AG423" s="73"/>
      <c r="AH423" s="73"/>
      <c r="AI423" s="73"/>
      <c r="AM423" s="143"/>
      <c r="AN423" s="143"/>
      <c r="AO423" s="143"/>
      <c r="AP423" s="143"/>
      <c r="AQ423" s="143"/>
      <c r="AR423" s="143"/>
      <c r="AS423" s="143"/>
      <c r="AT423" s="143"/>
    </row>
    <row r="424" spans="1:46" ht="15" customHeight="1">
      <c r="A424" s="870"/>
      <c r="B424" s="870"/>
      <c r="C424" s="870"/>
      <c r="D424" s="807" t="str">
        <f>+input!B120</f>
        <v>228j</v>
      </c>
      <c r="E424" s="808">
        <f>+MST!L121</f>
        <v>1.29</v>
      </c>
      <c r="F424" s="808">
        <f>+MST!M121</f>
        <v>-0.01</v>
      </c>
      <c r="G424" s="808">
        <f>+MST!N121</f>
        <v>9.2799999999999994</v>
      </c>
      <c r="H424" s="808">
        <f>+MST!O121</f>
        <v>-205.88</v>
      </c>
      <c r="I424" s="808">
        <f>+MST!P121</f>
        <v>14.91</v>
      </c>
      <c r="J424" s="808">
        <f>+MST!Z121</f>
        <v>415.68</v>
      </c>
      <c r="K424" s="808">
        <f>+MST!AA121</f>
        <v>-478.22</v>
      </c>
      <c r="L424" s="808">
        <f>MST!AH121</f>
        <v>0</v>
      </c>
      <c r="M424" s="809">
        <f>MST!AI121</f>
        <v>0</v>
      </c>
      <c r="P424" s="870"/>
      <c r="Q424" s="870"/>
      <c r="R424" s="870"/>
      <c r="S424" s="870"/>
      <c r="T424" s="870"/>
      <c r="U424" s="870"/>
      <c r="V424" s="870"/>
      <c r="X424" s="143"/>
      <c r="Z424" s="143"/>
      <c r="AB424" s="73"/>
      <c r="AC424" s="73"/>
      <c r="AD424" s="73"/>
      <c r="AE424" s="73"/>
      <c r="AF424" s="73"/>
      <c r="AG424" s="73"/>
      <c r="AH424" s="73"/>
      <c r="AI424" s="73"/>
      <c r="AM424" s="143"/>
      <c r="AN424" s="143"/>
      <c r="AO424" s="143"/>
      <c r="AP424" s="143"/>
      <c r="AQ424" s="143"/>
      <c r="AR424" s="143"/>
      <c r="AS424" s="143"/>
      <c r="AT424" s="143"/>
    </row>
    <row r="425" spans="1:46" ht="15" customHeight="1">
      <c r="A425" s="870"/>
      <c r="B425" s="870"/>
      <c r="C425" s="870"/>
      <c r="D425" s="807" t="str">
        <f>+input!B121</f>
        <v>229i</v>
      </c>
      <c r="E425" s="808">
        <f>+MST!L122</f>
        <v>4.9400000000000004</v>
      </c>
      <c r="F425" s="808">
        <f>+MST!M122</f>
        <v>-0.01</v>
      </c>
      <c r="G425" s="808">
        <f>+MST!N122</f>
        <v>29.13</v>
      </c>
      <c r="H425" s="808">
        <f>+MST!O122</f>
        <v>10.81</v>
      </c>
      <c r="I425" s="808">
        <f>+MST!P122</f>
        <v>13.59</v>
      </c>
      <c r="J425" s="808">
        <f>+MST!Z122</f>
        <v>618</v>
      </c>
      <c r="K425" s="808">
        <f>+MST!AA122</f>
        <v>-652.4</v>
      </c>
      <c r="L425" s="808">
        <f>MST!AH122</f>
        <v>0</v>
      </c>
      <c r="M425" s="809">
        <f>MST!AI122</f>
        <v>0</v>
      </c>
      <c r="P425" s="870"/>
      <c r="Q425" s="870"/>
      <c r="R425" s="870"/>
      <c r="S425" s="870"/>
      <c r="T425" s="870"/>
      <c r="U425" s="870"/>
      <c r="V425" s="870"/>
      <c r="X425" s="143"/>
      <c r="Z425" s="143"/>
      <c r="AB425" s="73"/>
      <c r="AC425" s="73"/>
      <c r="AD425" s="73"/>
      <c r="AE425" s="73"/>
      <c r="AF425" s="73"/>
      <c r="AG425" s="73"/>
      <c r="AH425" s="73"/>
      <c r="AI425" s="73"/>
      <c r="AM425" s="143"/>
      <c r="AN425" s="143"/>
      <c r="AO425" s="143"/>
      <c r="AP425" s="143"/>
      <c r="AQ425" s="143"/>
      <c r="AR425" s="143"/>
      <c r="AS425" s="143"/>
      <c r="AT425" s="143"/>
    </row>
    <row r="426" spans="1:46" ht="15" customHeight="1">
      <c r="A426" s="870"/>
      <c r="B426" s="870"/>
      <c r="C426" s="870"/>
      <c r="D426" s="807" t="str">
        <f>+input!B122</f>
        <v>229j</v>
      </c>
      <c r="E426" s="808">
        <f>+MST!L123</f>
        <v>4.9400000000000004</v>
      </c>
      <c r="F426" s="808">
        <f>+MST!M123</f>
        <v>-0.01</v>
      </c>
      <c r="G426" s="808">
        <f>+MST!N123</f>
        <v>34.44</v>
      </c>
      <c r="H426" s="808">
        <f>+MST!O123</f>
        <v>-176.17</v>
      </c>
      <c r="I426" s="808">
        <f>+MST!P123</f>
        <v>22.07</v>
      </c>
      <c r="J426" s="808">
        <f>+MST!Z123</f>
        <v>601.87</v>
      </c>
      <c r="K426" s="808">
        <f>+MST!AA123</f>
        <v>-662.38</v>
      </c>
      <c r="L426" s="808">
        <f>MST!AH123</f>
        <v>0</v>
      </c>
      <c r="M426" s="809">
        <f>MST!AI123</f>
        <v>0</v>
      </c>
      <c r="P426" s="870"/>
      <c r="Q426" s="870"/>
      <c r="R426" s="870"/>
      <c r="S426" s="870"/>
      <c r="T426" s="870"/>
      <c r="U426" s="870"/>
      <c r="V426" s="870"/>
      <c r="X426" s="143"/>
      <c r="Z426" s="143"/>
      <c r="AB426" s="73"/>
      <c r="AC426" s="73"/>
      <c r="AD426" s="73"/>
      <c r="AE426" s="73"/>
      <c r="AF426" s="73"/>
      <c r="AG426" s="73"/>
      <c r="AH426" s="73"/>
      <c r="AI426" s="73"/>
      <c r="AM426" s="143"/>
      <c r="AN426" s="143"/>
      <c r="AO426" s="143"/>
      <c r="AP426" s="143"/>
      <c r="AQ426" s="143"/>
      <c r="AR426" s="143"/>
      <c r="AS426" s="143"/>
      <c r="AT426" s="143"/>
    </row>
    <row r="427" spans="1:46" ht="15" customHeight="1">
      <c r="A427" s="870"/>
      <c r="B427" s="870"/>
      <c r="C427" s="870"/>
      <c r="D427" s="807" t="str">
        <f>+input!B123</f>
        <v>230i</v>
      </c>
      <c r="E427" s="808">
        <f>+MST!L124</f>
        <v>4.9400000000000004</v>
      </c>
      <c r="F427" s="808">
        <f>+MST!M124</f>
        <v>-0.01</v>
      </c>
      <c r="G427" s="808">
        <f>+MST!N124</f>
        <v>34.44</v>
      </c>
      <c r="H427" s="808">
        <f>+MST!O124</f>
        <v>-176.17</v>
      </c>
      <c r="I427" s="808">
        <f>+MST!P124</f>
        <v>22.07</v>
      </c>
      <c r="J427" s="808">
        <f>+MST!Z124</f>
        <v>601.87</v>
      </c>
      <c r="K427" s="808">
        <f>+MST!AA124</f>
        <v>-662.38</v>
      </c>
      <c r="L427" s="808">
        <f>MST!AH124</f>
        <v>0</v>
      </c>
      <c r="M427" s="809">
        <f>MST!AI124</f>
        <v>0</v>
      </c>
      <c r="P427" s="870"/>
      <c r="Q427" s="870"/>
      <c r="R427" s="870"/>
      <c r="S427" s="870"/>
      <c r="T427" s="870"/>
      <c r="U427" s="870"/>
      <c r="V427" s="870"/>
      <c r="X427" s="143"/>
      <c r="Z427" s="143"/>
      <c r="AB427" s="73"/>
      <c r="AC427" s="73"/>
      <c r="AD427" s="73"/>
      <c r="AE427" s="73"/>
      <c r="AF427" s="73"/>
      <c r="AG427" s="73"/>
      <c r="AH427" s="73"/>
      <c r="AI427" s="73"/>
      <c r="AM427" s="143"/>
      <c r="AN427" s="143"/>
      <c r="AO427" s="143"/>
      <c r="AP427" s="143"/>
      <c r="AQ427" s="143"/>
      <c r="AR427" s="143"/>
      <c r="AS427" s="143"/>
      <c r="AT427" s="143"/>
    </row>
    <row r="428" spans="1:46" ht="15" customHeight="1">
      <c r="A428" s="870"/>
      <c r="B428" s="870"/>
      <c r="C428" s="870"/>
      <c r="D428" s="807" t="str">
        <f>+input!B124</f>
        <v>230j</v>
      </c>
      <c r="E428" s="808">
        <f>+MST!L125</f>
        <v>4.9400000000000004</v>
      </c>
      <c r="F428" s="808">
        <f>+MST!M125</f>
        <v>-0.01</v>
      </c>
      <c r="G428" s="808">
        <f>+MST!N125</f>
        <v>29.68</v>
      </c>
      <c r="H428" s="808">
        <f>+MST!O125</f>
        <v>-259.98</v>
      </c>
      <c r="I428" s="808">
        <f>+MST!P125</f>
        <v>25.87</v>
      </c>
      <c r="J428" s="808">
        <f>+MST!Z125</f>
        <v>598.21</v>
      </c>
      <c r="K428" s="808">
        <f>+MST!AA125</f>
        <v>-2.0699999999999998</v>
      </c>
      <c r="L428" s="808">
        <f>MST!AH125</f>
        <v>0</v>
      </c>
      <c r="M428" s="809">
        <f>MST!AI125</f>
        <v>0</v>
      </c>
      <c r="P428" s="870"/>
      <c r="Q428" s="870"/>
      <c r="R428" s="870"/>
      <c r="S428" s="870"/>
      <c r="T428" s="870"/>
      <c r="U428" s="870"/>
      <c r="V428" s="870"/>
      <c r="X428" s="143"/>
      <c r="Z428" s="143"/>
      <c r="AB428" s="73"/>
      <c r="AC428" s="73"/>
      <c r="AD428" s="73"/>
      <c r="AE428" s="73"/>
      <c r="AF428" s="73"/>
      <c r="AG428" s="73"/>
      <c r="AH428" s="73"/>
      <c r="AI428" s="73"/>
      <c r="AM428" s="143"/>
      <c r="AN428" s="143"/>
      <c r="AO428" s="143"/>
      <c r="AP428" s="143"/>
      <c r="AQ428" s="143"/>
      <c r="AR428" s="143"/>
      <c r="AS428" s="143"/>
      <c r="AT428" s="143"/>
    </row>
    <row r="429" spans="1:46" ht="15" customHeight="1">
      <c r="A429" s="870"/>
      <c r="B429" s="870"/>
      <c r="C429" s="870"/>
      <c r="D429" s="807" t="str">
        <f>+input!B125</f>
        <v>231i</v>
      </c>
      <c r="E429" s="808">
        <f>+MST!L126</f>
        <v>0</v>
      </c>
      <c r="F429" s="808">
        <f>+MST!M126</f>
        <v>0</v>
      </c>
      <c r="G429" s="808">
        <f>+MST!N126</f>
        <v>0.9</v>
      </c>
      <c r="H429" s="808">
        <f>+MST!O126</f>
        <v>15.9</v>
      </c>
      <c r="I429" s="808">
        <f>+MST!P126</f>
        <v>-0.72</v>
      </c>
      <c r="J429" s="808">
        <f>+MST!Z126</f>
        <v>160.28</v>
      </c>
      <c r="K429" s="808">
        <f>+MST!AA126</f>
        <v>-46.09</v>
      </c>
      <c r="L429" s="808">
        <f>MST!AH126</f>
        <v>0</v>
      </c>
      <c r="M429" s="809">
        <f>MST!AI126</f>
        <v>0</v>
      </c>
      <c r="P429" s="870"/>
      <c r="Q429" s="870"/>
      <c r="R429" s="870"/>
      <c r="S429" s="870"/>
      <c r="T429" s="870"/>
      <c r="U429" s="870"/>
      <c r="V429" s="870"/>
      <c r="X429" s="143"/>
      <c r="Z429" s="143"/>
      <c r="AB429" s="73"/>
      <c r="AC429" s="73"/>
      <c r="AD429" s="73"/>
      <c r="AE429" s="73"/>
      <c r="AF429" s="73"/>
      <c r="AG429" s="73"/>
      <c r="AH429" s="73"/>
      <c r="AI429" s="73"/>
      <c r="AM429" s="143"/>
      <c r="AN429" s="143"/>
      <c r="AO429" s="143"/>
      <c r="AP429" s="143"/>
      <c r="AQ429" s="143"/>
      <c r="AR429" s="143"/>
      <c r="AS429" s="143"/>
      <c r="AT429" s="143"/>
    </row>
    <row r="430" spans="1:46" ht="15" customHeight="1" thickBot="1">
      <c r="A430" s="870"/>
      <c r="B430" s="870"/>
      <c r="C430" s="870"/>
      <c r="D430" s="911" t="str">
        <f>+input!B126</f>
        <v>231j</v>
      </c>
      <c r="E430" s="912">
        <f>+MST!L127</f>
        <v>0</v>
      </c>
      <c r="F430" s="912">
        <f>+MST!M127</f>
        <v>0</v>
      </c>
      <c r="G430" s="912">
        <f>+MST!N127</f>
        <v>0</v>
      </c>
      <c r="H430" s="912">
        <f>+MST!O127</f>
        <v>0</v>
      </c>
      <c r="I430" s="912">
        <f>+MST!P127</f>
        <v>0</v>
      </c>
      <c r="J430" s="912">
        <f>+MST!Z127</f>
        <v>160.28</v>
      </c>
      <c r="K430" s="912">
        <f>+MST!AA127</f>
        <v>-46.09</v>
      </c>
      <c r="L430" s="913">
        <f>MST!AH127</f>
        <v>0</v>
      </c>
      <c r="M430" s="914">
        <f>MST!AI127</f>
        <v>0</v>
      </c>
      <c r="P430" s="870"/>
      <c r="Q430" s="870"/>
      <c r="R430" s="870"/>
      <c r="S430" s="870"/>
      <c r="T430" s="870"/>
      <c r="U430" s="870"/>
      <c r="V430" s="870"/>
      <c r="X430" s="143"/>
      <c r="Z430" s="143"/>
      <c r="AB430" s="73"/>
      <c r="AC430" s="73"/>
      <c r="AD430" s="73"/>
      <c r="AE430" s="73"/>
      <c r="AF430" s="73"/>
      <c r="AG430" s="73"/>
      <c r="AH430" s="73"/>
      <c r="AI430" s="73"/>
      <c r="AM430" s="143"/>
      <c r="AN430" s="143"/>
      <c r="AO430" s="143"/>
      <c r="AP430" s="143"/>
      <c r="AQ430" s="143"/>
      <c r="AR430" s="143"/>
      <c r="AS430" s="143"/>
      <c r="AT430" s="143"/>
    </row>
    <row r="431" spans="1:46" ht="15" customHeight="1">
      <c r="A431" s="452"/>
      <c r="B431" s="452"/>
      <c r="C431" s="452"/>
      <c r="D431" s="452"/>
      <c r="E431" s="452"/>
      <c r="F431" s="452"/>
      <c r="G431" s="452"/>
      <c r="H431" s="452"/>
      <c r="I431" s="452"/>
      <c r="J431" s="452"/>
      <c r="K431" s="452"/>
      <c r="L431" s="452"/>
      <c r="M431" s="452"/>
      <c r="N431" s="452"/>
      <c r="O431" s="452"/>
      <c r="P431" s="452"/>
      <c r="Q431" s="452"/>
      <c r="R431" s="452"/>
      <c r="S431" s="452"/>
      <c r="T431" s="452"/>
      <c r="U431" s="452"/>
      <c r="V431" s="452"/>
      <c r="W431" s="452"/>
      <c r="X431" s="452"/>
      <c r="Y431" s="452"/>
      <c r="Z431" s="452"/>
      <c r="AA431" s="452"/>
      <c r="AB431" s="452"/>
      <c r="AC431" s="452"/>
      <c r="AD431" s="452"/>
      <c r="AE431" s="452"/>
      <c r="AF431" s="452"/>
      <c r="AG431" s="452"/>
      <c r="AH431" s="452"/>
      <c r="AI431" s="452"/>
      <c r="AJ431" s="506"/>
      <c r="AK431" s="506"/>
      <c r="AL431" s="506"/>
      <c r="AM431" s="506"/>
      <c r="AN431" s="506"/>
      <c r="AO431" s="506"/>
      <c r="AP431" s="506"/>
      <c r="AQ431" s="506"/>
      <c r="AR431" s="506"/>
    </row>
    <row r="432" spans="1:46" ht="15" customHeight="1">
      <c r="B432" s="96"/>
      <c r="C432" s="160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AC432" s="143"/>
      <c r="AQ432" s="76"/>
    </row>
    <row r="433" spans="1:46" ht="15" customHeight="1" thickBot="1">
      <c r="A433" s="393" t="s">
        <v>1650</v>
      </c>
      <c r="L433" s="143"/>
      <c r="V433" s="73"/>
      <c r="W433" s="73"/>
      <c r="X433" s="73"/>
      <c r="Y433" s="73"/>
      <c r="Z433" s="73"/>
      <c r="AA433" s="73"/>
      <c r="AB433" s="73"/>
      <c r="AC433" s="76"/>
      <c r="AD433" s="73"/>
      <c r="AE433" s="73"/>
      <c r="AF433" s="73"/>
      <c r="AJ433" s="143"/>
      <c r="AK433" s="143"/>
      <c r="AL433" s="143"/>
      <c r="AM433" s="143"/>
      <c r="AN433" s="143"/>
      <c r="AO433" s="143"/>
      <c r="AP433" s="143"/>
      <c r="AQ433" s="143"/>
      <c r="AR433" s="143"/>
      <c r="AS433" s="143"/>
      <c r="AT433" s="143"/>
    </row>
    <row r="434" spans="1:46" ht="15" customHeight="1">
      <c r="A434" s="476" t="s">
        <v>16</v>
      </c>
      <c r="B434" s="732" t="s">
        <v>7</v>
      </c>
      <c r="C434" s="733"/>
      <c r="D434" s="1903" t="s">
        <v>1793</v>
      </c>
      <c r="E434" s="1904"/>
      <c r="F434" s="1903" t="s">
        <v>1795</v>
      </c>
      <c r="G434" s="1904"/>
      <c r="H434" s="1903" t="s">
        <v>1797</v>
      </c>
      <c r="I434" s="1904"/>
      <c r="J434" s="1903" t="s">
        <v>1797</v>
      </c>
      <c r="K434" s="1904"/>
      <c r="L434" s="1903" t="s">
        <v>1799</v>
      </c>
      <c r="M434" s="1904"/>
      <c r="N434" s="1903" t="s">
        <v>1799</v>
      </c>
      <c r="O434" s="1909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J434" s="143"/>
      <c r="AK434" s="143"/>
      <c r="AL434" s="143"/>
      <c r="AM434" s="143"/>
      <c r="AN434" s="143"/>
      <c r="AO434" s="143"/>
      <c r="AP434" s="143"/>
      <c r="AQ434" s="143"/>
      <c r="AR434" s="143"/>
      <c r="AS434" s="143"/>
      <c r="AT434" s="143"/>
    </row>
    <row r="435" spans="1:46" ht="15" customHeight="1">
      <c r="A435" s="731"/>
      <c r="B435" s="734"/>
      <c r="C435" s="735"/>
      <c r="D435" s="1901" t="s">
        <v>1794</v>
      </c>
      <c r="E435" s="1902"/>
      <c r="F435" s="1901" t="s">
        <v>1796</v>
      </c>
      <c r="G435" s="1902"/>
      <c r="H435" s="1901" t="s">
        <v>1798</v>
      </c>
      <c r="I435" s="1902"/>
      <c r="J435" s="1901" t="s">
        <v>1796</v>
      </c>
      <c r="K435" s="1902"/>
      <c r="L435" s="1901" t="s">
        <v>1798</v>
      </c>
      <c r="M435" s="1902"/>
      <c r="N435" s="1901" t="s">
        <v>1796</v>
      </c>
      <c r="O435" s="191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J435" s="143"/>
      <c r="AK435" s="143"/>
      <c r="AL435" s="143"/>
      <c r="AM435" s="143"/>
      <c r="AN435" s="143"/>
      <c r="AO435" s="143"/>
      <c r="AP435" s="143"/>
      <c r="AQ435" s="143"/>
      <c r="AR435" s="143"/>
      <c r="AS435" s="143"/>
      <c r="AT435" s="143"/>
    </row>
    <row r="436" spans="1:46" ht="15" customHeight="1">
      <c r="A436" s="479"/>
      <c r="B436" s="520" t="s">
        <v>1456</v>
      </c>
      <c r="C436" s="520" t="s">
        <v>1457</v>
      </c>
      <c r="D436" s="520" t="s">
        <v>1571</v>
      </c>
      <c r="E436" s="520" t="s">
        <v>1572</v>
      </c>
      <c r="F436" s="520" t="s">
        <v>1573</v>
      </c>
      <c r="G436" s="520" t="s">
        <v>1574</v>
      </c>
      <c r="H436" s="520" t="s">
        <v>1575</v>
      </c>
      <c r="I436" s="520" t="s">
        <v>1576</v>
      </c>
      <c r="J436" s="520" t="s">
        <v>1577</v>
      </c>
      <c r="K436" s="520" t="s">
        <v>1578</v>
      </c>
      <c r="L436" s="520" t="s">
        <v>1579</v>
      </c>
      <c r="M436" s="520" t="s">
        <v>1580</v>
      </c>
      <c r="N436" s="520" t="s">
        <v>1581</v>
      </c>
      <c r="O436" s="521" t="s">
        <v>1582</v>
      </c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J436" s="143"/>
      <c r="AK436" s="143"/>
      <c r="AL436" s="143"/>
      <c r="AM436" s="143"/>
      <c r="AN436" s="143"/>
      <c r="AO436" s="143"/>
      <c r="AP436" s="143"/>
      <c r="AQ436" s="143"/>
      <c r="AR436" s="143"/>
      <c r="AS436" s="143"/>
      <c r="AT436" s="143"/>
    </row>
    <row r="437" spans="1:46" ht="15" customHeight="1">
      <c r="A437" s="812" t="str">
        <f>+input!B3</f>
        <v>101i</v>
      </c>
      <c r="B437" s="813">
        <f>+input!CN3</f>
        <v>86301750.739963204</v>
      </c>
      <c r="C437" s="813">
        <f>+input!CO3</f>
        <v>96566218.18506074</v>
      </c>
      <c r="D437" s="813">
        <f>+input!CV3</f>
        <v>86301750.739963204</v>
      </c>
      <c r="E437" s="813">
        <f>+input!CW3</f>
        <v>96566218.18506074</v>
      </c>
      <c r="F437" s="814">
        <f>input!DD3</f>
        <v>86301750.739963204</v>
      </c>
      <c r="G437" s="814">
        <f>+input!DE3</f>
        <v>96566218.18506074</v>
      </c>
      <c r="H437" s="813">
        <f>+input!DL3</f>
        <v>844010197.13372481</v>
      </c>
      <c r="I437" s="813">
        <f>+input!DM3</f>
        <v>131388981.15573239</v>
      </c>
      <c r="J437" s="813">
        <f>+input!DT3</f>
        <v>303740760.19176459</v>
      </c>
      <c r="K437" s="813">
        <f>+input!DU3</f>
        <v>122214483.29795097</v>
      </c>
      <c r="L437" s="813">
        <f>+input!EB3</f>
        <v>119615716.03675747</v>
      </c>
      <c r="M437" s="813">
        <f>+input!EC3</f>
        <v>105261184.05116099</v>
      </c>
      <c r="N437" s="813">
        <f>+input!EJ3</f>
        <v>97320738.928489029</v>
      </c>
      <c r="O437" s="815">
        <f>+input!EK3</f>
        <v>99919960.233914346</v>
      </c>
      <c r="Q437" s="13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J437" s="143"/>
      <c r="AK437" s="143"/>
      <c r="AL437" s="143"/>
      <c r="AM437" s="143"/>
      <c r="AN437" s="143"/>
      <c r="AO437" s="143"/>
      <c r="AP437" s="143"/>
      <c r="AQ437" s="143"/>
      <c r="AR437" s="143"/>
      <c r="AS437" s="143"/>
      <c r="AT437" s="143"/>
    </row>
    <row r="438" spans="1:46" ht="15" customHeight="1">
      <c r="A438" s="807" t="str">
        <f>+input!B4</f>
        <v>101j</v>
      </c>
      <c r="B438" s="814">
        <f>+input!CN4</f>
        <v>86301750.739963204</v>
      </c>
      <c r="C438" s="814">
        <f>+input!CO4</f>
        <v>96566218.18506074</v>
      </c>
      <c r="D438" s="814">
        <f>+input!CV4</f>
        <v>86301750.739963204</v>
      </c>
      <c r="E438" s="814">
        <f>+input!CW4</f>
        <v>96566218.18506074</v>
      </c>
      <c r="F438" s="814">
        <f>input!DD4</f>
        <v>86301750.739963204</v>
      </c>
      <c r="G438" s="814">
        <f>+input!DE4</f>
        <v>96566218.18506074</v>
      </c>
      <c r="H438" s="814">
        <f>+input!DL4</f>
        <v>844010197.13372481</v>
      </c>
      <c r="I438" s="814">
        <f>+input!DM4</f>
        <v>131388981.15573239</v>
      </c>
      <c r="J438" s="814">
        <f>+input!DT4</f>
        <v>303740760.19176459</v>
      </c>
      <c r="K438" s="814">
        <f>+input!DU4</f>
        <v>122214483.29795097</v>
      </c>
      <c r="L438" s="814">
        <f>+input!EB4</f>
        <v>119615716.03675747</v>
      </c>
      <c r="M438" s="814">
        <f>+input!EC4</f>
        <v>105261184.05116099</v>
      </c>
      <c r="N438" s="814">
        <f>+input!EJ4</f>
        <v>97320738.928489029</v>
      </c>
      <c r="O438" s="816">
        <f>+input!EK4</f>
        <v>99919960.233914346</v>
      </c>
      <c r="Q438" s="13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J438" s="143"/>
      <c r="AK438" s="143"/>
      <c r="AL438" s="143"/>
      <c r="AM438" s="143"/>
      <c r="AN438" s="143"/>
      <c r="AO438" s="143"/>
      <c r="AP438" s="143"/>
      <c r="AQ438" s="143"/>
      <c r="AR438" s="143"/>
      <c r="AS438" s="143"/>
      <c r="AT438" s="143"/>
    </row>
    <row r="439" spans="1:46" ht="15" customHeight="1">
      <c r="A439" s="807" t="str">
        <f>+input!B5</f>
        <v>102i</v>
      </c>
      <c r="B439" s="814">
        <f>+input!CN5</f>
        <v>86301750.739963204</v>
      </c>
      <c r="C439" s="814">
        <f>+input!CO5</f>
        <v>96566218.18506074</v>
      </c>
      <c r="D439" s="814">
        <f>+input!CV5</f>
        <v>86301750.739963204</v>
      </c>
      <c r="E439" s="814">
        <f>+input!CW5</f>
        <v>96566218.18506074</v>
      </c>
      <c r="F439" s="814">
        <f>input!DD5</f>
        <v>86301750.739963204</v>
      </c>
      <c r="G439" s="814">
        <f>+input!DE5</f>
        <v>96566218.18506074</v>
      </c>
      <c r="H439" s="814">
        <f>+input!DL5</f>
        <v>844010197.13372481</v>
      </c>
      <c r="I439" s="814">
        <f>+input!DM5</f>
        <v>131388981.15573239</v>
      </c>
      <c r="J439" s="814">
        <f>+input!DT5</f>
        <v>303740760.19176459</v>
      </c>
      <c r="K439" s="814">
        <f>+input!DU5</f>
        <v>122214483.29795097</v>
      </c>
      <c r="L439" s="814">
        <f>+input!EB5</f>
        <v>119615716.03675747</v>
      </c>
      <c r="M439" s="814">
        <f>+input!EC5</f>
        <v>105261184.05116099</v>
      </c>
      <c r="N439" s="814">
        <f>+input!EJ5</f>
        <v>97320738.928489029</v>
      </c>
      <c r="O439" s="816">
        <f>+input!EK5</f>
        <v>99919960.233914346</v>
      </c>
      <c r="Q439" s="13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J439" s="143"/>
      <c r="AK439" s="143"/>
      <c r="AL439" s="143"/>
      <c r="AM439" s="143"/>
      <c r="AN439" s="143"/>
      <c r="AO439" s="143"/>
      <c r="AP439" s="143"/>
      <c r="AQ439" s="143"/>
      <c r="AR439" s="143"/>
      <c r="AS439" s="143"/>
      <c r="AT439" s="143"/>
    </row>
    <row r="440" spans="1:46" ht="15" customHeight="1">
      <c r="A440" s="807" t="str">
        <f>+input!B6</f>
        <v>102j</v>
      </c>
      <c r="B440" s="814">
        <f>+input!CN6</f>
        <v>86301750.739963204</v>
      </c>
      <c r="C440" s="814">
        <f>+input!CO6</f>
        <v>96566218.18506074</v>
      </c>
      <c r="D440" s="814">
        <f>+input!CV6</f>
        <v>86301750.739963204</v>
      </c>
      <c r="E440" s="814">
        <f>+input!CW6</f>
        <v>96566218.18506074</v>
      </c>
      <c r="F440" s="814">
        <f>input!DD6</f>
        <v>86301750.739963204</v>
      </c>
      <c r="G440" s="814">
        <f>+input!DE6</f>
        <v>96566218.18506074</v>
      </c>
      <c r="H440" s="814">
        <f>+input!DL6</f>
        <v>844010197.13372481</v>
      </c>
      <c r="I440" s="814">
        <f>+input!DM6</f>
        <v>131388981.15573239</v>
      </c>
      <c r="J440" s="814">
        <f>+input!DT6</f>
        <v>303740760.19176459</v>
      </c>
      <c r="K440" s="814">
        <f>+input!DU6</f>
        <v>122214483.29795097</v>
      </c>
      <c r="L440" s="814">
        <f>+input!EB6</f>
        <v>119615716.03675747</v>
      </c>
      <c r="M440" s="814">
        <f>+input!EC6</f>
        <v>105261184.05116099</v>
      </c>
      <c r="N440" s="814">
        <f>+input!EJ6</f>
        <v>97320738.928489029</v>
      </c>
      <c r="O440" s="816">
        <f>+input!EK6</f>
        <v>99919960.233914346</v>
      </c>
      <c r="Q440" s="13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J440" s="143"/>
      <c r="AK440" s="143"/>
      <c r="AL440" s="143"/>
      <c r="AM440" s="143"/>
      <c r="AN440" s="143"/>
      <c r="AO440" s="143"/>
      <c r="AP440" s="143"/>
      <c r="AQ440" s="143"/>
      <c r="AR440" s="143"/>
      <c r="AS440" s="143"/>
      <c r="AT440" s="143"/>
    </row>
    <row r="441" spans="1:46" ht="15" customHeight="1">
      <c r="A441" s="807" t="str">
        <f>+input!B7</f>
        <v>103i</v>
      </c>
      <c r="B441" s="814">
        <f>+input!CN7</f>
        <v>118612621.8285934</v>
      </c>
      <c r="C441" s="814">
        <f>+input!CO7</f>
        <v>137317041.98420024</v>
      </c>
      <c r="D441" s="814">
        <f>+input!CV7</f>
        <v>118612621.8285934</v>
      </c>
      <c r="E441" s="814">
        <f>+input!CW7</f>
        <v>137317041.98420024</v>
      </c>
      <c r="F441" s="814">
        <f>input!DD7</f>
        <v>118612621.8285934</v>
      </c>
      <c r="G441" s="814">
        <f>+input!DE7</f>
        <v>137317041.98420024</v>
      </c>
      <c r="H441" s="814">
        <f>+input!DL7</f>
        <v>894362066.09731162</v>
      </c>
      <c r="I441" s="814">
        <f>+input!DM7</f>
        <v>177625116.92039824</v>
      </c>
      <c r="J441" s="814">
        <f>+input!DT7</f>
        <v>352268978.7407338</v>
      </c>
      <c r="K441" s="814">
        <f>+input!DU7</f>
        <v>165949095.25694773</v>
      </c>
      <c r="L441" s="814">
        <f>+input!EB7</f>
        <v>154645001.99557072</v>
      </c>
      <c r="M441" s="814">
        <f>+input!EC7</f>
        <v>146300336.49360666</v>
      </c>
      <c r="N441" s="814">
        <f>+input!EJ7</f>
        <v>130558272.23386079</v>
      </c>
      <c r="O441" s="816">
        <f>+input!EK7</f>
        <v>140708447.06883919</v>
      </c>
      <c r="Q441" s="13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J441" s="143"/>
      <c r="AK441" s="143"/>
      <c r="AL441" s="143"/>
      <c r="AM441" s="143"/>
      <c r="AN441" s="143"/>
      <c r="AO441" s="143"/>
      <c r="AP441" s="143"/>
      <c r="AQ441" s="143"/>
      <c r="AR441" s="143"/>
      <c r="AS441" s="143"/>
      <c r="AT441" s="143"/>
    </row>
    <row r="442" spans="1:46" ht="15" customHeight="1">
      <c r="A442" s="807" t="str">
        <f>+input!B8</f>
        <v>103j</v>
      </c>
      <c r="B442" s="814">
        <f>+input!CN8</f>
        <v>118612621.8285934</v>
      </c>
      <c r="C442" s="814">
        <f>+input!CO8</f>
        <v>137317041.98420024</v>
      </c>
      <c r="D442" s="814">
        <f>+input!CV8</f>
        <v>118612621.8285934</v>
      </c>
      <c r="E442" s="814">
        <f>+input!CW8</f>
        <v>137317041.98420024</v>
      </c>
      <c r="F442" s="814">
        <f>input!DD8</f>
        <v>118612621.8285934</v>
      </c>
      <c r="G442" s="814">
        <f>+input!DE8</f>
        <v>137317041.98420024</v>
      </c>
      <c r="H442" s="814">
        <f>+input!DL8</f>
        <v>894362066.09731162</v>
      </c>
      <c r="I442" s="814">
        <f>+input!DM8</f>
        <v>177625116.92039824</v>
      </c>
      <c r="J442" s="814">
        <f>+input!DT8</f>
        <v>352268978.7407338</v>
      </c>
      <c r="K442" s="814">
        <f>+input!DU8</f>
        <v>165949095.25694773</v>
      </c>
      <c r="L442" s="814">
        <f>+input!EB8</f>
        <v>154645001.99557072</v>
      </c>
      <c r="M442" s="814">
        <f>+input!EC8</f>
        <v>146300336.49360666</v>
      </c>
      <c r="N442" s="814">
        <f>+input!EJ8</f>
        <v>130558272.23386079</v>
      </c>
      <c r="O442" s="816">
        <f>+input!EK8</f>
        <v>140708447.06883919</v>
      </c>
      <c r="Q442" s="13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J442" s="143"/>
      <c r="AK442" s="143"/>
      <c r="AL442" s="143"/>
      <c r="AM442" s="143"/>
      <c r="AN442" s="143"/>
      <c r="AO442" s="143"/>
      <c r="AP442" s="143"/>
      <c r="AQ442" s="143"/>
      <c r="AR442" s="143"/>
      <c r="AS442" s="143"/>
      <c r="AT442" s="143"/>
    </row>
    <row r="443" spans="1:46" ht="15" customHeight="1">
      <c r="A443" s="807" t="str">
        <f>+input!B9</f>
        <v>104i</v>
      </c>
      <c r="B443" s="814">
        <f>+input!CN9</f>
        <v>118612621.8285934</v>
      </c>
      <c r="C443" s="814">
        <f>+input!CO9</f>
        <v>137317041.98420024</v>
      </c>
      <c r="D443" s="814">
        <f>+input!CV9</f>
        <v>118612621.8285934</v>
      </c>
      <c r="E443" s="814">
        <f>+input!CW9</f>
        <v>137317041.98420024</v>
      </c>
      <c r="F443" s="814">
        <f>input!DD9</f>
        <v>118612621.8285934</v>
      </c>
      <c r="G443" s="814">
        <f>+input!DE9</f>
        <v>137317041.98420024</v>
      </c>
      <c r="H443" s="814">
        <f>+input!DL9</f>
        <v>894362066.09731162</v>
      </c>
      <c r="I443" s="814">
        <f>+input!DM9</f>
        <v>177625116.92039824</v>
      </c>
      <c r="J443" s="814">
        <f>+input!DT9</f>
        <v>352268978.7407338</v>
      </c>
      <c r="K443" s="814">
        <f>+input!DU9</f>
        <v>165949095.25694773</v>
      </c>
      <c r="L443" s="814">
        <f>+input!EB9</f>
        <v>154645001.99557072</v>
      </c>
      <c r="M443" s="814">
        <f>+input!EC9</f>
        <v>146300336.49360666</v>
      </c>
      <c r="N443" s="814">
        <f>+input!EJ9</f>
        <v>130558272.23386079</v>
      </c>
      <c r="O443" s="816">
        <f>+input!EK9</f>
        <v>140708447.06883919</v>
      </c>
      <c r="Q443" s="13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J443" s="143"/>
      <c r="AK443" s="143"/>
      <c r="AL443" s="143"/>
      <c r="AM443" s="143"/>
      <c r="AN443" s="143"/>
      <c r="AO443" s="143"/>
      <c r="AP443" s="143"/>
      <c r="AQ443" s="143"/>
      <c r="AR443" s="143"/>
      <c r="AS443" s="143"/>
      <c r="AT443" s="143"/>
    </row>
    <row r="444" spans="1:46" ht="15" customHeight="1">
      <c r="A444" s="807" t="str">
        <f>+input!B10</f>
        <v>104j</v>
      </c>
      <c r="B444" s="814">
        <f>+input!CN10</f>
        <v>118612621.8285934</v>
      </c>
      <c r="C444" s="814">
        <f>+input!CO10</f>
        <v>137317041.98420024</v>
      </c>
      <c r="D444" s="814">
        <f>+input!CV10</f>
        <v>118612621.8285934</v>
      </c>
      <c r="E444" s="814">
        <f>+input!CW10</f>
        <v>137317041.98420024</v>
      </c>
      <c r="F444" s="814">
        <f>input!DD10</f>
        <v>118612621.8285934</v>
      </c>
      <c r="G444" s="814">
        <f>+input!DE10</f>
        <v>137317041.98420024</v>
      </c>
      <c r="H444" s="814">
        <f>+input!DL10</f>
        <v>894362066.09731162</v>
      </c>
      <c r="I444" s="814">
        <f>+input!DM10</f>
        <v>177625116.92039824</v>
      </c>
      <c r="J444" s="814">
        <f>+input!DT10</f>
        <v>352268978.7407338</v>
      </c>
      <c r="K444" s="814">
        <f>+input!DU10</f>
        <v>165949095.25694773</v>
      </c>
      <c r="L444" s="814">
        <f>+input!EB10</f>
        <v>154645001.99557072</v>
      </c>
      <c r="M444" s="814">
        <f>+input!EC10</f>
        <v>146300336.49360666</v>
      </c>
      <c r="N444" s="814">
        <f>+input!EJ10</f>
        <v>130558272.23386079</v>
      </c>
      <c r="O444" s="816">
        <f>+input!EK10</f>
        <v>140708447.06883919</v>
      </c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J444" s="143"/>
      <c r="AK444" s="143"/>
      <c r="AL444" s="143"/>
      <c r="AM444" s="143"/>
      <c r="AN444" s="143"/>
      <c r="AO444" s="143"/>
      <c r="AP444" s="143"/>
      <c r="AQ444" s="143"/>
      <c r="AR444" s="143"/>
      <c r="AS444" s="143"/>
      <c r="AT444" s="143"/>
    </row>
    <row r="445" spans="1:46" ht="15" customHeight="1">
      <c r="A445" s="807" t="str">
        <f>+input!B11</f>
        <v>105i</v>
      </c>
      <c r="B445" s="814">
        <f>+input!CN11</f>
        <v>147079898.60554036</v>
      </c>
      <c r="C445" s="814">
        <f>+input!CO11</f>
        <v>213305223.44251961</v>
      </c>
      <c r="D445" s="814">
        <f>+input!CV11</f>
        <v>147079898.60554036</v>
      </c>
      <c r="E445" s="814">
        <f>+input!CW11</f>
        <v>213305223.44251961</v>
      </c>
      <c r="F445" s="814">
        <f>input!DD11</f>
        <v>147079898.60554036</v>
      </c>
      <c r="G445" s="814">
        <f>+input!DE11</f>
        <v>213305223.44251961</v>
      </c>
      <c r="H445" s="814">
        <f>+input!DL11</f>
        <v>912447272.2194078</v>
      </c>
      <c r="I445" s="814">
        <f>+input!DM11</f>
        <v>264365298.83400047</v>
      </c>
      <c r="J445" s="814">
        <f>+input!DT11</f>
        <v>386407488.48964524</v>
      </c>
      <c r="K445" s="814">
        <f>+input!DU11</f>
        <v>248595984.8573676</v>
      </c>
      <c r="L445" s="814">
        <f>+input!EB11</f>
        <v>184465121.77022696</v>
      </c>
      <c r="M445" s="814">
        <f>+input!EC11</f>
        <v>223863046.3102529</v>
      </c>
      <c r="N445" s="814">
        <f>+input!EJ11</f>
        <v>159497285.73726651</v>
      </c>
      <c r="O445" s="816">
        <f>+input!EK11</f>
        <v>217239636.3559643</v>
      </c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J445" s="143"/>
      <c r="AK445" s="143"/>
      <c r="AL445" s="143"/>
      <c r="AM445" s="143"/>
      <c r="AN445" s="143"/>
      <c r="AO445" s="143"/>
      <c r="AP445" s="143"/>
      <c r="AQ445" s="143"/>
      <c r="AR445" s="143"/>
      <c r="AS445" s="143"/>
      <c r="AT445" s="143"/>
    </row>
    <row r="446" spans="1:46" ht="15" customHeight="1">
      <c r="A446" s="807" t="str">
        <f>+input!B12</f>
        <v>105j</v>
      </c>
      <c r="B446" s="814">
        <f>+input!CN12</f>
        <v>147079898.60554036</v>
      </c>
      <c r="C446" s="814">
        <f>+input!CO12</f>
        <v>213305223.44251961</v>
      </c>
      <c r="D446" s="814">
        <f>+input!CV12</f>
        <v>147079898.60554036</v>
      </c>
      <c r="E446" s="814">
        <f>+input!CW12</f>
        <v>213305223.44251961</v>
      </c>
      <c r="F446" s="814">
        <f>input!DD12</f>
        <v>147079898.60554036</v>
      </c>
      <c r="G446" s="814">
        <f>+input!DE12</f>
        <v>213305223.44251961</v>
      </c>
      <c r="H446" s="814">
        <f>+input!DL12</f>
        <v>912447272.2194078</v>
      </c>
      <c r="I446" s="814">
        <f>+input!DM12</f>
        <v>264365298.83400047</v>
      </c>
      <c r="J446" s="814">
        <f>+input!DT12</f>
        <v>386407488.48964524</v>
      </c>
      <c r="K446" s="814">
        <f>+input!DU12</f>
        <v>248595984.8573676</v>
      </c>
      <c r="L446" s="814">
        <f>+input!EB12</f>
        <v>184465121.77022696</v>
      </c>
      <c r="M446" s="814">
        <f>+input!EC12</f>
        <v>223863046.3102529</v>
      </c>
      <c r="N446" s="814">
        <f>+input!EJ12</f>
        <v>159497285.73726651</v>
      </c>
      <c r="O446" s="816">
        <f>+input!EK12</f>
        <v>217239636.3559643</v>
      </c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J446" s="143"/>
      <c r="AK446" s="143"/>
      <c r="AL446" s="143"/>
      <c r="AM446" s="143"/>
      <c r="AN446" s="143"/>
      <c r="AO446" s="143"/>
      <c r="AP446" s="143"/>
      <c r="AQ446" s="143"/>
      <c r="AR446" s="143"/>
      <c r="AS446" s="143"/>
      <c r="AT446" s="143"/>
    </row>
    <row r="447" spans="1:46" ht="15" customHeight="1">
      <c r="A447" s="807" t="str">
        <f>+input!B13</f>
        <v>106i</v>
      </c>
      <c r="B447" s="814">
        <f>+input!CN13</f>
        <v>147079898.60554036</v>
      </c>
      <c r="C447" s="814">
        <f>+input!CO13</f>
        <v>213305223.44251961</v>
      </c>
      <c r="D447" s="814">
        <f>+input!CV13</f>
        <v>147079898.60554036</v>
      </c>
      <c r="E447" s="814">
        <f>+input!CW13</f>
        <v>213305223.44251961</v>
      </c>
      <c r="F447" s="814">
        <f>input!DD13</f>
        <v>147079898.60554036</v>
      </c>
      <c r="G447" s="814">
        <f>+input!DE13</f>
        <v>213305223.44251961</v>
      </c>
      <c r="H447" s="814">
        <f>+input!DL13</f>
        <v>912447272.2194078</v>
      </c>
      <c r="I447" s="814">
        <f>+input!DM13</f>
        <v>264365298.83400047</v>
      </c>
      <c r="J447" s="814">
        <f>+input!DT13</f>
        <v>386407488.48964524</v>
      </c>
      <c r="K447" s="814">
        <f>+input!DU13</f>
        <v>248595984.8573676</v>
      </c>
      <c r="L447" s="814">
        <f>+input!EB13</f>
        <v>184465121.77022696</v>
      </c>
      <c r="M447" s="814">
        <f>+input!EC13</f>
        <v>223863046.3102529</v>
      </c>
      <c r="N447" s="814">
        <f>+input!EJ13</f>
        <v>159497285.73726651</v>
      </c>
      <c r="O447" s="816">
        <f>+input!EK13</f>
        <v>217239636.3559643</v>
      </c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J447" s="143"/>
      <c r="AK447" s="143"/>
      <c r="AL447" s="143"/>
      <c r="AM447" s="143"/>
      <c r="AN447" s="143"/>
      <c r="AO447" s="143"/>
      <c r="AP447" s="143"/>
      <c r="AQ447" s="143"/>
      <c r="AR447" s="143"/>
      <c r="AS447" s="143"/>
      <c r="AT447" s="143"/>
    </row>
    <row r="448" spans="1:46" ht="15" customHeight="1">
      <c r="A448" s="807" t="str">
        <f>+input!B14</f>
        <v>106j</v>
      </c>
      <c r="B448" s="814">
        <f>+input!CN14</f>
        <v>147079898.60554036</v>
      </c>
      <c r="C448" s="814">
        <f>+input!CO14</f>
        <v>213305223.44251961</v>
      </c>
      <c r="D448" s="814">
        <f>+input!CV14</f>
        <v>147079898.60554036</v>
      </c>
      <c r="E448" s="814">
        <f>+input!CW14</f>
        <v>213305223.44251961</v>
      </c>
      <c r="F448" s="814">
        <f>input!DD14</f>
        <v>147079898.60554036</v>
      </c>
      <c r="G448" s="814">
        <f>+input!DE14</f>
        <v>213305223.44251961</v>
      </c>
      <c r="H448" s="814">
        <f>+input!DL14</f>
        <v>912447272.2194078</v>
      </c>
      <c r="I448" s="814">
        <f>+input!DM14</f>
        <v>264365298.83400047</v>
      </c>
      <c r="J448" s="814">
        <f>+input!DT14</f>
        <v>386407488.48964524</v>
      </c>
      <c r="K448" s="814">
        <f>+input!DU14</f>
        <v>248595984.8573676</v>
      </c>
      <c r="L448" s="814">
        <f>+input!EB14</f>
        <v>184465121.77022696</v>
      </c>
      <c r="M448" s="814">
        <f>+input!EC14</f>
        <v>223863046.3102529</v>
      </c>
      <c r="N448" s="814">
        <f>+input!EJ14</f>
        <v>159497285.73726651</v>
      </c>
      <c r="O448" s="816">
        <f>+input!EK14</f>
        <v>217239636.3559643</v>
      </c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J448" s="143"/>
      <c r="AK448" s="143"/>
      <c r="AL448" s="143"/>
      <c r="AM448" s="143"/>
      <c r="AN448" s="143"/>
      <c r="AO448" s="143"/>
      <c r="AP448" s="143"/>
      <c r="AQ448" s="143"/>
      <c r="AR448" s="143"/>
      <c r="AS448" s="143"/>
      <c r="AT448" s="143"/>
    </row>
    <row r="449" spans="1:46" ht="15" customHeight="1">
      <c r="A449" s="807" t="str">
        <f>+input!B15</f>
        <v>107i</v>
      </c>
      <c r="B449" s="814">
        <f>+input!CN15</f>
        <v>174662958.18137676</v>
      </c>
      <c r="C449" s="814">
        <f>+input!CO15</f>
        <v>246587392.40687704</v>
      </c>
      <c r="D449" s="814">
        <f>+input!CV15</f>
        <v>174662958.18137676</v>
      </c>
      <c r="E449" s="814">
        <f>+input!CW15</f>
        <v>246587392.40687704</v>
      </c>
      <c r="F449" s="814">
        <f>input!DD15</f>
        <v>174662958.18137676</v>
      </c>
      <c r="G449" s="814">
        <f>+input!DE15</f>
        <v>246587392.40687704</v>
      </c>
      <c r="H449" s="814">
        <f>+input!DL15</f>
        <v>939949525.08844781</v>
      </c>
      <c r="I449" s="814">
        <f>+input!DM15</f>
        <v>296822630.6811114</v>
      </c>
      <c r="J449" s="814">
        <f>+input!DT15</f>
        <v>415879998.34563911</v>
      </c>
      <c r="K449" s="814">
        <f>+input!DU15</f>
        <v>280215643.12917501</v>
      </c>
      <c r="L449" s="814">
        <f>+input!EB15</f>
        <v>212457990.99039462</v>
      </c>
      <c r="M449" s="814">
        <f>+input!EC15</f>
        <v>256181087.53022891</v>
      </c>
      <c r="N449" s="814">
        <f>+input!EJ15</f>
        <v>187221698.16716075</v>
      </c>
      <c r="O449" s="816">
        <f>+input!EK15</f>
        <v>250118155.35038298</v>
      </c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J449" s="143"/>
      <c r="AK449" s="143"/>
      <c r="AL449" s="143"/>
      <c r="AM449" s="143"/>
      <c r="AN449" s="143"/>
      <c r="AO449" s="143"/>
      <c r="AP449" s="143"/>
      <c r="AQ449" s="143"/>
      <c r="AR449" s="143"/>
      <c r="AS449" s="143"/>
      <c r="AT449" s="143"/>
    </row>
    <row r="450" spans="1:46" ht="15" customHeight="1">
      <c r="A450" s="807" t="str">
        <f>+input!B16</f>
        <v>107j</v>
      </c>
      <c r="B450" s="814">
        <f>+input!CN16</f>
        <v>174662958.18137676</v>
      </c>
      <c r="C450" s="814">
        <f>+input!CO16</f>
        <v>246587392.40687704</v>
      </c>
      <c r="D450" s="814">
        <f>+input!CV16</f>
        <v>174662958.18137676</v>
      </c>
      <c r="E450" s="814">
        <f>+input!CW16</f>
        <v>246587392.40687704</v>
      </c>
      <c r="F450" s="814">
        <f>input!DD16</f>
        <v>174662958.18137676</v>
      </c>
      <c r="G450" s="814">
        <f>+input!DE16</f>
        <v>246587392.40687704</v>
      </c>
      <c r="H450" s="814">
        <f>+input!DL16</f>
        <v>939949525.08844781</v>
      </c>
      <c r="I450" s="814">
        <f>+input!DM16</f>
        <v>296822630.6811114</v>
      </c>
      <c r="J450" s="814">
        <f>+input!DT16</f>
        <v>415879998.34563911</v>
      </c>
      <c r="K450" s="814">
        <f>+input!DU16</f>
        <v>280215643.12917501</v>
      </c>
      <c r="L450" s="814">
        <f>+input!EB16</f>
        <v>212457990.99039462</v>
      </c>
      <c r="M450" s="814">
        <f>+input!EC16</f>
        <v>256181087.53022891</v>
      </c>
      <c r="N450" s="814">
        <f>+input!EJ16</f>
        <v>187221698.16716075</v>
      </c>
      <c r="O450" s="816">
        <f>+input!EK16</f>
        <v>250118155.35038298</v>
      </c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J450" s="143"/>
      <c r="AK450" s="143"/>
      <c r="AL450" s="143"/>
      <c r="AM450" s="143"/>
      <c r="AN450" s="143"/>
      <c r="AO450" s="143"/>
      <c r="AP450" s="143"/>
      <c r="AQ450" s="143"/>
      <c r="AR450" s="143"/>
      <c r="AS450" s="143"/>
      <c r="AT450" s="143"/>
    </row>
    <row r="451" spans="1:46" ht="15" customHeight="1">
      <c r="A451" s="807" t="str">
        <f>+input!B17</f>
        <v>108i</v>
      </c>
      <c r="B451" s="814">
        <f>+input!CN17</f>
        <v>174662958.18137676</v>
      </c>
      <c r="C451" s="814">
        <f>+input!CO17</f>
        <v>246587392.40687704</v>
      </c>
      <c r="D451" s="814">
        <f>+input!CV17</f>
        <v>174662958.18137676</v>
      </c>
      <c r="E451" s="814">
        <f>+input!CW17</f>
        <v>246587392.40687704</v>
      </c>
      <c r="F451" s="814">
        <f>input!DD17</f>
        <v>174662958.18137676</v>
      </c>
      <c r="G451" s="814">
        <f>+input!DE17</f>
        <v>246587392.40687704</v>
      </c>
      <c r="H451" s="814">
        <f>+input!DL17</f>
        <v>939949525.08844781</v>
      </c>
      <c r="I451" s="814">
        <f>+input!DM17</f>
        <v>296822630.6811114</v>
      </c>
      <c r="J451" s="814">
        <f>+input!DT17</f>
        <v>415879998.34563911</v>
      </c>
      <c r="K451" s="814">
        <f>+input!DU17</f>
        <v>280215643.12917501</v>
      </c>
      <c r="L451" s="814">
        <f>+input!EB17</f>
        <v>212457990.99039462</v>
      </c>
      <c r="M451" s="814">
        <f>+input!EC17</f>
        <v>256181087.53022891</v>
      </c>
      <c r="N451" s="814">
        <f>+input!EJ17</f>
        <v>187221698.16716075</v>
      </c>
      <c r="O451" s="816">
        <f>+input!EK17</f>
        <v>250118155.35038298</v>
      </c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J451" s="143"/>
      <c r="AK451" s="143"/>
      <c r="AL451" s="143"/>
      <c r="AM451" s="143"/>
      <c r="AN451" s="143"/>
      <c r="AO451" s="143"/>
      <c r="AP451" s="143"/>
      <c r="AQ451" s="143"/>
      <c r="AR451" s="143"/>
      <c r="AS451" s="143"/>
      <c r="AT451" s="143"/>
    </row>
    <row r="452" spans="1:46" ht="15" customHeight="1">
      <c r="A452" s="807" t="str">
        <f>+input!B18</f>
        <v>108j</v>
      </c>
      <c r="B452" s="814">
        <f>+input!CN18</f>
        <v>174662958.18137676</v>
      </c>
      <c r="C452" s="814">
        <f>+input!CO18</f>
        <v>246587392.40687704</v>
      </c>
      <c r="D452" s="814">
        <f>+input!CV18</f>
        <v>174662958.18137676</v>
      </c>
      <c r="E452" s="814">
        <f>+input!CW18</f>
        <v>246587392.40687704</v>
      </c>
      <c r="F452" s="814">
        <f>input!DD18</f>
        <v>174662958.18137676</v>
      </c>
      <c r="G452" s="814">
        <f>+input!DE18</f>
        <v>246587392.40687704</v>
      </c>
      <c r="H452" s="814">
        <f>+input!DL18</f>
        <v>939949525.08844781</v>
      </c>
      <c r="I452" s="814">
        <f>+input!DM18</f>
        <v>296822630.6811114</v>
      </c>
      <c r="J452" s="814">
        <f>+input!DT18</f>
        <v>415879998.34563911</v>
      </c>
      <c r="K452" s="814">
        <f>+input!DU18</f>
        <v>280215643.12917501</v>
      </c>
      <c r="L452" s="814">
        <f>+input!EB18</f>
        <v>212457990.99039462</v>
      </c>
      <c r="M452" s="814">
        <f>+input!EC18</f>
        <v>256181087.53022891</v>
      </c>
      <c r="N452" s="814">
        <f>+input!EJ18</f>
        <v>187221698.16716075</v>
      </c>
      <c r="O452" s="816">
        <f>+input!EK18</f>
        <v>250118155.35038298</v>
      </c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J452" s="143"/>
      <c r="AK452" s="143"/>
      <c r="AL452" s="143"/>
      <c r="AM452" s="143"/>
      <c r="AN452" s="143"/>
      <c r="AO452" s="143"/>
      <c r="AP452" s="143"/>
      <c r="AQ452" s="143"/>
      <c r="AR452" s="143"/>
      <c r="AS452" s="143"/>
      <c r="AT452" s="143"/>
    </row>
    <row r="453" spans="1:46" ht="15" customHeight="1">
      <c r="A453" s="807" t="str">
        <f>+input!B19</f>
        <v>109i</v>
      </c>
      <c r="B453" s="814">
        <f>+input!CN19</f>
        <v>174662958.18137676</v>
      </c>
      <c r="C453" s="814">
        <f>+input!CO19</f>
        <v>246587392.40687704</v>
      </c>
      <c r="D453" s="814">
        <f>+input!CV19</f>
        <v>174662958.18137676</v>
      </c>
      <c r="E453" s="814">
        <f>+input!CW19</f>
        <v>246587392.40687704</v>
      </c>
      <c r="F453" s="814">
        <f>input!DD19</f>
        <v>174662958.18137676</v>
      </c>
      <c r="G453" s="814">
        <f>+input!DE19</f>
        <v>246587392.40687704</v>
      </c>
      <c r="H453" s="814">
        <f>+input!DL19</f>
        <v>939949525.08844781</v>
      </c>
      <c r="I453" s="814">
        <f>+input!DM19</f>
        <v>296822630.6811114</v>
      </c>
      <c r="J453" s="814">
        <f>+input!DT19</f>
        <v>415879998.34563911</v>
      </c>
      <c r="K453" s="814">
        <f>+input!DU19</f>
        <v>280215643.12917501</v>
      </c>
      <c r="L453" s="814">
        <f>+input!EB19</f>
        <v>212457990.99039462</v>
      </c>
      <c r="M453" s="814">
        <f>+input!EC19</f>
        <v>256181087.53022891</v>
      </c>
      <c r="N453" s="814">
        <f>+input!EJ19</f>
        <v>187221698.16716075</v>
      </c>
      <c r="O453" s="816">
        <f>+input!EK19</f>
        <v>250118155.35038298</v>
      </c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J453" s="143"/>
      <c r="AK453" s="143"/>
      <c r="AL453" s="143"/>
      <c r="AM453" s="143"/>
      <c r="AN453" s="143"/>
      <c r="AO453" s="143"/>
      <c r="AP453" s="143"/>
      <c r="AQ453" s="143"/>
      <c r="AR453" s="143"/>
      <c r="AS453" s="143"/>
      <c r="AT453" s="143"/>
    </row>
    <row r="454" spans="1:46" ht="15" customHeight="1">
      <c r="A454" s="807" t="str">
        <f>+input!B20</f>
        <v>109j</v>
      </c>
      <c r="B454" s="814">
        <f>+input!CN20</f>
        <v>174662958.18137676</v>
      </c>
      <c r="C454" s="814">
        <f>+input!CO20</f>
        <v>246587392.40687704</v>
      </c>
      <c r="D454" s="814">
        <f>+input!CV20</f>
        <v>174662958.18137676</v>
      </c>
      <c r="E454" s="814">
        <f>+input!CW20</f>
        <v>246587392.40687704</v>
      </c>
      <c r="F454" s="814">
        <f>input!DD20</f>
        <v>174662958.18137676</v>
      </c>
      <c r="G454" s="814">
        <f>+input!DE20</f>
        <v>246587392.40687704</v>
      </c>
      <c r="H454" s="814">
        <f>+input!DL20</f>
        <v>939949525.08844781</v>
      </c>
      <c r="I454" s="814">
        <f>+input!DM20</f>
        <v>296822630.6811114</v>
      </c>
      <c r="J454" s="814">
        <f>+input!DT20</f>
        <v>415879998.34563911</v>
      </c>
      <c r="K454" s="814">
        <f>+input!DU20</f>
        <v>280215643.12917501</v>
      </c>
      <c r="L454" s="814">
        <f>+input!EB20</f>
        <v>212457990.99039462</v>
      </c>
      <c r="M454" s="814">
        <f>+input!EC20</f>
        <v>256181087.53022891</v>
      </c>
      <c r="N454" s="814">
        <f>+input!EJ20</f>
        <v>187221698.16716075</v>
      </c>
      <c r="O454" s="816">
        <f>+input!EK20</f>
        <v>250118155.35038298</v>
      </c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J454" s="143"/>
      <c r="AK454" s="143"/>
      <c r="AL454" s="143"/>
      <c r="AM454" s="143"/>
      <c r="AN454" s="143"/>
      <c r="AO454" s="143"/>
      <c r="AP454" s="143"/>
      <c r="AQ454" s="143"/>
      <c r="AR454" s="143"/>
      <c r="AS454" s="143"/>
      <c r="AT454" s="143"/>
    </row>
    <row r="455" spans="1:46" ht="15" customHeight="1">
      <c r="A455" s="807" t="str">
        <f>+input!B21</f>
        <v>110i</v>
      </c>
      <c r="B455" s="814">
        <f>+input!CN21</f>
        <v>174662958.18137676</v>
      </c>
      <c r="C455" s="814">
        <f>+input!CO21</f>
        <v>246587392.40687704</v>
      </c>
      <c r="D455" s="814">
        <f>+input!CV21</f>
        <v>174662958.18137676</v>
      </c>
      <c r="E455" s="814">
        <f>+input!CW21</f>
        <v>246587392.40687704</v>
      </c>
      <c r="F455" s="814">
        <f>input!DD21</f>
        <v>174662958.18137676</v>
      </c>
      <c r="G455" s="814">
        <f>+input!DE21</f>
        <v>246587392.40687704</v>
      </c>
      <c r="H455" s="814">
        <f>+input!DL21</f>
        <v>939949525.08844781</v>
      </c>
      <c r="I455" s="814">
        <f>+input!DM21</f>
        <v>296822630.6811114</v>
      </c>
      <c r="J455" s="814">
        <f>+input!DT21</f>
        <v>415879998.34563911</v>
      </c>
      <c r="K455" s="814">
        <f>+input!DU21</f>
        <v>280215643.12917501</v>
      </c>
      <c r="L455" s="814">
        <f>+input!EB21</f>
        <v>212457990.99039462</v>
      </c>
      <c r="M455" s="814">
        <f>+input!EC21</f>
        <v>256181087.53022891</v>
      </c>
      <c r="N455" s="814">
        <f>+input!EJ21</f>
        <v>187221698.16716075</v>
      </c>
      <c r="O455" s="816">
        <f>+input!EK21</f>
        <v>250118155.35038298</v>
      </c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J455" s="143"/>
      <c r="AK455" s="143"/>
      <c r="AL455" s="143"/>
      <c r="AM455" s="143"/>
      <c r="AN455" s="143"/>
      <c r="AO455" s="143"/>
      <c r="AP455" s="143"/>
      <c r="AQ455" s="143"/>
      <c r="AR455" s="143"/>
      <c r="AS455" s="143"/>
      <c r="AT455" s="143"/>
    </row>
    <row r="456" spans="1:46" ht="15" customHeight="1">
      <c r="A456" s="807" t="str">
        <f>+input!B22</f>
        <v>110j</v>
      </c>
      <c r="B456" s="814">
        <f>+input!CN22</f>
        <v>174662958.18137676</v>
      </c>
      <c r="C456" s="814">
        <f>+input!CO22</f>
        <v>246587392.40687704</v>
      </c>
      <c r="D456" s="814">
        <f>+input!CV22</f>
        <v>174662958.18137676</v>
      </c>
      <c r="E456" s="814">
        <f>+input!CW22</f>
        <v>246587392.40687704</v>
      </c>
      <c r="F456" s="814">
        <f>input!DD22</f>
        <v>174662958.18137676</v>
      </c>
      <c r="G456" s="814">
        <f>+input!DE22</f>
        <v>246587392.40687704</v>
      </c>
      <c r="H456" s="814">
        <f>+input!DL22</f>
        <v>939949525.08844781</v>
      </c>
      <c r="I456" s="814">
        <f>+input!DM22</f>
        <v>296822630.6811114</v>
      </c>
      <c r="J456" s="814">
        <f>+input!DT22</f>
        <v>415879998.34563911</v>
      </c>
      <c r="K456" s="814">
        <f>+input!DU22</f>
        <v>280215643.12917501</v>
      </c>
      <c r="L456" s="814">
        <f>+input!EB22</f>
        <v>212457990.99039462</v>
      </c>
      <c r="M456" s="814">
        <f>+input!EC22</f>
        <v>256181087.53022891</v>
      </c>
      <c r="N456" s="814">
        <f>+input!EJ22</f>
        <v>187221698.16716075</v>
      </c>
      <c r="O456" s="816">
        <f>+input!EK22</f>
        <v>250118155.35038298</v>
      </c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J456" s="143"/>
      <c r="AK456" s="143"/>
      <c r="AL456" s="143"/>
      <c r="AM456" s="143"/>
      <c r="AN456" s="143"/>
      <c r="AO456" s="143"/>
      <c r="AP456" s="143"/>
      <c r="AQ456" s="143"/>
      <c r="AR456" s="143"/>
      <c r="AS456" s="143"/>
      <c r="AT456" s="143"/>
    </row>
    <row r="457" spans="1:46" ht="15" customHeight="1">
      <c r="A457" s="807" t="str">
        <f>+input!B23</f>
        <v>111i</v>
      </c>
      <c r="B457" s="814">
        <f>+input!CN23</f>
        <v>174662958.18137676</v>
      </c>
      <c r="C457" s="814">
        <f>+input!CO23</f>
        <v>246587392.40687704</v>
      </c>
      <c r="D457" s="814">
        <f>+input!CV23</f>
        <v>174662958.18137676</v>
      </c>
      <c r="E457" s="814">
        <f>+input!CW23</f>
        <v>246587392.40687704</v>
      </c>
      <c r="F457" s="814">
        <f>input!DD23</f>
        <v>174662958.18137676</v>
      </c>
      <c r="G457" s="814">
        <f>+input!DE23</f>
        <v>246587392.40687704</v>
      </c>
      <c r="H457" s="814">
        <f>+input!DL23</f>
        <v>939949525.08844781</v>
      </c>
      <c r="I457" s="814">
        <f>+input!DM23</f>
        <v>296822630.6811114</v>
      </c>
      <c r="J457" s="814">
        <f>+input!DT23</f>
        <v>415879998.34563911</v>
      </c>
      <c r="K457" s="814">
        <f>+input!DU23</f>
        <v>280215643.12917501</v>
      </c>
      <c r="L457" s="814">
        <f>+input!EB23</f>
        <v>212457990.99039462</v>
      </c>
      <c r="M457" s="814">
        <f>+input!EC23</f>
        <v>256181087.53022891</v>
      </c>
      <c r="N457" s="814">
        <f>+input!EJ23</f>
        <v>187221698.16716075</v>
      </c>
      <c r="O457" s="816">
        <f>+input!EK23</f>
        <v>250118155.35038298</v>
      </c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J457" s="143"/>
      <c r="AK457" s="143"/>
      <c r="AL457" s="143"/>
      <c r="AM457" s="143"/>
      <c r="AN457" s="143"/>
      <c r="AO457" s="143"/>
      <c r="AP457" s="143"/>
      <c r="AQ457" s="143"/>
      <c r="AR457" s="143"/>
      <c r="AS457" s="143"/>
      <c r="AT457" s="143"/>
    </row>
    <row r="458" spans="1:46" ht="15" customHeight="1">
      <c r="A458" s="807" t="str">
        <f>+input!B24</f>
        <v>111j</v>
      </c>
      <c r="B458" s="814">
        <f>+input!CN24</f>
        <v>174662958.18137676</v>
      </c>
      <c r="C458" s="814">
        <f>+input!CO24</f>
        <v>246587392.40687704</v>
      </c>
      <c r="D458" s="814">
        <f>+input!CV24</f>
        <v>174662958.18137676</v>
      </c>
      <c r="E458" s="814">
        <f>+input!CW24</f>
        <v>246587392.40687704</v>
      </c>
      <c r="F458" s="814">
        <f>input!DD24</f>
        <v>174662958.18137676</v>
      </c>
      <c r="G458" s="814">
        <f>+input!DE24</f>
        <v>246587392.40687704</v>
      </c>
      <c r="H458" s="814">
        <f>+input!DL24</f>
        <v>939949525.08844781</v>
      </c>
      <c r="I458" s="814">
        <f>+input!DM24</f>
        <v>296822630.6811114</v>
      </c>
      <c r="J458" s="814">
        <f>+input!DT24</f>
        <v>415879998.34563911</v>
      </c>
      <c r="K458" s="814">
        <f>+input!DU24</f>
        <v>280215643.12917501</v>
      </c>
      <c r="L458" s="814">
        <f>+input!EB24</f>
        <v>212457990.99039462</v>
      </c>
      <c r="M458" s="814">
        <f>+input!EC24</f>
        <v>256181087.53022891</v>
      </c>
      <c r="N458" s="814">
        <f>+input!EJ24</f>
        <v>187221698.16716075</v>
      </c>
      <c r="O458" s="816">
        <f>+input!EK24</f>
        <v>250118155.35038298</v>
      </c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J458" s="143"/>
      <c r="AK458" s="143"/>
      <c r="AL458" s="143"/>
      <c r="AM458" s="143"/>
      <c r="AN458" s="143"/>
      <c r="AO458" s="143"/>
      <c r="AP458" s="143"/>
      <c r="AQ458" s="143"/>
      <c r="AR458" s="143"/>
      <c r="AS458" s="143"/>
      <c r="AT458" s="143"/>
    </row>
    <row r="459" spans="1:46" ht="15" customHeight="1">
      <c r="A459" s="807" t="str">
        <f>+input!B25</f>
        <v>112i</v>
      </c>
      <c r="B459" s="814">
        <f>+input!CN25</f>
        <v>141272624.0278883</v>
      </c>
      <c r="C459" s="814">
        <f>+input!CO25</f>
        <v>203018767.1140689</v>
      </c>
      <c r="D459" s="814">
        <f>+input!CV25</f>
        <v>141272624.0278883</v>
      </c>
      <c r="E459" s="814">
        <f>+input!CW25</f>
        <v>203018767.1140689</v>
      </c>
      <c r="F459" s="814">
        <f>input!DD25</f>
        <v>141272624.0278883</v>
      </c>
      <c r="G459" s="814">
        <f>+input!DE25</f>
        <v>203018767.1140689</v>
      </c>
      <c r="H459" s="814">
        <f>+input!DL25</f>
        <v>908692664.72841144</v>
      </c>
      <c r="I459" s="814">
        <f>+input!DM25</f>
        <v>253532719.01309764</v>
      </c>
      <c r="J459" s="814">
        <f>+input!DT25</f>
        <v>380282325.37299752</v>
      </c>
      <c r="K459" s="814">
        <f>+input!DU25</f>
        <v>238170095.88927212</v>
      </c>
      <c r="L459" s="814">
        <f>+input!EB25</f>
        <v>178553341.79862958</v>
      </c>
      <c r="M459" s="814">
        <f>+input!EC25</f>
        <v>213649154.49520549</v>
      </c>
      <c r="N459" s="814">
        <f>+input!EJ25</f>
        <v>153652783.43049407</v>
      </c>
      <c r="O459" s="816">
        <f>+input!EK25</f>
        <v>206991842.39465442</v>
      </c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J459" s="143"/>
      <c r="AK459" s="143"/>
      <c r="AL459" s="143"/>
      <c r="AM459" s="143"/>
      <c r="AN459" s="143"/>
      <c r="AO459" s="143"/>
      <c r="AP459" s="143"/>
      <c r="AQ459" s="143"/>
      <c r="AR459" s="143"/>
      <c r="AS459" s="143"/>
      <c r="AT459" s="143"/>
    </row>
    <row r="460" spans="1:46" ht="15" customHeight="1">
      <c r="A460" s="807" t="str">
        <f>+input!B26</f>
        <v>112j</v>
      </c>
      <c r="B460" s="814">
        <f>+input!CN26</f>
        <v>141272624.0278883</v>
      </c>
      <c r="C460" s="814">
        <f>+input!CO26</f>
        <v>203018767.1140689</v>
      </c>
      <c r="D460" s="814">
        <f>+input!CV26</f>
        <v>141272624.0278883</v>
      </c>
      <c r="E460" s="814">
        <f>+input!CW26</f>
        <v>203018767.1140689</v>
      </c>
      <c r="F460" s="814">
        <f>input!DD26</f>
        <v>141272624.0278883</v>
      </c>
      <c r="G460" s="814">
        <f>+input!DE26</f>
        <v>203018767.1140689</v>
      </c>
      <c r="H460" s="814">
        <f>+input!DL26</f>
        <v>908692664.72841144</v>
      </c>
      <c r="I460" s="814">
        <f>+input!DM26</f>
        <v>253532719.01309764</v>
      </c>
      <c r="J460" s="814">
        <f>+input!DT26</f>
        <v>380282325.37299752</v>
      </c>
      <c r="K460" s="814">
        <f>+input!DU26</f>
        <v>238170095.88927212</v>
      </c>
      <c r="L460" s="814">
        <f>+input!EB26</f>
        <v>178553341.79862958</v>
      </c>
      <c r="M460" s="814">
        <f>+input!EC26</f>
        <v>213649154.49520549</v>
      </c>
      <c r="N460" s="814">
        <f>+input!EJ26</f>
        <v>153652783.43049407</v>
      </c>
      <c r="O460" s="816">
        <f>+input!EK26</f>
        <v>206991842.39465442</v>
      </c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J460" s="143"/>
      <c r="AK460" s="143"/>
      <c r="AL460" s="143"/>
      <c r="AM460" s="143"/>
      <c r="AN460" s="143"/>
      <c r="AO460" s="143"/>
      <c r="AP460" s="143"/>
      <c r="AQ460" s="143"/>
      <c r="AR460" s="143"/>
      <c r="AS460" s="143"/>
      <c r="AT460" s="143"/>
    </row>
    <row r="461" spans="1:46" ht="15" customHeight="1">
      <c r="A461" s="807" t="str">
        <f>+input!B27</f>
        <v>113i</v>
      </c>
      <c r="B461" s="814">
        <f>+input!CN27</f>
        <v>126643772.73580913</v>
      </c>
      <c r="C461" s="814">
        <f>+input!CO27</f>
        <v>198309287.77219328</v>
      </c>
      <c r="D461" s="814">
        <f>+input!CV27</f>
        <v>126643772.73580913</v>
      </c>
      <c r="E461" s="814">
        <f>+input!CW27</f>
        <v>198309287.77219328</v>
      </c>
      <c r="F461" s="814">
        <f>input!DD27</f>
        <v>126643772.73580913</v>
      </c>
      <c r="G461" s="814">
        <f>+input!DE27</f>
        <v>198309287.77219328</v>
      </c>
      <c r="H461" s="814">
        <f>+input!DL27</f>
        <v>900531717.65221047</v>
      </c>
      <c r="I461" s="814">
        <f>+input!DM27</f>
        <v>253503336.72317958</v>
      </c>
      <c r="J461" s="814">
        <f>+input!DT27</f>
        <v>366660998.2260524</v>
      </c>
      <c r="K461" s="814">
        <f>+input!DU27</f>
        <v>237537997.06111619</v>
      </c>
      <c r="L461" s="814">
        <f>+input!EB27</f>
        <v>164012816.07628876</v>
      </c>
      <c r="M461" s="814">
        <f>+input!EC27</f>
        <v>210575724.11539474</v>
      </c>
      <c r="N461" s="814">
        <f>+input!EJ27</f>
        <v>139050830.29151839</v>
      </c>
      <c r="O461" s="816">
        <f>+input!EK27</f>
        <v>202937379.34407732</v>
      </c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J461" s="143"/>
      <c r="AK461" s="143"/>
      <c r="AL461" s="143"/>
      <c r="AM461" s="143"/>
      <c r="AN461" s="143"/>
      <c r="AO461" s="143"/>
      <c r="AP461" s="143"/>
      <c r="AQ461" s="143"/>
      <c r="AR461" s="143"/>
      <c r="AS461" s="143"/>
      <c r="AT461" s="143"/>
    </row>
    <row r="462" spans="1:46" ht="15" customHeight="1">
      <c r="A462" s="807" t="str">
        <f>+input!B28</f>
        <v>113j</v>
      </c>
      <c r="B462" s="814">
        <f>+input!CN28</f>
        <v>126643772.73580913</v>
      </c>
      <c r="C462" s="814">
        <f>+input!CO28</f>
        <v>198309287.77219328</v>
      </c>
      <c r="D462" s="814">
        <f>+input!CV28</f>
        <v>126643772.73580913</v>
      </c>
      <c r="E462" s="814">
        <f>+input!CW28</f>
        <v>198309287.77219328</v>
      </c>
      <c r="F462" s="814">
        <f>input!DD28</f>
        <v>126643772.73580913</v>
      </c>
      <c r="G462" s="814">
        <f>+input!DE28</f>
        <v>198309287.77219328</v>
      </c>
      <c r="H462" s="814">
        <f>+input!DL28</f>
        <v>900531717.65221047</v>
      </c>
      <c r="I462" s="814">
        <f>+input!DM28</f>
        <v>253503336.72317958</v>
      </c>
      <c r="J462" s="814">
        <f>+input!DT28</f>
        <v>366660998.2260524</v>
      </c>
      <c r="K462" s="814">
        <f>+input!DU28</f>
        <v>237537997.06111619</v>
      </c>
      <c r="L462" s="814">
        <f>+input!EB28</f>
        <v>164012816.07628876</v>
      </c>
      <c r="M462" s="814">
        <f>+input!EC28</f>
        <v>210575724.11539474</v>
      </c>
      <c r="N462" s="814">
        <f>+input!EJ28</f>
        <v>139050830.29151839</v>
      </c>
      <c r="O462" s="816">
        <f>+input!EK28</f>
        <v>202937379.34407732</v>
      </c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J462" s="143"/>
      <c r="AK462" s="143"/>
      <c r="AL462" s="143"/>
      <c r="AM462" s="143"/>
      <c r="AN462" s="143"/>
      <c r="AO462" s="143"/>
      <c r="AP462" s="143"/>
      <c r="AQ462" s="143"/>
      <c r="AR462" s="143"/>
      <c r="AS462" s="143"/>
      <c r="AT462" s="143"/>
    </row>
    <row r="463" spans="1:46" ht="15" customHeight="1">
      <c r="A463" s="807" t="str">
        <f>+input!B29</f>
        <v>114i</v>
      </c>
      <c r="B463" s="814">
        <f>+input!CN29</f>
        <v>126643772.73580913</v>
      </c>
      <c r="C463" s="814">
        <f>+input!CO29</f>
        <v>198309287.77219328</v>
      </c>
      <c r="D463" s="814">
        <f>+input!CV29</f>
        <v>126643772.73580913</v>
      </c>
      <c r="E463" s="814">
        <f>+input!CW29</f>
        <v>198309287.77219328</v>
      </c>
      <c r="F463" s="814">
        <f>input!DD29</f>
        <v>126643772.73580913</v>
      </c>
      <c r="G463" s="814">
        <f>+input!DE29</f>
        <v>198309287.77219328</v>
      </c>
      <c r="H463" s="814">
        <f>+input!DL29</f>
        <v>900531717.65221047</v>
      </c>
      <c r="I463" s="814">
        <f>+input!DM29</f>
        <v>253503336.72317958</v>
      </c>
      <c r="J463" s="814">
        <f>+input!DT29</f>
        <v>366660998.2260524</v>
      </c>
      <c r="K463" s="814">
        <f>+input!DU29</f>
        <v>237537997.06111619</v>
      </c>
      <c r="L463" s="814">
        <f>+input!EB29</f>
        <v>164012816.07628876</v>
      </c>
      <c r="M463" s="814">
        <f>+input!EC29</f>
        <v>210575724.11539474</v>
      </c>
      <c r="N463" s="814">
        <f>+input!EJ29</f>
        <v>139050830.29151839</v>
      </c>
      <c r="O463" s="816">
        <f>+input!EK29</f>
        <v>202937379.34407732</v>
      </c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J463" s="143"/>
      <c r="AK463" s="143"/>
      <c r="AL463" s="143"/>
      <c r="AM463" s="143"/>
      <c r="AN463" s="143"/>
      <c r="AO463" s="143"/>
      <c r="AP463" s="143"/>
      <c r="AQ463" s="143"/>
      <c r="AR463" s="143"/>
      <c r="AS463" s="143"/>
      <c r="AT463" s="143"/>
    </row>
    <row r="464" spans="1:46" ht="15" customHeight="1">
      <c r="A464" s="807" t="str">
        <f>+input!B30</f>
        <v>114j</v>
      </c>
      <c r="B464" s="814">
        <f>+input!CN30</f>
        <v>126643772.73580913</v>
      </c>
      <c r="C464" s="814">
        <f>+input!CO30</f>
        <v>198309287.77219328</v>
      </c>
      <c r="D464" s="814">
        <f>+input!CV30</f>
        <v>126643772.73580913</v>
      </c>
      <c r="E464" s="814">
        <f>+input!CW30</f>
        <v>198309287.77219328</v>
      </c>
      <c r="F464" s="814">
        <f>input!DD30</f>
        <v>126643772.73580913</v>
      </c>
      <c r="G464" s="814">
        <f>+input!DE30</f>
        <v>198309287.77219328</v>
      </c>
      <c r="H464" s="814">
        <f>+input!DL30</f>
        <v>900531717.65221047</v>
      </c>
      <c r="I464" s="814">
        <f>+input!DM30</f>
        <v>253503336.72317958</v>
      </c>
      <c r="J464" s="814">
        <f>+input!DT30</f>
        <v>366660998.2260524</v>
      </c>
      <c r="K464" s="814">
        <f>+input!DU30</f>
        <v>237537997.06111619</v>
      </c>
      <c r="L464" s="814">
        <f>+input!EB30</f>
        <v>164012816.07628876</v>
      </c>
      <c r="M464" s="814">
        <f>+input!EC30</f>
        <v>210575724.11539474</v>
      </c>
      <c r="N464" s="814">
        <f>+input!EJ30</f>
        <v>139050830.29151839</v>
      </c>
      <c r="O464" s="816">
        <f>+input!EK30</f>
        <v>202937379.34407732</v>
      </c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J464" s="143"/>
      <c r="AK464" s="143"/>
      <c r="AL464" s="143"/>
      <c r="AM464" s="143"/>
      <c r="AN464" s="143"/>
      <c r="AO464" s="143"/>
      <c r="AP464" s="143"/>
      <c r="AQ464" s="143"/>
      <c r="AR464" s="143"/>
      <c r="AS464" s="143"/>
      <c r="AT464" s="143"/>
    </row>
    <row r="465" spans="1:46" ht="15" customHeight="1">
      <c r="A465" s="807" t="str">
        <f>+input!B31</f>
        <v>115i</v>
      </c>
      <c r="B465" s="814">
        <f>+input!CN31</f>
        <v>100072715.43821304</v>
      </c>
      <c r="C465" s="814">
        <f>+input!CO31</f>
        <v>131749469.3556883</v>
      </c>
      <c r="D465" s="814">
        <f>+input!CV31</f>
        <v>100072715.43821304</v>
      </c>
      <c r="E465" s="814">
        <f>+input!CW31</f>
        <v>131749469.3556883</v>
      </c>
      <c r="F465" s="814">
        <f>input!DD31</f>
        <v>100072715.43821304</v>
      </c>
      <c r="G465" s="814">
        <f>+input!DE31</f>
        <v>131749469.3556883</v>
      </c>
      <c r="H465" s="814">
        <f>+input!DL31</f>
        <v>886979445.60212898</v>
      </c>
      <c r="I465" s="814">
        <f>+input!DM31</f>
        <v>177613227.7947599</v>
      </c>
      <c r="J465" s="814">
        <f>+input!DT31</f>
        <v>335136536.81743681</v>
      </c>
      <c r="K465" s="814">
        <f>+input!DU31</f>
        <v>165334447.28401071</v>
      </c>
      <c r="L465" s="814">
        <f>+input!EB31</f>
        <v>136197439.64664793</v>
      </c>
      <c r="M465" s="814">
        <f>+input!EC31</f>
        <v>142845229.80147487</v>
      </c>
      <c r="N465" s="814">
        <f>+input!EJ31</f>
        <v>112044615.96016069</v>
      </c>
      <c r="O465" s="816">
        <f>+input!EK31</f>
        <v>136003722.8356832</v>
      </c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J465" s="143"/>
      <c r="AK465" s="143"/>
      <c r="AL465" s="143"/>
      <c r="AM465" s="143"/>
      <c r="AN465" s="143"/>
      <c r="AO465" s="143"/>
      <c r="AP465" s="143"/>
      <c r="AQ465" s="143"/>
      <c r="AR465" s="143"/>
      <c r="AS465" s="143"/>
      <c r="AT465" s="143"/>
    </row>
    <row r="466" spans="1:46" ht="15" customHeight="1">
      <c r="A466" s="807" t="str">
        <f>+input!B32</f>
        <v>115j</v>
      </c>
      <c r="B466" s="814">
        <f>+input!CN32</f>
        <v>100072715.43821304</v>
      </c>
      <c r="C466" s="814">
        <f>+input!CO32</f>
        <v>131749469.3556883</v>
      </c>
      <c r="D466" s="814">
        <f>+input!CV32</f>
        <v>100072715.43821304</v>
      </c>
      <c r="E466" s="814">
        <f>+input!CW32</f>
        <v>131749469.3556883</v>
      </c>
      <c r="F466" s="814">
        <f>input!DD32</f>
        <v>100072715.43821304</v>
      </c>
      <c r="G466" s="814">
        <f>+input!DE32</f>
        <v>131749469.3556883</v>
      </c>
      <c r="H466" s="814">
        <f>+input!DL32</f>
        <v>886979445.60212898</v>
      </c>
      <c r="I466" s="814">
        <f>+input!DM32</f>
        <v>177613227.7947599</v>
      </c>
      <c r="J466" s="814">
        <f>+input!DT32</f>
        <v>335136536.81743681</v>
      </c>
      <c r="K466" s="814">
        <f>+input!DU32</f>
        <v>165334447.28401071</v>
      </c>
      <c r="L466" s="814">
        <f>+input!EB32</f>
        <v>136197439.64664793</v>
      </c>
      <c r="M466" s="814">
        <f>+input!EC32</f>
        <v>142845229.80147487</v>
      </c>
      <c r="N466" s="814">
        <f>+input!EJ32</f>
        <v>112044615.96016069</v>
      </c>
      <c r="O466" s="816">
        <f>+input!EK32</f>
        <v>136003722.8356832</v>
      </c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J466" s="143"/>
      <c r="AK466" s="143"/>
      <c r="AL466" s="143"/>
      <c r="AM466" s="143"/>
      <c r="AN466" s="143"/>
      <c r="AO466" s="143"/>
      <c r="AP466" s="143"/>
      <c r="AQ466" s="143"/>
      <c r="AR466" s="143"/>
      <c r="AS466" s="143"/>
      <c r="AT466" s="143"/>
    </row>
    <row r="467" spans="1:46" ht="15" customHeight="1">
      <c r="A467" s="807" t="str">
        <f>+input!B33</f>
        <v>116i</v>
      </c>
      <c r="B467" s="814">
        <f>+input!CN33</f>
        <v>126474653.67839223</v>
      </c>
      <c r="C467" s="814">
        <f>+input!CO33</f>
        <v>165081137.45103469</v>
      </c>
      <c r="D467" s="814">
        <f>+input!CV33</f>
        <v>126474653.67839223</v>
      </c>
      <c r="E467" s="814">
        <f>+input!CW33</f>
        <v>165081137.45103469</v>
      </c>
      <c r="F467" s="814">
        <f>input!DD33</f>
        <v>126474653.67839223</v>
      </c>
      <c r="G467" s="814">
        <f>+input!DE33</f>
        <v>165081137.45103469</v>
      </c>
      <c r="H467" s="814">
        <f>+input!DL33</f>
        <v>910059488.13789105</v>
      </c>
      <c r="I467" s="814">
        <f>+input!DM33</f>
        <v>211228251.2320323</v>
      </c>
      <c r="J467" s="814">
        <f>+input!DT33</f>
        <v>365385047.1964696</v>
      </c>
      <c r="K467" s="814">
        <f>+input!DU33</f>
        <v>197719216.51168427</v>
      </c>
      <c r="L467" s="814">
        <f>+input!EB33</f>
        <v>163457814.85920078</v>
      </c>
      <c r="M467" s="814">
        <f>+input!EC33</f>
        <v>175224901.9956772</v>
      </c>
      <c r="N467" s="814">
        <f>+input!EJ33</f>
        <v>138743137.31436488</v>
      </c>
      <c r="O467" s="816">
        <f>+input!EK33</f>
        <v>168901114.22575191</v>
      </c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J467" s="143"/>
      <c r="AK467" s="143"/>
      <c r="AL467" s="143"/>
      <c r="AM467" s="143"/>
      <c r="AN467" s="143"/>
      <c r="AO467" s="143"/>
      <c r="AP467" s="143"/>
      <c r="AQ467" s="143"/>
      <c r="AR467" s="143"/>
      <c r="AS467" s="143"/>
      <c r="AT467" s="143"/>
    </row>
    <row r="468" spans="1:46" ht="15" customHeight="1">
      <c r="A468" s="807" t="str">
        <f>+input!B34</f>
        <v>116j</v>
      </c>
      <c r="B468" s="814">
        <f>+input!CN34</f>
        <v>126474653.67839223</v>
      </c>
      <c r="C468" s="814">
        <f>+input!CO34</f>
        <v>165081137.45103469</v>
      </c>
      <c r="D468" s="814">
        <f>+input!CV34</f>
        <v>126474653.67839223</v>
      </c>
      <c r="E468" s="814">
        <f>+input!CW34</f>
        <v>165081137.45103469</v>
      </c>
      <c r="F468" s="814">
        <f>input!DD34</f>
        <v>126474653.67839223</v>
      </c>
      <c r="G468" s="814">
        <f>+input!DE34</f>
        <v>165081137.45103469</v>
      </c>
      <c r="H468" s="814">
        <f>+input!DL34</f>
        <v>910059488.13789105</v>
      </c>
      <c r="I468" s="814">
        <f>+input!DM34</f>
        <v>211228251.2320323</v>
      </c>
      <c r="J468" s="814">
        <f>+input!DT34</f>
        <v>365385047.1964696</v>
      </c>
      <c r="K468" s="814">
        <f>+input!DU34</f>
        <v>197719216.51168427</v>
      </c>
      <c r="L468" s="814">
        <f>+input!EB34</f>
        <v>163457814.85920078</v>
      </c>
      <c r="M468" s="814">
        <f>+input!EC34</f>
        <v>175224901.9956772</v>
      </c>
      <c r="N468" s="814">
        <f>+input!EJ34</f>
        <v>138743137.31436488</v>
      </c>
      <c r="O468" s="816">
        <f>+input!EK34</f>
        <v>168901114.22575191</v>
      </c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J468" s="143"/>
      <c r="AK468" s="143"/>
      <c r="AL468" s="143"/>
      <c r="AM468" s="143"/>
      <c r="AN468" s="143"/>
      <c r="AO468" s="143"/>
      <c r="AP468" s="143"/>
      <c r="AQ468" s="143"/>
      <c r="AR468" s="143"/>
      <c r="AS468" s="143"/>
      <c r="AT468" s="143"/>
    </row>
    <row r="469" spans="1:46" ht="15" customHeight="1">
      <c r="A469" s="807" t="str">
        <f>+input!B35</f>
        <v>117i</v>
      </c>
      <c r="B469" s="814">
        <f>+input!CN35</f>
        <v>201616277.6381734</v>
      </c>
      <c r="C469" s="814">
        <f>+input!CO35</f>
        <v>203751228.80344361</v>
      </c>
      <c r="D469" s="814">
        <f>+input!CV35</f>
        <v>211101422.56298545</v>
      </c>
      <c r="E469" s="814">
        <f>+input!CW35</f>
        <v>407204417.78953326</v>
      </c>
      <c r="F469" s="814">
        <f>input!DD35</f>
        <v>206358457.97673392</v>
      </c>
      <c r="G469" s="814">
        <f>+input!DE35</f>
        <v>274969213.52663678</v>
      </c>
      <c r="H469" s="814">
        <f>+input!DL35</f>
        <v>995967617.0865798</v>
      </c>
      <c r="I469" s="814">
        <f>+input!DM35</f>
        <v>241642715.70083523</v>
      </c>
      <c r="J469" s="814">
        <f>+input!DT35</f>
        <v>448490297.56984836</v>
      </c>
      <c r="K469" s="814">
        <f>+input!DU35</f>
        <v>228316409.02555922</v>
      </c>
      <c r="L469" s="814">
        <f>+input!EB35</f>
        <v>250264704.3510288</v>
      </c>
      <c r="M469" s="814">
        <f>+input!EC35</f>
        <v>423906111.30824643</v>
      </c>
      <c r="N469" s="814">
        <f>+input!EJ35</f>
        <v>219270087.08154878</v>
      </c>
      <c r="O469" s="816">
        <f>+input!EK35</f>
        <v>278521028.51594788</v>
      </c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J469" s="143"/>
      <c r="AK469" s="143"/>
      <c r="AL469" s="143"/>
      <c r="AM469" s="143"/>
      <c r="AN469" s="143"/>
      <c r="AO469" s="143"/>
      <c r="AP469" s="143"/>
      <c r="AQ469" s="143"/>
      <c r="AR469" s="143"/>
      <c r="AS469" s="143"/>
      <c r="AT469" s="143"/>
    </row>
    <row r="470" spans="1:46" ht="15" customHeight="1">
      <c r="A470" s="807" t="str">
        <f>+input!B36</f>
        <v>117j</v>
      </c>
      <c r="B470" s="814">
        <f>+input!CN36</f>
        <v>201616277.6381734</v>
      </c>
      <c r="C470" s="814">
        <f>+input!CO36</f>
        <v>203751228.80344361</v>
      </c>
      <c r="D470" s="814">
        <f>+input!CV36</f>
        <v>211101422.56298545</v>
      </c>
      <c r="E470" s="814">
        <f>+input!CW36</f>
        <v>407204417.78953326</v>
      </c>
      <c r="F470" s="814">
        <f>input!DD36</f>
        <v>206358457.97673392</v>
      </c>
      <c r="G470" s="814">
        <f>+input!DE36</f>
        <v>274969213.52663678</v>
      </c>
      <c r="H470" s="814">
        <f>+input!DL36</f>
        <v>995967617.0865798</v>
      </c>
      <c r="I470" s="814">
        <f>+input!DM36</f>
        <v>241642715.70083523</v>
      </c>
      <c r="J470" s="814">
        <f>+input!DT36</f>
        <v>448490297.56984836</v>
      </c>
      <c r="K470" s="814">
        <f>+input!DU36</f>
        <v>228316409.02555922</v>
      </c>
      <c r="L470" s="814">
        <f>+input!EB36</f>
        <v>250264704.3510288</v>
      </c>
      <c r="M470" s="814">
        <f>+input!EC36</f>
        <v>423906111.30824643</v>
      </c>
      <c r="N470" s="814">
        <f>+input!EJ36</f>
        <v>219270087.08154878</v>
      </c>
      <c r="O470" s="816">
        <f>+input!EK36</f>
        <v>278521028.51594788</v>
      </c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J470" s="143"/>
      <c r="AK470" s="143"/>
      <c r="AL470" s="143"/>
      <c r="AM470" s="143"/>
      <c r="AN470" s="143"/>
      <c r="AO470" s="143"/>
      <c r="AP470" s="143"/>
      <c r="AQ470" s="143"/>
      <c r="AR470" s="143"/>
      <c r="AS470" s="143"/>
      <c r="AT470" s="143"/>
    </row>
    <row r="471" spans="1:46" ht="15" customHeight="1">
      <c r="A471" s="807" t="str">
        <f>+input!B37</f>
        <v>118i</v>
      </c>
      <c r="B471" s="814">
        <f>+input!CN37</f>
        <v>377437306.85787624</v>
      </c>
      <c r="C471" s="814">
        <f>+input!CO37</f>
        <v>249285333.54220769</v>
      </c>
      <c r="D471" s="814">
        <f>+input!CV37</f>
        <v>395984786.83003438</v>
      </c>
      <c r="E471" s="814">
        <f>+input!CW37</f>
        <v>556484347.57915318</v>
      </c>
      <c r="F471" s="814">
        <f>input!DD37</f>
        <v>387146105.25508732</v>
      </c>
      <c r="G471" s="814">
        <f>+input!DE37</f>
        <v>357160114.15122831</v>
      </c>
      <c r="H471" s="814">
        <f>+input!DL37</f>
        <v>1185856599.7709899</v>
      </c>
      <c r="I471" s="814">
        <f>+input!DM37</f>
        <v>278763562.09625953</v>
      </c>
      <c r="J471" s="814">
        <f>+input!DT37</f>
        <v>632378904.82986236</v>
      </c>
      <c r="K471" s="814">
        <f>+input!DU37</f>
        <v>265804896.39203101</v>
      </c>
      <c r="L471" s="814">
        <f>+input!EB37</f>
        <v>436786647.33861893</v>
      </c>
      <c r="M471" s="814">
        <f>+input!EC37</f>
        <v>568062280.6495564</v>
      </c>
      <c r="N471" s="814">
        <f>+input!EJ37</f>
        <v>400659149.84594232</v>
      </c>
      <c r="O471" s="816">
        <f>+input!EK37</f>
        <v>359319760.60966784</v>
      </c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J471" s="143"/>
      <c r="AK471" s="143"/>
      <c r="AL471" s="143"/>
      <c r="AM471" s="143"/>
      <c r="AN471" s="143"/>
      <c r="AO471" s="143"/>
      <c r="AP471" s="143"/>
      <c r="AQ471" s="143"/>
      <c r="AR471" s="143"/>
      <c r="AS471" s="143"/>
      <c r="AT471" s="143"/>
    </row>
    <row r="472" spans="1:46" ht="15" customHeight="1">
      <c r="A472" s="807" t="str">
        <f>+input!B38</f>
        <v>118j</v>
      </c>
      <c r="B472" s="814">
        <f>+input!CN38</f>
        <v>377437306.85787624</v>
      </c>
      <c r="C472" s="814">
        <f>+input!CO38</f>
        <v>249285333.54220769</v>
      </c>
      <c r="D472" s="814">
        <f>+input!CV38</f>
        <v>395984786.83003438</v>
      </c>
      <c r="E472" s="814">
        <f>+input!CW38</f>
        <v>556484347.57915318</v>
      </c>
      <c r="F472" s="814">
        <f>input!DD38</f>
        <v>387146105.25508732</v>
      </c>
      <c r="G472" s="814">
        <f>+input!DE38</f>
        <v>357160114.15122831</v>
      </c>
      <c r="H472" s="814">
        <f>+input!DL38</f>
        <v>1185856599.7709899</v>
      </c>
      <c r="I472" s="814">
        <f>+input!DM38</f>
        <v>278763562.09625953</v>
      </c>
      <c r="J472" s="814">
        <f>+input!DT38</f>
        <v>632378904.82986236</v>
      </c>
      <c r="K472" s="814">
        <f>+input!DU38</f>
        <v>265804896.39203101</v>
      </c>
      <c r="L472" s="814">
        <f>+input!EB38</f>
        <v>436786647.33861893</v>
      </c>
      <c r="M472" s="814">
        <f>+input!EC38</f>
        <v>568062280.6495564</v>
      </c>
      <c r="N472" s="814">
        <f>+input!EJ38</f>
        <v>400659149.84594232</v>
      </c>
      <c r="O472" s="816">
        <f>+input!EK38</f>
        <v>359319760.60966784</v>
      </c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J472" s="143"/>
      <c r="AK472" s="143"/>
      <c r="AL472" s="143"/>
      <c r="AM472" s="143"/>
      <c r="AN472" s="143"/>
      <c r="AO472" s="143"/>
      <c r="AP472" s="143"/>
      <c r="AQ472" s="143"/>
      <c r="AR472" s="143"/>
      <c r="AS472" s="143"/>
      <c r="AT472" s="143"/>
    </row>
    <row r="473" spans="1:46" ht="15" customHeight="1">
      <c r="A473" s="807" t="str">
        <f>+input!B39</f>
        <v>119i</v>
      </c>
      <c r="B473" s="814">
        <f>+input!CN39</f>
        <v>389817063.54114115</v>
      </c>
      <c r="C473" s="814">
        <f>+input!CO39</f>
        <v>256821441.04481611</v>
      </c>
      <c r="D473" s="814">
        <f>+input!CV39</f>
        <v>408510486.08526975</v>
      </c>
      <c r="E473" s="814">
        <f>+input!CW39</f>
        <v>604912603.35700595</v>
      </c>
      <c r="F473" s="814">
        <f>input!DD39</f>
        <v>399796772.46543008</v>
      </c>
      <c r="G473" s="814">
        <f>+input!DE39</f>
        <v>380726945.4929952</v>
      </c>
      <c r="H473" s="814">
        <f>+input!DL39</f>
        <v>1214742332.4363885</v>
      </c>
      <c r="I473" s="814">
        <f>+input!DM39</f>
        <v>287366274.07941139</v>
      </c>
      <c r="J473" s="814">
        <f>+input!DT39</f>
        <v>650510314.13971937</v>
      </c>
      <c r="K473" s="814">
        <f>+input!DU39</f>
        <v>273903434.698201</v>
      </c>
      <c r="L473" s="814">
        <f>+input!EB39</f>
        <v>450136445.44678622</v>
      </c>
      <c r="M473" s="814">
        <f>+input!EC39</f>
        <v>618421510.98460853</v>
      </c>
      <c r="N473" s="814">
        <f>+input!EJ39</f>
        <v>413604255.7530942</v>
      </c>
      <c r="O473" s="816">
        <f>+input!EK39</f>
        <v>383103973.83311814</v>
      </c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J473" s="143"/>
      <c r="AK473" s="143"/>
      <c r="AL473" s="143"/>
      <c r="AM473" s="143"/>
      <c r="AN473" s="143"/>
      <c r="AO473" s="143"/>
      <c r="AP473" s="143"/>
      <c r="AQ473" s="143"/>
      <c r="AR473" s="143"/>
      <c r="AS473" s="143"/>
      <c r="AT473" s="143"/>
    </row>
    <row r="474" spans="1:46" ht="15" customHeight="1">
      <c r="A474" s="807" t="str">
        <f>+input!B40</f>
        <v>119j</v>
      </c>
      <c r="B474" s="814">
        <f>+input!CN40</f>
        <v>389817063.54114115</v>
      </c>
      <c r="C474" s="814">
        <f>+input!CO40</f>
        <v>256821441.04481611</v>
      </c>
      <c r="D474" s="814">
        <f>+input!CV40</f>
        <v>408510486.08526975</v>
      </c>
      <c r="E474" s="814">
        <f>+input!CW40</f>
        <v>604912603.35700595</v>
      </c>
      <c r="F474" s="814">
        <f>input!DD40</f>
        <v>399796772.46543008</v>
      </c>
      <c r="G474" s="814">
        <f>+input!DE40</f>
        <v>380726945.4929952</v>
      </c>
      <c r="H474" s="814">
        <f>+input!DL40</f>
        <v>1214742332.4363885</v>
      </c>
      <c r="I474" s="814">
        <f>+input!DM40</f>
        <v>287366274.07941139</v>
      </c>
      <c r="J474" s="814">
        <f>+input!DT40</f>
        <v>650510314.13971937</v>
      </c>
      <c r="K474" s="814">
        <f>+input!DU40</f>
        <v>273903434.698201</v>
      </c>
      <c r="L474" s="814">
        <f>+input!EB40</f>
        <v>450136445.44678622</v>
      </c>
      <c r="M474" s="814">
        <f>+input!EC40</f>
        <v>618421510.98460853</v>
      </c>
      <c r="N474" s="814">
        <f>+input!EJ40</f>
        <v>413604255.7530942</v>
      </c>
      <c r="O474" s="816">
        <f>+input!EK40</f>
        <v>383103973.83311814</v>
      </c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J474" s="143"/>
      <c r="AK474" s="143"/>
      <c r="AL474" s="143"/>
      <c r="AM474" s="143"/>
      <c r="AN474" s="143"/>
      <c r="AO474" s="143"/>
      <c r="AP474" s="143"/>
      <c r="AQ474" s="143"/>
      <c r="AR474" s="143"/>
      <c r="AS474" s="143"/>
      <c r="AT474" s="143"/>
    </row>
    <row r="475" spans="1:46" ht="15" customHeight="1">
      <c r="A475" s="807" t="str">
        <f>+input!B41</f>
        <v>120i</v>
      </c>
      <c r="B475" s="814">
        <f>+input!CN41</f>
        <v>389817063.54114115</v>
      </c>
      <c r="C475" s="814">
        <f>+input!CO41</f>
        <v>256821441.04481611</v>
      </c>
      <c r="D475" s="814">
        <f>+input!CV41</f>
        <v>408510486.08526975</v>
      </c>
      <c r="E475" s="814">
        <f>+input!CW41</f>
        <v>604912603.35700595</v>
      </c>
      <c r="F475" s="814">
        <f>input!DD41</f>
        <v>399796772.46543008</v>
      </c>
      <c r="G475" s="814">
        <f>+input!DE41</f>
        <v>380726945.4929952</v>
      </c>
      <c r="H475" s="814">
        <f>+input!DL41</f>
        <v>1214742332.4363885</v>
      </c>
      <c r="I475" s="814">
        <f>+input!DM41</f>
        <v>287366274.07941139</v>
      </c>
      <c r="J475" s="814">
        <f>+input!DT41</f>
        <v>650510314.13971937</v>
      </c>
      <c r="K475" s="814">
        <f>+input!DU41</f>
        <v>273903434.698201</v>
      </c>
      <c r="L475" s="814">
        <f>+input!EB41</f>
        <v>450136445.44678622</v>
      </c>
      <c r="M475" s="814">
        <f>+input!EC41</f>
        <v>618421510.98460853</v>
      </c>
      <c r="N475" s="814">
        <f>+input!EJ41</f>
        <v>413604255.7530942</v>
      </c>
      <c r="O475" s="816">
        <f>+input!EK41</f>
        <v>383103973.83311814</v>
      </c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J475" s="143"/>
      <c r="AK475" s="143"/>
      <c r="AL475" s="143"/>
      <c r="AM475" s="143"/>
      <c r="AN475" s="143"/>
      <c r="AO475" s="143"/>
      <c r="AP475" s="143"/>
      <c r="AQ475" s="143"/>
      <c r="AR475" s="143"/>
      <c r="AS475" s="143"/>
      <c r="AT475" s="143"/>
    </row>
    <row r="476" spans="1:46" ht="15" customHeight="1">
      <c r="A476" s="807" t="str">
        <f>+input!B42</f>
        <v>120j</v>
      </c>
      <c r="B476" s="814">
        <f>+input!CN42</f>
        <v>389817063.54114115</v>
      </c>
      <c r="C476" s="814">
        <f>+input!CO42</f>
        <v>256821441.04481611</v>
      </c>
      <c r="D476" s="814">
        <f>+input!CV42</f>
        <v>408510486.08526975</v>
      </c>
      <c r="E476" s="814">
        <f>+input!CW42</f>
        <v>604912603.35700595</v>
      </c>
      <c r="F476" s="814">
        <f>input!DD42</f>
        <v>399796772.46543008</v>
      </c>
      <c r="G476" s="814">
        <f>+input!DE42</f>
        <v>380726945.4929952</v>
      </c>
      <c r="H476" s="814">
        <f>+input!DL42</f>
        <v>1214742332.4363885</v>
      </c>
      <c r="I476" s="814">
        <f>+input!DM42</f>
        <v>287366274.07941139</v>
      </c>
      <c r="J476" s="814">
        <f>+input!DT42</f>
        <v>650510314.13971937</v>
      </c>
      <c r="K476" s="814">
        <f>+input!DU42</f>
        <v>273903434.698201</v>
      </c>
      <c r="L476" s="814">
        <f>+input!EB42</f>
        <v>450136445.44678622</v>
      </c>
      <c r="M476" s="814">
        <f>+input!EC42</f>
        <v>618421510.98460853</v>
      </c>
      <c r="N476" s="814">
        <f>+input!EJ42</f>
        <v>413604255.7530942</v>
      </c>
      <c r="O476" s="816">
        <f>+input!EK42</f>
        <v>383103973.83311814</v>
      </c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J476" s="143"/>
      <c r="AK476" s="143"/>
      <c r="AL476" s="143"/>
      <c r="AM476" s="143"/>
      <c r="AN476" s="143"/>
      <c r="AO476" s="143"/>
      <c r="AP476" s="143"/>
      <c r="AQ476" s="143"/>
      <c r="AR476" s="143"/>
      <c r="AS476" s="143"/>
      <c r="AT476" s="143"/>
    </row>
    <row r="477" spans="1:46" ht="15" customHeight="1">
      <c r="A477" s="807" t="str">
        <f>+input!B43</f>
        <v>121i</v>
      </c>
      <c r="B477" s="814">
        <f>+input!CN43</f>
        <v>377437306.85787624</v>
      </c>
      <c r="C477" s="814">
        <f>+input!CO43</f>
        <v>249285333.54220769</v>
      </c>
      <c r="D477" s="814">
        <f>+input!CV43</f>
        <v>395984786.83003438</v>
      </c>
      <c r="E477" s="814">
        <f>+input!CW43</f>
        <v>556484347.57915318</v>
      </c>
      <c r="F477" s="814">
        <f>input!DD43</f>
        <v>387146105.25508732</v>
      </c>
      <c r="G477" s="814">
        <f>+input!DE43</f>
        <v>357160114.15122831</v>
      </c>
      <c r="H477" s="814">
        <f>+input!DL43</f>
        <v>1185856599.7709899</v>
      </c>
      <c r="I477" s="814">
        <f>+input!DM43</f>
        <v>278763562.09625953</v>
      </c>
      <c r="J477" s="814">
        <f>+input!DT43</f>
        <v>632378904.82986236</v>
      </c>
      <c r="K477" s="814">
        <f>+input!DU43</f>
        <v>265804896.39203101</v>
      </c>
      <c r="L477" s="814">
        <f>+input!EB43</f>
        <v>436786647.33861893</v>
      </c>
      <c r="M477" s="814">
        <f>+input!EC43</f>
        <v>568062280.6495564</v>
      </c>
      <c r="N477" s="814">
        <f>+input!EJ43</f>
        <v>400659149.84594232</v>
      </c>
      <c r="O477" s="816">
        <f>+input!EK43</f>
        <v>359319760.60966784</v>
      </c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J477" s="143"/>
      <c r="AK477" s="143"/>
      <c r="AL477" s="143"/>
      <c r="AM477" s="143"/>
      <c r="AN477" s="143"/>
      <c r="AO477" s="143"/>
      <c r="AP477" s="143"/>
      <c r="AQ477" s="143"/>
      <c r="AR477" s="143"/>
      <c r="AS477" s="143"/>
      <c r="AT477" s="143"/>
    </row>
    <row r="478" spans="1:46" ht="15" customHeight="1">
      <c r="A478" s="807" t="str">
        <f>+input!B44</f>
        <v>121j</v>
      </c>
      <c r="B478" s="814">
        <f>+input!CN44</f>
        <v>377437306.85787624</v>
      </c>
      <c r="C478" s="814">
        <f>+input!CO44</f>
        <v>249285333.54220769</v>
      </c>
      <c r="D478" s="814">
        <f>+input!CV44</f>
        <v>395984786.83003438</v>
      </c>
      <c r="E478" s="814">
        <f>+input!CW44</f>
        <v>556484347.57915318</v>
      </c>
      <c r="F478" s="814">
        <f>input!DD44</f>
        <v>387146105.25508732</v>
      </c>
      <c r="G478" s="814">
        <f>+input!DE44</f>
        <v>357160114.15122831</v>
      </c>
      <c r="H478" s="814">
        <f>+input!DL44</f>
        <v>1185856599.7709899</v>
      </c>
      <c r="I478" s="814">
        <f>+input!DM44</f>
        <v>278763562.09625953</v>
      </c>
      <c r="J478" s="814">
        <f>+input!DT44</f>
        <v>632378904.82986236</v>
      </c>
      <c r="K478" s="814">
        <f>+input!DU44</f>
        <v>265804896.39203101</v>
      </c>
      <c r="L478" s="814">
        <f>+input!EB44</f>
        <v>436786647.33861893</v>
      </c>
      <c r="M478" s="814">
        <f>+input!EC44</f>
        <v>568062280.6495564</v>
      </c>
      <c r="N478" s="814">
        <f>+input!EJ44</f>
        <v>400659149.84594232</v>
      </c>
      <c r="O478" s="816">
        <f>+input!EK44</f>
        <v>359319760.60966784</v>
      </c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  <c r="AT478" s="143"/>
    </row>
    <row r="479" spans="1:46" ht="15" customHeight="1">
      <c r="A479" s="807" t="str">
        <f>+input!B45</f>
        <v>122i</v>
      </c>
      <c r="B479" s="814">
        <f>+input!CN45</f>
        <v>219161648.91892299</v>
      </c>
      <c r="C479" s="814">
        <f>+input!CO45</f>
        <v>215919575.97164524</v>
      </c>
      <c r="D479" s="814">
        <f>+input!CV45</f>
        <v>228478285.77366087</v>
      </c>
      <c r="E479" s="814">
        <f>+input!CW45</f>
        <v>422516303.03412449</v>
      </c>
      <c r="F479" s="814">
        <f>input!DD45</f>
        <v>223771821.27150926</v>
      </c>
      <c r="G479" s="814">
        <f>+input!DE45</f>
        <v>288049457.18329775</v>
      </c>
      <c r="H479" s="814">
        <f>+input!DL45</f>
        <v>1009421153.5419822</v>
      </c>
      <c r="I479" s="814">
        <f>+input!DM45</f>
        <v>252789938.33236796</v>
      </c>
      <c r="J479" s="814">
        <f>+input!DT45</f>
        <v>466159809.39443314</v>
      </c>
      <c r="K479" s="814">
        <f>+input!DU45</f>
        <v>239412185.4849827</v>
      </c>
      <c r="L479" s="814">
        <f>+input!EB45</f>
        <v>267650221.0203172</v>
      </c>
      <c r="M479" s="814">
        <f>+input!EC45</f>
        <v>437889971.35876638</v>
      </c>
      <c r="N479" s="814">
        <f>+input!EJ45</f>
        <v>236703219.76035708</v>
      </c>
      <c r="O479" s="816">
        <f>+input!EK45</f>
        <v>291325945.59205031</v>
      </c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J479" s="143"/>
      <c r="AK479" s="143"/>
      <c r="AL479" s="143"/>
      <c r="AM479" s="143"/>
      <c r="AN479" s="143"/>
      <c r="AO479" s="143"/>
      <c r="AP479" s="143"/>
      <c r="AQ479" s="143"/>
      <c r="AR479" s="143"/>
      <c r="AS479" s="143"/>
      <c r="AT479" s="143"/>
    </row>
    <row r="480" spans="1:46" ht="15" customHeight="1">
      <c r="A480" s="807" t="str">
        <f>+input!B46</f>
        <v>122j</v>
      </c>
      <c r="B480" s="814">
        <f>+input!CN46</f>
        <v>219161648.91892299</v>
      </c>
      <c r="C480" s="814">
        <f>+input!CO46</f>
        <v>215919575.97164524</v>
      </c>
      <c r="D480" s="814">
        <f>+input!CV46</f>
        <v>228478285.77366087</v>
      </c>
      <c r="E480" s="814">
        <f>+input!CW46</f>
        <v>422516303.03412449</v>
      </c>
      <c r="F480" s="814">
        <f>input!DD46</f>
        <v>223771821.27150926</v>
      </c>
      <c r="G480" s="814">
        <f>+input!DE46</f>
        <v>288049457.18329775</v>
      </c>
      <c r="H480" s="814">
        <f>+input!DL46</f>
        <v>1009421153.5419822</v>
      </c>
      <c r="I480" s="814">
        <f>+input!DM46</f>
        <v>252789938.33236796</v>
      </c>
      <c r="J480" s="814">
        <f>+input!DT46</f>
        <v>466159809.39443314</v>
      </c>
      <c r="K480" s="814">
        <f>+input!DU46</f>
        <v>239412185.4849827</v>
      </c>
      <c r="L480" s="814">
        <f>+input!EB46</f>
        <v>267650221.0203172</v>
      </c>
      <c r="M480" s="814">
        <f>+input!EC46</f>
        <v>437889971.35876638</v>
      </c>
      <c r="N480" s="814">
        <f>+input!EJ46</f>
        <v>236703219.76035708</v>
      </c>
      <c r="O480" s="816">
        <f>+input!EK46</f>
        <v>291325945.59205031</v>
      </c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J480" s="143"/>
      <c r="AK480" s="143"/>
      <c r="AL480" s="143"/>
      <c r="AM480" s="143"/>
      <c r="AN480" s="143"/>
      <c r="AO480" s="143"/>
      <c r="AP480" s="143"/>
      <c r="AQ480" s="143"/>
      <c r="AR480" s="143"/>
      <c r="AS480" s="143"/>
      <c r="AT480" s="143"/>
    </row>
    <row r="481" spans="1:46" ht="15" customHeight="1">
      <c r="A481" s="807" t="str">
        <f>+input!B47</f>
        <v>123i</v>
      </c>
      <c r="B481" s="814">
        <f>+input!CN47</f>
        <v>170586676.3639794</v>
      </c>
      <c r="C481" s="814">
        <f>+input!CO47</f>
        <v>202046357.79168516</v>
      </c>
      <c r="D481" s="814">
        <f>+input!CV47</f>
        <v>170586676.3639794</v>
      </c>
      <c r="E481" s="814">
        <f>+input!CW47</f>
        <v>202046357.79168516</v>
      </c>
      <c r="F481" s="814">
        <f>input!DD47</f>
        <v>170586676.3639794</v>
      </c>
      <c r="G481" s="814">
        <f>+input!DE47</f>
        <v>202046357.79168516</v>
      </c>
      <c r="H481" s="814">
        <f>+input!DL47</f>
        <v>937646029.05799448</v>
      </c>
      <c r="I481" s="814">
        <f>+input!DM47</f>
        <v>243909775.77366236</v>
      </c>
      <c r="J481" s="814">
        <f>+input!DT47</f>
        <v>409589057.46006477</v>
      </c>
      <c r="K481" s="814">
        <f>+input!DU47</f>
        <v>230054342.25833321</v>
      </c>
      <c r="L481" s="814">
        <f>+input!EB47</f>
        <v>207894678.13416749</v>
      </c>
      <c r="M481" s="814">
        <f>+input!EC47</f>
        <v>210047643.23841316</v>
      </c>
      <c r="N481" s="814">
        <f>+input!EJ47</f>
        <v>182975996.82484978</v>
      </c>
      <c r="O481" s="816">
        <f>+input!EK47</f>
        <v>204991459.99143514</v>
      </c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J481" s="143"/>
      <c r="AK481" s="143"/>
      <c r="AL481" s="143"/>
      <c r="AM481" s="143"/>
      <c r="AN481" s="143"/>
      <c r="AO481" s="143"/>
      <c r="AP481" s="143"/>
      <c r="AQ481" s="143"/>
      <c r="AR481" s="143"/>
      <c r="AS481" s="143"/>
      <c r="AT481" s="143"/>
    </row>
    <row r="482" spans="1:46" ht="15" customHeight="1">
      <c r="A482" s="807" t="str">
        <f>+input!B48</f>
        <v>123j</v>
      </c>
      <c r="B482" s="814">
        <f>+input!CN48</f>
        <v>170586676.3639794</v>
      </c>
      <c r="C482" s="814">
        <f>+input!CO48</f>
        <v>202046357.79168516</v>
      </c>
      <c r="D482" s="814">
        <f>+input!CV48</f>
        <v>170586676.3639794</v>
      </c>
      <c r="E482" s="814">
        <f>+input!CW48</f>
        <v>202046357.79168516</v>
      </c>
      <c r="F482" s="814">
        <f>input!DD48</f>
        <v>170586676.3639794</v>
      </c>
      <c r="G482" s="814">
        <f>+input!DE48</f>
        <v>202046357.79168516</v>
      </c>
      <c r="H482" s="814">
        <f>+input!DL48</f>
        <v>937646029.05799448</v>
      </c>
      <c r="I482" s="814">
        <f>+input!DM48</f>
        <v>243909775.77366236</v>
      </c>
      <c r="J482" s="814">
        <f>+input!DT48</f>
        <v>409589057.46006477</v>
      </c>
      <c r="K482" s="814">
        <f>+input!DU48</f>
        <v>230054342.25833321</v>
      </c>
      <c r="L482" s="814">
        <f>+input!EB48</f>
        <v>207894678.13416749</v>
      </c>
      <c r="M482" s="814">
        <f>+input!EC48</f>
        <v>210047643.23841316</v>
      </c>
      <c r="N482" s="814">
        <f>+input!EJ48</f>
        <v>182975996.82484978</v>
      </c>
      <c r="O482" s="816">
        <f>+input!EK48</f>
        <v>204991459.99143514</v>
      </c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J482" s="143"/>
      <c r="AK482" s="143"/>
      <c r="AL482" s="143"/>
      <c r="AM482" s="143"/>
      <c r="AN482" s="143"/>
      <c r="AO482" s="143"/>
      <c r="AP482" s="143"/>
      <c r="AQ482" s="143"/>
      <c r="AR482" s="143"/>
      <c r="AS482" s="143"/>
      <c r="AT482" s="143"/>
    </row>
    <row r="483" spans="1:46" ht="15" customHeight="1">
      <c r="A483" s="807" t="str">
        <f>+input!B49</f>
        <v>124i</v>
      </c>
      <c r="B483" s="814">
        <f>+input!CN49</f>
        <v>113115622.55904828</v>
      </c>
      <c r="C483" s="814">
        <f>+input!CO49</f>
        <v>160541605.12853247</v>
      </c>
      <c r="D483" s="814">
        <f>+input!CV49</f>
        <v>113115622.55904828</v>
      </c>
      <c r="E483" s="814">
        <f>+input!CW49</f>
        <v>160541605.12853247</v>
      </c>
      <c r="F483" s="814">
        <f>input!DD49</f>
        <v>113115622.55904828</v>
      </c>
      <c r="G483" s="814">
        <f>+input!DE49</f>
        <v>160541605.12853247</v>
      </c>
      <c r="H483" s="814">
        <f>+input!DL49</f>
        <v>892722447.24705362</v>
      </c>
      <c r="I483" s="814">
        <f>+input!DM49</f>
        <v>210164873.09999436</v>
      </c>
      <c r="J483" s="814">
        <f>+input!DT49</f>
        <v>350664311.9024387</v>
      </c>
      <c r="K483" s="814">
        <f>+input!DU49</f>
        <v>196334277.35189593</v>
      </c>
      <c r="L483" s="814">
        <f>+input!EB49</f>
        <v>149872631.93182287</v>
      </c>
      <c r="M483" s="814">
        <f>+input!EC49</f>
        <v>172036530.23623022</v>
      </c>
      <c r="N483" s="814">
        <f>+input!EJ49</f>
        <v>125308700.35878479</v>
      </c>
      <c r="O483" s="816">
        <f>+input!EK49</f>
        <v>164911856.72297066</v>
      </c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J483" s="143"/>
      <c r="AK483" s="143"/>
      <c r="AL483" s="143"/>
      <c r="AM483" s="143"/>
      <c r="AN483" s="143"/>
      <c r="AO483" s="143"/>
      <c r="AP483" s="143"/>
      <c r="AQ483" s="143"/>
      <c r="AR483" s="143"/>
      <c r="AS483" s="143"/>
      <c r="AT483" s="143"/>
    </row>
    <row r="484" spans="1:46" ht="15" customHeight="1">
      <c r="A484" s="807" t="str">
        <f>+input!B50</f>
        <v>124j</v>
      </c>
      <c r="B484" s="814">
        <f>+input!CN50</f>
        <v>113115622.55904828</v>
      </c>
      <c r="C484" s="814">
        <f>+input!CO50</f>
        <v>160541605.12853247</v>
      </c>
      <c r="D484" s="814">
        <f>+input!CV50</f>
        <v>113115622.55904828</v>
      </c>
      <c r="E484" s="814">
        <f>+input!CW50</f>
        <v>160541605.12853247</v>
      </c>
      <c r="F484" s="814">
        <f>input!DD50</f>
        <v>113115622.55904828</v>
      </c>
      <c r="G484" s="814">
        <f>+input!DE50</f>
        <v>160541605.12853247</v>
      </c>
      <c r="H484" s="814">
        <f>+input!DL50</f>
        <v>892722447.24705362</v>
      </c>
      <c r="I484" s="814">
        <f>+input!DM50</f>
        <v>210164873.09999436</v>
      </c>
      <c r="J484" s="814">
        <f>+input!DT50</f>
        <v>350664311.9024387</v>
      </c>
      <c r="K484" s="814">
        <f>+input!DU50</f>
        <v>196334277.35189593</v>
      </c>
      <c r="L484" s="814">
        <f>+input!EB50</f>
        <v>149872631.93182287</v>
      </c>
      <c r="M484" s="814">
        <f>+input!EC50</f>
        <v>172036530.23623022</v>
      </c>
      <c r="N484" s="814">
        <f>+input!EJ50</f>
        <v>125308700.35878479</v>
      </c>
      <c r="O484" s="816">
        <f>+input!EK50</f>
        <v>164911856.72297066</v>
      </c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J484" s="143"/>
      <c r="AK484" s="143"/>
      <c r="AL484" s="143"/>
      <c r="AM484" s="143"/>
      <c r="AN484" s="143"/>
      <c r="AO484" s="143"/>
      <c r="AP484" s="143"/>
      <c r="AQ484" s="143"/>
      <c r="AR484" s="143"/>
      <c r="AS484" s="143"/>
      <c r="AT484" s="143"/>
    </row>
    <row r="485" spans="1:46" ht="15" customHeight="1">
      <c r="A485" s="807" t="str">
        <f>+input!B51</f>
        <v>125i</v>
      </c>
      <c r="B485" s="814">
        <f>+input!CN51</f>
        <v>100072715.43821304</v>
      </c>
      <c r="C485" s="814">
        <f>+input!CO51</f>
        <v>131749469.3556883</v>
      </c>
      <c r="D485" s="814">
        <f>+input!CV51</f>
        <v>100072715.43821304</v>
      </c>
      <c r="E485" s="814">
        <f>+input!CW51</f>
        <v>131749469.3556883</v>
      </c>
      <c r="F485" s="814">
        <f>input!DD51</f>
        <v>100072715.43821304</v>
      </c>
      <c r="G485" s="814">
        <f>+input!DE51</f>
        <v>131749469.3556883</v>
      </c>
      <c r="H485" s="814">
        <f>+input!DL51</f>
        <v>886979445.60212898</v>
      </c>
      <c r="I485" s="814">
        <f>+input!DM51</f>
        <v>177613227.7947599</v>
      </c>
      <c r="J485" s="814">
        <f>+input!DT51</f>
        <v>335136536.81743681</v>
      </c>
      <c r="K485" s="814">
        <f>+input!DU51</f>
        <v>165334447.28401071</v>
      </c>
      <c r="L485" s="814">
        <f>+input!EB51</f>
        <v>136197439.64664793</v>
      </c>
      <c r="M485" s="814">
        <f>+input!EC51</f>
        <v>142845229.80147487</v>
      </c>
      <c r="N485" s="814">
        <f>+input!EJ51</f>
        <v>112044615.96016069</v>
      </c>
      <c r="O485" s="816">
        <f>+input!EK51</f>
        <v>136003722.8356832</v>
      </c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J485" s="143"/>
      <c r="AK485" s="143"/>
      <c r="AL485" s="143"/>
      <c r="AM485" s="143"/>
      <c r="AN485" s="143"/>
      <c r="AO485" s="143"/>
      <c r="AP485" s="143"/>
      <c r="AQ485" s="143"/>
      <c r="AR485" s="143"/>
      <c r="AS485" s="143"/>
      <c r="AT485" s="143"/>
    </row>
    <row r="486" spans="1:46" ht="15" customHeight="1">
      <c r="A486" s="948" t="str">
        <f>+input!B52</f>
        <v>125j</v>
      </c>
      <c r="B486" s="951">
        <f>+input!CN52</f>
        <v>100072715.43821304</v>
      </c>
      <c r="C486" s="951">
        <f>+input!CO52</f>
        <v>131749469.3556883</v>
      </c>
      <c r="D486" s="951">
        <f>+input!CV52</f>
        <v>100072715.43821304</v>
      </c>
      <c r="E486" s="951">
        <f>+input!CW52</f>
        <v>131749469.3556883</v>
      </c>
      <c r="F486" s="951">
        <f>input!DD52</f>
        <v>100072715.43821304</v>
      </c>
      <c r="G486" s="951">
        <f>+input!DE52</f>
        <v>131749469.3556883</v>
      </c>
      <c r="H486" s="951">
        <f>+input!DL52</f>
        <v>886979445.60212898</v>
      </c>
      <c r="I486" s="951">
        <f>+input!DM52</f>
        <v>177613227.7947599</v>
      </c>
      <c r="J486" s="951">
        <f>+input!DT52</f>
        <v>335136536.81743681</v>
      </c>
      <c r="K486" s="951">
        <f>+input!DU52</f>
        <v>165334447.28401071</v>
      </c>
      <c r="L486" s="951">
        <f>+input!EB52</f>
        <v>136197439.64664793</v>
      </c>
      <c r="M486" s="951">
        <f>+input!EC52</f>
        <v>142845229.80147487</v>
      </c>
      <c r="N486" s="951">
        <f>+input!EJ52</f>
        <v>112044615.96016069</v>
      </c>
      <c r="O486" s="952">
        <f>+input!EK52</f>
        <v>136003722.8356832</v>
      </c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  <c r="AT486" s="143"/>
    </row>
    <row r="487" spans="1:46" ht="15" customHeight="1">
      <c r="A487" s="812" t="str">
        <f>+input!B53</f>
        <v>126i</v>
      </c>
      <c r="B487" s="813">
        <f>+input!CN53</f>
        <v>100072715.43821304</v>
      </c>
      <c r="C487" s="813">
        <f>+input!CO53</f>
        <v>131749469.3556883</v>
      </c>
      <c r="D487" s="813">
        <f>+input!CV53</f>
        <v>100072715.43821304</v>
      </c>
      <c r="E487" s="813">
        <f>+input!CW53</f>
        <v>131749469.3556883</v>
      </c>
      <c r="F487" s="813">
        <f>input!DD53</f>
        <v>100072715.43821304</v>
      </c>
      <c r="G487" s="813">
        <f>+input!DE53</f>
        <v>131749469.3556883</v>
      </c>
      <c r="H487" s="813">
        <f>+input!DL53</f>
        <v>886979445.60212898</v>
      </c>
      <c r="I487" s="813">
        <f>+input!DM53</f>
        <v>177613227.7947599</v>
      </c>
      <c r="J487" s="813">
        <f>+input!DT53</f>
        <v>335136536.81743681</v>
      </c>
      <c r="K487" s="813">
        <f>+input!DU53</f>
        <v>165334447.28401071</v>
      </c>
      <c r="L487" s="813">
        <f>+input!EB53</f>
        <v>136197439.64664793</v>
      </c>
      <c r="M487" s="813">
        <f>+input!EC53</f>
        <v>142845229.80147487</v>
      </c>
      <c r="N487" s="813">
        <f>+input!EJ53</f>
        <v>112044615.96016069</v>
      </c>
      <c r="O487" s="815">
        <f>+input!EK53</f>
        <v>136003722.8356832</v>
      </c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J487" s="143"/>
      <c r="AK487" s="143"/>
      <c r="AL487" s="143"/>
      <c r="AM487" s="143"/>
      <c r="AN487" s="143"/>
      <c r="AO487" s="143"/>
      <c r="AP487" s="143"/>
      <c r="AQ487" s="143"/>
      <c r="AR487" s="143"/>
      <c r="AS487" s="143"/>
      <c r="AT487" s="143"/>
    </row>
    <row r="488" spans="1:46" ht="15" customHeight="1">
      <c r="A488" s="807" t="str">
        <f>+input!B54</f>
        <v>126j</v>
      </c>
      <c r="B488" s="814">
        <f>+input!CN54</f>
        <v>100072715.43821304</v>
      </c>
      <c r="C488" s="814">
        <f>+input!CO54</f>
        <v>131749469.3556883</v>
      </c>
      <c r="D488" s="814">
        <f>+input!CV54</f>
        <v>100072715.43821304</v>
      </c>
      <c r="E488" s="814">
        <f>+input!CW54</f>
        <v>131749469.3556883</v>
      </c>
      <c r="F488" s="814">
        <f>input!DD54</f>
        <v>100072715.43821304</v>
      </c>
      <c r="G488" s="814">
        <f>+input!DE54</f>
        <v>131749469.3556883</v>
      </c>
      <c r="H488" s="814">
        <f>+input!DL54</f>
        <v>886979445.60212898</v>
      </c>
      <c r="I488" s="814">
        <f>+input!DM54</f>
        <v>177613227.7947599</v>
      </c>
      <c r="J488" s="814">
        <f>+input!DT54</f>
        <v>335136536.81743681</v>
      </c>
      <c r="K488" s="814">
        <f>+input!DU54</f>
        <v>165334447.28401071</v>
      </c>
      <c r="L488" s="814">
        <f>+input!EB54</f>
        <v>136197439.64664793</v>
      </c>
      <c r="M488" s="814">
        <f>+input!EC54</f>
        <v>142845229.80147487</v>
      </c>
      <c r="N488" s="814">
        <f>+input!EJ54</f>
        <v>112044615.96016069</v>
      </c>
      <c r="O488" s="816">
        <f>+input!EK54</f>
        <v>136003722.8356832</v>
      </c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J488" s="143"/>
      <c r="AK488" s="143"/>
      <c r="AL488" s="143"/>
      <c r="AM488" s="143"/>
      <c r="AN488" s="143"/>
      <c r="AO488" s="143"/>
      <c r="AP488" s="143"/>
      <c r="AQ488" s="143"/>
      <c r="AR488" s="143"/>
      <c r="AS488" s="143"/>
      <c r="AT488" s="143"/>
    </row>
    <row r="489" spans="1:46" ht="15" customHeight="1">
      <c r="A489" s="807" t="str">
        <f>+input!B55</f>
        <v>127i</v>
      </c>
      <c r="B489" s="814">
        <f>+input!CN55</f>
        <v>93366829.417468861</v>
      </c>
      <c r="C489" s="814">
        <f>+input!CO55</f>
        <v>97688095.893257305</v>
      </c>
      <c r="D489" s="814">
        <f>+input!CV55</f>
        <v>93366829.417468861</v>
      </c>
      <c r="E489" s="814">
        <f>+input!CW55</f>
        <v>97688095.893257305</v>
      </c>
      <c r="F489" s="814">
        <f>input!DD55</f>
        <v>93366829.417468861</v>
      </c>
      <c r="G489" s="814">
        <f>+input!DE55</f>
        <v>97688095.893257305</v>
      </c>
      <c r="H489" s="814">
        <f>+input!DL55</f>
        <v>885577977.09948206</v>
      </c>
      <c r="I489" s="814">
        <f>+input!DM55</f>
        <v>134159589.53411455</v>
      </c>
      <c r="J489" s="814">
        <f>+input!DT55</f>
        <v>322245578.76253772</v>
      </c>
      <c r="K489" s="814">
        <f>+input!DU55</f>
        <v>124365864.04665887</v>
      </c>
      <c r="L489" s="814">
        <f>+input!EB55</f>
        <v>128170348.25213701</v>
      </c>
      <c r="M489" s="814">
        <f>+input!EC55</f>
        <v>106517321.21679069</v>
      </c>
      <c r="N489" s="814">
        <f>+input!EJ55</f>
        <v>104882870.39911303</v>
      </c>
      <c r="O489" s="816">
        <f>+input!EK55</f>
        <v>101074301.92638281</v>
      </c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J489" s="143"/>
      <c r="AK489" s="143"/>
      <c r="AL489" s="143"/>
      <c r="AM489" s="143"/>
      <c r="AN489" s="143"/>
      <c r="AO489" s="143"/>
      <c r="AP489" s="143"/>
      <c r="AQ489" s="143"/>
      <c r="AR489" s="143"/>
      <c r="AS489" s="143"/>
      <c r="AT489" s="143"/>
    </row>
    <row r="490" spans="1:46" ht="15" customHeight="1">
      <c r="A490" s="807" t="str">
        <f>+input!B56</f>
        <v>127j</v>
      </c>
      <c r="B490" s="814">
        <f>+input!CN56</f>
        <v>93366829.417468861</v>
      </c>
      <c r="C490" s="814">
        <f>+input!CO56</f>
        <v>97688095.893257305</v>
      </c>
      <c r="D490" s="814">
        <f>+input!CV56</f>
        <v>93366829.417468861</v>
      </c>
      <c r="E490" s="814">
        <f>+input!CW56</f>
        <v>97688095.893257305</v>
      </c>
      <c r="F490" s="814">
        <f>input!DD56</f>
        <v>93366829.417468861</v>
      </c>
      <c r="G490" s="814">
        <f>+input!DE56</f>
        <v>97688095.893257305</v>
      </c>
      <c r="H490" s="814">
        <f>+input!DL56</f>
        <v>885577977.09948206</v>
      </c>
      <c r="I490" s="814">
        <f>+input!DM56</f>
        <v>134159589.53411455</v>
      </c>
      <c r="J490" s="814">
        <f>+input!DT56</f>
        <v>322245578.76253772</v>
      </c>
      <c r="K490" s="814">
        <f>+input!DU56</f>
        <v>124365864.04665887</v>
      </c>
      <c r="L490" s="814">
        <f>+input!EB56</f>
        <v>128170348.25213701</v>
      </c>
      <c r="M490" s="814">
        <f>+input!EC56</f>
        <v>106517321.21679069</v>
      </c>
      <c r="N490" s="814">
        <f>+input!EJ56</f>
        <v>104882870.39911303</v>
      </c>
      <c r="O490" s="816">
        <f>+input!EK56</f>
        <v>101074301.92638281</v>
      </c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J490" s="143"/>
      <c r="AK490" s="143"/>
      <c r="AL490" s="143"/>
      <c r="AM490" s="143"/>
      <c r="AN490" s="143"/>
      <c r="AO490" s="143"/>
      <c r="AP490" s="143"/>
      <c r="AQ490" s="143"/>
      <c r="AR490" s="143"/>
      <c r="AS490" s="143"/>
      <c r="AT490" s="143"/>
    </row>
    <row r="491" spans="1:46" ht="15" customHeight="1">
      <c r="A491" s="807" t="str">
        <f>+input!B57</f>
        <v>128i</v>
      </c>
      <c r="B491" s="814">
        <f>+input!CN57</f>
        <v>93366829.417468861</v>
      </c>
      <c r="C491" s="814">
        <f>+input!CO57</f>
        <v>97688095.893257305</v>
      </c>
      <c r="D491" s="814">
        <f>+input!CV57</f>
        <v>93366829.417468861</v>
      </c>
      <c r="E491" s="814">
        <f>+input!CW57</f>
        <v>97688095.893257305</v>
      </c>
      <c r="F491" s="814">
        <f>input!DD57</f>
        <v>93366829.417468861</v>
      </c>
      <c r="G491" s="814">
        <f>+input!DE57</f>
        <v>97688095.893257305</v>
      </c>
      <c r="H491" s="814">
        <f>+input!DL57</f>
        <v>885577977.09948206</v>
      </c>
      <c r="I491" s="814">
        <f>+input!DM57</f>
        <v>134159589.53411455</v>
      </c>
      <c r="J491" s="814">
        <f>+input!DT57</f>
        <v>322245578.76253772</v>
      </c>
      <c r="K491" s="814">
        <f>+input!DU57</f>
        <v>124365864.04665887</v>
      </c>
      <c r="L491" s="814">
        <f>+input!EB57</f>
        <v>128170348.25213701</v>
      </c>
      <c r="M491" s="814">
        <f>+input!EC57</f>
        <v>106517321.21679069</v>
      </c>
      <c r="N491" s="814">
        <f>+input!EJ57</f>
        <v>104882870.39911303</v>
      </c>
      <c r="O491" s="816">
        <f>+input!EK57</f>
        <v>101074301.92638281</v>
      </c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J491" s="143"/>
      <c r="AK491" s="143"/>
      <c r="AL491" s="143"/>
      <c r="AM491" s="143"/>
      <c r="AN491" s="143"/>
      <c r="AO491" s="143"/>
      <c r="AP491" s="143"/>
      <c r="AQ491" s="143"/>
      <c r="AR491" s="143"/>
      <c r="AS491" s="143"/>
      <c r="AT491" s="143"/>
    </row>
    <row r="492" spans="1:46" ht="15" customHeight="1">
      <c r="A492" s="807" t="str">
        <f>+input!B58</f>
        <v>128j</v>
      </c>
      <c r="B492" s="814">
        <f>+input!CN58</f>
        <v>93366829.417468861</v>
      </c>
      <c r="C492" s="814">
        <f>+input!CO58</f>
        <v>97688095.893257305</v>
      </c>
      <c r="D492" s="814">
        <f>+input!CV58</f>
        <v>93366829.417468861</v>
      </c>
      <c r="E492" s="814">
        <f>+input!CW58</f>
        <v>97688095.893257305</v>
      </c>
      <c r="F492" s="814">
        <f>input!DD58</f>
        <v>93366829.417468861</v>
      </c>
      <c r="G492" s="814">
        <f>+input!DE58</f>
        <v>97688095.893257305</v>
      </c>
      <c r="H492" s="814">
        <f>+input!DL58</f>
        <v>885577977.09948206</v>
      </c>
      <c r="I492" s="814">
        <f>+input!DM58</f>
        <v>134159589.53411455</v>
      </c>
      <c r="J492" s="814">
        <f>+input!DT58</f>
        <v>322245578.76253772</v>
      </c>
      <c r="K492" s="814">
        <f>+input!DU58</f>
        <v>124365864.04665887</v>
      </c>
      <c r="L492" s="814">
        <f>+input!EB58</f>
        <v>128170348.25213701</v>
      </c>
      <c r="M492" s="814">
        <f>+input!EC58</f>
        <v>106517321.21679069</v>
      </c>
      <c r="N492" s="814">
        <f>+input!EJ58</f>
        <v>104882870.39911303</v>
      </c>
      <c r="O492" s="816">
        <f>+input!EK58</f>
        <v>101074301.92638281</v>
      </c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  <c r="AT492" s="143"/>
    </row>
    <row r="493" spans="1:46" ht="15" customHeight="1">
      <c r="A493" s="807" t="str">
        <f>+input!B59</f>
        <v>129i</v>
      </c>
      <c r="B493" s="814">
        <f>+input!CN59</f>
        <v>93366829.417468861</v>
      </c>
      <c r="C493" s="814">
        <f>+input!CO59</f>
        <v>97688095.893257305</v>
      </c>
      <c r="D493" s="814">
        <f>+input!CV59</f>
        <v>93366829.417468861</v>
      </c>
      <c r="E493" s="814">
        <f>+input!CW59</f>
        <v>97688095.893257305</v>
      </c>
      <c r="F493" s="814">
        <f>input!DD59</f>
        <v>93366829.417468861</v>
      </c>
      <c r="G493" s="814">
        <f>+input!DE59</f>
        <v>97688095.893257305</v>
      </c>
      <c r="H493" s="814">
        <f>+input!DL59</f>
        <v>885577977.09948206</v>
      </c>
      <c r="I493" s="814">
        <f>+input!DM59</f>
        <v>134159589.53411455</v>
      </c>
      <c r="J493" s="814">
        <f>+input!DT59</f>
        <v>322245578.76253772</v>
      </c>
      <c r="K493" s="814">
        <f>+input!DU59</f>
        <v>124365864.04665887</v>
      </c>
      <c r="L493" s="814">
        <f>+input!EB59</f>
        <v>128170348.25213701</v>
      </c>
      <c r="M493" s="814">
        <f>+input!EC59</f>
        <v>106517321.21679069</v>
      </c>
      <c r="N493" s="814">
        <f>+input!EJ59</f>
        <v>104882870.39911303</v>
      </c>
      <c r="O493" s="816">
        <f>+input!EK59</f>
        <v>101074301.92638281</v>
      </c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J493" s="143"/>
      <c r="AK493" s="143"/>
      <c r="AL493" s="143"/>
      <c r="AM493" s="143"/>
      <c r="AN493" s="143"/>
      <c r="AO493" s="143"/>
      <c r="AP493" s="143"/>
      <c r="AQ493" s="143"/>
      <c r="AR493" s="143"/>
      <c r="AS493" s="143"/>
      <c r="AT493" s="143"/>
    </row>
    <row r="494" spans="1:46" ht="15" customHeight="1">
      <c r="A494" s="807" t="str">
        <f>+input!B60</f>
        <v>129j</v>
      </c>
      <c r="B494" s="814">
        <f>+input!CN60</f>
        <v>93366829.417468861</v>
      </c>
      <c r="C494" s="814">
        <f>+input!CO60</f>
        <v>97688095.893257305</v>
      </c>
      <c r="D494" s="814">
        <f>+input!CV60</f>
        <v>93366829.417468861</v>
      </c>
      <c r="E494" s="814">
        <f>+input!CW60</f>
        <v>97688095.893257305</v>
      </c>
      <c r="F494" s="814">
        <f>input!DD60</f>
        <v>93366829.417468861</v>
      </c>
      <c r="G494" s="814">
        <f>+input!DE60</f>
        <v>97688095.893257305</v>
      </c>
      <c r="H494" s="814">
        <f>+input!DL60</f>
        <v>885577977.09948206</v>
      </c>
      <c r="I494" s="814">
        <f>+input!DM60</f>
        <v>134159589.53411455</v>
      </c>
      <c r="J494" s="814">
        <f>+input!DT60</f>
        <v>322245578.76253772</v>
      </c>
      <c r="K494" s="814">
        <f>+input!DU60</f>
        <v>124365864.04665887</v>
      </c>
      <c r="L494" s="814">
        <f>+input!EB60</f>
        <v>128170348.25213701</v>
      </c>
      <c r="M494" s="814">
        <f>+input!EC60</f>
        <v>106517321.21679069</v>
      </c>
      <c r="N494" s="814">
        <f>+input!EJ60</f>
        <v>104882870.39911303</v>
      </c>
      <c r="O494" s="816">
        <f>+input!EK60</f>
        <v>101074301.92638281</v>
      </c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J494" s="143"/>
      <c r="AK494" s="143"/>
      <c r="AL494" s="143"/>
      <c r="AM494" s="143"/>
      <c r="AN494" s="143"/>
      <c r="AO494" s="143"/>
      <c r="AP494" s="143"/>
      <c r="AQ494" s="143"/>
      <c r="AR494" s="143"/>
      <c r="AS494" s="143"/>
      <c r="AT494" s="143"/>
    </row>
    <row r="495" spans="1:46" ht="15" customHeight="1">
      <c r="A495" s="807" t="str">
        <f>+input!B61</f>
        <v>130i</v>
      </c>
      <c r="B495" s="814">
        <f>+input!CN61</f>
        <v>84522352.757101402</v>
      </c>
      <c r="C495" s="814">
        <f>+input!CO61</f>
        <v>88583555.468092635</v>
      </c>
      <c r="D495" s="814">
        <f>+input!CV61</f>
        <v>84522352.757101402</v>
      </c>
      <c r="E495" s="814">
        <f>+input!CW61</f>
        <v>88583555.468092635</v>
      </c>
      <c r="F495" s="814">
        <f>input!DD61</f>
        <v>84522352.757101402</v>
      </c>
      <c r="G495" s="814">
        <f>+input!DE61</f>
        <v>88583555.468092635</v>
      </c>
      <c r="H495" s="814">
        <f>+input!DL61</f>
        <v>845992348.55069911</v>
      </c>
      <c r="I495" s="814">
        <f>+input!DM61</f>
        <v>121239034.15901999</v>
      </c>
      <c r="J495" s="814">
        <f>+input!DT61</f>
        <v>300416977.63860393</v>
      </c>
      <c r="K495" s="814">
        <f>+input!DU61</f>
        <v>112623720.49022205</v>
      </c>
      <c r="L495" s="814">
        <f>+input!EB61</f>
        <v>117477337.6892875</v>
      </c>
      <c r="M495" s="814">
        <f>+input!EC61</f>
        <v>96736870.398520574</v>
      </c>
      <c r="N495" s="814">
        <f>+input!EJ61</f>
        <v>95416677.97770752</v>
      </c>
      <c r="O495" s="816">
        <f>+input!EK61</f>
        <v>91728562.636820614</v>
      </c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J495" s="143"/>
      <c r="AK495" s="143"/>
      <c r="AL495" s="143"/>
      <c r="AM495" s="143"/>
      <c r="AN495" s="143"/>
      <c r="AO495" s="143"/>
      <c r="AP495" s="143"/>
      <c r="AQ495" s="143"/>
      <c r="AR495" s="143"/>
      <c r="AS495" s="143"/>
      <c r="AT495" s="143"/>
    </row>
    <row r="496" spans="1:46" ht="15" customHeight="1">
      <c r="A496" s="807" t="str">
        <f>+input!B62</f>
        <v>130j</v>
      </c>
      <c r="B496" s="814">
        <f>+input!CN62</f>
        <v>84522352.757101402</v>
      </c>
      <c r="C496" s="814">
        <f>+input!CO62</f>
        <v>88583555.468092635</v>
      </c>
      <c r="D496" s="814">
        <f>+input!CV62</f>
        <v>84522352.757101402</v>
      </c>
      <c r="E496" s="814">
        <f>+input!CW62</f>
        <v>88583555.468092635</v>
      </c>
      <c r="F496" s="814">
        <f>input!DD62</f>
        <v>84522352.757101402</v>
      </c>
      <c r="G496" s="814">
        <f>+input!DE62</f>
        <v>88583555.468092635</v>
      </c>
      <c r="H496" s="814">
        <f>+input!DL62</f>
        <v>845992348.55069911</v>
      </c>
      <c r="I496" s="814">
        <f>+input!DM62</f>
        <v>121239034.15901999</v>
      </c>
      <c r="J496" s="814">
        <f>+input!DT62</f>
        <v>300416977.63860393</v>
      </c>
      <c r="K496" s="814">
        <f>+input!DU62</f>
        <v>112623720.49022205</v>
      </c>
      <c r="L496" s="814">
        <f>+input!EB62</f>
        <v>117477337.6892875</v>
      </c>
      <c r="M496" s="814">
        <f>+input!EC62</f>
        <v>96736870.398520574</v>
      </c>
      <c r="N496" s="814">
        <f>+input!EJ62</f>
        <v>95416677.97770752</v>
      </c>
      <c r="O496" s="816">
        <f>+input!EK62</f>
        <v>91728562.636820614</v>
      </c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J496" s="143"/>
      <c r="AK496" s="143"/>
      <c r="AL496" s="143"/>
      <c r="AM496" s="143"/>
      <c r="AN496" s="143"/>
      <c r="AO496" s="143"/>
      <c r="AP496" s="143"/>
      <c r="AQ496" s="143"/>
      <c r="AR496" s="143"/>
      <c r="AS496" s="143"/>
      <c r="AT496" s="143"/>
    </row>
    <row r="497" spans="1:46" ht="15" customHeight="1">
      <c r="A497" s="807" t="str">
        <f>+input!B63</f>
        <v>131i</v>
      </c>
      <c r="B497" s="814">
        <f>+input!CN63</f>
        <v>84522352.757101402</v>
      </c>
      <c r="C497" s="814">
        <f>+input!CO63</f>
        <v>88583555.468092635</v>
      </c>
      <c r="D497" s="814">
        <f>+input!CV63</f>
        <v>84522352.757101402</v>
      </c>
      <c r="E497" s="814">
        <f>+input!CW63</f>
        <v>88583555.468092635</v>
      </c>
      <c r="F497" s="814">
        <f>input!DD63</f>
        <v>84522352.757101402</v>
      </c>
      <c r="G497" s="814">
        <f>+input!DE63</f>
        <v>88583555.468092635</v>
      </c>
      <c r="H497" s="814">
        <f>+input!DL63</f>
        <v>845992348.55069911</v>
      </c>
      <c r="I497" s="814">
        <f>+input!DM63</f>
        <v>121239034.15901999</v>
      </c>
      <c r="J497" s="814">
        <f>+input!DT63</f>
        <v>300416977.63860393</v>
      </c>
      <c r="K497" s="814">
        <f>+input!DU63</f>
        <v>112623720.49022205</v>
      </c>
      <c r="L497" s="814">
        <f>+input!EB63</f>
        <v>117477337.6892875</v>
      </c>
      <c r="M497" s="814">
        <f>+input!EC63</f>
        <v>96736870.398520574</v>
      </c>
      <c r="N497" s="814">
        <f>+input!EJ63</f>
        <v>95416677.97770752</v>
      </c>
      <c r="O497" s="816">
        <f>+input!EK63</f>
        <v>91728562.636820614</v>
      </c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  <c r="AT497" s="143"/>
    </row>
    <row r="498" spans="1:46" ht="15" customHeight="1">
      <c r="A498" s="807" t="str">
        <f>+input!B64</f>
        <v>131j</v>
      </c>
      <c r="B498" s="814">
        <f>+input!CN64</f>
        <v>84522352.757101402</v>
      </c>
      <c r="C498" s="814">
        <f>+input!CO64</f>
        <v>88583555.468092635</v>
      </c>
      <c r="D498" s="814">
        <f>+input!CV64</f>
        <v>84522352.757101402</v>
      </c>
      <c r="E498" s="814">
        <f>+input!CW64</f>
        <v>88583555.468092635</v>
      </c>
      <c r="F498" s="814">
        <f>input!DD64</f>
        <v>84522352.757101402</v>
      </c>
      <c r="G498" s="814">
        <f>+input!DE64</f>
        <v>88583555.468092635</v>
      </c>
      <c r="H498" s="814">
        <f>+input!DL64</f>
        <v>845992348.55069911</v>
      </c>
      <c r="I498" s="814">
        <f>+input!DM64</f>
        <v>121239034.15901999</v>
      </c>
      <c r="J498" s="814">
        <f>+input!DT64</f>
        <v>300416977.63860393</v>
      </c>
      <c r="K498" s="814">
        <f>+input!DU64</f>
        <v>112623720.49022205</v>
      </c>
      <c r="L498" s="814">
        <f>+input!EB64</f>
        <v>117477337.6892875</v>
      </c>
      <c r="M498" s="814">
        <f>+input!EC64</f>
        <v>96736870.398520574</v>
      </c>
      <c r="N498" s="814">
        <f>+input!EJ64</f>
        <v>95416677.97770752</v>
      </c>
      <c r="O498" s="816">
        <f>+input!EK64</f>
        <v>91728562.636820614</v>
      </c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J498" s="143"/>
      <c r="AK498" s="143"/>
      <c r="AL498" s="143"/>
      <c r="AM498" s="143"/>
      <c r="AN498" s="143"/>
      <c r="AO498" s="143"/>
      <c r="AP498" s="143"/>
      <c r="AQ498" s="143"/>
      <c r="AR498" s="143"/>
      <c r="AS498" s="143"/>
      <c r="AT498" s="143"/>
    </row>
    <row r="499" spans="1:46" ht="15" customHeight="1">
      <c r="A499" s="807" t="str">
        <f>+input!B65</f>
        <v>201i</v>
      </c>
      <c r="B499" s="814">
        <f>+input!CN65</f>
        <v>86301750.739963204</v>
      </c>
      <c r="C499" s="814">
        <f>+input!CO65</f>
        <v>96566218.18506074</v>
      </c>
      <c r="D499" s="814">
        <f>+input!CV65</f>
        <v>86301750.739963204</v>
      </c>
      <c r="E499" s="814">
        <f>+input!CW65</f>
        <v>96566218.18506074</v>
      </c>
      <c r="F499" s="814">
        <f>input!DD65</f>
        <v>86301750.739963204</v>
      </c>
      <c r="G499" s="814">
        <f>+input!DE65</f>
        <v>96566218.18506074</v>
      </c>
      <c r="H499" s="814">
        <f>+input!DL65</f>
        <v>844010197.13372481</v>
      </c>
      <c r="I499" s="814">
        <f>+input!DM65</f>
        <v>131388981.15573239</v>
      </c>
      <c r="J499" s="814">
        <f>+input!DT65</f>
        <v>303740760.19176459</v>
      </c>
      <c r="K499" s="814">
        <f>+input!DU65</f>
        <v>122214483.29795097</v>
      </c>
      <c r="L499" s="814">
        <f>+input!EB65</f>
        <v>119615716.03675747</v>
      </c>
      <c r="M499" s="814">
        <f>+input!EC65</f>
        <v>105261184.05116099</v>
      </c>
      <c r="N499" s="814">
        <f>+input!EJ65</f>
        <v>97320738.928489029</v>
      </c>
      <c r="O499" s="816">
        <f>+input!EK65</f>
        <v>99919960.233914346</v>
      </c>
      <c r="Q499" s="13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J499" s="143"/>
      <c r="AK499" s="143"/>
      <c r="AL499" s="143"/>
      <c r="AM499" s="143"/>
      <c r="AN499" s="143"/>
      <c r="AO499" s="143"/>
      <c r="AP499" s="143"/>
      <c r="AQ499" s="143"/>
      <c r="AR499" s="143"/>
      <c r="AS499" s="143"/>
      <c r="AT499" s="143"/>
    </row>
    <row r="500" spans="1:46" ht="15" customHeight="1">
      <c r="A500" s="807" t="str">
        <f>+input!B66</f>
        <v>201j</v>
      </c>
      <c r="B500" s="814">
        <f>+input!CN66</f>
        <v>86301750.739963204</v>
      </c>
      <c r="C500" s="814">
        <f>+input!CO66</f>
        <v>96566218.18506074</v>
      </c>
      <c r="D500" s="814">
        <f>+input!CV66</f>
        <v>86301750.739963204</v>
      </c>
      <c r="E500" s="814">
        <f>+input!CW66</f>
        <v>96566218.18506074</v>
      </c>
      <c r="F500" s="814">
        <f>input!DD66</f>
        <v>86301750.739963204</v>
      </c>
      <c r="G500" s="814">
        <f>+input!DE66</f>
        <v>96566218.18506074</v>
      </c>
      <c r="H500" s="814">
        <f>+input!DL66</f>
        <v>844010197.13372481</v>
      </c>
      <c r="I500" s="814">
        <f>+input!DM66</f>
        <v>131388981.15573239</v>
      </c>
      <c r="J500" s="814">
        <f>+input!DT66</f>
        <v>303740760.19176459</v>
      </c>
      <c r="K500" s="814">
        <f>+input!DU66</f>
        <v>122214483.29795097</v>
      </c>
      <c r="L500" s="814">
        <f>+input!EB66</f>
        <v>119615716.03675747</v>
      </c>
      <c r="M500" s="814">
        <f>+input!EC66</f>
        <v>105261184.05116099</v>
      </c>
      <c r="N500" s="814">
        <f>+input!EJ66</f>
        <v>97320738.928489029</v>
      </c>
      <c r="O500" s="816">
        <f>+input!EK66</f>
        <v>99919960.233914346</v>
      </c>
      <c r="Q500" s="13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J500" s="143"/>
      <c r="AK500" s="143"/>
      <c r="AL500" s="143"/>
      <c r="AM500" s="143"/>
      <c r="AN500" s="143"/>
      <c r="AO500" s="143"/>
      <c r="AP500" s="143"/>
      <c r="AQ500" s="143"/>
      <c r="AR500" s="143"/>
      <c r="AS500" s="143"/>
      <c r="AT500" s="143"/>
    </row>
    <row r="501" spans="1:46" ht="15" customHeight="1">
      <c r="A501" s="807" t="str">
        <f>+input!B67</f>
        <v>202i</v>
      </c>
      <c r="B501" s="814">
        <f>+input!CN67</f>
        <v>86301750.739963204</v>
      </c>
      <c r="C501" s="814">
        <f>+input!CO67</f>
        <v>96566218.18506074</v>
      </c>
      <c r="D501" s="814">
        <f>+input!CV67</f>
        <v>86301750.739963204</v>
      </c>
      <c r="E501" s="814">
        <f>+input!CW67</f>
        <v>96566218.18506074</v>
      </c>
      <c r="F501" s="814">
        <f>input!DD67</f>
        <v>86301750.739963204</v>
      </c>
      <c r="G501" s="814">
        <f>+input!DE67</f>
        <v>96566218.18506074</v>
      </c>
      <c r="H501" s="814">
        <f>+input!DL67</f>
        <v>844010197.13372481</v>
      </c>
      <c r="I501" s="814">
        <f>+input!DM67</f>
        <v>131388981.15573239</v>
      </c>
      <c r="J501" s="814">
        <f>+input!DT67</f>
        <v>303740760.19176459</v>
      </c>
      <c r="K501" s="814">
        <f>+input!DU67</f>
        <v>122214483.29795097</v>
      </c>
      <c r="L501" s="814">
        <f>+input!EB67</f>
        <v>119615716.03675747</v>
      </c>
      <c r="M501" s="814">
        <f>+input!EC67</f>
        <v>105261184.05116099</v>
      </c>
      <c r="N501" s="814">
        <f>+input!EJ67</f>
        <v>97320738.928489029</v>
      </c>
      <c r="O501" s="816">
        <f>+input!EK67</f>
        <v>99919960.233914346</v>
      </c>
      <c r="Q501" s="13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J501" s="143"/>
      <c r="AK501" s="143"/>
      <c r="AL501" s="143"/>
      <c r="AM501" s="143"/>
      <c r="AN501" s="143"/>
      <c r="AO501" s="143"/>
      <c r="AP501" s="143"/>
      <c r="AQ501" s="143"/>
      <c r="AR501" s="143"/>
      <c r="AS501" s="143"/>
      <c r="AT501" s="143"/>
    </row>
    <row r="502" spans="1:46" ht="15" customHeight="1">
      <c r="A502" s="807" t="str">
        <f>+input!B68</f>
        <v>202j</v>
      </c>
      <c r="B502" s="814">
        <f>+input!CN68</f>
        <v>86301750.739963204</v>
      </c>
      <c r="C502" s="814">
        <f>+input!CO68</f>
        <v>96566218.18506074</v>
      </c>
      <c r="D502" s="814">
        <f>+input!CV68</f>
        <v>86301750.739963204</v>
      </c>
      <c r="E502" s="814">
        <f>+input!CW68</f>
        <v>96566218.18506074</v>
      </c>
      <c r="F502" s="814">
        <f>input!DD68</f>
        <v>86301750.739963204</v>
      </c>
      <c r="G502" s="814">
        <f>+input!DE68</f>
        <v>96566218.18506074</v>
      </c>
      <c r="H502" s="814">
        <f>+input!DL68</f>
        <v>844010197.13372481</v>
      </c>
      <c r="I502" s="814">
        <f>+input!DM68</f>
        <v>131388981.15573239</v>
      </c>
      <c r="J502" s="814">
        <f>+input!DT68</f>
        <v>303740760.19176459</v>
      </c>
      <c r="K502" s="814">
        <f>+input!DU68</f>
        <v>122214483.29795097</v>
      </c>
      <c r="L502" s="814">
        <f>+input!EB68</f>
        <v>119615716.03675747</v>
      </c>
      <c r="M502" s="814">
        <f>+input!EC68</f>
        <v>105261184.05116099</v>
      </c>
      <c r="N502" s="814">
        <f>+input!EJ68</f>
        <v>97320738.928489029</v>
      </c>
      <c r="O502" s="816">
        <f>+input!EK68</f>
        <v>99919960.233914346</v>
      </c>
      <c r="Q502" s="13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J502" s="143"/>
      <c r="AK502" s="143"/>
      <c r="AL502" s="143"/>
      <c r="AM502" s="143"/>
      <c r="AN502" s="143"/>
      <c r="AO502" s="143"/>
      <c r="AP502" s="143"/>
      <c r="AQ502" s="143"/>
      <c r="AR502" s="143"/>
      <c r="AS502" s="143"/>
      <c r="AT502" s="143"/>
    </row>
    <row r="503" spans="1:46" ht="15" customHeight="1">
      <c r="A503" s="807" t="str">
        <f>+input!B69</f>
        <v>203i</v>
      </c>
      <c r="B503" s="814">
        <f>+input!CN69</f>
        <v>118612621.8285934</v>
      </c>
      <c r="C503" s="814">
        <f>+input!CO69</f>
        <v>137317041.98420024</v>
      </c>
      <c r="D503" s="814">
        <f>+input!CV69</f>
        <v>118612621.8285934</v>
      </c>
      <c r="E503" s="814">
        <f>+input!CW69</f>
        <v>137317041.98420024</v>
      </c>
      <c r="F503" s="814">
        <f>input!DD69</f>
        <v>118612621.8285934</v>
      </c>
      <c r="G503" s="814">
        <f>+input!DE69</f>
        <v>137317041.98420024</v>
      </c>
      <c r="H503" s="814">
        <f>+input!DL69</f>
        <v>894362066.09731162</v>
      </c>
      <c r="I503" s="814">
        <f>+input!DM69</f>
        <v>177625116.92039824</v>
      </c>
      <c r="J503" s="814">
        <f>+input!DT69</f>
        <v>352268978.7407338</v>
      </c>
      <c r="K503" s="814">
        <f>+input!DU69</f>
        <v>165949095.25694773</v>
      </c>
      <c r="L503" s="814">
        <f>+input!EB69</f>
        <v>154645001.99557072</v>
      </c>
      <c r="M503" s="814">
        <f>+input!EC69</f>
        <v>146300336.49360666</v>
      </c>
      <c r="N503" s="814">
        <f>+input!EJ69</f>
        <v>130558272.23386079</v>
      </c>
      <c r="O503" s="816">
        <f>+input!EK69</f>
        <v>140708447.06883919</v>
      </c>
      <c r="Q503" s="13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J503" s="143"/>
      <c r="AK503" s="143"/>
      <c r="AL503" s="143"/>
      <c r="AM503" s="143"/>
      <c r="AN503" s="143"/>
      <c r="AO503" s="143"/>
      <c r="AP503" s="143"/>
      <c r="AQ503" s="143"/>
      <c r="AR503" s="143"/>
      <c r="AS503" s="143"/>
      <c r="AT503" s="143"/>
    </row>
    <row r="504" spans="1:46" ht="15" customHeight="1">
      <c r="A504" s="807" t="str">
        <f>+input!B70</f>
        <v>203j</v>
      </c>
      <c r="B504" s="814">
        <f>+input!CN70</f>
        <v>118612621.8285934</v>
      </c>
      <c r="C504" s="814">
        <f>+input!CO70</f>
        <v>137317041.98420024</v>
      </c>
      <c r="D504" s="814">
        <f>+input!CV70</f>
        <v>118612621.8285934</v>
      </c>
      <c r="E504" s="814">
        <f>+input!CW70</f>
        <v>137317041.98420024</v>
      </c>
      <c r="F504" s="814">
        <f>input!DD70</f>
        <v>118612621.8285934</v>
      </c>
      <c r="G504" s="814">
        <f>+input!DE70</f>
        <v>137317041.98420024</v>
      </c>
      <c r="H504" s="814">
        <f>+input!DL70</f>
        <v>894362066.09731162</v>
      </c>
      <c r="I504" s="814">
        <f>+input!DM70</f>
        <v>177625116.92039824</v>
      </c>
      <c r="J504" s="814">
        <f>+input!DT70</f>
        <v>352268978.7407338</v>
      </c>
      <c r="K504" s="814">
        <f>+input!DU70</f>
        <v>165949095.25694773</v>
      </c>
      <c r="L504" s="814">
        <f>+input!EB70</f>
        <v>154645001.99557072</v>
      </c>
      <c r="M504" s="814">
        <f>+input!EC70</f>
        <v>146300336.49360666</v>
      </c>
      <c r="N504" s="814">
        <f>+input!EJ70</f>
        <v>130558272.23386079</v>
      </c>
      <c r="O504" s="816">
        <f>+input!EK70</f>
        <v>140708447.06883919</v>
      </c>
      <c r="Q504" s="13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J504" s="143"/>
      <c r="AK504" s="143"/>
      <c r="AL504" s="143"/>
      <c r="AM504" s="143"/>
      <c r="AN504" s="143"/>
      <c r="AO504" s="143"/>
      <c r="AP504" s="143"/>
      <c r="AQ504" s="143"/>
      <c r="AR504" s="143"/>
      <c r="AS504" s="143"/>
      <c r="AT504" s="143"/>
    </row>
    <row r="505" spans="1:46" ht="15" customHeight="1">
      <c r="A505" s="807" t="str">
        <f>+input!B71</f>
        <v>204i</v>
      </c>
      <c r="B505" s="814">
        <f>+input!CN71</f>
        <v>118612621.8285934</v>
      </c>
      <c r="C505" s="814">
        <f>+input!CO71</f>
        <v>137317041.98420024</v>
      </c>
      <c r="D505" s="814">
        <f>+input!CV71</f>
        <v>118612621.8285934</v>
      </c>
      <c r="E505" s="814">
        <f>+input!CW71</f>
        <v>137317041.98420024</v>
      </c>
      <c r="F505" s="814">
        <f>input!DD71</f>
        <v>118612621.8285934</v>
      </c>
      <c r="G505" s="814">
        <f>+input!DE71</f>
        <v>137317041.98420024</v>
      </c>
      <c r="H505" s="814">
        <f>+input!DL71</f>
        <v>894362066.09731162</v>
      </c>
      <c r="I505" s="814">
        <f>+input!DM71</f>
        <v>177625116.92039824</v>
      </c>
      <c r="J505" s="814">
        <f>+input!DT71</f>
        <v>352268978.7407338</v>
      </c>
      <c r="K505" s="814">
        <f>+input!DU71</f>
        <v>165949095.25694773</v>
      </c>
      <c r="L505" s="814">
        <f>+input!EB71</f>
        <v>154645001.99557072</v>
      </c>
      <c r="M505" s="814">
        <f>+input!EC71</f>
        <v>146300336.49360666</v>
      </c>
      <c r="N505" s="814">
        <f>+input!EJ71</f>
        <v>130558272.23386079</v>
      </c>
      <c r="O505" s="816">
        <f>+input!EK71</f>
        <v>140708447.06883919</v>
      </c>
      <c r="Q505" s="13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J505" s="143"/>
      <c r="AK505" s="143"/>
      <c r="AL505" s="143"/>
      <c r="AM505" s="143"/>
      <c r="AN505" s="143"/>
      <c r="AO505" s="143"/>
      <c r="AP505" s="143"/>
      <c r="AQ505" s="143"/>
      <c r="AR505" s="143"/>
      <c r="AS505" s="143"/>
      <c r="AT505" s="143"/>
    </row>
    <row r="506" spans="1:46" ht="15" customHeight="1">
      <c r="A506" s="807" t="str">
        <f>+input!B72</f>
        <v>204j</v>
      </c>
      <c r="B506" s="814">
        <f>+input!CN72</f>
        <v>118612621.8285934</v>
      </c>
      <c r="C506" s="814">
        <f>+input!CO72</f>
        <v>137317041.98420024</v>
      </c>
      <c r="D506" s="814">
        <f>+input!CV72</f>
        <v>118612621.8285934</v>
      </c>
      <c r="E506" s="814">
        <f>+input!CW72</f>
        <v>137317041.98420024</v>
      </c>
      <c r="F506" s="814">
        <f>input!DD72</f>
        <v>118612621.8285934</v>
      </c>
      <c r="G506" s="814">
        <f>+input!DE72</f>
        <v>137317041.98420024</v>
      </c>
      <c r="H506" s="814">
        <f>+input!DL72</f>
        <v>894362066.09731162</v>
      </c>
      <c r="I506" s="814">
        <f>+input!DM72</f>
        <v>177625116.92039824</v>
      </c>
      <c r="J506" s="814">
        <f>+input!DT72</f>
        <v>352268978.7407338</v>
      </c>
      <c r="K506" s="814">
        <f>+input!DU72</f>
        <v>165949095.25694773</v>
      </c>
      <c r="L506" s="814">
        <f>+input!EB72</f>
        <v>154645001.99557072</v>
      </c>
      <c r="M506" s="814">
        <f>+input!EC72</f>
        <v>146300336.49360666</v>
      </c>
      <c r="N506" s="814">
        <f>+input!EJ72</f>
        <v>130558272.23386079</v>
      </c>
      <c r="O506" s="816">
        <f>+input!EK72</f>
        <v>140708447.06883919</v>
      </c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J506" s="143"/>
      <c r="AK506" s="143"/>
      <c r="AL506" s="143"/>
      <c r="AM506" s="143"/>
      <c r="AN506" s="143"/>
      <c r="AO506" s="143"/>
      <c r="AP506" s="143"/>
      <c r="AQ506" s="143"/>
      <c r="AR506" s="143"/>
      <c r="AS506" s="143"/>
      <c r="AT506" s="143"/>
    </row>
    <row r="507" spans="1:46" ht="15" customHeight="1">
      <c r="A507" s="807" t="str">
        <f>+input!B73</f>
        <v>205i</v>
      </c>
      <c r="B507" s="814">
        <f>+input!CN73</f>
        <v>147079898.60554036</v>
      </c>
      <c r="C507" s="814">
        <f>+input!CO73</f>
        <v>213305223.44251961</v>
      </c>
      <c r="D507" s="814">
        <f>+input!CV73</f>
        <v>147079898.60554036</v>
      </c>
      <c r="E507" s="814">
        <f>+input!CW73</f>
        <v>213305223.44251961</v>
      </c>
      <c r="F507" s="814">
        <f>input!DD73</f>
        <v>147079898.60554036</v>
      </c>
      <c r="G507" s="814">
        <f>+input!DE73</f>
        <v>213305223.44251961</v>
      </c>
      <c r="H507" s="814">
        <f>+input!DL73</f>
        <v>912447272.2194078</v>
      </c>
      <c r="I507" s="814">
        <f>+input!DM73</f>
        <v>264365298.83400047</v>
      </c>
      <c r="J507" s="814">
        <f>+input!DT73</f>
        <v>386407488.48964524</v>
      </c>
      <c r="K507" s="814">
        <f>+input!DU73</f>
        <v>248595984.8573676</v>
      </c>
      <c r="L507" s="814">
        <f>+input!EB73</f>
        <v>184465121.77022696</v>
      </c>
      <c r="M507" s="814">
        <f>+input!EC73</f>
        <v>223863046.3102529</v>
      </c>
      <c r="N507" s="814">
        <f>+input!EJ73</f>
        <v>159497285.73726651</v>
      </c>
      <c r="O507" s="816">
        <f>+input!EK73</f>
        <v>217239636.3559643</v>
      </c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J507" s="143"/>
      <c r="AK507" s="143"/>
      <c r="AL507" s="143"/>
      <c r="AM507" s="143"/>
      <c r="AN507" s="143"/>
      <c r="AO507" s="143"/>
      <c r="AP507" s="143"/>
      <c r="AQ507" s="143"/>
      <c r="AR507" s="143"/>
      <c r="AS507" s="143"/>
      <c r="AT507" s="143"/>
    </row>
    <row r="508" spans="1:46" ht="15" customHeight="1">
      <c r="A508" s="807" t="str">
        <f>+input!B74</f>
        <v>205j</v>
      </c>
      <c r="B508" s="814">
        <f>+input!CN74</f>
        <v>147079898.60554036</v>
      </c>
      <c r="C508" s="814">
        <f>+input!CO74</f>
        <v>213305223.44251961</v>
      </c>
      <c r="D508" s="814">
        <f>+input!CV74</f>
        <v>147079898.60554036</v>
      </c>
      <c r="E508" s="814">
        <f>+input!CW74</f>
        <v>213305223.44251961</v>
      </c>
      <c r="F508" s="814">
        <f>input!DD74</f>
        <v>147079898.60554036</v>
      </c>
      <c r="G508" s="814">
        <f>+input!DE74</f>
        <v>213305223.44251961</v>
      </c>
      <c r="H508" s="814">
        <f>+input!DL74</f>
        <v>912447272.2194078</v>
      </c>
      <c r="I508" s="814">
        <f>+input!DM74</f>
        <v>264365298.83400047</v>
      </c>
      <c r="J508" s="814">
        <f>+input!DT74</f>
        <v>386407488.48964524</v>
      </c>
      <c r="K508" s="814">
        <f>+input!DU74</f>
        <v>248595984.8573676</v>
      </c>
      <c r="L508" s="814">
        <f>+input!EB74</f>
        <v>184465121.77022696</v>
      </c>
      <c r="M508" s="814">
        <f>+input!EC74</f>
        <v>223863046.3102529</v>
      </c>
      <c r="N508" s="814">
        <f>+input!EJ74</f>
        <v>159497285.73726651</v>
      </c>
      <c r="O508" s="816">
        <f>+input!EK74</f>
        <v>217239636.3559643</v>
      </c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J508" s="143"/>
      <c r="AK508" s="143"/>
      <c r="AL508" s="143"/>
      <c r="AM508" s="143"/>
      <c r="AN508" s="143"/>
      <c r="AO508" s="143"/>
      <c r="AP508" s="143"/>
      <c r="AQ508" s="143"/>
      <c r="AR508" s="143"/>
      <c r="AS508" s="143"/>
      <c r="AT508" s="143"/>
    </row>
    <row r="509" spans="1:46" ht="15" customHeight="1">
      <c r="A509" s="807" t="str">
        <f>+input!B75</f>
        <v>206i</v>
      </c>
      <c r="B509" s="814">
        <f>+input!CN75</f>
        <v>147079898.60554036</v>
      </c>
      <c r="C509" s="814">
        <f>+input!CO75</f>
        <v>213305223.44251961</v>
      </c>
      <c r="D509" s="814">
        <f>+input!CV75</f>
        <v>147079898.60554036</v>
      </c>
      <c r="E509" s="814">
        <f>+input!CW75</f>
        <v>213305223.44251961</v>
      </c>
      <c r="F509" s="814">
        <f>input!DD75</f>
        <v>147079898.60554036</v>
      </c>
      <c r="G509" s="814">
        <f>+input!DE75</f>
        <v>213305223.44251961</v>
      </c>
      <c r="H509" s="814">
        <f>+input!DL75</f>
        <v>912447272.2194078</v>
      </c>
      <c r="I509" s="814">
        <f>+input!DM75</f>
        <v>264365298.83400047</v>
      </c>
      <c r="J509" s="814">
        <f>+input!DT75</f>
        <v>386407488.48964524</v>
      </c>
      <c r="K509" s="814">
        <f>+input!DU75</f>
        <v>248595984.8573676</v>
      </c>
      <c r="L509" s="814">
        <f>+input!EB75</f>
        <v>184465121.77022696</v>
      </c>
      <c r="M509" s="814">
        <f>+input!EC75</f>
        <v>223863046.3102529</v>
      </c>
      <c r="N509" s="814">
        <f>+input!EJ75</f>
        <v>159497285.73726651</v>
      </c>
      <c r="O509" s="816">
        <f>+input!EK75</f>
        <v>217239636.3559643</v>
      </c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J509" s="143"/>
      <c r="AK509" s="143"/>
      <c r="AL509" s="143"/>
      <c r="AM509" s="143"/>
      <c r="AN509" s="143"/>
      <c r="AO509" s="143"/>
      <c r="AP509" s="143"/>
      <c r="AQ509" s="143"/>
      <c r="AR509" s="143"/>
      <c r="AS509" s="143"/>
      <c r="AT509" s="143"/>
    </row>
    <row r="510" spans="1:46" ht="15" customHeight="1">
      <c r="A510" s="807" t="str">
        <f>+input!B76</f>
        <v>206j</v>
      </c>
      <c r="B510" s="814">
        <f>+input!CN76</f>
        <v>147079898.60554036</v>
      </c>
      <c r="C510" s="814">
        <f>+input!CO76</f>
        <v>213305223.44251961</v>
      </c>
      <c r="D510" s="814">
        <f>+input!CV76</f>
        <v>147079898.60554036</v>
      </c>
      <c r="E510" s="814">
        <f>+input!CW76</f>
        <v>213305223.44251961</v>
      </c>
      <c r="F510" s="814">
        <f>input!DD76</f>
        <v>147079898.60554036</v>
      </c>
      <c r="G510" s="814">
        <f>+input!DE76</f>
        <v>213305223.44251961</v>
      </c>
      <c r="H510" s="814">
        <f>+input!DL76</f>
        <v>912447272.2194078</v>
      </c>
      <c r="I510" s="814">
        <f>+input!DM76</f>
        <v>264365298.83400047</v>
      </c>
      <c r="J510" s="814">
        <f>+input!DT76</f>
        <v>386407488.48964524</v>
      </c>
      <c r="K510" s="814">
        <f>+input!DU76</f>
        <v>248595984.8573676</v>
      </c>
      <c r="L510" s="814">
        <f>+input!EB76</f>
        <v>184465121.77022696</v>
      </c>
      <c r="M510" s="814">
        <f>+input!EC76</f>
        <v>223863046.3102529</v>
      </c>
      <c r="N510" s="814">
        <f>+input!EJ76</f>
        <v>159497285.73726651</v>
      </c>
      <c r="O510" s="816">
        <f>+input!EK76</f>
        <v>217239636.3559643</v>
      </c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J510" s="143"/>
      <c r="AK510" s="143"/>
      <c r="AL510" s="143"/>
      <c r="AM510" s="143"/>
      <c r="AN510" s="143"/>
      <c r="AO510" s="143"/>
      <c r="AP510" s="143"/>
      <c r="AQ510" s="143"/>
      <c r="AR510" s="143"/>
      <c r="AS510" s="143"/>
      <c r="AT510" s="143"/>
    </row>
    <row r="511" spans="1:46" ht="15" customHeight="1">
      <c r="A511" s="807" t="str">
        <f>+input!B77</f>
        <v>207i</v>
      </c>
      <c r="B511" s="814">
        <f>+input!CN77</f>
        <v>174662958.18137676</v>
      </c>
      <c r="C511" s="814">
        <f>+input!CO77</f>
        <v>246587392.40687704</v>
      </c>
      <c r="D511" s="814">
        <f>+input!CV77</f>
        <v>174662958.18137676</v>
      </c>
      <c r="E511" s="814">
        <f>+input!CW77</f>
        <v>246587392.40687704</v>
      </c>
      <c r="F511" s="814">
        <f>input!DD77</f>
        <v>174662958.18137676</v>
      </c>
      <c r="G511" s="814">
        <f>+input!DE77</f>
        <v>246587392.40687704</v>
      </c>
      <c r="H511" s="814">
        <f>+input!DL77</f>
        <v>939949525.08844781</v>
      </c>
      <c r="I511" s="814">
        <f>+input!DM77</f>
        <v>296822630.6811114</v>
      </c>
      <c r="J511" s="814">
        <f>+input!DT77</f>
        <v>415879998.34563911</v>
      </c>
      <c r="K511" s="814">
        <f>+input!DU77</f>
        <v>280215643.12917501</v>
      </c>
      <c r="L511" s="814">
        <f>+input!EB77</f>
        <v>212457990.99039462</v>
      </c>
      <c r="M511" s="814">
        <f>+input!EC77</f>
        <v>256181087.53022891</v>
      </c>
      <c r="N511" s="814">
        <f>+input!EJ77</f>
        <v>187221698.16716075</v>
      </c>
      <c r="O511" s="816">
        <f>+input!EK77</f>
        <v>250118155.35038298</v>
      </c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J511" s="143"/>
      <c r="AK511" s="143"/>
      <c r="AL511" s="143"/>
      <c r="AM511" s="143"/>
      <c r="AN511" s="143"/>
      <c r="AO511" s="143"/>
      <c r="AP511" s="143"/>
      <c r="AQ511" s="143"/>
      <c r="AR511" s="143"/>
      <c r="AS511" s="143"/>
      <c r="AT511" s="143"/>
    </row>
    <row r="512" spans="1:46" ht="15" customHeight="1">
      <c r="A512" s="807" t="str">
        <f>+input!B78</f>
        <v>207j</v>
      </c>
      <c r="B512" s="814">
        <f>+input!CN78</f>
        <v>174662958.18137676</v>
      </c>
      <c r="C512" s="814">
        <f>+input!CO78</f>
        <v>246587392.40687704</v>
      </c>
      <c r="D512" s="814">
        <f>+input!CV78</f>
        <v>174662958.18137676</v>
      </c>
      <c r="E512" s="814">
        <f>+input!CW78</f>
        <v>246587392.40687704</v>
      </c>
      <c r="F512" s="814">
        <f>input!DD78</f>
        <v>174662958.18137676</v>
      </c>
      <c r="G512" s="814">
        <f>+input!DE78</f>
        <v>246587392.40687704</v>
      </c>
      <c r="H512" s="814">
        <f>+input!DL78</f>
        <v>939949525.08844781</v>
      </c>
      <c r="I512" s="814">
        <f>+input!DM78</f>
        <v>296822630.6811114</v>
      </c>
      <c r="J512" s="814">
        <f>+input!DT78</f>
        <v>415879998.34563911</v>
      </c>
      <c r="K512" s="814">
        <f>+input!DU78</f>
        <v>280215643.12917501</v>
      </c>
      <c r="L512" s="814">
        <f>+input!EB78</f>
        <v>212457990.99039462</v>
      </c>
      <c r="M512" s="814">
        <f>+input!EC78</f>
        <v>256181087.53022891</v>
      </c>
      <c r="N512" s="814">
        <f>+input!EJ78</f>
        <v>187221698.16716075</v>
      </c>
      <c r="O512" s="816">
        <f>+input!EK78</f>
        <v>250118155.35038298</v>
      </c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J512" s="143"/>
      <c r="AK512" s="143"/>
      <c r="AL512" s="143"/>
      <c r="AM512" s="143"/>
      <c r="AN512" s="143"/>
      <c r="AO512" s="143"/>
      <c r="AP512" s="143"/>
      <c r="AQ512" s="143"/>
      <c r="AR512" s="143"/>
      <c r="AS512" s="143"/>
      <c r="AT512" s="143"/>
    </row>
    <row r="513" spans="1:46" ht="15" customHeight="1">
      <c r="A513" s="807" t="str">
        <f>+input!B79</f>
        <v>208i</v>
      </c>
      <c r="B513" s="814">
        <f>+input!CN79</f>
        <v>174662958.18137676</v>
      </c>
      <c r="C513" s="814">
        <f>+input!CO79</f>
        <v>246587392.40687704</v>
      </c>
      <c r="D513" s="814">
        <f>+input!CV79</f>
        <v>174662958.18137676</v>
      </c>
      <c r="E513" s="814">
        <f>+input!CW79</f>
        <v>246587392.40687704</v>
      </c>
      <c r="F513" s="814">
        <f>input!DD79</f>
        <v>174662958.18137676</v>
      </c>
      <c r="G513" s="814">
        <f>+input!DE79</f>
        <v>246587392.40687704</v>
      </c>
      <c r="H513" s="814">
        <f>+input!DL79</f>
        <v>939949525.08844781</v>
      </c>
      <c r="I513" s="814">
        <f>+input!DM79</f>
        <v>296822630.6811114</v>
      </c>
      <c r="J513" s="814">
        <f>+input!DT79</f>
        <v>415879998.34563911</v>
      </c>
      <c r="K513" s="814">
        <f>+input!DU79</f>
        <v>280215643.12917501</v>
      </c>
      <c r="L513" s="814">
        <f>+input!EB79</f>
        <v>212457990.99039462</v>
      </c>
      <c r="M513" s="814">
        <f>+input!EC79</f>
        <v>256181087.53022891</v>
      </c>
      <c r="N513" s="814">
        <f>+input!EJ79</f>
        <v>187221698.16716075</v>
      </c>
      <c r="O513" s="816">
        <f>+input!EK79</f>
        <v>250118155.35038298</v>
      </c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J513" s="143"/>
      <c r="AK513" s="143"/>
      <c r="AL513" s="143"/>
      <c r="AM513" s="143"/>
      <c r="AN513" s="143"/>
      <c r="AO513" s="143"/>
      <c r="AP513" s="143"/>
      <c r="AQ513" s="143"/>
      <c r="AR513" s="143"/>
      <c r="AS513" s="143"/>
      <c r="AT513" s="143"/>
    </row>
    <row r="514" spans="1:46" ht="15" customHeight="1">
      <c r="A514" s="807" t="str">
        <f>+input!B80</f>
        <v>208j</v>
      </c>
      <c r="B514" s="814">
        <f>+input!CN80</f>
        <v>174662958.18137676</v>
      </c>
      <c r="C514" s="814">
        <f>+input!CO80</f>
        <v>246587392.40687704</v>
      </c>
      <c r="D514" s="814">
        <f>+input!CV80</f>
        <v>174662958.18137676</v>
      </c>
      <c r="E514" s="814">
        <f>+input!CW80</f>
        <v>246587392.40687704</v>
      </c>
      <c r="F514" s="814">
        <f>input!DD80</f>
        <v>174662958.18137676</v>
      </c>
      <c r="G514" s="814">
        <f>+input!DE80</f>
        <v>246587392.40687704</v>
      </c>
      <c r="H514" s="814">
        <f>+input!DL80</f>
        <v>939949525.08844781</v>
      </c>
      <c r="I514" s="814">
        <f>+input!DM80</f>
        <v>296822630.6811114</v>
      </c>
      <c r="J514" s="814">
        <f>+input!DT80</f>
        <v>415879998.34563911</v>
      </c>
      <c r="K514" s="814">
        <f>+input!DU80</f>
        <v>280215643.12917501</v>
      </c>
      <c r="L514" s="814">
        <f>+input!EB80</f>
        <v>212457990.99039462</v>
      </c>
      <c r="M514" s="814">
        <f>+input!EC80</f>
        <v>256181087.53022891</v>
      </c>
      <c r="N514" s="814">
        <f>+input!EJ80</f>
        <v>187221698.16716075</v>
      </c>
      <c r="O514" s="816">
        <f>+input!EK80</f>
        <v>250118155.35038298</v>
      </c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J514" s="143"/>
      <c r="AK514" s="143"/>
      <c r="AL514" s="143"/>
      <c r="AM514" s="143"/>
      <c r="AN514" s="143"/>
      <c r="AO514" s="143"/>
      <c r="AP514" s="143"/>
      <c r="AQ514" s="143"/>
      <c r="AR514" s="143"/>
      <c r="AS514" s="143"/>
      <c r="AT514" s="143"/>
    </row>
    <row r="515" spans="1:46" ht="15" customHeight="1">
      <c r="A515" s="807" t="str">
        <f>+input!B81</f>
        <v>209i</v>
      </c>
      <c r="B515" s="814">
        <f>+input!CN81</f>
        <v>174662958.18137676</v>
      </c>
      <c r="C515" s="814">
        <f>+input!CO81</f>
        <v>246587392.40687704</v>
      </c>
      <c r="D515" s="814">
        <f>+input!CV81</f>
        <v>174662958.18137676</v>
      </c>
      <c r="E515" s="814">
        <f>+input!CW81</f>
        <v>246587392.40687704</v>
      </c>
      <c r="F515" s="814">
        <f>input!DD81</f>
        <v>174662958.18137676</v>
      </c>
      <c r="G515" s="814">
        <f>+input!DE81</f>
        <v>246587392.40687704</v>
      </c>
      <c r="H515" s="814">
        <f>+input!DL81</f>
        <v>939949525.08844781</v>
      </c>
      <c r="I515" s="814">
        <f>+input!DM81</f>
        <v>296822630.6811114</v>
      </c>
      <c r="J515" s="814">
        <f>+input!DT81</f>
        <v>415879998.34563911</v>
      </c>
      <c r="K515" s="814">
        <f>+input!DU81</f>
        <v>280215643.12917501</v>
      </c>
      <c r="L515" s="814">
        <f>+input!EB81</f>
        <v>212457990.99039462</v>
      </c>
      <c r="M515" s="814">
        <f>+input!EC81</f>
        <v>256181087.53022891</v>
      </c>
      <c r="N515" s="814">
        <f>+input!EJ81</f>
        <v>187221698.16716075</v>
      </c>
      <c r="O515" s="816">
        <f>+input!EK81</f>
        <v>250118155.35038298</v>
      </c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J515" s="143"/>
      <c r="AK515" s="143"/>
      <c r="AL515" s="143"/>
      <c r="AM515" s="143"/>
      <c r="AN515" s="143"/>
      <c r="AO515" s="143"/>
      <c r="AP515" s="143"/>
      <c r="AQ515" s="143"/>
      <c r="AR515" s="143"/>
      <c r="AS515" s="143"/>
      <c r="AT515" s="143"/>
    </row>
    <row r="516" spans="1:46" ht="15" customHeight="1">
      <c r="A516" s="807" t="str">
        <f>+input!B82</f>
        <v>209j</v>
      </c>
      <c r="B516" s="814">
        <f>+input!CN82</f>
        <v>174662958.18137676</v>
      </c>
      <c r="C516" s="814">
        <f>+input!CO82</f>
        <v>246587392.40687704</v>
      </c>
      <c r="D516" s="814">
        <f>+input!CV82</f>
        <v>174662958.18137676</v>
      </c>
      <c r="E516" s="814">
        <f>+input!CW82</f>
        <v>246587392.40687704</v>
      </c>
      <c r="F516" s="814">
        <f>input!DD82</f>
        <v>174662958.18137676</v>
      </c>
      <c r="G516" s="814">
        <f>+input!DE82</f>
        <v>246587392.40687704</v>
      </c>
      <c r="H516" s="814">
        <f>+input!DL82</f>
        <v>939949525.08844781</v>
      </c>
      <c r="I516" s="814">
        <f>+input!DM82</f>
        <v>296822630.6811114</v>
      </c>
      <c r="J516" s="814">
        <f>+input!DT82</f>
        <v>415879998.34563911</v>
      </c>
      <c r="K516" s="814">
        <f>+input!DU82</f>
        <v>280215643.12917501</v>
      </c>
      <c r="L516" s="814">
        <f>+input!EB82</f>
        <v>212457990.99039462</v>
      </c>
      <c r="M516" s="814">
        <f>+input!EC82</f>
        <v>256181087.53022891</v>
      </c>
      <c r="N516" s="814">
        <f>+input!EJ82</f>
        <v>187221698.16716075</v>
      </c>
      <c r="O516" s="816">
        <f>+input!EK82</f>
        <v>250118155.35038298</v>
      </c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J516" s="143"/>
      <c r="AK516" s="143"/>
      <c r="AL516" s="143"/>
      <c r="AM516" s="143"/>
      <c r="AN516" s="143"/>
      <c r="AO516" s="143"/>
      <c r="AP516" s="143"/>
      <c r="AQ516" s="143"/>
      <c r="AR516" s="143"/>
      <c r="AS516" s="143"/>
      <c r="AT516" s="143"/>
    </row>
    <row r="517" spans="1:46" ht="15" customHeight="1">
      <c r="A517" s="807" t="str">
        <f>+input!B83</f>
        <v>210i</v>
      </c>
      <c r="B517" s="814">
        <f>+input!CN83</f>
        <v>174662958.18137676</v>
      </c>
      <c r="C517" s="814">
        <f>+input!CO83</f>
        <v>246587392.40687704</v>
      </c>
      <c r="D517" s="814">
        <f>+input!CV83</f>
        <v>174662958.18137676</v>
      </c>
      <c r="E517" s="814">
        <f>+input!CW83</f>
        <v>246587392.40687704</v>
      </c>
      <c r="F517" s="814">
        <f>input!DD83</f>
        <v>174662958.18137676</v>
      </c>
      <c r="G517" s="814">
        <f>+input!DE83</f>
        <v>246587392.40687704</v>
      </c>
      <c r="H517" s="814">
        <f>+input!DL83</f>
        <v>939949525.08844781</v>
      </c>
      <c r="I517" s="814">
        <f>+input!DM83</f>
        <v>296822630.6811114</v>
      </c>
      <c r="J517" s="814">
        <f>+input!DT83</f>
        <v>415879998.34563911</v>
      </c>
      <c r="K517" s="814">
        <f>+input!DU83</f>
        <v>280215643.12917501</v>
      </c>
      <c r="L517" s="814">
        <f>+input!EB83</f>
        <v>212457990.99039462</v>
      </c>
      <c r="M517" s="814">
        <f>+input!EC83</f>
        <v>256181087.53022891</v>
      </c>
      <c r="N517" s="814">
        <f>+input!EJ83</f>
        <v>187221698.16716075</v>
      </c>
      <c r="O517" s="816">
        <f>+input!EK83</f>
        <v>250118155.35038298</v>
      </c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J517" s="143"/>
      <c r="AK517" s="143"/>
      <c r="AL517" s="143"/>
      <c r="AM517" s="143"/>
      <c r="AN517" s="143"/>
      <c r="AO517" s="143"/>
      <c r="AP517" s="143"/>
      <c r="AQ517" s="143"/>
      <c r="AR517" s="143"/>
      <c r="AS517" s="143"/>
      <c r="AT517" s="143"/>
    </row>
    <row r="518" spans="1:46" ht="15" customHeight="1">
      <c r="A518" s="807" t="str">
        <f>+input!B84</f>
        <v>210j</v>
      </c>
      <c r="B518" s="814">
        <f>+input!CN84</f>
        <v>174662958.18137676</v>
      </c>
      <c r="C518" s="814">
        <f>+input!CO84</f>
        <v>246587392.40687704</v>
      </c>
      <c r="D518" s="814">
        <f>+input!CV84</f>
        <v>174662958.18137676</v>
      </c>
      <c r="E518" s="814">
        <f>+input!CW84</f>
        <v>246587392.40687704</v>
      </c>
      <c r="F518" s="814">
        <f>input!DD84</f>
        <v>174662958.18137676</v>
      </c>
      <c r="G518" s="814">
        <f>+input!DE84</f>
        <v>246587392.40687704</v>
      </c>
      <c r="H518" s="814">
        <f>+input!DL84</f>
        <v>939949525.08844781</v>
      </c>
      <c r="I518" s="814">
        <f>+input!DM84</f>
        <v>296822630.6811114</v>
      </c>
      <c r="J518" s="814">
        <f>+input!DT84</f>
        <v>415879998.34563911</v>
      </c>
      <c r="K518" s="814">
        <f>+input!DU84</f>
        <v>280215643.12917501</v>
      </c>
      <c r="L518" s="814">
        <f>+input!EB84</f>
        <v>212457990.99039462</v>
      </c>
      <c r="M518" s="814">
        <f>+input!EC84</f>
        <v>256181087.53022891</v>
      </c>
      <c r="N518" s="814">
        <f>+input!EJ84</f>
        <v>187221698.16716075</v>
      </c>
      <c r="O518" s="816">
        <f>+input!EK84</f>
        <v>250118155.35038298</v>
      </c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J518" s="143"/>
      <c r="AK518" s="143"/>
      <c r="AL518" s="143"/>
      <c r="AM518" s="143"/>
      <c r="AN518" s="143"/>
      <c r="AO518" s="143"/>
      <c r="AP518" s="143"/>
      <c r="AQ518" s="143"/>
      <c r="AR518" s="143"/>
      <c r="AS518" s="143"/>
      <c r="AT518" s="143"/>
    </row>
    <row r="519" spans="1:46" ht="15" customHeight="1">
      <c r="A519" s="807" t="str">
        <f>+input!B85</f>
        <v>211i</v>
      </c>
      <c r="B519" s="814">
        <f>+input!CN85</f>
        <v>174662958.18137676</v>
      </c>
      <c r="C519" s="814">
        <f>+input!CO85</f>
        <v>246587392.40687704</v>
      </c>
      <c r="D519" s="814">
        <f>+input!CV85</f>
        <v>174662958.18137676</v>
      </c>
      <c r="E519" s="814">
        <f>+input!CW85</f>
        <v>246587392.40687704</v>
      </c>
      <c r="F519" s="814">
        <f>input!DD85</f>
        <v>174662958.18137676</v>
      </c>
      <c r="G519" s="814">
        <f>+input!DE85</f>
        <v>246587392.40687704</v>
      </c>
      <c r="H519" s="814">
        <f>+input!DL85</f>
        <v>939949525.08844781</v>
      </c>
      <c r="I519" s="814">
        <f>+input!DM85</f>
        <v>296822630.6811114</v>
      </c>
      <c r="J519" s="814">
        <f>+input!DT85</f>
        <v>415879998.34563911</v>
      </c>
      <c r="K519" s="814">
        <f>+input!DU85</f>
        <v>280215643.12917501</v>
      </c>
      <c r="L519" s="814">
        <f>+input!EB85</f>
        <v>212457990.99039462</v>
      </c>
      <c r="M519" s="814">
        <f>+input!EC85</f>
        <v>256181087.53022891</v>
      </c>
      <c r="N519" s="814">
        <f>+input!EJ85</f>
        <v>187221698.16716075</v>
      </c>
      <c r="O519" s="816">
        <f>+input!EK85</f>
        <v>250118155.35038298</v>
      </c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J519" s="143"/>
      <c r="AK519" s="143"/>
      <c r="AL519" s="143"/>
      <c r="AM519" s="143"/>
      <c r="AN519" s="143"/>
      <c r="AO519" s="143"/>
      <c r="AP519" s="143"/>
      <c r="AQ519" s="143"/>
      <c r="AR519" s="143"/>
      <c r="AS519" s="143"/>
      <c r="AT519" s="143"/>
    </row>
    <row r="520" spans="1:46" ht="15" customHeight="1">
      <c r="A520" s="807" t="str">
        <f>+input!B86</f>
        <v>211j</v>
      </c>
      <c r="B520" s="814">
        <f>+input!CN86</f>
        <v>174662958.18137676</v>
      </c>
      <c r="C520" s="814">
        <f>+input!CO86</f>
        <v>246587392.40687704</v>
      </c>
      <c r="D520" s="814">
        <f>+input!CV86</f>
        <v>174662958.18137676</v>
      </c>
      <c r="E520" s="814">
        <f>+input!CW86</f>
        <v>246587392.40687704</v>
      </c>
      <c r="F520" s="814">
        <f>input!DD86</f>
        <v>174662958.18137676</v>
      </c>
      <c r="G520" s="814">
        <f>+input!DE86</f>
        <v>246587392.40687704</v>
      </c>
      <c r="H520" s="814">
        <f>+input!DL86</f>
        <v>939949525.08844781</v>
      </c>
      <c r="I520" s="814">
        <f>+input!DM86</f>
        <v>296822630.6811114</v>
      </c>
      <c r="J520" s="814">
        <f>+input!DT86</f>
        <v>415879998.34563911</v>
      </c>
      <c r="K520" s="814">
        <f>+input!DU86</f>
        <v>280215643.12917501</v>
      </c>
      <c r="L520" s="814">
        <f>+input!EB86</f>
        <v>212457990.99039462</v>
      </c>
      <c r="M520" s="814">
        <f>+input!EC86</f>
        <v>256181087.53022891</v>
      </c>
      <c r="N520" s="814">
        <f>+input!EJ86</f>
        <v>187221698.16716075</v>
      </c>
      <c r="O520" s="816">
        <f>+input!EK86</f>
        <v>250118155.35038298</v>
      </c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J520" s="143"/>
      <c r="AK520" s="143"/>
      <c r="AL520" s="143"/>
      <c r="AM520" s="143"/>
      <c r="AN520" s="143"/>
      <c r="AO520" s="143"/>
      <c r="AP520" s="143"/>
      <c r="AQ520" s="143"/>
      <c r="AR520" s="143"/>
      <c r="AS520" s="143"/>
      <c r="AT520" s="143"/>
    </row>
    <row r="521" spans="1:46" ht="15" customHeight="1">
      <c r="A521" s="807" t="str">
        <f>+input!B87</f>
        <v>212i</v>
      </c>
      <c r="B521" s="814">
        <f>+input!CN87</f>
        <v>141272624.0278883</v>
      </c>
      <c r="C521" s="814">
        <f>+input!CO87</f>
        <v>203018767.1140689</v>
      </c>
      <c r="D521" s="814">
        <f>+input!CV87</f>
        <v>141272624.0278883</v>
      </c>
      <c r="E521" s="814">
        <f>+input!CW87</f>
        <v>203018767.1140689</v>
      </c>
      <c r="F521" s="814">
        <f>input!DD87</f>
        <v>141272624.0278883</v>
      </c>
      <c r="G521" s="814">
        <f>+input!DE87</f>
        <v>203018767.1140689</v>
      </c>
      <c r="H521" s="814">
        <f>+input!DL87</f>
        <v>908692664.72841144</v>
      </c>
      <c r="I521" s="814">
        <f>+input!DM87</f>
        <v>253532719.01309764</v>
      </c>
      <c r="J521" s="814">
        <f>+input!DT87</f>
        <v>380282325.37299752</v>
      </c>
      <c r="K521" s="814">
        <f>+input!DU87</f>
        <v>238170095.88927212</v>
      </c>
      <c r="L521" s="814">
        <f>+input!EB87</f>
        <v>178553341.79862958</v>
      </c>
      <c r="M521" s="814">
        <f>+input!EC87</f>
        <v>213649154.49520549</v>
      </c>
      <c r="N521" s="814">
        <f>+input!EJ87</f>
        <v>153652783.43049407</v>
      </c>
      <c r="O521" s="816">
        <f>+input!EK87</f>
        <v>206991842.39465442</v>
      </c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J521" s="143"/>
      <c r="AK521" s="143"/>
      <c r="AL521" s="143"/>
      <c r="AM521" s="143"/>
      <c r="AN521" s="143"/>
      <c r="AO521" s="143"/>
      <c r="AP521" s="143"/>
      <c r="AQ521" s="143"/>
      <c r="AR521" s="143"/>
      <c r="AS521" s="143"/>
      <c r="AT521" s="143"/>
    </row>
    <row r="522" spans="1:46" ht="15" customHeight="1">
      <c r="A522" s="807" t="str">
        <f>+input!B88</f>
        <v>212j</v>
      </c>
      <c r="B522" s="814">
        <f>+input!CN88</f>
        <v>141272624.0278883</v>
      </c>
      <c r="C522" s="814">
        <f>+input!CO88</f>
        <v>203018767.1140689</v>
      </c>
      <c r="D522" s="814">
        <f>+input!CV88</f>
        <v>141272624.0278883</v>
      </c>
      <c r="E522" s="814">
        <f>+input!CW88</f>
        <v>203018767.1140689</v>
      </c>
      <c r="F522" s="814">
        <f>input!DD88</f>
        <v>141272624.0278883</v>
      </c>
      <c r="G522" s="814">
        <f>+input!DE88</f>
        <v>203018767.1140689</v>
      </c>
      <c r="H522" s="814">
        <f>+input!DL88</f>
        <v>908692664.72841144</v>
      </c>
      <c r="I522" s="814">
        <f>+input!DM88</f>
        <v>253532719.01309764</v>
      </c>
      <c r="J522" s="814">
        <f>+input!DT88</f>
        <v>380282325.37299752</v>
      </c>
      <c r="K522" s="814">
        <f>+input!DU88</f>
        <v>238170095.88927212</v>
      </c>
      <c r="L522" s="814">
        <f>+input!EB88</f>
        <v>178553341.79862958</v>
      </c>
      <c r="M522" s="814">
        <f>+input!EC88</f>
        <v>213649154.49520549</v>
      </c>
      <c r="N522" s="814">
        <f>+input!EJ88</f>
        <v>153652783.43049407</v>
      </c>
      <c r="O522" s="816">
        <f>+input!EK88</f>
        <v>206991842.39465442</v>
      </c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J522" s="143"/>
      <c r="AK522" s="143"/>
      <c r="AL522" s="143"/>
      <c r="AM522" s="143"/>
      <c r="AN522" s="143"/>
      <c r="AO522" s="143"/>
      <c r="AP522" s="143"/>
      <c r="AQ522" s="143"/>
      <c r="AR522" s="143"/>
      <c r="AS522" s="143"/>
      <c r="AT522" s="143"/>
    </row>
    <row r="523" spans="1:46" ht="15" customHeight="1">
      <c r="A523" s="807" t="str">
        <f>+input!B89</f>
        <v>213i</v>
      </c>
      <c r="B523" s="814">
        <f>+input!CN89</f>
        <v>126643772.73580913</v>
      </c>
      <c r="C523" s="814">
        <f>+input!CO89</f>
        <v>198309287.77219328</v>
      </c>
      <c r="D523" s="814">
        <f>+input!CV89</f>
        <v>126643772.73580913</v>
      </c>
      <c r="E523" s="814">
        <f>+input!CW89</f>
        <v>198309287.77219328</v>
      </c>
      <c r="F523" s="814">
        <f>input!DD89</f>
        <v>126643772.73580913</v>
      </c>
      <c r="G523" s="814">
        <f>+input!DE89</f>
        <v>198309287.77219328</v>
      </c>
      <c r="H523" s="814">
        <f>+input!DL89</f>
        <v>900531717.65221047</v>
      </c>
      <c r="I523" s="814">
        <f>+input!DM89</f>
        <v>253503336.72317958</v>
      </c>
      <c r="J523" s="814">
        <f>+input!DT89</f>
        <v>366660998.2260524</v>
      </c>
      <c r="K523" s="814">
        <f>+input!DU89</f>
        <v>237537997.06111619</v>
      </c>
      <c r="L523" s="814">
        <f>+input!EB89</f>
        <v>164012816.07628876</v>
      </c>
      <c r="M523" s="814">
        <f>+input!EC89</f>
        <v>210575724.11539474</v>
      </c>
      <c r="N523" s="814">
        <f>+input!EJ89</f>
        <v>139050830.29151839</v>
      </c>
      <c r="O523" s="816">
        <f>+input!EK89</f>
        <v>202937379.34407732</v>
      </c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J523" s="143"/>
      <c r="AK523" s="143"/>
      <c r="AL523" s="143"/>
      <c r="AM523" s="143"/>
      <c r="AN523" s="143"/>
      <c r="AO523" s="143"/>
      <c r="AP523" s="143"/>
      <c r="AQ523" s="143"/>
      <c r="AR523" s="143"/>
      <c r="AS523" s="143"/>
      <c r="AT523" s="143"/>
    </row>
    <row r="524" spans="1:46" ht="15" customHeight="1">
      <c r="A524" s="807" t="str">
        <f>+input!B90</f>
        <v>213j</v>
      </c>
      <c r="B524" s="814">
        <f>+input!CN90</f>
        <v>126643772.73580913</v>
      </c>
      <c r="C524" s="814">
        <f>+input!CO90</f>
        <v>198309287.77219328</v>
      </c>
      <c r="D524" s="814">
        <f>+input!CV90</f>
        <v>126643772.73580913</v>
      </c>
      <c r="E524" s="814">
        <f>+input!CW90</f>
        <v>198309287.77219328</v>
      </c>
      <c r="F524" s="814">
        <f>input!DD90</f>
        <v>126643772.73580913</v>
      </c>
      <c r="G524" s="814">
        <f>+input!DE90</f>
        <v>198309287.77219328</v>
      </c>
      <c r="H524" s="814">
        <f>+input!DL90</f>
        <v>900531717.65221047</v>
      </c>
      <c r="I524" s="814">
        <f>+input!DM90</f>
        <v>253503336.72317958</v>
      </c>
      <c r="J524" s="814">
        <f>+input!DT90</f>
        <v>366660998.2260524</v>
      </c>
      <c r="K524" s="814">
        <f>+input!DU90</f>
        <v>237537997.06111619</v>
      </c>
      <c r="L524" s="814">
        <f>+input!EB90</f>
        <v>164012816.07628876</v>
      </c>
      <c r="M524" s="814">
        <f>+input!EC90</f>
        <v>210575724.11539474</v>
      </c>
      <c r="N524" s="814">
        <f>+input!EJ90</f>
        <v>139050830.29151839</v>
      </c>
      <c r="O524" s="816">
        <f>+input!EK90</f>
        <v>202937379.34407732</v>
      </c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J524" s="143"/>
      <c r="AK524" s="143"/>
      <c r="AL524" s="143"/>
      <c r="AM524" s="143"/>
      <c r="AN524" s="143"/>
      <c r="AO524" s="143"/>
      <c r="AP524" s="143"/>
      <c r="AQ524" s="143"/>
      <c r="AR524" s="143"/>
      <c r="AS524" s="143"/>
      <c r="AT524" s="143"/>
    </row>
    <row r="525" spans="1:46" ht="15" customHeight="1">
      <c r="A525" s="807" t="str">
        <f>+input!B91</f>
        <v>214i</v>
      </c>
      <c r="B525" s="814">
        <f>+input!CN91</f>
        <v>126643772.73580913</v>
      </c>
      <c r="C525" s="814">
        <f>+input!CO91</f>
        <v>198309287.77219328</v>
      </c>
      <c r="D525" s="814">
        <f>+input!CV91</f>
        <v>126643772.73580913</v>
      </c>
      <c r="E525" s="814">
        <f>+input!CW91</f>
        <v>198309287.77219328</v>
      </c>
      <c r="F525" s="814">
        <f>input!DD91</f>
        <v>126643772.73580913</v>
      </c>
      <c r="G525" s="814">
        <f>+input!DE91</f>
        <v>198309287.77219328</v>
      </c>
      <c r="H525" s="814">
        <f>+input!DL91</f>
        <v>900531717.65221047</v>
      </c>
      <c r="I525" s="814">
        <f>+input!DM91</f>
        <v>253503336.72317958</v>
      </c>
      <c r="J525" s="814">
        <f>+input!DT91</f>
        <v>366660998.2260524</v>
      </c>
      <c r="K525" s="814">
        <f>+input!DU91</f>
        <v>237537997.06111619</v>
      </c>
      <c r="L525" s="814">
        <f>+input!EB91</f>
        <v>164012816.07628876</v>
      </c>
      <c r="M525" s="814">
        <f>+input!EC91</f>
        <v>210575724.11539474</v>
      </c>
      <c r="N525" s="814">
        <f>+input!EJ91</f>
        <v>139050830.29151839</v>
      </c>
      <c r="O525" s="816">
        <f>+input!EK91</f>
        <v>202937379.34407732</v>
      </c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J525" s="143"/>
      <c r="AK525" s="143"/>
      <c r="AL525" s="143"/>
      <c r="AM525" s="143"/>
      <c r="AN525" s="143"/>
      <c r="AO525" s="143"/>
      <c r="AP525" s="143"/>
      <c r="AQ525" s="143"/>
      <c r="AR525" s="143"/>
      <c r="AS525" s="143"/>
      <c r="AT525" s="143"/>
    </row>
    <row r="526" spans="1:46" ht="15" customHeight="1">
      <c r="A526" s="807" t="str">
        <f>+input!B92</f>
        <v>214j</v>
      </c>
      <c r="B526" s="814">
        <f>+input!CN92</f>
        <v>126643772.73580913</v>
      </c>
      <c r="C526" s="814">
        <f>+input!CO92</f>
        <v>198309287.77219328</v>
      </c>
      <c r="D526" s="814">
        <f>+input!CV92</f>
        <v>126643772.73580913</v>
      </c>
      <c r="E526" s="814">
        <f>+input!CW92</f>
        <v>198309287.77219328</v>
      </c>
      <c r="F526" s="814">
        <f>input!DD92</f>
        <v>126643772.73580913</v>
      </c>
      <c r="G526" s="814">
        <f>+input!DE92</f>
        <v>198309287.77219328</v>
      </c>
      <c r="H526" s="814">
        <f>+input!DL92</f>
        <v>900531717.65221047</v>
      </c>
      <c r="I526" s="814">
        <f>+input!DM92</f>
        <v>253503336.72317958</v>
      </c>
      <c r="J526" s="814">
        <f>+input!DT92</f>
        <v>366660998.2260524</v>
      </c>
      <c r="K526" s="814">
        <f>+input!DU92</f>
        <v>237537997.06111619</v>
      </c>
      <c r="L526" s="814">
        <f>+input!EB92</f>
        <v>164012816.07628876</v>
      </c>
      <c r="M526" s="814">
        <f>+input!EC92</f>
        <v>210575724.11539474</v>
      </c>
      <c r="N526" s="814">
        <f>+input!EJ92</f>
        <v>139050830.29151839</v>
      </c>
      <c r="O526" s="816">
        <f>+input!EK92</f>
        <v>202937379.34407732</v>
      </c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J526" s="143"/>
      <c r="AK526" s="143"/>
      <c r="AL526" s="143"/>
      <c r="AM526" s="143"/>
      <c r="AN526" s="143"/>
      <c r="AO526" s="143"/>
      <c r="AP526" s="143"/>
      <c r="AQ526" s="143"/>
      <c r="AR526" s="143"/>
      <c r="AS526" s="143"/>
      <c r="AT526" s="143"/>
    </row>
    <row r="527" spans="1:46" ht="15" customHeight="1">
      <c r="A527" s="807" t="str">
        <f>+input!B93</f>
        <v>215i</v>
      </c>
      <c r="B527" s="814">
        <f>+input!CN93</f>
        <v>100072715.43821304</v>
      </c>
      <c r="C527" s="814">
        <f>+input!CO93</f>
        <v>131749469.3556883</v>
      </c>
      <c r="D527" s="814">
        <f>+input!CV93</f>
        <v>100072715.43821304</v>
      </c>
      <c r="E527" s="814">
        <f>+input!CW93</f>
        <v>131749469.3556883</v>
      </c>
      <c r="F527" s="814">
        <f>input!DD93</f>
        <v>100072715.43821304</v>
      </c>
      <c r="G527" s="814">
        <f>+input!DE93</f>
        <v>131749469.3556883</v>
      </c>
      <c r="H527" s="814">
        <f>+input!DL93</f>
        <v>886979445.60212898</v>
      </c>
      <c r="I527" s="814">
        <f>+input!DM93</f>
        <v>177613227.7947599</v>
      </c>
      <c r="J527" s="814">
        <f>+input!DT93</f>
        <v>335136536.81743681</v>
      </c>
      <c r="K527" s="814">
        <f>+input!DU93</f>
        <v>165334447.28401071</v>
      </c>
      <c r="L527" s="814">
        <f>+input!EB93</f>
        <v>136197439.64664793</v>
      </c>
      <c r="M527" s="814">
        <f>+input!EC93</f>
        <v>142845229.80147487</v>
      </c>
      <c r="N527" s="814">
        <f>+input!EJ93</f>
        <v>112044615.96016069</v>
      </c>
      <c r="O527" s="816">
        <f>+input!EK93</f>
        <v>136003722.8356832</v>
      </c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J527" s="143"/>
      <c r="AK527" s="143"/>
      <c r="AL527" s="143"/>
      <c r="AM527" s="143"/>
      <c r="AN527" s="143"/>
      <c r="AO527" s="143"/>
      <c r="AP527" s="143"/>
      <c r="AQ527" s="143"/>
      <c r="AR527" s="143"/>
      <c r="AS527" s="143"/>
      <c r="AT527" s="143"/>
    </row>
    <row r="528" spans="1:46" ht="15" customHeight="1">
      <c r="A528" s="807" t="str">
        <f>+input!B94</f>
        <v>215j</v>
      </c>
      <c r="B528" s="814">
        <f>+input!CN94</f>
        <v>100072715.43821304</v>
      </c>
      <c r="C528" s="814">
        <f>+input!CO94</f>
        <v>131749469.3556883</v>
      </c>
      <c r="D528" s="814">
        <f>+input!CV94</f>
        <v>100072715.43821304</v>
      </c>
      <c r="E528" s="814">
        <f>+input!CW94</f>
        <v>131749469.3556883</v>
      </c>
      <c r="F528" s="814">
        <f>input!DD94</f>
        <v>100072715.43821304</v>
      </c>
      <c r="G528" s="814">
        <f>+input!DE94</f>
        <v>131749469.3556883</v>
      </c>
      <c r="H528" s="814">
        <f>+input!DL94</f>
        <v>886979445.60212898</v>
      </c>
      <c r="I528" s="814">
        <f>+input!DM94</f>
        <v>177613227.7947599</v>
      </c>
      <c r="J528" s="814">
        <f>+input!DT94</f>
        <v>335136536.81743681</v>
      </c>
      <c r="K528" s="814">
        <f>+input!DU94</f>
        <v>165334447.28401071</v>
      </c>
      <c r="L528" s="814">
        <f>+input!EB94</f>
        <v>136197439.64664793</v>
      </c>
      <c r="M528" s="814">
        <f>+input!EC94</f>
        <v>142845229.80147487</v>
      </c>
      <c r="N528" s="814">
        <f>+input!EJ94</f>
        <v>112044615.96016069</v>
      </c>
      <c r="O528" s="816">
        <f>+input!EK94</f>
        <v>136003722.8356832</v>
      </c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J528" s="143"/>
      <c r="AK528" s="143"/>
      <c r="AL528" s="143"/>
      <c r="AM528" s="143"/>
      <c r="AN528" s="143"/>
      <c r="AO528" s="143"/>
      <c r="AP528" s="143"/>
      <c r="AQ528" s="143"/>
      <c r="AR528" s="143"/>
      <c r="AS528" s="143"/>
      <c r="AT528" s="143"/>
    </row>
    <row r="529" spans="1:46" ht="15" customHeight="1">
      <c r="A529" s="807" t="str">
        <f>+input!B95</f>
        <v>216i</v>
      </c>
      <c r="B529" s="814">
        <f>+input!CN95</f>
        <v>126474653.67839223</v>
      </c>
      <c r="C529" s="814">
        <f>+input!CO95</f>
        <v>165081137.45103469</v>
      </c>
      <c r="D529" s="814">
        <f>+input!CV95</f>
        <v>126474653.67839223</v>
      </c>
      <c r="E529" s="814">
        <f>+input!CW95</f>
        <v>165081137.45103469</v>
      </c>
      <c r="F529" s="814">
        <f>input!DD95</f>
        <v>126474653.67839223</v>
      </c>
      <c r="G529" s="814">
        <f>+input!DE95</f>
        <v>165081137.45103469</v>
      </c>
      <c r="H529" s="814">
        <f>+input!DL95</f>
        <v>910059488.13789105</v>
      </c>
      <c r="I529" s="814">
        <f>+input!DM95</f>
        <v>211228251.2320323</v>
      </c>
      <c r="J529" s="814">
        <f>+input!DT95</f>
        <v>365385047.1964696</v>
      </c>
      <c r="K529" s="814">
        <f>+input!DU95</f>
        <v>197719216.51168427</v>
      </c>
      <c r="L529" s="814">
        <f>+input!EB95</f>
        <v>163457814.85920078</v>
      </c>
      <c r="M529" s="814">
        <f>+input!EC95</f>
        <v>175224901.9956772</v>
      </c>
      <c r="N529" s="814">
        <f>+input!EJ95</f>
        <v>138743137.31436488</v>
      </c>
      <c r="O529" s="816">
        <f>+input!EK95</f>
        <v>168901114.22575191</v>
      </c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J529" s="143"/>
      <c r="AK529" s="143"/>
      <c r="AL529" s="143"/>
      <c r="AM529" s="143"/>
      <c r="AN529" s="143"/>
      <c r="AO529" s="143"/>
      <c r="AP529" s="143"/>
      <c r="AQ529" s="143"/>
      <c r="AR529" s="143"/>
      <c r="AS529" s="143"/>
      <c r="AT529" s="143"/>
    </row>
    <row r="530" spans="1:46" ht="15" customHeight="1">
      <c r="A530" s="807" t="str">
        <f>+input!B96</f>
        <v>216j</v>
      </c>
      <c r="B530" s="814">
        <f>+input!CN96</f>
        <v>126474653.67839223</v>
      </c>
      <c r="C530" s="814">
        <f>+input!CO96</f>
        <v>165081137.45103469</v>
      </c>
      <c r="D530" s="814">
        <f>+input!CV96</f>
        <v>126474653.67839223</v>
      </c>
      <c r="E530" s="814">
        <f>+input!CW96</f>
        <v>165081137.45103469</v>
      </c>
      <c r="F530" s="814">
        <f>input!DD96</f>
        <v>126474653.67839223</v>
      </c>
      <c r="G530" s="814">
        <f>+input!DE96</f>
        <v>165081137.45103469</v>
      </c>
      <c r="H530" s="814">
        <f>+input!DL96</f>
        <v>910059488.13789105</v>
      </c>
      <c r="I530" s="814">
        <f>+input!DM96</f>
        <v>211228251.2320323</v>
      </c>
      <c r="J530" s="814">
        <f>+input!DT96</f>
        <v>365385047.1964696</v>
      </c>
      <c r="K530" s="814">
        <f>+input!DU96</f>
        <v>197719216.51168427</v>
      </c>
      <c r="L530" s="814">
        <f>+input!EB96</f>
        <v>163457814.85920078</v>
      </c>
      <c r="M530" s="814">
        <f>+input!EC96</f>
        <v>175224901.9956772</v>
      </c>
      <c r="N530" s="814">
        <f>+input!EJ96</f>
        <v>138743137.31436488</v>
      </c>
      <c r="O530" s="816">
        <f>+input!EK96</f>
        <v>168901114.22575191</v>
      </c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J530" s="143"/>
      <c r="AK530" s="143"/>
      <c r="AL530" s="143"/>
      <c r="AM530" s="143"/>
      <c r="AN530" s="143"/>
      <c r="AO530" s="143"/>
      <c r="AP530" s="143"/>
      <c r="AQ530" s="143"/>
      <c r="AR530" s="143"/>
      <c r="AS530" s="143"/>
      <c r="AT530" s="143"/>
    </row>
    <row r="531" spans="1:46" ht="15" customHeight="1">
      <c r="A531" s="807" t="str">
        <f>+input!B97</f>
        <v>217i</v>
      </c>
      <c r="B531" s="814">
        <f>+input!CN97</f>
        <v>201616277.6381734</v>
      </c>
      <c r="C531" s="814">
        <f>+input!CO97</f>
        <v>203751228.80344361</v>
      </c>
      <c r="D531" s="814">
        <f>+input!CV97</f>
        <v>211101422.56298545</v>
      </c>
      <c r="E531" s="814">
        <f>+input!CW97</f>
        <v>407204417.78953326</v>
      </c>
      <c r="F531" s="814">
        <f>input!DD97</f>
        <v>206358457.97673392</v>
      </c>
      <c r="G531" s="814">
        <f>+input!DE97</f>
        <v>274969213.52663678</v>
      </c>
      <c r="H531" s="814">
        <f>+input!DL97</f>
        <v>995967617.0865798</v>
      </c>
      <c r="I531" s="814">
        <f>+input!DM97</f>
        <v>241642715.70083523</v>
      </c>
      <c r="J531" s="814">
        <f>+input!DT97</f>
        <v>448490297.56984836</v>
      </c>
      <c r="K531" s="814">
        <f>+input!DU97</f>
        <v>228316409.02555922</v>
      </c>
      <c r="L531" s="814">
        <f>+input!EB97</f>
        <v>250264704.3510288</v>
      </c>
      <c r="M531" s="814">
        <f>+input!EC97</f>
        <v>423906111.30824643</v>
      </c>
      <c r="N531" s="814">
        <f>+input!EJ97</f>
        <v>219270087.08154878</v>
      </c>
      <c r="O531" s="816">
        <f>+input!EK97</f>
        <v>278521028.51594788</v>
      </c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J531" s="143"/>
      <c r="AK531" s="143"/>
      <c r="AL531" s="143"/>
      <c r="AM531" s="143"/>
      <c r="AN531" s="143"/>
      <c r="AO531" s="143"/>
      <c r="AP531" s="143"/>
      <c r="AQ531" s="143"/>
      <c r="AR531" s="143"/>
      <c r="AS531" s="143"/>
      <c r="AT531" s="143"/>
    </row>
    <row r="532" spans="1:46" ht="15" customHeight="1">
      <c r="A532" s="807" t="str">
        <f>+input!B98</f>
        <v>217j</v>
      </c>
      <c r="B532" s="814">
        <f>+input!CN98</f>
        <v>201616277.6381734</v>
      </c>
      <c r="C532" s="814">
        <f>+input!CO98</f>
        <v>203751228.80344361</v>
      </c>
      <c r="D532" s="814">
        <f>+input!CV98</f>
        <v>211101422.56298545</v>
      </c>
      <c r="E532" s="814">
        <f>+input!CW98</f>
        <v>407204417.78953326</v>
      </c>
      <c r="F532" s="814">
        <f>input!DD98</f>
        <v>206358457.97673392</v>
      </c>
      <c r="G532" s="814">
        <f>+input!DE98</f>
        <v>274969213.52663678</v>
      </c>
      <c r="H532" s="814">
        <f>+input!DL98</f>
        <v>995967617.0865798</v>
      </c>
      <c r="I532" s="814">
        <f>+input!DM98</f>
        <v>241642715.70083523</v>
      </c>
      <c r="J532" s="814">
        <f>+input!DT98</f>
        <v>448490297.56984836</v>
      </c>
      <c r="K532" s="814">
        <f>+input!DU98</f>
        <v>228316409.02555922</v>
      </c>
      <c r="L532" s="814">
        <f>+input!EB98</f>
        <v>250264704.3510288</v>
      </c>
      <c r="M532" s="814">
        <f>+input!EC98</f>
        <v>423906111.30824643</v>
      </c>
      <c r="N532" s="814">
        <f>+input!EJ98</f>
        <v>219270087.08154878</v>
      </c>
      <c r="O532" s="816">
        <f>+input!EK98</f>
        <v>278521028.51594788</v>
      </c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J532" s="143"/>
      <c r="AK532" s="143"/>
      <c r="AL532" s="143"/>
      <c r="AM532" s="143"/>
      <c r="AN532" s="143"/>
      <c r="AO532" s="143"/>
      <c r="AP532" s="143"/>
      <c r="AQ532" s="143"/>
      <c r="AR532" s="143"/>
      <c r="AS532" s="143"/>
      <c r="AT532" s="143"/>
    </row>
    <row r="533" spans="1:46" ht="15" customHeight="1">
      <c r="A533" s="807" t="str">
        <f>+input!B99</f>
        <v>218i</v>
      </c>
      <c r="B533" s="814">
        <f>+input!CN99</f>
        <v>377437306.85787624</v>
      </c>
      <c r="C533" s="814">
        <f>+input!CO99</f>
        <v>249285333.54220769</v>
      </c>
      <c r="D533" s="814">
        <f>+input!CV99</f>
        <v>395984786.83003438</v>
      </c>
      <c r="E533" s="814">
        <f>+input!CW99</f>
        <v>556484347.57915318</v>
      </c>
      <c r="F533" s="814">
        <f>input!DD99</f>
        <v>387146105.25508732</v>
      </c>
      <c r="G533" s="814">
        <f>+input!DE99</f>
        <v>357160114.15122831</v>
      </c>
      <c r="H533" s="814">
        <f>+input!DL99</f>
        <v>1185856599.7709899</v>
      </c>
      <c r="I533" s="814">
        <f>+input!DM99</f>
        <v>278763562.09625953</v>
      </c>
      <c r="J533" s="814">
        <f>+input!DT99</f>
        <v>632378904.82986236</v>
      </c>
      <c r="K533" s="814">
        <f>+input!DU99</f>
        <v>265804896.39203101</v>
      </c>
      <c r="L533" s="814">
        <f>+input!EB99</f>
        <v>436786647.33861893</v>
      </c>
      <c r="M533" s="814">
        <f>+input!EC99</f>
        <v>568062280.6495564</v>
      </c>
      <c r="N533" s="814">
        <f>+input!EJ99</f>
        <v>400659149.84594232</v>
      </c>
      <c r="O533" s="816">
        <f>+input!EK99</f>
        <v>359319760.60966784</v>
      </c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J533" s="143"/>
      <c r="AK533" s="143"/>
      <c r="AL533" s="143"/>
      <c r="AM533" s="143"/>
      <c r="AN533" s="143"/>
      <c r="AO533" s="143"/>
      <c r="AP533" s="143"/>
      <c r="AQ533" s="143"/>
      <c r="AR533" s="143"/>
      <c r="AS533" s="143"/>
      <c r="AT533" s="143"/>
    </row>
    <row r="534" spans="1:46" ht="15" customHeight="1">
      <c r="A534" s="807" t="str">
        <f>+input!B100</f>
        <v>218j</v>
      </c>
      <c r="B534" s="814">
        <f>+input!CN100</f>
        <v>377437306.85787624</v>
      </c>
      <c r="C534" s="814">
        <f>+input!CO100</f>
        <v>249285333.54220769</v>
      </c>
      <c r="D534" s="814">
        <f>+input!CV100</f>
        <v>395984786.83003438</v>
      </c>
      <c r="E534" s="814">
        <f>+input!CW100</f>
        <v>556484347.57915318</v>
      </c>
      <c r="F534" s="814">
        <f>input!DD100</f>
        <v>387146105.25508732</v>
      </c>
      <c r="G534" s="814">
        <f>+input!DE100</f>
        <v>357160114.15122831</v>
      </c>
      <c r="H534" s="814">
        <f>+input!DL100</f>
        <v>1185856599.7709899</v>
      </c>
      <c r="I534" s="814">
        <f>+input!DM100</f>
        <v>278763562.09625953</v>
      </c>
      <c r="J534" s="814">
        <f>+input!DT100</f>
        <v>632378904.82986236</v>
      </c>
      <c r="K534" s="814">
        <f>+input!DU100</f>
        <v>265804896.39203101</v>
      </c>
      <c r="L534" s="814">
        <f>+input!EB100</f>
        <v>436786647.33861893</v>
      </c>
      <c r="M534" s="814">
        <f>+input!EC100</f>
        <v>568062280.6495564</v>
      </c>
      <c r="N534" s="814">
        <f>+input!EJ100</f>
        <v>400659149.84594232</v>
      </c>
      <c r="O534" s="816">
        <f>+input!EK100</f>
        <v>359319760.60966784</v>
      </c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J534" s="143"/>
      <c r="AK534" s="143"/>
      <c r="AL534" s="143"/>
      <c r="AM534" s="143"/>
      <c r="AN534" s="143"/>
      <c r="AO534" s="143"/>
      <c r="AP534" s="143"/>
      <c r="AQ534" s="143"/>
      <c r="AR534" s="143"/>
      <c r="AS534" s="143"/>
      <c r="AT534" s="143"/>
    </row>
    <row r="535" spans="1:46" ht="15" customHeight="1">
      <c r="A535" s="807" t="str">
        <f>+input!B101</f>
        <v>219i</v>
      </c>
      <c r="B535" s="814">
        <f>+input!CN101</f>
        <v>389817063.54114115</v>
      </c>
      <c r="C535" s="814">
        <f>+input!CO101</f>
        <v>256821441.04481611</v>
      </c>
      <c r="D535" s="814">
        <f>+input!CV101</f>
        <v>408510486.08526975</v>
      </c>
      <c r="E535" s="814">
        <f>+input!CW101</f>
        <v>604912603.35700595</v>
      </c>
      <c r="F535" s="814">
        <f>input!DD101</f>
        <v>399796772.46543008</v>
      </c>
      <c r="G535" s="814">
        <f>+input!DE101</f>
        <v>380726945.4929952</v>
      </c>
      <c r="H535" s="814">
        <f>+input!DL101</f>
        <v>1214742332.4363885</v>
      </c>
      <c r="I535" s="814">
        <f>+input!DM101</f>
        <v>287366274.07941139</v>
      </c>
      <c r="J535" s="814">
        <f>+input!DT101</f>
        <v>650510314.13971937</v>
      </c>
      <c r="K535" s="814">
        <f>+input!DU101</f>
        <v>273903434.698201</v>
      </c>
      <c r="L535" s="814">
        <f>+input!EB101</f>
        <v>450136445.44678622</v>
      </c>
      <c r="M535" s="814">
        <f>+input!EC101</f>
        <v>618421510.98460853</v>
      </c>
      <c r="N535" s="814">
        <f>+input!EJ101</f>
        <v>413604255.7530942</v>
      </c>
      <c r="O535" s="816">
        <f>+input!EK101</f>
        <v>383103973.83311814</v>
      </c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J535" s="143"/>
      <c r="AK535" s="143"/>
      <c r="AL535" s="143"/>
      <c r="AM535" s="143"/>
      <c r="AN535" s="143"/>
      <c r="AO535" s="143"/>
      <c r="AP535" s="143"/>
      <c r="AQ535" s="143"/>
      <c r="AR535" s="143"/>
      <c r="AS535" s="143"/>
      <c r="AT535" s="143"/>
    </row>
    <row r="536" spans="1:46" ht="15" customHeight="1">
      <c r="A536" s="807" t="str">
        <f>+input!B102</f>
        <v>219j</v>
      </c>
      <c r="B536" s="814">
        <f>+input!CN102</f>
        <v>389817063.54114115</v>
      </c>
      <c r="C536" s="814">
        <f>+input!CO102</f>
        <v>256821441.04481611</v>
      </c>
      <c r="D536" s="814">
        <f>+input!CV102</f>
        <v>408510486.08526975</v>
      </c>
      <c r="E536" s="814">
        <f>+input!CW102</f>
        <v>604912603.35700595</v>
      </c>
      <c r="F536" s="814">
        <f>input!DD102</f>
        <v>399796772.46543008</v>
      </c>
      <c r="G536" s="814">
        <f>+input!DE102</f>
        <v>380726945.4929952</v>
      </c>
      <c r="H536" s="814">
        <f>+input!DL102</f>
        <v>1214742332.4363885</v>
      </c>
      <c r="I536" s="814">
        <f>+input!DM102</f>
        <v>287366274.07941139</v>
      </c>
      <c r="J536" s="814">
        <f>+input!DT102</f>
        <v>650510314.13971937</v>
      </c>
      <c r="K536" s="814">
        <f>+input!DU102</f>
        <v>273903434.698201</v>
      </c>
      <c r="L536" s="814">
        <f>+input!EB102</f>
        <v>450136445.44678622</v>
      </c>
      <c r="M536" s="814">
        <f>+input!EC102</f>
        <v>618421510.98460853</v>
      </c>
      <c r="N536" s="814">
        <f>+input!EJ102</f>
        <v>413604255.7530942</v>
      </c>
      <c r="O536" s="816">
        <f>+input!EK102</f>
        <v>383103973.83311814</v>
      </c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J536" s="143"/>
      <c r="AK536" s="143"/>
      <c r="AL536" s="143"/>
      <c r="AM536" s="143"/>
      <c r="AN536" s="143"/>
      <c r="AO536" s="143"/>
      <c r="AP536" s="143"/>
      <c r="AQ536" s="143"/>
      <c r="AR536" s="143"/>
      <c r="AS536" s="143"/>
      <c r="AT536" s="143"/>
    </row>
    <row r="537" spans="1:46" ht="15" customHeight="1">
      <c r="A537" s="807" t="str">
        <f>+input!B103</f>
        <v>220i</v>
      </c>
      <c r="B537" s="814">
        <f>+input!CN103</f>
        <v>389817063.54114115</v>
      </c>
      <c r="C537" s="814">
        <f>+input!CO103</f>
        <v>256821441.04481611</v>
      </c>
      <c r="D537" s="814">
        <f>+input!CV103</f>
        <v>408510486.08526975</v>
      </c>
      <c r="E537" s="814">
        <f>+input!CW103</f>
        <v>604912603.35700595</v>
      </c>
      <c r="F537" s="814">
        <f>input!DD103</f>
        <v>399796772.46543008</v>
      </c>
      <c r="G537" s="814">
        <f>+input!DE103</f>
        <v>380726945.4929952</v>
      </c>
      <c r="H537" s="814">
        <f>+input!DL103</f>
        <v>1214742332.4363885</v>
      </c>
      <c r="I537" s="814">
        <f>+input!DM103</f>
        <v>287366274.07941139</v>
      </c>
      <c r="J537" s="814">
        <f>+input!DT103</f>
        <v>650510314.13971937</v>
      </c>
      <c r="K537" s="814">
        <f>+input!DU103</f>
        <v>273903434.698201</v>
      </c>
      <c r="L537" s="814">
        <f>+input!EB103</f>
        <v>450136445.44678622</v>
      </c>
      <c r="M537" s="814">
        <f>+input!EC103</f>
        <v>618421510.98460853</v>
      </c>
      <c r="N537" s="814">
        <f>+input!EJ103</f>
        <v>413604255.7530942</v>
      </c>
      <c r="O537" s="816">
        <f>+input!EK103</f>
        <v>383103973.83311814</v>
      </c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J537" s="143"/>
      <c r="AK537" s="143"/>
      <c r="AL537" s="143"/>
      <c r="AM537" s="143"/>
      <c r="AN537" s="143"/>
      <c r="AO537" s="143"/>
      <c r="AP537" s="143"/>
      <c r="AQ537" s="143"/>
      <c r="AR537" s="143"/>
      <c r="AS537" s="143"/>
      <c r="AT537" s="143"/>
    </row>
    <row r="538" spans="1:46" ht="15" customHeight="1">
      <c r="A538" s="807" t="str">
        <f>+input!B104</f>
        <v>220j</v>
      </c>
      <c r="B538" s="814">
        <f>+input!CN104</f>
        <v>389817063.54114115</v>
      </c>
      <c r="C538" s="814">
        <f>+input!CO104</f>
        <v>256821441.04481611</v>
      </c>
      <c r="D538" s="814">
        <f>+input!CV104</f>
        <v>408510486.08526975</v>
      </c>
      <c r="E538" s="814">
        <f>+input!CW104</f>
        <v>604912603.35700595</v>
      </c>
      <c r="F538" s="814">
        <f>input!DD104</f>
        <v>399796772.46543008</v>
      </c>
      <c r="G538" s="814">
        <f>+input!DE104</f>
        <v>380726945.4929952</v>
      </c>
      <c r="H538" s="814">
        <f>+input!DL104</f>
        <v>1214742332.4363885</v>
      </c>
      <c r="I538" s="814">
        <f>+input!DM104</f>
        <v>287366274.07941139</v>
      </c>
      <c r="J538" s="814">
        <f>+input!DT104</f>
        <v>650510314.13971937</v>
      </c>
      <c r="K538" s="814">
        <f>+input!DU104</f>
        <v>273903434.698201</v>
      </c>
      <c r="L538" s="814">
        <f>+input!EB104</f>
        <v>450136445.44678622</v>
      </c>
      <c r="M538" s="814">
        <f>+input!EC104</f>
        <v>618421510.98460853</v>
      </c>
      <c r="N538" s="814">
        <f>+input!EJ104</f>
        <v>413604255.7530942</v>
      </c>
      <c r="O538" s="816">
        <f>+input!EK104</f>
        <v>383103973.83311814</v>
      </c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J538" s="143"/>
      <c r="AK538" s="143"/>
      <c r="AL538" s="143"/>
      <c r="AM538" s="143"/>
      <c r="AN538" s="143"/>
      <c r="AO538" s="143"/>
      <c r="AP538" s="143"/>
      <c r="AQ538" s="143"/>
      <c r="AR538" s="143"/>
      <c r="AS538" s="143"/>
      <c r="AT538" s="143"/>
    </row>
    <row r="539" spans="1:46" ht="15" customHeight="1">
      <c r="A539" s="807" t="str">
        <f>+input!B105</f>
        <v>221i</v>
      </c>
      <c r="B539" s="814">
        <f>+input!CN105</f>
        <v>377437306.85787624</v>
      </c>
      <c r="C539" s="814">
        <f>+input!CO105</f>
        <v>249285333.54220769</v>
      </c>
      <c r="D539" s="814">
        <f>+input!CV105</f>
        <v>395984786.83003438</v>
      </c>
      <c r="E539" s="814">
        <f>+input!CW105</f>
        <v>556484347.57915318</v>
      </c>
      <c r="F539" s="814">
        <f>input!DD105</f>
        <v>387146105.25508732</v>
      </c>
      <c r="G539" s="814">
        <f>+input!DE105</f>
        <v>357160114.15122831</v>
      </c>
      <c r="H539" s="814">
        <f>+input!DL105</f>
        <v>1185856599.7709899</v>
      </c>
      <c r="I539" s="814">
        <f>+input!DM105</f>
        <v>278763562.09625953</v>
      </c>
      <c r="J539" s="814">
        <f>+input!DT105</f>
        <v>632378904.82986236</v>
      </c>
      <c r="K539" s="814">
        <f>+input!DU105</f>
        <v>265804896.39203101</v>
      </c>
      <c r="L539" s="814">
        <f>+input!EB105</f>
        <v>436786647.33861893</v>
      </c>
      <c r="M539" s="814">
        <f>+input!EC105</f>
        <v>568062280.6495564</v>
      </c>
      <c r="N539" s="814">
        <f>+input!EJ105</f>
        <v>400659149.84594232</v>
      </c>
      <c r="O539" s="816">
        <f>+input!EK105</f>
        <v>359319760.60966784</v>
      </c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J539" s="143"/>
      <c r="AK539" s="143"/>
      <c r="AL539" s="143"/>
      <c r="AM539" s="143"/>
      <c r="AN539" s="143"/>
      <c r="AO539" s="143"/>
      <c r="AP539" s="143"/>
      <c r="AQ539" s="143"/>
      <c r="AR539" s="143"/>
      <c r="AS539" s="143"/>
      <c r="AT539" s="143"/>
    </row>
    <row r="540" spans="1:46" ht="15" customHeight="1">
      <c r="A540" s="948" t="str">
        <f>+input!B106</f>
        <v>221j</v>
      </c>
      <c r="B540" s="951">
        <f>+input!CN106</f>
        <v>377437306.85787624</v>
      </c>
      <c r="C540" s="951">
        <f>+input!CO106</f>
        <v>249285333.54220769</v>
      </c>
      <c r="D540" s="951">
        <f>+input!CV106</f>
        <v>395984786.83003438</v>
      </c>
      <c r="E540" s="951">
        <f>+input!CW106</f>
        <v>556484347.57915318</v>
      </c>
      <c r="F540" s="951">
        <f>input!DD106</f>
        <v>387146105.25508732</v>
      </c>
      <c r="G540" s="951">
        <f>+input!DE106</f>
        <v>357160114.15122831</v>
      </c>
      <c r="H540" s="951">
        <f>+input!DL106</f>
        <v>1185856599.7709899</v>
      </c>
      <c r="I540" s="951">
        <f>+input!DM106</f>
        <v>278763562.09625953</v>
      </c>
      <c r="J540" s="951">
        <f>+input!DT106</f>
        <v>632378904.82986236</v>
      </c>
      <c r="K540" s="951">
        <f>+input!DU106</f>
        <v>265804896.39203101</v>
      </c>
      <c r="L540" s="951">
        <f>+input!EB106</f>
        <v>436786647.33861893</v>
      </c>
      <c r="M540" s="951">
        <f>+input!EC106</f>
        <v>568062280.6495564</v>
      </c>
      <c r="N540" s="951">
        <f>+input!EJ106</f>
        <v>400659149.84594232</v>
      </c>
      <c r="O540" s="952">
        <f>+input!EK106</f>
        <v>359319760.60966784</v>
      </c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J540" s="143"/>
      <c r="AK540" s="143"/>
      <c r="AL540" s="143"/>
      <c r="AM540" s="143"/>
      <c r="AN540" s="143"/>
      <c r="AO540" s="143"/>
      <c r="AP540" s="143"/>
      <c r="AQ540" s="143"/>
      <c r="AR540" s="143"/>
      <c r="AS540" s="143"/>
      <c r="AT540" s="143"/>
    </row>
    <row r="541" spans="1:46" ht="15" customHeight="1">
      <c r="A541" s="812" t="str">
        <f>+input!B107</f>
        <v>222i</v>
      </c>
      <c r="B541" s="813">
        <f>+input!CN107</f>
        <v>219161648.91892299</v>
      </c>
      <c r="C541" s="813">
        <f>+input!CO107</f>
        <v>215919575.97164524</v>
      </c>
      <c r="D541" s="813">
        <f>+input!CV107</f>
        <v>228478285.77366087</v>
      </c>
      <c r="E541" s="813">
        <f>+input!CW107</f>
        <v>422516303.03412449</v>
      </c>
      <c r="F541" s="813">
        <f>input!DD107</f>
        <v>223771821.27150926</v>
      </c>
      <c r="G541" s="813">
        <f>+input!DE107</f>
        <v>288049457.18329775</v>
      </c>
      <c r="H541" s="813">
        <f>+input!DL107</f>
        <v>1009421153.5419822</v>
      </c>
      <c r="I541" s="813">
        <f>+input!DM107</f>
        <v>252789938.33236796</v>
      </c>
      <c r="J541" s="813">
        <f>+input!DT107</f>
        <v>466159809.39443314</v>
      </c>
      <c r="K541" s="813">
        <f>+input!DU107</f>
        <v>239412185.4849827</v>
      </c>
      <c r="L541" s="813">
        <f>+input!EB107</f>
        <v>267650221.0203172</v>
      </c>
      <c r="M541" s="813">
        <f>+input!EC107</f>
        <v>437889971.35876638</v>
      </c>
      <c r="N541" s="813">
        <f>+input!EJ107</f>
        <v>236703219.76035708</v>
      </c>
      <c r="O541" s="815">
        <f>+input!EK107</f>
        <v>291325945.59205031</v>
      </c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J541" s="143"/>
      <c r="AK541" s="143"/>
      <c r="AL541" s="143"/>
      <c r="AM541" s="143"/>
      <c r="AN541" s="143"/>
      <c r="AO541" s="143"/>
      <c r="AP541" s="143"/>
      <c r="AQ541" s="143"/>
      <c r="AR541" s="143"/>
      <c r="AS541" s="143"/>
      <c r="AT541" s="143"/>
    </row>
    <row r="542" spans="1:46" ht="15" customHeight="1">
      <c r="A542" s="807" t="str">
        <f>+input!B108</f>
        <v>222j</v>
      </c>
      <c r="B542" s="814">
        <f>+input!CN108</f>
        <v>219161648.91892299</v>
      </c>
      <c r="C542" s="814">
        <f>+input!CO108</f>
        <v>215919575.97164524</v>
      </c>
      <c r="D542" s="814">
        <f>+input!CV108</f>
        <v>228478285.77366087</v>
      </c>
      <c r="E542" s="814">
        <f>+input!CW108</f>
        <v>422516303.03412449</v>
      </c>
      <c r="F542" s="814">
        <f>input!DD108</f>
        <v>223771821.27150926</v>
      </c>
      <c r="G542" s="814">
        <f>+input!DE108</f>
        <v>288049457.18329775</v>
      </c>
      <c r="H542" s="814">
        <f>+input!DL108</f>
        <v>1009421153.5419822</v>
      </c>
      <c r="I542" s="814">
        <f>+input!DM108</f>
        <v>252789938.33236796</v>
      </c>
      <c r="J542" s="814">
        <f>+input!DT108</f>
        <v>466159809.39443314</v>
      </c>
      <c r="K542" s="814">
        <f>+input!DU108</f>
        <v>239412185.4849827</v>
      </c>
      <c r="L542" s="814">
        <f>+input!EB108</f>
        <v>267650221.0203172</v>
      </c>
      <c r="M542" s="814">
        <f>+input!EC108</f>
        <v>437889971.35876638</v>
      </c>
      <c r="N542" s="814">
        <f>+input!EJ108</f>
        <v>236703219.76035708</v>
      </c>
      <c r="O542" s="816">
        <f>+input!EK108</f>
        <v>291325945.59205031</v>
      </c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J542" s="143"/>
      <c r="AK542" s="143"/>
      <c r="AL542" s="143"/>
      <c r="AM542" s="143"/>
      <c r="AN542" s="143"/>
      <c r="AO542" s="143"/>
      <c r="AP542" s="143"/>
      <c r="AQ542" s="143"/>
      <c r="AR542" s="143"/>
      <c r="AS542" s="143"/>
      <c r="AT542" s="143"/>
    </row>
    <row r="543" spans="1:46" ht="15" customHeight="1">
      <c r="A543" s="807" t="str">
        <f>+input!B109</f>
        <v>223i</v>
      </c>
      <c r="B543" s="814">
        <f>+input!CN109</f>
        <v>170586676.3639794</v>
      </c>
      <c r="C543" s="814">
        <f>+input!CO109</f>
        <v>202046357.79168516</v>
      </c>
      <c r="D543" s="814">
        <f>+input!CV109</f>
        <v>170586676.3639794</v>
      </c>
      <c r="E543" s="814">
        <f>+input!CW109</f>
        <v>202046357.79168516</v>
      </c>
      <c r="F543" s="814">
        <f>input!DD109</f>
        <v>170586676.3639794</v>
      </c>
      <c r="G543" s="814">
        <f>+input!DE109</f>
        <v>202046357.79168516</v>
      </c>
      <c r="H543" s="814">
        <f>+input!DL109</f>
        <v>937646029.05799448</v>
      </c>
      <c r="I543" s="814">
        <f>+input!DM109</f>
        <v>243909775.77366236</v>
      </c>
      <c r="J543" s="814">
        <f>+input!DT109</f>
        <v>409589057.46006477</v>
      </c>
      <c r="K543" s="814">
        <f>+input!DU109</f>
        <v>230054342.25833321</v>
      </c>
      <c r="L543" s="814">
        <f>+input!EB109</f>
        <v>207894678.13416749</v>
      </c>
      <c r="M543" s="814">
        <f>+input!EC109</f>
        <v>210047643.23841316</v>
      </c>
      <c r="N543" s="814">
        <f>+input!EJ109</f>
        <v>182975996.82484978</v>
      </c>
      <c r="O543" s="816">
        <f>+input!EK109</f>
        <v>204991459.99143514</v>
      </c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J543" s="143"/>
      <c r="AK543" s="143"/>
      <c r="AL543" s="143"/>
      <c r="AM543" s="143"/>
      <c r="AN543" s="143"/>
      <c r="AO543" s="143"/>
      <c r="AP543" s="143"/>
      <c r="AQ543" s="143"/>
      <c r="AR543" s="143"/>
      <c r="AS543" s="143"/>
      <c r="AT543" s="143"/>
    </row>
    <row r="544" spans="1:46" ht="15" customHeight="1">
      <c r="A544" s="807" t="str">
        <f>+input!B110</f>
        <v>223j</v>
      </c>
      <c r="B544" s="814">
        <f>+input!CN110</f>
        <v>170586676.3639794</v>
      </c>
      <c r="C544" s="814">
        <f>+input!CO110</f>
        <v>202046357.79168516</v>
      </c>
      <c r="D544" s="814">
        <f>+input!CV110</f>
        <v>170586676.3639794</v>
      </c>
      <c r="E544" s="814">
        <f>+input!CW110</f>
        <v>202046357.79168516</v>
      </c>
      <c r="F544" s="814">
        <f>input!DD110</f>
        <v>170586676.3639794</v>
      </c>
      <c r="G544" s="814">
        <f>+input!DE110</f>
        <v>202046357.79168516</v>
      </c>
      <c r="H544" s="814">
        <f>+input!DL110</f>
        <v>937646029.05799448</v>
      </c>
      <c r="I544" s="814">
        <f>+input!DM110</f>
        <v>243909775.77366236</v>
      </c>
      <c r="J544" s="814">
        <f>+input!DT110</f>
        <v>409589057.46006477</v>
      </c>
      <c r="K544" s="814">
        <f>+input!DU110</f>
        <v>230054342.25833321</v>
      </c>
      <c r="L544" s="814">
        <f>+input!EB110</f>
        <v>207894678.13416749</v>
      </c>
      <c r="M544" s="814">
        <f>+input!EC110</f>
        <v>210047643.23841316</v>
      </c>
      <c r="N544" s="814">
        <f>+input!EJ110</f>
        <v>182975996.82484978</v>
      </c>
      <c r="O544" s="816">
        <f>+input!EK110</f>
        <v>204991459.99143514</v>
      </c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J544" s="143"/>
      <c r="AK544" s="143"/>
      <c r="AL544" s="143"/>
      <c r="AM544" s="143"/>
      <c r="AN544" s="143"/>
      <c r="AO544" s="143"/>
      <c r="AP544" s="143"/>
      <c r="AQ544" s="143"/>
      <c r="AR544" s="143"/>
      <c r="AS544" s="143"/>
      <c r="AT544" s="143"/>
    </row>
    <row r="545" spans="1:46" ht="15" customHeight="1">
      <c r="A545" s="807" t="str">
        <f>+input!B111</f>
        <v>224i</v>
      </c>
      <c r="B545" s="814">
        <f>+input!CN111</f>
        <v>113115622.55904828</v>
      </c>
      <c r="C545" s="814">
        <f>+input!CO111</f>
        <v>160541605.12853247</v>
      </c>
      <c r="D545" s="814">
        <f>+input!CV111</f>
        <v>113115622.55904828</v>
      </c>
      <c r="E545" s="814">
        <f>+input!CW111</f>
        <v>160541605.12853247</v>
      </c>
      <c r="F545" s="814">
        <f>input!DD111</f>
        <v>113115622.55904828</v>
      </c>
      <c r="G545" s="814">
        <f>+input!DE111</f>
        <v>160541605.12853247</v>
      </c>
      <c r="H545" s="814">
        <f>+input!DL111</f>
        <v>892722447.24705362</v>
      </c>
      <c r="I545" s="814">
        <f>+input!DM111</f>
        <v>210164873.09999436</v>
      </c>
      <c r="J545" s="814">
        <f>+input!DT111</f>
        <v>350664311.9024387</v>
      </c>
      <c r="K545" s="814">
        <f>+input!DU111</f>
        <v>196334277.35189593</v>
      </c>
      <c r="L545" s="814">
        <f>+input!EB111</f>
        <v>149872631.93182287</v>
      </c>
      <c r="M545" s="814">
        <f>+input!EC111</f>
        <v>172036530.23623022</v>
      </c>
      <c r="N545" s="814">
        <f>+input!EJ111</f>
        <v>125308700.35878479</v>
      </c>
      <c r="O545" s="816">
        <f>+input!EK111</f>
        <v>164911856.72297066</v>
      </c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J545" s="143"/>
      <c r="AK545" s="143"/>
      <c r="AL545" s="143"/>
      <c r="AM545" s="143"/>
      <c r="AN545" s="143"/>
      <c r="AO545" s="143"/>
      <c r="AP545" s="143"/>
      <c r="AQ545" s="143"/>
      <c r="AR545" s="143"/>
      <c r="AS545" s="143"/>
      <c r="AT545" s="143"/>
    </row>
    <row r="546" spans="1:46" ht="15" customHeight="1">
      <c r="A546" s="807" t="str">
        <f>+input!B112</f>
        <v>224j</v>
      </c>
      <c r="B546" s="814">
        <f>+input!CN112</f>
        <v>113115622.55904828</v>
      </c>
      <c r="C546" s="814">
        <f>+input!CO112</f>
        <v>160541605.12853247</v>
      </c>
      <c r="D546" s="814">
        <f>+input!CV112</f>
        <v>113115622.55904828</v>
      </c>
      <c r="E546" s="814">
        <f>+input!CW112</f>
        <v>160541605.12853247</v>
      </c>
      <c r="F546" s="814">
        <f>input!DD112</f>
        <v>113115622.55904828</v>
      </c>
      <c r="G546" s="814">
        <f>+input!DE112</f>
        <v>160541605.12853247</v>
      </c>
      <c r="H546" s="814">
        <f>+input!DL112</f>
        <v>892722447.24705362</v>
      </c>
      <c r="I546" s="814">
        <f>+input!DM112</f>
        <v>210164873.09999436</v>
      </c>
      <c r="J546" s="814">
        <f>+input!DT112</f>
        <v>350664311.9024387</v>
      </c>
      <c r="K546" s="814">
        <f>+input!DU112</f>
        <v>196334277.35189593</v>
      </c>
      <c r="L546" s="814">
        <f>+input!EB112</f>
        <v>149872631.93182287</v>
      </c>
      <c r="M546" s="814">
        <f>+input!EC112</f>
        <v>172036530.23623022</v>
      </c>
      <c r="N546" s="814">
        <f>+input!EJ112</f>
        <v>125308700.35878479</v>
      </c>
      <c r="O546" s="816">
        <f>+input!EK112</f>
        <v>164911856.72297066</v>
      </c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J546" s="143"/>
      <c r="AK546" s="143"/>
      <c r="AL546" s="143"/>
      <c r="AM546" s="143"/>
      <c r="AN546" s="143"/>
      <c r="AO546" s="143"/>
      <c r="AP546" s="143"/>
      <c r="AQ546" s="143"/>
      <c r="AR546" s="143"/>
      <c r="AS546" s="143"/>
      <c r="AT546" s="143"/>
    </row>
    <row r="547" spans="1:46" ht="15" customHeight="1">
      <c r="A547" s="807" t="str">
        <f>+input!B113</f>
        <v>225i</v>
      </c>
      <c r="B547" s="814">
        <f>+input!CN113</f>
        <v>100072715.43821304</v>
      </c>
      <c r="C547" s="814">
        <f>+input!CO113</f>
        <v>131749469.3556883</v>
      </c>
      <c r="D547" s="814">
        <f>+input!CV113</f>
        <v>100072715.43821304</v>
      </c>
      <c r="E547" s="814">
        <f>+input!CW113</f>
        <v>131749469.3556883</v>
      </c>
      <c r="F547" s="814">
        <f>input!DD113</f>
        <v>100072715.43821304</v>
      </c>
      <c r="G547" s="814">
        <f>+input!DE113</f>
        <v>131749469.3556883</v>
      </c>
      <c r="H547" s="814">
        <f>+input!DL113</f>
        <v>886979445.60212898</v>
      </c>
      <c r="I547" s="814">
        <f>+input!DM113</f>
        <v>177613227.7947599</v>
      </c>
      <c r="J547" s="814">
        <f>+input!DT113</f>
        <v>335136536.81743681</v>
      </c>
      <c r="K547" s="814">
        <f>+input!DU113</f>
        <v>165334447.28401071</v>
      </c>
      <c r="L547" s="814">
        <f>+input!EB113</f>
        <v>136197439.64664793</v>
      </c>
      <c r="M547" s="814">
        <f>+input!EC113</f>
        <v>142845229.80147487</v>
      </c>
      <c r="N547" s="814">
        <f>+input!EJ113</f>
        <v>112044615.96016069</v>
      </c>
      <c r="O547" s="816">
        <f>+input!EK113</f>
        <v>136003722.8356832</v>
      </c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J547" s="143"/>
      <c r="AK547" s="143"/>
      <c r="AL547" s="143"/>
      <c r="AM547" s="143"/>
      <c r="AN547" s="143"/>
      <c r="AO547" s="143"/>
      <c r="AP547" s="143"/>
      <c r="AQ547" s="143"/>
      <c r="AR547" s="143"/>
      <c r="AS547" s="143"/>
      <c r="AT547" s="143"/>
    </row>
    <row r="548" spans="1:46" ht="15" customHeight="1">
      <c r="A548" s="807" t="str">
        <f>+input!B114</f>
        <v>225j</v>
      </c>
      <c r="B548" s="814">
        <f>+input!CN114</f>
        <v>100072715.43821304</v>
      </c>
      <c r="C548" s="814">
        <f>+input!CO114</f>
        <v>131749469.3556883</v>
      </c>
      <c r="D548" s="814">
        <f>+input!CV114</f>
        <v>100072715.43821304</v>
      </c>
      <c r="E548" s="814">
        <f>+input!CW114</f>
        <v>131749469.3556883</v>
      </c>
      <c r="F548" s="814">
        <f>input!DD114</f>
        <v>100072715.43821304</v>
      </c>
      <c r="G548" s="814">
        <f>+input!DE114</f>
        <v>131749469.3556883</v>
      </c>
      <c r="H548" s="814">
        <f>+input!DL114</f>
        <v>886979445.60212898</v>
      </c>
      <c r="I548" s="814">
        <f>+input!DM114</f>
        <v>177613227.7947599</v>
      </c>
      <c r="J548" s="814">
        <f>+input!DT114</f>
        <v>335136536.81743681</v>
      </c>
      <c r="K548" s="814">
        <f>+input!DU114</f>
        <v>165334447.28401071</v>
      </c>
      <c r="L548" s="814">
        <f>+input!EB114</f>
        <v>136197439.64664793</v>
      </c>
      <c r="M548" s="814">
        <f>+input!EC114</f>
        <v>142845229.80147487</v>
      </c>
      <c r="N548" s="814">
        <f>+input!EJ114</f>
        <v>112044615.96016069</v>
      </c>
      <c r="O548" s="816">
        <f>+input!EK114</f>
        <v>136003722.8356832</v>
      </c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J548" s="143"/>
      <c r="AK548" s="143"/>
      <c r="AL548" s="143"/>
      <c r="AM548" s="143"/>
      <c r="AN548" s="143"/>
      <c r="AO548" s="143"/>
      <c r="AP548" s="143"/>
      <c r="AQ548" s="143"/>
      <c r="AR548" s="143"/>
      <c r="AS548" s="143"/>
      <c r="AT548" s="143"/>
    </row>
    <row r="549" spans="1:46" ht="15" customHeight="1">
      <c r="A549" s="807" t="str">
        <f>+input!B115</f>
        <v>226i</v>
      </c>
      <c r="B549" s="814">
        <f>+input!CN115</f>
        <v>100072715.43821304</v>
      </c>
      <c r="C549" s="814">
        <f>+input!CO115</f>
        <v>131749469.3556883</v>
      </c>
      <c r="D549" s="814">
        <f>+input!CV115</f>
        <v>100072715.43821304</v>
      </c>
      <c r="E549" s="814">
        <f>+input!CW115</f>
        <v>131749469.3556883</v>
      </c>
      <c r="F549" s="814">
        <f>input!DD115</f>
        <v>100072715.43821304</v>
      </c>
      <c r="G549" s="814">
        <f>+input!DE115</f>
        <v>131749469.3556883</v>
      </c>
      <c r="H549" s="814">
        <f>+input!DL115</f>
        <v>886979445.60212898</v>
      </c>
      <c r="I549" s="814">
        <f>+input!DM115</f>
        <v>177613227.7947599</v>
      </c>
      <c r="J549" s="814">
        <f>+input!DT115</f>
        <v>335136536.81743681</v>
      </c>
      <c r="K549" s="814">
        <f>+input!DU115</f>
        <v>165334447.28401071</v>
      </c>
      <c r="L549" s="814">
        <f>+input!EB115</f>
        <v>136197439.64664793</v>
      </c>
      <c r="M549" s="814">
        <f>+input!EC115</f>
        <v>142845229.80147487</v>
      </c>
      <c r="N549" s="814">
        <f>+input!EJ115</f>
        <v>112044615.96016069</v>
      </c>
      <c r="O549" s="816">
        <f>+input!EK115</f>
        <v>136003722.8356832</v>
      </c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J549" s="143"/>
      <c r="AK549" s="143"/>
      <c r="AL549" s="143"/>
      <c r="AM549" s="143"/>
      <c r="AN549" s="143"/>
      <c r="AO549" s="143"/>
      <c r="AP549" s="143"/>
      <c r="AQ549" s="143"/>
      <c r="AR549" s="143"/>
      <c r="AS549" s="143"/>
      <c r="AT549" s="143"/>
    </row>
    <row r="550" spans="1:46" ht="15" customHeight="1">
      <c r="A550" s="807" t="str">
        <f>+input!B116</f>
        <v>226j</v>
      </c>
      <c r="B550" s="814">
        <f>+input!CN116</f>
        <v>100072715.43821304</v>
      </c>
      <c r="C550" s="814">
        <f>+input!CO116</f>
        <v>131749469.3556883</v>
      </c>
      <c r="D550" s="814">
        <f>+input!CV116</f>
        <v>100072715.43821304</v>
      </c>
      <c r="E550" s="814">
        <f>+input!CW116</f>
        <v>131749469.3556883</v>
      </c>
      <c r="F550" s="814">
        <f>input!DD116</f>
        <v>100072715.43821304</v>
      </c>
      <c r="G550" s="814">
        <f>+input!DE116</f>
        <v>131749469.3556883</v>
      </c>
      <c r="H550" s="814">
        <f>+input!DL116</f>
        <v>886979445.60212898</v>
      </c>
      <c r="I550" s="814">
        <f>+input!DM116</f>
        <v>177613227.7947599</v>
      </c>
      <c r="J550" s="814">
        <f>+input!DT116</f>
        <v>335136536.81743681</v>
      </c>
      <c r="K550" s="814">
        <f>+input!DU116</f>
        <v>165334447.28401071</v>
      </c>
      <c r="L550" s="814">
        <f>+input!EB116</f>
        <v>136197439.64664793</v>
      </c>
      <c r="M550" s="814">
        <f>+input!EC116</f>
        <v>142845229.80147487</v>
      </c>
      <c r="N550" s="814">
        <f>+input!EJ116</f>
        <v>112044615.96016069</v>
      </c>
      <c r="O550" s="816">
        <f>+input!EK116</f>
        <v>136003722.8356832</v>
      </c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J550" s="143"/>
      <c r="AK550" s="143"/>
      <c r="AL550" s="143"/>
      <c r="AM550" s="143"/>
      <c r="AN550" s="143"/>
      <c r="AO550" s="143"/>
      <c r="AP550" s="143"/>
      <c r="AQ550" s="143"/>
      <c r="AR550" s="143"/>
      <c r="AS550" s="143"/>
      <c r="AT550" s="143"/>
    </row>
    <row r="551" spans="1:46" ht="15" customHeight="1">
      <c r="A551" s="807" t="str">
        <f>+input!B117</f>
        <v>227i</v>
      </c>
      <c r="B551" s="814">
        <f>+input!CN117</f>
        <v>93366829.417468861</v>
      </c>
      <c r="C551" s="814">
        <f>+input!CO117</f>
        <v>97688095.893257305</v>
      </c>
      <c r="D551" s="814">
        <f>+input!CV117</f>
        <v>93366829.417468861</v>
      </c>
      <c r="E551" s="814">
        <f>+input!CW117</f>
        <v>97688095.893257305</v>
      </c>
      <c r="F551" s="814">
        <f>input!DD117</f>
        <v>93366829.417468861</v>
      </c>
      <c r="G551" s="814">
        <f>+input!DE117</f>
        <v>97688095.893257305</v>
      </c>
      <c r="H551" s="814">
        <f>+input!DL117</f>
        <v>885577977.09948206</v>
      </c>
      <c r="I551" s="814">
        <f>+input!DM117</f>
        <v>134159589.53411455</v>
      </c>
      <c r="J551" s="814">
        <f>+input!DT117</f>
        <v>322245578.76253772</v>
      </c>
      <c r="K551" s="814">
        <f>+input!DU117</f>
        <v>124365864.04665887</v>
      </c>
      <c r="L551" s="814">
        <f>+input!EB117</f>
        <v>128170348.25213701</v>
      </c>
      <c r="M551" s="814">
        <f>+input!EC117</f>
        <v>106517321.21679069</v>
      </c>
      <c r="N551" s="814">
        <f>+input!EJ117</f>
        <v>104882870.39911303</v>
      </c>
      <c r="O551" s="816">
        <f>+input!EK117</f>
        <v>101074301.92638281</v>
      </c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J551" s="143"/>
      <c r="AK551" s="143"/>
      <c r="AL551" s="143"/>
      <c r="AM551" s="143"/>
      <c r="AN551" s="143"/>
      <c r="AO551" s="143"/>
      <c r="AP551" s="143"/>
      <c r="AQ551" s="143"/>
      <c r="AR551" s="143"/>
      <c r="AS551" s="143"/>
      <c r="AT551" s="143"/>
    </row>
    <row r="552" spans="1:46" ht="15" customHeight="1">
      <c r="A552" s="807" t="str">
        <f>+input!B118</f>
        <v>227j</v>
      </c>
      <c r="B552" s="814">
        <f>+input!CN118</f>
        <v>93366829.417468861</v>
      </c>
      <c r="C552" s="814">
        <f>+input!CO118</f>
        <v>97688095.893257305</v>
      </c>
      <c r="D552" s="814">
        <f>+input!CV118</f>
        <v>93366829.417468861</v>
      </c>
      <c r="E552" s="814">
        <f>+input!CW118</f>
        <v>97688095.893257305</v>
      </c>
      <c r="F552" s="814">
        <f>input!DD118</f>
        <v>93366829.417468861</v>
      </c>
      <c r="G552" s="814">
        <f>+input!DE118</f>
        <v>97688095.893257305</v>
      </c>
      <c r="H552" s="814">
        <f>+input!DL118</f>
        <v>885577977.09948206</v>
      </c>
      <c r="I552" s="814">
        <f>+input!DM118</f>
        <v>134159589.53411455</v>
      </c>
      <c r="J552" s="814">
        <f>+input!DT118</f>
        <v>322245578.76253772</v>
      </c>
      <c r="K552" s="814">
        <f>+input!DU118</f>
        <v>124365864.04665887</v>
      </c>
      <c r="L552" s="814">
        <f>+input!EB118</f>
        <v>128170348.25213701</v>
      </c>
      <c r="M552" s="814">
        <f>+input!EC118</f>
        <v>106517321.21679069</v>
      </c>
      <c r="N552" s="814">
        <f>+input!EJ118</f>
        <v>104882870.39911303</v>
      </c>
      <c r="O552" s="816">
        <f>+input!EK118</f>
        <v>101074301.92638281</v>
      </c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J552" s="143"/>
      <c r="AK552" s="143"/>
      <c r="AL552" s="143"/>
      <c r="AM552" s="143"/>
      <c r="AN552" s="143"/>
      <c r="AO552" s="143"/>
      <c r="AP552" s="143"/>
      <c r="AQ552" s="143"/>
      <c r="AR552" s="143"/>
      <c r="AS552" s="143"/>
      <c r="AT552" s="143"/>
    </row>
    <row r="553" spans="1:46" ht="15" customHeight="1">
      <c r="A553" s="807" t="str">
        <f>+input!B119</f>
        <v>228i</v>
      </c>
      <c r="B553" s="814">
        <f>+input!CN119</f>
        <v>93366829.417468861</v>
      </c>
      <c r="C553" s="814">
        <f>+input!CO119</f>
        <v>97688095.893257305</v>
      </c>
      <c r="D553" s="814">
        <f>+input!CV119</f>
        <v>93366829.417468861</v>
      </c>
      <c r="E553" s="814">
        <f>+input!CW119</f>
        <v>97688095.893257305</v>
      </c>
      <c r="F553" s="814">
        <f>input!DD119</f>
        <v>93366829.417468861</v>
      </c>
      <c r="G553" s="814">
        <f>+input!DE119</f>
        <v>97688095.893257305</v>
      </c>
      <c r="H553" s="814">
        <f>+input!DL119</f>
        <v>885577977.09948206</v>
      </c>
      <c r="I553" s="814">
        <f>+input!DM119</f>
        <v>134159589.53411455</v>
      </c>
      <c r="J553" s="814">
        <f>+input!DT119</f>
        <v>322245578.76253772</v>
      </c>
      <c r="K553" s="814">
        <f>+input!DU119</f>
        <v>124365864.04665887</v>
      </c>
      <c r="L553" s="814">
        <f>+input!EB119</f>
        <v>128170348.25213701</v>
      </c>
      <c r="M553" s="814">
        <f>+input!EC119</f>
        <v>106517321.21679069</v>
      </c>
      <c r="N553" s="814">
        <f>+input!EJ119</f>
        <v>104882870.39911303</v>
      </c>
      <c r="O553" s="816">
        <f>+input!EK119</f>
        <v>101074301.92638281</v>
      </c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J553" s="143"/>
      <c r="AK553" s="143"/>
      <c r="AL553" s="143"/>
      <c r="AM553" s="143"/>
      <c r="AN553" s="143"/>
      <c r="AO553" s="143"/>
      <c r="AP553" s="143"/>
      <c r="AQ553" s="143"/>
      <c r="AR553" s="143"/>
      <c r="AS553" s="143"/>
      <c r="AT553" s="143"/>
    </row>
    <row r="554" spans="1:46" ht="15" customHeight="1">
      <c r="A554" s="807" t="str">
        <f>+input!B120</f>
        <v>228j</v>
      </c>
      <c r="B554" s="814">
        <f>+input!CN120</f>
        <v>93366829.417468861</v>
      </c>
      <c r="C554" s="814">
        <f>+input!CO120</f>
        <v>97688095.893257305</v>
      </c>
      <c r="D554" s="814">
        <f>+input!CV120</f>
        <v>93366829.417468861</v>
      </c>
      <c r="E554" s="814">
        <f>+input!CW120</f>
        <v>97688095.893257305</v>
      </c>
      <c r="F554" s="814">
        <f>input!DD120</f>
        <v>93366829.417468861</v>
      </c>
      <c r="G554" s="814">
        <f>+input!DE120</f>
        <v>97688095.893257305</v>
      </c>
      <c r="H554" s="814">
        <f>+input!DL120</f>
        <v>885577977.09948206</v>
      </c>
      <c r="I554" s="814">
        <f>+input!DM120</f>
        <v>134159589.53411455</v>
      </c>
      <c r="J554" s="814">
        <f>+input!DT120</f>
        <v>322245578.76253772</v>
      </c>
      <c r="K554" s="814">
        <f>+input!DU120</f>
        <v>124365864.04665887</v>
      </c>
      <c r="L554" s="814">
        <f>+input!EB120</f>
        <v>128170348.25213701</v>
      </c>
      <c r="M554" s="814">
        <f>+input!EC120</f>
        <v>106517321.21679069</v>
      </c>
      <c r="N554" s="814">
        <f>+input!EJ120</f>
        <v>104882870.39911303</v>
      </c>
      <c r="O554" s="816">
        <f>+input!EK120</f>
        <v>101074301.92638281</v>
      </c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J554" s="143"/>
      <c r="AK554" s="143"/>
      <c r="AL554" s="143"/>
      <c r="AM554" s="143"/>
      <c r="AN554" s="143"/>
      <c r="AO554" s="143"/>
      <c r="AP554" s="143"/>
      <c r="AQ554" s="143"/>
      <c r="AR554" s="143"/>
      <c r="AS554" s="143"/>
      <c r="AT554" s="143"/>
    </row>
    <row r="555" spans="1:46" ht="15" customHeight="1">
      <c r="A555" s="807" t="str">
        <f>+input!B121</f>
        <v>229i</v>
      </c>
      <c r="B555" s="814">
        <f>+input!CN121</f>
        <v>93366829.417468861</v>
      </c>
      <c r="C555" s="814">
        <f>+input!CO121</f>
        <v>97688095.893257305</v>
      </c>
      <c r="D555" s="814">
        <f>+input!CV121</f>
        <v>93366829.417468861</v>
      </c>
      <c r="E555" s="814">
        <f>+input!CW121</f>
        <v>97688095.893257305</v>
      </c>
      <c r="F555" s="814">
        <f>input!DD121</f>
        <v>93366829.417468861</v>
      </c>
      <c r="G555" s="814">
        <f>+input!DE121</f>
        <v>97688095.893257305</v>
      </c>
      <c r="H555" s="814">
        <f>+input!DL121</f>
        <v>885577977.09948206</v>
      </c>
      <c r="I555" s="814">
        <f>+input!DM121</f>
        <v>134159589.53411455</v>
      </c>
      <c r="J555" s="814">
        <f>+input!DT121</f>
        <v>322245578.76253772</v>
      </c>
      <c r="K555" s="814">
        <f>+input!DU121</f>
        <v>124365864.04665887</v>
      </c>
      <c r="L555" s="814">
        <f>+input!EB121</f>
        <v>128170348.25213701</v>
      </c>
      <c r="M555" s="814">
        <f>+input!EC121</f>
        <v>106517321.21679069</v>
      </c>
      <c r="N555" s="814">
        <f>+input!EJ121</f>
        <v>104882870.39911303</v>
      </c>
      <c r="O555" s="816">
        <f>+input!EK121</f>
        <v>101074301.92638281</v>
      </c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J555" s="143"/>
      <c r="AK555" s="143"/>
      <c r="AL555" s="143"/>
      <c r="AM555" s="143"/>
      <c r="AN555" s="143"/>
      <c r="AO555" s="143"/>
      <c r="AP555" s="143"/>
      <c r="AQ555" s="143"/>
      <c r="AR555" s="143"/>
      <c r="AS555" s="143"/>
      <c r="AT555" s="143"/>
    </row>
    <row r="556" spans="1:46" ht="15" customHeight="1">
      <c r="A556" s="807" t="str">
        <f>+input!B122</f>
        <v>229j</v>
      </c>
      <c r="B556" s="814">
        <f>+input!CN122</f>
        <v>93366829.417468861</v>
      </c>
      <c r="C556" s="814">
        <f>+input!CO122</f>
        <v>97688095.893257305</v>
      </c>
      <c r="D556" s="814">
        <f>+input!CV122</f>
        <v>93366829.417468861</v>
      </c>
      <c r="E556" s="814">
        <f>+input!CW122</f>
        <v>97688095.893257305</v>
      </c>
      <c r="F556" s="814">
        <f>input!DD122</f>
        <v>93366829.417468861</v>
      </c>
      <c r="G556" s="814">
        <f>+input!DE122</f>
        <v>97688095.893257305</v>
      </c>
      <c r="H556" s="814">
        <f>+input!DL122</f>
        <v>885577977.09948206</v>
      </c>
      <c r="I556" s="814">
        <f>+input!DM122</f>
        <v>134159589.53411455</v>
      </c>
      <c r="J556" s="814">
        <f>+input!DT122</f>
        <v>322245578.76253772</v>
      </c>
      <c r="K556" s="814">
        <f>+input!DU122</f>
        <v>124365864.04665887</v>
      </c>
      <c r="L556" s="814">
        <f>+input!EB122</f>
        <v>128170348.25213701</v>
      </c>
      <c r="M556" s="814">
        <f>+input!EC122</f>
        <v>106517321.21679069</v>
      </c>
      <c r="N556" s="814">
        <f>+input!EJ122</f>
        <v>104882870.39911303</v>
      </c>
      <c r="O556" s="816">
        <f>+input!EK122</f>
        <v>101074301.92638281</v>
      </c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J556" s="143"/>
      <c r="AK556" s="143"/>
      <c r="AL556" s="143"/>
      <c r="AM556" s="143"/>
      <c r="AN556" s="143"/>
      <c r="AO556" s="143"/>
      <c r="AP556" s="143"/>
      <c r="AQ556" s="143"/>
      <c r="AR556" s="143"/>
      <c r="AS556" s="143"/>
      <c r="AT556" s="143"/>
    </row>
    <row r="557" spans="1:46" ht="15" customHeight="1">
      <c r="A557" s="807" t="str">
        <f>+input!B123</f>
        <v>230i</v>
      </c>
      <c r="B557" s="814">
        <f>+input!CN123</f>
        <v>84522352.757101402</v>
      </c>
      <c r="C557" s="814">
        <f>+input!CO123</f>
        <v>88583555.468092635</v>
      </c>
      <c r="D557" s="814">
        <f>+input!CV123</f>
        <v>84522352.757101402</v>
      </c>
      <c r="E557" s="814">
        <f>+input!CW123</f>
        <v>88583555.468092635</v>
      </c>
      <c r="F557" s="814">
        <f>input!DD123</f>
        <v>84522352.757101402</v>
      </c>
      <c r="G557" s="814">
        <f>+input!DE123</f>
        <v>88583555.468092635</v>
      </c>
      <c r="H557" s="814">
        <f>+input!DL123</f>
        <v>845992348.55069911</v>
      </c>
      <c r="I557" s="814">
        <f>+input!DM123</f>
        <v>121239034.15901999</v>
      </c>
      <c r="J557" s="814">
        <f>+input!DT123</f>
        <v>300416977.63860393</v>
      </c>
      <c r="K557" s="814">
        <f>+input!DU123</f>
        <v>112623720.49022205</v>
      </c>
      <c r="L557" s="814">
        <f>+input!EB123</f>
        <v>117477337.6892875</v>
      </c>
      <c r="M557" s="814">
        <f>+input!EC123</f>
        <v>96736870.398520574</v>
      </c>
      <c r="N557" s="814">
        <f>+input!EJ123</f>
        <v>95416677.97770752</v>
      </c>
      <c r="O557" s="816">
        <f>+input!EK123</f>
        <v>91728562.636820614</v>
      </c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J557" s="143"/>
      <c r="AK557" s="143"/>
      <c r="AL557" s="143"/>
      <c r="AM557" s="143"/>
      <c r="AN557" s="143"/>
      <c r="AO557" s="143"/>
      <c r="AP557" s="143"/>
      <c r="AQ557" s="143"/>
      <c r="AR557" s="143"/>
      <c r="AS557" s="143"/>
      <c r="AT557" s="143"/>
    </row>
    <row r="558" spans="1:46" ht="15" customHeight="1">
      <c r="A558" s="807" t="str">
        <f>+input!B124</f>
        <v>230j</v>
      </c>
      <c r="B558" s="814">
        <f>+input!CN124</f>
        <v>84522352.757101402</v>
      </c>
      <c r="C558" s="814">
        <f>+input!CO124</f>
        <v>88583555.468092635</v>
      </c>
      <c r="D558" s="814">
        <f>+input!CV124</f>
        <v>84522352.757101402</v>
      </c>
      <c r="E558" s="814">
        <f>+input!CW124</f>
        <v>88583555.468092635</v>
      </c>
      <c r="F558" s="814">
        <f>input!DD124</f>
        <v>84522352.757101402</v>
      </c>
      <c r="G558" s="814">
        <f>+input!DE124</f>
        <v>88583555.468092635</v>
      </c>
      <c r="H558" s="814">
        <f>+input!DL124</f>
        <v>845992348.55069911</v>
      </c>
      <c r="I558" s="814">
        <f>+input!DM124</f>
        <v>121239034.15901999</v>
      </c>
      <c r="J558" s="814">
        <f>+input!DT124</f>
        <v>300416977.63860393</v>
      </c>
      <c r="K558" s="814">
        <f>+input!DU124</f>
        <v>112623720.49022205</v>
      </c>
      <c r="L558" s="814">
        <f>+input!EB124</f>
        <v>117477337.6892875</v>
      </c>
      <c r="M558" s="814">
        <f>+input!EC124</f>
        <v>96736870.398520574</v>
      </c>
      <c r="N558" s="814">
        <f>+input!EJ124</f>
        <v>95416677.97770752</v>
      </c>
      <c r="O558" s="816">
        <f>+input!EK124</f>
        <v>91728562.636820614</v>
      </c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J558" s="143"/>
      <c r="AK558" s="143"/>
      <c r="AL558" s="143"/>
      <c r="AM558" s="143"/>
      <c r="AN558" s="143"/>
      <c r="AO558" s="143"/>
      <c r="AP558" s="143"/>
      <c r="AQ558" s="143"/>
      <c r="AR558" s="143"/>
      <c r="AS558" s="143"/>
      <c r="AT558" s="143"/>
    </row>
    <row r="559" spans="1:46" ht="15" customHeight="1">
      <c r="A559" s="807" t="str">
        <f>+input!B125</f>
        <v>231i</v>
      </c>
      <c r="B559" s="814">
        <f>+input!CN125</f>
        <v>84522352.757101402</v>
      </c>
      <c r="C559" s="814">
        <f>+input!CO125</f>
        <v>88583555.468092635</v>
      </c>
      <c r="D559" s="814">
        <f>+input!CV125</f>
        <v>84522352.757101402</v>
      </c>
      <c r="E559" s="814">
        <f>+input!CW125</f>
        <v>88583555.468092635</v>
      </c>
      <c r="F559" s="814">
        <f>input!DD125</f>
        <v>84522352.757101402</v>
      </c>
      <c r="G559" s="814">
        <f>+input!DE125</f>
        <v>88583555.468092635</v>
      </c>
      <c r="H559" s="814">
        <f>+input!DL125</f>
        <v>845992348.55069911</v>
      </c>
      <c r="I559" s="814">
        <f>+input!DM125</f>
        <v>121239034.15901999</v>
      </c>
      <c r="J559" s="814">
        <f>+input!DT125</f>
        <v>300416977.63860393</v>
      </c>
      <c r="K559" s="814">
        <f>+input!DU125</f>
        <v>112623720.49022205</v>
      </c>
      <c r="L559" s="814">
        <f>+input!EB125</f>
        <v>117477337.6892875</v>
      </c>
      <c r="M559" s="814">
        <f>+input!EC125</f>
        <v>96736870.398520574</v>
      </c>
      <c r="N559" s="814">
        <f>+input!EJ125</f>
        <v>95416677.97770752</v>
      </c>
      <c r="O559" s="816">
        <f>+input!EK125</f>
        <v>91728562.636820614</v>
      </c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J559" s="143"/>
      <c r="AK559" s="143"/>
      <c r="AL559" s="143"/>
      <c r="AM559" s="143"/>
      <c r="AN559" s="143"/>
      <c r="AO559" s="143"/>
      <c r="AP559" s="143"/>
      <c r="AQ559" s="143"/>
      <c r="AR559" s="143"/>
      <c r="AS559" s="143"/>
      <c r="AT559" s="143"/>
    </row>
    <row r="560" spans="1:46" ht="15" customHeight="1" thickBot="1">
      <c r="A560" s="915" t="str">
        <f>+input!B126</f>
        <v>231j</v>
      </c>
      <c r="B560" s="916">
        <f>+input!CN126</f>
        <v>84522352.757101402</v>
      </c>
      <c r="C560" s="916">
        <f>+input!CO126</f>
        <v>88583555.468092635</v>
      </c>
      <c r="D560" s="916">
        <f>+input!CV126</f>
        <v>84522352.757101402</v>
      </c>
      <c r="E560" s="916">
        <f>+input!CW126</f>
        <v>88583555.468092635</v>
      </c>
      <c r="F560" s="916">
        <f>input!DD126</f>
        <v>84522352.757101402</v>
      </c>
      <c r="G560" s="916">
        <f>+input!DE126</f>
        <v>88583555.468092635</v>
      </c>
      <c r="H560" s="916">
        <f>+input!DL126</f>
        <v>845992348.55069911</v>
      </c>
      <c r="I560" s="916">
        <f>+input!DM126</f>
        <v>121239034.15901999</v>
      </c>
      <c r="J560" s="916">
        <f>+input!DT126</f>
        <v>300416977.63860393</v>
      </c>
      <c r="K560" s="916">
        <f>+input!DU126</f>
        <v>112623720.49022205</v>
      </c>
      <c r="L560" s="916">
        <f>+input!EB126</f>
        <v>117477337.6892875</v>
      </c>
      <c r="M560" s="916">
        <f>+input!EC126</f>
        <v>96736870.398520574</v>
      </c>
      <c r="N560" s="916">
        <f>+input!EJ126</f>
        <v>95416677.97770752</v>
      </c>
      <c r="O560" s="917">
        <f>+input!EK126</f>
        <v>91728562.636820614</v>
      </c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J560" s="143"/>
      <c r="AK560" s="143"/>
      <c r="AL560" s="143"/>
      <c r="AM560" s="143"/>
      <c r="AN560" s="143"/>
      <c r="AO560" s="143"/>
      <c r="AP560" s="143"/>
      <c r="AQ560" s="143"/>
      <c r="AR560" s="143"/>
      <c r="AS560" s="143"/>
      <c r="AT560" s="143"/>
    </row>
    <row r="563" spans="1:46" ht="15" customHeight="1" thickBot="1">
      <c r="A563" s="468" t="s">
        <v>1651</v>
      </c>
      <c r="L563" s="143"/>
      <c r="X563" s="143"/>
      <c r="Z563" s="143"/>
      <c r="AC563" s="143"/>
    </row>
    <row r="564" spans="1:46" ht="15" customHeight="1">
      <c r="A564" s="1898" t="s">
        <v>16</v>
      </c>
      <c r="B564" s="1905" t="s">
        <v>785</v>
      </c>
      <c r="C564" s="1906"/>
      <c r="D564" s="1905" t="s">
        <v>791</v>
      </c>
      <c r="E564" s="1906"/>
      <c r="F564" s="1905" t="s">
        <v>651</v>
      </c>
      <c r="G564" s="1906"/>
      <c r="H564" s="1905" t="s">
        <v>852</v>
      </c>
      <c r="I564" s="1906"/>
      <c r="J564" s="1905" t="s">
        <v>1662</v>
      </c>
      <c r="K564" s="1906"/>
      <c r="L564" s="1910" t="s">
        <v>1913</v>
      </c>
      <c r="M564" s="1911"/>
      <c r="N564" s="1911"/>
      <c r="O564" s="1912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C564" s="143"/>
      <c r="AJ564" s="143"/>
      <c r="AK564" s="143"/>
      <c r="AL564" s="143"/>
      <c r="AM564" s="143"/>
      <c r="AN564" s="143"/>
      <c r="AO564" s="143"/>
      <c r="AP564" s="143"/>
      <c r="AQ564" s="143"/>
      <c r="AR564" s="143"/>
      <c r="AS564" s="143"/>
      <c r="AT564" s="143"/>
    </row>
    <row r="565" spans="1:46" ht="15" customHeight="1">
      <c r="A565" s="1899"/>
      <c r="B565" s="1907" t="s">
        <v>786</v>
      </c>
      <c r="C565" s="1908"/>
      <c r="D565" s="1907" t="s">
        <v>788</v>
      </c>
      <c r="E565" s="1908"/>
      <c r="F565" s="1907" t="s">
        <v>789</v>
      </c>
      <c r="G565" s="1908"/>
      <c r="H565" s="1907" t="s">
        <v>790</v>
      </c>
      <c r="I565" s="1908"/>
      <c r="J565" s="1907" t="s">
        <v>848</v>
      </c>
      <c r="K565" s="1908"/>
      <c r="L565" s="1916" t="s">
        <v>858</v>
      </c>
      <c r="M565" s="1917"/>
      <c r="N565" s="1914" t="s">
        <v>857</v>
      </c>
      <c r="O565" s="1915"/>
      <c r="V565" s="156"/>
      <c r="Z565" s="507" t="s">
        <v>1452</v>
      </c>
      <c r="AA565" s="73"/>
      <c r="AB565" s="73"/>
      <c r="AC565" s="76" t="s">
        <v>1453</v>
      </c>
      <c r="AD565" s="73"/>
      <c r="AE565" s="73"/>
      <c r="AF565" s="73"/>
      <c r="AJ565" s="143"/>
      <c r="AK565" s="143"/>
      <c r="AL565" s="143"/>
      <c r="AM565" s="143"/>
      <c r="AN565" s="143"/>
      <c r="AO565" s="143"/>
      <c r="AP565" s="143"/>
      <c r="AQ565" s="143"/>
      <c r="AR565" s="143"/>
      <c r="AS565" s="143"/>
      <c r="AT565" s="143"/>
    </row>
    <row r="566" spans="1:46" ht="15" customHeight="1">
      <c r="A566" s="1900"/>
      <c r="B566" s="657" t="s">
        <v>231</v>
      </c>
      <c r="C566" s="621" t="s">
        <v>232</v>
      </c>
      <c r="D566" s="736" t="s">
        <v>231</v>
      </c>
      <c r="E566" s="737" t="s">
        <v>232</v>
      </c>
      <c r="F566" s="657" t="s">
        <v>231</v>
      </c>
      <c r="G566" s="621" t="s">
        <v>232</v>
      </c>
      <c r="H566" s="736" t="s">
        <v>231</v>
      </c>
      <c r="I566" s="621" t="s">
        <v>232</v>
      </c>
      <c r="J566" s="736" t="s">
        <v>231</v>
      </c>
      <c r="K566" s="737" t="s">
        <v>232</v>
      </c>
      <c r="L566" s="657" t="s">
        <v>231</v>
      </c>
      <c r="M566" s="621" t="s">
        <v>232</v>
      </c>
      <c r="N566" s="621" t="s">
        <v>231</v>
      </c>
      <c r="O566" s="632" t="s">
        <v>232</v>
      </c>
      <c r="V566" s="156"/>
      <c r="Z566" s="73"/>
      <c r="AA566" s="73"/>
      <c r="AB566" s="73"/>
      <c r="AC566" s="73" t="s">
        <v>1454</v>
      </c>
      <c r="AD566" s="73"/>
      <c r="AE566" s="73"/>
      <c r="AF566" s="73"/>
      <c r="AJ566" s="143"/>
      <c r="AK566" s="143"/>
      <c r="AL566" s="143"/>
      <c r="AM566" s="143"/>
      <c r="AN566" s="143"/>
      <c r="AO566" s="143"/>
      <c r="AP566" s="143"/>
      <c r="AQ566" s="143"/>
      <c r="AR566" s="143"/>
      <c r="AS566" s="143"/>
      <c r="AT566" s="143"/>
    </row>
    <row r="567" spans="1:46" ht="15" customHeight="1">
      <c r="A567" s="528" t="str">
        <f>+input!B3</f>
        <v>101i</v>
      </c>
      <c r="B567" s="827">
        <f t="shared" ref="B567:B598" si="0">-E49/B437*10^6</f>
        <v>0</v>
      </c>
      <c r="C567" s="527">
        <f t="shared" ref="C567:C598" si="1">E49/C437*10^6</f>
        <v>0</v>
      </c>
      <c r="D567" s="825">
        <f t="shared" ref="D567:D598" si="2">-F49/B437*10^6</f>
        <v>0</v>
      </c>
      <c r="E567" s="826">
        <f t="shared" ref="E567:E598" si="3">F49/C437*10^6</f>
        <v>0</v>
      </c>
      <c r="F567" s="827">
        <f t="shared" ref="F567:F598" si="4">-G49/B437*10^6</f>
        <v>3.4761751346613288E-4</v>
      </c>
      <c r="G567" s="527">
        <f t="shared" ref="G567:G598" si="5">G49/C437*10^6</f>
        <v>-3.1066764924466252E-4</v>
      </c>
      <c r="H567" s="825">
        <f t="shared" ref="H567:H598" si="6">-H49/J437*10^6</f>
        <v>0</v>
      </c>
      <c r="I567" s="527">
        <f t="shared" ref="I567:I598" si="7">H49/K437*10^6</f>
        <v>0</v>
      </c>
      <c r="J567" s="825">
        <f t="shared" ref="J567:J598" si="8">-I49/J437*10^6</f>
        <v>-3.2922812182621031E-5</v>
      </c>
      <c r="K567" s="826">
        <f t="shared" ref="K567:K598" si="9">I49/K437*10^6</f>
        <v>8.1823362748428523E-5</v>
      </c>
      <c r="L567" s="827">
        <f t="shared" ref="L567:L598" si="10">-J49/H437*10^6</f>
        <v>0</v>
      </c>
      <c r="M567" s="527">
        <f t="shared" ref="M567:M598" si="11">J49/I437*10^6</f>
        <v>0</v>
      </c>
      <c r="N567" s="527">
        <f t="shared" ref="N567:N598" si="12">-K49/H437*10^6</f>
        <v>0</v>
      </c>
      <c r="O567" s="824">
        <f t="shared" ref="O567:O598" si="13">K49/I437*10^6</f>
        <v>0</v>
      </c>
      <c r="V567" s="156"/>
      <c r="Z567" s="73"/>
      <c r="AA567" s="73"/>
      <c r="AB567" s="73"/>
      <c r="AC567" s="73"/>
      <c r="AD567" s="73"/>
      <c r="AE567" s="73"/>
      <c r="AF567" s="73"/>
      <c r="AJ567" s="143"/>
      <c r="AK567" s="143"/>
      <c r="AL567" s="143"/>
      <c r="AM567" s="143"/>
      <c r="AN567" s="143"/>
      <c r="AO567" s="143"/>
      <c r="AP567" s="143"/>
      <c r="AQ567" s="143"/>
      <c r="AR567" s="143"/>
      <c r="AS567" s="143"/>
      <c r="AT567" s="143"/>
    </row>
    <row r="568" spans="1:46" ht="15" customHeight="1">
      <c r="A568" s="528" t="str">
        <f>+input!B4</f>
        <v>101j</v>
      </c>
      <c r="B568" s="827">
        <f t="shared" si="0"/>
        <v>2.2247520861832504E-2</v>
      </c>
      <c r="C568" s="527">
        <f t="shared" si="1"/>
        <v>-1.9882729551658401E-2</v>
      </c>
      <c r="D568" s="825">
        <f t="shared" si="2"/>
        <v>0</v>
      </c>
      <c r="E568" s="826">
        <f t="shared" si="3"/>
        <v>0</v>
      </c>
      <c r="F568" s="827">
        <f t="shared" si="4"/>
        <v>0.10208367645455436</v>
      </c>
      <c r="G568" s="527">
        <f t="shared" si="5"/>
        <v>-9.1232732994849228E-2</v>
      </c>
      <c r="H568" s="825">
        <f t="shared" si="6"/>
        <v>4.0165830862797652E-3</v>
      </c>
      <c r="I568" s="527">
        <f t="shared" si="7"/>
        <v>-9.9824502553082783E-3</v>
      </c>
      <c r="J568" s="825">
        <f t="shared" si="8"/>
        <v>3.9507374619145233E-3</v>
      </c>
      <c r="K568" s="826">
        <f t="shared" si="9"/>
        <v>-9.8188035298114214E-3</v>
      </c>
      <c r="L568" s="827">
        <f t="shared" si="10"/>
        <v>0</v>
      </c>
      <c r="M568" s="527">
        <f t="shared" si="11"/>
        <v>0</v>
      </c>
      <c r="N568" s="527">
        <f t="shared" si="12"/>
        <v>0.16974913394002555</v>
      </c>
      <c r="O568" s="824">
        <f t="shared" si="13"/>
        <v>-1.0904262955672464</v>
      </c>
      <c r="V568" s="156"/>
      <c r="Z568" s="507" t="s">
        <v>1455</v>
      </c>
      <c r="AA568" s="73"/>
      <c r="AB568" s="73"/>
      <c r="AC568" s="76" t="s">
        <v>1458</v>
      </c>
      <c r="AD568" s="73"/>
      <c r="AE568" s="73"/>
      <c r="AF568" s="73"/>
      <c r="AJ568" s="143"/>
      <c r="AK568" s="143"/>
      <c r="AL568" s="143"/>
      <c r="AM568" s="143"/>
      <c r="AN568" s="143"/>
      <c r="AO568" s="143"/>
      <c r="AP568" s="143"/>
      <c r="AQ568" s="143"/>
      <c r="AR568" s="143"/>
      <c r="AS568" s="143"/>
      <c r="AT568" s="143"/>
    </row>
    <row r="569" spans="1:46" ht="15" customHeight="1">
      <c r="A569" s="528" t="str">
        <f>+input!B5</f>
        <v>102i</v>
      </c>
      <c r="B569" s="827">
        <f t="shared" si="0"/>
        <v>2.2363393366321212E-2</v>
      </c>
      <c r="C569" s="527">
        <f t="shared" si="1"/>
        <v>-1.9986285434739955E-2</v>
      </c>
      <c r="D569" s="825">
        <f t="shared" si="2"/>
        <v>0</v>
      </c>
      <c r="E569" s="826">
        <f t="shared" si="3"/>
        <v>0</v>
      </c>
      <c r="F569" s="827">
        <f t="shared" si="4"/>
        <v>0.10243129396802048</v>
      </c>
      <c r="G569" s="527">
        <f t="shared" si="5"/>
        <v>-9.1543400644093886E-2</v>
      </c>
      <c r="H569" s="825">
        <f t="shared" si="6"/>
        <v>3.9836602740971451E-3</v>
      </c>
      <c r="I569" s="527">
        <f t="shared" si="7"/>
        <v>-9.9006268925598499E-3</v>
      </c>
      <c r="J569" s="825">
        <f t="shared" si="8"/>
        <v>3.819046213184039E-3</v>
      </c>
      <c r="K569" s="826">
        <f t="shared" si="9"/>
        <v>-9.4915100788177074E-3</v>
      </c>
      <c r="L569" s="827">
        <f t="shared" si="10"/>
        <v>2.3696396166681863E-3</v>
      </c>
      <c r="M569" s="527">
        <f t="shared" si="11"/>
        <v>-1.5221976625493771E-2</v>
      </c>
      <c r="N569" s="527">
        <f t="shared" si="12"/>
        <v>0.16976098213810886</v>
      </c>
      <c r="O569" s="824">
        <f t="shared" si="13"/>
        <v>-1.0905024054503736</v>
      </c>
      <c r="V569" s="156"/>
      <c r="Z569" s="73"/>
      <c r="AA569" s="73"/>
      <c r="AB569" s="73"/>
      <c r="AC569" s="73" t="s">
        <v>1459</v>
      </c>
      <c r="AD569" s="73"/>
      <c r="AE569" s="73"/>
      <c r="AF569" s="73"/>
      <c r="AJ569" s="143"/>
      <c r="AK569" s="143"/>
      <c r="AL569" s="143"/>
      <c r="AM569" s="143"/>
      <c r="AN569" s="143"/>
      <c r="AO569" s="143"/>
      <c r="AP569" s="143"/>
      <c r="AQ569" s="143"/>
      <c r="AR569" s="143"/>
      <c r="AS569" s="143"/>
      <c r="AT569" s="143"/>
    </row>
    <row r="570" spans="1:46" ht="15" customHeight="1">
      <c r="A570" s="528" t="str">
        <f>+input!B6</f>
        <v>102j</v>
      </c>
      <c r="B570" s="827">
        <f t="shared" si="0"/>
        <v>-20.062628917193372</v>
      </c>
      <c r="C570" s="527">
        <f t="shared" si="1"/>
        <v>17.930079820272617</v>
      </c>
      <c r="D570" s="825">
        <f t="shared" si="2"/>
        <v>-2.4564970951606722E-2</v>
      </c>
      <c r="E570" s="826">
        <f t="shared" si="3"/>
        <v>2.1953847213289485E-2</v>
      </c>
      <c r="F570" s="827">
        <f t="shared" si="4"/>
        <v>-41.356403194579293</v>
      </c>
      <c r="G570" s="527">
        <f t="shared" si="5"/>
        <v>36.960440898286741</v>
      </c>
      <c r="H570" s="825">
        <f t="shared" si="6"/>
        <v>-2.7623885561828172</v>
      </c>
      <c r="I570" s="527">
        <f t="shared" si="7"/>
        <v>6.8653892514068939</v>
      </c>
      <c r="J570" s="825">
        <f t="shared" si="8"/>
        <v>-2.4266417175444484</v>
      </c>
      <c r="K570" s="826">
        <f t="shared" si="9"/>
        <v>6.0309545980984209</v>
      </c>
      <c r="L570" s="827">
        <f t="shared" si="10"/>
        <v>-3.6171719374574027</v>
      </c>
      <c r="M570" s="527">
        <f t="shared" si="11"/>
        <v>23.235814549634348</v>
      </c>
      <c r="N570" s="527">
        <f t="shared" si="12"/>
        <v>0.27568387300317682</v>
      </c>
      <c r="O570" s="824">
        <f t="shared" si="13"/>
        <v>-1.7709247606099454</v>
      </c>
      <c r="V570" s="156"/>
      <c r="Z570" s="73"/>
      <c r="AA570" s="73"/>
      <c r="AB570" s="73"/>
      <c r="AC570" s="73"/>
      <c r="AD570" s="73"/>
      <c r="AE570" s="73"/>
      <c r="AF570" s="73"/>
      <c r="AJ570" s="143"/>
      <c r="AK570" s="143"/>
      <c r="AL570" s="143"/>
      <c r="AM570" s="143"/>
      <c r="AN570" s="143"/>
      <c r="AO570" s="143"/>
      <c r="AP570" s="143"/>
      <c r="AQ570" s="143"/>
      <c r="AR570" s="143"/>
      <c r="AS570" s="143"/>
      <c r="AT570" s="143"/>
    </row>
    <row r="571" spans="1:46" ht="15" customHeight="1">
      <c r="A571" s="528" t="str">
        <f>+input!B7</f>
        <v>103i</v>
      </c>
      <c r="B571" s="827">
        <f t="shared" si="0"/>
        <v>-14.597350377281789</v>
      </c>
      <c r="C571" s="527">
        <f t="shared" si="1"/>
        <v>12.6089957588747</v>
      </c>
      <c r="D571" s="825">
        <f t="shared" si="2"/>
        <v>-1.7873308652291683E-2</v>
      </c>
      <c r="E571" s="826">
        <f t="shared" si="3"/>
        <v>1.5438724643106775E-2</v>
      </c>
      <c r="F571" s="827">
        <f t="shared" si="4"/>
        <v>-30.090558196729859</v>
      </c>
      <c r="G571" s="527">
        <f t="shared" si="5"/>
        <v>25.991821178398705</v>
      </c>
      <c r="H571" s="825">
        <f t="shared" si="6"/>
        <v>-2.3818447000339811</v>
      </c>
      <c r="I571" s="527">
        <f t="shared" si="7"/>
        <v>5.0560685413852644</v>
      </c>
      <c r="J571" s="825">
        <f t="shared" si="8"/>
        <v>-2.0923500066194465</v>
      </c>
      <c r="K571" s="826">
        <f t="shared" si="9"/>
        <v>4.4415427445311204</v>
      </c>
      <c r="L571" s="827">
        <f t="shared" si="10"/>
        <v>-3.4135280505823955</v>
      </c>
      <c r="M571" s="527">
        <f t="shared" si="11"/>
        <v>17.187490445780561</v>
      </c>
      <c r="N571" s="527">
        <f t="shared" si="12"/>
        <v>0.26016309145951982</v>
      </c>
      <c r="O571" s="824">
        <f t="shared" si="13"/>
        <v>-1.3099498766510274</v>
      </c>
      <c r="V571" s="156"/>
      <c r="Z571" s="507" t="s">
        <v>1912</v>
      </c>
      <c r="AA571" s="73"/>
      <c r="AB571" s="73"/>
      <c r="AC571" s="76" t="s">
        <v>1460</v>
      </c>
      <c r="AD571" s="73"/>
      <c r="AE571" s="73"/>
      <c r="AF571" s="73"/>
      <c r="AJ571" s="143"/>
      <c r="AK571" s="143"/>
      <c r="AL571" s="143"/>
      <c r="AM571" s="143"/>
      <c r="AN571" s="143"/>
      <c r="AO571" s="143"/>
      <c r="AP571" s="143"/>
      <c r="AQ571" s="143"/>
      <c r="AR571" s="143"/>
      <c r="AS571" s="143"/>
      <c r="AT571" s="143"/>
    </row>
    <row r="572" spans="1:46" ht="15" customHeight="1">
      <c r="A572" s="528" t="str">
        <f>+input!B8</f>
        <v>103j</v>
      </c>
      <c r="B572" s="827">
        <f t="shared" si="0"/>
        <v>-33.58639189138681</v>
      </c>
      <c r="C572" s="527">
        <f t="shared" si="1"/>
        <v>29.011475505410132</v>
      </c>
      <c r="D572" s="825">
        <f t="shared" si="2"/>
        <v>-4.2828494317755546E-2</v>
      </c>
      <c r="E572" s="826">
        <f t="shared" si="3"/>
        <v>3.699467980518039E-2</v>
      </c>
      <c r="F572" s="827">
        <f t="shared" si="4"/>
        <v>-67.723652644726812</v>
      </c>
      <c r="G572" s="527">
        <f t="shared" si="5"/>
        <v>58.498784156188471</v>
      </c>
      <c r="H572" s="825">
        <f t="shared" si="6"/>
        <v>-5.4439082511759329</v>
      </c>
      <c r="I572" s="527">
        <f t="shared" si="7"/>
        <v>11.556073849216792</v>
      </c>
      <c r="J572" s="825">
        <f t="shared" si="8"/>
        <v>-4.7609074349812177</v>
      </c>
      <c r="K572" s="826">
        <f t="shared" si="9"/>
        <v>10.106231657384011</v>
      </c>
      <c r="L572" s="827">
        <f t="shared" si="10"/>
        <v>-7.6163561249017011</v>
      </c>
      <c r="M572" s="527">
        <f t="shared" si="11"/>
        <v>38.349193616872675</v>
      </c>
      <c r="N572" s="527">
        <f t="shared" si="12"/>
        <v>0.47711102267789107</v>
      </c>
      <c r="O572" s="824">
        <f t="shared" si="13"/>
        <v>-2.4023066523369434</v>
      </c>
      <c r="V572" s="156"/>
      <c r="Z572" s="73"/>
      <c r="AA572" s="73"/>
      <c r="AB572" s="73"/>
      <c r="AC572" s="73" t="s">
        <v>1461</v>
      </c>
      <c r="AD572" s="73"/>
      <c r="AE572" s="73"/>
      <c r="AF572" s="73"/>
      <c r="AJ572" s="143"/>
      <c r="AK572" s="143"/>
      <c r="AL572" s="143"/>
      <c r="AM572" s="143"/>
      <c r="AN572" s="143"/>
      <c r="AO572" s="143"/>
      <c r="AP572" s="143"/>
      <c r="AQ572" s="143"/>
      <c r="AR572" s="143"/>
      <c r="AS572" s="143"/>
      <c r="AT572" s="143"/>
    </row>
    <row r="573" spans="1:46" ht="15" customHeight="1">
      <c r="A573" s="528" t="str">
        <f>+input!B9</f>
        <v>104i</v>
      </c>
      <c r="B573" s="827">
        <f t="shared" si="0"/>
        <v>-33.586138967207773</v>
      </c>
      <c r="C573" s="527">
        <f t="shared" si="1"/>
        <v>29.011257032891596</v>
      </c>
      <c r="D573" s="825">
        <f t="shared" si="2"/>
        <v>-4.2828494317755546E-2</v>
      </c>
      <c r="E573" s="826">
        <f t="shared" si="3"/>
        <v>3.699467980518039E-2</v>
      </c>
      <c r="F573" s="827">
        <f t="shared" si="4"/>
        <v>-67.723652644726812</v>
      </c>
      <c r="G573" s="527">
        <f t="shared" si="5"/>
        <v>58.498784156188471</v>
      </c>
      <c r="H573" s="825">
        <f t="shared" si="6"/>
        <v>-5.4438514763782448</v>
      </c>
      <c r="I573" s="527">
        <f t="shared" si="7"/>
        <v>11.555953330331352</v>
      </c>
      <c r="J573" s="825">
        <f t="shared" si="8"/>
        <v>-4.7609074349812177</v>
      </c>
      <c r="K573" s="826">
        <f t="shared" si="9"/>
        <v>10.106231657384011</v>
      </c>
      <c r="L573" s="827">
        <f t="shared" si="10"/>
        <v>-7.61636730605571</v>
      </c>
      <c r="M573" s="527">
        <f t="shared" si="11"/>
        <v>38.349249915217051</v>
      </c>
      <c r="N573" s="527">
        <f t="shared" si="12"/>
        <v>0.47711102267789107</v>
      </c>
      <c r="O573" s="824">
        <f t="shared" si="13"/>
        <v>-2.4023066523369434</v>
      </c>
      <c r="V573" s="156"/>
      <c r="Z573" s="73"/>
      <c r="AA573" s="73"/>
      <c r="AB573" s="73"/>
      <c r="AC573" s="73"/>
      <c r="AD573" s="73"/>
      <c r="AE573" s="73"/>
      <c r="AF573" s="73"/>
      <c r="AJ573" s="143"/>
      <c r="AK573" s="143"/>
      <c r="AL573" s="143"/>
      <c r="AM573" s="143"/>
      <c r="AN573" s="143"/>
      <c r="AO573" s="143"/>
      <c r="AP573" s="143"/>
      <c r="AQ573" s="143"/>
      <c r="AR573" s="143"/>
      <c r="AS573" s="143"/>
      <c r="AT573" s="143"/>
    </row>
    <row r="574" spans="1:46" ht="15" customHeight="1">
      <c r="A574" s="528" t="str">
        <f>+input!B10</f>
        <v>104j</v>
      </c>
      <c r="B574" s="827">
        <f t="shared" si="0"/>
        <v>-55.789256640517117</v>
      </c>
      <c r="C574" s="527">
        <f t="shared" si="1"/>
        <v>48.190012720790989</v>
      </c>
      <c r="D574" s="825">
        <f t="shared" si="2"/>
        <v>-7.680464236904587E-2</v>
      </c>
      <c r="E574" s="826">
        <f t="shared" si="3"/>
        <v>6.6342821461652227E-2</v>
      </c>
      <c r="F574" s="827">
        <f t="shared" si="4"/>
        <v>-109.08442795150243</v>
      </c>
      <c r="G574" s="527">
        <f t="shared" si="5"/>
        <v>94.225667936312988</v>
      </c>
      <c r="H574" s="825">
        <f t="shared" si="6"/>
        <v>-8.7829760402409107</v>
      </c>
      <c r="I574" s="527">
        <f t="shared" si="7"/>
        <v>18.644090799105854</v>
      </c>
      <c r="J574" s="825">
        <f t="shared" si="8"/>
        <v>-7.7116072204568402</v>
      </c>
      <c r="K574" s="826">
        <f t="shared" si="9"/>
        <v>16.36983917142668</v>
      </c>
      <c r="L574" s="827">
        <f t="shared" si="10"/>
        <v>-12.204576215570789</v>
      </c>
      <c r="M574" s="527">
        <f t="shared" si="11"/>
        <v>61.451388121487561</v>
      </c>
      <c r="N574" s="527">
        <f t="shared" si="12"/>
        <v>0.84898502383192964</v>
      </c>
      <c r="O574" s="824">
        <f t="shared" si="13"/>
        <v>-4.2747332875241755</v>
      </c>
      <c r="V574" s="156"/>
      <c r="Z574" s="507" t="s">
        <v>1914</v>
      </c>
      <c r="AA574" s="73"/>
      <c r="AB574" s="73"/>
      <c r="AC574" s="76" t="s">
        <v>1583</v>
      </c>
      <c r="AD574" s="73"/>
      <c r="AE574" s="73"/>
      <c r="AF574" s="73"/>
      <c r="AJ574" s="143"/>
      <c r="AK574" s="143"/>
      <c r="AL574" s="143"/>
      <c r="AM574" s="143"/>
      <c r="AN574" s="143"/>
      <c r="AO574" s="143"/>
      <c r="AP574" s="143"/>
      <c r="AQ574" s="143"/>
      <c r="AR574" s="143"/>
      <c r="AS574" s="143"/>
      <c r="AT574" s="143"/>
    </row>
    <row r="575" spans="1:46" ht="15" customHeight="1">
      <c r="A575" s="528" t="str">
        <f>+input!B11</f>
        <v>105i</v>
      </c>
      <c r="B575" s="827">
        <f t="shared" si="0"/>
        <v>-44.991056308429719</v>
      </c>
      <c r="C575" s="527">
        <f t="shared" si="1"/>
        <v>31.022587694779027</v>
      </c>
      <c r="D575" s="825">
        <f t="shared" si="2"/>
        <v>-6.19391234721509E-2</v>
      </c>
      <c r="E575" s="826">
        <f t="shared" si="3"/>
        <v>4.2708752523610442E-2</v>
      </c>
      <c r="F575" s="827">
        <f t="shared" si="4"/>
        <v>-87.970892845805977</v>
      </c>
      <c r="G575" s="527">
        <f t="shared" si="5"/>
        <v>60.658383283739269</v>
      </c>
      <c r="H575" s="825">
        <f t="shared" si="6"/>
        <v>-8.0070911981896309</v>
      </c>
      <c r="I575" s="527">
        <f t="shared" si="7"/>
        <v>12.445896910906216</v>
      </c>
      <c r="J575" s="825">
        <f t="shared" si="8"/>
        <v>-7.030324413789919</v>
      </c>
      <c r="K575" s="826">
        <f t="shared" si="9"/>
        <v>10.927650346238041</v>
      </c>
      <c r="L575" s="827">
        <f t="shared" si="10"/>
        <v>-11.962674811279721</v>
      </c>
      <c r="M575" s="527">
        <f t="shared" si="11"/>
        <v>41.288739664935797</v>
      </c>
      <c r="N575" s="527">
        <f t="shared" si="12"/>
        <v>0.83215767433125509</v>
      </c>
      <c r="O575" s="824">
        <f t="shared" si="13"/>
        <v>-2.872162130767312</v>
      </c>
      <c r="V575" s="156"/>
      <c r="Z575" s="73"/>
      <c r="AA575" s="73"/>
      <c r="AB575" s="73"/>
      <c r="AC575" s="73" t="s">
        <v>1584</v>
      </c>
      <c r="AD575" s="73"/>
      <c r="AE575" s="73"/>
      <c r="AF575" s="73"/>
      <c r="AJ575" s="143"/>
      <c r="AK575" s="143"/>
      <c r="AL575" s="143"/>
      <c r="AM575" s="143"/>
      <c r="AN575" s="143"/>
      <c r="AO575" s="143"/>
      <c r="AP575" s="143"/>
      <c r="AQ575" s="143"/>
      <c r="AR575" s="143"/>
      <c r="AS575" s="143"/>
      <c r="AT575" s="143"/>
    </row>
    <row r="576" spans="1:46" ht="15" customHeight="1">
      <c r="A576" s="528" t="str">
        <f>+input!B12</f>
        <v>105j</v>
      </c>
      <c r="B576" s="827">
        <f t="shared" si="0"/>
        <v>-59.902475345248291</v>
      </c>
      <c r="C576" s="527">
        <f t="shared" si="1"/>
        <v>41.304426857480095</v>
      </c>
      <c r="D576" s="825">
        <f t="shared" si="2"/>
        <v>-8.9271206497183467E-2</v>
      </c>
      <c r="E576" s="826">
        <f t="shared" si="3"/>
        <v>6.1554985799671266E-2</v>
      </c>
      <c r="F576" s="827">
        <f t="shared" si="4"/>
        <v>-115.24219258172319</v>
      </c>
      <c r="G576" s="527">
        <f t="shared" si="5"/>
        <v>79.462704787290647</v>
      </c>
      <c r="H576" s="825">
        <f t="shared" si="6"/>
        <v>-10.530230705166673</v>
      </c>
      <c r="I576" s="527">
        <f t="shared" si="7"/>
        <v>16.367762344732046</v>
      </c>
      <c r="J576" s="825">
        <f t="shared" si="8"/>
        <v>-9.2208357915803685</v>
      </c>
      <c r="K576" s="826">
        <f t="shared" si="9"/>
        <v>14.332492144007386</v>
      </c>
      <c r="L576" s="827">
        <f t="shared" si="10"/>
        <v>-15.571376486710037</v>
      </c>
      <c r="M576" s="527">
        <f t="shared" si="11"/>
        <v>53.744043044474935</v>
      </c>
      <c r="N576" s="527">
        <f t="shared" si="12"/>
        <v>1.1967705238943598</v>
      </c>
      <c r="O576" s="824">
        <f t="shared" si="13"/>
        <v>-4.1306102004169594</v>
      </c>
      <c r="V576" s="156"/>
      <c r="Z576" s="73"/>
      <c r="AA576" s="73"/>
      <c r="AB576" s="73"/>
      <c r="AC576" s="73"/>
      <c r="AD576" s="73"/>
      <c r="AE576" s="73"/>
      <c r="AF576" s="73"/>
      <c r="AJ576" s="143"/>
      <c r="AK576" s="143"/>
      <c r="AL576" s="143"/>
      <c r="AM576" s="143"/>
      <c r="AN576" s="143"/>
      <c r="AO576" s="143"/>
      <c r="AP576" s="143"/>
      <c r="AQ576" s="143"/>
      <c r="AR576" s="143"/>
      <c r="AS576" s="143"/>
      <c r="AT576" s="143"/>
    </row>
    <row r="577" spans="1:46" ht="15" customHeight="1">
      <c r="A577" s="528" t="str">
        <f>+input!B13</f>
        <v>106i</v>
      </c>
      <c r="B577" s="827">
        <f t="shared" si="0"/>
        <v>-59.902679316017128</v>
      </c>
      <c r="C577" s="527">
        <f t="shared" si="1"/>
        <v>41.304567501012009</v>
      </c>
      <c r="D577" s="825">
        <f t="shared" si="2"/>
        <v>-8.9271206497183467E-2</v>
      </c>
      <c r="E577" s="826">
        <f t="shared" si="3"/>
        <v>6.1554985799671266E-2</v>
      </c>
      <c r="F577" s="827">
        <f t="shared" si="4"/>
        <v>-115.24151267916037</v>
      </c>
      <c r="G577" s="527">
        <f t="shared" si="5"/>
        <v>79.462235975517586</v>
      </c>
      <c r="H577" s="825">
        <f t="shared" si="6"/>
        <v>-10.530204825751035</v>
      </c>
      <c r="I577" s="527">
        <f t="shared" si="7"/>
        <v>16.367722118820893</v>
      </c>
      <c r="J577" s="825">
        <f t="shared" si="8"/>
        <v>-9.2208875504116428</v>
      </c>
      <c r="K577" s="826">
        <f t="shared" si="9"/>
        <v>14.33257259582969</v>
      </c>
      <c r="L577" s="827">
        <f t="shared" si="10"/>
        <v>-15.571376486710037</v>
      </c>
      <c r="M577" s="527">
        <f t="shared" si="11"/>
        <v>53.744043044474935</v>
      </c>
      <c r="N577" s="527">
        <f t="shared" si="12"/>
        <v>1.1967705238943598</v>
      </c>
      <c r="O577" s="824">
        <f t="shared" si="13"/>
        <v>-4.1306102004169594</v>
      </c>
      <c r="V577" s="156"/>
      <c r="Z577" s="507" t="s">
        <v>1927</v>
      </c>
      <c r="AA577" s="73"/>
      <c r="AB577" s="73"/>
      <c r="AC577" s="76" t="s">
        <v>1585</v>
      </c>
      <c r="AD577" s="73"/>
      <c r="AE577" s="73"/>
      <c r="AF577" s="73"/>
      <c r="AJ577" s="143"/>
      <c r="AK577" s="143"/>
      <c r="AL577" s="143"/>
      <c r="AM577" s="143"/>
      <c r="AN577" s="143"/>
      <c r="AO577" s="143"/>
      <c r="AP577" s="143"/>
      <c r="AQ577" s="143"/>
      <c r="AR577" s="143"/>
      <c r="AS577" s="143"/>
      <c r="AT577" s="143"/>
    </row>
    <row r="578" spans="1:46" ht="15" customHeight="1">
      <c r="A578" s="528" t="str">
        <f>+input!B14</f>
        <v>106j</v>
      </c>
      <c r="B578" s="827">
        <f t="shared" si="0"/>
        <v>-70.803149164040306</v>
      </c>
      <c r="C578" s="527">
        <f t="shared" si="1"/>
        <v>48.820745371039806</v>
      </c>
      <c r="D578" s="825">
        <f t="shared" si="2"/>
        <v>-0.1166712797784972</v>
      </c>
      <c r="E578" s="826">
        <f t="shared" si="3"/>
        <v>8.0448100253035712E-2</v>
      </c>
      <c r="F578" s="827">
        <f t="shared" si="4"/>
        <v>-133.66000511547452</v>
      </c>
      <c r="G578" s="527">
        <f t="shared" si="5"/>
        <v>92.162300025894709</v>
      </c>
      <c r="H578" s="825">
        <f t="shared" si="6"/>
        <v>-12.214825386662973</v>
      </c>
      <c r="I578" s="527">
        <f t="shared" si="7"/>
        <v>18.986227805360777</v>
      </c>
      <c r="J578" s="825">
        <f t="shared" si="8"/>
        <v>-10.719202198150448</v>
      </c>
      <c r="K578" s="826">
        <f t="shared" si="9"/>
        <v>16.661491947975218</v>
      </c>
      <c r="L578" s="827">
        <f t="shared" si="10"/>
        <v>-18.019364516272468</v>
      </c>
      <c r="M578" s="527">
        <f t="shared" si="11"/>
        <v>62.193185234662884</v>
      </c>
      <c r="N578" s="527">
        <f t="shared" si="12"/>
        <v>1.5615477665183748</v>
      </c>
      <c r="O578" s="824">
        <f t="shared" si="13"/>
        <v>-5.3896256667735933</v>
      </c>
      <c r="V578" s="156"/>
      <c r="Z578" s="73"/>
      <c r="AA578" s="73"/>
      <c r="AB578" s="73"/>
      <c r="AC578" s="73" t="s">
        <v>1586</v>
      </c>
      <c r="AD578" s="73"/>
      <c r="AE578" s="73"/>
      <c r="AF578" s="73"/>
      <c r="AJ578" s="143"/>
      <c r="AK578" s="143"/>
      <c r="AL578" s="143"/>
      <c r="AM578" s="143"/>
      <c r="AN578" s="143"/>
      <c r="AO578" s="143"/>
      <c r="AP578" s="143"/>
      <c r="AQ578" s="143"/>
      <c r="AR578" s="143"/>
      <c r="AS578" s="143"/>
      <c r="AT578" s="143"/>
    </row>
    <row r="579" spans="1:46" ht="15" customHeight="1">
      <c r="A579" s="528" t="str">
        <f>+input!B15</f>
        <v>107i</v>
      </c>
      <c r="B579" s="827">
        <f t="shared" si="0"/>
        <v>-59.621685722201114</v>
      </c>
      <c r="C579" s="527">
        <f t="shared" si="1"/>
        <v>42.231275080021383</v>
      </c>
      <c r="D579" s="825">
        <f t="shared" si="2"/>
        <v>-9.8246360754868201E-2</v>
      </c>
      <c r="E579" s="826">
        <f t="shared" si="3"/>
        <v>6.9589932528608178E-2</v>
      </c>
      <c r="F579" s="827">
        <f t="shared" si="4"/>
        <v>-112.55214159138228</v>
      </c>
      <c r="G579" s="527">
        <f t="shared" si="5"/>
        <v>79.72301344410397</v>
      </c>
      <c r="H579" s="825">
        <f t="shared" si="6"/>
        <v>-11.349115174510754</v>
      </c>
      <c r="I579" s="527">
        <f t="shared" si="7"/>
        <v>16.843706323077093</v>
      </c>
      <c r="J579" s="825">
        <f t="shared" si="8"/>
        <v>-9.9595556806691796</v>
      </c>
      <c r="K579" s="826">
        <f t="shared" si="9"/>
        <v>14.781401758111739</v>
      </c>
      <c r="L579" s="827">
        <f t="shared" si="10"/>
        <v>-17.492130759311635</v>
      </c>
      <c r="M579" s="527">
        <f t="shared" si="11"/>
        <v>55.392407116235049</v>
      </c>
      <c r="N579" s="527">
        <f t="shared" si="12"/>
        <v>1.5158579923383924</v>
      </c>
      <c r="O579" s="824">
        <f t="shared" si="13"/>
        <v>-4.8002741459789595</v>
      </c>
      <c r="V579" s="156"/>
      <c r="Z579" s="73"/>
      <c r="AA579" s="73"/>
      <c r="AB579" s="73"/>
      <c r="AC579" s="73"/>
      <c r="AD579" s="73"/>
      <c r="AE579" s="73"/>
      <c r="AF579" s="73"/>
      <c r="AJ579" s="143"/>
      <c r="AK579" s="143"/>
      <c r="AL579" s="143"/>
      <c r="AM579" s="143"/>
      <c r="AN579" s="143"/>
      <c r="AO579" s="143"/>
      <c r="AP579" s="143"/>
      <c r="AQ579" s="143"/>
      <c r="AR579" s="143"/>
      <c r="AS579" s="143"/>
      <c r="AT579" s="143"/>
    </row>
    <row r="580" spans="1:46" ht="15" customHeight="1">
      <c r="A580" s="528" t="str">
        <f>+input!B16</f>
        <v>107j</v>
      </c>
      <c r="B580" s="827">
        <f t="shared" si="0"/>
        <v>-65.79448853755477</v>
      </c>
      <c r="C580" s="527">
        <f t="shared" si="1"/>
        <v>46.603599185793186</v>
      </c>
      <c r="D580" s="825">
        <f t="shared" si="2"/>
        <v>-0.12126211659604362</v>
      </c>
      <c r="E580" s="826">
        <f t="shared" si="3"/>
        <v>8.5892469169925476E-2</v>
      </c>
      <c r="F580" s="827">
        <f t="shared" si="4"/>
        <v>-122.93705673816697</v>
      </c>
      <c r="G580" s="527">
        <f t="shared" si="5"/>
        <v>87.078863969531781</v>
      </c>
      <c r="H580" s="825">
        <f t="shared" si="6"/>
        <v>-12.430220305290156</v>
      </c>
      <c r="I580" s="527">
        <f t="shared" si="7"/>
        <v>18.448220599936139</v>
      </c>
      <c r="J580" s="825">
        <f t="shared" si="8"/>
        <v>-10.887780172194665</v>
      </c>
      <c r="K580" s="826">
        <f t="shared" si="9"/>
        <v>16.159019351794928</v>
      </c>
      <c r="L580" s="827">
        <f t="shared" si="10"/>
        <v>-19.221064022879251</v>
      </c>
      <c r="M580" s="527">
        <f t="shared" si="11"/>
        <v>60.867427657192124</v>
      </c>
      <c r="N580" s="527">
        <f t="shared" si="12"/>
        <v>1.8714621934986064</v>
      </c>
      <c r="O580" s="824">
        <f t="shared" si="13"/>
        <v>-5.92636752785151</v>
      </c>
      <c r="V580" s="156"/>
      <c r="Z580" s="507" t="s">
        <v>1915</v>
      </c>
      <c r="AA580" s="73"/>
      <c r="AB580" s="73"/>
      <c r="AC580" s="76" t="s">
        <v>1587</v>
      </c>
      <c r="AD580" s="73"/>
      <c r="AE580" s="73"/>
      <c r="AF580" s="73"/>
      <c r="AJ580" s="143"/>
      <c r="AK580" s="143"/>
      <c r="AL580" s="143"/>
      <c r="AM580" s="143"/>
      <c r="AN580" s="143"/>
      <c r="AO580" s="143"/>
      <c r="AP580" s="143"/>
      <c r="AQ580" s="143"/>
      <c r="AR580" s="143"/>
      <c r="AS580" s="143"/>
      <c r="AT580" s="143"/>
    </row>
    <row r="581" spans="1:46" ht="15" customHeight="1">
      <c r="A581" s="528" t="str">
        <f>+input!B17</f>
        <v>108i</v>
      </c>
      <c r="B581" s="827">
        <f t="shared" si="0"/>
        <v>-65.794316778182818</v>
      </c>
      <c r="C581" s="527">
        <f t="shared" si="1"/>
        <v>46.60347752507198</v>
      </c>
      <c r="D581" s="825">
        <f t="shared" si="2"/>
        <v>-0.12126211659604362</v>
      </c>
      <c r="E581" s="826">
        <f t="shared" si="3"/>
        <v>8.5892469169925476E-2</v>
      </c>
      <c r="F581" s="827">
        <f t="shared" si="4"/>
        <v>-122.93699948504299</v>
      </c>
      <c r="G581" s="527">
        <f t="shared" si="5"/>
        <v>87.078823415958055</v>
      </c>
      <c r="H581" s="825">
        <f t="shared" si="6"/>
        <v>-12.430220305290156</v>
      </c>
      <c r="I581" s="527">
        <f t="shared" si="7"/>
        <v>18.448220599936139</v>
      </c>
      <c r="J581" s="825">
        <f t="shared" si="8"/>
        <v>-10.887659945205634</v>
      </c>
      <c r="K581" s="826">
        <f t="shared" si="9"/>
        <v>16.158840917788027</v>
      </c>
      <c r="L581" s="827">
        <f t="shared" si="10"/>
        <v>-19.221064022879251</v>
      </c>
      <c r="M581" s="527">
        <f t="shared" si="11"/>
        <v>60.867427657192124</v>
      </c>
      <c r="N581" s="527">
        <f t="shared" si="12"/>
        <v>1.8714621934986064</v>
      </c>
      <c r="O581" s="824">
        <f t="shared" si="13"/>
        <v>-5.92636752785151</v>
      </c>
      <c r="V581" s="156"/>
      <c r="Z581" s="73"/>
      <c r="AA581" s="73"/>
      <c r="AB581" s="73"/>
      <c r="AC581" s="73" t="s">
        <v>1588</v>
      </c>
      <c r="AD581" s="73"/>
      <c r="AE581" s="73"/>
      <c r="AF581" s="73"/>
      <c r="AJ581" s="143"/>
      <c r="AK581" s="143"/>
      <c r="AL581" s="143"/>
      <c r="AM581" s="143"/>
      <c r="AN581" s="143"/>
      <c r="AO581" s="143"/>
      <c r="AP581" s="143"/>
      <c r="AQ581" s="143"/>
      <c r="AR581" s="143"/>
      <c r="AS581" s="143"/>
      <c r="AT581" s="143"/>
    </row>
    <row r="582" spans="1:46" ht="15" customHeight="1">
      <c r="A582" s="528" t="str">
        <f>+input!B18</f>
        <v>108j</v>
      </c>
      <c r="B582" s="827">
        <f t="shared" si="0"/>
        <v>-68.203127463520559</v>
      </c>
      <c r="C582" s="527">
        <f t="shared" si="1"/>
        <v>48.309688032808651</v>
      </c>
      <c r="D582" s="825">
        <f t="shared" si="2"/>
        <v>-0.14427787243721904</v>
      </c>
      <c r="E582" s="826">
        <f t="shared" si="3"/>
        <v>0.10219500581124276</v>
      </c>
      <c r="F582" s="827">
        <f t="shared" si="4"/>
        <v>-125.73427261660555</v>
      </c>
      <c r="G582" s="527">
        <f t="shared" si="5"/>
        <v>89.06018992148411</v>
      </c>
      <c r="H582" s="825">
        <f t="shared" si="6"/>
        <v>-12.723742476314472</v>
      </c>
      <c r="I582" s="527">
        <f t="shared" si="7"/>
        <v>18.883849384385289</v>
      </c>
      <c r="J582" s="825">
        <f t="shared" si="8"/>
        <v>-11.168149510618807</v>
      </c>
      <c r="K582" s="826">
        <f t="shared" si="9"/>
        <v>16.57512745588906</v>
      </c>
      <c r="L582" s="827">
        <f t="shared" si="10"/>
        <v>-19.825436901249017</v>
      </c>
      <c r="M582" s="527">
        <f t="shared" si="11"/>
        <v>62.781297899149202</v>
      </c>
      <c r="N582" s="527">
        <f t="shared" si="12"/>
        <v>2.2273961996023046</v>
      </c>
      <c r="O582" s="824">
        <f t="shared" si="13"/>
        <v>-7.0535053044836138</v>
      </c>
      <c r="V582" s="156"/>
      <c r="Z582" s="73"/>
      <c r="AA582" s="73"/>
      <c r="AB582" s="73"/>
      <c r="AC582" s="73"/>
      <c r="AD582" s="73"/>
      <c r="AE582" s="73"/>
      <c r="AF582" s="73"/>
      <c r="AJ582" s="143"/>
      <c r="AK582" s="143"/>
      <c r="AL582" s="143"/>
      <c r="AM582" s="143"/>
      <c r="AN582" s="143"/>
      <c r="AO582" s="143"/>
      <c r="AP582" s="143"/>
      <c r="AQ582" s="143"/>
      <c r="AR582" s="143"/>
      <c r="AS582" s="143"/>
      <c r="AT582" s="143"/>
    </row>
    <row r="583" spans="1:46" ht="15" customHeight="1">
      <c r="A583" s="528" t="str">
        <f>+input!B19</f>
        <v>109i</v>
      </c>
      <c r="B583" s="827">
        <f t="shared" si="0"/>
        <v>-68.203127463520559</v>
      </c>
      <c r="C583" s="527">
        <f t="shared" si="1"/>
        <v>48.309688032808651</v>
      </c>
      <c r="D583" s="825">
        <f t="shared" si="2"/>
        <v>-0.14427787243721904</v>
      </c>
      <c r="E583" s="826">
        <f t="shared" si="3"/>
        <v>0.10219500581124276</v>
      </c>
      <c r="F583" s="827">
        <f t="shared" si="4"/>
        <v>-125.73450162910147</v>
      </c>
      <c r="G583" s="527">
        <f t="shared" si="5"/>
        <v>89.060352135779056</v>
      </c>
      <c r="H583" s="825">
        <f t="shared" si="6"/>
        <v>-12.723814612507889</v>
      </c>
      <c r="I583" s="527">
        <f t="shared" si="7"/>
        <v>18.883956444789433</v>
      </c>
      <c r="J583" s="825">
        <f t="shared" si="8"/>
        <v>-11.168173556016615</v>
      </c>
      <c r="K583" s="826">
        <f t="shared" si="9"/>
        <v>16.575163142690442</v>
      </c>
      <c r="L583" s="827">
        <f t="shared" si="10"/>
        <v>-19.825436901249017</v>
      </c>
      <c r="M583" s="527">
        <f t="shared" si="11"/>
        <v>62.781297899149202</v>
      </c>
      <c r="N583" s="527">
        <f t="shared" si="12"/>
        <v>2.2273961996023046</v>
      </c>
      <c r="O583" s="824">
        <f t="shared" si="13"/>
        <v>-7.0535053044836138</v>
      </c>
      <c r="V583" s="156"/>
      <c r="Z583" s="507" t="s">
        <v>1916</v>
      </c>
      <c r="AA583" s="73"/>
      <c r="AB583" s="73"/>
      <c r="AC583" s="76" t="s">
        <v>1589</v>
      </c>
      <c r="AD583" s="73"/>
      <c r="AE583" s="73"/>
      <c r="AF583" s="73"/>
      <c r="AJ583" s="143"/>
      <c r="AK583" s="143"/>
      <c r="AL583" s="143"/>
      <c r="AM583" s="143"/>
      <c r="AN583" s="143"/>
      <c r="AO583" s="143"/>
      <c r="AP583" s="143"/>
      <c r="AQ583" s="143"/>
      <c r="AR583" s="143"/>
      <c r="AS583" s="143"/>
      <c r="AT583" s="143"/>
    </row>
    <row r="584" spans="1:46" ht="15" customHeight="1">
      <c r="A584" s="528" t="str">
        <f>+input!B20</f>
        <v>109j</v>
      </c>
      <c r="B584" s="827">
        <f t="shared" si="0"/>
        <v>-67.431927883469243</v>
      </c>
      <c r="C584" s="527">
        <f t="shared" si="1"/>
        <v>47.763431394603323</v>
      </c>
      <c r="D584" s="825">
        <f t="shared" si="2"/>
        <v>-0.16729362827839447</v>
      </c>
      <c r="E584" s="826">
        <f t="shared" si="3"/>
        <v>0.11849754245256007</v>
      </c>
      <c r="F584" s="827">
        <f t="shared" si="4"/>
        <v>-123.40624608920785</v>
      </c>
      <c r="G584" s="527">
        <f t="shared" si="5"/>
        <v>87.411200506287003</v>
      </c>
      <c r="H584" s="825">
        <f t="shared" si="6"/>
        <v>-12.53318269869772</v>
      </c>
      <c r="I584" s="527">
        <f t="shared" si="7"/>
        <v>18.601031483446526</v>
      </c>
      <c r="J584" s="825">
        <f t="shared" si="8"/>
        <v>-10.984298398990077</v>
      </c>
      <c r="K584" s="826">
        <f t="shared" si="9"/>
        <v>16.302266172535393</v>
      </c>
      <c r="L584" s="827">
        <f t="shared" si="10"/>
        <v>-19.842193120151851</v>
      </c>
      <c r="M584" s="527">
        <f t="shared" si="11"/>
        <v>62.834359890965189</v>
      </c>
      <c r="N584" s="527">
        <f t="shared" si="12"/>
        <v>2.5833408445751478</v>
      </c>
      <c r="O584" s="824">
        <f t="shared" si="13"/>
        <v>-8.180676771269253</v>
      </c>
      <c r="V584" s="156"/>
      <c r="Z584" s="73"/>
      <c r="AA584" s="73"/>
      <c r="AB584" s="73"/>
      <c r="AC584" s="73" t="s">
        <v>1590</v>
      </c>
      <c r="AD584" s="73"/>
      <c r="AE584" s="73"/>
      <c r="AF584" s="73"/>
      <c r="AJ584" s="143"/>
      <c r="AK584" s="143"/>
      <c r="AL584" s="143"/>
      <c r="AM584" s="143"/>
      <c r="AN584" s="143"/>
      <c r="AO584" s="143"/>
      <c r="AP584" s="143"/>
      <c r="AQ584" s="143"/>
      <c r="AR584" s="143"/>
      <c r="AS584" s="143"/>
      <c r="AT584" s="143"/>
    </row>
    <row r="585" spans="1:46" ht="15" customHeight="1">
      <c r="A585" s="528" t="str">
        <f>+input!B21</f>
        <v>110i</v>
      </c>
      <c r="B585" s="827">
        <f t="shared" si="0"/>
        <v>-67.43209964284118</v>
      </c>
      <c r="C585" s="527">
        <f t="shared" si="1"/>
        <v>47.763553055324522</v>
      </c>
      <c r="D585" s="825">
        <f t="shared" si="2"/>
        <v>-0.16729362827839447</v>
      </c>
      <c r="E585" s="826">
        <f t="shared" si="3"/>
        <v>0.11849754245256007</v>
      </c>
      <c r="F585" s="827">
        <f t="shared" si="4"/>
        <v>-123.40636059545582</v>
      </c>
      <c r="G585" s="527">
        <f t="shared" si="5"/>
        <v>87.411281613434468</v>
      </c>
      <c r="H585" s="825">
        <f t="shared" si="6"/>
        <v>-12.533158653299912</v>
      </c>
      <c r="I585" s="527">
        <f t="shared" si="7"/>
        <v>18.600995796645144</v>
      </c>
      <c r="J585" s="825">
        <f t="shared" si="8"/>
        <v>-10.984394580581304</v>
      </c>
      <c r="K585" s="826">
        <f t="shared" si="9"/>
        <v>16.302408919740913</v>
      </c>
      <c r="L585" s="827">
        <f t="shared" si="10"/>
        <v>-19.842182481282709</v>
      </c>
      <c r="M585" s="527">
        <f t="shared" si="11"/>
        <v>62.83432620081166</v>
      </c>
      <c r="N585" s="527">
        <f t="shared" si="12"/>
        <v>2.5833408445751478</v>
      </c>
      <c r="O585" s="824">
        <f t="shared" si="13"/>
        <v>-8.180676771269253</v>
      </c>
      <c r="V585" s="156"/>
      <c r="AJ585" s="143"/>
      <c r="AK585" s="143"/>
      <c r="AL585" s="143"/>
      <c r="AM585" s="143"/>
      <c r="AN585" s="143"/>
      <c r="AO585" s="143"/>
      <c r="AP585" s="143"/>
      <c r="AQ585" s="143"/>
      <c r="AR585" s="143"/>
      <c r="AS585" s="143"/>
      <c r="AT585" s="143"/>
    </row>
    <row r="586" spans="1:46" ht="15" customHeight="1">
      <c r="A586" s="528" t="str">
        <f>+input!B22</f>
        <v>110j</v>
      </c>
      <c r="B586" s="827">
        <f t="shared" si="0"/>
        <v>-63.032941355357615</v>
      </c>
      <c r="C586" s="527">
        <f t="shared" si="1"/>
        <v>44.647538110277523</v>
      </c>
      <c r="D586" s="825">
        <f t="shared" si="2"/>
        <v>-0.19030938411956991</v>
      </c>
      <c r="E586" s="826">
        <f t="shared" si="3"/>
        <v>0.13480007909387737</v>
      </c>
      <c r="F586" s="827">
        <f t="shared" si="4"/>
        <v>-114.3210341099618</v>
      </c>
      <c r="G586" s="527">
        <f t="shared" si="5"/>
        <v>80.975956658208801</v>
      </c>
      <c r="H586" s="825">
        <f t="shared" si="6"/>
        <v>-11.651654369712515</v>
      </c>
      <c r="I586" s="527">
        <f t="shared" si="7"/>
        <v>17.292717658043856</v>
      </c>
      <c r="J586" s="825">
        <f t="shared" si="8"/>
        <v>-10.211118632521101</v>
      </c>
      <c r="K586" s="826">
        <f t="shared" si="9"/>
        <v>15.154757074152297</v>
      </c>
      <c r="L586" s="827">
        <f t="shared" si="10"/>
        <v>-18.967880214974663</v>
      </c>
      <c r="M586" s="527">
        <f t="shared" si="11"/>
        <v>60.065669383390969</v>
      </c>
      <c r="N586" s="527">
        <f t="shared" si="12"/>
        <v>2.9385833241844432</v>
      </c>
      <c r="O586" s="824">
        <f t="shared" si="13"/>
        <v>-9.3056246879216484</v>
      </c>
      <c r="V586" s="156"/>
      <c r="AJ586" s="143"/>
      <c r="AK586" s="143"/>
      <c r="AL586" s="143"/>
      <c r="AM586" s="143"/>
      <c r="AN586" s="143"/>
      <c r="AO586" s="143"/>
      <c r="AP586" s="143"/>
      <c r="AQ586" s="143"/>
      <c r="AR586" s="143"/>
      <c r="AS586" s="143"/>
      <c r="AT586" s="143"/>
    </row>
    <row r="587" spans="1:46" ht="15" customHeight="1">
      <c r="A587" s="528" t="str">
        <f>+input!B23</f>
        <v>111i</v>
      </c>
      <c r="B587" s="827">
        <f t="shared" si="0"/>
        <v>-63.032998608481591</v>
      </c>
      <c r="C587" s="527">
        <f t="shared" si="1"/>
        <v>44.647578663851256</v>
      </c>
      <c r="D587" s="825">
        <f t="shared" si="2"/>
        <v>-0.19030938411956991</v>
      </c>
      <c r="E587" s="826">
        <f t="shared" si="3"/>
        <v>0.13480007909387737</v>
      </c>
      <c r="F587" s="827">
        <f t="shared" si="4"/>
        <v>-114.32126312245771</v>
      </c>
      <c r="G587" s="527">
        <f t="shared" si="5"/>
        <v>80.976118872503719</v>
      </c>
      <c r="H587" s="825">
        <f t="shared" si="6"/>
        <v>-11.651630324314709</v>
      </c>
      <c r="I587" s="527">
        <f t="shared" si="7"/>
        <v>17.292681971242473</v>
      </c>
      <c r="J587" s="825">
        <f t="shared" si="8"/>
        <v>-10.211022450929876</v>
      </c>
      <c r="K587" s="826">
        <f t="shared" si="9"/>
        <v>15.154614326946776</v>
      </c>
      <c r="L587" s="827">
        <f t="shared" si="10"/>
        <v>-18.967880214974663</v>
      </c>
      <c r="M587" s="527">
        <f t="shared" si="11"/>
        <v>60.065669383390969</v>
      </c>
      <c r="N587" s="527">
        <f t="shared" si="12"/>
        <v>2.9385833241844432</v>
      </c>
      <c r="O587" s="824">
        <f t="shared" si="13"/>
        <v>-9.3056246879216484</v>
      </c>
      <c r="V587" s="156"/>
      <c r="AJ587" s="143"/>
      <c r="AK587" s="143"/>
      <c r="AL587" s="143"/>
      <c r="AM587" s="143"/>
      <c r="AN587" s="143"/>
      <c r="AO587" s="143"/>
      <c r="AP587" s="143"/>
      <c r="AQ587" s="143"/>
      <c r="AR587" s="143"/>
      <c r="AS587" s="143"/>
      <c r="AT587" s="143"/>
    </row>
    <row r="588" spans="1:46" ht="15" customHeight="1">
      <c r="A588" s="528" t="str">
        <f>+input!B24</f>
        <v>111j</v>
      </c>
      <c r="B588" s="827">
        <f t="shared" si="0"/>
        <v>-54.945479567763691</v>
      </c>
      <c r="C588" s="527">
        <f t="shared" si="1"/>
        <v>38.919021391672551</v>
      </c>
      <c r="D588" s="825">
        <f t="shared" si="2"/>
        <v>-0.21315338058879621</v>
      </c>
      <c r="E588" s="826">
        <f t="shared" si="3"/>
        <v>0.15098095501399081</v>
      </c>
      <c r="F588" s="827">
        <f t="shared" si="4"/>
        <v>-98.355943234171704</v>
      </c>
      <c r="G588" s="527">
        <f t="shared" si="5"/>
        <v>69.667552068736228</v>
      </c>
      <c r="H588" s="825">
        <f t="shared" si="6"/>
        <v>-10.076320132417692</v>
      </c>
      <c r="I588" s="527">
        <f t="shared" si="7"/>
        <v>14.954696865614411</v>
      </c>
      <c r="J588" s="825">
        <f t="shared" si="8"/>
        <v>-8.8464220800114823</v>
      </c>
      <c r="K588" s="826">
        <f t="shared" si="9"/>
        <v>13.129352661814158</v>
      </c>
      <c r="L588" s="827">
        <f t="shared" si="10"/>
        <v>-17.188635739221958</v>
      </c>
      <c r="M588" s="527">
        <f t="shared" si="11"/>
        <v>54.431328106371822</v>
      </c>
      <c r="N588" s="527">
        <f t="shared" si="12"/>
        <v>3.2919214462168451</v>
      </c>
      <c r="O588" s="824">
        <f t="shared" si="13"/>
        <v>-10.424542067091465</v>
      </c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C588" s="143"/>
      <c r="AJ588" s="143"/>
      <c r="AK588" s="143"/>
      <c r="AL588" s="143"/>
      <c r="AM588" s="143"/>
      <c r="AN588" s="143"/>
      <c r="AO588" s="143"/>
      <c r="AP588" s="143"/>
      <c r="AQ588" s="143"/>
      <c r="AR588" s="143"/>
      <c r="AS588" s="143"/>
      <c r="AT588" s="143"/>
    </row>
    <row r="589" spans="1:46" ht="15" customHeight="1">
      <c r="A589" s="528" t="str">
        <f>+input!B25</f>
        <v>112i</v>
      </c>
      <c r="B589" s="827">
        <f t="shared" si="0"/>
        <v>-67.93205736806793</v>
      </c>
      <c r="C589" s="527">
        <f t="shared" si="1"/>
        <v>47.271196335301497</v>
      </c>
      <c r="D589" s="825">
        <f t="shared" si="2"/>
        <v>-0.26353301112783545</v>
      </c>
      <c r="E589" s="826">
        <f t="shared" si="3"/>
        <v>0.1833820613198868</v>
      </c>
      <c r="F589" s="827">
        <f t="shared" si="4"/>
        <v>-121.6033900284084</v>
      </c>
      <c r="G589" s="527">
        <f t="shared" si="5"/>
        <v>84.618925847124331</v>
      </c>
      <c r="H589" s="825">
        <f t="shared" si="6"/>
        <v>-11.019576037065949</v>
      </c>
      <c r="I589" s="527">
        <f t="shared" si="7"/>
        <v>17.594778153627786</v>
      </c>
      <c r="J589" s="825">
        <f t="shared" si="8"/>
        <v>-9.6744964320690858</v>
      </c>
      <c r="K589" s="826">
        <f t="shared" si="9"/>
        <v>15.447111385933294</v>
      </c>
      <c r="L589" s="827">
        <f t="shared" si="10"/>
        <v>-17.779883812343542</v>
      </c>
      <c r="M589" s="527">
        <f t="shared" si="11"/>
        <v>63.725305605093709</v>
      </c>
      <c r="N589" s="527">
        <f t="shared" si="12"/>
        <v>3.4051556924637452</v>
      </c>
      <c r="O589" s="824">
        <f t="shared" si="13"/>
        <v>-12.204499727075264</v>
      </c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C589" s="143"/>
      <c r="AJ589" s="143"/>
      <c r="AK589" s="143"/>
      <c r="AL589" s="143"/>
      <c r="AM589" s="143"/>
      <c r="AN589" s="143"/>
      <c r="AO589" s="143"/>
      <c r="AP589" s="143"/>
      <c r="AQ589" s="143"/>
      <c r="AR589" s="143"/>
      <c r="AS589" s="143"/>
      <c r="AT589" s="143"/>
    </row>
    <row r="590" spans="1:46" ht="15" customHeight="1">
      <c r="A590" s="528" t="str">
        <f>+input!B26</f>
        <v>112j</v>
      </c>
      <c r="B590" s="827">
        <f t="shared" si="0"/>
        <v>-54.270528722440147</v>
      </c>
      <c r="C590" s="527">
        <f t="shared" si="1"/>
        <v>37.764686038568165</v>
      </c>
      <c r="D590" s="825">
        <f t="shared" si="2"/>
        <v>-0.2917762750118017</v>
      </c>
      <c r="E590" s="826">
        <f t="shared" si="3"/>
        <v>0.20303541680380696</v>
      </c>
      <c r="F590" s="827">
        <f t="shared" si="4"/>
        <v>-95.530468785911538</v>
      </c>
      <c r="G590" s="527">
        <f t="shared" si="5"/>
        <v>66.475824830603841</v>
      </c>
      <c r="H590" s="825">
        <f t="shared" si="6"/>
        <v>-8.767959427852908</v>
      </c>
      <c r="I590" s="527">
        <f t="shared" si="7"/>
        <v>13.999658469089052</v>
      </c>
      <c r="J590" s="825">
        <f t="shared" si="8"/>
        <v>-7.6742456992644223</v>
      </c>
      <c r="K590" s="826">
        <f t="shared" si="9"/>
        <v>12.253343515286598</v>
      </c>
      <c r="L590" s="827">
        <f t="shared" si="10"/>
        <v>-15.39477597101661</v>
      </c>
      <c r="M590" s="527">
        <f t="shared" si="11"/>
        <v>55.176783708446386</v>
      </c>
      <c r="N590" s="527">
        <f t="shared" si="12"/>
        <v>3.7706478031536275</v>
      </c>
      <c r="O590" s="824">
        <f t="shared" si="13"/>
        <v>-13.514468717637159</v>
      </c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C590" s="143"/>
      <c r="AJ590" s="143"/>
      <c r="AK590" s="143"/>
      <c r="AL590" s="143"/>
      <c r="AM590" s="143"/>
      <c r="AN590" s="143"/>
      <c r="AO590" s="143"/>
      <c r="AP590" s="143"/>
      <c r="AQ590" s="143"/>
      <c r="AR590" s="143"/>
      <c r="AS590" s="143"/>
      <c r="AT590" s="143"/>
    </row>
    <row r="591" spans="1:46" ht="15" customHeight="1">
      <c r="A591" s="528" t="str">
        <f>+input!B27</f>
        <v>113i</v>
      </c>
      <c r="B591" s="827">
        <f t="shared" si="0"/>
        <v>-60.540126327365094</v>
      </c>
      <c r="C591" s="527">
        <f t="shared" si="1"/>
        <v>38.661981423721606</v>
      </c>
      <c r="D591" s="825">
        <f t="shared" si="2"/>
        <v>-0.32547988037271136</v>
      </c>
      <c r="E591" s="826">
        <f t="shared" si="3"/>
        <v>0.20785713298184627</v>
      </c>
      <c r="F591" s="827">
        <f t="shared" si="4"/>
        <v>-106.56583982343705</v>
      </c>
      <c r="G591" s="527">
        <f t="shared" si="5"/>
        <v>68.054805458750579</v>
      </c>
      <c r="H591" s="825">
        <f t="shared" si="6"/>
        <v>-9.0936042178785783</v>
      </c>
      <c r="I591" s="527">
        <f t="shared" si="7"/>
        <v>14.036785866903328</v>
      </c>
      <c r="J591" s="825">
        <f t="shared" si="8"/>
        <v>-7.9593957746243831</v>
      </c>
      <c r="K591" s="826">
        <f t="shared" si="9"/>
        <v>12.286034386528588</v>
      </c>
      <c r="L591" s="827">
        <f t="shared" si="10"/>
        <v>-15.534289049219987</v>
      </c>
      <c r="M591" s="527">
        <f t="shared" si="11"/>
        <v>55.18317897044421</v>
      </c>
      <c r="N591" s="527">
        <f t="shared" si="12"/>
        <v>3.8048187896512005</v>
      </c>
      <c r="O591" s="824">
        <f t="shared" si="13"/>
        <v>-13.51603511137021</v>
      </c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C591" s="143"/>
      <c r="AJ591" s="143"/>
      <c r="AK591" s="143"/>
      <c r="AL591" s="143"/>
      <c r="AM591" s="143"/>
      <c r="AN591" s="143"/>
      <c r="AO591" s="143"/>
      <c r="AP591" s="143"/>
      <c r="AQ591" s="143"/>
      <c r="AR591" s="143"/>
      <c r="AS591" s="143"/>
      <c r="AT591" s="143"/>
    </row>
    <row r="592" spans="1:46" ht="15" customHeight="1">
      <c r="A592" s="528" t="str">
        <f>+input!B28</f>
        <v>113j</v>
      </c>
      <c r="B592" s="827">
        <f t="shared" si="0"/>
        <v>-40.906788293548395</v>
      </c>
      <c r="C592" s="527">
        <f t="shared" si="1"/>
        <v>26.123789047899638</v>
      </c>
      <c r="D592" s="825">
        <f t="shared" si="2"/>
        <v>-0.3569066131209741</v>
      </c>
      <c r="E592" s="826">
        <f t="shared" si="3"/>
        <v>0.22792679308053013</v>
      </c>
      <c r="F592" s="827">
        <f t="shared" si="4"/>
        <v>-67.27460668574156</v>
      </c>
      <c r="G592" s="527">
        <f t="shared" si="5"/>
        <v>42.962738133511934</v>
      </c>
      <c r="H592" s="825">
        <f t="shared" si="6"/>
        <v>-5.8685270874471511</v>
      </c>
      <c r="I592" s="527">
        <f t="shared" si="7"/>
        <v>9.0585928425016284</v>
      </c>
      <c r="J592" s="825">
        <f t="shared" si="8"/>
        <v>-5.1542978640855024</v>
      </c>
      <c r="K592" s="826">
        <f t="shared" si="9"/>
        <v>7.9561165934802114</v>
      </c>
      <c r="L592" s="827">
        <f t="shared" si="10"/>
        <v>-12.100817535233711</v>
      </c>
      <c r="M592" s="527">
        <f t="shared" si="11"/>
        <v>42.986298093186385</v>
      </c>
      <c r="N592" s="527">
        <f t="shared" si="12"/>
        <v>4.1724571454252066</v>
      </c>
      <c r="O592" s="824">
        <f t="shared" si="13"/>
        <v>-14.822013976498605</v>
      </c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C592" s="143"/>
      <c r="AJ592" s="143"/>
      <c r="AK592" s="143"/>
      <c r="AL592" s="143"/>
      <c r="AM592" s="143"/>
      <c r="AN592" s="143"/>
      <c r="AO592" s="143"/>
      <c r="AP592" s="143"/>
      <c r="AQ592" s="143"/>
      <c r="AR592" s="143"/>
      <c r="AS592" s="143"/>
      <c r="AT592" s="143"/>
    </row>
    <row r="593" spans="1:46" ht="15" customHeight="1">
      <c r="A593" s="528" t="str">
        <f>+input!B29</f>
        <v>114i</v>
      </c>
      <c r="B593" s="827">
        <f t="shared" si="0"/>
        <v>-40.906946216828537</v>
      </c>
      <c r="C593" s="527">
        <f t="shared" si="1"/>
        <v>26.123889900462945</v>
      </c>
      <c r="D593" s="825">
        <f t="shared" si="2"/>
        <v>-0.3569066131209741</v>
      </c>
      <c r="E593" s="826">
        <f t="shared" si="3"/>
        <v>0.22792679308053013</v>
      </c>
      <c r="F593" s="827">
        <f t="shared" si="4"/>
        <v>-67.274764609021702</v>
      </c>
      <c r="G593" s="527">
        <f t="shared" si="5"/>
        <v>42.962838986075248</v>
      </c>
      <c r="H593" s="825">
        <f t="shared" si="6"/>
        <v>-5.8685816337449479</v>
      </c>
      <c r="I593" s="527">
        <f t="shared" si="7"/>
        <v>9.0586770395574572</v>
      </c>
      <c r="J593" s="825">
        <f t="shared" si="8"/>
        <v>-5.1542705909366031</v>
      </c>
      <c r="K593" s="826">
        <f t="shared" si="9"/>
        <v>7.9560744949522952</v>
      </c>
      <c r="L593" s="827">
        <f t="shared" si="10"/>
        <v>-12.100817535233711</v>
      </c>
      <c r="M593" s="527">
        <f t="shared" si="11"/>
        <v>42.986298093186385</v>
      </c>
      <c r="N593" s="527">
        <f t="shared" si="12"/>
        <v>4.1724571454252066</v>
      </c>
      <c r="O593" s="824">
        <f t="shared" si="13"/>
        <v>-14.822013976498605</v>
      </c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C593" s="143"/>
      <c r="AJ593" s="143"/>
      <c r="AK593" s="143"/>
      <c r="AL593" s="143"/>
      <c r="AM593" s="143"/>
      <c r="AN593" s="143"/>
      <c r="AO593" s="143"/>
      <c r="AP593" s="143"/>
      <c r="AQ593" s="143"/>
      <c r="AR593" s="143"/>
      <c r="AS593" s="143"/>
      <c r="AT593" s="143"/>
    </row>
    <row r="594" spans="1:46" ht="15" customHeight="1">
      <c r="A594" s="528" t="str">
        <f>+input!B30</f>
        <v>114j</v>
      </c>
      <c r="B594" s="827">
        <f t="shared" si="0"/>
        <v>-17.627475491092785</v>
      </c>
      <c r="C594" s="527">
        <f t="shared" si="1"/>
        <v>11.257213542940402</v>
      </c>
      <c r="D594" s="825">
        <f t="shared" si="2"/>
        <v>-0.38825438422916592</v>
      </c>
      <c r="E594" s="826">
        <f t="shared" si="3"/>
        <v>0.24794602689755896</v>
      </c>
      <c r="F594" s="827">
        <f t="shared" si="4"/>
        <v>-20.917885994491925</v>
      </c>
      <c r="G594" s="527">
        <f t="shared" si="5"/>
        <v>13.358527125785264</v>
      </c>
      <c r="H594" s="825">
        <f t="shared" si="6"/>
        <v>-2.0945232891296715</v>
      </c>
      <c r="I594" s="527">
        <f t="shared" si="7"/>
        <v>3.2330827467674839</v>
      </c>
      <c r="J594" s="825">
        <f t="shared" si="8"/>
        <v>-1.8227463603531779</v>
      </c>
      <c r="K594" s="826">
        <f t="shared" si="9"/>
        <v>2.8135709161008262</v>
      </c>
      <c r="L594" s="827">
        <f t="shared" si="10"/>
        <v>-8.2852828542809132</v>
      </c>
      <c r="M594" s="527">
        <f t="shared" si="11"/>
        <v>29.432196421727706</v>
      </c>
      <c r="N594" s="527">
        <f t="shared" si="12"/>
        <v>4.5770514455015014</v>
      </c>
      <c r="O594" s="824">
        <f t="shared" si="13"/>
        <v>-16.259273164916557</v>
      </c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C594" s="143"/>
      <c r="AJ594" s="143"/>
      <c r="AK594" s="143"/>
      <c r="AL594" s="143"/>
      <c r="AM594" s="143"/>
      <c r="AN594" s="143"/>
      <c r="AO594" s="143"/>
      <c r="AP594" s="143"/>
      <c r="AQ594" s="143"/>
      <c r="AR594" s="143"/>
      <c r="AS594" s="143"/>
      <c r="AT594" s="143"/>
    </row>
    <row r="595" spans="1:46" ht="15" customHeight="1">
      <c r="A595" s="528" t="str">
        <f>+input!B31</f>
        <v>115i</v>
      </c>
      <c r="B595" s="827">
        <f t="shared" si="0"/>
        <v>-22.307578946214541</v>
      </c>
      <c r="C595" s="527">
        <f t="shared" si="1"/>
        <v>16.944128966266813</v>
      </c>
      <c r="D595" s="825">
        <f t="shared" si="2"/>
        <v>-0.49134271798948609</v>
      </c>
      <c r="E595" s="826">
        <f t="shared" si="3"/>
        <v>0.37320833427612649</v>
      </c>
      <c r="F595" s="827">
        <f t="shared" si="4"/>
        <v>-26.471451168281636</v>
      </c>
      <c r="G595" s="527">
        <f t="shared" si="5"/>
        <v>20.106874152549491</v>
      </c>
      <c r="H595" s="825">
        <f t="shared" si="6"/>
        <v>-2.2915734801495455</v>
      </c>
      <c r="I595" s="527">
        <f t="shared" si="7"/>
        <v>4.6450695098085069</v>
      </c>
      <c r="J595" s="825">
        <f t="shared" si="8"/>
        <v>-1.9942021432418988</v>
      </c>
      <c r="K595" s="826">
        <f t="shared" si="9"/>
        <v>4.0422913130253253</v>
      </c>
      <c r="L595" s="827">
        <f t="shared" si="10"/>
        <v>-8.41187474748636</v>
      </c>
      <c r="M595" s="527">
        <f t="shared" si="11"/>
        <v>42.007907252390609</v>
      </c>
      <c r="N595" s="527">
        <f t="shared" si="12"/>
        <v>4.6469847981673524</v>
      </c>
      <c r="O595" s="824">
        <f t="shared" si="13"/>
        <v>-23.206492281998855</v>
      </c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C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  <c r="AT595" s="143"/>
    </row>
    <row r="596" spans="1:46" ht="15" customHeight="1">
      <c r="A596" s="528" t="str">
        <f>+input!B32</f>
        <v>115j</v>
      </c>
      <c r="B596" s="827">
        <f t="shared" si="0"/>
        <v>12.197030875549864</v>
      </c>
      <c r="C596" s="527">
        <f t="shared" si="1"/>
        <v>-9.2644775418771026</v>
      </c>
      <c r="D596" s="825">
        <f t="shared" si="2"/>
        <v>-0.53111379827417504</v>
      </c>
      <c r="E596" s="826">
        <f t="shared" si="3"/>
        <v>0.40341718459988041</v>
      </c>
      <c r="F596" s="827">
        <f t="shared" si="4"/>
        <v>45.182445386841593</v>
      </c>
      <c r="G596" s="527">
        <f t="shared" si="5"/>
        <v>-34.319151508634</v>
      </c>
      <c r="H596" s="825">
        <f t="shared" si="6"/>
        <v>2.7952487929130494</v>
      </c>
      <c r="I596" s="527">
        <f t="shared" si="7"/>
        <v>-5.666030372913073</v>
      </c>
      <c r="J596" s="825">
        <f t="shared" si="8"/>
        <v>2.4435115543552186</v>
      </c>
      <c r="K596" s="826">
        <f t="shared" si="9"/>
        <v>-4.9530513057165901</v>
      </c>
      <c r="L596" s="827">
        <f t="shared" si="10"/>
        <v>-4.7002780286186079</v>
      </c>
      <c r="M596" s="527">
        <f t="shared" si="11"/>
        <v>23.47263236957512</v>
      </c>
      <c r="N596" s="527">
        <f t="shared" si="12"/>
        <v>6.1315964275902566</v>
      </c>
      <c r="O596" s="824">
        <f t="shared" si="13"/>
        <v>-30.620467110054143</v>
      </c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C596" s="143"/>
      <c r="AJ596" s="143"/>
      <c r="AK596" s="143"/>
      <c r="AL596" s="143"/>
      <c r="AM596" s="143"/>
      <c r="AN596" s="143"/>
      <c r="AO596" s="143"/>
      <c r="AP596" s="143"/>
      <c r="AQ596" s="143"/>
      <c r="AR596" s="143"/>
      <c r="AS596" s="143"/>
      <c r="AT596" s="143"/>
    </row>
    <row r="597" spans="1:46" ht="15" customHeight="1">
      <c r="A597" s="528" t="str">
        <f>+input!B33</f>
        <v>116i</v>
      </c>
      <c r="B597" s="827">
        <f t="shared" si="0"/>
        <v>9.6508665135687473</v>
      </c>
      <c r="C597" s="527">
        <f t="shared" si="1"/>
        <v>-7.3938792695927686</v>
      </c>
      <c r="D597" s="825">
        <f t="shared" si="2"/>
        <v>-0.42024230511160909</v>
      </c>
      <c r="E597" s="826">
        <f t="shared" si="3"/>
        <v>0.3219628894050055</v>
      </c>
      <c r="F597" s="827">
        <f t="shared" si="4"/>
        <v>35.750562413063875</v>
      </c>
      <c r="G597" s="527">
        <f t="shared" si="5"/>
        <v>-27.389804006779091</v>
      </c>
      <c r="H597" s="825">
        <f t="shared" si="6"/>
        <v>2.5638432858372626</v>
      </c>
      <c r="I597" s="527">
        <f t="shared" si="7"/>
        <v>-4.737981550440951</v>
      </c>
      <c r="J597" s="825">
        <f t="shared" si="8"/>
        <v>2.2412247197397419</v>
      </c>
      <c r="K597" s="826">
        <f t="shared" si="9"/>
        <v>-4.1417825462180415</v>
      </c>
      <c r="L597" s="827">
        <f t="shared" si="10"/>
        <v>-4.5810741543176032</v>
      </c>
      <c r="M597" s="527">
        <f t="shared" si="11"/>
        <v>19.737179925900804</v>
      </c>
      <c r="N597" s="527">
        <f t="shared" si="12"/>
        <v>5.9760928498510975</v>
      </c>
      <c r="O597" s="824">
        <f t="shared" si="13"/>
        <v>-25.747502847172409</v>
      </c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C597" s="143"/>
      <c r="AJ597" s="143"/>
      <c r="AK597" s="143"/>
      <c r="AL597" s="143"/>
      <c r="AM597" s="143"/>
      <c r="AN597" s="143"/>
      <c r="AO597" s="143"/>
      <c r="AP597" s="143"/>
      <c r="AQ597" s="143"/>
      <c r="AR597" s="143"/>
      <c r="AS597" s="143"/>
      <c r="AT597" s="143"/>
    </row>
    <row r="598" spans="1:46" ht="15" customHeight="1">
      <c r="A598" s="528" t="str">
        <f>+input!B34</f>
        <v>116j</v>
      </c>
      <c r="B598" s="827">
        <f t="shared" si="0"/>
        <v>40.05980528623185</v>
      </c>
      <c r="C598" s="527">
        <f t="shared" si="1"/>
        <v>-30.691271445247995</v>
      </c>
      <c r="D598" s="825">
        <f t="shared" si="2"/>
        <v>-0.45163199375305946</v>
      </c>
      <c r="E598" s="826">
        <f t="shared" si="3"/>
        <v>0.34601166966724201</v>
      </c>
      <c r="F598" s="827">
        <f t="shared" si="4"/>
        <v>99.523419388105253</v>
      </c>
      <c r="G598" s="527">
        <f t="shared" si="5"/>
        <v>-76.248505397738313</v>
      </c>
      <c r="H598" s="825">
        <f t="shared" si="6"/>
        <v>7.7804497524261809</v>
      </c>
      <c r="I598" s="527">
        <f t="shared" si="7"/>
        <v>-14.378268587929593</v>
      </c>
      <c r="J598" s="825">
        <f t="shared" si="8"/>
        <v>6.8398256008987204</v>
      </c>
      <c r="K598" s="826">
        <f t="shared" si="9"/>
        <v>-12.639995464741846</v>
      </c>
      <c r="L598" s="827">
        <f t="shared" si="10"/>
        <v>-2.2847297644843145</v>
      </c>
      <c r="M598" s="527">
        <f t="shared" si="11"/>
        <v>9.8435696355596551</v>
      </c>
      <c r="N598" s="527">
        <f t="shared" si="12"/>
        <v>8.9417671109067207</v>
      </c>
      <c r="O598" s="824">
        <f t="shared" si="13"/>
        <v>-38.524865649060303</v>
      </c>
      <c r="Q598" s="73"/>
      <c r="R598" s="73"/>
      <c r="V598" s="156"/>
      <c r="X598" s="73"/>
      <c r="Y598" s="73"/>
      <c r="Z598" s="73"/>
      <c r="AA598" s="73"/>
      <c r="AC598" s="143"/>
      <c r="AJ598" s="143"/>
      <c r="AK598" s="143"/>
      <c r="AL598" s="143"/>
      <c r="AM598" s="143"/>
      <c r="AN598" s="143"/>
      <c r="AO598" s="143"/>
      <c r="AP598" s="143"/>
      <c r="AQ598" s="143"/>
      <c r="AR598" s="143"/>
      <c r="AS598" s="143"/>
      <c r="AT598" s="143"/>
    </row>
    <row r="599" spans="1:46" s="73" customFormat="1" ht="15" customHeight="1">
      <c r="A599" s="529" t="str">
        <f>+input!B35</f>
        <v>117i</v>
      </c>
      <c r="B599" s="831">
        <f t="shared" ref="B599:B630" si="14">-E81/B469*10^6</f>
        <v>25.129617803442262</v>
      </c>
      <c r="C599" s="832">
        <f t="shared" ref="C599:C620" si="15">E81/C469*10^6</f>
        <v>-24.866304020613445</v>
      </c>
      <c r="D599" s="828">
        <f t="shared" ref="D599:D630" si="16">-F81/B469*10^6</f>
        <v>-0.28331045820868322</v>
      </c>
      <c r="E599" s="830">
        <f t="shared" ref="E599:E630" si="17">F81/C469*10^6</f>
        <v>0.28034186755802581</v>
      </c>
      <c r="F599" s="827">
        <f t="shared" ref="F599:F630" si="18">-G81/B469*10^6</f>
        <v>62.43126868252817</v>
      </c>
      <c r="G599" s="527">
        <f t="shared" ref="G599:G630" si="19">G81/C469*10^6</f>
        <v>-61.777099818831928</v>
      </c>
      <c r="H599" s="828">
        <f t="shared" ref="H599:H630" si="20">-H81/J469*10^6</f>
        <v>6.3387324439437842</v>
      </c>
      <c r="I599" s="832">
        <f t="shared" ref="I599:I630" si="21">H81/K469*10^6</f>
        <v>-12.451404663086445</v>
      </c>
      <c r="J599" s="828">
        <f t="shared" ref="J599:J630" si="22">-I81/J469*10^6</f>
        <v>5.5723836469634627</v>
      </c>
      <c r="K599" s="830">
        <f t="shared" ref="K599:K630" si="23">I81/K469*10^6</f>
        <v>-10.946037609238273</v>
      </c>
      <c r="L599" s="831">
        <f t="shared" ref="L599:L630" si="24">-J81/H469*10^6</f>
        <v>-2.087658237405575</v>
      </c>
      <c r="M599" s="832">
        <f t="shared" ref="M599:M630" si="25">J81/I469*10^6</f>
        <v>8.6046045045040565</v>
      </c>
      <c r="N599" s="832">
        <f t="shared" ref="N599:N630" si="26">-K81/H469*10^6</f>
        <v>8.1704965707661152</v>
      </c>
      <c r="O599" s="833">
        <f t="shared" ref="O599:O630" si="27">K81/I469*10^6</f>
        <v>-33.675958227826989</v>
      </c>
    </row>
    <row r="600" spans="1:46" ht="15" customHeight="1">
      <c r="A600" s="528" t="str">
        <f>+input!B36</f>
        <v>117j</v>
      </c>
      <c r="B600" s="827">
        <f t="shared" si="14"/>
        <v>47.162610635360934</v>
      </c>
      <c r="C600" s="527">
        <f t="shared" si="15"/>
        <v>-46.668430202072436</v>
      </c>
      <c r="D600" s="825">
        <f t="shared" si="16"/>
        <v>0.60987139253045664</v>
      </c>
      <c r="E600" s="826">
        <f t="shared" si="17"/>
        <v>-0.60348102302056805</v>
      </c>
      <c r="F600" s="827">
        <f t="shared" si="18"/>
        <v>109.23061499787502</v>
      </c>
      <c r="G600" s="527">
        <f t="shared" si="19"/>
        <v>-108.0860720660733</v>
      </c>
      <c r="H600" s="825">
        <f t="shared" si="20"/>
        <v>11.321872574532531</v>
      </c>
      <c r="I600" s="527">
        <f t="shared" si="21"/>
        <v>-22.239969617915477</v>
      </c>
      <c r="J600" s="825">
        <f t="shared" si="22"/>
        <v>9.923626049695871</v>
      </c>
      <c r="K600" s="826">
        <f t="shared" si="23"/>
        <v>-19.493342677362122</v>
      </c>
      <c r="L600" s="827">
        <f t="shared" si="24"/>
        <v>-0.64937854294089659</v>
      </c>
      <c r="M600" s="527">
        <f t="shared" si="25"/>
        <v>2.676513538279873</v>
      </c>
      <c r="N600" s="527">
        <f t="shared" si="26"/>
        <v>13.473761365108164</v>
      </c>
      <c r="O600" s="824">
        <f t="shared" si="27"/>
        <v>-55.534179712720452</v>
      </c>
      <c r="Q600" s="73"/>
      <c r="R600" s="73"/>
      <c r="V600" s="156"/>
      <c r="X600" s="73"/>
      <c r="Y600" s="73"/>
      <c r="Z600" s="73"/>
      <c r="AA600" s="73"/>
      <c r="AC600" s="143"/>
      <c r="AJ600" s="143"/>
      <c r="AK600" s="143"/>
      <c r="AL600" s="143"/>
      <c r="AM600" s="143"/>
      <c r="AN600" s="143"/>
      <c r="AO600" s="143"/>
      <c r="AP600" s="143"/>
      <c r="AQ600" s="143"/>
      <c r="AR600" s="143"/>
      <c r="AS600" s="143"/>
      <c r="AT600" s="143"/>
    </row>
    <row r="601" spans="1:46" ht="15" customHeight="1">
      <c r="A601" s="528" t="str">
        <f>+input!B37</f>
        <v>118i</v>
      </c>
      <c r="B601" s="827">
        <f t="shared" si="14"/>
        <v>25.192846142208463</v>
      </c>
      <c r="C601" s="527">
        <f t="shared" si="15"/>
        <v>-38.143920722837201</v>
      </c>
      <c r="D601" s="825">
        <f t="shared" si="16"/>
        <v>0.32577595739972914</v>
      </c>
      <c r="E601" s="826">
        <f t="shared" si="17"/>
        <v>-0.49325003702707226</v>
      </c>
      <c r="F601" s="827">
        <f t="shared" si="18"/>
        <v>58.347729807993247</v>
      </c>
      <c r="G601" s="527">
        <f t="shared" si="19"/>
        <v>-88.342983067117544</v>
      </c>
      <c r="H601" s="825">
        <f t="shared" si="20"/>
        <v>8.0296479867021269</v>
      </c>
      <c r="I601" s="527">
        <f t="shared" si="21"/>
        <v>-19.103410316832051</v>
      </c>
      <c r="J601" s="825">
        <f t="shared" si="22"/>
        <v>7.0379640528923444</v>
      </c>
      <c r="K601" s="826">
        <f t="shared" si="23"/>
        <v>-16.744085832925361</v>
      </c>
      <c r="L601" s="827">
        <f t="shared" si="24"/>
        <v>-0.54539478055348412</v>
      </c>
      <c r="M601" s="527">
        <f t="shared" si="25"/>
        <v>2.3201023660928399</v>
      </c>
      <c r="N601" s="527">
        <f t="shared" si="26"/>
        <v>11.316233347768636</v>
      </c>
      <c r="O601" s="824">
        <f t="shared" si="27"/>
        <v>-48.139110790118799</v>
      </c>
      <c r="Q601" s="73"/>
      <c r="R601" s="73"/>
      <c r="V601" s="156"/>
      <c r="X601" s="73"/>
      <c r="Y601" s="73"/>
      <c r="Z601" s="73"/>
      <c r="AA601" s="73"/>
      <c r="AC601" s="143"/>
      <c r="AJ601" s="143"/>
      <c r="AK601" s="143"/>
      <c r="AL601" s="143"/>
      <c r="AM601" s="143"/>
      <c r="AN601" s="143"/>
      <c r="AO601" s="143"/>
      <c r="AP601" s="143"/>
      <c r="AQ601" s="143"/>
      <c r="AR601" s="143"/>
      <c r="AS601" s="143"/>
      <c r="AT601" s="143"/>
    </row>
    <row r="602" spans="1:46" ht="15" customHeight="1">
      <c r="A602" s="528" t="str">
        <f>+input!B38</f>
        <v>118j</v>
      </c>
      <c r="B602" s="827">
        <f t="shared" si="14"/>
        <v>34.397898045856813</v>
      </c>
      <c r="C602" s="527">
        <f t="shared" si="15"/>
        <v>-52.081082410737885</v>
      </c>
      <c r="D602" s="825">
        <f t="shared" si="16"/>
        <v>1.3848127636116658</v>
      </c>
      <c r="E602" s="826">
        <f t="shared" si="17"/>
        <v>-2.0967138041095486</v>
      </c>
      <c r="F602" s="827">
        <f t="shared" si="18"/>
        <v>77.25781068849183</v>
      </c>
      <c r="G602" s="527">
        <f t="shared" si="19"/>
        <v>-116.9743104644493</v>
      </c>
      <c r="H602" s="825">
        <f t="shared" si="20"/>
        <v>10.692829802441391</v>
      </c>
      <c r="I602" s="527">
        <f t="shared" si="21"/>
        <v>-25.439410980702785</v>
      </c>
      <c r="J602" s="825">
        <f t="shared" si="22"/>
        <v>9.3796297673715543</v>
      </c>
      <c r="K602" s="826">
        <f t="shared" si="23"/>
        <v>-22.315164545546079</v>
      </c>
      <c r="L602" s="827">
        <f t="shared" si="24"/>
        <v>-0.15698356785799467</v>
      </c>
      <c r="M602" s="527">
        <f t="shared" si="25"/>
        <v>0.66780607407978698</v>
      </c>
      <c r="N602" s="527">
        <f t="shared" si="26"/>
        <v>14.987039751207845</v>
      </c>
      <c r="O602" s="824">
        <f t="shared" si="27"/>
        <v>-63.754673912019406</v>
      </c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C602" s="143"/>
      <c r="AJ602" s="143"/>
      <c r="AK602" s="143"/>
      <c r="AL602" s="143"/>
      <c r="AM602" s="143"/>
      <c r="AN602" s="143"/>
      <c r="AO602" s="143"/>
      <c r="AP602" s="143"/>
      <c r="AQ602" s="143"/>
      <c r="AR602" s="143"/>
      <c r="AS602" s="143"/>
      <c r="AT602" s="143"/>
    </row>
    <row r="603" spans="1:46" ht="15" customHeight="1">
      <c r="A603" s="528" t="str">
        <f>+input!B39</f>
        <v>119i</v>
      </c>
      <c r="B603" s="827">
        <f t="shared" si="14"/>
        <v>33.305391719030737</v>
      </c>
      <c r="C603" s="527">
        <f t="shared" si="15"/>
        <v>-50.552671720794628</v>
      </c>
      <c r="D603" s="825">
        <f t="shared" si="16"/>
        <v>1.3408340703506338</v>
      </c>
      <c r="E603" s="826">
        <f t="shared" si="17"/>
        <v>-2.0351883311362258</v>
      </c>
      <c r="F603" s="827">
        <f t="shared" si="18"/>
        <v>74.804447335134313</v>
      </c>
      <c r="G603" s="527">
        <f t="shared" si="19"/>
        <v>-113.54211658251494</v>
      </c>
      <c r="H603" s="825">
        <f t="shared" si="20"/>
        <v>10.394854398185048</v>
      </c>
      <c r="I603" s="527">
        <f t="shared" si="21"/>
        <v>-24.687386660377694</v>
      </c>
      <c r="J603" s="825">
        <f t="shared" si="22"/>
        <v>9.1182412808384861</v>
      </c>
      <c r="K603" s="826">
        <f t="shared" si="23"/>
        <v>-21.655478714736098</v>
      </c>
      <c r="L603" s="827">
        <f t="shared" si="24"/>
        <v>-0.15325060716919447</v>
      </c>
      <c r="M603" s="527">
        <f t="shared" si="25"/>
        <v>0.64781436372925283</v>
      </c>
      <c r="N603" s="527">
        <f t="shared" si="26"/>
        <v>14.630658309531398</v>
      </c>
      <c r="O603" s="824">
        <f t="shared" si="27"/>
        <v>-61.846088435167992</v>
      </c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C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  <c r="AT603" s="143"/>
    </row>
    <row r="604" spans="1:46" ht="15" customHeight="1">
      <c r="A604" s="528" t="str">
        <f>+input!B40</f>
        <v>119j</v>
      </c>
      <c r="B604" s="827">
        <f t="shared" si="14"/>
        <v>37.410804615690914</v>
      </c>
      <c r="C604" s="527">
        <f t="shared" si="15"/>
        <v>-56.784082904725857</v>
      </c>
      <c r="D604" s="825">
        <f t="shared" si="16"/>
        <v>2.0074287997847278</v>
      </c>
      <c r="E604" s="826">
        <f t="shared" si="17"/>
        <v>-3.0469808004209669</v>
      </c>
      <c r="F604" s="827">
        <f t="shared" si="18"/>
        <v>82.995212436577916</v>
      </c>
      <c r="G604" s="527">
        <f t="shared" si="19"/>
        <v>-125.97448977927944</v>
      </c>
      <c r="H604" s="825">
        <f t="shared" si="20"/>
        <v>11.550777653597867</v>
      </c>
      <c r="I604" s="527">
        <f t="shared" si="21"/>
        <v>-27.432660741473175</v>
      </c>
      <c r="J604" s="825">
        <f t="shared" si="22"/>
        <v>10.138348088641491</v>
      </c>
      <c r="K604" s="826">
        <f t="shared" si="23"/>
        <v>-24.078193861521942</v>
      </c>
      <c r="L604" s="827">
        <f t="shared" si="24"/>
        <v>-7.9457179866623595E-2</v>
      </c>
      <c r="M604" s="527">
        <f t="shared" si="25"/>
        <v>0.33587796727088254</v>
      </c>
      <c r="N604" s="527">
        <f t="shared" si="26"/>
        <v>16.277484921713171</v>
      </c>
      <c r="O604" s="824">
        <f t="shared" si="27"/>
        <v>-68.807482935648537</v>
      </c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C604" s="143"/>
      <c r="AJ604" s="143"/>
      <c r="AK604" s="143"/>
      <c r="AL604" s="143"/>
      <c r="AM604" s="143"/>
      <c r="AN604" s="143"/>
      <c r="AO604" s="143"/>
      <c r="AP604" s="143"/>
      <c r="AQ604" s="143"/>
      <c r="AR604" s="143"/>
      <c r="AS604" s="143"/>
      <c r="AT604" s="143"/>
    </row>
    <row r="605" spans="1:46" ht="15" customHeight="1">
      <c r="A605" s="528" t="str">
        <f>+input!B41</f>
        <v>120i</v>
      </c>
      <c r="B605" s="827">
        <f t="shared" si="14"/>
        <v>37.410804615690914</v>
      </c>
      <c r="C605" s="527">
        <f t="shared" si="15"/>
        <v>-56.784082904725857</v>
      </c>
      <c r="D605" s="825">
        <f t="shared" si="16"/>
        <v>2.0074287997847278</v>
      </c>
      <c r="E605" s="826">
        <f t="shared" si="17"/>
        <v>-3.0469808004209669</v>
      </c>
      <c r="F605" s="827">
        <f t="shared" si="18"/>
        <v>82.995315048812571</v>
      </c>
      <c r="G605" s="527">
        <f t="shared" si="19"/>
        <v>-125.97464552951523</v>
      </c>
      <c r="H605" s="825">
        <f t="shared" si="20"/>
        <v>11.550946751608477</v>
      </c>
      <c r="I605" s="527">
        <f t="shared" si="21"/>
        <v>-27.433062342862808</v>
      </c>
      <c r="J605" s="825">
        <f t="shared" si="22"/>
        <v>10.138301971002235</v>
      </c>
      <c r="K605" s="826">
        <f t="shared" si="23"/>
        <v>-24.078084333870226</v>
      </c>
      <c r="L605" s="827">
        <f t="shared" si="24"/>
        <v>-8.4347105772215644E-2</v>
      </c>
      <c r="M605" s="527">
        <f t="shared" si="25"/>
        <v>0.35654845137354557</v>
      </c>
      <c r="N605" s="527">
        <f t="shared" si="26"/>
        <v>16.276200698748063</v>
      </c>
      <c r="O605" s="824">
        <f t="shared" si="27"/>
        <v>-68.802054323661977</v>
      </c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C605" s="143"/>
      <c r="AJ605" s="143"/>
      <c r="AK605" s="143"/>
      <c r="AL605" s="143"/>
      <c r="AM605" s="143"/>
      <c r="AN605" s="143"/>
      <c r="AO605" s="143"/>
      <c r="AP605" s="143"/>
      <c r="AQ605" s="143"/>
      <c r="AR605" s="143"/>
      <c r="AS605" s="143"/>
      <c r="AT605" s="143"/>
    </row>
    <row r="606" spans="1:46" ht="15" customHeight="1">
      <c r="A606" s="528" t="str">
        <f>+input!B42</f>
        <v>120j</v>
      </c>
      <c r="B606" s="827">
        <f t="shared" si="14"/>
        <v>34.346880247808677</v>
      </c>
      <c r="C606" s="527">
        <f t="shared" si="15"/>
        <v>-52.133497676557226</v>
      </c>
      <c r="D606" s="825">
        <f t="shared" si="16"/>
        <v>1.3456055392624962</v>
      </c>
      <c r="E606" s="826">
        <f t="shared" si="17"/>
        <v>-2.0424307171007041</v>
      </c>
      <c r="F606" s="827">
        <f t="shared" si="18"/>
        <v>76.518046000959529</v>
      </c>
      <c r="G606" s="527">
        <f t="shared" si="19"/>
        <v>-116.14310658273629</v>
      </c>
      <c r="H606" s="825">
        <f t="shared" si="20"/>
        <v>10.643059532662473</v>
      </c>
      <c r="I606" s="527">
        <f t="shared" si="21"/>
        <v>-25.276864481924196</v>
      </c>
      <c r="J606" s="825">
        <f t="shared" si="22"/>
        <v>9.3358857930353985</v>
      </c>
      <c r="K606" s="826">
        <f t="shared" si="23"/>
        <v>-22.172376212410775</v>
      </c>
      <c r="L606" s="827">
        <f t="shared" si="24"/>
        <v>-0.27584450714575465</v>
      </c>
      <c r="M606" s="527">
        <f t="shared" si="25"/>
        <v>1.1660380156768269</v>
      </c>
      <c r="N606" s="527">
        <f t="shared" si="26"/>
        <v>15.250114781827678</v>
      </c>
      <c r="O606" s="824">
        <f t="shared" si="27"/>
        <v>-64.46462814519694</v>
      </c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C606" s="143"/>
      <c r="AJ606" s="143"/>
      <c r="AK606" s="143"/>
      <c r="AL606" s="143"/>
      <c r="AM606" s="143"/>
      <c r="AN606" s="143"/>
      <c r="AO606" s="143"/>
      <c r="AP606" s="143"/>
      <c r="AQ606" s="143"/>
      <c r="AR606" s="143"/>
      <c r="AS606" s="143"/>
      <c r="AT606" s="143"/>
    </row>
    <row r="607" spans="1:46" ht="15" customHeight="1">
      <c r="A607" s="528" t="str">
        <f>+input!B43</f>
        <v>121i</v>
      </c>
      <c r="B607" s="827">
        <f t="shared" si="14"/>
        <v>35.473520387961095</v>
      </c>
      <c r="C607" s="527">
        <f t="shared" si="15"/>
        <v>-53.709657964025553</v>
      </c>
      <c r="D607" s="825">
        <f t="shared" si="16"/>
        <v>1.3897407343400612</v>
      </c>
      <c r="E607" s="826">
        <f t="shared" si="17"/>
        <v>-2.1041751335570957</v>
      </c>
      <c r="F607" s="827">
        <f t="shared" si="18"/>
        <v>79.027455574845121</v>
      </c>
      <c r="G607" s="527">
        <f t="shared" si="19"/>
        <v>-119.65368991493314</v>
      </c>
      <c r="H607" s="825">
        <f t="shared" si="20"/>
        <v>10.948230478786616</v>
      </c>
      <c r="I607" s="527">
        <f t="shared" si="21"/>
        <v>-26.047037108709819</v>
      </c>
      <c r="J607" s="825">
        <f t="shared" si="22"/>
        <v>9.6035145284201402</v>
      </c>
      <c r="K607" s="826">
        <f t="shared" si="23"/>
        <v>-22.847810865917797</v>
      </c>
      <c r="L607" s="827">
        <f t="shared" si="24"/>
        <v>-0.28256367596614118</v>
      </c>
      <c r="M607" s="527">
        <f t="shared" si="25"/>
        <v>1.2020222351883059</v>
      </c>
      <c r="N607" s="527">
        <f t="shared" si="26"/>
        <v>15.621585277324003</v>
      </c>
      <c r="O607" s="824">
        <f t="shared" si="27"/>
        <v>-66.454022400543039</v>
      </c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C607" s="143"/>
      <c r="AJ607" s="143"/>
      <c r="AK607" s="143"/>
      <c r="AL607" s="143"/>
      <c r="AM607" s="143"/>
      <c r="AN607" s="143"/>
      <c r="AO607" s="143"/>
      <c r="AP607" s="143"/>
      <c r="AQ607" s="143"/>
      <c r="AR607" s="143"/>
      <c r="AS607" s="143"/>
      <c r="AT607" s="143"/>
    </row>
    <row r="608" spans="1:46" ht="15" customHeight="1">
      <c r="A608" s="528" t="str">
        <f>+input!B44</f>
        <v>121j</v>
      </c>
      <c r="B608" s="827">
        <f t="shared" si="14"/>
        <v>28.778766175570837</v>
      </c>
      <c r="C608" s="527">
        <f t="shared" si="15"/>
        <v>-43.573281450835424</v>
      </c>
      <c r="D608" s="825">
        <f t="shared" si="16"/>
        <v>0.3397385411301827</v>
      </c>
      <c r="E608" s="826">
        <f t="shared" si="17"/>
        <v>-0.5143904704617881</v>
      </c>
      <c r="F608" s="827">
        <f t="shared" si="18"/>
        <v>64.247808998730321</v>
      </c>
      <c r="G608" s="527">
        <f t="shared" si="19"/>
        <v>-97.276160034879055</v>
      </c>
      <c r="H608" s="825">
        <f t="shared" si="20"/>
        <v>8.8805302597987712</v>
      </c>
      <c r="I608" s="527">
        <f t="shared" si="21"/>
        <v>-21.12775225824759</v>
      </c>
      <c r="J608" s="825">
        <f t="shared" si="22"/>
        <v>7.784130625490068</v>
      </c>
      <c r="K608" s="826">
        <f t="shared" si="23"/>
        <v>-18.519297675915876</v>
      </c>
      <c r="L608" s="827">
        <f t="shared" si="24"/>
        <v>-1.1962491925869898</v>
      </c>
      <c r="M608" s="527">
        <f t="shared" si="25"/>
        <v>5.0888286450800617</v>
      </c>
      <c r="N608" s="527">
        <f t="shared" si="26"/>
        <v>13.521972220837384</v>
      </c>
      <c r="O608" s="824">
        <f t="shared" si="27"/>
        <v>-57.522295523196576</v>
      </c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C608" s="143"/>
      <c r="AJ608" s="143"/>
      <c r="AK608" s="143"/>
      <c r="AL608" s="143"/>
      <c r="AM608" s="143"/>
      <c r="AN608" s="143"/>
      <c r="AO608" s="143"/>
      <c r="AP608" s="143"/>
      <c r="AQ608" s="143"/>
      <c r="AR608" s="143"/>
      <c r="AS608" s="143"/>
      <c r="AT608" s="143"/>
    </row>
    <row r="609" spans="1:46" ht="15" customHeight="1">
      <c r="A609" s="528" t="str">
        <f>+input!B45</f>
        <v>122i</v>
      </c>
      <c r="B609" s="827">
        <f t="shared" si="14"/>
        <v>49.56232102459844</v>
      </c>
      <c r="C609" s="527">
        <f t="shared" si="15"/>
        <v>-50.306508574407481</v>
      </c>
      <c r="D609" s="825">
        <f t="shared" si="16"/>
        <v>0.58509324342343128</v>
      </c>
      <c r="E609" s="826">
        <f t="shared" si="17"/>
        <v>-0.59387852825738818</v>
      </c>
      <c r="F609" s="827">
        <f t="shared" si="18"/>
        <v>110.6463202828469</v>
      </c>
      <c r="G609" s="527">
        <f t="shared" si="19"/>
        <v>-112.307695543013</v>
      </c>
      <c r="H609" s="825">
        <f t="shared" si="20"/>
        <v>12.047070311134943</v>
      </c>
      <c r="I609" s="527">
        <f t="shared" si="21"/>
        <v>-23.456867864197573</v>
      </c>
      <c r="J609" s="825">
        <f t="shared" si="22"/>
        <v>10.559726301575893</v>
      </c>
      <c r="K609" s="826">
        <f t="shared" si="23"/>
        <v>-20.560858212076131</v>
      </c>
      <c r="L609" s="827">
        <f t="shared" si="24"/>
        <v>-1.4053400753712266</v>
      </c>
      <c r="M609" s="527">
        <f t="shared" si="25"/>
        <v>5.6116948694961595</v>
      </c>
      <c r="N609" s="527">
        <f t="shared" si="26"/>
        <v>15.885460636260676</v>
      </c>
      <c r="O609" s="824">
        <f t="shared" si="27"/>
        <v>-63.43258796525771</v>
      </c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C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  <c r="AT609" s="143"/>
    </row>
    <row r="610" spans="1:46" ht="15" customHeight="1">
      <c r="A610" s="528" t="str">
        <f>+input!B46</f>
        <v>122j</v>
      </c>
      <c r="B610" s="827">
        <f t="shared" si="14"/>
        <v>35.533862965600242</v>
      </c>
      <c r="C610" s="527">
        <f t="shared" si="15"/>
        <v>-36.067410585424099</v>
      </c>
      <c r="D610" s="825">
        <f t="shared" si="16"/>
        <v>-0.22627134010269015</v>
      </c>
      <c r="E610" s="826">
        <f t="shared" si="17"/>
        <v>0.22966884673074855</v>
      </c>
      <c r="F610" s="827">
        <f t="shared" si="18"/>
        <v>77.754936066866961</v>
      </c>
      <c r="G610" s="527">
        <f t="shared" si="19"/>
        <v>-78.922441021456194</v>
      </c>
      <c r="H610" s="825">
        <f t="shared" si="20"/>
        <v>8.4068809044068562</v>
      </c>
      <c r="I610" s="527">
        <f t="shared" si="21"/>
        <v>-16.369049854589871</v>
      </c>
      <c r="J610" s="825">
        <f t="shared" si="22"/>
        <v>7.3857933065327783</v>
      </c>
      <c r="K610" s="826">
        <f t="shared" si="23"/>
        <v>-14.380888729725758</v>
      </c>
      <c r="L610" s="827">
        <f t="shared" si="24"/>
        <v>-3.9938830148880253</v>
      </c>
      <c r="M610" s="527">
        <f t="shared" si="25"/>
        <v>15.948063544757764</v>
      </c>
      <c r="N610" s="527">
        <f t="shared" si="26"/>
        <v>13.284187628669802</v>
      </c>
      <c r="O610" s="824">
        <f t="shared" si="27"/>
        <v>-53.045386570605565</v>
      </c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C610" s="143"/>
      <c r="AJ610" s="143"/>
      <c r="AK610" s="143"/>
      <c r="AL610" s="143"/>
      <c r="AM610" s="143"/>
      <c r="AN610" s="143"/>
      <c r="AO610" s="143"/>
      <c r="AP610" s="143"/>
      <c r="AQ610" s="143"/>
      <c r="AR610" s="143"/>
      <c r="AS610" s="143"/>
      <c r="AT610" s="143"/>
    </row>
    <row r="611" spans="1:46" ht="15" customHeight="1">
      <c r="A611" s="528" t="str">
        <f>+input!B47</f>
        <v>123i</v>
      </c>
      <c r="B611" s="827">
        <f t="shared" si="14"/>
        <v>45.65221719534258</v>
      </c>
      <c r="C611" s="527">
        <f t="shared" si="15"/>
        <v>-38.543926676615825</v>
      </c>
      <c r="D611" s="825">
        <f t="shared" si="16"/>
        <v>-0.29070265660250177</v>
      </c>
      <c r="E611" s="826">
        <f t="shared" si="17"/>
        <v>0.24543872278622575</v>
      </c>
      <c r="F611" s="827">
        <f t="shared" si="18"/>
        <v>99.8959025594704</v>
      </c>
      <c r="G611" s="527">
        <f t="shared" si="19"/>
        <v>-84.341584704880475</v>
      </c>
      <c r="H611" s="825">
        <f t="shared" si="20"/>
        <v>9.5680046344551091</v>
      </c>
      <c r="I611" s="527">
        <f t="shared" si="21"/>
        <v>-17.034888198716644</v>
      </c>
      <c r="J611" s="825">
        <f t="shared" si="22"/>
        <v>8.4058642126582939</v>
      </c>
      <c r="K611" s="826">
        <f t="shared" si="23"/>
        <v>-14.965811843420168</v>
      </c>
      <c r="L611" s="827">
        <f t="shared" si="24"/>
        <v>-4.2996076078413665</v>
      </c>
      <c r="M611" s="527">
        <f t="shared" si="25"/>
        <v>16.528693805782783</v>
      </c>
      <c r="N611" s="527">
        <f t="shared" si="26"/>
        <v>14.301068403682875</v>
      </c>
      <c r="O611" s="824">
        <f t="shared" si="27"/>
        <v>-54.976640265715645</v>
      </c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C611" s="143"/>
      <c r="AJ611" s="143"/>
      <c r="AK611" s="143"/>
      <c r="AL611" s="143"/>
      <c r="AM611" s="143"/>
      <c r="AN611" s="143"/>
      <c r="AO611" s="143"/>
      <c r="AP611" s="143"/>
      <c r="AQ611" s="143"/>
      <c r="AR611" s="143"/>
      <c r="AS611" s="143"/>
      <c r="AT611" s="143"/>
    </row>
    <row r="612" spans="1:46" ht="15" customHeight="1">
      <c r="A612" s="528" t="str">
        <f>+input!B48</f>
        <v>123j</v>
      </c>
      <c r="B612" s="827">
        <f t="shared" si="14"/>
        <v>31.341310552252089</v>
      </c>
      <c r="C612" s="527">
        <f t="shared" si="15"/>
        <v>-26.46130352674945</v>
      </c>
      <c r="D612" s="825">
        <f t="shared" si="16"/>
        <v>-0.2538299058457012</v>
      </c>
      <c r="E612" s="826">
        <f t="shared" si="17"/>
        <v>0.21430725341084039</v>
      </c>
      <c r="F612" s="827">
        <f t="shared" si="18"/>
        <v>65.464081005789822</v>
      </c>
      <c r="G612" s="527">
        <f t="shared" si="19"/>
        <v>-55.270979007272004</v>
      </c>
      <c r="H612" s="825">
        <f t="shared" si="20"/>
        <v>6.2217238316931018</v>
      </c>
      <c r="I612" s="527">
        <f t="shared" si="21"/>
        <v>-11.077165399201204</v>
      </c>
      <c r="J612" s="825">
        <f t="shared" si="22"/>
        <v>5.4505118223712969</v>
      </c>
      <c r="K612" s="826">
        <f t="shared" si="23"/>
        <v>-9.7040985103124413</v>
      </c>
      <c r="L612" s="827">
        <f t="shared" si="24"/>
        <v>-6.7752753204557878</v>
      </c>
      <c r="M612" s="527">
        <f t="shared" si="25"/>
        <v>26.045737526712053</v>
      </c>
      <c r="N612" s="527">
        <f t="shared" si="26"/>
        <v>12.302851654573052</v>
      </c>
      <c r="O612" s="824">
        <f t="shared" si="27"/>
        <v>-47.295029333734639</v>
      </c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C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</row>
    <row r="613" spans="1:46" ht="15" customHeight="1">
      <c r="A613" s="528" t="str">
        <f>+input!B49</f>
        <v>124i</v>
      </c>
      <c r="B613" s="827">
        <f t="shared" si="14"/>
        <v>47.265000881810849</v>
      </c>
      <c r="C613" s="527">
        <f t="shared" si="15"/>
        <v>-33.302333035225161</v>
      </c>
      <c r="D613" s="825">
        <f t="shared" si="16"/>
        <v>-0.38279416247209053</v>
      </c>
      <c r="E613" s="826">
        <f t="shared" si="17"/>
        <v>0.26971201618006274</v>
      </c>
      <c r="F613" s="827">
        <f t="shared" si="18"/>
        <v>98.724824629510991</v>
      </c>
      <c r="G613" s="527">
        <f t="shared" si="19"/>
        <v>-69.560286201569028</v>
      </c>
      <c r="H613" s="825">
        <f t="shared" si="20"/>
        <v>7.2672065947475089</v>
      </c>
      <c r="I613" s="527">
        <f t="shared" si="21"/>
        <v>-12.979648965893583</v>
      </c>
      <c r="J613" s="825">
        <f t="shared" si="22"/>
        <v>6.3664305839629254</v>
      </c>
      <c r="K613" s="826">
        <f t="shared" si="23"/>
        <v>-11.370811200729142</v>
      </c>
      <c r="L613" s="827">
        <f t="shared" si="24"/>
        <v>-7.1162207465383824</v>
      </c>
      <c r="M613" s="527">
        <f t="shared" si="25"/>
        <v>30.227744086317397</v>
      </c>
      <c r="N613" s="527">
        <f t="shared" si="26"/>
        <v>12.921955794405585</v>
      </c>
      <c r="O613" s="824">
        <f t="shared" si="27"/>
        <v>-54.888906170877654</v>
      </c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C613" s="143"/>
      <c r="AJ613" s="143"/>
      <c r="AK613" s="143"/>
      <c r="AL613" s="143"/>
      <c r="AM613" s="143"/>
      <c r="AN613" s="143"/>
      <c r="AO613" s="143"/>
      <c r="AP613" s="143"/>
      <c r="AQ613" s="143"/>
      <c r="AR613" s="143"/>
      <c r="AS613" s="143"/>
      <c r="AT613" s="143"/>
    </row>
    <row r="614" spans="1:46" ht="15" customHeight="1">
      <c r="A614" s="528" t="str">
        <f>+input!B50</f>
        <v>124j</v>
      </c>
      <c r="B614" s="827">
        <f t="shared" si="14"/>
        <v>29.701909638928552</v>
      </c>
      <c r="C614" s="527">
        <f t="shared" si="15"/>
        <v>-20.927596913648173</v>
      </c>
      <c r="D614" s="825">
        <f t="shared" si="16"/>
        <v>-0.32718734302753055</v>
      </c>
      <c r="E614" s="826">
        <f t="shared" si="17"/>
        <v>0.2305321413123354</v>
      </c>
      <c r="F614" s="827">
        <f t="shared" si="18"/>
        <v>54.71198283658255</v>
      </c>
      <c r="G614" s="527">
        <f t="shared" si="19"/>
        <v>-38.549384099188195</v>
      </c>
      <c r="H614" s="825">
        <f t="shared" si="20"/>
        <v>3.9325073958015455</v>
      </c>
      <c r="I614" s="527">
        <f t="shared" si="21"/>
        <v>-7.0236843947956888</v>
      </c>
      <c r="J614" s="825">
        <f t="shared" si="22"/>
        <v>3.4648236468900571</v>
      </c>
      <c r="K614" s="826">
        <f t="shared" si="23"/>
        <v>-6.1883743194894913</v>
      </c>
      <c r="L614" s="827">
        <f t="shared" si="24"/>
        <v>-9.2513188454803466</v>
      </c>
      <c r="M614" s="527">
        <f t="shared" si="25"/>
        <v>39.297052253211298</v>
      </c>
      <c r="N614" s="527">
        <f t="shared" si="26"/>
        <v>10.984399496438632</v>
      </c>
      <c r="O614" s="824">
        <f t="shared" si="27"/>
        <v>-46.658701120497874</v>
      </c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C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  <c r="AT614" s="143"/>
    </row>
    <row r="615" spans="1:46" ht="15" customHeight="1">
      <c r="A615" s="528" t="str">
        <f>+input!B51</f>
        <v>125i</v>
      </c>
      <c r="B615" s="827">
        <f t="shared" si="14"/>
        <v>33.573087182533577</v>
      </c>
      <c r="C615" s="527">
        <f t="shared" si="15"/>
        <v>-25.501051476189055</v>
      </c>
      <c r="D615" s="825">
        <f t="shared" si="16"/>
        <v>-0.36983107571264751</v>
      </c>
      <c r="E615" s="826">
        <f t="shared" si="17"/>
        <v>0.28091194735732034</v>
      </c>
      <c r="F615" s="827">
        <f t="shared" si="18"/>
        <v>61.842630859967706</v>
      </c>
      <c r="G615" s="527">
        <f t="shared" si="19"/>
        <v>-46.973699630561732</v>
      </c>
      <c r="H615" s="825">
        <f t="shared" si="20"/>
        <v>4.1147110162781058</v>
      </c>
      <c r="I615" s="527">
        <f t="shared" si="21"/>
        <v>-8.3406091268516942</v>
      </c>
      <c r="J615" s="825">
        <f t="shared" si="22"/>
        <v>3.6253582242566913</v>
      </c>
      <c r="K615" s="826">
        <f t="shared" si="23"/>
        <v>-7.3486803262050771</v>
      </c>
      <c r="L615" s="827">
        <f t="shared" si="24"/>
        <v>-9.3112191505108051</v>
      </c>
      <c r="M615" s="527">
        <f t="shared" si="25"/>
        <v>46.499126796701688</v>
      </c>
      <c r="N615" s="527">
        <f t="shared" si="26"/>
        <v>11.055521126922114</v>
      </c>
      <c r="O615" s="824">
        <f t="shared" si="27"/>
        <v>-55.209964492798356</v>
      </c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C615" s="143"/>
      <c r="AJ615" s="143"/>
      <c r="AK615" s="143"/>
      <c r="AL615" s="143"/>
      <c r="AM615" s="143"/>
      <c r="AN615" s="143"/>
      <c r="AO615" s="143"/>
      <c r="AP615" s="143"/>
      <c r="AQ615" s="143"/>
      <c r="AR615" s="143"/>
      <c r="AS615" s="143"/>
      <c r="AT615" s="143"/>
    </row>
    <row r="616" spans="1:46" ht="15" customHeight="1">
      <c r="A616" s="953" t="str">
        <f>+input!B52</f>
        <v>125j</v>
      </c>
      <c r="B616" s="954">
        <f t="shared" si="14"/>
        <v>18.646241303925589</v>
      </c>
      <c r="C616" s="955">
        <f t="shared" si="15"/>
        <v>-14.163093097265945</v>
      </c>
      <c r="D616" s="956">
        <f t="shared" si="16"/>
        <v>-0.3064771438018617</v>
      </c>
      <c r="E616" s="957">
        <f t="shared" si="17"/>
        <v>0.23279031141445594</v>
      </c>
      <c r="F616" s="954">
        <f t="shared" si="18"/>
        <v>25.446396541245605</v>
      </c>
      <c r="G616" s="955">
        <f t="shared" si="19"/>
        <v>-19.328275191190016</v>
      </c>
      <c r="H616" s="956">
        <f t="shared" si="20"/>
        <v>1.5957973579327573</v>
      </c>
      <c r="I616" s="955">
        <f t="shared" si="21"/>
        <v>-3.2347161089866887</v>
      </c>
      <c r="J616" s="956">
        <f t="shared" si="22"/>
        <v>1.3914030515091793</v>
      </c>
      <c r="K616" s="957">
        <f t="shared" si="23"/>
        <v>-2.8204043843263649</v>
      </c>
      <c r="L616" s="954">
        <f t="shared" si="24"/>
        <v>-10.228027317861248</v>
      </c>
      <c r="M616" s="955">
        <f t="shared" si="25"/>
        <v>51.07755831386141</v>
      </c>
      <c r="N616" s="955">
        <f t="shared" si="26"/>
        <v>9.1613847877654759</v>
      </c>
      <c r="O616" s="958">
        <f t="shared" si="27"/>
        <v>-45.750871716547557</v>
      </c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C616" s="143"/>
      <c r="AJ616" s="143"/>
      <c r="AK616" s="143"/>
      <c r="AL616" s="143"/>
      <c r="AM616" s="143"/>
      <c r="AN616" s="143"/>
      <c r="AO616" s="143"/>
      <c r="AP616" s="143"/>
      <c r="AQ616" s="143"/>
      <c r="AR616" s="143"/>
      <c r="AS616" s="143"/>
      <c r="AT616" s="143"/>
    </row>
    <row r="617" spans="1:46" ht="15" customHeight="1">
      <c r="A617" s="959" t="str">
        <f>+input!B53</f>
        <v>126i</v>
      </c>
      <c r="B617" s="960">
        <f t="shared" si="14"/>
        <v>18.646241303925589</v>
      </c>
      <c r="C617" s="961">
        <f t="shared" si="15"/>
        <v>-14.163093097265945</v>
      </c>
      <c r="D617" s="962">
        <f t="shared" si="16"/>
        <v>-0.3064771438018617</v>
      </c>
      <c r="E617" s="963">
        <f t="shared" si="17"/>
        <v>0.23279031141445594</v>
      </c>
      <c r="F617" s="960">
        <f t="shared" si="18"/>
        <v>25.446396541245605</v>
      </c>
      <c r="G617" s="961">
        <f t="shared" si="19"/>
        <v>-19.328275191190016</v>
      </c>
      <c r="H617" s="962">
        <f t="shared" si="20"/>
        <v>1.5957973579327573</v>
      </c>
      <c r="I617" s="961">
        <f t="shared" si="21"/>
        <v>-3.2347161089866887</v>
      </c>
      <c r="J617" s="962">
        <f t="shared" si="22"/>
        <v>1.3914030515091793</v>
      </c>
      <c r="K617" s="963">
        <f t="shared" si="23"/>
        <v>-2.8204043843263649</v>
      </c>
      <c r="L617" s="960">
        <f t="shared" si="24"/>
        <v>-10.228027317861248</v>
      </c>
      <c r="M617" s="961">
        <f t="shared" si="25"/>
        <v>51.07755831386141</v>
      </c>
      <c r="N617" s="961">
        <f t="shared" si="26"/>
        <v>9.1613847877654759</v>
      </c>
      <c r="O617" s="823">
        <f t="shared" si="27"/>
        <v>-45.750871716547557</v>
      </c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C617" s="143"/>
      <c r="AJ617" s="143"/>
      <c r="AK617" s="143"/>
      <c r="AL617" s="143"/>
      <c r="AM617" s="143"/>
      <c r="AN617" s="143"/>
      <c r="AO617" s="143"/>
      <c r="AP617" s="143"/>
      <c r="AQ617" s="143"/>
      <c r="AR617" s="143"/>
      <c r="AS617" s="143"/>
      <c r="AT617" s="143"/>
    </row>
    <row r="618" spans="1:46" ht="15" customHeight="1">
      <c r="A618" s="528" t="str">
        <f>+input!B54</f>
        <v>126j</v>
      </c>
      <c r="B618" s="827">
        <f t="shared" si="14"/>
        <v>7.3501553023625483</v>
      </c>
      <c r="C618" s="527">
        <f t="shared" si="15"/>
        <v>-5.58294468734604</v>
      </c>
      <c r="D618" s="825">
        <f t="shared" si="16"/>
        <v>-0.24312321189107577</v>
      </c>
      <c r="E618" s="826">
        <f t="shared" si="17"/>
        <v>0.18466867547159152</v>
      </c>
      <c r="F618" s="827">
        <f t="shared" si="18"/>
        <v>-2.0067407896410128</v>
      </c>
      <c r="G618" s="527">
        <f t="shared" si="19"/>
        <v>1.5242566135719282</v>
      </c>
      <c r="H618" s="825">
        <f t="shared" si="20"/>
        <v>-0.32258494113070141</v>
      </c>
      <c r="I618" s="527">
        <f t="shared" si="21"/>
        <v>0.65388672340186405</v>
      </c>
      <c r="J618" s="825">
        <f t="shared" si="22"/>
        <v>-0.26669727165167045</v>
      </c>
      <c r="K618" s="826">
        <f t="shared" si="23"/>
        <v>0.540601196352406</v>
      </c>
      <c r="L618" s="827">
        <f t="shared" si="24"/>
        <v>-10.47445918399273</v>
      </c>
      <c r="M618" s="527">
        <f t="shared" si="25"/>
        <v>52.308209897157781</v>
      </c>
      <c r="N618" s="527">
        <f t="shared" si="26"/>
        <v>7.271746861756724</v>
      </c>
      <c r="O618" s="824">
        <f t="shared" si="27"/>
        <v>-36.314243483335261</v>
      </c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C618" s="143"/>
      <c r="AJ618" s="143"/>
      <c r="AK618" s="143"/>
      <c r="AL618" s="143"/>
      <c r="AM618" s="143"/>
      <c r="AN618" s="143"/>
      <c r="AO618" s="143"/>
      <c r="AP618" s="143"/>
      <c r="AQ618" s="143"/>
      <c r="AR618" s="143"/>
      <c r="AS618" s="143"/>
      <c r="AT618" s="143"/>
    </row>
    <row r="619" spans="1:46" ht="15" customHeight="1">
      <c r="A619" s="528" t="str">
        <f>+input!B55</f>
        <v>127i</v>
      </c>
      <c r="B619" s="827">
        <f t="shared" si="14"/>
        <v>7.8780655248680764</v>
      </c>
      <c r="C619" s="527">
        <f t="shared" si="15"/>
        <v>-7.5295765904141199</v>
      </c>
      <c r="D619" s="825">
        <f t="shared" si="16"/>
        <v>-0.26058505094152712</v>
      </c>
      <c r="E619" s="826">
        <f t="shared" si="17"/>
        <v>0.24905798170726062</v>
      </c>
      <c r="F619" s="827">
        <f t="shared" si="18"/>
        <v>-2.1507638339321034</v>
      </c>
      <c r="G619" s="527">
        <f t="shared" si="19"/>
        <v>2.0556240569928077</v>
      </c>
      <c r="H619" s="825">
        <f t="shared" si="20"/>
        <v>-0.33548947487551445</v>
      </c>
      <c r="I619" s="527">
        <f t="shared" si="21"/>
        <v>0.86928998426320503</v>
      </c>
      <c r="J619" s="825">
        <f t="shared" si="22"/>
        <v>-0.27736610178867338</v>
      </c>
      <c r="K619" s="826">
        <f t="shared" si="23"/>
        <v>0.71868595683512415</v>
      </c>
      <c r="L619" s="827">
        <f t="shared" si="24"/>
        <v>-10.491024212717445</v>
      </c>
      <c r="M619" s="527">
        <f t="shared" si="25"/>
        <v>69.250510025133536</v>
      </c>
      <c r="N619" s="527">
        <f t="shared" si="26"/>
        <v>7.2832547407346464</v>
      </c>
      <c r="O619" s="824">
        <f t="shared" si="27"/>
        <v>-48.076250250899136</v>
      </c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C619" s="143"/>
      <c r="AJ619" s="143"/>
      <c r="AK619" s="143"/>
      <c r="AL619" s="143"/>
      <c r="AM619" s="143"/>
      <c r="AN619" s="143"/>
      <c r="AO619" s="143"/>
      <c r="AP619" s="143"/>
      <c r="AQ619" s="143"/>
      <c r="AR619" s="143"/>
      <c r="AS619" s="143"/>
      <c r="AT619" s="143"/>
    </row>
    <row r="620" spans="1:46" s="73" customFormat="1" ht="15" customHeight="1">
      <c r="A620" s="529" t="str">
        <f>+input!B56</f>
        <v>127j</v>
      </c>
      <c r="B620" s="831">
        <f t="shared" si="14"/>
        <v>0.43120239009066519</v>
      </c>
      <c r="C620" s="832">
        <f t="shared" si="15"/>
        <v>-0.41212800425541768</v>
      </c>
      <c r="D620" s="828">
        <f t="shared" si="16"/>
        <v>-0.19332347593483623</v>
      </c>
      <c r="E620" s="830">
        <f t="shared" si="17"/>
        <v>0.18477174557402609</v>
      </c>
      <c r="F620" s="827">
        <f t="shared" si="18"/>
        <v>-17.875620393378519</v>
      </c>
      <c r="G620" s="527">
        <f t="shared" si="19"/>
        <v>17.084886185351454</v>
      </c>
      <c r="H620" s="828">
        <f t="shared" si="20"/>
        <v>-1.340623513467496</v>
      </c>
      <c r="I620" s="832">
        <f t="shared" si="21"/>
        <v>3.4737023966473703</v>
      </c>
      <c r="J620" s="828">
        <f t="shared" si="22"/>
        <v>-1.1825453167219708</v>
      </c>
      <c r="K620" s="830">
        <f t="shared" si="23"/>
        <v>3.0641044704761775</v>
      </c>
      <c r="L620" s="831">
        <f t="shared" si="24"/>
        <v>-9.4050103044334961</v>
      </c>
      <c r="M620" s="832">
        <f t="shared" si="25"/>
        <v>62.08180890328461</v>
      </c>
      <c r="N620" s="832">
        <f t="shared" si="26"/>
        <v>5.4030476408996035</v>
      </c>
      <c r="O620" s="833">
        <f t="shared" si="27"/>
        <v>-35.665135952009599</v>
      </c>
    </row>
    <row r="621" spans="1:46" ht="15" customHeight="1">
      <c r="A621" s="528" t="str">
        <f>+input!B57</f>
        <v>128i</v>
      </c>
      <c r="B621" s="827">
        <f t="shared" si="14"/>
        <v>0.43120239009066519</v>
      </c>
      <c r="C621" s="527">
        <f>Stress!B567</f>
        <v>0</v>
      </c>
      <c r="D621" s="825">
        <f t="shared" si="16"/>
        <v>-0.19332347593483623</v>
      </c>
      <c r="E621" s="826">
        <f t="shared" si="17"/>
        <v>0.18477174557402609</v>
      </c>
      <c r="F621" s="827">
        <f t="shared" si="18"/>
        <v>-17.875620393378519</v>
      </c>
      <c r="G621" s="527">
        <f t="shared" si="19"/>
        <v>17.084886185351454</v>
      </c>
      <c r="H621" s="825">
        <f t="shared" si="20"/>
        <v>-1.340623513467496</v>
      </c>
      <c r="I621" s="527">
        <f t="shared" si="21"/>
        <v>3.4737023966473703</v>
      </c>
      <c r="J621" s="825">
        <f t="shared" si="22"/>
        <v>-1.1825453167219708</v>
      </c>
      <c r="K621" s="826">
        <f t="shared" si="23"/>
        <v>3.0641044704761775</v>
      </c>
      <c r="L621" s="827">
        <f t="shared" si="24"/>
        <v>-9.4050103044334961</v>
      </c>
      <c r="M621" s="527">
        <f t="shared" si="25"/>
        <v>62.08180890328461</v>
      </c>
      <c r="N621" s="527">
        <f t="shared" si="26"/>
        <v>5.4030476408996035</v>
      </c>
      <c r="O621" s="824">
        <f t="shared" si="27"/>
        <v>-35.665135952009599</v>
      </c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C621" s="143"/>
      <c r="AJ621" s="143"/>
      <c r="AK621" s="143"/>
      <c r="AL621" s="143"/>
      <c r="AM621" s="143"/>
      <c r="AN621" s="143"/>
      <c r="AO621" s="143"/>
      <c r="AP621" s="143"/>
      <c r="AQ621" s="143"/>
      <c r="AR621" s="143"/>
      <c r="AS621" s="143"/>
      <c r="AT621" s="143"/>
    </row>
    <row r="622" spans="1:46" ht="15" customHeight="1">
      <c r="A622" s="528" t="str">
        <f>+input!B58</f>
        <v>128j</v>
      </c>
      <c r="B622" s="827">
        <f t="shared" si="14"/>
        <v>-3.5894974916787263</v>
      </c>
      <c r="C622" s="527">
        <f t="shared" ref="C622:C653" si="28">E104/C492*10^6</f>
        <v>3.4307148372121379</v>
      </c>
      <c r="D622" s="825">
        <f t="shared" si="16"/>
        <v>-0.1259547965093448</v>
      </c>
      <c r="E622" s="826">
        <f t="shared" si="17"/>
        <v>0.12038314282274495</v>
      </c>
      <c r="F622" s="827">
        <f t="shared" si="18"/>
        <v>-24.014524365764675</v>
      </c>
      <c r="G622" s="527">
        <f t="shared" si="19"/>
        <v>22.952233631925665</v>
      </c>
      <c r="H622" s="825">
        <f t="shared" si="20"/>
        <v>-1.7212028234178527</v>
      </c>
      <c r="I622" s="527">
        <f t="shared" si="21"/>
        <v>4.4598250834482167</v>
      </c>
      <c r="J622" s="825">
        <f t="shared" si="22"/>
        <v>-1.4888024277705743</v>
      </c>
      <c r="K622" s="826">
        <f t="shared" si="23"/>
        <v>3.8576501974851101</v>
      </c>
      <c r="L622" s="827">
        <f t="shared" si="24"/>
        <v>-7.4616805870023306</v>
      </c>
      <c r="M622" s="527">
        <f t="shared" si="25"/>
        <v>49.254026662922371</v>
      </c>
      <c r="N622" s="527">
        <f t="shared" si="26"/>
        <v>3.5228405410645625</v>
      </c>
      <c r="O622" s="824">
        <f t="shared" si="27"/>
        <v>-23.254021653120066</v>
      </c>
      <c r="Q622" s="73"/>
      <c r="R622" s="73"/>
      <c r="V622" s="156"/>
      <c r="X622" s="73"/>
      <c r="Y622" s="73"/>
      <c r="Z622" s="73"/>
      <c r="AA622" s="73"/>
      <c r="AC622" s="143"/>
      <c r="AJ622" s="143"/>
      <c r="AK622" s="143"/>
      <c r="AL622" s="143"/>
      <c r="AM622" s="143"/>
      <c r="AN622" s="143"/>
      <c r="AO622" s="143"/>
      <c r="AP622" s="143"/>
      <c r="AQ622" s="143"/>
      <c r="AR622" s="143"/>
      <c r="AS622" s="143"/>
      <c r="AT622" s="143"/>
    </row>
    <row r="623" spans="1:46" ht="15" customHeight="1">
      <c r="A623" s="528" t="str">
        <f>+input!B59</f>
        <v>129i</v>
      </c>
      <c r="B623" s="827">
        <f t="shared" si="14"/>
        <v>-3.5894974916787263</v>
      </c>
      <c r="C623" s="527">
        <f t="shared" si="28"/>
        <v>3.4307148372121379</v>
      </c>
      <c r="D623" s="825">
        <f t="shared" si="16"/>
        <v>-0.1259547965093448</v>
      </c>
      <c r="E623" s="826">
        <f t="shared" si="17"/>
        <v>0.12038314282274495</v>
      </c>
      <c r="F623" s="827">
        <f t="shared" si="18"/>
        <v>-24.014631470183478</v>
      </c>
      <c r="G623" s="527">
        <f t="shared" si="19"/>
        <v>22.952335998543717</v>
      </c>
      <c r="H623" s="825">
        <f t="shared" si="20"/>
        <v>-1.7212028234178527</v>
      </c>
      <c r="I623" s="527">
        <f t="shared" si="21"/>
        <v>4.4598250834482167</v>
      </c>
      <c r="J623" s="825">
        <f t="shared" si="22"/>
        <v>-1.4888024277705743</v>
      </c>
      <c r="K623" s="826">
        <f t="shared" si="23"/>
        <v>3.8576501974851101</v>
      </c>
      <c r="L623" s="827">
        <f t="shared" si="24"/>
        <v>-7.4616805870023306</v>
      </c>
      <c r="M623" s="527">
        <f t="shared" si="25"/>
        <v>49.254026662922371</v>
      </c>
      <c r="N623" s="527">
        <f t="shared" si="26"/>
        <v>3.5228405410645625</v>
      </c>
      <c r="O623" s="824">
        <f t="shared" si="27"/>
        <v>-23.254021653120066</v>
      </c>
      <c r="Q623" s="73"/>
      <c r="R623" s="73"/>
      <c r="V623" s="156"/>
      <c r="X623" s="73"/>
      <c r="Y623" s="73"/>
      <c r="Z623" s="73"/>
      <c r="AA623" s="73"/>
      <c r="AC623" s="143"/>
      <c r="AJ623" s="143"/>
      <c r="AK623" s="143"/>
      <c r="AL623" s="143"/>
      <c r="AM623" s="143"/>
      <c r="AN623" s="143"/>
      <c r="AO623" s="143"/>
      <c r="AP623" s="143"/>
      <c r="AQ623" s="143"/>
      <c r="AR623" s="143"/>
      <c r="AS623" s="143"/>
      <c r="AT623" s="143"/>
    </row>
    <row r="624" spans="1:46" ht="15" customHeight="1">
      <c r="A624" s="528" t="str">
        <f>+input!B60</f>
        <v>129j</v>
      </c>
      <c r="B624" s="827">
        <f t="shared" si="14"/>
        <v>-2.3660437157210343</v>
      </c>
      <c r="C624" s="527">
        <f t="shared" si="28"/>
        <v>2.2613809592663769</v>
      </c>
      <c r="D624" s="825">
        <f t="shared" si="16"/>
        <v>-3.8986008443368636E-2</v>
      </c>
      <c r="E624" s="826">
        <f t="shared" si="17"/>
        <v>3.7261448968944871E-2</v>
      </c>
      <c r="F624" s="827">
        <f t="shared" si="18"/>
        <v>-11.670954307848882</v>
      </c>
      <c r="G624" s="527">
        <f t="shared" si="19"/>
        <v>11.15468563529666</v>
      </c>
      <c r="H624" s="825">
        <f t="shared" si="20"/>
        <v>-0.76447906887043726</v>
      </c>
      <c r="I624" s="527">
        <f t="shared" si="21"/>
        <v>1.9808490206571139</v>
      </c>
      <c r="J624" s="825">
        <f t="shared" si="22"/>
        <v>-0.68305048852880845</v>
      </c>
      <c r="K624" s="826">
        <f t="shared" si="23"/>
        <v>1.7698586480082701</v>
      </c>
      <c r="L624" s="827">
        <f t="shared" si="24"/>
        <v>-2.778817973838974</v>
      </c>
      <c r="M624" s="527">
        <f t="shared" si="25"/>
        <v>18.342781224552301</v>
      </c>
      <c r="N624" s="527">
        <f t="shared" si="26"/>
        <v>1.0920551605941304</v>
      </c>
      <c r="O624" s="824">
        <f t="shared" si="27"/>
        <v>-7.2085790017573252</v>
      </c>
      <c r="Q624" s="73"/>
      <c r="R624" s="73"/>
      <c r="V624" s="156"/>
      <c r="X624" s="73"/>
      <c r="Y624" s="73"/>
      <c r="Z624" s="73"/>
      <c r="AA624" s="73"/>
      <c r="AC624" s="143"/>
      <c r="AJ624" s="143"/>
      <c r="AK624" s="143"/>
      <c r="AL624" s="143"/>
      <c r="AM624" s="143"/>
      <c r="AN624" s="143"/>
      <c r="AO624" s="143"/>
      <c r="AP624" s="143"/>
      <c r="AQ624" s="143"/>
      <c r="AR624" s="143"/>
      <c r="AS624" s="143"/>
      <c r="AT624" s="143"/>
    </row>
    <row r="625" spans="1:46" ht="15" customHeight="1">
      <c r="A625" s="528" t="str">
        <f>+input!B61</f>
        <v>130i</v>
      </c>
      <c r="B625" s="827">
        <f t="shared" si="14"/>
        <v>-2.6137464563353476</v>
      </c>
      <c r="C625" s="527">
        <f t="shared" si="28"/>
        <v>2.4939166059955036</v>
      </c>
      <c r="D625" s="825">
        <f t="shared" si="16"/>
        <v>-4.3065530966235138E-2</v>
      </c>
      <c r="E625" s="826">
        <f t="shared" si="17"/>
        <v>4.1091148134273184E-2</v>
      </c>
      <c r="F625" s="827">
        <f t="shared" si="18"/>
        <v>-12.892210929474478</v>
      </c>
      <c r="G625" s="527">
        <f t="shared" si="19"/>
        <v>12.301154477734837</v>
      </c>
      <c r="H625" s="825">
        <f t="shared" si="20"/>
        <v>-0.82002689041214738</v>
      </c>
      <c r="I625" s="527">
        <f t="shared" si="21"/>
        <v>2.1873722420792165</v>
      </c>
      <c r="J625" s="825">
        <f t="shared" si="22"/>
        <v>-0.73268162715087393</v>
      </c>
      <c r="K625" s="826">
        <f t="shared" si="23"/>
        <v>1.9543840235602044</v>
      </c>
      <c r="L625" s="827">
        <f t="shared" si="24"/>
        <v>-2.9088442752653623</v>
      </c>
      <c r="M625" s="527">
        <f t="shared" si="25"/>
        <v>20.297588289694534</v>
      </c>
      <c r="N625" s="527">
        <f t="shared" si="26"/>
        <v>1.1431545470319855</v>
      </c>
      <c r="O625" s="824">
        <f t="shared" si="27"/>
        <v>-7.9768038957777314</v>
      </c>
      <c r="Q625" s="73"/>
      <c r="R625" s="73"/>
      <c r="V625" s="156"/>
      <c r="X625" s="73"/>
      <c r="Y625" s="73"/>
      <c r="Z625" s="73"/>
      <c r="AA625" s="73"/>
      <c r="AC625" s="143"/>
      <c r="AJ625" s="143"/>
      <c r="AK625" s="143"/>
      <c r="AL625" s="143"/>
      <c r="AM625" s="143"/>
      <c r="AN625" s="143"/>
      <c r="AO625" s="143"/>
      <c r="AP625" s="143"/>
      <c r="AQ625" s="143"/>
      <c r="AR625" s="143"/>
      <c r="AS625" s="143"/>
      <c r="AT625" s="143"/>
    </row>
    <row r="626" spans="1:46" ht="15" customHeight="1">
      <c r="A626" s="528" t="str">
        <f>+input!B62</f>
        <v>130j</v>
      </c>
      <c r="B626" s="827">
        <f t="shared" si="14"/>
        <v>2.188770117789423E-2</v>
      </c>
      <c r="C626" s="527">
        <f t="shared" si="28"/>
        <v>-2.088423737593555E-2</v>
      </c>
      <c r="D626" s="825">
        <f t="shared" si="16"/>
        <v>0</v>
      </c>
      <c r="E626" s="826">
        <f t="shared" si="17"/>
        <v>0</v>
      </c>
      <c r="F626" s="827">
        <f t="shared" si="18"/>
        <v>0.10446940616259787</v>
      </c>
      <c r="G626" s="527">
        <f t="shared" si="19"/>
        <v>-9.9679900556492368E-2</v>
      </c>
      <c r="H626" s="825">
        <f t="shared" si="20"/>
        <v>4.0277350817889109E-3</v>
      </c>
      <c r="I626" s="527">
        <f t="shared" si="21"/>
        <v>-1.0743740259451398E-2</v>
      </c>
      <c r="J626" s="825">
        <f t="shared" si="22"/>
        <v>3.8612997478306918E-3</v>
      </c>
      <c r="K626" s="826">
        <f t="shared" si="23"/>
        <v>-1.0299784050383157E-2</v>
      </c>
      <c r="L626" s="827">
        <f t="shared" si="24"/>
        <v>2.3640875752910461E-3</v>
      </c>
      <c r="M626" s="527">
        <f t="shared" si="25"/>
        <v>-1.6496337288341909E-2</v>
      </c>
      <c r="N626" s="527">
        <f t="shared" si="26"/>
        <v>0.169375054331727</v>
      </c>
      <c r="O626" s="824">
        <f t="shared" si="27"/>
        <v>-1.181880085023256</v>
      </c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C626" s="143"/>
      <c r="AJ626" s="143"/>
      <c r="AK626" s="143"/>
      <c r="AL626" s="143"/>
      <c r="AM626" s="143"/>
      <c r="AN626" s="143"/>
      <c r="AO626" s="143"/>
      <c r="AP626" s="143"/>
      <c r="AQ626" s="143"/>
      <c r="AR626" s="143"/>
      <c r="AS626" s="143"/>
      <c r="AT626" s="143"/>
    </row>
    <row r="627" spans="1:46" ht="15" customHeight="1">
      <c r="A627" s="528" t="str">
        <f>+input!B63</f>
        <v>131i</v>
      </c>
      <c r="B627" s="827">
        <f t="shared" si="14"/>
        <v>2.200601307615312E-2</v>
      </c>
      <c r="C627" s="527">
        <f t="shared" si="28"/>
        <v>-2.09971251455352E-2</v>
      </c>
      <c r="D627" s="825">
        <f t="shared" si="16"/>
        <v>0</v>
      </c>
      <c r="E627" s="826">
        <f t="shared" si="17"/>
        <v>0</v>
      </c>
      <c r="F627" s="827">
        <f t="shared" si="18"/>
        <v>0.10482434185737452</v>
      </c>
      <c r="G627" s="527">
        <f t="shared" si="19"/>
        <v>-0.10001856386529132</v>
      </c>
      <c r="H627" s="825">
        <f t="shared" si="20"/>
        <v>4.061022148580555E-3</v>
      </c>
      <c r="I627" s="527">
        <f t="shared" si="21"/>
        <v>-1.0832531501265045E-2</v>
      </c>
      <c r="J627" s="825">
        <f t="shared" si="22"/>
        <v>3.8945868146223355E-3</v>
      </c>
      <c r="K627" s="826">
        <f t="shared" si="23"/>
        <v>-1.0388575292196807E-2</v>
      </c>
      <c r="L627" s="827">
        <f t="shared" si="24"/>
        <v>0</v>
      </c>
      <c r="M627" s="527">
        <f t="shared" si="25"/>
        <v>0</v>
      </c>
      <c r="N627" s="527">
        <f t="shared" si="26"/>
        <v>0.16935141345597413</v>
      </c>
      <c r="O627" s="824">
        <f t="shared" si="27"/>
        <v>-1.1817151216503727</v>
      </c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C627" s="143"/>
      <c r="AJ627" s="143"/>
      <c r="AK627" s="143"/>
      <c r="AL627" s="143"/>
      <c r="AM627" s="143"/>
      <c r="AN627" s="143"/>
      <c r="AO627" s="143"/>
      <c r="AP627" s="143"/>
      <c r="AQ627" s="143"/>
      <c r="AR627" s="143"/>
      <c r="AS627" s="143"/>
      <c r="AT627" s="143"/>
    </row>
    <row r="628" spans="1:46" ht="15" customHeight="1">
      <c r="A628" s="528" t="str">
        <f>+input!B64</f>
        <v>131j</v>
      </c>
      <c r="B628" s="827">
        <f t="shared" si="14"/>
        <v>0</v>
      </c>
      <c r="C628" s="527">
        <f t="shared" si="28"/>
        <v>0</v>
      </c>
      <c r="D628" s="825">
        <f t="shared" si="16"/>
        <v>0</v>
      </c>
      <c r="E628" s="826">
        <f t="shared" si="17"/>
        <v>0</v>
      </c>
      <c r="F628" s="827">
        <f t="shared" si="18"/>
        <v>0</v>
      </c>
      <c r="G628" s="527">
        <f t="shared" si="19"/>
        <v>0</v>
      </c>
      <c r="H628" s="825">
        <f t="shared" si="20"/>
        <v>0</v>
      </c>
      <c r="I628" s="527">
        <f t="shared" si="21"/>
        <v>0</v>
      </c>
      <c r="J628" s="825">
        <f t="shared" si="22"/>
        <v>0</v>
      </c>
      <c r="K628" s="826">
        <f t="shared" si="23"/>
        <v>0</v>
      </c>
      <c r="L628" s="827">
        <f t="shared" si="24"/>
        <v>0</v>
      </c>
      <c r="M628" s="527">
        <f t="shared" si="25"/>
        <v>0</v>
      </c>
      <c r="N628" s="527">
        <f t="shared" si="26"/>
        <v>0</v>
      </c>
      <c r="O628" s="824">
        <f t="shared" si="27"/>
        <v>0</v>
      </c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C628" s="143"/>
      <c r="AJ628" s="143"/>
      <c r="AK628" s="143"/>
      <c r="AL628" s="143"/>
      <c r="AM628" s="143"/>
      <c r="AN628" s="143"/>
      <c r="AO628" s="143"/>
      <c r="AP628" s="143"/>
      <c r="AQ628" s="143"/>
      <c r="AR628" s="143"/>
      <c r="AS628" s="143"/>
      <c r="AT628" s="143"/>
    </row>
    <row r="629" spans="1:46" ht="15" customHeight="1">
      <c r="A629" s="528" t="str">
        <f>+input!B65</f>
        <v>201i</v>
      </c>
      <c r="B629" s="827">
        <f t="shared" si="14"/>
        <v>3.4761751346613288E-4</v>
      </c>
      <c r="C629" s="527">
        <f t="shared" si="28"/>
        <v>-3.1066764924466252E-4</v>
      </c>
      <c r="D629" s="825">
        <f t="shared" si="16"/>
        <v>0</v>
      </c>
      <c r="E629" s="826">
        <f t="shared" si="17"/>
        <v>0</v>
      </c>
      <c r="F629" s="827">
        <f t="shared" si="18"/>
        <v>0</v>
      </c>
      <c r="G629" s="527">
        <f t="shared" si="19"/>
        <v>0</v>
      </c>
      <c r="H629" s="825">
        <f t="shared" si="20"/>
        <v>-1.6461406091310517E-4</v>
      </c>
      <c r="I629" s="527">
        <f t="shared" si="21"/>
        <v>4.0911681374214258E-4</v>
      </c>
      <c r="J629" s="825">
        <f t="shared" si="22"/>
        <v>9.8768436547863085E-5</v>
      </c>
      <c r="K629" s="826">
        <f t="shared" si="23"/>
        <v>-2.4547008824528556E-4</v>
      </c>
      <c r="L629" s="827">
        <f t="shared" si="24"/>
        <v>0</v>
      </c>
      <c r="M629" s="527">
        <f t="shared" si="25"/>
        <v>0</v>
      </c>
      <c r="N629" s="527">
        <f t="shared" si="26"/>
        <v>0</v>
      </c>
      <c r="O629" s="824">
        <f t="shared" si="27"/>
        <v>0</v>
      </c>
      <c r="V629" s="869"/>
      <c r="X629" s="869"/>
      <c r="Z629" s="73"/>
      <c r="AA629" s="73"/>
      <c r="AB629" s="73"/>
      <c r="AC629" s="73"/>
      <c r="AD629" s="73"/>
      <c r="AE629" s="73"/>
      <c r="AF629" s="73"/>
      <c r="AJ629" s="143"/>
      <c r="AK629" s="143"/>
      <c r="AL629" s="143"/>
      <c r="AM629" s="143"/>
      <c r="AN629" s="143"/>
      <c r="AO629" s="143"/>
      <c r="AP629" s="143"/>
      <c r="AQ629" s="143"/>
      <c r="AR629" s="143"/>
      <c r="AS629" s="143"/>
      <c r="AT629" s="143"/>
    </row>
    <row r="630" spans="1:46" ht="15" customHeight="1">
      <c r="A630" s="528" t="str">
        <f>+input!B66</f>
        <v>201j</v>
      </c>
      <c r="B630" s="827">
        <f t="shared" si="14"/>
        <v>2.1899903348366369E-2</v>
      </c>
      <c r="C630" s="527">
        <f t="shared" si="28"/>
        <v>-1.9572061902413736E-2</v>
      </c>
      <c r="D630" s="825">
        <f t="shared" si="16"/>
        <v>0</v>
      </c>
      <c r="E630" s="826">
        <f t="shared" si="17"/>
        <v>0</v>
      </c>
      <c r="F630" s="827">
        <f t="shared" si="18"/>
        <v>0.10243129396802048</v>
      </c>
      <c r="G630" s="527">
        <f t="shared" si="19"/>
        <v>-9.1543400644093886E-2</v>
      </c>
      <c r="H630" s="825">
        <f t="shared" si="20"/>
        <v>4.181197147192871E-3</v>
      </c>
      <c r="I630" s="527">
        <f t="shared" si="21"/>
        <v>-1.0391567069050421E-2</v>
      </c>
      <c r="J630" s="825">
        <f t="shared" si="22"/>
        <v>3.7861234010014184E-3</v>
      </c>
      <c r="K630" s="826">
        <f t="shared" si="23"/>
        <v>-9.4096867160692772E-3</v>
      </c>
      <c r="L630" s="827">
        <f t="shared" si="24"/>
        <v>0</v>
      </c>
      <c r="M630" s="527">
        <f t="shared" si="25"/>
        <v>0</v>
      </c>
      <c r="N630" s="527">
        <f t="shared" si="26"/>
        <v>0.1684339839527747</v>
      </c>
      <c r="O630" s="824">
        <f t="shared" si="27"/>
        <v>-1.0819780985400971</v>
      </c>
      <c r="V630" s="869"/>
      <c r="X630" s="869"/>
      <c r="Z630" s="507" t="s">
        <v>1455</v>
      </c>
      <c r="AA630" s="73"/>
      <c r="AB630" s="73"/>
      <c r="AC630" s="76" t="s">
        <v>1458</v>
      </c>
      <c r="AD630" s="73"/>
      <c r="AE630" s="73"/>
      <c r="AF630" s="73"/>
      <c r="AJ630" s="143"/>
      <c r="AK630" s="143"/>
      <c r="AL630" s="143"/>
      <c r="AM630" s="143"/>
      <c r="AN630" s="143"/>
      <c r="AO630" s="143"/>
      <c r="AP630" s="143"/>
      <c r="AQ630" s="143"/>
      <c r="AR630" s="143"/>
      <c r="AS630" s="143"/>
      <c r="AT630" s="143"/>
    </row>
    <row r="631" spans="1:46" ht="15" customHeight="1">
      <c r="A631" s="528" t="str">
        <f>+input!B67</f>
        <v>202i</v>
      </c>
      <c r="B631" s="827">
        <f t="shared" ref="B631:B662" si="29">-E113/B501*10^6</f>
        <v>2.2247520861832504E-2</v>
      </c>
      <c r="C631" s="527">
        <f t="shared" si="28"/>
        <v>-1.9882729551658401E-2</v>
      </c>
      <c r="D631" s="825">
        <f t="shared" ref="D631:D662" si="30">-F113/B501*10^6</f>
        <v>0</v>
      </c>
      <c r="E631" s="826">
        <f t="shared" ref="E631:E662" si="31">F113/C501*10^6</f>
        <v>0</v>
      </c>
      <c r="F631" s="827">
        <f t="shared" ref="F631:F662" si="32">-G113/B501*10^6</f>
        <v>0.10208367645455436</v>
      </c>
      <c r="G631" s="527">
        <f t="shared" ref="G631:G662" si="33">G113/C501*10^6</f>
        <v>-9.1232732994849228E-2</v>
      </c>
      <c r="H631" s="825">
        <f t="shared" ref="H631:H662" si="34">-H113/J501*10^6</f>
        <v>4.0165830862797652E-3</v>
      </c>
      <c r="I631" s="527">
        <f t="shared" ref="I631:I662" si="35">H113/K501*10^6</f>
        <v>-9.9824502553082783E-3</v>
      </c>
      <c r="J631" s="825">
        <f t="shared" ref="J631:J662" si="36">-I113/J501*10^6</f>
        <v>3.8519690253666604E-3</v>
      </c>
      <c r="K631" s="826">
        <f t="shared" ref="K631:K662" si="37">I113/K501*10^6</f>
        <v>-9.5733334415661359E-3</v>
      </c>
      <c r="L631" s="827">
        <f t="shared" ref="L631:L662" si="38">-J113/H501*10^6</f>
        <v>-3.5544594250022796E-5</v>
      </c>
      <c r="M631" s="527">
        <f t="shared" ref="M631:M662" si="39">J113/I501*10^6</f>
        <v>2.2832964938240656E-4</v>
      </c>
      <c r="N631" s="527">
        <f t="shared" ref="N631:N662" si="40">-K113/H501*10^6</f>
        <v>0.1684339839527747</v>
      </c>
      <c r="O631" s="824">
        <f t="shared" ref="O631:O662" si="41">K113/I501*10^6</f>
        <v>-1.0819780985400971</v>
      </c>
      <c r="V631" s="869"/>
      <c r="X631" s="869"/>
      <c r="Z631" s="73"/>
      <c r="AA631" s="73"/>
      <c r="AB631" s="73"/>
      <c r="AC631" s="73" t="s">
        <v>1459</v>
      </c>
      <c r="AD631" s="73"/>
      <c r="AE631" s="73"/>
      <c r="AF631" s="73"/>
      <c r="AJ631" s="143"/>
      <c r="AK631" s="143"/>
      <c r="AL631" s="143"/>
      <c r="AM631" s="143"/>
      <c r="AN631" s="143"/>
      <c r="AO631" s="143"/>
      <c r="AP631" s="143"/>
      <c r="AQ631" s="143"/>
      <c r="AR631" s="143"/>
      <c r="AS631" s="143"/>
      <c r="AT631" s="143"/>
    </row>
    <row r="632" spans="1:46" ht="15" customHeight="1">
      <c r="A632" s="528" t="str">
        <f>+input!B68</f>
        <v>202j</v>
      </c>
      <c r="B632" s="827">
        <f t="shared" si="29"/>
        <v>-20.062513044688881</v>
      </c>
      <c r="C632" s="527">
        <f t="shared" si="28"/>
        <v>17.929976264389534</v>
      </c>
      <c r="D632" s="825">
        <f t="shared" si="30"/>
        <v>-2.4564970951606722E-2</v>
      </c>
      <c r="E632" s="826">
        <f t="shared" si="31"/>
        <v>2.1953847213289485E-2</v>
      </c>
      <c r="F632" s="827">
        <f t="shared" si="32"/>
        <v>-41.356055577065824</v>
      </c>
      <c r="G632" s="527">
        <f t="shared" si="33"/>
        <v>36.960130230637496</v>
      </c>
      <c r="H632" s="825">
        <f t="shared" si="34"/>
        <v>-2.7621580964975392</v>
      </c>
      <c r="I632" s="527">
        <f t="shared" si="35"/>
        <v>6.8648164878676559</v>
      </c>
      <c r="J632" s="825">
        <f t="shared" si="36"/>
        <v>-2.4267075631688138</v>
      </c>
      <c r="K632" s="826">
        <f t="shared" si="37"/>
        <v>6.0311182448239178</v>
      </c>
      <c r="L632" s="827">
        <f t="shared" si="38"/>
        <v>-3.6171719374574027</v>
      </c>
      <c r="M632" s="527">
        <f t="shared" si="39"/>
        <v>23.235814549634348</v>
      </c>
      <c r="N632" s="527">
        <f t="shared" si="40"/>
        <v>0.27567202480509345</v>
      </c>
      <c r="O632" s="824">
        <f t="shared" si="41"/>
        <v>-1.7708486507268177</v>
      </c>
      <c r="V632" s="869"/>
      <c r="X632" s="869"/>
      <c r="Z632" s="73"/>
      <c r="AA632" s="73"/>
      <c r="AB632" s="73"/>
      <c r="AC632" s="73"/>
      <c r="AD632" s="73"/>
      <c r="AE632" s="73"/>
      <c r="AF632" s="73"/>
      <c r="AJ632" s="143"/>
      <c r="AK632" s="143"/>
      <c r="AL632" s="143"/>
      <c r="AM632" s="143"/>
      <c r="AN632" s="143"/>
      <c r="AO632" s="143"/>
      <c r="AP632" s="143"/>
      <c r="AQ632" s="143"/>
      <c r="AR632" s="143"/>
      <c r="AS632" s="143"/>
      <c r="AT632" s="143"/>
    </row>
    <row r="633" spans="1:46" ht="15" customHeight="1">
      <c r="A633" s="528" t="str">
        <f>+input!B69</f>
        <v>203i</v>
      </c>
      <c r="B633" s="827">
        <f t="shared" si="29"/>
        <v>-14.597097453102748</v>
      </c>
      <c r="C633" s="527">
        <f t="shared" si="28"/>
        <v>12.608777286356167</v>
      </c>
      <c r="D633" s="825">
        <f t="shared" si="30"/>
        <v>-1.7873308652291683E-2</v>
      </c>
      <c r="E633" s="826">
        <f t="shared" si="31"/>
        <v>1.5438724643106775E-2</v>
      </c>
      <c r="F633" s="827">
        <f t="shared" si="32"/>
        <v>-30.09114835314762</v>
      </c>
      <c r="G633" s="527">
        <f t="shared" si="33"/>
        <v>25.992330947608622</v>
      </c>
      <c r="H633" s="825">
        <f t="shared" si="34"/>
        <v>-2.3816176008432266</v>
      </c>
      <c r="I633" s="527">
        <f t="shared" si="35"/>
        <v>5.0555864658435086</v>
      </c>
      <c r="J633" s="825">
        <f t="shared" si="36"/>
        <v>-2.0924067814171354</v>
      </c>
      <c r="K633" s="826">
        <f t="shared" si="37"/>
        <v>4.4416632634165598</v>
      </c>
      <c r="L633" s="827">
        <f t="shared" si="38"/>
        <v>-3.4135280505823955</v>
      </c>
      <c r="M633" s="527">
        <f t="shared" si="39"/>
        <v>17.187490445780561</v>
      </c>
      <c r="N633" s="527">
        <f t="shared" si="40"/>
        <v>0.26015191030551177</v>
      </c>
      <c r="O633" s="824">
        <f t="shared" si="41"/>
        <v>-1.3098935783066639</v>
      </c>
      <c r="V633" s="869"/>
      <c r="X633" s="869"/>
      <c r="Z633" s="507" t="s">
        <v>1912</v>
      </c>
      <c r="AA633" s="73"/>
      <c r="AB633" s="73"/>
      <c r="AC633" s="76" t="s">
        <v>1460</v>
      </c>
      <c r="AD633" s="73"/>
      <c r="AE633" s="73"/>
      <c r="AF633" s="73"/>
      <c r="AJ633" s="143"/>
      <c r="AK633" s="143"/>
      <c r="AL633" s="143"/>
      <c r="AM633" s="143"/>
      <c r="AN633" s="143"/>
      <c r="AO633" s="143"/>
      <c r="AP633" s="143"/>
      <c r="AQ633" s="143"/>
      <c r="AR633" s="143"/>
      <c r="AS633" s="143"/>
      <c r="AT633" s="143"/>
    </row>
    <row r="634" spans="1:46" ht="15" customHeight="1">
      <c r="A634" s="528" t="str">
        <f>+input!B70</f>
        <v>203j</v>
      </c>
      <c r="B634" s="827">
        <f t="shared" si="29"/>
        <v>-33.586560507506171</v>
      </c>
      <c r="C634" s="527">
        <f t="shared" si="28"/>
        <v>29.011621153755822</v>
      </c>
      <c r="D634" s="825">
        <f t="shared" si="30"/>
        <v>-4.2828494317755546E-2</v>
      </c>
      <c r="E634" s="826">
        <f t="shared" si="31"/>
        <v>3.699467980518039E-2</v>
      </c>
      <c r="F634" s="827">
        <f t="shared" si="32"/>
        <v>-67.723231104428407</v>
      </c>
      <c r="G634" s="527">
        <f t="shared" si="33"/>
        <v>58.498420035324244</v>
      </c>
      <c r="H634" s="825">
        <f t="shared" si="34"/>
        <v>-5.4433121158002011</v>
      </c>
      <c r="I634" s="527">
        <f t="shared" si="35"/>
        <v>11.554808400919681</v>
      </c>
      <c r="J634" s="825">
        <f t="shared" si="36"/>
        <v>-4.7609642097789067</v>
      </c>
      <c r="K634" s="826">
        <f t="shared" si="37"/>
        <v>10.106352176269452</v>
      </c>
      <c r="L634" s="827">
        <f t="shared" si="38"/>
        <v>-7.61636730605571</v>
      </c>
      <c r="M634" s="527">
        <f t="shared" si="39"/>
        <v>38.349249915217051</v>
      </c>
      <c r="N634" s="527">
        <f t="shared" si="40"/>
        <v>0.47706629806185891</v>
      </c>
      <c r="O634" s="824">
        <f t="shared" si="41"/>
        <v>-2.402081458959489</v>
      </c>
      <c r="V634" s="869"/>
      <c r="X634" s="869"/>
      <c r="Z634" s="73"/>
      <c r="AA634" s="73"/>
      <c r="AB634" s="73"/>
      <c r="AC634" s="73" t="s">
        <v>1461</v>
      </c>
      <c r="AD634" s="73"/>
      <c r="AE634" s="73"/>
      <c r="AF634" s="73"/>
      <c r="AJ634" s="143"/>
      <c r="AK634" s="143"/>
      <c r="AL634" s="143"/>
      <c r="AM634" s="143"/>
      <c r="AN634" s="143"/>
      <c r="AO634" s="143"/>
      <c r="AP634" s="143"/>
      <c r="AQ634" s="143"/>
      <c r="AR634" s="143"/>
      <c r="AS634" s="143"/>
      <c r="AT634" s="143"/>
    </row>
    <row r="635" spans="1:46" ht="15" customHeight="1">
      <c r="A635" s="528" t="str">
        <f>+input!B71</f>
        <v>204i</v>
      </c>
      <c r="B635" s="827">
        <f t="shared" si="29"/>
        <v>-33.586476199446494</v>
      </c>
      <c r="C635" s="527">
        <f t="shared" si="28"/>
        <v>29.011548329582979</v>
      </c>
      <c r="D635" s="825">
        <f t="shared" si="30"/>
        <v>-4.2828494317755546E-2</v>
      </c>
      <c r="E635" s="826">
        <f t="shared" si="31"/>
        <v>3.699467980518039E-2</v>
      </c>
      <c r="F635" s="827">
        <f t="shared" si="32"/>
        <v>-67.723484028607444</v>
      </c>
      <c r="G635" s="527">
        <f t="shared" si="33"/>
        <v>58.498638507842777</v>
      </c>
      <c r="H635" s="825">
        <f t="shared" si="34"/>
        <v>-5.4433405031990461</v>
      </c>
      <c r="I635" s="527">
        <f t="shared" si="35"/>
        <v>11.5548686603624</v>
      </c>
      <c r="J635" s="825">
        <f t="shared" si="36"/>
        <v>-4.7609925971777507</v>
      </c>
      <c r="K635" s="826">
        <f t="shared" si="37"/>
        <v>10.106412435712171</v>
      </c>
      <c r="L635" s="827">
        <f t="shared" si="38"/>
        <v>-7.616378487209718</v>
      </c>
      <c r="M635" s="527">
        <f t="shared" si="39"/>
        <v>38.349306213561412</v>
      </c>
      <c r="N635" s="527">
        <f t="shared" si="40"/>
        <v>0.47706629806185891</v>
      </c>
      <c r="O635" s="824">
        <f t="shared" si="41"/>
        <v>-2.402081458959489</v>
      </c>
      <c r="V635" s="869"/>
      <c r="X635" s="869"/>
      <c r="Z635" s="73"/>
      <c r="AA635" s="73"/>
      <c r="AB635" s="73"/>
      <c r="AC635" s="73"/>
      <c r="AD635" s="73"/>
      <c r="AE635" s="73"/>
      <c r="AF635" s="73"/>
      <c r="AJ635" s="143"/>
      <c r="AK635" s="143"/>
      <c r="AL635" s="143"/>
      <c r="AM635" s="143"/>
      <c r="AN635" s="143"/>
      <c r="AO635" s="143"/>
      <c r="AP635" s="143"/>
      <c r="AQ635" s="143"/>
      <c r="AR635" s="143"/>
      <c r="AS635" s="143"/>
      <c r="AT635" s="143"/>
    </row>
    <row r="636" spans="1:46" ht="15" customHeight="1">
      <c r="A636" s="528" t="str">
        <f>+input!B72</f>
        <v>204j</v>
      </c>
      <c r="B636" s="827">
        <f t="shared" si="29"/>
        <v>-55.789003716338073</v>
      </c>
      <c r="C636" s="527">
        <f t="shared" si="28"/>
        <v>48.189794248272456</v>
      </c>
      <c r="D636" s="825">
        <f t="shared" si="30"/>
        <v>-7.680464236904587E-2</v>
      </c>
      <c r="E636" s="826">
        <f t="shared" si="31"/>
        <v>6.6342821461652227E-2</v>
      </c>
      <c r="F636" s="827">
        <f t="shared" si="32"/>
        <v>-109.08476518374114</v>
      </c>
      <c r="G636" s="527">
        <f t="shared" si="33"/>
        <v>94.22595923300436</v>
      </c>
      <c r="H636" s="825">
        <f t="shared" si="34"/>
        <v>-8.7824650670617128</v>
      </c>
      <c r="I636" s="527">
        <f t="shared" si="35"/>
        <v>18.643006129136904</v>
      </c>
      <c r="J636" s="825">
        <f t="shared" si="36"/>
        <v>-7.7116923826533741</v>
      </c>
      <c r="K636" s="826">
        <f t="shared" si="37"/>
        <v>16.370019949754838</v>
      </c>
      <c r="L636" s="827">
        <f t="shared" si="38"/>
        <v>-12.204598577878805</v>
      </c>
      <c r="M636" s="527">
        <f t="shared" si="39"/>
        <v>61.451500718176291</v>
      </c>
      <c r="N636" s="527">
        <f t="shared" si="40"/>
        <v>0.84894029921589753</v>
      </c>
      <c r="O636" s="824">
        <f t="shared" si="41"/>
        <v>-4.2745080941467215</v>
      </c>
      <c r="V636" s="869"/>
      <c r="X636" s="869"/>
      <c r="Z636" s="507" t="s">
        <v>1914</v>
      </c>
      <c r="AA636" s="73"/>
      <c r="AB636" s="73"/>
      <c r="AC636" s="76" t="s">
        <v>1583</v>
      </c>
      <c r="AD636" s="73"/>
      <c r="AE636" s="73"/>
      <c r="AF636" s="73"/>
      <c r="AJ636" s="143"/>
      <c r="AK636" s="143"/>
      <c r="AL636" s="143"/>
      <c r="AM636" s="143"/>
      <c r="AN636" s="143"/>
      <c r="AO636" s="143"/>
      <c r="AP636" s="143"/>
      <c r="AQ636" s="143"/>
      <c r="AR636" s="143"/>
      <c r="AS636" s="143"/>
      <c r="AT636" s="143"/>
    </row>
    <row r="637" spans="1:46" ht="15" customHeight="1">
      <c r="A637" s="528" t="str">
        <f>+input!B73</f>
        <v>205i</v>
      </c>
      <c r="B637" s="827">
        <f t="shared" si="29"/>
        <v>-44.990852337660876</v>
      </c>
      <c r="C637" s="527">
        <f t="shared" si="28"/>
        <v>31.022447051247116</v>
      </c>
      <c r="D637" s="825">
        <f t="shared" si="30"/>
        <v>-6.19391234721509E-2</v>
      </c>
      <c r="E637" s="826">
        <f t="shared" si="31"/>
        <v>4.2708752523610442E-2</v>
      </c>
      <c r="F637" s="827">
        <f t="shared" si="32"/>
        <v>-87.971028826318545</v>
      </c>
      <c r="G637" s="527">
        <f t="shared" si="33"/>
        <v>60.658477046093871</v>
      </c>
      <c r="H637" s="825">
        <f t="shared" si="34"/>
        <v>-8.0065477304612482</v>
      </c>
      <c r="I637" s="527">
        <f t="shared" si="35"/>
        <v>12.445052166771992</v>
      </c>
      <c r="J637" s="825">
        <f t="shared" si="36"/>
        <v>-7.030324413789919</v>
      </c>
      <c r="K637" s="826">
        <f t="shared" si="37"/>
        <v>10.927650346238041</v>
      </c>
      <c r="L637" s="827">
        <f t="shared" si="38"/>
        <v>-11.962696730354509</v>
      </c>
      <c r="M637" s="527">
        <f t="shared" si="39"/>
        <v>41.288815317830064</v>
      </c>
      <c r="N637" s="527">
        <f t="shared" si="40"/>
        <v>0.83211383618167878</v>
      </c>
      <c r="O637" s="824">
        <f t="shared" si="41"/>
        <v>-2.8720108249787821</v>
      </c>
      <c r="V637" s="869"/>
      <c r="X637" s="869"/>
      <c r="Z637" s="73"/>
      <c r="AA637" s="73"/>
      <c r="AB637" s="73"/>
      <c r="AC637" s="73" t="s">
        <v>1584</v>
      </c>
      <c r="AD637" s="73"/>
      <c r="AE637" s="73"/>
      <c r="AF637" s="73"/>
      <c r="AJ637" s="143"/>
      <c r="AK637" s="143"/>
      <c r="AL637" s="143"/>
      <c r="AM637" s="143"/>
      <c r="AN637" s="143"/>
      <c r="AO637" s="143"/>
      <c r="AP637" s="143"/>
      <c r="AQ637" s="143"/>
      <c r="AR637" s="143"/>
      <c r="AS637" s="143"/>
      <c r="AT637" s="143"/>
    </row>
    <row r="638" spans="1:46" ht="15" customHeight="1">
      <c r="A638" s="528" t="str">
        <f>+input!B74</f>
        <v>205j</v>
      </c>
      <c r="B638" s="827">
        <f t="shared" si="29"/>
        <v>-59.902611325760851</v>
      </c>
      <c r="C638" s="527">
        <f t="shared" si="28"/>
        <v>41.304520619834705</v>
      </c>
      <c r="D638" s="825">
        <f t="shared" si="30"/>
        <v>-8.9271206497183467E-2</v>
      </c>
      <c r="E638" s="826">
        <f t="shared" si="31"/>
        <v>6.1554985799671266E-2</v>
      </c>
      <c r="F638" s="827">
        <f t="shared" si="32"/>
        <v>-115.24219258172319</v>
      </c>
      <c r="G638" s="527">
        <f t="shared" si="33"/>
        <v>79.462704787290647</v>
      </c>
      <c r="H638" s="825">
        <f t="shared" si="34"/>
        <v>-10.529920152179026</v>
      </c>
      <c r="I638" s="527">
        <f t="shared" si="35"/>
        <v>16.367279633798208</v>
      </c>
      <c r="J638" s="825">
        <f t="shared" si="36"/>
        <v>-9.220939309242917</v>
      </c>
      <c r="K638" s="826">
        <f t="shared" si="37"/>
        <v>14.332653047651998</v>
      </c>
      <c r="L638" s="827">
        <f t="shared" si="38"/>
        <v>-15.571398405784828</v>
      </c>
      <c r="M638" s="527">
        <f t="shared" si="39"/>
        <v>53.744118697369203</v>
      </c>
      <c r="N638" s="527">
        <f t="shared" si="40"/>
        <v>1.1967266857447834</v>
      </c>
      <c r="O638" s="824">
        <f t="shared" si="41"/>
        <v>-4.13045889462843</v>
      </c>
      <c r="V638" s="869"/>
      <c r="X638" s="869"/>
      <c r="Z638" s="73"/>
      <c r="AA638" s="73"/>
      <c r="AB638" s="73"/>
      <c r="AC638" s="73"/>
      <c r="AD638" s="73"/>
      <c r="AE638" s="73"/>
      <c r="AF638" s="73"/>
      <c r="AJ638" s="143"/>
      <c r="AK638" s="143"/>
      <c r="AL638" s="143"/>
      <c r="AM638" s="143"/>
      <c r="AN638" s="143"/>
      <c r="AO638" s="143"/>
      <c r="AP638" s="143"/>
      <c r="AQ638" s="143"/>
      <c r="AR638" s="143"/>
      <c r="AS638" s="143"/>
      <c r="AT638" s="143"/>
    </row>
    <row r="639" spans="1:46" ht="15" customHeight="1">
      <c r="A639" s="528" t="str">
        <f>+input!B75</f>
        <v>206i</v>
      </c>
      <c r="B639" s="827">
        <f t="shared" si="29"/>
        <v>-59.902611325760851</v>
      </c>
      <c r="C639" s="527">
        <f t="shared" si="28"/>
        <v>41.304520619834705</v>
      </c>
      <c r="D639" s="825">
        <f t="shared" si="30"/>
        <v>-8.9271206497183467E-2</v>
      </c>
      <c r="E639" s="826">
        <f t="shared" si="31"/>
        <v>6.1554985799671266E-2</v>
      </c>
      <c r="F639" s="827">
        <f t="shared" si="32"/>
        <v>-115.24185263044176</v>
      </c>
      <c r="G639" s="527">
        <f t="shared" si="33"/>
        <v>79.462470381404103</v>
      </c>
      <c r="H639" s="825">
        <f t="shared" si="34"/>
        <v>-10.529894272763388</v>
      </c>
      <c r="I639" s="527">
        <f t="shared" si="35"/>
        <v>16.367239407887055</v>
      </c>
      <c r="J639" s="825">
        <f t="shared" si="36"/>
        <v>-9.2209651886585551</v>
      </c>
      <c r="K639" s="826">
        <f t="shared" si="37"/>
        <v>14.332693273563153</v>
      </c>
      <c r="L639" s="827">
        <f t="shared" si="38"/>
        <v>-15.571398405784828</v>
      </c>
      <c r="M639" s="527">
        <f t="shared" si="39"/>
        <v>53.744118697369203</v>
      </c>
      <c r="N639" s="527">
        <f t="shared" si="40"/>
        <v>1.1967266857447834</v>
      </c>
      <c r="O639" s="824">
        <f t="shared" si="41"/>
        <v>-4.13045889462843</v>
      </c>
      <c r="V639" s="869"/>
      <c r="X639" s="869"/>
      <c r="Z639" s="507" t="s">
        <v>1927</v>
      </c>
      <c r="AA639" s="73"/>
      <c r="AB639" s="73"/>
      <c r="AC639" s="76" t="s">
        <v>1585</v>
      </c>
      <c r="AD639" s="73"/>
      <c r="AE639" s="73"/>
      <c r="AF639" s="73"/>
      <c r="AJ639" s="143"/>
      <c r="AK639" s="143"/>
      <c r="AL639" s="143"/>
      <c r="AM639" s="143"/>
      <c r="AN639" s="143"/>
      <c r="AO639" s="143"/>
      <c r="AP639" s="143"/>
      <c r="AQ639" s="143"/>
      <c r="AR639" s="143"/>
      <c r="AS639" s="143"/>
      <c r="AT639" s="143"/>
    </row>
    <row r="640" spans="1:46" ht="15" customHeight="1">
      <c r="A640" s="528" t="str">
        <f>+input!B76</f>
        <v>206j</v>
      </c>
      <c r="B640" s="827">
        <f t="shared" si="29"/>
        <v>-70.803285144552873</v>
      </c>
      <c r="C640" s="527">
        <f t="shared" si="28"/>
        <v>48.820839133394415</v>
      </c>
      <c r="D640" s="825">
        <f t="shared" si="30"/>
        <v>-0.1166712797784972</v>
      </c>
      <c r="E640" s="826">
        <f t="shared" si="31"/>
        <v>8.0448100253035712E-2</v>
      </c>
      <c r="F640" s="827">
        <f t="shared" si="32"/>
        <v>-133.65973315444938</v>
      </c>
      <c r="G640" s="527">
        <f t="shared" si="33"/>
        <v>92.16211250118549</v>
      </c>
      <c r="H640" s="825">
        <f t="shared" si="34"/>
        <v>-12.214437195428415</v>
      </c>
      <c r="I640" s="527">
        <f t="shared" si="35"/>
        <v>18.985624416693476</v>
      </c>
      <c r="J640" s="825">
        <f t="shared" si="36"/>
        <v>-10.719202198150448</v>
      </c>
      <c r="K640" s="826">
        <f t="shared" si="37"/>
        <v>16.661491947975218</v>
      </c>
      <c r="L640" s="827">
        <f t="shared" si="38"/>
        <v>-18.019386435347254</v>
      </c>
      <c r="M640" s="527">
        <f t="shared" si="39"/>
        <v>62.193260887557152</v>
      </c>
      <c r="N640" s="527">
        <f t="shared" si="40"/>
        <v>1.5615258474435867</v>
      </c>
      <c r="O640" s="824">
        <f t="shared" si="41"/>
        <v>-5.3895500138793286</v>
      </c>
      <c r="V640" s="869"/>
      <c r="X640" s="869"/>
      <c r="Z640" s="73"/>
      <c r="AA640" s="73"/>
      <c r="AB640" s="73"/>
      <c r="AC640" s="73" t="s">
        <v>1586</v>
      </c>
      <c r="AD640" s="73"/>
      <c r="AE640" s="73"/>
      <c r="AF640" s="73"/>
      <c r="AJ640" s="143"/>
      <c r="AK640" s="143"/>
      <c r="AL640" s="143"/>
      <c r="AM640" s="143"/>
      <c r="AN640" s="143"/>
      <c r="AO640" s="143"/>
      <c r="AP640" s="143"/>
      <c r="AQ640" s="143"/>
      <c r="AR640" s="143"/>
      <c r="AS640" s="143"/>
      <c r="AT640" s="143"/>
    </row>
    <row r="641" spans="1:46" ht="15" customHeight="1">
      <c r="A641" s="528" t="str">
        <f>+input!B77</f>
        <v>207i</v>
      </c>
      <c r="B641" s="827">
        <f t="shared" si="29"/>
        <v>-59.622201000316963</v>
      </c>
      <c r="C641" s="527">
        <f t="shared" si="28"/>
        <v>42.231640062185001</v>
      </c>
      <c r="D641" s="825">
        <f t="shared" si="30"/>
        <v>-9.8246360754868201E-2</v>
      </c>
      <c r="E641" s="826">
        <f t="shared" si="31"/>
        <v>6.9589932528608178E-2</v>
      </c>
      <c r="F641" s="827">
        <f t="shared" si="32"/>
        <v>-112.55219884450628</v>
      </c>
      <c r="G641" s="527">
        <f t="shared" si="33"/>
        <v>79.72305399767771</v>
      </c>
      <c r="H641" s="825">
        <f t="shared" si="34"/>
        <v>-11.348826629737076</v>
      </c>
      <c r="I641" s="527">
        <f t="shared" si="35"/>
        <v>16.843278081460532</v>
      </c>
      <c r="J641" s="825">
        <f t="shared" si="36"/>
        <v>-9.9595797260669876</v>
      </c>
      <c r="K641" s="826">
        <f t="shared" si="37"/>
        <v>14.781437444913122</v>
      </c>
      <c r="L641" s="827">
        <f t="shared" si="38"/>
        <v>-17.492152037049927</v>
      </c>
      <c r="M641" s="527">
        <f t="shared" si="39"/>
        <v>55.392474496542114</v>
      </c>
      <c r="N641" s="527">
        <f t="shared" si="40"/>
        <v>1.5158367146001031</v>
      </c>
      <c r="O641" s="824">
        <f t="shared" si="41"/>
        <v>-4.8002067656718914</v>
      </c>
      <c r="V641" s="869"/>
      <c r="X641" s="869"/>
      <c r="Z641" s="73"/>
      <c r="AA641" s="73"/>
      <c r="AB641" s="73"/>
      <c r="AC641" s="73"/>
      <c r="AD641" s="73"/>
      <c r="AE641" s="73"/>
      <c r="AF641" s="73"/>
      <c r="AJ641" s="143"/>
      <c r="AK641" s="143"/>
      <c r="AL641" s="143"/>
      <c r="AM641" s="143"/>
      <c r="AN641" s="143"/>
      <c r="AO641" s="143"/>
      <c r="AP641" s="143"/>
      <c r="AQ641" s="143"/>
      <c r="AR641" s="143"/>
      <c r="AS641" s="143"/>
      <c r="AT641" s="143"/>
    </row>
    <row r="642" spans="1:46" ht="15" customHeight="1">
      <c r="A642" s="528" t="str">
        <f>+input!B78</f>
        <v>207j</v>
      </c>
      <c r="B642" s="827">
        <f t="shared" si="29"/>
        <v>-65.793973259438914</v>
      </c>
      <c r="C642" s="527">
        <f t="shared" si="28"/>
        <v>46.603234203629576</v>
      </c>
      <c r="D642" s="825">
        <f t="shared" si="30"/>
        <v>-0.12126211659604362</v>
      </c>
      <c r="E642" s="826">
        <f t="shared" si="31"/>
        <v>8.5892469169925476E-2</v>
      </c>
      <c r="F642" s="827">
        <f t="shared" si="32"/>
        <v>-122.93705673816697</v>
      </c>
      <c r="G642" s="527">
        <f t="shared" si="33"/>
        <v>87.078863969531781</v>
      </c>
      <c r="H642" s="825">
        <f t="shared" si="34"/>
        <v>-12.430076032903317</v>
      </c>
      <c r="I642" s="527">
        <f t="shared" si="35"/>
        <v>18.448006479127855</v>
      </c>
      <c r="J642" s="825">
        <f t="shared" si="36"/>
        <v>-10.887828262990279</v>
      </c>
      <c r="K642" s="826">
        <f t="shared" si="37"/>
        <v>16.159090725397686</v>
      </c>
      <c r="L642" s="827">
        <f t="shared" si="38"/>
        <v>-19.221074661748393</v>
      </c>
      <c r="M642" s="527">
        <f t="shared" si="39"/>
        <v>60.867461347345646</v>
      </c>
      <c r="N642" s="527">
        <f t="shared" si="40"/>
        <v>1.8714515546294617</v>
      </c>
      <c r="O642" s="824">
        <f t="shared" si="41"/>
        <v>-5.9263338376979764</v>
      </c>
      <c r="V642" s="869"/>
      <c r="X642" s="869"/>
      <c r="Z642" s="507" t="s">
        <v>1915</v>
      </c>
      <c r="AA642" s="73"/>
      <c r="AB642" s="73"/>
      <c r="AC642" s="76" t="s">
        <v>1587</v>
      </c>
      <c r="AD642" s="73"/>
      <c r="AE642" s="73"/>
      <c r="AF642" s="73"/>
      <c r="AJ642" s="143"/>
      <c r="AK642" s="143"/>
      <c r="AL642" s="143"/>
      <c r="AM642" s="143"/>
      <c r="AN642" s="143"/>
      <c r="AO642" s="143"/>
      <c r="AP642" s="143"/>
      <c r="AQ642" s="143"/>
      <c r="AR642" s="143"/>
      <c r="AS642" s="143"/>
      <c r="AT642" s="143"/>
    </row>
    <row r="643" spans="1:46" ht="15" customHeight="1">
      <c r="A643" s="528" t="str">
        <f>+input!B79</f>
        <v>208i</v>
      </c>
      <c r="B643" s="827">
        <f t="shared" si="29"/>
        <v>-65.79420227193485</v>
      </c>
      <c r="C643" s="527">
        <f t="shared" si="28"/>
        <v>46.603396417924515</v>
      </c>
      <c r="D643" s="825">
        <f t="shared" si="30"/>
        <v>-0.12126211659604362</v>
      </c>
      <c r="E643" s="826">
        <f t="shared" si="31"/>
        <v>8.5892469169925476E-2</v>
      </c>
      <c r="F643" s="827">
        <f t="shared" si="32"/>
        <v>-122.93688497879504</v>
      </c>
      <c r="G643" s="527">
        <f t="shared" si="33"/>
        <v>87.078742308810575</v>
      </c>
      <c r="H643" s="825">
        <f t="shared" si="34"/>
        <v>-12.430076032903317</v>
      </c>
      <c r="I643" s="527">
        <f t="shared" si="35"/>
        <v>18.448006479127855</v>
      </c>
      <c r="J643" s="825">
        <f t="shared" si="36"/>
        <v>-10.887780172194665</v>
      </c>
      <c r="K643" s="826">
        <f t="shared" si="37"/>
        <v>16.159019351794928</v>
      </c>
      <c r="L643" s="827">
        <f t="shared" si="38"/>
        <v>-19.221074661748393</v>
      </c>
      <c r="M643" s="527">
        <f t="shared" si="39"/>
        <v>60.867461347345646</v>
      </c>
      <c r="N643" s="527">
        <f t="shared" si="40"/>
        <v>1.8714515546294617</v>
      </c>
      <c r="O643" s="824">
        <f t="shared" si="41"/>
        <v>-5.9263338376979764</v>
      </c>
      <c r="V643" s="869"/>
      <c r="X643" s="869"/>
      <c r="Z643" s="73"/>
      <c r="AA643" s="73"/>
      <c r="AB643" s="73"/>
      <c r="AC643" s="73" t="s">
        <v>1588</v>
      </c>
      <c r="AD643" s="73"/>
      <c r="AE643" s="73"/>
      <c r="AF643" s="73"/>
      <c r="AJ643" s="143"/>
      <c r="AK643" s="143"/>
      <c r="AL643" s="143"/>
      <c r="AM643" s="143"/>
      <c r="AN643" s="143"/>
      <c r="AO643" s="143"/>
      <c r="AP643" s="143"/>
      <c r="AQ643" s="143"/>
      <c r="AR643" s="143"/>
      <c r="AS643" s="143"/>
      <c r="AT643" s="143"/>
    </row>
    <row r="644" spans="1:46" ht="15" customHeight="1">
      <c r="A644" s="528" t="str">
        <f>+input!B80</f>
        <v>208j</v>
      </c>
      <c r="B644" s="827">
        <f t="shared" si="29"/>
        <v>-68.203299222892511</v>
      </c>
      <c r="C644" s="527">
        <f t="shared" si="28"/>
        <v>48.309809693529864</v>
      </c>
      <c r="D644" s="825">
        <f t="shared" si="30"/>
        <v>-0.14427787243721904</v>
      </c>
      <c r="E644" s="826">
        <f t="shared" si="31"/>
        <v>0.10219500581124276</v>
      </c>
      <c r="F644" s="827">
        <f t="shared" si="32"/>
        <v>-125.73444437597752</v>
      </c>
      <c r="G644" s="527">
        <f t="shared" si="33"/>
        <v>89.06031158220533</v>
      </c>
      <c r="H644" s="825">
        <f t="shared" si="34"/>
        <v>-12.723622249325437</v>
      </c>
      <c r="I644" s="527">
        <f t="shared" si="35"/>
        <v>18.883670950378391</v>
      </c>
      <c r="J644" s="825">
        <f t="shared" si="36"/>
        <v>-11.168077374425387</v>
      </c>
      <c r="K644" s="826">
        <f t="shared" si="37"/>
        <v>16.575020395484923</v>
      </c>
      <c r="L644" s="827">
        <f t="shared" si="38"/>
        <v>-19.825447540118159</v>
      </c>
      <c r="M644" s="527">
        <f t="shared" si="39"/>
        <v>62.781331589302738</v>
      </c>
      <c r="N644" s="527">
        <f t="shared" si="40"/>
        <v>2.2273961996023046</v>
      </c>
      <c r="O644" s="824">
        <f t="shared" si="41"/>
        <v>-7.0535053044836138</v>
      </c>
      <c r="V644" s="869"/>
      <c r="X644" s="869"/>
      <c r="Z644" s="73"/>
      <c r="AA644" s="73"/>
      <c r="AB644" s="73"/>
      <c r="AC644" s="73"/>
      <c r="AD644" s="73"/>
      <c r="AE644" s="73"/>
      <c r="AF644" s="73"/>
      <c r="AJ644" s="143"/>
      <c r="AK644" s="143"/>
      <c r="AL644" s="143"/>
      <c r="AM644" s="143"/>
      <c r="AN644" s="143"/>
      <c r="AO644" s="143"/>
      <c r="AP644" s="143"/>
      <c r="AQ644" s="143"/>
      <c r="AR644" s="143"/>
      <c r="AS644" s="143"/>
      <c r="AT644" s="143"/>
    </row>
    <row r="645" spans="1:46" ht="15" customHeight="1">
      <c r="A645" s="528" t="str">
        <f>+input!B81</f>
        <v>209i</v>
      </c>
      <c r="B645" s="827">
        <f t="shared" si="29"/>
        <v>-68.203012957272591</v>
      </c>
      <c r="C645" s="527">
        <f t="shared" si="28"/>
        <v>48.309606925661193</v>
      </c>
      <c r="D645" s="825">
        <f t="shared" si="30"/>
        <v>-0.14427787243721904</v>
      </c>
      <c r="E645" s="826">
        <f t="shared" si="31"/>
        <v>0.10219500581124276</v>
      </c>
      <c r="F645" s="827">
        <f t="shared" si="32"/>
        <v>-125.73427261660555</v>
      </c>
      <c r="G645" s="527">
        <f t="shared" si="33"/>
        <v>89.06018992148411</v>
      </c>
      <c r="H645" s="825">
        <f t="shared" si="34"/>
        <v>-12.723598203927631</v>
      </c>
      <c r="I645" s="527">
        <f t="shared" si="35"/>
        <v>18.883635263577009</v>
      </c>
      <c r="J645" s="825">
        <f t="shared" si="36"/>
        <v>-11.168077374425387</v>
      </c>
      <c r="K645" s="826">
        <f t="shared" si="37"/>
        <v>16.575020395484923</v>
      </c>
      <c r="L645" s="827">
        <f t="shared" si="38"/>
        <v>-19.825447540118159</v>
      </c>
      <c r="M645" s="527">
        <f t="shared" si="39"/>
        <v>62.781331589302738</v>
      </c>
      <c r="N645" s="527">
        <f t="shared" si="40"/>
        <v>2.2273961996023046</v>
      </c>
      <c r="O645" s="824">
        <f t="shared" si="41"/>
        <v>-7.0535053044836138</v>
      </c>
      <c r="V645" s="869"/>
      <c r="X645" s="869"/>
      <c r="Z645" s="507" t="s">
        <v>1916</v>
      </c>
      <c r="AA645" s="73"/>
      <c r="AB645" s="73"/>
      <c r="AC645" s="76" t="s">
        <v>1589</v>
      </c>
      <c r="AD645" s="73"/>
      <c r="AE645" s="73"/>
      <c r="AF645" s="73"/>
      <c r="AJ645" s="143"/>
      <c r="AK645" s="143"/>
      <c r="AL645" s="143"/>
      <c r="AM645" s="143"/>
      <c r="AN645" s="143"/>
      <c r="AO645" s="143"/>
      <c r="AP645" s="143"/>
      <c r="AQ645" s="143"/>
      <c r="AR645" s="143"/>
      <c r="AS645" s="143"/>
      <c r="AT645" s="143"/>
    </row>
    <row r="646" spans="1:46" ht="15" customHeight="1">
      <c r="A646" s="528" t="str">
        <f>+input!B82</f>
        <v>209j</v>
      </c>
      <c r="B646" s="827">
        <f t="shared" si="29"/>
        <v>-67.43209964284118</v>
      </c>
      <c r="C646" s="527">
        <f t="shared" si="28"/>
        <v>47.763553055324522</v>
      </c>
      <c r="D646" s="825">
        <f t="shared" si="30"/>
        <v>-0.16729362827839447</v>
      </c>
      <c r="E646" s="826">
        <f t="shared" si="31"/>
        <v>0.11849754245256007</v>
      </c>
      <c r="F646" s="827">
        <f t="shared" si="32"/>
        <v>-123.40653235482776</v>
      </c>
      <c r="G646" s="527">
        <f t="shared" si="33"/>
        <v>87.411403274155674</v>
      </c>
      <c r="H646" s="825">
        <f t="shared" si="34"/>
        <v>-12.533302925686753</v>
      </c>
      <c r="I646" s="527">
        <f t="shared" si="35"/>
        <v>18.601209917453424</v>
      </c>
      <c r="J646" s="825">
        <f t="shared" si="36"/>
        <v>-10.98441862597911</v>
      </c>
      <c r="K646" s="826">
        <f t="shared" si="37"/>
        <v>16.302444606542295</v>
      </c>
      <c r="L646" s="827">
        <f t="shared" si="38"/>
        <v>-19.842203759020997</v>
      </c>
      <c r="M646" s="527">
        <f t="shared" si="39"/>
        <v>62.834393581118718</v>
      </c>
      <c r="N646" s="527">
        <f t="shared" si="40"/>
        <v>2.5833408445751478</v>
      </c>
      <c r="O646" s="824">
        <f t="shared" si="41"/>
        <v>-8.180676771269253</v>
      </c>
      <c r="V646" s="869"/>
      <c r="X646" s="869"/>
      <c r="Z646" s="73"/>
      <c r="AA646" s="73"/>
      <c r="AB646" s="73"/>
      <c r="AC646" s="73" t="s">
        <v>1590</v>
      </c>
      <c r="AD646" s="73"/>
      <c r="AE646" s="73"/>
      <c r="AF646" s="73"/>
      <c r="AJ646" s="143"/>
      <c r="AK646" s="143"/>
      <c r="AL646" s="143"/>
      <c r="AM646" s="143"/>
      <c r="AN646" s="143"/>
      <c r="AO646" s="143"/>
      <c r="AP646" s="143"/>
      <c r="AQ646" s="143"/>
      <c r="AR646" s="143"/>
      <c r="AS646" s="143"/>
      <c r="AT646" s="143"/>
    </row>
    <row r="647" spans="1:46" ht="15" customHeight="1">
      <c r="A647" s="528" t="str">
        <f>+input!B83</f>
        <v>210i</v>
      </c>
      <c r="B647" s="827">
        <f t="shared" si="29"/>
        <v>-67.431927883469243</v>
      </c>
      <c r="C647" s="527">
        <f t="shared" si="28"/>
        <v>47.763431394603323</v>
      </c>
      <c r="D647" s="825">
        <f t="shared" si="30"/>
        <v>-0.16729362827839447</v>
      </c>
      <c r="E647" s="826">
        <f t="shared" si="31"/>
        <v>0.11849754245256007</v>
      </c>
      <c r="F647" s="827">
        <f t="shared" si="32"/>
        <v>-123.40739115168753</v>
      </c>
      <c r="G647" s="527">
        <f t="shared" si="33"/>
        <v>87.412011577761689</v>
      </c>
      <c r="H647" s="825">
        <f t="shared" si="34"/>
        <v>-12.533326971084556</v>
      </c>
      <c r="I647" s="527">
        <f t="shared" si="35"/>
        <v>18.601245604254807</v>
      </c>
      <c r="J647" s="825">
        <f t="shared" si="36"/>
        <v>-10.98441862597911</v>
      </c>
      <c r="K647" s="826">
        <f t="shared" si="37"/>
        <v>16.302444606542295</v>
      </c>
      <c r="L647" s="827">
        <f t="shared" si="38"/>
        <v>-19.842193120151851</v>
      </c>
      <c r="M647" s="527">
        <f t="shared" si="39"/>
        <v>62.834359890965189</v>
      </c>
      <c r="N647" s="527">
        <f t="shared" si="40"/>
        <v>2.5833408445751478</v>
      </c>
      <c r="O647" s="824">
        <f t="shared" si="41"/>
        <v>-8.180676771269253</v>
      </c>
      <c r="V647" s="869"/>
      <c r="X647" s="869"/>
      <c r="Z647" s="869"/>
      <c r="AC647" s="869"/>
      <c r="AJ647" s="143"/>
      <c r="AK647" s="143"/>
      <c r="AL647" s="143"/>
      <c r="AM647" s="143"/>
      <c r="AN647" s="143"/>
      <c r="AO647" s="143"/>
      <c r="AP647" s="143"/>
      <c r="AQ647" s="143"/>
      <c r="AR647" s="143"/>
      <c r="AS647" s="143"/>
      <c r="AT647" s="143"/>
    </row>
    <row r="648" spans="1:46" ht="15" customHeight="1">
      <c r="A648" s="528" t="str">
        <f>+input!B84</f>
        <v>210j</v>
      </c>
      <c r="B648" s="827">
        <f t="shared" si="29"/>
        <v>-63.033113114729559</v>
      </c>
      <c r="C648" s="527">
        <f t="shared" si="28"/>
        <v>44.647659770998722</v>
      </c>
      <c r="D648" s="825">
        <f t="shared" si="30"/>
        <v>-0.19030938411956991</v>
      </c>
      <c r="E648" s="826">
        <f t="shared" si="31"/>
        <v>0.13480007909387737</v>
      </c>
      <c r="F648" s="827">
        <f t="shared" si="32"/>
        <v>-114.32000355373009</v>
      </c>
      <c r="G648" s="527">
        <f t="shared" si="33"/>
        <v>80.975226693881581</v>
      </c>
      <c r="H648" s="825">
        <f t="shared" si="34"/>
        <v>-11.651558188121291</v>
      </c>
      <c r="I648" s="527">
        <f t="shared" si="35"/>
        <v>17.292574910838333</v>
      </c>
      <c r="J648" s="825">
        <f t="shared" si="36"/>
        <v>-10.211070541725487</v>
      </c>
      <c r="K648" s="826">
        <f t="shared" si="37"/>
        <v>15.154685700549534</v>
      </c>
      <c r="L648" s="827">
        <f t="shared" si="38"/>
        <v>-18.967880214974663</v>
      </c>
      <c r="M648" s="527">
        <f t="shared" si="39"/>
        <v>60.065669383390969</v>
      </c>
      <c r="N648" s="527">
        <f t="shared" si="40"/>
        <v>2.9385939630535884</v>
      </c>
      <c r="O648" s="824">
        <f t="shared" si="41"/>
        <v>-9.3056583780751829</v>
      </c>
      <c r="V648" s="869"/>
      <c r="X648" s="869"/>
      <c r="Z648" s="869"/>
      <c r="AC648" s="869"/>
      <c r="AJ648" s="143"/>
      <c r="AK648" s="143"/>
      <c r="AL648" s="143"/>
      <c r="AM648" s="143"/>
      <c r="AN648" s="143"/>
      <c r="AO648" s="143"/>
      <c r="AP648" s="143"/>
      <c r="AQ648" s="143"/>
      <c r="AR648" s="143"/>
      <c r="AS648" s="143"/>
      <c r="AT648" s="143"/>
    </row>
    <row r="649" spans="1:46" ht="15" customHeight="1">
      <c r="A649" s="528" t="str">
        <f>+input!B85</f>
        <v>211i</v>
      </c>
      <c r="B649" s="827">
        <f t="shared" si="29"/>
        <v>-63.033456633473456</v>
      </c>
      <c r="C649" s="527">
        <f t="shared" si="28"/>
        <v>44.647903092441133</v>
      </c>
      <c r="D649" s="825">
        <f t="shared" si="30"/>
        <v>-0.19030938411956991</v>
      </c>
      <c r="E649" s="826">
        <f t="shared" si="31"/>
        <v>0.13480007909387737</v>
      </c>
      <c r="F649" s="827">
        <f t="shared" si="32"/>
        <v>-114.32091960371382</v>
      </c>
      <c r="G649" s="527">
        <f t="shared" si="33"/>
        <v>80.975875551061335</v>
      </c>
      <c r="H649" s="825">
        <f t="shared" si="34"/>
        <v>-11.651534142723484</v>
      </c>
      <c r="I649" s="527">
        <f t="shared" si="35"/>
        <v>17.292539224036958</v>
      </c>
      <c r="J649" s="825">
        <f t="shared" si="36"/>
        <v>-10.211118632521101</v>
      </c>
      <c r="K649" s="826">
        <f t="shared" si="37"/>
        <v>15.154757074152297</v>
      </c>
      <c r="L649" s="827">
        <f t="shared" si="38"/>
        <v>-18.967880214974663</v>
      </c>
      <c r="M649" s="527">
        <f t="shared" si="39"/>
        <v>60.065669383390969</v>
      </c>
      <c r="N649" s="527">
        <f t="shared" si="40"/>
        <v>2.9385939630535884</v>
      </c>
      <c r="O649" s="824">
        <f t="shared" si="41"/>
        <v>-9.3056583780751829</v>
      </c>
      <c r="V649" s="869"/>
      <c r="X649" s="869"/>
      <c r="Z649" s="869"/>
      <c r="AC649" s="869"/>
      <c r="AJ649" s="143"/>
      <c r="AK649" s="143"/>
      <c r="AL649" s="143"/>
      <c r="AM649" s="143"/>
      <c r="AN649" s="143"/>
      <c r="AO649" s="143"/>
      <c r="AP649" s="143"/>
      <c r="AQ649" s="143"/>
      <c r="AR649" s="143"/>
      <c r="AS649" s="143"/>
      <c r="AT649" s="143"/>
    </row>
    <row r="650" spans="1:46" ht="15" customHeight="1">
      <c r="A650" s="528" t="str">
        <f>+input!B86</f>
        <v>211j</v>
      </c>
      <c r="B650" s="827">
        <f t="shared" si="29"/>
        <v>-54.945021542771826</v>
      </c>
      <c r="C650" s="527">
        <f t="shared" si="28"/>
        <v>38.918696963082674</v>
      </c>
      <c r="D650" s="825">
        <f t="shared" si="30"/>
        <v>-0.21315338058879621</v>
      </c>
      <c r="E650" s="826">
        <f t="shared" si="31"/>
        <v>0.15098095501399081</v>
      </c>
      <c r="F650" s="827">
        <f t="shared" si="32"/>
        <v>-98.356286752915622</v>
      </c>
      <c r="G650" s="527">
        <f t="shared" si="33"/>
        <v>69.66779539017864</v>
      </c>
      <c r="H650" s="825">
        <f t="shared" si="34"/>
        <v>-10.076680813384788</v>
      </c>
      <c r="I650" s="527">
        <f t="shared" si="35"/>
        <v>14.955232167635115</v>
      </c>
      <c r="J650" s="825">
        <f t="shared" si="36"/>
        <v>-8.8463018530224495</v>
      </c>
      <c r="K650" s="826">
        <f t="shared" si="37"/>
        <v>13.129174227807257</v>
      </c>
      <c r="L650" s="827">
        <f t="shared" si="38"/>
        <v>-17.18861446148367</v>
      </c>
      <c r="M650" s="527">
        <f t="shared" si="39"/>
        <v>54.43126072606475</v>
      </c>
      <c r="N650" s="527">
        <f t="shared" si="40"/>
        <v>3.2919427239551351</v>
      </c>
      <c r="O650" s="824">
        <f t="shared" si="41"/>
        <v>-10.424609447398534</v>
      </c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C650" s="143"/>
      <c r="AJ650" s="143"/>
      <c r="AK650" s="143"/>
      <c r="AL650" s="143"/>
      <c r="AM650" s="143"/>
      <c r="AN650" s="143"/>
      <c r="AO650" s="143"/>
      <c r="AP650" s="143"/>
      <c r="AQ650" s="143"/>
      <c r="AR650" s="143"/>
      <c r="AS650" s="143"/>
      <c r="AT650" s="143"/>
    </row>
    <row r="651" spans="1:46" ht="15" customHeight="1">
      <c r="A651" s="528" t="str">
        <f>+input!B87</f>
        <v>212i</v>
      </c>
      <c r="B651" s="827">
        <f t="shared" si="29"/>
        <v>-67.931278731720255</v>
      </c>
      <c r="C651" s="527">
        <f t="shared" si="28"/>
        <v>47.270654513471101</v>
      </c>
      <c r="D651" s="825">
        <f t="shared" si="30"/>
        <v>-0.26353301112783545</v>
      </c>
      <c r="E651" s="826">
        <f t="shared" si="31"/>
        <v>0.1833820613198868</v>
      </c>
      <c r="F651" s="827">
        <f t="shared" si="32"/>
        <v>-121.60310688791833</v>
      </c>
      <c r="G651" s="527">
        <f t="shared" si="33"/>
        <v>84.618728821004183</v>
      </c>
      <c r="H651" s="825">
        <f t="shared" si="34"/>
        <v>-11.019865295842024</v>
      </c>
      <c r="I651" s="527">
        <f t="shared" si="35"/>
        <v>17.595240008419374</v>
      </c>
      <c r="J651" s="825">
        <f t="shared" si="36"/>
        <v>-9.6744438395643453</v>
      </c>
      <c r="K651" s="826">
        <f t="shared" si="37"/>
        <v>15.447027412334823</v>
      </c>
      <c r="L651" s="827">
        <f t="shared" si="38"/>
        <v>-17.779861802701806</v>
      </c>
      <c r="M651" s="527">
        <f t="shared" si="39"/>
        <v>63.725226719811843</v>
      </c>
      <c r="N651" s="527">
        <f t="shared" si="40"/>
        <v>3.4051777021054828</v>
      </c>
      <c r="O651" s="824">
        <f t="shared" si="41"/>
        <v>-12.204578612357126</v>
      </c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C651" s="143"/>
      <c r="AJ651" s="143"/>
      <c r="AK651" s="143"/>
      <c r="AL651" s="143"/>
      <c r="AM651" s="143"/>
      <c r="AN651" s="143"/>
      <c r="AO651" s="143"/>
      <c r="AP651" s="143"/>
      <c r="AQ651" s="143"/>
      <c r="AR651" s="143"/>
      <c r="AS651" s="143"/>
      <c r="AT651" s="143"/>
    </row>
    <row r="652" spans="1:46" ht="15" customHeight="1">
      <c r="A652" s="528" t="str">
        <f>+input!B88</f>
        <v>212j</v>
      </c>
      <c r="B652" s="827">
        <f t="shared" si="29"/>
        <v>-54.271307358787823</v>
      </c>
      <c r="C652" s="527">
        <f t="shared" si="28"/>
        <v>37.765227860398554</v>
      </c>
      <c r="D652" s="825">
        <f t="shared" si="30"/>
        <v>-0.29184706013431788</v>
      </c>
      <c r="E652" s="826">
        <f t="shared" si="31"/>
        <v>0.20308467333384186</v>
      </c>
      <c r="F652" s="827">
        <f t="shared" si="32"/>
        <v>-95.530751926401592</v>
      </c>
      <c r="G652" s="527">
        <f t="shared" si="33"/>
        <v>66.476021856723989</v>
      </c>
      <c r="H652" s="825">
        <f t="shared" si="34"/>
        <v>-8.7681172053671297</v>
      </c>
      <c r="I652" s="527">
        <f t="shared" si="35"/>
        <v>13.999910389884464</v>
      </c>
      <c r="J652" s="825">
        <f t="shared" si="36"/>
        <v>-7.6742194030120512</v>
      </c>
      <c r="K652" s="826">
        <f t="shared" si="37"/>
        <v>12.253301528487363</v>
      </c>
      <c r="L652" s="827">
        <f t="shared" si="38"/>
        <v>-15.394742956554005</v>
      </c>
      <c r="M652" s="527">
        <f t="shared" si="39"/>
        <v>55.176665380523588</v>
      </c>
      <c r="N652" s="527">
        <f t="shared" si="40"/>
        <v>3.7706698127953646</v>
      </c>
      <c r="O652" s="824">
        <f t="shared" si="41"/>
        <v>-13.51454760291902</v>
      </c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C652" s="143"/>
      <c r="AJ652" s="143"/>
      <c r="AK652" s="143"/>
      <c r="AL652" s="143"/>
      <c r="AM652" s="143"/>
      <c r="AN652" s="143"/>
      <c r="AO652" s="143"/>
      <c r="AP652" s="143"/>
      <c r="AQ652" s="143"/>
      <c r="AR652" s="143"/>
      <c r="AS652" s="143"/>
      <c r="AT652" s="143"/>
    </row>
    <row r="653" spans="1:46" ht="15" customHeight="1">
      <c r="A653" s="528" t="str">
        <f>+input!B89</f>
        <v>213i</v>
      </c>
      <c r="B653" s="827">
        <f t="shared" si="29"/>
        <v>-60.540047365725023</v>
      </c>
      <c r="C653" s="527">
        <f t="shared" si="28"/>
        <v>38.661930997439953</v>
      </c>
      <c r="D653" s="825">
        <f t="shared" si="30"/>
        <v>-0.32547988037271136</v>
      </c>
      <c r="E653" s="826">
        <f t="shared" si="31"/>
        <v>0.20785713298184627</v>
      </c>
      <c r="F653" s="827">
        <f t="shared" si="32"/>
        <v>-106.5656819001569</v>
      </c>
      <c r="G653" s="527">
        <f t="shared" si="33"/>
        <v>68.054704606187272</v>
      </c>
      <c r="H653" s="825">
        <f t="shared" si="34"/>
        <v>-9.0939314956653643</v>
      </c>
      <c r="I653" s="527">
        <f t="shared" si="35"/>
        <v>14.0372910492383</v>
      </c>
      <c r="J653" s="825">
        <f t="shared" si="36"/>
        <v>-7.9593139551776861</v>
      </c>
      <c r="K653" s="826">
        <f t="shared" si="37"/>
        <v>12.285908090944844</v>
      </c>
      <c r="L653" s="827">
        <f t="shared" si="38"/>
        <v>-15.534244631017703</v>
      </c>
      <c r="M653" s="527">
        <f t="shared" si="39"/>
        <v>55.1830211815941</v>
      </c>
      <c r="N653" s="527">
        <f t="shared" si="40"/>
        <v>3.8048409987523439</v>
      </c>
      <c r="O653" s="824">
        <f t="shared" si="41"/>
        <v>-13.516114005795263</v>
      </c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C653" s="143"/>
      <c r="AJ653" s="143"/>
      <c r="AK653" s="143"/>
      <c r="AL653" s="143"/>
      <c r="AM653" s="143"/>
      <c r="AN653" s="143"/>
      <c r="AO653" s="143"/>
      <c r="AP653" s="143"/>
      <c r="AQ653" s="143"/>
      <c r="AR653" s="143"/>
      <c r="AS653" s="143"/>
      <c r="AT653" s="143"/>
    </row>
    <row r="654" spans="1:46" ht="15" customHeight="1">
      <c r="A654" s="528" t="str">
        <f>+input!B90</f>
        <v>213j</v>
      </c>
      <c r="B654" s="827">
        <f t="shared" si="29"/>
        <v>-40.906867255188466</v>
      </c>
      <c r="C654" s="527">
        <f t="shared" ref="C654:C682" si="42">E136/C524*10^6</f>
        <v>26.123839474181292</v>
      </c>
      <c r="D654" s="825">
        <f t="shared" si="30"/>
        <v>-0.3569066131209741</v>
      </c>
      <c r="E654" s="826">
        <f t="shared" si="31"/>
        <v>0.22792679308053013</v>
      </c>
      <c r="F654" s="827">
        <f t="shared" si="32"/>
        <v>-67.274764609021702</v>
      </c>
      <c r="G654" s="527">
        <f t="shared" si="33"/>
        <v>42.962838986075248</v>
      </c>
      <c r="H654" s="825">
        <f t="shared" si="34"/>
        <v>-5.8688543652339362</v>
      </c>
      <c r="I654" s="527">
        <f t="shared" si="35"/>
        <v>9.0590980248366009</v>
      </c>
      <c r="J654" s="825">
        <f t="shared" si="36"/>
        <v>-5.1542705909366031</v>
      </c>
      <c r="K654" s="826">
        <f t="shared" si="37"/>
        <v>7.9560744949522952</v>
      </c>
      <c r="L654" s="827">
        <f t="shared" si="38"/>
        <v>-12.10075090793028</v>
      </c>
      <c r="M654" s="527">
        <f t="shared" si="39"/>
        <v>42.986061409911223</v>
      </c>
      <c r="N654" s="527">
        <f t="shared" si="40"/>
        <v>4.1724682499757781</v>
      </c>
      <c r="O654" s="824">
        <f t="shared" si="41"/>
        <v>-14.822053423711134</v>
      </c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C654" s="143"/>
      <c r="AJ654" s="143"/>
      <c r="AK654" s="143"/>
      <c r="AL654" s="143"/>
      <c r="AM654" s="143"/>
      <c r="AN654" s="143"/>
      <c r="AO654" s="143"/>
      <c r="AP654" s="143"/>
      <c r="AQ654" s="143"/>
      <c r="AR654" s="143"/>
      <c r="AS654" s="143"/>
      <c r="AT654" s="143"/>
    </row>
    <row r="655" spans="1:46" ht="15" customHeight="1">
      <c r="A655" s="528" t="str">
        <f>+input!B91</f>
        <v>214i</v>
      </c>
      <c r="B655" s="827">
        <f t="shared" si="29"/>
        <v>-40.907498948309033</v>
      </c>
      <c r="C655" s="527">
        <f t="shared" si="42"/>
        <v>26.124242884434533</v>
      </c>
      <c r="D655" s="825">
        <f t="shared" si="30"/>
        <v>-0.3569066131209741</v>
      </c>
      <c r="E655" s="826">
        <f t="shared" si="31"/>
        <v>0.22792679308053013</v>
      </c>
      <c r="F655" s="827">
        <f t="shared" si="32"/>
        <v>-67.274685647381631</v>
      </c>
      <c r="G655" s="527">
        <f t="shared" si="33"/>
        <v>42.962788559793587</v>
      </c>
      <c r="H655" s="825">
        <f t="shared" si="34"/>
        <v>-5.8688543652339362</v>
      </c>
      <c r="I655" s="527">
        <f t="shared" si="35"/>
        <v>9.0590980248366009</v>
      </c>
      <c r="J655" s="825">
        <f t="shared" si="36"/>
        <v>-5.1542433177877038</v>
      </c>
      <c r="K655" s="826">
        <f t="shared" si="37"/>
        <v>7.9560323964243809</v>
      </c>
      <c r="L655" s="827">
        <f t="shared" si="38"/>
        <v>-12.10075090793028</v>
      </c>
      <c r="M655" s="527">
        <f t="shared" si="39"/>
        <v>42.986061409911223</v>
      </c>
      <c r="N655" s="527">
        <f t="shared" si="40"/>
        <v>4.1724682499757781</v>
      </c>
      <c r="O655" s="824">
        <f t="shared" si="41"/>
        <v>-14.822053423711134</v>
      </c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C655" s="143"/>
      <c r="AJ655" s="143"/>
      <c r="AK655" s="143"/>
      <c r="AL655" s="143"/>
      <c r="AM655" s="143"/>
      <c r="AN655" s="143"/>
      <c r="AO655" s="143"/>
      <c r="AP655" s="143"/>
      <c r="AQ655" s="143"/>
      <c r="AR655" s="143"/>
      <c r="AS655" s="143"/>
      <c r="AT655" s="143"/>
    </row>
    <row r="656" spans="1:46" ht="15" customHeight="1">
      <c r="A656" s="528" t="str">
        <f>+input!B92</f>
        <v>214j</v>
      </c>
      <c r="B656" s="827">
        <f t="shared" si="29"/>
        <v>-17.626843797972217</v>
      </c>
      <c r="C656" s="527">
        <f t="shared" si="42"/>
        <v>11.256810132687164</v>
      </c>
      <c r="D656" s="825">
        <f t="shared" si="30"/>
        <v>-0.38825438422916592</v>
      </c>
      <c r="E656" s="826">
        <f t="shared" si="31"/>
        <v>0.24794602689755896</v>
      </c>
      <c r="F656" s="827">
        <f t="shared" si="32"/>
        <v>-20.917964956131996</v>
      </c>
      <c r="G656" s="527">
        <f t="shared" si="33"/>
        <v>13.358577552066921</v>
      </c>
      <c r="H656" s="825">
        <f t="shared" si="34"/>
        <v>-2.0950960252565469</v>
      </c>
      <c r="I656" s="527">
        <f t="shared" si="35"/>
        <v>3.2339668158536856</v>
      </c>
      <c r="J656" s="825">
        <f t="shared" si="36"/>
        <v>-1.8226645409064814</v>
      </c>
      <c r="K656" s="826">
        <f t="shared" si="37"/>
        <v>2.8134446205170827</v>
      </c>
      <c r="L656" s="827">
        <f t="shared" si="38"/>
        <v>-8.2851607042246265</v>
      </c>
      <c r="M656" s="527">
        <f t="shared" si="39"/>
        <v>29.431762502389912</v>
      </c>
      <c r="N656" s="527">
        <f t="shared" si="40"/>
        <v>4.5770514455015014</v>
      </c>
      <c r="O656" s="824">
        <f t="shared" si="41"/>
        <v>-16.259273164916557</v>
      </c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C656" s="143"/>
      <c r="AJ656" s="143"/>
      <c r="AK656" s="143"/>
      <c r="AL656" s="143"/>
      <c r="AM656" s="143"/>
      <c r="AN656" s="143"/>
      <c r="AO656" s="143"/>
      <c r="AP656" s="143"/>
      <c r="AQ656" s="143"/>
      <c r="AR656" s="143"/>
      <c r="AS656" s="143"/>
      <c r="AT656" s="143"/>
    </row>
    <row r="657" spans="1:46" ht="15" customHeight="1">
      <c r="A657" s="528" t="str">
        <f>+input!B93</f>
        <v>215i</v>
      </c>
      <c r="B657" s="827">
        <f t="shared" si="29"/>
        <v>-22.307578946214541</v>
      </c>
      <c r="C657" s="527">
        <f t="shared" si="42"/>
        <v>16.944128966266813</v>
      </c>
      <c r="D657" s="825">
        <f t="shared" si="30"/>
        <v>-0.49134271798948609</v>
      </c>
      <c r="E657" s="826">
        <f t="shared" si="31"/>
        <v>0.37320833427612649</v>
      </c>
      <c r="F657" s="827">
        <f t="shared" si="32"/>
        <v>-26.471950804968628</v>
      </c>
      <c r="G657" s="527">
        <f t="shared" si="33"/>
        <v>20.107253660719383</v>
      </c>
      <c r="H657" s="825">
        <f t="shared" si="34"/>
        <v>-2.2921105746773742</v>
      </c>
      <c r="I657" s="527">
        <f t="shared" si="35"/>
        <v>4.6461582121506799</v>
      </c>
      <c r="J657" s="825">
        <f t="shared" si="36"/>
        <v>-1.9941126274872607</v>
      </c>
      <c r="K657" s="826">
        <f t="shared" si="37"/>
        <v>4.0421098626349625</v>
      </c>
      <c r="L657" s="827">
        <f t="shared" si="38"/>
        <v>-8.4117507310837869</v>
      </c>
      <c r="M657" s="527">
        <f t="shared" si="39"/>
        <v>42.007287929148944</v>
      </c>
      <c r="N657" s="527">
        <f t="shared" si="40"/>
        <v>4.6469847981673524</v>
      </c>
      <c r="O657" s="824">
        <f t="shared" si="41"/>
        <v>-23.206492281998855</v>
      </c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C657" s="143"/>
      <c r="AJ657" s="143"/>
      <c r="AK657" s="143"/>
      <c r="AL657" s="143"/>
      <c r="AM657" s="143"/>
      <c r="AN657" s="143"/>
      <c r="AO657" s="143"/>
      <c r="AP657" s="143"/>
      <c r="AQ657" s="143"/>
      <c r="AR657" s="143"/>
      <c r="AS657" s="143"/>
      <c r="AT657" s="143"/>
    </row>
    <row r="658" spans="1:46" ht="15" customHeight="1">
      <c r="A658" s="528" t="str">
        <f>+input!B94</f>
        <v>215j</v>
      </c>
      <c r="B658" s="827">
        <f t="shared" si="29"/>
        <v>12.197130802887264</v>
      </c>
      <c r="C658" s="527">
        <f t="shared" si="42"/>
        <v>-9.2645534435110815</v>
      </c>
      <c r="D658" s="825">
        <f t="shared" si="30"/>
        <v>-0.53111379827417504</v>
      </c>
      <c r="E658" s="826">
        <f t="shared" si="31"/>
        <v>0.40341718459988041</v>
      </c>
      <c r="F658" s="827">
        <f t="shared" si="32"/>
        <v>45.182945023528582</v>
      </c>
      <c r="G658" s="527">
        <f t="shared" si="33"/>
        <v>-34.3195310168039</v>
      </c>
      <c r="H658" s="825">
        <f t="shared" si="34"/>
        <v>2.7949504070642561</v>
      </c>
      <c r="I658" s="527">
        <f t="shared" si="35"/>
        <v>-5.6654255382785328</v>
      </c>
      <c r="J658" s="825">
        <f t="shared" si="36"/>
        <v>2.443541392940098</v>
      </c>
      <c r="K658" s="826">
        <f t="shared" si="37"/>
        <v>-4.9531117891800438</v>
      </c>
      <c r="L658" s="827">
        <f t="shared" si="38"/>
        <v>-4.7001765606528663</v>
      </c>
      <c r="M658" s="527">
        <f t="shared" si="39"/>
        <v>23.47212565055921</v>
      </c>
      <c r="N658" s="527">
        <f t="shared" si="40"/>
        <v>6.1315738791534242</v>
      </c>
      <c r="O658" s="824">
        <f t="shared" si="41"/>
        <v>-30.620354505828388</v>
      </c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C658" s="143"/>
      <c r="AJ658" s="143"/>
      <c r="AK658" s="143"/>
      <c r="AL658" s="143"/>
      <c r="AM658" s="143"/>
      <c r="AN658" s="143"/>
      <c r="AO658" s="143"/>
      <c r="AP658" s="143"/>
      <c r="AQ658" s="143"/>
      <c r="AR658" s="143"/>
      <c r="AS658" s="143"/>
      <c r="AT658" s="143"/>
    </row>
    <row r="659" spans="1:46" ht="15" customHeight="1">
      <c r="A659" s="528" t="str">
        <f>+input!B95</f>
        <v>216i</v>
      </c>
      <c r="B659" s="827">
        <f t="shared" si="29"/>
        <v>9.6511037152461387</v>
      </c>
      <c r="C659" s="527">
        <f t="shared" si="42"/>
        <v>-7.3940609984108709</v>
      </c>
      <c r="D659" s="825">
        <f t="shared" si="30"/>
        <v>-0.42024230511160909</v>
      </c>
      <c r="E659" s="826">
        <f t="shared" si="31"/>
        <v>0.3219628894050055</v>
      </c>
      <c r="F659" s="827">
        <f t="shared" si="32"/>
        <v>35.750799614741261</v>
      </c>
      <c r="G659" s="527">
        <f t="shared" si="33"/>
        <v>-27.389985735597193</v>
      </c>
      <c r="H659" s="825">
        <f t="shared" si="34"/>
        <v>2.5635422335614675</v>
      </c>
      <c r="I659" s="527">
        <f t="shared" si="35"/>
        <v>-4.7374252059341257</v>
      </c>
      <c r="J659" s="825">
        <f t="shared" si="36"/>
        <v>2.2412794565171588</v>
      </c>
      <c r="K659" s="826">
        <f t="shared" si="37"/>
        <v>-4.1418836997647377</v>
      </c>
      <c r="L659" s="827">
        <f t="shared" si="38"/>
        <v>-4.5809752596836004</v>
      </c>
      <c r="M659" s="527">
        <f t="shared" si="39"/>
        <v>19.736753846531805</v>
      </c>
      <c r="N659" s="527">
        <f t="shared" si="40"/>
        <v>5.9760708732657637</v>
      </c>
      <c r="O659" s="824">
        <f t="shared" si="41"/>
        <v>-25.747408162868187</v>
      </c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C659" s="143"/>
      <c r="AJ659" s="143"/>
      <c r="AK659" s="143"/>
      <c r="AL659" s="143"/>
      <c r="AM659" s="143"/>
      <c r="AN659" s="143"/>
      <c r="AO659" s="143"/>
      <c r="AP659" s="143"/>
      <c r="AQ659" s="143"/>
      <c r="AR659" s="143"/>
      <c r="AS659" s="143"/>
      <c r="AT659" s="143"/>
    </row>
    <row r="660" spans="1:46" ht="15" customHeight="1">
      <c r="A660" s="528" t="str">
        <f>+input!B96</f>
        <v>216j</v>
      </c>
      <c r="B660" s="827">
        <f t="shared" si="29"/>
        <v>40.059647151780254</v>
      </c>
      <c r="C660" s="527">
        <f t="shared" si="42"/>
        <v>-30.691150292702588</v>
      </c>
      <c r="D660" s="825">
        <f t="shared" si="30"/>
        <v>-0.45163199375305946</v>
      </c>
      <c r="E660" s="826">
        <f t="shared" si="31"/>
        <v>0.34601166966724201</v>
      </c>
      <c r="F660" s="827">
        <f t="shared" si="32"/>
        <v>99.523103119202077</v>
      </c>
      <c r="G660" s="527">
        <f t="shared" si="33"/>
        <v>-76.24826309264752</v>
      </c>
      <c r="H660" s="825">
        <f t="shared" si="34"/>
        <v>7.7802581737052199</v>
      </c>
      <c r="I660" s="527">
        <f t="shared" si="35"/>
        <v>-14.377914550516159</v>
      </c>
      <c r="J660" s="825">
        <f t="shared" si="36"/>
        <v>6.8398529692874286</v>
      </c>
      <c r="K660" s="826">
        <f t="shared" si="37"/>
        <v>-12.640046041515193</v>
      </c>
      <c r="L660" s="827">
        <f t="shared" si="38"/>
        <v>-2.2846638347283132</v>
      </c>
      <c r="M660" s="527">
        <f t="shared" si="39"/>
        <v>9.8432855826469901</v>
      </c>
      <c r="N660" s="527">
        <f t="shared" si="40"/>
        <v>8.9417890874920563</v>
      </c>
      <c r="O660" s="824">
        <f t="shared" si="41"/>
        <v>-38.524960333364525</v>
      </c>
      <c r="Q660" s="73"/>
      <c r="R660" s="73"/>
      <c r="V660" s="869"/>
      <c r="X660" s="73"/>
      <c r="Y660" s="73"/>
      <c r="Z660" s="73"/>
      <c r="AA660" s="73"/>
      <c r="AC660" s="143"/>
      <c r="AJ660" s="143"/>
      <c r="AK660" s="143"/>
      <c r="AL660" s="143"/>
      <c r="AM660" s="143"/>
      <c r="AN660" s="143"/>
      <c r="AO660" s="143"/>
      <c r="AP660" s="143"/>
      <c r="AQ660" s="143"/>
      <c r="AR660" s="143"/>
      <c r="AS660" s="143"/>
      <c r="AT660" s="143"/>
    </row>
    <row r="661" spans="1:46" s="73" customFormat="1" ht="15" customHeight="1">
      <c r="A661" s="529" t="str">
        <f>+input!B97</f>
        <v>217i</v>
      </c>
      <c r="B661" s="831">
        <f t="shared" si="29"/>
        <v>25.129568204272402</v>
      </c>
      <c r="C661" s="832">
        <f t="shared" si="42"/>
        <v>-24.866254941154839</v>
      </c>
      <c r="D661" s="828">
        <f t="shared" si="30"/>
        <v>-0.28331045820868322</v>
      </c>
      <c r="E661" s="830">
        <f t="shared" si="31"/>
        <v>0.28034186755802581</v>
      </c>
      <c r="F661" s="827">
        <f t="shared" si="32"/>
        <v>62.4314670792076</v>
      </c>
      <c r="G661" s="527">
        <f t="shared" si="33"/>
        <v>-61.777296136666365</v>
      </c>
      <c r="H661" s="828">
        <f t="shared" si="34"/>
        <v>6.3385763647590636</v>
      </c>
      <c r="I661" s="832">
        <f t="shared" si="35"/>
        <v>-12.45109807101845</v>
      </c>
      <c r="J661" s="828">
        <f t="shared" si="36"/>
        <v>5.5724505380426281</v>
      </c>
      <c r="K661" s="830">
        <f t="shared" si="37"/>
        <v>-10.946169005838843</v>
      </c>
      <c r="L661" s="831">
        <f t="shared" si="38"/>
        <v>-2.0876080349701325</v>
      </c>
      <c r="M661" s="832">
        <f t="shared" si="39"/>
        <v>8.6043975874453107</v>
      </c>
      <c r="N661" s="832">
        <f t="shared" si="40"/>
        <v>8.1705166517402912</v>
      </c>
      <c r="O661" s="833">
        <f t="shared" si="41"/>
        <v>-33.676040994650485</v>
      </c>
    </row>
    <row r="662" spans="1:46" ht="15" customHeight="1">
      <c r="A662" s="528" t="str">
        <f>+input!B98</f>
        <v>217j</v>
      </c>
      <c r="B662" s="827">
        <f t="shared" si="29"/>
        <v>47.16266023453079</v>
      </c>
      <c r="C662" s="527">
        <f t="shared" si="42"/>
        <v>-46.668479281531049</v>
      </c>
      <c r="D662" s="825">
        <f t="shared" si="30"/>
        <v>0.60987139253045664</v>
      </c>
      <c r="E662" s="826">
        <f t="shared" si="31"/>
        <v>-0.60348102302056805</v>
      </c>
      <c r="F662" s="827">
        <f t="shared" si="32"/>
        <v>109.23006940700664</v>
      </c>
      <c r="G662" s="527">
        <f t="shared" si="33"/>
        <v>-108.08553219202867</v>
      </c>
      <c r="H662" s="825">
        <f t="shared" si="34"/>
        <v>11.32258607937697</v>
      </c>
      <c r="I662" s="527">
        <f t="shared" si="35"/>
        <v>-22.241371181654873</v>
      </c>
      <c r="J662" s="825">
        <f t="shared" si="36"/>
        <v>9.9234699705111495</v>
      </c>
      <c r="K662" s="826">
        <f t="shared" si="37"/>
        <v>-19.493036085294129</v>
      </c>
      <c r="L662" s="827">
        <f t="shared" si="38"/>
        <v>-0.63288202265436233</v>
      </c>
      <c r="M662" s="527">
        <f t="shared" si="39"/>
        <v>2.6085205927762272</v>
      </c>
      <c r="N662" s="527">
        <f t="shared" si="40"/>
        <v>13.473691081698544</v>
      </c>
      <c r="O662" s="824">
        <f t="shared" si="41"/>
        <v>-55.533890028838215</v>
      </c>
      <c r="Q662" s="73"/>
      <c r="R662" s="73"/>
      <c r="V662" s="869"/>
      <c r="X662" s="73"/>
      <c r="Y662" s="73"/>
      <c r="Z662" s="73"/>
      <c r="AA662" s="73"/>
      <c r="AC662" s="143"/>
      <c r="AJ662" s="143"/>
      <c r="AK662" s="143"/>
      <c r="AL662" s="143"/>
      <c r="AM662" s="143"/>
      <c r="AN662" s="143"/>
      <c r="AO662" s="143"/>
      <c r="AP662" s="143"/>
      <c r="AQ662" s="143"/>
      <c r="AR662" s="143"/>
      <c r="AS662" s="143"/>
      <c r="AT662" s="143"/>
    </row>
    <row r="663" spans="1:46" ht="15" customHeight="1">
      <c r="A663" s="528" t="str">
        <f>+input!B99</f>
        <v>218i</v>
      </c>
      <c r="B663" s="827">
        <f t="shared" ref="B663:B690" si="43">-E145/B533*10^6</f>
        <v>25.192925625607309</v>
      </c>
      <c r="C663" s="527">
        <f t="shared" si="42"/>
        <v>-38.144041066860552</v>
      </c>
      <c r="D663" s="825">
        <f t="shared" ref="D663:D690" si="44">-F145/B533*10^6</f>
        <v>0.32577595739972914</v>
      </c>
      <c r="E663" s="826">
        <f t="shared" ref="E663:E690" si="45">F145/C533*10^6</f>
        <v>-0.49325003702707226</v>
      </c>
      <c r="F663" s="827">
        <f t="shared" ref="F663:F690" si="46">-G145/B533*10^6</f>
        <v>58.347862280324662</v>
      </c>
      <c r="G663" s="527">
        <f t="shared" ref="G663:G690" si="47">G145/C533*10^6</f>
        <v>-88.343183640489784</v>
      </c>
      <c r="H663" s="825">
        <f t="shared" ref="H663:H690" si="48">-H145/J533*10^6</f>
        <v>8.0301540124369453</v>
      </c>
      <c r="I663" s="527">
        <f t="shared" ref="I663:I690" si="49">H145/K533*10^6</f>
        <v>-19.104614207371107</v>
      </c>
      <c r="J663" s="825">
        <f t="shared" ref="J663:J690" si="50">-I145/J533*10^6</f>
        <v>7.0378375464586398</v>
      </c>
      <c r="K663" s="826">
        <f t="shared" ref="K663:K690" si="51">I145/K533*10^6</f>
        <v>-16.743784860290599</v>
      </c>
      <c r="L663" s="827">
        <f t="shared" ref="L663:L690" si="52">-J145/H533*10^6</f>
        <v>-0.53153981697426822</v>
      </c>
      <c r="M663" s="527">
        <f t="shared" ref="M663:M690" si="53">J145/I533*10^6</f>
        <v>2.2611635296235075</v>
      </c>
      <c r="N663" s="527">
        <f t="shared" ref="N663:N690" si="54">-K145/H533*10^6</f>
        <v>11.316174318708956</v>
      </c>
      <c r="O663" s="824">
        <f t="shared" ref="O663:O690" si="55">K145/I533*10^6</f>
        <v>-48.138859681259831</v>
      </c>
      <c r="Q663" s="73"/>
      <c r="R663" s="73"/>
      <c r="V663" s="869"/>
      <c r="X663" s="73"/>
      <c r="Y663" s="73"/>
      <c r="Z663" s="73"/>
      <c r="AA663" s="73"/>
      <c r="AC663" s="143"/>
      <c r="AJ663" s="143"/>
      <c r="AK663" s="143"/>
      <c r="AL663" s="143"/>
      <c r="AM663" s="143"/>
      <c r="AN663" s="143"/>
      <c r="AO663" s="143"/>
      <c r="AP663" s="143"/>
      <c r="AQ663" s="143"/>
      <c r="AR663" s="143"/>
      <c r="AS663" s="143"/>
      <c r="AT663" s="143"/>
    </row>
    <row r="664" spans="1:46" ht="15" customHeight="1">
      <c r="A664" s="528" t="str">
        <f>+input!B100</f>
        <v>218j</v>
      </c>
      <c r="B664" s="827">
        <f t="shared" si="43"/>
        <v>34.397792067991688</v>
      </c>
      <c r="C664" s="527">
        <f t="shared" si="42"/>
        <v>-52.080921952040093</v>
      </c>
      <c r="D664" s="825">
        <f t="shared" si="44"/>
        <v>1.3848127636116658</v>
      </c>
      <c r="E664" s="826">
        <f t="shared" si="45"/>
        <v>-2.0967138041095486</v>
      </c>
      <c r="F664" s="827">
        <f t="shared" si="46"/>
        <v>77.257360282565031</v>
      </c>
      <c r="G664" s="527">
        <f t="shared" si="47"/>
        <v>-116.97362851498367</v>
      </c>
      <c r="H664" s="825">
        <f t="shared" si="48"/>
        <v>10.693762787389961</v>
      </c>
      <c r="I664" s="527">
        <f t="shared" si="49"/>
        <v>-25.441630653884161</v>
      </c>
      <c r="J664" s="825">
        <f t="shared" si="50"/>
        <v>9.3795507008504888</v>
      </c>
      <c r="K664" s="826">
        <f t="shared" si="51"/>
        <v>-22.314976437649356</v>
      </c>
      <c r="L664" s="827">
        <f t="shared" si="52"/>
        <v>-0.15683177884738853</v>
      </c>
      <c r="M664" s="527">
        <f t="shared" si="53"/>
        <v>0.66716036558529646</v>
      </c>
      <c r="N664" s="527">
        <f t="shared" si="54"/>
        <v>14.986871096751617</v>
      </c>
      <c r="O664" s="824">
        <f t="shared" si="55"/>
        <v>-63.753956458136635</v>
      </c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C664" s="143"/>
      <c r="AJ664" s="143"/>
      <c r="AK664" s="143"/>
      <c r="AL664" s="143"/>
      <c r="AM664" s="143"/>
      <c r="AN664" s="143"/>
      <c r="AO664" s="143"/>
      <c r="AP664" s="143"/>
      <c r="AQ664" s="143"/>
      <c r="AR664" s="143"/>
      <c r="AS664" s="143"/>
      <c r="AT664" s="143"/>
    </row>
    <row r="665" spans="1:46" ht="15" customHeight="1">
      <c r="A665" s="528" t="str">
        <f>+input!B101</f>
        <v>219i</v>
      </c>
      <c r="B665" s="827">
        <f t="shared" si="43"/>
        <v>33.305366065972073</v>
      </c>
      <c r="C665" s="527">
        <f t="shared" si="42"/>
        <v>-50.55263278323568</v>
      </c>
      <c r="D665" s="825">
        <f t="shared" si="44"/>
        <v>1.3408340703506338</v>
      </c>
      <c r="E665" s="826">
        <f t="shared" si="45"/>
        <v>-2.0351883311362258</v>
      </c>
      <c r="F665" s="827">
        <f t="shared" si="46"/>
        <v>74.803985580078319</v>
      </c>
      <c r="G665" s="527">
        <f t="shared" si="47"/>
        <v>-113.54141570645386</v>
      </c>
      <c r="H665" s="825">
        <f t="shared" si="48"/>
        <v>10.395653770598825</v>
      </c>
      <c r="I665" s="527">
        <f t="shared" si="49"/>
        <v>-24.689285139674137</v>
      </c>
      <c r="J665" s="825">
        <f t="shared" si="50"/>
        <v>9.118056810281459</v>
      </c>
      <c r="K665" s="826">
        <f t="shared" si="51"/>
        <v>-21.655040604129226</v>
      </c>
      <c r="L665" s="827">
        <f t="shared" si="52"/>
        <v>-0.15310242759629772</v>
      </c>
      <c r="M665" s="527">
        <f t="shared" si="53"/>
        <v>0.64718798542311151</v>
      </c>
      <c r="N665" s="527">
        <f t="shared" si="54"/>
        <v>14.630493665561513</v>
      </c>
      <c r="O665" s="824">
        <f t="shared" si="55"/>
        <v>-61.845392459272276</v>
      </c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C665" s="143"/>
      <c r="AJ665" s="143"/>
      <c r="AK665" s="143"/>
      <c r="AL665" s="143"/>
      <c r="AM665" s="143"/>
      <c r="AN665" s="143"/>
      <c r="AO665" s="143"/>
      <c r="AP665" s="143"/>
      <c r="AQ665" s="143"/>
      <c r="AR665" s="143"/>
      <c r="AS665" s="143"/>
      <c r="AT665" s="143"/>
    </row>
    <row r="666" spans="1:46" ht="15" customHeight="1">
      <c r="A666" s="528" t="str">
        <f>+input!B102</f>
        <v>219j</v>
      </c>
      <c r="B666" s="827">
        <f t="shared" si="43"/>
        <v>37.410804615690914</v>
      </c>
      <c r="C666" s="527">
        <f t="shared" si="42"/>
        <v>-56.784082904725857</v>
      </c>
      <c r="D666" s="825">
        <f t="shared" si="44"/>
        <v>2.0074287997847278</v>
      </c>
      <c r="E666" s="826">
        <f t="shared" si="45"/>
        <v>-3.0469808004209669</v>
      </c>
      <c r="F666" s="827">
        <f t="shared" si="46"/>
        <v>82.995392007988571</v>
      </c>
      <c r="G666" s="527">
        <f t="shared" si="47"/>
        <v>-125.97476234219205</v>
      </c>
      <c r="H666" s="825">
        <f t="shared" si="48"/>
        <v>11.551961339672113</v>
      </c>
      <c r="I666" s="527">
        <f t="shared" si="49"/>
        <v>-27.435471951200604</v>
      </c>
      <c r="J666" s="825">
        <f t="shared" si="50"/>
        <v>10.13824048081656</v>
      </c>
      <c r="K666" s="826">
        <f t="shared" si="51"/>
        <v>-24.077938297001268</v>
      </c>
      <c r="L666" s="827">
        <f t="shared" si="52"/>
        <v>-7.9383090080175245E-2</v>
      </c>
      <c r="M666" s="527">
        <f t="shared" si="53"/>
        <v>0.33556477811781188</v>
      </c>
      <c r="N666" s="527">
        <f t="shared" si="54"/>
        <v>16.277287348949304</v>
      </c>
      <c r="O666" s="824">
        <f t="shared" si="55"/>
        <v>-68.806647764573668</v>
      </c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C666" s="143"/>
      <c r="AJ666" s="143"/>
      <c r="AK666" s="143"/>
      <c r="AL666" s="143"/>
      <c r="AM666" s="143"/>
      <c r="AN666" s="143"/>
      <c r="AO666" s="143"/>
      <c r="AP666" s="143"/>
      <c r="AQ666" s="143"/>
      <c r="AR666" s="143"/>
      <c r="AS666" s="143"/>
      <c r="AT666" s="143"/>
    </row>
    <row r="667" spans="1:46" ht="15" customHeight="1">
      <c r="A667" s="528" t="str">
        <f>+input!B103</f>
        <v>220i</v>
      </c>
      <c r="B667" s="827">
        <f t="shared" si="43"/>
        <v>37.410573738162917</v>
      </c>
      <c r="C667" s="527">
        <f t="shared" si="42"/>
        <v>-56.783732466695312</v>
      </c>
      <c r="D667" s="825">
        <f t="shared" si="44"/>
        <v>2.0074287997847278</v>
      </c>
      <c r="E667" s="826">
        <f t="shared" si="45"/>
        <v>-3.0469808004209669</v>
      </c>
      <c r="F667" s="827">
        <f t="shared" si="46"/>
        <v>82.995494620223241</v>
      </c>
      <c r="G667" s="527">
        <f t="shared" si="47"/>
        <v>-125.97491809242787</v>
      </c>
      <c r="H667" s="825">
        <f t="shared" si="48"/>
        <v>11.551715378929414</v>
      </c>
      <c r="I667" s="527">
        <f t="shared" si="49"/>
        <v>-27.434887803724774</v>
      </c>
      <c r="J667" s="825">
        <f t="shared" si="50"/>
        <v>10.138209735723724</v>
      </c>
      <c r="K667" s="826">
        <f t="shared" si="51"/>
        <v>-24.07786527856679</v>
      </c>
      <c r="L667" s="827">
        <f t="shared" si="52"/>
        <v>-8.4297712581250073E-2</v>
      </c>
      <c r="M667" s="527">
        <f t="shared" si="53"/>
        <v>0.35633965860483185</v>
      </c>
      <c r="N667" s="527">
        <f t="shared" si="54"/>
        <v>16.276003125984204</v>
      </c>
      <c r="O667" s="824">
        <f t="shared" si="55"/>
        <v>-68.801219152587137</v>
      </c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C667" s="143"/>
      <c r="AJ667" s="143"/>
      <c r="AK667" s="143"/>
      <c r="AL667" s="143"/>
      <c r="AM667" s="143"/>
      <c r="AN667" s="143"/>
      <c r="AO667" s="143"/>
      <c r="AP667" s="143"/>
      <c r="AQ667" s="143"/>
      <c r="AR667" s="143"/>
      <c r="AS667" s="143"/>
      <c r="AT667" s="143"/>
    </row>
    <row r="668" spans="1:46" ht="15" customHeight="1">
      <c r="A668" s="528" t="str">
        <f>+input!B104</f>
        <v>220j</v>
      </c>
      <c r="B668" s="827">
        <f t="shared" si="43"/>
        <v>34.347085472277996</v>
      </c>
      <c r="C668" s="527">
        <f t="shared" si="42"/>
        <v>-52.133809177028816</v>
      </c>
      <c r="D668" s="825">
        <f t="shared" si="44"/>
        <v>1.3456055392624962</v>
      </c>
      <c r="E668" s="826">
        <f t="shared" si="45"/>
        <v>-2.0424307171007041</v>
      </c>
      <c r="F668" s="827">
        <f t="shared" si="46"/>
        <v>76.517712511196862</v>
      </c>
      <c r="G668" s="527">
        <f t="shared" si="47"/>
        <v>-116.14260039446995</v>
      </c>
      <c r="H668" s="825">
        <f t="shared" si="48"/>
        <v>10.643766669797737</v>
      </c>
      <c r="I668" s="527">
        <f t="shared" si="49"/>
        <v>-25.278543905917207</v>
      </c>
      <c r="J668" s="825">
        <f t="shared" si="50"/>
        <v>9.335747440117629</v>
      </c>
      <c r="K668" s="826">
        <f t="shared" si="51"/>
        <v>-22.172047629455619</v>
      </c>
      <c r="L668" s="827">
        <f t="shared" si="52"/>
        <v>-0.27593506132919154</v>
      </c>
      <c r="M668" s="527">
        <f t="shared" si="53"/>
        <v>1.1664208024194687</v>
      </c>
      <c r="N668" s="527">
        <f t="shared" si="54"/>
        <v>15.249966602254782</v>
      </c>
      <c r="O668" s="824">
        <f t="shared" si="55"/>
        <v>-64.464001766890789</v>
      </c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C668" s="143"/>
      <c r="AJ668" s="143"/>
      <c r="AK668" s="143"/>
      <c r="AL668" s="143"/>
      <c r="AM668" s="143"/>
      <c r="AN668" s="143"/>
      <c r="AO668" s="143"/>
      <c r="AP668" s="143"/>
      <c r="AQ668" s="143"/>
      <c r="AR668" s="143"/>
      <c r="AS668" s="143"/>
      <c r="AT668" s="143"/>
    </row>
    <row r="669" spans="1:46" ht="15" customHeight="1">
      <c r="A669" s="528" t="str">
        <f>+input!B105</f>
        <v>221i</v>
      </c>
      <c r="B669" s="827">
        <f t="shared" si="43"/>
        <v>35.473520387961095</v>
      </c>
      <c r="C669" s="527">
        <f t="shared" si="42"/>
        <v>-53.709657964025553</v>
      </c>
      <c r="D669" s="825">
        <f t="shared" si="44"/>
        <v>1.3897407343400612</v>
      </c>
      <c r="E669" s="826">
        <f t="shared" si="45"/>
        <v>-2.1041751335570957</v>
      </c>
      <c r="F669" s="827">
        <f t="shared" si="46"/>
        <v>79.027588047176536</v>
      </c>
      <c r="G669" s="527">
        <f t="shared" si="47"/>
        <v>-119.65389048830538</v>
      </c>
      <c r="H669" s="825">
        <f t="shared" si="48"/>
        <v>10.948926264171991</v>
      </c>
      <c r="I669" s="527">
        <f t="shared" si="49"/>
        <v>-26.048692458201014</v>
      </c>
      <c r="J669" s="825">
        <f t="shared" si="50"/>
        <v>9.6034038352906475</v>
      </c>
      <c r="K669" s="826">
        <f t="shared" si="51"/>
        <v>-22.847547514862377</v>
      </c>
      <c r="L669" s="827">
        <f t="shared" si="52"/>
        <v>-0.28265643591706718</v>
      </c>
      <c r="M669" s="527">
        <f t="shared" si="53"/>
        <v>1.2024168348238278</v>
      </c>
      <c r="N669" s="527">
        <f t="shared" si="54"/>
        <v>15.621433488313397</v>
      </c>
      <c r="O669" s="824">
        <f t="shared" si="55"/>
        <v>-66.453376692048536</v>
      </c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C669" s="143"/>
      <c r="AJ669" s="143"/>
      <c r="AK669" s="143"/>
      <c r="AL669" s="143"/>
      <c r="AM669" s="143"/>
      <c r="AN669" s="143"/>
      <c r="AO669" s="143"/>
      <c r="AP669" s="143"/>
      <c r="AQ669" s="143"/>
      <c r="AR669" s="143"/>
      <c r="AS669" s="143"/>
      <c r="AT669" s="143"/>
    </row>
    <row r="670" spans="1:46" ht="15" customHeight="1">
      <c r="A670" s="953" t="str">
        <f>+input!B106</f>
        <v>221j</v>
      </c>
      <c r="B670" s="954">
        <f t="shared" si="43"/>
        <v>28.778686692171991</v>
      </c>
      <c r="C670" s="955">
        <f t="shared" si="42"/>
        <v>-43.573161106812073</v>
      </c>
      <c r="D670" s="956">
        <f t="shared" si="44"/>
        <v>0.3397385411301827</v>
      </c>
      <c r="E670" s="957">
        <f t="shared" si="45"/>
        <v>-0.5143904704617881</v>
      </c>
      <c r="F670" s="954">
        <f t="shared" si="46"/>
        <v>64.247703020865188</v>
      </c>
      <c r="G670" s="955">
        <f t="shared" si="47"/>
        <v>-97.275999576181263</v>
      </c>
      <c r="H670" s="956">
        <f t="shared" si="48"/>
        <v>8.8808148992746077</v>
      </c>
      <c r="I670" s="955">
        <f t="shared" si="49"/>
        <v>-21.128429446675806</v>
      </c>
      <c r="J670" s="956">
        <f t="shared" si="50"/>
        <v>7.7840989988816416</v>
      </c>
      <c r="K670" s="957">
        <f t="shared" si="51"/>
        <v>-18.519222432757182</v>
      </c>
      <c r="L670" s="954">
        <f t="shared" si="52"/>
        <v>-1.1963335198151044</v>
      </c>
      <c r="M670" s="955">
        <f t="shared" si="53"/>
        <v>5.0891873720214447</v>
      </c>
      <c r="N670" s="955">
        <f t="shared" si="54"/>
        <v>13.521904759054893</v>
      </c>
      <c r="O670" s="958">
        <f t="shared" si="55"/>
        <v>-57.522008541643473</v>
      </c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C670" s="143"/>
      <c r="AJ670" s="143"/>
      <c r="AK670" s="143"/>
      <c r="AL670" s="143"/>
      <c r="AM670" s="143"/>
      <c r="AN670" s="143"/>
      <c r="AO670" s="143"/>
      <c r="AP670" s="143"/>
      <c r="AQ670" s="143"/>
      <c r="AR670" s="143"/>
      <c r="AS670" s="143"/>
      <c r="AT670" s="143"/>
    </row>
    <row r="671" spans="1:46" ht="15" customHeight="1">
      <c r="A671" s="959" t="str">
        <f>+input!B107</f>
        <v>222i</v>
      </c>
      <c r="B671" s="960">
        <f t="shared" si="43"/>
        <v>49.56232102459844</v>
      </c>
      <c r="C671" s="961">
        <f t="shared" si="42"/>
        <v>-50.306508574407481</v>
      </c>
      <c r="D671" s="962">
        <f t="shared" si="44"/>
        <v>0.58509324342343128</v>
      </c>
      <c r="E671" s="963">
        <f t="shared" si="45"/>
        <v>-0.59387852825738818</v>
      </c>
      <c r="F671" s="960">
        <f t="shared" si="46"/>
        <v>110.64663968179441</v>
      </c>
      <c r="G671" s="961">
        <f t="shared" si="47"/>
        <v>-112.30801973779565</v>
      </c>
      <c r="H671" s="962">
        <f t="shared" si="48"/>
        <v>12.047477896680011</v>
      </c>
      <c r="I671" s="961">
        <f t="shared" si="49"/>
        <v>-23.457661474596375</v>
      </c>
      <c r="J671" s="962">
        <f t="shared" si="50"/>
        <v>10.559683397834306</v>
      </c>
      <c r="K671" s="963">
        <f t="shared" si="51"/>
        <v>-20.560774674139413</v>
      </c>
      <c r="L671" s="960">
        <f t="shared" si="52"/>
        <v>-1.4054391420488461</v>
      </c>
      <c r="M671" s="961">
        <f t="shared" si="53"/>
        <v>5.6120904548610682</v>
      </c>
      <c r="N671" s="961">
        <f t="shared" si="54"/>
        <v>15.885381382918581</v>
      </c>
      <c r="O671" s="823">
        <f t="shared" si="55"/>
        <v>-63.432271496965775</v>
      </c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C671" s="143"/>
      <c r="AJ671" s="143"/>
      <c r="AK671" s="143"/>
      <c r="AL671" s="143"/>
      <c r="AM671" s="143"/>
      <c r="AN671" s="143"/>
      <c r="AO671" s="143"/>
      <c r="AP671" s="143"/>
      <c r="AQ671" s="143"/>
      <c r="AR671" s="143"/>
      <c r="AS671" s="143"/>
      <c r="AT671" s="143"/>
    </row>
    <row r="672" spans="1:46" ht="15" customHeight="1">
      <c r="A672" s="528" t="str">
        <f>+input!B108</f>
        <v>222j</v>
      </c>
      <c r="B672" s="827">
        <f t="shared" si="43"/>
        <v>35.533862965600242</v>
      </c>
      <c r="C672" s="527">
        <f t="shared" si="42"/>
        <v>-36.067410585424099</v>
      </c>
      <c r="D672" s="825">
        <f t="shared" si="44"/>
        <v>-0.22627134010269015</v>
      </c>
      <c r="E672" s="826">
        <f t="shared" si="45"/>
        <v>0.22966884673074855</v>
      </c>
      <c r="F672" s="827">
        <f t="shared" si="46"/>
        <v>77.754844810024821</v>
      </c>
      <c r="G672" s="527">
        <f t="shared" si="47"/>
        <v>-78.922348394375447</v>
      </c>
      <c r="H672" s="825">
        <f t="shared" si="48"/>
        <v>8.4066234819573395</v>
      </c>
      <c r="I672" s="527">
        <f t="shared" si="49"/>
        <v>-16.368548626969577</v>
      </c>
      <c r="J672" s="825">
        <f t="shared" si="50"/>
        <v>7.3858147584035709</v>
      </c>
      <c r="K672" s="826">
        <f t="shared" si="51"/>
        <v>-14.380930498694115</v>
      </c>
      <c r="L672" s="827">
        <f t="shared" si="52"/>
        <v>-3.9937542282071199</v>
      </c>
      <c r="M672" s="527">
        <f t="shared" si="53"/>
        <v>15.947549283783383</v>
      </c>
      <c r="N672" s="527">
        <f t="shared" si="54"/>
        <v>13.284157908666515</v>
      </c>
      <c r="O672" s="824">
        <f t="shared" si="55"/>
        <v>-53.045267894996087</v>
      </c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C672" s="143"/>
      <c r="AJ672" s="143"/>
      <c r="AK672" s="143"/>
      <c r="AL672" s="143"/>
      <c r="AM672" s="143"/>
      <c r="AN672" s="143"/>
      <c r="AO672" s="143"/>
      <c r="AP672" s="143"/>
      <c r="AQ672" s="143"/>
      <c r="AR672" s="143"/>
      <c r="AS672" s="143"/>
      <c r="AT672" s="143"/>
    </row>
    <row r="673" spans="1:46" ht="15" customHeight="1">
      <c r="A673" s="528" t="str">
        <f>+input!B109</f>
        <v>223i</v>
      </c>
      <c r="B673" s="827">
        <f t="shared" si="43"/>
        <v>45.652099952891845</v>
      </c>
      <c r="C673" s="527">
        <f t="shared" si="42"/>
        <v>-38.543827689431801</v>
      </c>
      <c r="D673" s="825">
        <f t="shared" si="44"/>
        <v>-0.29070265660250177</v>
      </c>
      <c r="E673" s="826">
        <f t="shared" si="45"/>
        <v>0.24543872278622575</v>
      </c>
      <c r="F673" s="827">
        <f t="shared" si="46"/>
        <v>99.895843938245051</v>
      </c>
      <c r="G673" s="527">
        <f t="shared" si="47"/>
        <v>-84.341535211288473</v>
      </c>
      <c r="H673" s="825">
        <f t="shared" si="48"/>
        <v>9.5677116578781867</v>
      </c>
      <c r="I673" s="527">
        <f t="shared" si="49"/>
        <v>-17.034366582828753</v>
      </c>
      <c r="J673" s="825">
        <f t="shared" si="50"/>
        <v>8.4059130420877803</v>
      </c>
      <c r="K673" s="826">
        <f t="shared" si="51"/>
        <v>-14.965898779401483</v>
      </c>
      <c r="L673" s="827">
        <f t="shared" si="52"/>
        <v>-4.2994689627706562</v>
      </c>
      <c r="M673" s="527">
        <f t="shared" si="53"/>
        <v>16.528160821815298</v>
      </c>
      <c r="N673" s="527">
        <f t="shared" si="54"/>
        <v>14.301036408666556</v>
      </c>
      <c r="O673" s="824">
        <f t="shared" si="55"/>
        <v>-54.976517269415453</v>
      </c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C673" s="143"/>
      <c r="AJ673" s="143"/>
      <c r="AK673" s="143"/>
      <c r="AL673" s="143"/>
      <c r="AM673" s="143"/>
      <c r="AN673" s="143"/>
      <c r="AO673" s="143"/>
      <c r="AP673" s="143"/>
      <c r="AQ673" s="143"/>
      <c r="AR673" s="143"/>
      <c r="AS673" s="143"/>
      <c r="AT673" s="143"/>
    </row>
    <row r="674" spans="1:46" ht="15" customHeight="1">
      <c r="A674" s="528" t="str">
        <f>+input!B110</f>
        <v>223j</v>
      </c>
      <c r="B674" s="827">
        <f t="shared" si="43"/>
        <v>31.341369173477464</v>
      </c>
      <c r="C674" s="527">
        <f t="shared" si="42"/>
        <v>-26.461353020341463</v>
      </c>
      <c r="D674" s="825">
        <f t="shared" si="44"/>
        <v>-0.2538299058457012</v>
      </c>
      <c r="E674" s="826">
        <f t="shared" si="45"/>
        <v>0.21430725341084039</v>
      </c>
      <c r="F674" s="827">
        <f t="shared" si="46"/>
        <v>65.464432733142033</v>
      </c>
      <c r="G674" s="527">
        <f t="shared" si="47"/>
        <v>-55.271275968824078</v>
      </c>
      <c r="H674" s="825">
        <f t="shared" si="48"/>
        <v>6.2213820256866903</v>
      </c>
      <c r="I674" s="527">
        <f t="shared" si="49"/>
        <v>-11.076556847332</v>
      </c>
      <c r="J674" s="825">
        <f t="shared" si="50"/>
        <v>5.4505606518007843</v>
      </c>
      <c r="K674" s="826">
        <f t="shared" si="51"/>
        <v>-9.7041854462937565</v>
      </c>
      <c r="L674" s="827">
        <f t="shared" si="52"/>
        <v>-6.775158005395955</v>
      </c>
      <c r="M674" s="527">
        <f t="shared" si="53"/>
        <v>26.045286540278028</v>
      </c>
      <c r="N674" s="527">
        <f t="shared" si="54"/>
        <v>12.302830324562175</v>
      </c>
      <c r="O674" s="824">
        <f t="shared" si="55"/>
        <v>-47.294947336201183</v>
      </c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C674" s="143"/>
      <c r="AJ674" s="143"/>
      <c r="AK674" s="143"/>
      <c r="AL674" s="143"/>
      <c r="AM674" s="143"/>
      <c r="AN674" s="143"/>
      <c r="AO674" s="143"/>
      <c r="AP674" s="143"/>
      <c r="AQ674" s="143"/>
      <c r="AR674" s="143"/>
      <c r="AS674" s="143"/>
      <c r="AT674" s="143"/>
    </row>
    <row r="675" spans="1:46" ht="15" customHeight="1">
      <c r="A675" s="528" t="str">
        <f>+input!B111</f>
        <v>224i</v>
      </c>
      <c r="B675" s="827">
        <f t="shared" si="43"/>
        <v>47.265089286929204</v>
      </c>
      <c r="C675" s="527">
        <f t="shared" si="42"/>
        <v>-33.302395324374395</v>
      </c>
      <c r="D675" s="825">
        <f t="shared" si="44"/>
        <v>-0.38279416247209053</v>
      </c>
      <c r="E675" s="826">
        <f t="shared" si="45"/>
        <v>0.26971201618006274</v>
      </c>
      <c r="F675" s="827">
        <f t="shared" si="46"/>
        <v>98.725089844866076</v>
      </c>
      <c r="G675" s="527">
        <f t="shared" si="47"/>
        <v>-69.560473069016737</v>
      </c>
      <c r="H675" s="825">
        <f t="shared" si="48"/>
        <v>7.2668073525228287</v>
      </c>
      <c r="I675" s="527">
        <f t="shared" si="49"/>
        <v>-12.978935896317102</v>
      </c>
      <c r="J675" s="825">
        <f t="shared" si="50"/>
        <v>6.3664591012646872</v>
      </c>
      <c r="K675" s="826">
        <f t="shared" si="51"/>
        <v>-11.370862134270316</v>
      </c>
      <c r="L675" s="827">
        <f t="shared" si="52"/>
        <v>-7.1160975279497398</v>
      </c>
      <c r="M675" s="527">
        <f t="shared" si="53"/>
        <v>30.227220687719054</v>
      </c>
      <c r="N675" s="527">
        <f t="shared" si="54"/>
        <v>12.921933391025835</v>
      </c>
      <c r="O675" s="824">
        <f t="shared" si="55"/>
        <v>-54.888811007496145</v>
      </c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C675" s="143"/>
      <c r="AJ675" s="143"/>
      <c r="AK675" s="143"/>
      <c r="AL675" s="143"/>
      <c r="AM675" s="143"/>
      <c r="AN675" s="143"/>
      <c r="AO675" s="143"/>
      <c r="AP675" s="143"/>
      <c r="AQ675" s="143"/>
      <c r="AR675" s="143"/>
      <c r="AS675" s="143"/>
      <c r="AT675" s="143"/>
    </row>
    <row r="676" spans="1:46" ht="15" customHeight="1">
      <c r="A676" s="528" t="str">
        <f>+input!B112</f>
        <v>224j</v>
      </c>
      <c r="B676" s="827">
        <f t="shared" si="43"/>
        <v>29.701821233810197</v>
      </c>
      <c r="C676" s="527">
        <f t="shared" si="42"/>
        <v>-20.927534624498939</v>
      </c>
      <c r="D676" s="825">
        <f t="shared" si="44"/>
        <v>-0.32718734302753055</v>
      </c>
      <c r="E676" s="826">
        <f t="shared" si="45"/>
        <v>0.2305321413123354</v>
      </c>
      <c r="F676" s="827">
        <f t="shared" si="46"/>
        <v>54.71198283658255</v>
      </c>
      <c r="G676" s="527">
        <f t="shared" si="47"/>
        <v>-38.549384099188195</v>
      </c>
      <c r="H676" s="825">
        <f t="shared" si="48"/>
        <v>3.9321366708786276</v>
      </c>
      <c r="I676" s="527">
        <f t="shared" si="49"/>
        <v>-7.0230222587603848</v>
      </c>
      <c r="J676" s="825">
        <f t="shared" si="50"/>
        <v>3.4648806814935824</v>
      </c>
      <c r="K676" s="826">
        <f t="shared" si="51"/>
        <v>-6.1884761865718456</v>
      </c>
      <c r="L676" s="827">
        <f t="shared" si="52"/>
        <v>-9.2512516353410845</v>
      </c>
      <c r="M676" s="527">
        <f t="shared" si="53"/>
        <v>39.296766763066749</v>
      </c>
      <c r="N676" s="527">
        <f t="shared" si="54"/>
        <v>10.984421899818388</v>
      </c>
      <c r="O676" s="824">
        <f t="shared" si="55"/>
        <v>-46.65879628387939</v>
      </c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C676" s="143"/>
      <c r="AJ676" s="143"/>
      <c r="AK676" s="143"/>
      <c r="AL676" s="143"/>
      <c r="AM676" s="143"/>
      <c r="AN676" s="143"/>
      <c r="AO676" s="143"/>
      <c r="AP676" s="143"/>
      <c r="AQ676" s="143"/>
      <c r="AR676" s="143"/>
      <c r="AS676" s="143"/>
      <c r="AT676" s="143"/>
    </row>
    <row r="677" spans="1:46" ht="15" customHeight="1">
      <c r="A677" s="528" t="str">
        <f>+input!B113</f>
        <v>225i</v>
      </c>
      <c r="B677" s="827">
        <f t="shared" si="43"/>
        <v>33.572987255196175</v>
      </c>
      <c r="C677" s="527">
        <f t="shared" si="42"/>
        <v>-25.500975574555078</v>
      </c>
      <c r="D677" s="825">
        <f t="shared" si="44"/>
        <v>-0.36983107571264751</v>
      </c>
      <c r="E677" s="826">
        <f t="shared" si="45"/>
        <v>0.28091194735732034</v>
      </c>
      <c r="F677" s="827">
        <f t="shared" si="46"/>
        <v>61.842730787305108</v>
      </c>
      <c r="G677" s="527">
        <f t="shared" si="47"/>
        <v>-46.97377553219571</v>
      </c>
      <c r="H677" s="825">
        <f t="shared" si="48"/>
        <v>4.114323114674673</v>
      </c>
      <c r="I677" s="527">
        <f t="shared" si="49"/>
        <v>-8.3398228418267912</v>
      </c>
      <c r="J677" s="825">
        <f t="shared" si="50"/>
        <v>3.62541790142645</v>
      </c>
      <c r="K677" s="826">
        <f t="shared" si="51"/>
        <v>-7.3488012931319853</v>
      </c>
      <c r="L677" s="827">
        <f t="shared" si="52"/>
        <v>-9.3111515052003107</v>
      </c>
      <c r="M677" s="527">
        <f t="shared" si="53"/>
        <v>46.498788984024408</v>
      </c>
      <c r="N677" s="527">
        <f t="shared" si="54"/>
        <v>11.055543675358946</v>
      </c>
      <c r="O677" s="824">
        <f t="shared" si="55"/>
        <v>-55.210077097024119</v>
      </c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C677" s="143"/>
      <c r="AJ677" s="143"/>
      <c r="AK677" s="143"/>
      <c r="AL677" s="143"/>
      <c r="AM677" s="143"/>
      <c r="AN677" s="143"/>
      <c r="AO677" s="143"/>
      <c r="AP677" s="143"/>
      <c r="AQ677" s="143"/>
      <c r="AR677" s="143"/>
      <c r="AS677" s="143"/>
      <c r="AT677" s="143"/>
    </row>
    <row r="678" spans="1:46" ht="15" customHeight="1">
      <c r="A678" s="528" t="str">
        <f>+input!B114</f>
        <v>225j</v>
      </c>
      <c r="B678" s="827">
        <f t="shared" si="43"/>
        <v>18.646341231262991</v>
      </c>
      <c r="C678" s="527">
        <f t="shared" si="42"/>
        <v>-14.163168998899923</v>
      </c>
      <c r="D678" s="825">
        <f t="shared" si="44"/>
        <v>-0.3064771438018617</v>
      </c>
      <c r="E678" s="826">
        <f t="shared" si="45"/>
        <v>0.23279031141445594</v>
      </c>
      <c r="F678" s="827">
        <f t="shared" si="46"/>
        <v>25.446496468583003</v>
      </c>
      <c r="G678" s="527">
        <f t="shared" si="47"/>
        <v>-19.328351092823997</v>
      </c>
      <c r="H678" s="825">
        <f t="shared" si="48"/>
        <v>1.5957078421781195</v>
      </c>
      <c r="I678" s="527">
        <f t="shared" si="49"/>
        <v>-3.2345346585963268</v>
      </c>
      <c r="J678" s="825">
        <f t="shared" si="50"/>
        <v>1.3914328900940587</v>
      </c>
      <c r="K678" s="826">
        <f t="shared" si="51"/>
        <v>-2.8204648677898185</v>
      </c>
      <c r="L678" s="827">
        <f t="shared" si="52"/>
        <v>-10.227993495206002</v>
      </c>
      <c r="M678" s="527">
        <f t="shared" si="53"/>
        <v>51.07738940752278</v>
      </c>
      <c r="N678" s="527">
        <f t="shared" si="54"/>
        <v>9.1613847877654759</v>
      </c>
      <c r="O678" s="824">
        <f t="shared" si="55"/>
        <v>-45.750871716547557</v>
      </c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C678" s="143"/>
      <c r="AJ678" s="143"/>
      <c r="AK678" s="143"/>
      <c r="AL678" s="143"/>
      <c r="AM678" s="143"/>
      <c r="AN678" s="143"/>
      <c r="AO678" s="143"/>
      <c r="AP678" s="143"/>
      <c r="AQ678" s="143"/>
      <c r="AR678" s="143"/>
      <c r="AS678" s="143"/>
      <c r="AT678" s="143"/>
    </row>
    <row r="679" spans="1:46" ht="15" customHeight="1">
      <c r="A679" s="528" t="str">
        <f>+input!B115</f>
        <v>226i</v>
      </c>
      <c r="B679" s="827">
        <f t="shared" si="43"/>
        <v>18.646241303925589</v>
      </c>
      <c r="C679" s="527">
        <f t="shared" si="42"/>
        <v>-14.163093097265945</v>
      </c>
      <c r="D679" s="825">
        <f t="shared" si="44"/>
        <v>-0.3064771438018617</v>
      </c>
      <c r="E679" s="826">
        <f t="shared" si="45"/>
        <v>0.23279031141445594</v>
      </c>
      <c r="F679" s="827">
        <f t="shared" si="46"/>
        <v>25.44629661390821</v>
      </c>
      <c r="G679" s="527">
        <f t="shared" si="47"/>
        <v>-19.328199289556039</v>
      </c>
      <c r="H679" s="825">
        <f t="shared" si="48"/>
        <v>1.5957078421781195</v>
      </c>
      <c r="I679" s="527">
        <f t="shared" si="49"/>
        <v>-3.2345346585963268</v>
      </c>
      <c r="J679" s="825">
        <f t="shared" si="50"/>
        <v>1.3914030515091793</v>
      </c>
      <c r="K679" s="826">
        <f t="shared" si="51"/>
        <v>-2.8204043843263649</v>
      </c>
      <c r="L679" s="827">
        <f t="shared" si="52"/>
        <v>-10.227993495206002</v>
      </c>
      <c r="M679" s="527">
        <f t="shared" si="53"/>
        <v>51.07738940752278</v>
      </c>
      <c r="N679" s="527">
        <f t="shared" si="54"/>
        <v>9.1613847877654759</v>
      </c>
      <c r="O679" s="824">
        <f t="shared" si="55"/>
        <v>-45.750871716547557</v>
      </c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C679" s="143"/>
      <c r="AJ679" s="143"/>
      <c r="AK679" s="143"/>
      <c r="AL679" s="143"/>
      <c r="AM679" s="143"/>
      <c r="AN679" s="143"/>
      <c r="AO679" s="143"/>
      <c r="AP679" s="143"/>
      <c r="AQ679" s="143"/>
      <c r="AR679" s="143"/>
      <c r="AS679" s="143"/>
      <c r="AT679" s="143"/>
    </row>
    <row r="680" spans="1:46" ht="15" customHeight="1">
      <c r="A680" s="528" t="str">
        <f>+input!B116</f>
        <v>226j</v>
      </c>
      <c r="B680" s="827">
        <f t="shared" si="43"/>
        <v>7.3500553750251489</v>
      </c>
      <c r="C680" s="527">
        <f t="shared" si="42"/>
        <v>-5.5828687857120611</v>
      </c>
      <c r="D680" s="825">
        <f t="shared" si="44"/>
        <v>-0.24312321189107577</v>
      </c>
      <c r="E680" s="826">
        <f t="shared" si="45"/>
        <v>0.18466867547159152</v>
      </c>
      <c r="F680" s="827">
        <f t="shared" si="46"/>
        <v>-2.0066408623036143</v>
      </c>
      <c r="G680" s="527">
        <f t="shared" si="47"/>
        <v>1.5241807119379489</v>
      </c>
      <c r="H680" s="825">
        <f t="shared" si="48"/>
        <v>-0.32240590962142529</v>
      </c>
      <c r="I680" s="527">
        <f t="shared" si="49"/>
        <v>0.65352382262113973</v>
      </c>
      <c r="J680" s="825">
        <f t="shared" si="50"/>
        <v>-0.26672711023654977</v>
      </c>
      <c r="K680" s="826">
        <f t="shared" si="51"/>
        <v>0.54066167981586011</v>
      </c>
      <c r="L680" s="827">
        <f t="shared" si="52"/>
        <v>-10.47445918399273</v>
      </c>
      <c r="M680" s="527">
        <f t="shared" si="53"/>
        <v>52.308209897157781</v>
      </c>
      <c r="N680" s="527">
        <f t="shared" si="54"/>
        <v>7.2717243133198917</v>
      </c>
      <c r="O680" s="824">
        <f t="shared" si="55"/>
        <v>-36.314130879109499</v>
      </c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C680" s="143"/>
      <c r="AJ680" s="143"/>
      <c r="AK680" s="143"/>
      <c r="AL680" s="143"/>
      <c r="AM680" s="143"/>
      <c r="AN680" s="143"/>
      <c r="AO680" s="143"/>
      <c r="AP680" s="143"/>
      <c r="AQ680" s="143"/>
      <c r="AR680" s="143"/>
      <c r="AS680" s="143"/>
      <c r="AT680" s="143"/>
    </row>
    <row r="681" spans="1:46" ht="15" customHeight="1">
      <c r="A681" s="528" t="str">
        <f>+input!B117</f>
        <v>227i</v>
      </c>
      <c r="B681" s="827">
        <f t="shared" si="43"/>
        <v>7.8780655248680764</v>
      </c>
      <c r="C681" s="527">
        <f t="shared" si="42"/>
        <v>-7.5295765904141199</v>
      </c>
      <c r="D681" s="825">
        <f t="shared" si="44"/>
        <v>-0.26058505094152712</v>
      </c>
      <c r="E681" s="826">
        <f t="shared" si="45"/>
        <v>0.24905798170726062</v>
      </c>
      <c r="F681" s="827">
        <f t="shared" si="46"/>
        <v>-2.1507638339321034</v>
      </c>
      <c r="G681" s="527">
        <f t="shared" si="47"/>
        <v>2.0556240569928077</v>
      </c>
      <c r="H681" s="825">
        <f t="shared" si="48"/>
        <v>-0.335303281475343</v>
      </c>
      <c r="I681" s="527">
        <f t="shared" si="49"/>
        <v>0.86880753676477018</v>
      </c>
      <c r="J681" s="825">
        <f t="shared" si="50"/>
        <v>-0.27739713402203525</v>
      </c>
      <c r="K681" s="826">
        <f t="shared" si="51"/>
        <v>0.71876636475153</v>
      </c>
      <c r="L681" s="827">
        <f t="shared" si="52"/>
        <v>-10.491024212717445</v>
      </c>
      <c r="M681" s="527">
        <f t="shared" si="53"/>
        <v>69.250510025133536</v>
      </c>
      <c r="N681" s="527">
        <f t="shared" si="54"/>
        <v>7.2832208645534671</v>
      </c>
      <c r="O681" s="824">
        <f t="shared" si="55"/>
        <v>-48.076026636619275</v>
      </c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C681" s="143"/>
      <c r="AJ681" s="143"/>
      <c r="AK681" s="143"/>
      <c r="AL681" s="143"/>
      <c r="AM681" s="143"/>
      <c r="AN681" s="143"/>
      <c r="AO681" s="143"/>
      <c r="AP681" s="143"/>
      <c r="AQ681" s="143"/>
      <c r="AR681" s="143"/>
      <c r="AS681" s="143"/>
      <c r="AT681" s="143"/>
    </row>
    <row r="682" spans="1:46" s="73" customFormat="1" ht="15" customHeight="1">
      <c r="A682" s="529" t="str">
        <f>+input!B118</f>
        <v>227j</v>
      </c>
      <c r="B682" s="831">
        <f t="shared" si="43"/>
        <v>0.43120239009066519</v>
      </c>
      <c r="C682" s="832">
        <f t="shared" si="42"/>
        <v>-0.41212800425541768</v>
      </c>
      <c r="D682" s="828">
        <f t="shared" si="44"/>
        <v>-0.19332347593483623</v>
      </c>
      <c r="E682" s="830">
        <f t="shared" si="45"/>
        <v>0.18477174557402609</v>
      </c>
      <c r="F682" s="827">
        <f t="shared" si="46"/>
        <v>-17.87583460221612</v>
      </c>
      <c r="G682" s="527">
        <f t="shared" si="47"/>
        <v>17.08509091858755</v>
      </c>
      <c r="H682" s="828">
        <f t="shared" si="48"/>
        <v>-1.3401580299670675</v>
      </c>
      <c r="I682" s="832">
        <f t="shared" si="49"/>
        <v>3.4724962779012838</v>
      </c>
      <c r="J682" s="828">
        <f t="shared" si="50"/>
        <v>-1.1826073811886948</v>
      </c>
      <c r="K682" s="830">
        <f t="shared" si="51"/>
        <v>3.0642652863089892</v>
      </c>
      <c r="L682" s="831">
        <f t="shared" si="52"/>
        <v>-9.4049990123731035</v>
      </c>
      <c r="M682" s="832">
        <f t="shared" si="53"/>
        <v>62.081734365191316</v>
      </c>
      <c r="N682" s="832">
        <f t="shared" si="54"/>
        <v>5.4029911805976401</v>
      </c>
      <c r="O682" s="833">
        <f t="shared" si="55"/>
        <v>-35.664763261543172</v>
      </c>
    </row>
    <row r="683" spans="1:46" ht="15" customHeight="1">
      <c r="A683" s="528" t="str">
        <f>+input!B119</f>
        <v>228i</v>
      </c>
      <c r="B683" s="827">
        <f t="shared" si="43"/>
        <v>0.43120239009066519</v>
      </c>
      <c r="C683" s="527">
        <f>Stress!B629</f>
        <v>3.4761751346613288E-4</v>
      </c>
      <c r="D683" s="825">
        <f t="shared" si="44"/>
        <v>-0.19332347593483623</v>
      </c>
      <c r="E683" s="826">
        <f t="shared" si="45"/>
        <v>0.18477174557402609</v>
      </c>
      <c r="F683" s="827">
        <f t="shared" si="46"/>
        <v>-17.875727497797321</v>
      </c>
      <c r="G683" s="527">
        <f t="shared" si="47"/>
        <v>17.084988551969502</v>
      </c>
      <c r="H683" s="825">
        <f t="shared" si="48"/>
        <v>-1.3401580299670675</v>
      </c>
      <c r="I683" s="527">
        <f t="shared" si="49"/>
        <v>3.4724962779012838</v>
      </c>
      <c r="J683" s="825">
        <f t="shared" si="50"/>
        <v>-1.1826073811886948</v>
      </c>
      <c r="K683" s="826">
        <f t="shared" si="51"/>
        <v>3.0642652863089892</v>
      </c>
      <c r="L683" s="827">
        <f t="shared" si="52"/>
        <v>-9.4049990123731035</v>
      </c>
      <c r="M683" s="527">
        <f t="shared" si="53"/>
        <v>62.081734365191316</v>
      </c>
      <c r="N683" s="527">
        <f t="shared" si="54"/>
        <v>5.4029911805976401</v>
      </c>
      <c r="O683" s="824">
        <f t="shared" si="55"/>
        <v>-35.664763261543172</v>
      </c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C683" s="143"/>
      <c r="AJ683" s="143"/>
      <c r="AK683" s="143"/>
      <c r="AL683" s="143"/>
      <c r="AM683" s="143"/>
      <c r="AN683" s="143"/>
      <c r="AO683" s="143"/>
      <c r="AP683" s="143"/>
      <c r="AQ683" s="143"/>
      <c r="AR683" s="143"/>
      <c r="AS683" s="143"/>
      <c r="AT683" s="143"/>
    </row>
    <row r="684" spans="1:46" ht="15" customHeight="1">
      <c r="A684" s="528" t="str">
        <f>+input!B120</f>
        <v>228j</v>
      </c>
      <c r="B684" s="827">
        <f t="shared" si="43"/>
        <v>-3.5894974916787263</v>
      </c>
      <c r="C684" s="527">
        <f t="shared" ref="C684:C690" si="56">E166/C554*10^6</f>
        <v>3.4307148372121379</v>
      </c>
      <c r="D684" s="825">
        <f t="shared" si="44"/>
        <v>-0.1259547965093448</v>
      </c>
      <c r="E684" s="826">
        <f t="shared" si="45"/>
        <v>0.12038314282274495</v>
      </c>
      <c r="F684" s="827">
        <f t="shared" si="46"/>
        <v>-24.014738574602276</v>
      </c>
      <c r="G684" s="527">
        <f t="shared" si="47"/>
        <v>22.952438365161761</v>
      </c>
      <c r="H684" s="825">
        <f t="shared" si="48"/>
        <v>-1.720489082050529</v>
      </c>
      <c r="I684" s="527">
        <f t="shared" si="49"/>
        <v>4.4579757013708825</v>
      </c>
      <c r="J684" s="825">
        <f t="shared" si="50"/>
        <v>-1.488926556704022</v>
      </c>
      <c r="K684" s="826">
        <f t="shared" si="51"/>
        <v>3.8579718291507339</v>
      </c>
      <c r="L684" s="827">
        <f t="shared" si="52"/>
        <v>-7.4616467108211522</v>
      </c>
      <c r="M684" s="527">
        <f t="shared" si="53"/>
        <v>49.253803048642517</v>
      </c>
      <c r="N684" s="527">
        <f t="shared" si="54"/>
        <v>3.5227502045814196</v>
      </c>
      <c r="O684" s="824">
        <f t="shared" si="55"/>
        <v>-23.253425348373774</v>
      </c>
      <c r="Q684" s="73"/>
      <c r="R684" s="73"/>
      <c r="V684" s="869"/>
      <c r="X684" s="73"/>
      <c r="Y684" s="73"/>
      <c r="Z684" s="73"/>
      <c r="AA684" s="73"/>
      <c r="AC684" s="143"/>
      <c r="AJ684" s="143"/>
      <c r="AK684" s="143"/>
      <c r="AL684" s="143"/>
      <c r="AM684" s="143"/>
      <c r="AN684" s="143"/>
      <c r="AO684" s="143"/>
      <c r="AP684" s="143"/>
      <c r="AQ684" s="143"/>
      <c r="AR684" s="143"/>
      <c r="AS684" s="143"/>
      <c r="AT684" s="143"/>
    </row>
    <row r="685" spans="1:46" ht="15" customHeight="1">
      <c r="A685" s="528" t="str">
        <f>+input!B121</f>
        <v>229i</v>
      </c>
      <c r="B685" s="827">
        <f t="shared" si="43"/>
        <v>-3.5894974916787263</v>
      </c>
      <c r="C685" s="527">
        <f t="shared" si="56"/>
        <v>3.4307148372121379</v>
      </c>
      <c r="D685" s="825">
        <f t="shared" si="44"/>
        <v>-0.1259547965093448</v>
      </c>
      <c r="E685" s="826">
        <f t="shared" si="45"/>
        <v>0.12038314282274495</v>
      </c>
      <c r="F685" s="827">
        <f t="shared" si="46"/>
        <v>-24.014738574602276</v>
      </c>
      <c r="G685" s="527">
        <f t="shared" si="47"/>
        <v>22.952438365161761</v>
      </c>
      <c r="H685" s="825">
        <f t="shared" si="48"/>
        <v>-1.720489082050529</v>
      </c>
      <c r="I685" s="527">
        <f t="shared" si="49"/>
        <v>4.4579757013708825</v>
      </c>
      <c r="J685" s="825">
        <f t="shared" si="50"/>
        <v>-1.488926556704022</v>
      </c>
      <c r="K685" s="826">
        <f t="shared" si="51"/>
        <v>3.8579718291507339</v>
      </c>
      <c r="L685" s="827">
        <f t="shared" si="52"/>
        <v>-7.4616467108211522</v>
      </c>
      <c r="M685" s="527">
        <f t="shared" si="53"/>
        <v>49.253803048642517</v>
      </c>
      <c r="N685" s="527">
        <f t="shared" si="54"/>
        <v>3.5227502045814196</v>
      </c>
      <c r="O685" s="824">
        <f t="shared" si="55"/>
        <v>-23.253425348373774</v>
      </c>
      <c r="Q685" s="73"/>
      <c r="R685" s="73"/>
      <c r="V685" s="869"/>
      <c r="X685" s="73"/>
      <c r="Y685" s="73"/>
      <c r="Z685" s="73"/>
      <c r="AA685" s="73"/>
      <c r="AC685" s="143"/>
      <c r="AJ685" s="143"/>
      <c r="AK685" s="143"/>
      <c r="AL685" s="143"/>
      <c r="AM685" s="143"/>
      <c r="AN685" s="143"/>
      <c r="AO685" s="143"/>
      <c r="AP685" s="143"/>
      <c r="AQ685" s="143"/>
      <c r="AR685" s="143"/>
      <c r="AS685" s="143"/>
      <c r="AT685" s="143"/>
    </row>
    <row r="686" spans="1:46" ht="15" customHeight="1">
      <c r="A686" s="528" t="str">
        <f>+input!B122</f>
        <v>229j</v>
      </c>
      <c r="B686" s="827">
        <f t="shared" si="43"/>
        <v>-2.3661508201398349</v>
      </c>
      <c r="C686" s="527">
        <f t="shared" si="56"/>
        <v>2.2614833258844231</v>
      </c>
      <c r="D686" s="825">
        <f t="shared" si="44"/>
        <v>-3.8986008443368636E-2</v>
      </c>
      <c r="E686" s="826">
        <f t="shared" si="45"/>
        <v>3.7261448968944871E-2</v>
      </c>
      <c r="F686" s="827">
        <f t="shared" si="46"/>
        <v>-11.671061412267683</v>
      </c>
      <c r="G686" s="527">
        <f t="shared" si="47"/>
        <v>11.154788001914708</v>
      </c>
      <c r="H686" s="825">
        <f t="shared" si="48"/>
        <v>-0.76426184323690405</v>
      </c>
      <c r="I686" s="527">
        <f t="shared" si="49"/>
        <v>1.980286165242273</v>
      </c>
      <c r="J686" s="825">
        <f t="shared" si="50"/>
        <v>-0.68308152076217032</v>
      </c>
      <c r="K686" s="826">
        <f t="shared" si="51"/>
        <v>1.7699390559246759</v>
      </c>
      <c r="L686" s="827">
        <f t="shared" si="52"/>
        <v>-2.7788066817785806</v>
      </c>
      <c r="M686" s="527">
        <f t="shared" si="53"/>
        <v>18.342706686459014</v>
      </c>
      <c r="N686" s="527">
        <f t="shared" si="54"/>
        <v>1.0920212844129518</v>
      </c>
      <c r="O686" s="824">
        <f t="shared" si="55"/>
        <v>-7.2083553874774653</v>
      </c>
      <c r="Q686" s="73"/>
      <c r="R686" s="73"/>
      <c r="V686" s="869"/>
      <c r="X686" s="73"/>
      <c r="Y686" s="73"/>
      <c r="Z686" s="73"/>
      <c r="AA686" s="73"/>
      <c r="AC686" s="143"/>
      <c r="AJ686" s="143"/>
      <c r="AK686" s="143"/>
      <c r="AL686" s="143"/>
      <c r="AM686" s="143"/>
      <c r="AN686" s="143"/>
      <c r="AO686" s="143"/>
      <c r="AP686" s="143"/>
      <c r="AQ686" s="143"/>
      <c r="AR686" s="143"/>
      <c r="AS686" s="143"/>
      <c r="AT686" s="143"/>
    </row>
    <row r="687" spans="1:46" ht="15" customHeight="1">
      <c r="A687" s="528" t="str">
        <f>+input!B123</f>
        <v>230i</v>
      </c>
      <c r="B687" s="827">
        <f t="shared" si="43"/>
        <v>-2.6136281444370888</v>
      </c>
      <c r="C687" s="527">
        <f t="shared" si="56"/>
        <v>2.4938037182259034</v>
      </c>
      <c r="D687" s="825">
        <f t="shared" si="44"/>
        <v>-4.3065530966235138E-2</v>
      </c>
      <c r="E687" s="826">
        <f t="shared" si="45"/>
        <v>4.1091148134273184E-2</v>
      </c>
      <c r="F687" s="827">
        <f t="shared" si="46"/>
        <v>-12.892329241372737</v>
      </c>
      <c r="G687" s="527">
        <f t="shared" si="47"/>
        <v>12.301267365504437</v>
      </c>
      <c r="H687" s="825">
        <f t="shared" si="48"/>
        <v>-0.81979388094460592</v>
      </c>
      <c r="I687" s="527">
        <f t="shared" si="49"/>
        <v>2.186750703386521</v>
      </c>
      <c r="J687" s="825">
        <f t="shared" si="50"/>
        <v>-0.73271491421766544</v>
      </c>
      <c r="K687" s="826">
        <f t="shared" si="51"/>
        <v>1.9544728148020181</v>
      </c>
      <c r="L687" s="827">
        <f t="shared" si="52"/>
        <v>-2.9088324548274858</v>
      </c>
      <c r="M687" s="527">
        <f t="shared" si="53"/>
        <v>20.297505808008093</v>
      </c>
      <c r="N687" s="527">
        <f t="shared" si="54"/>
        <v>1.1431190857183562</v>
      </c>
      <c r="O687" s="824">
        <f t="shared" si="55"/>
        <v>-7.9765564507184052</v>
      </c>
      <c r="Q687" s="73"/>
      <c r="R687" s="73"/>
      <c r="V687" s="869"/>
      <c r="X687" s="73"/>
      <c r="Y687" s="73"/>
      <c r="Z687" s="73"/>
      <c r="AA687" s="73"/>
      <c r="AC687" s="143"/>
      <c r="AJ687" s="143"/>
      <c r="AK687" s="143"/>
      <c r="AL687" s="143"/>
      <c r="AM687" s="143"/>
      <c r="AN687" s="143"/>
      <c r="AO687" s="143"/>
      <c r="AP687" s="143"/>
      <c r="AQ687" s="143"/>
      <c r="AR687" s="143"/>
      <c r="AS687" s="143"/>
      <c r="AT687" s="143"/>
    </row>
    <row r="688" spans="1:46" ht="15" customHeight="1">
      <c r="A688" s="528" t="str">
        <f>+input!B124</f>
        <v>230j</v>
      </c>
      <c r="B688" s="827">
        <f t="shared" si="43"/>
        <v>2.188770117789423E-2</v>
      </c>
      <c r="C688" s="527">
        <f t="shared" si="56"/>
        <v>-2.088423737593555E-2</v>
      </c>
      <c r="D688" s="825">
        <f t="shared" si="44"/>
        <v>0</v>
      </c>
      <c r="E688" s="826">
        <f t="shared" si="45"/>
        <v>0</v>
      </c>
      <c r="F688" s="827">
        <f t="shared" si="46"/>
        <v>0.10446940616259787</v>
      </c>
      <c r="G688" s="527">
        <f t="shared" si="47"/>
        <v>-9.9679900556492368E-2</v>
      </c>
      <c r="H688" s="825">
        <f t="shared" si="48"/>
        <v>4.0277350817889109E-3</v>
      </c>
      <c r="I688" s="527">
        <f t="shared" si="49"/>
        <v>-1.0743740259451398E-2</v>
      </c>
      <c r="J688" s="825">
        <f t="shared" si="50"/>
        <v>3.8612997478306918E-3</v>
      </c>
      <c r="K688" s="826">
        <f t="shared" si="51"/>
        <v>-1.0299784050383157E-2</v>
      </c>
      <c r="L688" s="827">
        <f t="shared" si="52"/>
        <v>2.3640875752910461E-3</v>
      </c>
      <c r="M688" s="527">
        <f t="shared" si="53"/>
        <v>-1.6496337288341909E-2</v>
      </c>
      <c r="N688" s="527">
        <f t="shared" si="54"/>
        <v>0.16803934485168756</v>
      </c>
      <c r="O688" s="824">
        <f t="shared" si="55"/>
        <v>-1.1725596544553429</v>
      </c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C688" s="143"/>
      <c r="AJ688" s="143"/>
      <c r="AK688" s="143"/>
      <c r="AL688" s="143"/>
      <c r="AM688" s="143"/>
      <c r="AN688" s="143"/>
      <c r="AO688" s="143"/>
      <c r="AP688" s="143"/>
      <c r="AQ688" s="143"/>
      <c r="AR688" s="143"/>
      <c r="AS688" s="143"/>
      <c r="AT688" s="143"/>
    </row>
    <row r="689" spans="1:46" ht="15" customHeight="1">
      <c r="A689" s="528" t="str">
        <f>+input!B125</f>
        <v>231i</v>
      </c>
      <c r="B689" s="827">
        <f t="shared" si="43"/>
        <v>2.200601307615312E-2</v>
      </c>
      <c r="C689" s="527">
        <f t="shared" si="56"/>
        <v>-2.09971251455352E-2</v>
      </c>
      <c r="D689" s="825">
        <f t="shared" si="44"/>
        <v>0</v>
      </c>
      <c r="E689" s="826">
        <f t="shared" si="45"/>
        <v>0</v>
      </c>
      <c r="F689" s="827">
        <f t="shared" si="46"/>
        <v>0.10470602995911564</v>
      </c>
      <c r="G689" s="527">
        <f t="shared" si="47"/>
        <v>-9.9905676095691662E-2</v>
      </c>
      <c r="H689" s="825">
        <f t="shared" si="48"/>
        <v>4.061022148580555E-3</v>
      </c>
      <c r="I689" s="527">
        <f t="shared" si="49"/>
        <v>-1.0832531501265045E-2</v>
      </c>
      <c r="J689" s="825">
        <f t="shared" si="50"/>
        <v>3.8945868146223355E-3</v>
      </c>
      <c r="K689" s="826">
        <f t="shared" si="51"/>
        <v>-1.0388575292196807E-2</v>
      </c>
      <c r="L689" s="827">
        <f t="shared" si="52"/>
        <v>0</v>
      </c>
      <c r="M689" s="527">
        <f t="shared" si="53"/>
        <v>0</v>
      </c>
      <c r="N689" s="527">
        <f t="shared" si="54"/>
        <v>0.16803934485168756</v>
      </c>
      <c r="O689" s="824">
        <f t="shared" si="55"/>
        <v>-1.1725596544553429</v>
      </c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C689" s="143"/>
      <c r="AJ689" s="143"/>
      <c r="AK689" s="143"/>
      <c r="AL689" s="143"/>
      <c r="AM689" s="143"/>
      <c r="AN689" s="143"/>
      <c r="AO689" s="143"/>
      <c r="AP689" s="143"/>
      <c r="AQ689" s="143"/>
      <c r="AR689" s="143"/>
      <c r="AS689" s="143"/>
      <c r="AT689" s="143"/>
    </row>
    <row r="690" spans="1:46" ht="15" customHeight="1" thickBot="1">
      <c r="A690" s="918" t="str">
        <f>+input!B126</f>
        <v>231j</v>
      </c>
      <c r="B690" s="919">
        <f t="shared" si="43"/>
        <v>0</v>
      </c>
      <c r="C690" s="920">
        <f t="shared" si="56"/>
        <v>0</v>
      </c>
      <c r="D690" s="921">
        <f t="shared" si="44"/>
        <v>0</v>
      </c>
      <c r="E690" s="922">
        <f t="shared" si="45"/>
        <v>0</v>
      </c>
      <c r="F690" s="919">
        <f t="shared" si="46"/>
        <v>1.1831189825888774E-4</v>
      </c>
      <c r="G690" s="920">
        <f t="shared" si="47"/>
        <v>-1.1288776959965162E-4</v>
      </c>
      <c r="H690" s="921">
        <f t="shared" si="48"/>
        <v>0</v>
      </c>
      <c r="I690" s="920">
        <f t="shared" si="49"/>
        <v>0</v>
      </c>
      <c r="J690" s="921">
        <f t="shared" si="50"/>
        <v>0</v>
      </c>
      <c r="K690" s="922">
        <f t="shared" si="51"/>
        <v>0</v>
      </c>
      <c r="L690" s="919">
        <f t="shared" si="52"/>
        <v>0</v>
      </c>
      <c r="M690" s="920">
        <f t="shared" si="53"/>
        <v>0</v>
      </c>
      <c r="N690" s="920">
        <f t="shared" si="54"/>
        <v>0</v>
      </c>
      <c r="O690" s="923">
        <f t="shared" si="55"/>
        <v>0</v>
      </c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C690" s="143"/>
      <c r="AJ690" s="143"/>
      <c r="AK690" s="143"/>
      <c r="AL690" s="143"/>
      <c r="AM690" s="143"/>
      <c r="AN690" s="143"/>
      <c r="AO690" s="143"/>
      <c r="AP690" s="143"/>
      <c r="AQ690" s="143"/>
      <c r="AR690" s="143"/>
      <c r="AS690" s="143"/>
      <c r="AT690" s="143"/>
    </row>
    <row r="691" spans="1:46" ht="15" customHeight="1">
      <c r="A691" s="163"/>
      <c r="B691" s="163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</row>
    <row r="692" spans="1:46" ht="15" customHeight="1">
      <c r="A692" s="655"/>
      <c r="B692" s="655"/>
      <c r="C692" s="451"/>
      <c r="D692" s="451"/>
      <c r="E692" s="451"/>
      <c r="F692" s="451"/>
      <c r="G692" s="451"/>
      <c r="H692" s="451"/>
      <c r="I692" s="451"/>
      <c r="J692" s="451"/>
      <c r="K692" s="451"/>
      <c r="L692" s="451"/>
      <c r="M692" s="451"/>
      <c r="N692" s="451"/>
      <c r="O692" s="451"/>
      <c r="P692" s="451"/>
      <c r="Q692" s="451"/>
      <c r="R692" s="451"/>
      <c r="S692" s="451"/>
      <c r="T692" s="451"/>
      <c r="U692" s="451"/>
      <c r="V692" s="451"/>
      <c r="X692" s="656"/>
      <c r="Z692" s="656"/>
      <c r="AC692" s="656"/>
    </row>
    <row r="693" spans="1:46" ht="15" customHeight="1" thickBot="1">
      <c r="A693" s="468" t="s">
        <v>1652</v>
      </c>
      <c r="L693" s="143"/>
      <c r="X693" s="143"/>
      <c r="Z693" s="143"/>
      <c r="AC693" s="143"/>
    </row>
    <row r="694" spans="1:46" ht="15" customHeight="1">
      <c r="A694" s="1887" t="s">
        <v>16</v>
      </c>
      <c r="B694" s="1905" t="s">
        <v>1663</v>
      </c>
      <c r="C694" s="1906"/>
      <c r="D694" s="1905" t="s">
        <v>1664</v>
      </c>
      <c r="E694" s="1906"/>
      <c r="F694" s="1905" t="s">
        <v>852</v>
      </c>
      <c r="G694" s="1906"/>
      <c r="H694" s="1905" t="s">
        <v>787</v>
      </c>
      <c r="I694" s="1906"/>
      <c r="J694" s="1910" t="s">
        <v>1923</v>
      </c>
      <c r="K694" s="1911"/>
      <c r="L694" s="1911"/>
      <c r="M694" s="1912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J694" s="143"/>
      <c r="AK694" s="143"/>
      <c r="AL694" s="143"/>
      <c r="AM694" s="143"/>
      <c r="AN694" s="143"/>
      <c r="AO694" s="143"/>
      <c r="AP694" s="143"/>
      <c r="AQ694" s="143"/>
      <c r="AR694" s="143"/>
      <c r="AS694" s="143"/>
      <c r="AT694" s="143"/>
    </row>
    <row r="695" spans="1:46" ht="15" customHeight="1">
      <c r="A695" s="1888"/>
      <c r="B695" s="1907" t="s">
        <v>789</v>
      </c>
      <c r="C695" s="1908"/>
      <c r="D695" s="1907" t="s">
        <v>789</v>
      </c>
      <c r="E695" s="1908"/>
      <c r="F695" s="1907" t="s">
        <v>790</v>
      </c>
      <c r="G695" s="1908"/>
      <c r="H695" s="1907" t="s">
        <v>848</v>
      </c>
      <c r="I695" s="1908"/>
      <c r="J695" s="1916" t="s">
        <v>858</v>
      </c>
      <c r="K695" s="1917"/>
      <c r="L695" s="1914" t="s">
        <v>857</v>
      </c>
      <c r="M695" s="1915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J695" s="143"/>
      <c r="AK695" s="143"/>
      <c r="AL695" s="143"/>
      <c r="AM695" s="143"/>
      <c r="AN695" s="143"/>
      <c r="AO695" s="143"/>
      <c r="AP695" s="143"/>
      <c r="AQ695" s="143"/>
      <c r="AR695" s="143"/>
      <c r="AS695" s="143"/>
      <c r="AT695" s="143"/>
    </row>
    <row r="696" spans="1:46" ht="15" customHeight="1">
      <c r="A696" s="1889"/>
      <c r="B696" s="525" t="s">
        <v>231</v>
      </c>
      <c r="C696" s="522" t="s">
        <v>232</v>
      </c>
      <c r="D696" s="525" t="s">
        <v>231</v>
      </c>
      <c r="E696" s="524" t="s">
        <v>232</v>
      </c>
      <c r="F696" s="525" t="s">
        <v>231</v>
      </c>
      <c r="G696" s="532" t="s">
        <v>232</v>
      </c>
      <c r="H696" s="525" t="s">
        <v>231</v>
      </c>
      <c r="I696" s="522" t="s">
        <v>232</v>
      </c>
      <c r="J696" s="523" t="s">
        <v>231</v>
      </c>
      <c r="K696" s="524" t="s">
        <v>232</v>
      </c>
      <c r="L696" s="524" t="s">
        <v>231</v>
      </c>
      <c r="M696" s="526" t="s">
        <v>232</v>
      </c>
      <c r="W696" s="507"/>
      <c r="X696" s="73"/>
      <c r="Y696" s="73"/>
      <c r="Z696" s="76"/>
      <c r="AA696" s="73"/>
      <c r="AB696" s="73"/>
      <c r="AC696" s="73"/>
      <c r="AD696" s="73"/>
      <c r="AE696" s="73"/>
      <c r="AF696" s="73"/>
      <c r="AG696" s="73"/>
      <c r="AJ696" s="143"/>
      <c r="AK696" s="143"/>
      <c r="AL696" s="143"/>
      <c r="AM696" s="143"/>
      <c r="AN696" s="143"/>
      <c r="AO696" s="143"/>
      <c r="AP696" s="143"/>
      <c r="AQ696" s="143"/>
      <c r="AR696" s="143"/>
      <c r="AS696" s="143"/>
      <c r="AT696" s="143"/>
    </row>
    <row r="697" spans="1:46" ht="15" customHeight="1">
      <c r="A697" s="519" t="str">
        <f>+input!B3</f>
        <v>101i</v>
      </c>
      <c r="B697" s="825">
        <f t="shared" ref="B697:B728" si="57">-G49/D437*10^6</f>
        <v>3.4761751346613288E-4</v>
      </c>
      <c r="C697" s="826">
        <f t="shared" ref="C697:C728" si="58">G49/E437*10^6</f>
        <v>-3.1066764924466252E-4</v>
      </c>
      <c r="D697" s="825">
        <f t="shared" ref="D697:D728" si="59">-G49/F437*10^6</f>
        <v>3.4761751346613288E-4</v>
      </c>
      <c r="E697" s="527">
        <f t="shared" ref="E697:E728" si="60">G49/G437*10^6</f>
        <v>-3.1066764924466252E-4</v>
      </c>
      <c r="F697" s="825">
        <f t="shared" ref="F697:F728" si="61">-H49/N437*10^6</f>
        <v>0</v>
      </c>
      <c r="G697" s="821">
        <f t="shared" ref="G697:G728" si="62">H49/O437*10^6</f>
        <v>0</v>
      </c>
      <c r="H697" s="825">
        <f t="shared" ref="H697:H728" si="63">-I49/N437*10^6</f>
        <v>-1.0275302171049039E-4</v>
      </c>
      <c r="I697" s="826">
        <f t="shared" ref="I697:I728" si="64">I49/O437*10^6</f>
        <v>1.0008010388104467E-4</v>
      </c>
      <c r="J697" s="827">
        <f t="shared" ref="J697:J728" si="65">-J49/L437*10^6</f>
        <v>0</v>
      </c>
      <c r="K697" s="527">
        <f t="shared" ref="K697:K728" si="66">J49/M437*10^6</f>
        <v>0</v>
      </c>
      <c r="L697" s="527">
        <f t="shared" ref="L697:L728" si="67">-K49/L437*10^6</f>
        <v>0</v>
      </c>
      <c r="M697" s="824">
        <f t="shared" ref="M697:M728" si="68">K49/M437*10^6</f>
        <v>0</v>
      </c>
      <c r="W697" s="507" t="s">
        <v>1917</v>
      </c>
      <c r="X697" s="73"/>
      <c r="Y697" s="73"/>
      <c r="Z697" s="76" t="s">
        <v>1591</v>
      </c>
      <c r="AA697" s="73"/>
      <c r="AB697" s="73"/>
      <c r="AC697" s="73"/>
      <c r="AD697" s="73"/>
      <c r="AE697" s="73"/>
      <c r="AF697" s="73"/>
      <c r="AG697" s="73"/>
      <c r="AJ697" s="143"/>
      <c r="AK697" s="143"/>
      <c r="AL697" s="143"/>
      <c r="AM697" s="143"/>
      <c r="AN697" s="143"/>
      <c r="AO697" s="143"/>
      <c r="AP697" s="143"/>
      <c r="AQ697" s="143"/>
      <c r="AR697" s="143"/>
      <c r="AS697" s="143"/>
      <c r="AT697" s="143"/>
    </row>
    <row r="698" spans="1:46" ht="15" customHeight="1">
      <c r="A698" s="519" t="str">
        <f>+input!B4</f>
        <v>101j</v>
      </c>
      <c r="B698" s="825">
        <f t="shared" si="57"/>
        <v>0.10208367645455436</v>
      </c>
      <c r="C698" s="826">
        <f t="shared" si="58"/>
        <v>-9.1232732994849228E-2</v>
      </c>
      <c r="D698" s="825">
        <f t="shared" si="59"/>
        <v>0.10208367645455436</v>
      </c>
      <c r="E698" s="527">
        <f t="shared" si="60"/>
        <v>-9.1232732994849228E-2</v>
      </c>
      <c r="F698" s="825">
        <f t="shared" si="61"/>
        <v>1.2535868648679827E-2</v>
      </c>
      <c r="G698" s="821">
        <f t="shared" si="62"/>
        <v>-1.2209772673487449E-2</v>
      </c>
      <c r="H698" s="825">
        <f t="shared" si="63"/>
        <v>1.2330362605258846E-2</v>
      </c>
      <c r="I698" s="826">
        <f t="shared" si="64"/>
        <v>-1.200961246572536E-2</v>
      </c>
      <c r="J698" s="827">
        <f t="shared" si="65"/>
        <v>0</v>
      </c>
      <c r="K698" s="527">
        <f t="shared" si="66"/>
        <v>0</v>
      </c>
      <c r="L698" s="527">
        <f t="shared" si="67"/>
        <v>1.1977523083670181</v>
      </c>
      <c r="M698" s="824">
        <f t="shared" si="68"/>
        <v>-1.3610905225079482</v>
      </c>
      <c r="W698" s="73"/>
      <c r="X698" s="73"/>
      <c r="Y698" s="73"/>
      <c r="Z698" s="73" t="s">
        <v>1592</v>
      </c>
      <c r="AA698" s="73"/>
      <c r="AB698" s="73"/>
      <c r="AC698" s="73"/>
      <c r="AD698" s="73"/>
      <c r="AE698" s="73"/>
      <c r="AF698" s="73"/>
      <c r="AG698" s="73"/>
      <c r="AJ698" s="143"/>
      <c r="AK698" s="143"/>
      <c r="AL698" s="143"/>
      <c r="AM698" s="143"/>
      <c r="AN698" s="143"/>
      <c r="AO698" s="143"/>
      <c r="AP698" s="143"/>
      <c r="AQ698" s="143"/>
      <c r="AR698" s="143"/>
      <c r="AS698" s="143"/>
      <c r="AT698" s="143"/>
    </row>
    <row r="699" spans="1:46" ht="15" customHeight="1">
      <c r="A699" s="519" t="str">
        <f>+input!B5</f>
        <v>102i</v>
      </c>
      <c r="B699" s="825">
        <f t="shared" si="57"/>
        <v>0.10243129396802048</v>
      </c>
      <c r="C699" s="826">
        <f t="shared" si="58"/>
        <v>-9.1543400644093886E-2</v>
      </c>
      <c r="D699" s="825">
        <f t="shared" si="59"/>
        <v>0.10243129396802048</v>
      </c>
      <c r="E699" s="527">
        <f t="shared" si="60"/>
        <v>-9.1543400644093886E-2</v>
      </c>
      <c r="F699" s="825">
        <f t="shared" si="61"/>
        <v>1.2433115626969336E-2</v>
      </c>
      <c r="G699" s="821">
        <f t="shared" si="62"/>
        <v>-1.2109692569606405E-2</v>
      </c>
      <c r="H699" s="825">
        <f t="shared" si="63"/>
        <v>1.1919350518416883E-2</v>
      </c>
      <c r="I699" s="826">
        <f t="shared" si="64"/>
        <v>-1.1609292050201182E-2</v>
      </c>
      <c r="J699" s="827">
        <f t="shared" si="65"/>
        <v>1.6720210907615246E-2</v>
      </c>
      <c r="K699" s="527">
        <f t="shared" si="66"/>
        <v>-1.9000356285446333E-2</v>
      </c>
      <c r="L699" s="527">
        <f t="shared" si="67"/>
        <v>1.197835909421556</v>
      </c>
      <c r="M699" s="824">
        <f t="shared" si="68"/>
        <v>-1.3611855242893753</v>
      </c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J699" s="143"/>
      <c r="AK699" s="143"/>
      <c r="AL699" s="143"/>
      <c r="AM699" s="143"/>
      <c r="AN699" s="143"/>
      <c r="AO699" s="143"/>
      <c r="AP699" s="143"/>
      <c r="AQ699" s="143"/>
      <c r="AR699" s="143"/>
      <c r="AS699" s="143"/>
      <c r="AT699" s="143"/>
    </row>
    <row r="700" spans="1:46" ht="15" customHeight="1">
      <c r="A700" s="519" t="str">
        <f>+input!B6</f>
        <v>102j</v>
      </c>
      <c r="B700" s="825">
        <f t="shared" si="57"/>
        <v>-41.356403194579293</v>
      </c>
      <c r="C700" s="826">
        <f t="shared" si="58"/>
        <v>36.960440898286741</v>
      </c>
      <c r="D700" s="825">
        <f t="shared" si="59"/>
        <v>-41.356403194579293</v>
      </c>
      <c r="E700" s="527">
        <f t="shared" si="60"/>
        <v>36.960440898286741</v>
      </c>
      <c r="F700" s="825">
        <f t="shared" si="61"/>
        <v>-8.6214922866186949</v>
      </c>
      <c r="G700" s="821">
        <f t="shared" si="62"/>
        <v>8.3972211161390522</v>
      </c>
      <c r="H700" s="825">
        <f t="shared" si="63"/>
        <v>-7.5736169712151158</v>
      </c>
      <c r="I700" s="826">
        <f t="shared" si="64"/>
        <v>7.3766042167601604</v>
      </c>
      <c r="J700" s="827">
        <f t="shared" si="65"/>
        <v>-25.522816743092903</v>
      </c>
      <c r="K700" s="527">
        <f t="shared" si="66"/>
        <v>29.003378857263836</v>
      </c>
      <c r="L700" s="527">
        <f t="shared" si="67"/>
        <v>1.9452293369919575</v>
      </c>
      <c r="M700" s="824">
        <f t="shared" si="68"/>
        <v>-2.2105014502488265</v>
      </c>
      <c r="W700" s="507" t="s">
        <v>1918</v>
      </c>
      <c r="X700" s="73"/>
      <c r="Y700" s="73"/>
      <c r="Z700" s="76" t="s">
        <v>1593</v>
      </c>
      <c r="AA700" s="73"/>
      <c r="AB700" s="73"/>
      <c r="AC700" s="73"/>
      <c r="AD700" s="73"/>
      <c r="AE700" s="73"/>
      <c r="AF700" s="73"/>
      <c r="AG700" s="73"/>
      <c r="AJ700" s="143"/>
      <c r="AK700" s="143"/>
      <c r="AL700" s="143"/>
      <c r="AM700" s="143"/>
      <c r="AN700" s="143"/>
      <c r="AO700" s="143"/>
      <c r="AP700" s="143"/>
      <c r="AQ700" s="143"/>
      <c r="AR700" s="143"/>
      <c r="AS700" s="143"/>
      <c r="AT700" s="143"/>
    </row>
    <row r="701" spans="1:46" ht="15" customHeight="1">
      <c r="A701" s="519" t="str">
        <f>+input!B7</f>
        <v>103i</v>
      </c>
      <c r="B701" s="825">
        <f t="shared" si="57"/>
        <v>-30.090558196729859</v>
      </c>
      <c r="C701" s="826">
        <f t="shared" si="58"/>
        <v>25.991821178398705</v>
      </c>
      <c r="D701" s="825">
        <f t="shared" si="59"/>
        <v>-30.090558196729859</v>
      </c>
      <c r="E701" s="527">
        <f t="shared" si="60"/>
        <v>25.991821178398705</v>
      </c>
      <c r="F701" s="825">
        <f t="shared" si="61"/>
        <v>-6.4266322282288071</v>
      </c>
      <c r="G701" s="821">
        <f t="shared" si="62"/>
        <v>5.9630393020364245</v>
      </c>
      <c r="H701" s="825">
        <f t="shared" si="63"/>
        <v>-5.6455250777195731</v>
      </c>
      <c r="I701" s="826">
        <f t="shared" si="64"/>
        <v>5.238278265123637</v>
      </c>
      <c r="J701" s="827">
        <f t="shared" si="65"/>
        <v>-19.741536814021579</v>
      </c>
      <c r="K701" s="527">
        <f t="shared" si="66"/>
        <v>20.867552824346465</v>
      </c>
      <c r="L701" s="527">
        <f t="shared" si="67"/>
        <v>1.5046073070416095</v>
      </c>
      <c r="M701" s="824">
        <f t="shared" si="68"/>
        <v>-1.5904269639883442</v>
      </c>
      <c r="W701" s="73"/>
      <c r="X701" s="73"/>
      <c r="Y701" s="73"/>
      <c r="Z701" s="73" t="s">
        <v>1594</v>
      </c>
      <c r="AA701" s="73"/>
      <c r="AB701" s="73"/>
      <c r="AC701" s="73"/>
      <c r="AD701" s="73"/>
      <c r="AE701" s="73"/>
      <c r="AF701" s="73"/>
      <c r="AG701" s="73"/>
      <c r="AJ701" s="143"/>
      <c r="AK701" s="143"/>
      <c r="AL701" s="143"/>
      <c r="AM701" s="143"/>
      <c r="AN701" s="143"/>
      <c r="AO701" s="143"/>
      <c r="AP701" s="143"/>
      <c r="AQ701" s="143"/>
      <c r="AR701" s="143"/>
      <c r="AS701" s="143"/>
      <c r="AT701" s="143"/>
    </row>
    <row r="702" spans="1:46" ht="15" customHeight="1">
      <c r="A702" s="519" t="str">
        <f>+input!B8</f>
        <v>103j</v>
      </c>
      <c r="B702" s="825">
        <f t="shared" si="57"/>
        <v>-67.723652644726812</v>
      </c>
      <c r="C702" s="826">
        <f t="shared" si="58"/>
        <v>58.498784156188471</v>
      </c>
      <c r="D702" s="825">
        <f t="shared" si="59"/>
        <v>-67.723652644726812</v>
      </c>
      <c r="E702" s="527">
        <f t="shared" si="60"/>
        <v>58.498784156188471</v>
      </c>
      <c r="F702" s="825">
        <f t="shared" si="61"/>
        <v>-14.688613499456466</v>
      </c>
      <c r="G702" s="821">
        <f t="shared" si="62"/>
        <v>13.629032513320174</v>
      </c>
      <c r="H702" s="825">
        <f t="shared" si="63"/>
        <v>-12.84575822967296</v>
      </c>
      <c r="I702" s="826">
        <f t="shared" si="64"/>
        <v>11.919113848079766</v>
      </c>
      <c r="J702" s="827">
        <f t="shared" si="65"/>
        <v>-44.047850962523185</v>
      </c>
      <c r="K702" s="527">
        <f t="shared" si="66"/>
        <v>46.560248344320627</v>
      </c>
      <c r="L702" s="527">
        <f t="shared" si="67"/>
        <v>2.7592873645681846</v>
      </c>
      <c r="M702" s="824">
        <f t="shared" si="68"/>
        <v>-2.916671350367313</v>
      </c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J702" s="143"/>
      <c r="AK702" s="143"/>
      <c r="AL702" s="143"/>
      <c r="AM702" s="143"/>
      <c r="AN702" s="143"/>
      <c r="AO702" s="143"/>
      <c r="AP702" s="143"/>
      <c r="AQ702" s="143"/>
      <c r="AR702" s="143"/>
      <c r="AS702" s="143"/>
      <c r="AT702" s="143"/>
    </row>
    <row r="703" spans="1:46" ht="15" customHeight="1">
      <c r="A703" s="519" t="str">
        <f>+input!B9</f>
        <v>104i</v>
      </c>
      <c r="B703" s="825">
        <f t="shared" si="57"/>
        <v>-67.723652644726812</v>
      </c>
      <c r="C703" s="826">
        <f t="shared" si="58"/>
        <v>58.498784156188471</v>
      </c>
      <c r="D703" s="825">
        <f t="shared" si="59"/>
        <v>-67.723652644726812</v>
      </c>
      <c r="E703" s="527">
        <f t="shared" si="60"/>
        <v>58.498784156188471</v>
      </c>
      <c r="F703" s="825">
        <f t="shared" si="61"/>
        <v>-14.68846031115474</v>
      </c>
      <c r="G703" s="821">
        <f t="shared" si="62"/>
        <v>13.628890375442763</v>
      </c>
      <c r="H703" s="825">
        <f t="shared" si="63"/>
        <v>-12.84575822967296</v>
      </c>
      <c r="I703" s="826">
        <f t="shared" si="64"/>
        <v>11.919113848079766</v>
      </c>
      <c r="J703" s="827">
        <f t="shared" si="65"/>
        <v>-44.04791562675333</v>
      </c>
      <c r="K703" s="527">
        <f t="shared" si="66"/>
        <v>46.560316696863346</v>
      </c>
      <c r="L703" s="527">
        <f t="shared" si="67"/>
        <v>2.7592873645681846</v>
      </c>
      <c r="M703" s="824">
        <f t="shared" si="68"/>
        <v>-2.916671350367313</v>
      </c>
      <c r="W703" s="507" t="s">
        <v>1919</v>
      </c>
      <c r="X703" s="73"/>
      <c r="Y703" s="73"/>
      <c r="Z703" s="76" t="s">
        <v>1595</v>
      </c>
      <c r="AA703" s="73"/>
      <c r="AB703" s="73"/>
      <c r="AC703" s="73"/>
      <c r="AD703" s="73"/>
      <c r="AE703" s="73"/>
      <c r="AF703" s="73"/>
      <c r="AG703" s="73"/>
      <c r="AJ703" s="143"/>
      <c r="AK703" s="143"/>
      <c r="AL703" s="143"/>
      <c r="AM703" s="143"/>
      <c r="AN703" s="143"/>
      <c r="AO703" s="143"/>
      <c r="AP703" s="143"/>
      <c r="AQ703" s="143"/>
      <c r="AR703" s="143"/>
      <c r="AS703" s="143"/>
      <c r="AT703" s="143"/>
    </row>
    <row r="704" spans="1:46" ht="15" customHeight="1">
      <c r="A704" s="519" t="str">
        <f>+input!B10</f>
        <v>104j</v>
      </c>
      <c r="B704" s="825">
        <f t="shared" si="57"/>
        <v>-109.08442795150243</v>
      </c>
      <c r="C704" s="826">
        <f t="shared" si="58"/>
        <v>94.225667936312988</v>
      </c>
      <c r="D704" s="825">
        <f t="shared" si="59"/>
        <v>-109.08442795150243</v>
      </c>
      <c r="E704" s="527">
        <f t="shared" si="60"/>
        <v>94.225667936312988</v>
      </c>
      <c r="F704" s="825">
        <f t="shared" si="61"/>
        <v>-23.698000494813279</v>
      </c>
      <c r="G704" s="821">
        <f t="shared" si="62"/>
        <v>21.988516428486541</v>
      </c>
      <c r="H704" s="825">
        <f t="shared" si="63"/>
        <v>-20.807260647061856</v>
      </c>
      <c r="I704" s="826">
        <f t="shared" si="64"/>
        <v>19.306303612824109</v>
      </c>
      <c r="J704" s="827">
        <f t="shared" si="65"/>
        <v>-70.583011795703769</v>
      </c>
      <c r="K704" s="527">
        <f t="shared" si="66"/>
        <v>74.608919306737207</v>
      </c>
      <c r="L704" s="527">
        <f t="shared" si="67"/>
        <v>4.9099549950004047</v>
      </c>
      <c r="M704" s="824">
        <f t="shared" si="68"/>
        <v>-5.190008568662325</v>
      </c>
      <c r="W704" s="73"/>
      <c r="X704" s="73"/>
      <c r="Y704" s="73"/>
      <c r="Z704" s="73" t="s">
        <v>1596</v>
      </c>
      <c r="AA704" s="73"/>
      <c r="AB704" s="73"/>
      <c r="AC704" s="73"/>
      <c r="AD704" s="73"/>
      <c r="AE704" s="73"/>
      <c r="AF704" s="73"/>
      <c r="AG704" s="73"/>
      <c r="AJ704" s="143"/>
      <c r="AK704" s="143"/>
      <c r="AL704" s="143"/>
      <c r="AM704" s="143"/>
      <c r="AN704" s="143"/>
      <c r="AO704" s="143"/>
      <c r="AP704" s="143"/>
      <c r="AQ704" s="143"/>
      <c r="AR704" s="143"/>
      <c r="AS704" s="143"/>
      <c r="AT704" s="143"/>
    </row>
    <row r="705" spans="1:46" ht="15" customHeight="1">
      <c r="A705" s="519" t="str">
        <f>+input!B11</f>
        <v>105i</v>
      </c>
      <c r="B705" s="825">
        <f t="shared" si="57"/>
        <v>-87.970892845805977</v>
      </c>
      <c r="C705" s="826">
        <f t="shared" si="58"/>
        <v>60.658383283739269</v>
      </c>
      <c r="D705" s="825">
        <f t="shared" si="59"/>
        <v>-87.970892845805977</v>
      </c>
      <c r="E705" s="527">
        <f t="shared" si="60"/>
        <v>60.658383283739269</v>
      </c>
      <c r="F705" s="825">
        <f t="shared" si="61"/>
        <v>-19.39844923189867</v>
      </c>
      <c r="G705" s="821">
        <f t="shared" si="62"/>
        <v>14.242336490244517</v>
      </c>
      <c r="H705" s="825">
        <f t="shared" si="63"/>
        <v>-17.032076674175492</v>
      </c>
      <c r="I705" s="826">
        <f t="shared" si="64"/>
        <v>12.50494636047303</v>
      </c>
      <c r="J705" s="827">
        <f t="shared" si="65"/>
        <v>-59.172757946059335</v>
      </c>
      <c r="K705" s="527">
        <f t="shared" si="66"/>
        <v>48.758873694912637</v>
      </c>
      <c r="L705" s="527">
        <f t="shared" si="67"/>
        <v>4.116225293504522</v>
      </c>
      <c r="M705" s="824">
        <f t="shared" si="68"/>
        <v>-3.3918058943398917</v>
      </c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J705" s="143"/>
      <c r="AK705" s="143"/>
      <c r="AL705" s="143"/>
      <c r="AM705" s="143"/>
      <c r="AN705" s="143"/>
      <c r="AO705" s="143"/>
      <c r="AP705" s="143"/>
      <c r="AQ705" s="143"/>
      <c r="AR705" s="143"/>
      <c r="AS705" s="143"/>
      <c r="AT705" s="143"/>
    </row>
    <row r="706" spans="1:46" ht="15" customHeight="1">
      <c r="A706" s="519" t="str">
        <f>+input!B12</f>
        <v>105j</v>
      </c>
      <c r="B706" s="825">
        <f t="shared" si="57"/>
        <v>-115.24219258172319</v>
      </c>
      <c r="C706" s="826">
        <f t="shared" si="58"/>
        <v>79.462704787290647</v>
      </c>
      <c r="D706" s="825">
        <f t="shared" si="59"/>
        <v>-115.24219258172319</v>
      </c>
      <c r="E706" s="527">
        <f t="shared" si="60"/>
        <v>79.462704787290647</v>
      </c>
      <c r="F706" s="825">
        <f t="shared" si="61"/>
        <v>-25.511155134656239</v>
      </c>
      <c r="G706" s="821">
        <f t="shared" si="62"/>
        <v>18.730283608708902</v>
      </c>
      <c r="H706" s="825">
        <f t="shared" si="63"/>
        <v>-22.338938142616342</v>
      </c>
      <c r="I706" s="826">
        <f t="shared" si="64"/>
        <v>16.401242700304209</v>
      </c>
      <c r="J706" s="827">
        <f t="shared" si="65"/>
        <v>-77.023015861490677</v>
      </c>
      <c r="K706" s="527">
        <f t="shared" si="66"/>
        <v>63.467643428335101</v>
      </c>
      <c r="L706" s="527">
        <f t="shared" si="67"/>
        <v>5.9197640698722562</v>
      </c>
      <c r="M706" s="824">
        <f t="shared" si="68"/>
        <v>-4.8779377302254954</v>
      </c>
      <c r="W706" s="507" t="s">
        <v>1920</v>
      </c>
      <c r="X706" s="73"/>
      <c r="Y706" s="73"/>
      <c r="Z706" s="76" t="s">
        <v>1597</v>
      </c>
      <c r="AA706" s="73"/>
      <c r="AB706" s="73"/>
      <c r="AC706" s="73"/>
      <c r="AD706" s="73"/>
      <c r="AE706" s="73"/>
      <c r="AF706" s="73"/>
      <c r="AG706" s="73"/>
      <c r="AJ706" s="143"/>
      <c r="AK706" s="143"/>
      <c r="AL706" s="143"/>
      <c r="AM706" s="143"/>
      <c r="AN706" s="143"/>
      <c r="AO706" s="143"/>
      <c r="AP706" s="143"/>
      <c r="AQ706" s="143"/>
      <c r="AR706" s="143"/>
      <c r="AS706" s="143"/>
      <c r="AT706" s="143"/>
    </row>
    <row r="707" spans="1:46" ht="15" customHeight="1">
      <c r="A707" s="519" t="str">
        <f>+input!B13</f>
        <v>106i</v>
      </c>
      <c r="B707" s="825">
        <f t="shared" si="57"/>
        <v>-115.24151267916037</v>
      </c>
      <c r="C707" s="826">
        <f t="shared" si="58"/>
        <v>79.462235975517586</v>
      </c>
      <c r="D707" s="825">
        <f t="shared" si="59"/>
        <v>-115.24151267916037</v>
      </c>
      <c r="E707" s="527">
        <f t="shared" si="60"/>
        <v>79.462235975517586</v>
      </c>
      <c r="F707" s="825">
        <f t="shared" si="61"/>
        <v>-25.511092437664537</v>
      </c>
      <c r="G707" s="821">
        <f t="shared" si="62"/>
        <v>18.730237576593545</v>
      </c>
      <c r="H707" s="825">
        <f t="shared" si="63"/>
        <v>-22.339063536599738</v>
      </c>
      <c r="I707" s="826">
        <f t="shared" si="64"/>
        <v>16.401334764534916</v>
      </c>
      <c r="J707" s="827">
        <f t="shared" si="65"/>
        <v>-77.023015861490677</v>
      </c>
      <c r="K707" s="527">
        <f t="shared" si="66"/>
        <v>63.467643428335101</v>
      </c>
      <c r="L707" s="527">
        <f t="shared" si="67"/>
        <v>5.9197640698722562</v>
      </c>
      <c r="M707" s="824">
        <f t="shared" si="68"/>
        <v>-4.8779377302254954</v>
      </c>
      <c r="W707" s="73"/>
      <c r="X707" s="73"/>
      <c r="Y707" s="73"/>
      <c r="Z707" s="73" t="s">
        <v>1598</v>
      </c>
      <c r="AA707" s="73"/>
      <c r="AB707" s="73"/>
      <c r="AC707" s="73"/>
      <c r="AD707" s="73"/>
      <c r="AE707" s="73"/>
      <c r="AF707" s="73"/>
      <c r="AG707" s="73"/>
      <c r="AJ707" s="143"/>
      <c r="AK707" s="143"/>
      <c r="AL707" s="143"/>
      <c r="AM707" s="143"/>
      <c r="AN707" s="143"/>
      <c r="AO707" s="143"/>
      <c r="AP707" s="143"/>
      <c r="AQ707" s="143"/>
      <c r="AR707" s="143"/>
      <c r="AS707" s="143"/>
      <c r="AT707" s="143"/>
    </row>
    <row r="708" spans="1:46" ht="15" customHeight="1">
      <c r="A708" s="519" t="str">
        <f>+input!B14</f>
        <v>106j</v>
      </c>
      <c r="B708" s="825">
        <f t="shared" si="57"/>
        <v>-133.66000511547452</v>
      </c>
      <c r="C708" s="826">
        <f t="shared" si="58"/>
        <v>92.162300025894709</v>
      </c>
      <c r="D708" s="825">
        <f t="shared" si="59"/>
        <v>-133.66000511547452</v>
      </c>
      <c r="E708" s="527">
        <f t="shared" si="60"/>
        <v>92.162300025894709</v>
      </c>
      <c r="F708" s="825">
        <f t="shared" si="61"/>
        <v>-29.592353112358929</v>
      </c>
      <c r="G708" s="821">
        <f t="shared" si="62"/>
        <v>21.726698125502615</v>
      </c>
      <c r="H708" s="825">
        <f t="shared" si="63"/>
        <v>-25.968968568047718</v>
      </c>
      <c r="I708" s="826">
        <f t="shared" si="64"/>
        <v>19.066410115017124</v>
      </c>
      <c r="J708" s="827">
        <f t="shared" si="65"/>
        <v>-89.131863206531264</v>
      </c>
      <c r="K708" s="527">
        <f t="shared" si="66"/>
        <v>73.445440285902919</v>
      </c>
      <c r="L708" s="527">
        <f t="shared" si="67"/>
        <v>7.7241160080917277</v>
      </c>
      <c r="M708" s="824">
        <f t="shared" si="68"/>
        <v>-6.3647396186386249</v>
      </c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J708" s="143"/>
      <c r="AK708" s="143"/>
      <c r="AL708" s="143"/>
      <c r="AM708" s="143"/>
      <c r="AN708" s="143"/>
      <c r="AO708" s="143"/>
      <c r="AP708" s="143"/>
      <c r="AQ708" s="143"/>
      <c r="AR708" s="143"/>
      <c r="AS708" s="143"/>
      <c r="AT708" s="143"/>
    </row>
    <row r="709" spans="1:46" ht="15" customHeight="1">
      <c r="A709" s="519" t="str">
        <f>+input!B15</f>
        <v>107i</v>
      </c>
      <c r="B709" s="825">
        <f t="shared" si="57"/>
        <v>-112.55214159138228</v>
      </c>
      <c r="C709" s="826">
        <f t="shared" si="58"/>
        <v>79.72301344410397</v>
      </c>
      <c r="D709" s="825">
        <f t="shared" si="59"/>
        <v>-112.55214159138228</v>
      </c>
      <c r="E709" s="527">
        <f t="shared" si="60"/>
        <v>79.72301344410397</v>
      </c>
      <c r="F709" s="825">
        <f t="shared" si="61"/>
        <v>-25.210058696219427</v>
      </c>
      <c r="G709" s="821">
        <f t="shared" si="62"/>
        <v>18.870561368838164</v>
      </c>
      <c r="H709" s="825">
        <f t="shared" si="63"/>
        <v>-22.123397237332156</v>
      </c>
      <c r="I709" s="826">
        <f t="shared" si="64"/>
        <v>16.560093345473561</v>
      </c>
      <c r="J709" s="827">
        <f t="shared" si="65"/>
        <v>-77.388098811229668</v>
      </c>
      <c r="K709" s="527">
        <f t="shared" si="66"/>
        <v>64.180069491116939</v>
      </c>
      <c r="L709" s="527">
        <f t="shared" si="67"/>
        <v>6.7064081391243953</v>
      </c>
      <c r="M709" s="824">
        <f t="shared" si="68"/>
        <v>-5.5618079138331105</v>
      </c>
      <c r="W709" s="507" t="s">
        <v>1921</v>
      </c>
      <c r="X709" s="73"/>
      <c r="Y709" s="73"/>
      <c r="Z709" s="76" t="s">
        <v>1599</v>
      </c>
      <c r="AA709" s="73"/>
      <c r="AB709" s="73"/>
      <c r="AC709" s="73"/>
      <c r="AD709" s="73"/>
      <c r="AE709" s="73"/>
      <c r="AF709" s="73"/>
      <c r="AG709" s="73"/>
      <c r="AJ709" s="143"/>
      <c r="AK709" s="143"/>
      <c r="AL709" s="143"/>
      <c r="AM709" s="143"/>
      <c r="AN709" s="143"/>
      <c r="AO709" s="143"/>
      <c r="AP709" s="143"/>
      <c r="AQ709" s="143"/>
      <c r="AR709" s="143"/>
      <c r="AS709" s="143"/>
      <c r="AT709" s="143"/>
    </row>
    <row r="710" spans="1:46" ht="15" customHeight="1">
      <c r="A710" s="519" t="str">
        <f>+input!B16</f>
        <v>107j</v>
      </c>
      <c r="B710" s="825">
        <f t="shared" si="57"/>
        <v>-122.93705673816697</v>
      </c>
      <c r="C710" s="826">
        <f t="shared" si="58"/>
        <v>87.078863969531781</v>
      </c>
      <c r="D710" s="825">
        <f t="shared" si="59"/>
        <v>-122.93705673816697</v>
      </c>
      <c r="E710" s="527">
        <f t="shared" si="60"/>
        <v>87.078863969531781</v>
      </c>
      <c r="F710" s="825">
        <f t="shared" si="61"/>
        <v>-27.611543163038895</v>
      </c>
      <c r="G710" s="821">
        <f t="shared" si="62"/>
        <v>20.668151789134342</v>
      </c>
      <c r="H710" s="825">
        <f t="shared" si="63"/>
        <v>-24.185284314413014</v>
      </c>
      <c r="I710" s="826">
        <f t="shared" si="64"/>
        <v>18.103483906063708</v>
      </c>
      <c r="J710" s="827">
        <f t="shared" si="65"/>
        <v>-85.037187425992443</v>
      </c>
      <c r="K710" s="527">
        <f t="shared" si="66"/>
        <v>70.523668137165473</v>
      </c>
      <c r="L710" s="527">
        <f t="shared" si="67"/>
        <v>8.2796603309664611</v>
      </c>
      <c r="M710" s="824">
        <f t="shared" si="68"/>
        <v>-6.8665490374750302</v>
      </c>
      <c r="W710" s="73"/>
      <c r="X710" s="73"/>
      <c r="Y710" s="73"/>
      <c r="Z710" s="73" t="s">
        <v>1600</v>
      </c>
      <c r="AA710" s="73"/>
      <c r="AB710" s="73"/>
      <c r="AC710" s="73"/>
      <c r="AD710" s="73"/>
      <c r="AE710" s="73"/>
      <c r="AF710" s="73"/>
      <c r="AG710" s="73"/>
      <c r="AJ710" s="143"/>
      <c r="AK710" s="143"/>
      <c r="AL710" s="143"/>
      <c r="AM710" s="143"/>
      <c r="AN710" s="143"/>
      <c r="AO710" s="143"/>
      <c r="AP710" s="143"/>
      <c r="AQ710" s="143"/>
      <c r="AR710" s="143"/>
      <c r="AS710" s="143"/>
      <c r="AT710" s="143"/>
    </row>
    <row r="711" spans="1:46" ht="15" customHeight="1">
      <c r="A711" s="519" t="str">
        <f>+input!B17</f>
        <v>108i</v>
      </c>
      <c r="B711" s="825">
        <f t="shared" si="57"/>
        <v>-122.93699948504299</v>
      </c>
      <c r="C711" s="826">
        <f t="shared" si="58"/>
        <v>87.078823415958055</v>
      </c>
      <c r="D711" s="825">
        <f t="shared" si="59"/>
        <v>-122.93699948504299</v>
      </c>
      <c r="E711" s="527">
        <f t="shared" si="60"/>
        <v>87.078823415958055</v>
      </c>
      <c r="F711" s="825">
        <f t="shared" si="61"/>
        <v>-27.611543163038895</v>
      </c>
      <c r="G711" s="821">
        <f t="shared" si="62"/>
        <v>20.668151789134342</v>
      </c>
      <c r="H711" s="825">
        <f t="shared" si="63"/>
        <v>-24.185017251350931</v>
      </c>
      <c r="I711" s="826">
        <f t="shared" si="64"/>
        <v>18.103284000543333</v>
      </c>
      <c r="J711" s="827">
        <f t="shared" si="65"/>
        <v>-85.037187425992443</v>
      </c>
      <c r="K711" s="527">
        <f t="shared" si="66"/>
        <v>70.523668137165473</v>
      </c>
      <c r="L711" s="527">
        <f t="shared" si="67"/>
        <v>8.2796603309664611</v>
      </c>
      <c r="M711" s="824">
        <f t="shared" si="68"/>
        <v>-6.8665490374750302</v>
      </c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J711" s="143"/>
      <c r="AK711" s="143"/>
      <c r="AL711" s="143"/>
      <c r="AM711" s="143"/>
      <c r="AN711" s="143"/>
      <c r="AO711" s="143"/>
      <c r="AP711" s="143"/>
      <c r="AQ711" s="143"/>
      <c r="AR711" s="143"/>
      <c r="AS711" s="143"/>
      <c r="AT711" s="143"/>
    </row>
    <row r="712" spans="1:46" ht="15" customHeight="1">
      <c r="A712" s="519" t="str">
        <f>+input!B18</f>
        <v>108j</v>
      </c>
      <c r="B712" s="825">
        <f t="shared" si="57"/>
        <v>-125.73427261660555</v>
      </c>
      <c r="C712" s="826">
        <f t="shared" si="58"/>
        <v>89.06018992148411</v>
      </c>
      <c r="D712" s="825">
        <f t="shared" si="59"/>
        <v>-125.73427261660555</v>
      </c>
      <c r="E712" s="527">
        <f t="shared" si="60"/>
        <v>89.06018992148411</v>
      </c>
      <c r="F712" s="825">
        <f t="shared" si="61"/>
        <v>-28.263550922796586</v>
      </c>
      <c r="G712" s="821">
        <f t="shared" si="62"/>
        <v>21.156201126572466</v>
      </c>
      <c r="H712" s="825">
        <f t="shared" si="63"/>
        <v>-24.808075375179342</v>
      </c>
      <c r="I712" s="826">
        <f t="shared" si="64"/>
        <v>18.569663579573042</v>
      </c>
      <c r="J712" s="827">
        <f t="shared" si="65"/>
        <v>-87.711033664262118</v>
      </c>
      <c r="K712" s="527">
        <f t="shared" si="66"/>
        <v>72.741162041484088</v>
      </c>
      <c r="L712" s="527">
        <f t="shared" si="67"/>
        <v>9.8543716347889916</v>
      </c>
      <c r="M712" s="824">
        <f t="shared" si="68"/>
        <v>-8.1725002426377547</v>
      </c>
      <c r="W712" s="507" t="s">
        <v>1922</v>
      </c>
      <c r="X712" s="73"/>
      <c r="Y712" s="73"/>
      <c r="Z712" s="76" t="s">
        <v>1601</v>
      </c>
      <c r="AA712" s="73"/>
      <c r="AB712" s="73"/>
      <c r="AC712" s="73"/>
      <c r="AD712" s="73"/>
      <c r="AE712" s="73"/>
      <c r="AF712" s="73"/>
      <c r="AG712" s="73"/>
      <c r="AJ712" s="143"/>
      <c r="AK712" s="143"/>
      <c r="AL712" s="143"/>
      <c r="AM712" s="143"/>
      <c r="AN712" s="143"/>
      <c r="AO712" s="143"/>
      <c r="AP712" s="143"/>
      <c r="AQ712" s="143"/>
      <c r="AR712" s="143"/>
      <c r="AS712" s="143"/>
      <c r="AT712" s="143"/>
    </row>
    <row r="713" spans="1:46" ht="15" customHeight="1">
      <c r="A713" s="519" t="str">
        <f>+input!B19</f>
        <v>109i</v>
      </c>
      <c r="B713" s="825">
        <f t="shared" si="57"/>
        <v>-125.73450162910147</v>
      </c>
      <c r="C713" s="826">
        <f t="shared" si="58"/>
        <v>89.060352135779056</v>
      </c>
      <c r="D713" s="825">
        <f t="shared" si="59"/>
        <v>-125.73450162910147</v>
      </c>
      <c r="E713" s="527">
        <f t="shared" si="60"/>
        <v>89.060352135779056</v>
      </c>
      <c r="F713" s="825">
        <f t="shared" si="61"/>
        <v>-28.263711160633829</v>
      </c>
      <c r="G713" s="821">
        <f t="shared" si="62"/>
        <v>21.15632106988469</v>
      </c>
      <c r="H713" s="825">
        <f t="shared" si="63"/>
        <v>-24.808128787791759</v>
      </c>
      <c r="I713" s="826">
        <f t="shared" si="64"/>
        <v>18.569703560677119</v>
      </c>
      <c r="J713" s="827">
        <f t="shared" si="65"/>
        <v>-87.711033664262118</v>
      </c>
      <c r="K713" s="527">
        <f t="shared" si="66"/>
        <v>72.741162041484088</v>
      </c>
      <c r="L713" s="527">
        <f t="shared" si="67"/>
        <v>9.8543716347889916</v>
      </c>
      <c r="M713" s="824">
        <f t="shared" si="68"/>
        <v>-8.1725002426377547</v>
      </c>
      <c r="W713" s="73"/>
      <c r="X713" s="73"/>
      <c r="Y713" s="73"/>
      <c r="Z713" s="73" t="s">
        <v>1602</v>
      </c>
      <c r="AA713" s="73"/>
      <c r="AB713" s="73"/>
      <c r="AC713" s="73"/>
      <c r="AD713" s="73"/>
      <c r="AE713" s="73"/>
      <c r="AF713" s="73"/>
      <c r="AG713" s="73"/>
      <c r="AJ713" s="143"/>
      <c r="AK713" s="143"/>
      <c r="AL713" s="143"/>
      <c r="AM713" s="143"/>
      <c r="AN713" s="143"/>
      <c r="AO713" s="143"/>
      <c r="AP713" s="143"/>
      <c r="AQ713" s="143"/>
      <c r="AR713" s="143"/>
      <c r="AS713" s="143"/>
      <c r="AT713" s="143"/>
    </row>
    <row r="714" spans="1:46" ht="15" customHeight="1">
      <c r="A714" s="519" t="str">
        <f>+input!B20</f>
        <v>109j</v>
      </c>
      <c r="B714" s="825">
        <f t="shared" si="57"/>
        <v>-123.40624608920785</v>
      </c>
      <c r="C714" s="826">
        <f t="shared" si="58"/>
        <v>87.411200506287003</v>
      </c>
      <c r="D714" s="825">
        <f t="shared" si="59"/>
        <v>-123.40624608920785</v>
      </c>
      <c r="E714" s="527">
        <f t="shared" si="60"/>
        <v>87.411200506287003</v>
      </c>
      <c r="F714" s="825">
        <f t="shared" si="61"/>
        <v>-27.840255969402662</v>
      </c>
      <c r="G714" s="821">
        <f t="shared" si="62"/>
        <v>20.839350876781602</v>
      </c>
      <c r="H714" s="825">
        <f t="shared" si="63"/>
        <v>-24.399682540649376</v>
      </c>
      <c r="I714" s="826">
        <f t="shared" si="64"/>
        <v>18.263968057818975</v>
      </c>
      <c r="J714" s="827">
        <f t="shared" si="65"/>
        <v>-87.785165966495512</v>
      </c>
      <c r="K714" s="527">
        <f t="shared" si="66"/>
        <v>72.802641989718524</v>
      </c>
      <c r="L714" s="527">
        <f t="shared" si="67"/>
        <v>11.429130006739927</v>
      </c>
      <c r="M714" s="824">
        <f t="shared" si="68"/>
        <v>-9.4784904826882492</v>
      </c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J714" s="143"/>
      <c r="AK714" s="143"/>
      <c r="AL714" s="143"/>
      <c r="AM714" s="143"/>
      <c r="AN714" s="143"/>
      <c r="AO714" s="143"/>
      <c r="AP714" s="143"/>
      <c r="AQ714" s="143"/>
      <c r="AR714" s="143"/>
      <c r="AS714" s="143"/>
      <c r="AT714" s="143"/>
    </row>
    <row r="715" spans="1:46" ht="15" customHeight="1">
      <c r="A715" s="519" t="str">
        <f>+input!B21</f>
        <v>110i</v>
      </c>
      <c r="B715" s="825">
        <f t="shared" si="57"/>
        <v>-123.40636059545582</v>
      </c>
      <c r="C715" s="826">
        <f t="shared" si="58"/>
        <v>87.411281613434468</v>
      </c>
      <c r="D715" s="825">
        <f t="shared" si="59"/>
        <v>-123.40636059545582</v>
      </c>
      <c r="E715" s="527">
        <f t="shared" si="60"/>
        <v>87.411281613434468</v>
      </c>
      <c r="F715" s="825">
        <f t="shared" si="61"/>
        <v>-27.840202556790246</v>
      </c>
      <c r="G715" s="821">
        <f t="shared" si="62"/>
        <v>20.839310895677524</v>
      </c>
      <c r="H715" s="825">
        <f t="shared" si="63"/>
        <v>-24.399896191099039</v>
      </c>
      <c r="I715" s="826">
        <f t="shared" si="64"/>
        <v>18.264127982235276</v>
      </c>
      <c r="J715" s="827">
        <f t="shared" si="65"/>
        <v>-87.785118898367116</v>
      </c>
      <c r="K715" s="527">
        <f t="shared" si="66"/>
        <v>72.80260295483076</v>
      </c>
      <c r="L715" s="527">
        <f t="shared" si="67"/>
        <v>11.429130006739927</v>
      </c>
      <c r="M715" s="824">
        <f t="shared" si="68"/>
        <v>-9.4784904826882492</v>
      </c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J715" s="143"/>
      <c r="AK715" s="143"/>
      <c r="AL715" s="143"/>
      <c r="AM715" s="143"/>
      <c r="AN715" s="143"/>
      <c r="AO715" s="143"/>
      <c r="AP715" s="143"/>
      <c r="AQ715" s="143"/>
      <c r="AR715" s="143"/>
      <c r="AS715" s="143"/>
      <c r="AT715" s="143"/>
    </row>
    <row r="716" spans="1:46" ht="15" customHeight="1">
      <c r="A716" s="519" t="str">
        <f>+input!B22</f>
        <v>110j</v>
      </c>
      <c r="B716" s="825">
        <f t="shared" si="57"/>
        <v>-114.3210341099618</v>
      </c>
      <c r="C716" s="826">
        <f t="shared" si="58"/>
        <v>80.975956658208801</v>
      </c>
      <c r="D716" s="825">
        <f t="shared" si="59"/>
        <v>-114.3210341099618</v>
      </c>
      <c r="E716" s="527">
        <f t="shared" si="60"/>
        <v>80.975956658208801</v>
      </c>
      <c r="F716" s="825">
        <f t="shared" si="61"/>
        <v>-25.882096185632975</v>
      </c>
      <c r="G716" s="821">
        <f t="shared" si="62"/>
        <v>19.373603620304245</v>
      </c>
      <c r="H716" s="825">
        <f t="shared" si="63"/>
        <v>-22.682199988424561</v>
      </c>
      <c r="I716" s="826">
        <f t="shared" si="64"/>
        <v>16.978375656301584</v>
      </c>
      <c r="J716" s="827">
        <f t="shared" si="65"/>
        <v>-83.917060106277916</v>
      </c>
      <c r="K716" s="527">
        <f t="shared" si="66"/>
        <v>69.59471587806506</v>
      </c>
      <c r="L716" s="527">
        <f t="shared" si="67"/>
        <v>13.000781882216316</v>
      </c>
      <c r="M716" s="824">
        <f t="shared" si="68"/>
        <v>-10.781904420146061</v>
      </c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J716" s="143"/>
      <c r="AK716" s="143"/>
      <c r="AL716" s="143"/>
      <c r="AM716" s="143"/>
      <c r="AN716" s="143"/>
      <c r="AO716" s="143"/>
      <c r="AP716" s="143"/>
      <c r="AQ716" s="143"/>
      <c r="AR716" s="143"/>
      <c r="AS716" s="143"/>
      <c r="AT716" s="143"/>
    </row>
    <row r="717" spans="1:46" ht="15" customHeight="1">
      <c r="A717" s="519" t="str">
        <f>+input!B23</f>
        <v>111i</v>
      </c>
      <c r="B717" s="825">
        <f t="shared" si="57"/>
        <v>-114.32126312245771</v>
      </c>
      <c r="C717" s="826">
        <f t="shared" si="58"/>
        <v>80.976118872503719</v>
      </c>
      <c r="D717" s="825">
        <f t="shared" si="59"/>
        <v>-114.32126312245771</v>
      </c>
      <c r="E717" s="527">
        <f t="shared" si="60"/>
        <v>80.976118872503719</v>
      </c>
      <c r="F717" s="825">
        <f t="shared" si="61"/>
        <v>-25.882042773020565</v>
      </c>
      <c r="G717" s="821">
        <f t="shared" si="62"/>
        <v>19.373563639200174</v>
      </c>
      <c r="H717" s="825">
        <f t="shared" si="63"/>
        <v>-22.681986337974902</v>
      </c>
      <c r="I717" s="826">
        <f t="shared" si="64"/>
        <v>16.978215731885285</v>
      </c>
      <c r="J717" s="827">
        <f t="shared" si="65"/>
        <v>-83.917060106277916</v>
      </c>
      <c r="K717" s="527">
        <f t="shared" si="66"/>
        <v>69.59471587806506</v>
      </c>
      <c r="L717" s="527">
        <f t="shared" si="67"/>
        <v>13.000781882216316</v>
      </c>
      <c r="M717" s="824">
        <f t="shared" si="68"/>
        <v>-10.781904420146061</v>
      </c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J717" s="143"/>
      <c r="AK717" s="143"/>
      <c r="AL717" s="143"/>
      <c r="AM717" s="143"/>
      <c r="AN717" s="143"/>
      <c r="AO717" s="143"/>
      <c r="AP717" s="143"/>
      <c r="AQ717" s="143"/>
      <c r="AR717" s="143"/>
      <c r="AS717" s="143"/>
      <c r="AT717" s="143"/>
    </row>
    <row r="718" spans="1:46" ht="15" customHeight="1">
      <c r="A718" s="519" t="str">
        <f>+input!B24</f>
        <v>111j</v>
      </c>
      <c r="B718" s="825">
        <f t="shared" si="57"/>
        <v>-98.355943234171704</v>
      </c>
      <c r="C718" s="826">
        <f t="shared" si="58"/>
        <v>69.667552068736228</v>
      </c>
      <c r="D718" s="825">
        <f t="shared" si="59"/>
        <v>-98.355943234171704</v>
      </c>
      <c r="E718" s="527">
        <f t="shared" si="60"/>
        <v>69.667552068736228</v>
      </c>
      <c r="F718" s="825">
        <f t="shared" si="61"/>
        <v>-22.382768883222496</v>
      </c>
      <c r="G718" s="821">
        <f t="shared" si="62"/>
        <v>16.754241586859614</v>
      </c>
      <c r="H718" s="825">
        <f t="shared" si="63"/>
        <v>-19.650767170775065</v>
      </c>
      <c r="I718" s="826">
        <f t="shared" si="64"/>
        <v>14.709248094550075</v>
      </c>
      <c r="J718" s="827">
        <f t="shared" si="65"/>
        <v>-76.04538631230136</v>
      </c>
      <c r="K718" s="527">
        <f t="shared" si="66"/>
        <v>63.066521247762168</v>
      </c>
      <c r="L718" s="527">
        <f t="shared" si="67"/>
        <v>14.564008562708722</v>
      </c>
      <c r="M718" s="824">
        <f t="shared" si="68"/>
        <v>-12.078331112693418</v>
      </c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J718" s="143"/>
      <c r="AK718" s="143"/>
      <c r="AL718" s="143"/>
      <c r="AM718" s="143"/>
      <c r="AN718" s="143"/>
      <c r="AO718" s="143"/>
      <c r="AP718" s="143"/>
      <c r="AQ718" s="143"/>
      <c r="AR718" s="143"/>
      <c r="AS718" s="143"/>
      <c r="AT718" s="143"/>
    </row>
    <row r="719" spans="1:46" ht="15" customHeight="1">
      <c r="A719" s="519" t="str">
        <f>+input!B25</f>
        <v>112i</v>
      </c>
      <c r="B719" s="825">
        <f t="shared" si="57"/>
        <v>-121.6033900284084</v>
      </c>
      <c r="C719" s="826">
        <f t="shared" si="58"/>
        <v>84.618925847124331</v>
      </c>
      <c r="D719" s="825">
        <f t="shared" si="59"/>
        <v>-121.6033900284084</v>
      </c>
      <c r="E719" s="527">
        <f t="shared" si="60"/>
        <v>84.618925847124331</v>
      </c>
      <c r="F719" s="825">
        <f t="shared" si="61"/>
        <v>-27.272854460821566</v>
      </c>
      <c r="G719" s="821">
        <f t="shared" si="62"/>
        <v>20.245000728145708</v>
      </c>
      <c r="H719" s="825">
        <f t="shared" si="63"/>
        <v>-23.943855216031537</v>
      </c>
      <c r="I719" s="826">
        <f t="shared" si="64"/>
        <v>17.773840540949799</v>
      </c>
      <c r="J719" s="827">
        <f t="shared" si="65"/>
        <v>-90.485284886020565</v>
      </c>
      <c r="K719" s="527">
        <f t="shared" si="66"/>
        <v>75.621408557282962</v>
      </c>
      <c r="L719" s="527">
        <f t="shared" si="67"/>
        <v>17.329499234406086</v>
      </c>
      <c r="M719" s="824">
        <f t="shared" si="68"/>
        <v>-14.482809479451687</v>
      </c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J719" s="143"/>
      <c r="AK719" s="143"/>
      <c r="AL719" s="143"/>
      <c r="AM719" s="143"/>
      <c r="AN719" s="143"/>
      <c r="AO719" s="143"/>
      <c r="AP719" s="143"/>
      <c r="AQ719" s="143"/>
      <c r="AR719" s="143"/>
      <c r="AS719" s="143"/>
      <c r="AT719" s="143"/>
    </row>
    <row r="720" spans="1:46" ht="15" customHeight="1">
      <c r="A720" s="519" t="str">
        <f>+input!B26</f>
        <v>112j</v>
      </c>
      <c r="B720" s="825">
        <f t="shared" si="57"/>
        <v>-95.530468785911538</v>
      </c>
      <c r="C720" s="826">
        <f t="shared" si="58"/>
        <v>66.475824830603841</v>
      </c>
      <c r="D720" s="825">
        <f t="shared" si="59"/>
        <v>-95.530468785911538</v>
      </c>
      <c r="E720" s="527">
        <f t="shared" si="60"/>
        <v>66.475824830603841</v>
      </c>
      <c r="F720" s="825">
        <f t="shared" si="61"/>
        <v>-21.700225180159492</v>
      </c>
      <c r="G720" s="821">
        <f t="shared" si="62"/>
        <v>16.10836427864033</v>
      </c>
      <c r="H720" s="825">
        <f t="shared" si="63"/>
        <v>-18.99334287894726</v>
      </c>
      <c r="I720" s="826">
        <f t="shared" si="64"/>
        <v>14.099009730227742</v>
      </c>
      <c r="J720" s="827">
        <f t="shared" si="65"/>
        <v>-78.347007449330007</v>
      </c>
      <c r="K720" s="527">
        <f t="shared" si="66"/>
        <v>65.477066984198771</v>
      </c>
      <c r="L720" s="527">
        <f t="shared" si="67"/>
        <v>19.189559632349027</v>
      </c>
      <c r="M720" s="824">
        <f t="shared" si="68"/>
        <v>-16.037320662913697</v>
      </c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J720" s="143"/>
      <c r="AK720" s="143"/>
      <c r="AL720" s="143"/>
      <c r="AM720" s="143"/>
      <c r="AN720" s="143"/>
      <c r="AO720" s="143"/>
      <c r="AP720" s="143"/>
      <c r="AQ720" s="143"/>
      <c r="AR720" s="143"/>
      <c r="AS720" s="143"/>
      <c r="AT720" s="143"/>
    </row>
    <row r="721" spans="1:46" ht="15" customHeight="1">
      <c r="A721" s="519" t="str">
        <f>+input!B27</f>
        <v>113i</v>
      </c>
      <c r="B721" s="825">
        <f t="shared" si="57"/>
        <v>-106.56583982343705</v>
      </c>
      <c r="C721" s="826">
        <f t="shared" si="58"/>
        <v>68.054805458750579</v>
      </c>
      <c r="D721" s="825">
        <f t="shared" si="59"/>
        <v>-106.56583982343705</v>
      </c>
      <c r="E721" s="527">
        <f t="shared" si="60"/>
        <v>68.054805458750579</v>
      </c>
      <c r="F721" s="825">
        <f t="shared" si="61"/>
        <v>-23.978785261546033</v>
      </c>
      <c r="G721" s="821">
        <f t="shared" si="62"/>
        <v>16.430043645861783</v>
      </c>
      <c r="H721" s="825">
        <f t="shared" si="63"/>
        <v>-20.988008441816635</v>
      </c>
      <c r="I721" s="826">
        <f t="shared" si="64"/>
        <v>14.380790810607129</v>
      </c>
      <c r="J721" s="827">
        <f t="shared" si="65"/>
        <v>-85.292846831512946</v>
      </c>
      <c r="K721" s="527">
        <f t="shared" si="66"/>
        <v>66.432728932866041</v>
      </c>
      <c r="L721" s="527">
        <f t="shared" si="67"/>
        <v>20.890806474576149</v>
      </c>
      <c r="M721" s="824">
        <f t="shared" si="68"/>
        <v>-16.271391274534412</v>
      </c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J721" s="143"/>
      <c r="AK721" s="143"/>
      <c r="AL721" s="143"/>
      <c r="AM721" s="143"/>
      <c r="AN721" s="143"/>
      <c r="AO721" s="143"/>
      <c r="AP721" s="143"/>
      <c r="AQ721" s="143"/>
      <c r="AR721" s="143"/>
      <c r="AS721" s="143"/>
      <c r="AT721" s="143"/>
    </row>
    <row r="722" spans="1:46" ht="15" customHeight="1">
      <c r="A722" s="519" t="str">
        <f>+input!B28</f>
        <v>113j</v>
      </c>
      <c r="B722" s="825">
        <f t="shared" si="57"/>
        <v>-67.27460668574156</v>
      </c>
      <c r="C722" s="826">
        <f t="shared" si="58"/>
        <v>42.962738133511934</v>
      </c>
      <c r="D722" s="825">
        <f t="shared" si="59"/>
        <v>-67.27460668574156</v>
      </c>
      <c r="E722" s="527">
        <f t="shared" si="60"/>
        <v>42.962738133511934</v>
      </c>
      <c r="F722" s="825">
        <f t="shared" si="61"/>
        <v>-15.474628921588323</v>
      </c>
      <c r="G722" s="821">
        <f t="shared" si="62"/>
        <v>10.603073750901864</v>
      </c>
      <c r="H722" s="825">
        <f t="shared" si="63"/>
        <v>-13.591288854858972</v>
      </c>
      <c r="I722" s="826">
        <f t="shared" si="64"/>
        <v>9.3126264176090334</v>
      </c>
      <c r="J722" s="827">
        <f t="shared" si="65"/>
        <v>-66.440966387232208</v>
      </c>
      <c r="K722" s="527">
        <f t="shared" si="66"/>
        <v>51.749412453775491</v>
      </c>
      <c r="L722" s="527">
        <f t="shared" si="67"/>
        <v>22.909368242615091</v>
      </c>
      <c r="M722" s="824">
        <f t="shared" si="68"/>
        <v>-17.843604792454336</v>
      </c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J722" s="143"/>
      <c r="AK722" s="143"/>
      <c r="AL722" s="143"/>
      <c r="AM722" s="143"/>
      <c r="AN722" s="143"/>
      <c r="AO722" s="143"/>
      <c r="AP722" s="143"/>
      <c r="AQ722" s="143"/>
      <c r="AR722" s="143"/>
      <c r="AS722" s="143"/>
      <c r="AT722" s="143"/>
    </row>
    <row r="723" spans="1:46" ht="15" customHeight="1">
      <c r="A723" s="519" t="str">
        <f>+input!B29</f>
        <v>114i</v>
      </c>
      <c r="B723" s="825">
        <f t="shared" si="57"/>
        <v>-67.274764609021702</v>
      </c>
      <c r="C723" s="826">
        <f t="shared" si="58"/>
        <v>42.962838986075248</v>
      </c>
      <c r="D723" s="825">
        <f t="shared" si="59"/>
        <v>-67.274764609021702</v>
      </c>
      <c r="E723" s="527">
        <f t="shared" si="60"/>
        <v>42.962838986075248</v>
      </c>
      <c r="F723" s="825">
        <f t="shared" si="61"/>
        <v>-15.47477275388302</v>
      </c>
      <c r="G723" s="821">
        <f t="shared" si="62"/>
        <v>10.603172303470467</v>
      </c>
      <c r="H723" s="825">
        <f t="shared" si="63"/>
        <v>-13.591216938711623</v>
      </c>
      <c r="I723" s="826">
        <f t="shared" si="64"/>
        <v>9.3125771413247307</v>
      </c>
      <c r="J723" s="827">
        <f t="shared" si="65"/>
        <v>-66.440966387232208</v>
      </c>
      <c r="K723" s="527">
        <f t="shared" si="66"/>
        <v>51.749412453775491</v>
      </c>
      <c r="L723" s="527">
        <f t="shared" si="67"/>
        <v>22.909368242615091</v>
      </c>
      <c r="M723" s="824">
        <f t="shared" si="68"/>
        <v>-17.843604792454336</v>
      </c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J723" s="143"/>
      <c r="AK723" s="143"/>
      <c r="AL723" s="143"/>
      <c r="AM723" s="143"/>
      <c r="AN723" s="143"/>
      <c r="AO723" s="143"/>
      <c r="AP723" s="143"/>
      <c r="AQ723" s="143"/>
      <c r="AR723" s="143"/>
      <c r="AS723" s="143"/>
      <c r="AT723" s="143"/>
    </row>
    <row r="724" spans="1:46" ht="15" customHeight="1">
      <c r="A724" s="519" t="str">
        <f>+input!B30</f>
        <v>114j</v>
      </c>
      <c r="B724" s="825">
        <f t="shared" si="57"/>
        <v>-20.917885994491925</v>
      </c>
      <c r="C724" s="826">
        <f t="shared" si="58"/>
        <v>13.358527125785264</v>
      </c>
      <c r="D724" s="825">
        <f t="shared" si="59"/>
        <v>-20.917885994491925</v>
      </c>
      <c r="E724" s="527">
        <f t="shared" si="60"/>
        <v>13.358527125785264</v>
      </c>
      <c r="F724" s="825">
        <f t="shared" si="61"/>
        <v>-5.5230162839728401</v>
      </c>
      <c r="G724" s="821">
        <f t="shared" si="62"/>
        <v>3.7843200818016935</v>
      </c>
      <c r="H724" s="825">
        <f t="shared" si="63"/>
        <v>-4.8063718756576588</v>
      </c>
      <c r="I724" s="826">
        <f t="shared" si="64"/>
        <v>3.2932819087352878</v>
      </c>
      <c r="J724" s="827">
        <f t="shared" si="65"/>
        <v>-45.49132304715458</v>
      </c>
      <c r="K724" s="527">
        <f t="shared" si="66"/>
        <v>35.432194434299134</v>
      </c>
      <c r="L724" s="527">
        <f t="shared" si="67"/>
        <v>25.130840983077807</v>
      </c>
      <c r="M724" s="824">
        <f t="shared" si="68"/>
        <v>-19.573861219355365</v>
      </c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J724" s="143"/>
      <c r="AK724" s="143"/>
      <c r="AL724" s="143"/>
      <c r="AM724" s="143"/>
      <c r="AN724" s="143"/>
      <c r="AO724" s="143"/>
      <c r="AP724" s="143"/>
      <c r="AQ724" s="143"/>
      <c r="AR724" s="143"/>
      <c r="AS724" s="143"/>
      <c r="AT724" s="143"/>
    </row>
    <row r="725" spans="1:46" ht="15" customHeight="1">
      <c r="A725" s="519" t="str">
        <f>+input!B31</f>
        <v>115i</v>
      </c>
      <c r="B725" s="825">
        <f t="shared" si="57"/>
        <v>-26.471451168281636</v>
      </c>
      <c r="C725" s="826">
        <f t="shared" si="58"/>
        <v>20.106874152549491</v>
      </c>
      <c r="D725" s="825">
        <f t="shared" si="59"/>
        <v>-26.471451168281636</v>
      </c>
      <c r="E725" s="527">
        <f t="shared" si="60"/>
        <v>20.106874152549491</v>
      </c>
      <c r="F725" s="825">
        <f t="shared" si="61"/>
        <v>-6.8543231052982643</v>
      </c>
      <c r="G725" s="821">
        <f t="shared" si="62"/>
        <v>5.6468307189492828</v>
      </c>
      <c r="H725" s="825">
        <f t="shared" si="63"/>
        <v>-5.9648560019843861</v>
      </c>
      <c r="I725" s="826">
        <f t="shared" si="64"/>
        <v>4.9140566601067395</v>
      </c>
      <c r="J725" s="827">
        <f t="shared" si="65"/>
        <v>-54.781940243203628</v>
      </c>
      <c r="K725" s="527">
        <f t="shared" si="66"/>
        <v>52.232475738738067</v>
      </c>
      <c r="L725" s="527">
        <f t="shared" si="67"/>
        <v>30.263270812532078</v>
      </c>
      <c r="M725" s="824">
        <f t="shared" si="68"/>
        <v>-28.854866247395282</v>
      </c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J725" s="143"/>
      <c r="AK725" s="143"/>
      <c r="AL725" s="143"/>
      <c r="AM725" s="143"/>
      <c r="AN725" s="143"/>
      <c r="AO725" s="143"/>
      <c r="AP725" s="143"/>
      <c r="AQ725" s="143"/>
      <c r="AR725" s="143"/>
      <c r="AS725" s="143"/>
      <c r="AT725" s="143"/>
    </row>
    <row r="726" spans="1:46" ht="15" customHeight="1">
      <c r="A726" s="519" t="str">
        <f>+input!B32</f>
        <v>115j</v>
      </c>
      <c r="B726" s="825">
        <f t="shared" si="57"/>
        <v>45.182445386841593</v>
      </c>
      <c r="C726" s="826">
        <f t="shared" si="58"/>
        <v>-34.319151508634</v>
      </c>
      <c r="D726" s="825">
        <f t="shared" si="59"/>
        <v>45.182445386841593</v>
      </c>
      <c r="E726" s="527">
        <f t="shared" si="60"/>
        <v>-34.319151508634</v>
      </c>
      <c r="F726" s="825">
        <f t="shared" si="61"/>
        <v>8.3608658209252216</v>
      </c>
      <c r="G726" s="821">
        <f t="shared" si="62"/>
        <v>-6.8879732147612582</v>
      </c>
      <c r="H726" s="825">
        <f t="shared" si="63"/>
        <v>7.3087849244909444</v>
      </c>
      <c r="I726" s="826">
        <f t="shared" si="64"/>
        <v>-6.021232234866023</v>
      </c>
      <c r="J726" s="827">
        <f t="shared" si="65"/>
        <v>-30.610340479352821</v>
      </c>
      <c r="K726" s="527">
        <f t="shared" si="66"/>
        <v>29.185783843073455</v>
      </c>
      <c r="L726" s="527">
        <f t="shared" si="67"/>
        <v>39.931734503306089</v>
      </c>
      <c r="M726" s="824">
        <f t="shared" si="68"/>
        <v>-38.073374991650205</v>
      </c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  <c r="AT726" s="143"/>
    </row>
    <row r="727" spans="1:46" ht="15" customHeight="1">
      <c r="A727" s="519" t="str">
        <f>+input!B33</f>
        <v>116i</v>
      </c>
      <c r="B727" s="825">
        <f t="shared" si="57"/>
        <v>35.750562413063875</v>
      </c>
      <c r="C727" s="826">
        <f t="shared" si="58"/>
        <v>-27.389804006779091</v>
      </c>
      <c r="D727" s="825">
        <f t="shared" si="59"/>
        <v>35.750562413063875</v>
      </c>
      <c r="E727" s="527">
        <f t="shared" si="60"/>
        <v>-27.389804006779091</v>
      </c>
      <c r="F727" s="825">
        <f t="shared" si="61"/>
        <v>6.7519735976376012</v>
      </c>
      <c r="G727" s="821">
        <f t="shared" si="62"/>
        <v>-5.5463814095855737</v>
      </c>
      <c r="H727" s="825">
        <f t="shared" si="63"/>
        <v>5.902345988793015</v>
      </c>
      <c r="I727" s="826">
        <f t="shared" si="64"/>
        <v>-4.8484582458434895</v>
      </c>
      <c r="J727" s="827">
        <f t="shared" si="65"/>
        <v>-25.505357474594497</v>
      </c>
      <c r="K727" s="527">
        <f t="shared" si="66"/>
        <v>23.7925657399018</v>
      </c>
      <c r="L727" s="527">
        <f t="shared" si="67"/>
        <v>33.272193224194872</v>
      </c>
      <c r="M727" s="824">
        <f t="shared" si="68"/>
        <v>-31.03782589151724</v>
      </c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J727" s="143"/>
      <c r="AK727" s="143"/>
      <c r="AL727" s="143"/>
      <c r="AM727" s="143"/>
      <c r="AN727" s="143"/>
      <c r="AO727" s="143"/>
      <c r="AP727" s="143"/>
      <c r="AQ727" s="143"/>
      <c r="AR727" s="143"/>
      <c r="AS727" s="143"/>
      <c r="AT727" s="143"/>
    </row>
    <row r="728" spans="1:46" s="73" customFormat="1" ht="15" customHeight="1">
      <c r="A728" s="519" t="str">
        <f>+input!B34</f>
        <v>116j</v>
      </c>
      <c r="B728" s="825">
        <f t="shared" si="57"/>
        <v>99.523419388105253</v>
      </c>
      <c r="C728" s="826">
        <f t="shared" si="58"/>
        <v>-76.248505397738313</v>
      </c>
      <c r="D728" s="825">
        <f t="shared" si="59"/>
        <v>99.523419388105253</v>
      </c>
      <c r="E728" s="527">
        <f t="shared" si="60"/>
        <v>-76.248505397738313</v>
      </c>
      <c r="F728" s="825">
        <f t="shared" si="61"/>
        <v>20.490094537495096</v>
      </c>
      <c r="G728" s="821">
        <f t="shared" si="62"/>
        <v>-16.831505304341899</v>
      </c>
      <c r="H728" s="825">
        <f t="shared" si="63"/>
        <v>18.012926969766934</v>
      </c>
      <c r="I728" s="826">
        <f t="shared" si="64"/>
        <v>-14.796646022474601</v>
      </c>
      <c r="J728" s="827">
        <f t="shared" si="65"/>
        <v>-12.720346236067176</v>
      </c>
      <c r="K728" s="527">
        <f t="shared" si="66"/>
        <v>11.866121631794632</v>
      </c>
      <c r="L728" s="527">
        <f t="shared" si="67"/>
        <v>49.783731704779676</v>
      </c>
      <c r="M728" s="824">
        <f t="shared" si="68"/>
        <v>-46.440545306743864</v>
      </c>
    </row>
    <row r="729" spans="1:46" ht="15" customHeight="1">
      <c r="A729" s="534" t="str">
        <f>+input!B35</f>
        <v>117i</v>
      </c>
      <c r="B729" s="825">
        <f t="shared" ref="B729:B760" si="69">-G81/D469*10^6</f>
        <v>59.626125902796424</v>
      </c>
      <c r="C729" s="826">
        <f t="shared" ref="C729:C760" si="70">G81/E469*10^6</f>
        <v>-30.911157762796599</v>
      </c>
      <c r="D729" s="825">
        <f t="shared" ref="D729:D760" si="71">-G81/F469*10^6</f>
        <v>60.996579076100438</v>
      </c>
      <c r="E729" s="527">
        <f t="shared" ref="E729:E760" si="72">G81/G469*10^6</f>
        <v>-45.776615638392762</v>
      </c>
      <c r="F729" s="828">
        <f t="shared" ref="F729:F760" si="73">-H81/N469*10^6</f>
        <v>12.965106357360598</v>
      </c>
      <c r="G729" s="829">
        <f t="shared" ref="G729:G760" si="74">H81/O469*10^6</f>
        <v>-10.20698514272943</v>
      </c>
      <c r="H729" s="828">
        <f t="shared" ref="H729:H760" si="75">-I81/N469*10^6</f>
        <v>11.397633089234542</v>
      </c>
      <c r="I729" s="830">
        <f t="shared" ref="I729:I760" si="76">I81/O469*10^6</f>
        <v>-8.9729670083309347</v>
      </c>
      <c r="J729" s="831">
        <f t="shared" ref="J729:J760" si="77">-J81/L469*10^6</f>
        <v>-8.3081631722370055</v>
      </c>
      <c r="K729" s="832">
        <f t="shared" ref="K729:K760" si="78">J81/M469*10^6</f>
        <v>4.9049540559420368</v>
      </c>
      <c r="L729" s="832">
        <f t="shared" ref="L729:L760" si="79">-K81/L469*10^6</f>
        <v>32.51577173497877</v>
      </c>
      <c r="M729" s="833">
        <f t="shared" ref="M729:M760" si="80">K81/M469*10^6</f>
        <v>-19.196585713015875</v>
      </c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J729" s="143"/>
      <c r="AK729" s="143"/>
      <c r="AL729" s="143"/>
      <c r="AM729" s="143"/>
      <c r="AN729" s="143"/>
      <c r="AO729" s="143"/>
      <c r="AP729" s="143"/>
      <c r="AQ729" s="143"/>
      <c r="AR729" s="143"/>
      <c r="AS729" s="143"/>
      <c r="AT729" s="143"/>
    </row>
    <row r="730" spans="1:46" ht="15" customHeight="1">
      <c r="A730" s="519" t="str">
        <f>+input!B36</f>
        <v>117j</v>
      </c>
      <c r="B730" s="825">
        <f t="shared" si="69"/>
        <v>104.32269822070566</v>
      </c>
      <c r="C730" s="826">
        <f t="shared" si="70"/>
        <v>-54.082591047385407</v>
      </c>
      <c r="D730" s="825">
        <f t="shared" si="71"/>
        <v>106.72046213139936</v>
      </c>
      <c r="E730" s="527">
        <f t="shared" si="72"/>
        <v>-80.091402661216918</v>
      </c>
      <c r="F730" s="825">
        <f t="shared" si="73"/>
        <v>23.157513492077616</v>
      </c>
      <c r="G730" s="821">
        <f t="shared" si="74"/>
        <v>-18.231118946587014</v>
      </c>
      <c r="H730" s="825">
        <f t="shared" si="75"/>
        <v>20.297570267050414</v>
      </c>
      <c r="I730" s="826">
        <f t="shared" si="76"/>
        <v>-15.979583386269015</v>
      </c>
      <c r="J730" s="827">
        <f t="shared" si="77"/>
        <v>-2.5843036942709867</v>
      </c>
      <c r="K730" s="527">
        <f t="shared" si="78"/>
        <v>1.5257152061431445</v>
      </c>
      <c r="L730" s="527">
        <f t="shared" si="79"/>
        <v>53.620945209986559</v>
      </c>
      <c r="M730" s="824">
        <f t="shared" si="80"/>
        <v>-31.656608956604458</v>
      </c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J730" s="143"/>
      <c r="AK730" s="143"/>
      <c r="AL730" s="143"/>
      <c r="AM730" s="143"/>
      <c r="AN730" s="143"/>
      <c r="AO730" s="143"/>
      <c r="AP730" s="143"/>
      <c r="AQ730" s="143"/>
      <c r="AR730" s="143"/>
      <c r="AS730" s="143"/>
      <c r="AT730" s="143"/>
    </row>
    <row r="731" spans="1:46" ht="15" customHeight="1">
      <c r="A731" s="519" t="str">
        <f>+input!B37</f>
        <v>118i</v>
      </c>
      <c r="B731" s="825">
        <f t="shared" si="69"/>
        <v>55.614788073796895</v>
      </c>
      <c r="C731" s="826">
        <f t="shared" si="70"/>
        <v>-39.574536275465597</v>
      </c>
      <c r="D731" s="825">
        <f t="shared" si="71"/>
        <v>56.884493221207755</v>
      </c>
      <c r="E731" s="527">
        <f t="shared" si="72"/>
        <v>-61.660328596141092</v>
      </c>
      <c r="F731" s="825">
        <f t="shared" si="73"/>
        <v>12.673565553045426</v>
      </c>
      <c r="G731" s="821">
        <f t="shared" si="74"/>
        <v>-14.131646952520477</v>
      </c>
      <c r="H731" s="825">
        <f t="shared" si="75"/>
        <v>11.108344840524234</v>
      </c>
      <c r="I731" s="826">
        <f t="shared" si="76"/>
        <v>-12.386349118257346</v>
      </c>
      <c r="J731" s="827">
        <f t="shared" si="77"/>
        <v>-1.4807229203107923</v>
      </c>
      <c r="K731" s="527">
        <f t="shared" si="78"/>
        <v>1.1385371323377709</v>
      </c>
      <c r="L731" s="527">
        <f t="shared" si="79"/>
        <v>30.723077460736992</v>
      </c>
      <c r="M731" s="824">
        <f t="shared" si="80"/>
        <v>-23.623166784908552</v>
      </c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  <c r="AT731" s="143"/>
    </row>
    <row r="732" spans="1:46" ht="15" customHeight="1">
      <c r="A732" s="519" t="str">
        <f>+input!B38</f>
        <v>118j</v>
      </c>
      <c r="B732" s="825">
        <f t="shared" si="69"/>
        <v>73.63914213329646</v>
      </c>
      <c r="C732" s="826">
        <f t="shared" si="70"/>
        <v>-52.400359734920208</v>
      </c>
      <c r="D732" s="825">
        <f t="shared" si="71"/>
        <v>75.320349615261478</v>
      </c>
      <c r="E732" s="527">
        <f t="shared" si="72"/>
        <v>-81.643998992712596</v>
      </c>
      <c r="F732" s="825">
        <f t="shared" si="73"/>
        <v>16.8769888385178</v>
      </c>
      <c r="G732" s="821">
        <f t="shared" si="74"/>
        <v>-18.818670001691146</v>
      </c>
      <c r="H732" s="825">
        <f t="shared" si="75"/>
        <v>14.804304362650189</v>
      </c>
      <c r="I732" s="826">
        <f t="shared" si="76"/>
        <v>-16.507525191311192</v>
      </c>
      <c r="J732" s="827">
        <f t="shared" si="77"/>
        <v>-0.42620350492463527</v>
      </c>
      <c r="K732" s="527">
        <f t="shared" si="78"/>
        <v>0.32771054572948149</v>
      </c>
      <c r="L732" s="527">
        <f t="shared" si="79"/>
        <v>40.689155926101101</v>
      </c>
      <c r="M732" s="824">
        <f t="shared" si="80"/>
        <v>-31.286146969092691</v>
      </c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J732" s="143"/>
      <c r="AK732" s="143"/>
      <c r="AL732" s="143"/>
      <c r="AM732" s="143"/>
      <c r="AN732" s="143"/>
      <c r="AO732" s="143"/>
      <c r="AP732" s="143"/>
      <c r="AQ732" s="143"/>
      <c r="AR732" s="143"/>
      <c r="AS732" s="143"/>
      <c r="AT732" s="143"/>
    </row>
    <row r="733" spans="1:46" ht="15" customHeight="1">
      <c r="A733" s="519" t="str">
        <f>+input!B39</f>
        <v>119i</v>
      </c>
      <c r="B733" s="825">
        <f t="shared" si="69"/>
        <v>71.381398992811469</v>
      </c>
      <c r="C733" s="826">
        <f t="shared" si="70"/>
        <v>-48.205393371165037</v>
      </c>
      <c r="D733" s="825">
        <f t="shared" si="71"/>
        <v>72.937182109246351</v>
      </c>
      <c r="E733" s="527">
        <f t="shared" si="72"/>
        <v>-76.590455036591308</v>
      </c>
      <c r="F733" s="825">
        <f t="shared" si="73"/>
        <v>16.348864659740421</v>
      </c>
      <c r="G733" s="821">
        <f t="shared" si="74"/>
        <v>-17.650456434434012</v>
      </c>
      <c r="H733" s="825">
        <f t="shared" si="75"/>
        <v>14.341027485802474</v>
      </c>
      <c r="I733" s="826">
        <f t="shared" si="76"/>
        <v>-15.48276813903213</v>
      </c>
      <c r="J733" s="827">
        <f t="shared" si="77"/>
        <v>-0.41356349143252669</v>
      </c>
      <c r="K733" s="527">
        <f t="shared" si="78"/>
        <v>0.30102445774178965</v>
      </c>
      <c r="L733" s="527">
        <f t="shared" si="79"/>
        <v>39.482428449799919</v>
      </c>
      <c r="M733" s="824">
        <f t="shared" si="80"/>
        <v>-28.738456997887848</v>
      </c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J733" s="143"/>
      <c r="AK733" s="143"/>
      <c r="AL733" s="143"/>
      <c r="AM733" s="143"/>
      <c r="AN733" s="143"/>
      <c r="AO733" s="143"/>
      <c r="AP733" s="143"/>
      <c r="AQ733" s="143"/>
      <c r="AR733" s="143"/>
      <c r="AS733" s="143"/>
      <c r="AT733" s="143"/>
    </row>
    <row r="734" spans="1:46" ht="15" customHeight="1">
      <c r="A734" s="519" t="str">
        <f>+input!B40</f>
        <v>119j</v>
      </c>
      <c r="B734" s="825">
        <f t="shared" si="69"/>
        <v>79.197355030066134</v>
      </c>
      <c r="C734" s="826">
        <f t="shared" si="70"/>
        <v>-53.483676518649105</v>
      </c>
      <c r="D734" s="825">
        <f t="shared" si="71"/>
        <v>80.923489703252969</v>
      </c>
      <c r="E734" s="527">
        <f t="shared" si="72"/>
        <v>-84.976780296195884</v>
      </c>
      <c r="F734" s="825">
        <f t="shared" si="73"/>
        <v>18.16688270365745</v>
      </c>
      <c r="G734" s="821">
        <f t="shared" si="74"/>
        <v>-19.613213417809884</v>
      </c>
      <c r="H734" s="825">
        <f t="shared" si="75"/>
        <v>15.945435541981032</v>
      </c>
      <c r="I734" s="826">
        <f t="shared" si="76"/>
        <v>-17.214908877120799</v>
      </c>
      <c r="J734" s="827">
        <f t="shared" si="77"/>
        <v>-0.21442387297522281</v>
      </c>
      <c r="K734" s="527">
        <f t="shared" si="78"/>
        <v>0.15607477793960861</v>
      </c>
      <c r="L734" s="527">
        <f t="shared" si="79"/>
        <v>43.926569821233237</v>
      </c>
      <c r="M734" s="824">
        <f t="shared" si="80"/>
        <v>-31.973257153553504</v>
      </c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J734" s="143"/>
      <c r="AK734" s="143"/>
      <c r="AL734" s="143"/>
      <c r="AM734" s="143"/>
      <c r="AN734" s="143"/>
      <c r="AO734" s="143"/>
      <c r="AP734" s="143"/>
      <c r="AQ734" s="143"/>
      <c r="AR734" s="143"/>
      <c r="AS734" s="143"/>
      <c r="AT734" s="143"/>
    </row>
    <row r="735" spans="1:46" ht="15" customHeight="1">
      <c r="A735" s="519" t="str">
        <f>+input!B41</f>
        <v>120i</v>
      </c>
      <c r="B735" s="825">
        <f t="shared" si="69"/>
        <v>79.197452946769289</v>
      </c>
      <c r="C735" s="826">
        <f t="shared" si="70"/>
        <v>-53.483742643903859</v>
      </c>
      <c r="D735" s="825">
        <f t="shared" si="71"/>
        <v>80.923589754085683</v>
      </c>
      <c r="E735" s="527">
        <f t="shared" si="72"/>
        <v>-84.976885358368335</v>
      </c>
      <c r="F735" s="825">
        <f t="shared" si="73"/>
        <v>18.167148658367712</v>
      </c>
      <c r="G735" s="821">
        <f t="shared" si="74"/>
        <v>-19.613500546128861</v>
      </c>
      <c r="H735" s="825">
        <f t="shared" si="75"/>
        <v>15.94536300887823</v>
      </c>
      <c r="I735" s="826">
        <f t="shared" si="76"/>
        <v>-17.214830569397439</v>
      </c>
      <c r="J735" s="827">
        <f t="shared" si="77"/>
        <v>-0.22761987178865858</v>
      </c>
      <c r="K735" s="527">
        <f t="shared" si="78"/>
        <v>0.16567987720360855</v>
      </c>
      <c r="L735" s="527">
        <f t="shared" si="79"/>
        <v>43.92310420538324</v>
      </c>
      <c r="M735" s="824">
        <f t="shared" si="80"/>
        <v>-31.970734602231644</v>
      </c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J735" s="143"/>
      <c r="AK735" s="143"/>
      <c r="AL735" s="143"/>
      <c r="AM735" s="143"/>
      <c r="AN735" s="143"/>
      <c r="AO735" s="143"/>
      <c r="AP735" s="143"/>
      <c r="AQ735" s="143"/>
      <c r="AR735" s="143"/>
      <c r="AS735" s="143"/>
      <c r="AT735" s="143"/>
    </row>
    <row r="736" spans="1:46" ht="15" customHeight="1">
      <c r="A736" s="519" t="str">
        <f>+input!B42</f>
        <v>120j</v>
      </c>
      <c r="B736" s="825">
        <f t="shared" si="69"/>
        <v>73.01658345625404</v>
      </c>
      <c r="C736" s="826">
        <f t="shared" si="70"/>
        <v>-49.30966859421865</v>
      </c>
      <c r="D736" s="825">
        <f t="shared" si="71"/>
        <v>74.608006002797822</v>
      </c>
      <c r="E736" s="527">
        <f t="shared" si="72"/>
        <v>-78.344967050798843</v>
      </c>
      <c r="F736" s="825">
        <f t="shared" si="73"/>
        <v>16.739237818996269</v>
      </c>
      <c r="G736" s="821">
        <f t="shared" si="74"/>
        <v>-18.071908601542916</v>
      </c>
      <c r="H736" s="825">
        <f t="shared" si="75"/>
        <v>14.683335375604551</v>
      </c>
      <c r="I736" s="826">
        <f t="shared" si="76"/>
        <v>-15.852328388129607</v>
      </c>
      <c r="J736" s="827">
        <f t="shared" si="77"/>
        <v>-0.7443965121895737</v>
      </c>
      <c r="K736" s="527">
        <f t="shared" si="78"/>
        <v>0.54183108777459643</v>
      </c>
      <c r="L736" s="527">
        <f t="shared" si="79"/>
        <v>41.154099356724856</v>
      </c>
      <c r="M736" s="824">
        <f t="shared" si="80"/>
        <v>-29.955232266267423</v>
      </c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J736" s="143"/>
      <c r="AK736" s="143"/>
      <c r="AL736" s="143"/>
      <c r="AM736" s="143"/>
      <c r="AN736" s="143"/>
      <c r="AO736" s="143"/>
      <c r="AP736" s="143"/>
      <c r="AQ736" s="143"/>
      <c r="AR736" s="143"/>
      <c r="AS736" s="143"/>
      <c r="AT736" s="143"/>
    </row>
    <row r="737" spans="1:46" ht="15" customHeight="1">
      <c r="A737" s="519" t="str">
        <f>+input!B43</f>
        <v>121i</v>
      </c>
      <c r="B737" s="825">
        <f t="shared" si="69"/>
        <v>75.325898852782984</v>
      </c>
      <c r="C737" s="826">
        <f t="shared" si="70"/>
        <v>-53.600627097166175</v>
      </c>
      <c r="D737" s="825">
        <f t="shared" si="71"/>
        <v>77.045615583157272</v>
      </c>
      <c r="E737" s="527">
        <f t="shared" si="72"/>
        <v>-83.514112629525883</v>
      </c>
      <c r="F737" s="825">
        <f t="shared" si="73"/>
        <v>17.280099562588628</v>
      </c>
      <c r="G737" s="821">
        <f t="shared" si="74"/>
        <v>-19.268158222784141</v>
      </c>
      <c r="H737" s="825">
        <f t="shared" si="75"/>
        <v>15.157672056996967</v>
      </c>
      <c r="I737" s="826">
        <f t="shared" si="76"/>
        <v>-16.901547495455496</v>
      </c>
      <c r="J737" s="827">
        <f t="shared" si="77"/>
        <v>-0.76714799328613437</v>
      </c>
      <c r="K737" s="527">
        <f t="shared" si="78"/>
        <v>0.58986489935020769</v>
      </c>
      <c r="L737" s="527">
        <f t="shared" si="79"/>
        <v>42.411919212444516</v>
      </c>
      <c r="M737" s="824">
        <f t="shared" si="80"/>
        <v>-32.610790455612459</v>
      </c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J737" s="143"/>
      <c r="AK737" s="143"/>
      <c r="AL737" s="143"/>
      <c r="AM737" s="143"/>
      <c r="AN737" s="143"/>
      <c r="AO737" s="143"/>
      <c r="AP737" s="143"/>
      <c r="AQ737" s="143"/>
      <c r="AR737" s="143"/>
      <c r="AS737" s="143"/>
      <c r="AT737" s="143"/>
    </row>
    <row r="738" spans="1:46" ht="15" customHeight="1">
      <c r="A738" s="519" t="str">
        <f>+input!B44</f>
        <v>121j</v>
      </c>
      <c r="B738" s="825">
        <f t="shared" si="69"/>
        <v>61.238514222033594</v>
      </c>
      <c r="C738" s="826">
        <f t="shared" si="70"/>
        <v>-43.576284050919867</v>
      </c>
      <c r="D738" s="825">
        <f t="shared" si="71"/>
        <v>62.636611012842806</v>
      </c>
      <c r="E738" s="527">
        <f t="shared" si="72"/>
        <v>-67.895375321031224</v>
      </c>
      <c r="F738" s="825">
        <f t="shared" si="73"/>
        <v>14.01655247898209</v>
      </c>
      <c r="G738" s="821">
        <f t="shared" si="74"/>
        <v>-15.629143219040929</v>
      </c>
      <c r="H738" s="825">
        <f t="shared" si="75"/>
        <v>12.286054123293482</v>
      </c>
      <c r="I738" s="826">
        <f t="shared" si="76"/>
        <v>-13.699552709396844</v>
      </c>
      <c r="J738" s="827">
        <f t="shared" si="77"/>
        <v>-3.2477641169745866</v>
      </c>
      <c r="K738" s="527">
        <f t="shared" si="78"/>
        <v>2.4972261815692298</v>
      </c>
      <c r="L738" s="527">
        <f t="shared" si="79"/>
        <v>36.711561806441331</v>
      </c>
      <c r="M738" s="824">
        <f t="shared" si="80"/>
        <v>-28.227749924998513</v>
      </c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J738" s="143"/>
      <c r="AK738" s="143"/>
      <c r="AL738" s="143"/>
      <c r="AM738" s="143"/>
      <c r="AN738" s="143"/>
      <c r="AO738" s="143"/>
      <c r="AP738" s="143"/>
      <c r="AQ738" s="143"/>
      <c r="AR738" s="143"/>
      <c r="AS738" s="143"/>
      <c r="AT738" s="143"/>
    </row>
    <row r="739" spans="1:46" ht="15" customHeight="1">
      <c r="A739" s="519" t="str">
        <f>+input!B45</f>
        <v>122i</v>
      </c>
      <c r="B739" s="825">
        <f t="shared" si="69"/>
        <v>106.13450603363854</v>
      </c>
      <c r="C739" s="826">
        <f t="shared" si="70"/>
        <v>-57.3928859688084</v>
      </c>
      <c r="D739" s="825">
        <f t="shared" si="71"/>
        <v>108.3667722871032</v>
      </c>
      <c r="E739" s="527">
        <f t="shared" si="72"/>
        <v>-84.184952949135706</v>
      </c>
      <c r="F739" s="825">
        <f t="shared" si="73"/>
        <v>23.725321546895749</v>
      </c>
      <c r="G739" s="821">
        <f t="shared" si="74"/>
        <v>-19.276896153506364</v>
      </c>
      <c r="H739" s="825">
        <f t="shared" si="75"/>
        <v>20.79616831990564</v>
      </c>
      <c r="I739" s="826">
        <f t="shared" si="76"/>
        <v>-16.896950218409678</v>
      </c>
      <c r="J739" s="827">
        <f t="shared" si="77"/>
        <v>-5.3001263910494449</v>
      </c>
      <c r="K739" s="527">
        <f t="shared" si="78"/>
        <v>3.2395809285107999</v>
      </c>
      <c r="L739" s="527">
        <f t="shared" si="79"/>
        <v>59.910729529279124</v>
      </c>
      <c r="M739" s="824">
        <f t="shared" si="80"/>
        <v>-36.619061976329924</v>
      </c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J739" s="143"/>
      <c r="AK739" s="143"/>
      <c r="AL739" s="143"/>
      <c r="AM739" s="143"/>
      <c r="AN739" s="143"/>
      <c r="AO739" s="143"/>
      <c r="AP739" s="143"/>
      <c r="AQ739" s="143"/>
      <c r="AR739" s="143"/>
      <c r="AS739" s="143"/>
      <c r="AT739" s="143"/>
    </row>
    <row r="740" spans="1:46" ht="15" customHeight="1">
      <c r="A740" s="519" t="str">
        <f>+input!B46</f>
        <v>122j</v>
      </c>
      <c r="B740" s="825">
        <f t="shared" si="69"/>
        <v>74.584330595343104</v>
      </c>
      <c r="C740" s="826">
        <f t="shared" si="70"/>
        <v>-40.331934833349365</v>
      </c>
      <c r="D740" s="825">
        <f t="shared" si="71"/>
        <v>76.153020086133864</v>
      </c>
      <c r="E740" s="527">
        <f t="shared" si="72"/>
        <v>-59.159632400057511</v>
      </c>
      <c r="F740" s="825">
        <f t="shared" si="73"/>
        <v>16.556386533176948</v>
      </c>
      <c r="G740" s="821">
        <f t="shared" si="74"/>
        <v>-13.452114579206707</v>
      </c>
      <c r="H740" s="825">
        <f t="shared" si="75"/>
        <v>14.545471766229962</v>
      </c>
      <c r="I740" s="826">
        <f t="shared" si="76"/>
        <v>-11.818240194854623</v>
      </c>
      <c r="J740" s="827">
        <f t="shared" si="77"/>
        <v>-15.062606653681673</v>
      </c>
      <c r="K740" s="527">
        <f t="shared" si="78"/>
        <v>9.206673510905679</v>
      </c>
      <c r="L740" s="527">
        <f t="shared" si="79"/>
        <v>50.100238844869494</v>
      </c>
      <c r="M740" s="824">
        <f t="shared" si="80"/>
        <v>-30.622624122655765</v>
      </c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J740" s="143"/>
      <c r="AK740" s="143"/>
      <c r="AL740" s="143"/>
      <c r="AM740" s="143"/>
      <c r="AN740" s="143"/>
      <c r="AO740" s="143"/>
      <c r="AP740" s="143"/>
      <c r="AQ740" s="143"/>
      <c r="AR740" s="143"/>
      <c r="AS740" s="143"/>
      <c r="AT740" s="143"/>
    </row>
    <row r="741" spans="1:46" ht="15" customHeight="1">
      <c r="A741" s="519" t="str">
        <f>+input!B47</f>
        <v>123i</v>
      </c>
      <c r="B741" s="825">
        <f t="shared" si="69"/>
        <v>99.8959025594704</v>
      </c>
      <c r="C741" s="826">
        <f t="shared" si="70"/>
        <v>-84.341584704880475</v>
      </c>
      <c r="D741" s="825">
        <f t="shared" si="71"/>
        <v>99.8959025594704</v>
      </c>
      <c r="E741" s="527">
        <f t="shared" si="72"/>
        <v>-84.341584704880475</v>
      </c>
      <c r="F741" s="825">
        <f t="shared" si="73"/>
        <v>21.417836590617615</v>
      </c>
      <c r="G741" s="821">
        <f t="shared" si="74"/>
        <v>-19.117625681400284</v>
      </c>
      <c r="H741" s="825">
        <f t="shared" si="75"/>
        <v>18.816402477619491</v>
      </c>
      <c r="I741" s="826">
        <f t="shared" si="76"/>
        <v>-16.795577728671486</v>
      </c>
      <c r="J741" s="827">
        <f t="shared" si="77"/>
        <v>-19.392078893901335</v>
      </c>
      <c r="K741" s="527">
        <f t="shared" si="78"/>
        <v>19.193312230711687</v>
      </c>
      <c r="L741" s="527">
        <f t="shared" si="79"/>
        <v>64.500640999314612</v>
      </c>
      <c r="M741" s="824">
        <f t="shared" si="80"/>
        <v>-63.839516565200498</v>
      </c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J741" s="143"/>
      <c r="AK741" s="143"/>
      <c r="AL741" s="143"/>
      <c r="AM741" s="143"/>
      <c r="AN741" s="143"/>
      <c r="AO741" s="143"/>
      <c r="AP741" s="143"/>
      <c r="AQ741" s="143"/>
      <c r="AR741" s="143"/>
      <c r="AS741" s="143"/>
      <c r="AT741" s="143"/>
    </row>
    <row r="742" spans="1:46" ht="15" customHeight="1">
      <c r="A742" s="519" t="str">
        <f>+input!B48</f>
        <v>123j</v>
      </c>
      <c r="B742" s="825">
        <f t="shared" si="69"/>
        <v>65.464081005789822</v>
      </c>
      <c r="C742" s="826">
        <f t="shared" si="70"/>
        <v>-55.270979007272004</v>
      </c>
      <c r="D742" s="825">
        <f t="shared" si="71"/>
        <v>65.464081005789822</v>
      </c>
      <c r="E742" s="527">
        <f t="shared" si="72"/>
        <v>-55.270979007272004</v>
      </c>
      <c r="F742" s="825">
        <f t="shared" si="73"/>
        <v>13.927236600543614</v>
      </c>
      <c r="G742" s="821">
        <f t="shared" si="74"/>
        <v>-12.431493488101767</v>
      </c>
      <c r="H742" s="825">
        <f t="shared" si="75"/>
        <v>12.200889945892675</v>
      </c>
      <c r="I742" s="826">
        <f t="shared" si="76"/>
        <v>-10.890551245858125</v>
      </c>
      <c r="J742" s="827">
        <f t="shared" si="77"/>
        <v>-30.557828882469678</v>
      </c>
      <c r="K742" s="527">
        <f t="shared" si="78"/>
        <v>30.244614517237341</v>
      </c>
      <c r="L742" s="527">
        <f t="shared" si="79"/>
        <v>55.488289087204414</v>
      </c>
      <c r="M742" s="824">
        <f t="shared" si="80"/>
        <v>-54.919540263093822</v>
      </c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J742" s="143"/>
      <c r="AK742" s="143"/>
      <c r="AL742" s="143"/>
      <c r="AM742" s="143"/>
      <c r="AN742" s="143"/>
      <c r="AO742" s="143"/>
      <c r="AP742" s="143"/>
      <c r="AQ742" s="143"/>
      <c r="AR742" s="143"/>
      <c r="AS742" s="143"/>
      <c r="AT742" s="143"/>
    </row>
    <row r="743" spans="1:46" ht="15" customHeight="1">
      <c r="A743" s="519" t="str">
        <f>+input!B49</f>
        <v>124i</v>
      </c>
      <c r="B743" s="825">
        <f t="shared" si="69"/>
        <v>98.724824629510991</v>
      </c>
      <c r="C743" s="826">
        <f t="shared" si="70"/>
        <v>-69.560286201569028</v>
      </c>
      <c r="D743" s="825">
        <f t="shared" si="71"/>
        <v>98.724824629510991</v>
      </c>
      <c r="E743" s="527">
        <f t="shared" si="72"/>
        <v>-69.560286201569028</v>
      </c>
      <c r="F743" s="825">
        <f t="shared" si="73"/>
        <v>20.336576731731679</v>
      </c>
      <c r="G743" s="821">
        <f t="shared" si="74"/>
        <v>-15.452800366445929</v>
      </c>
      <c r="H743" s="825">
        <f t="shared" si="75"/>
        <v>17.815841945594734</v>
      </c>
      <c r="I743" s="826">
        <f t="shared" si="76"/>
        <v>-13.537413527216911</v>
      </c>
      <c r="J743" s="827">
        <f t="shared" si="77"/>
        <v>-42.388059234790092</v>
      </c>
      <c r="K743" s="527">
        <f t="shared" si="78"/>
        <v>36.92709909503931</v>
      </c>
      <c r="L743" s="527">
        <f t="shared" si="79"/>
        <v>76.970156934640357</v>
      </c>
      <c r="M743" s="824">
        <f t="shared" si="80"/>
        <v>-67.053898286368849</v>
      </c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J743" s="143"/>
      <c r="AK743" s="143"/>
      <c r="AL743" s="143"/>
      <c r="AM743" s="143"/>
      <c r="AN743" s="143"/>
      <c r="AO743" s="143"/>
      <c r="AP743" s="143"/>
      <c r="AQ743" s="143"/>
      <c r="AR743" s="143"/>
      <c r="AS743" s="143"/>
      <c r="AT743" s="143"/>
    </row>
    <row r="744" spans="1:46" ht="15" customHeight="1">
      <c r="A744" s="519" t="str">
        <f>+input!B50</f>
        <v>124j</v>
      </c>
      <c r="B744" s="825">
        <f t="shared" si="69"/>
        <v>54.71198283658255</v>
      </c>
      <c r="C744" s="826">
        <f t="shared" si="70"/>
        <v>-38.549384099188195</v>
      </c>
      <c r="D744" s="825">
        <f t="shared" si="71"/>
        <v>54.71198283658255</v>
      </c>
      <c r="E744" s="527">
        <f t="shared" si="72"/>
        <v>-38.549384099188195</v>
      </c>
      <c r="F744" s="825">
        <f t="shared" si="73"/>
        <v>11.004742655950192</v>
      </c>
      <c r="G744" s="821">
        <f t="shared" si="74"/>
        <v>-8.3619821364119034</v>
      </c>
      <c r="H744" s="825">
        <f t="shared" si="75"/>
        <v>9.6959747928215005</v>
      </c>
      <c r="I744" s="826">
        <f t="shared" si="76"/>
        <v>-7.3675114945859645</v>
      </c>
      <c r="J744" s="827">
        <f t="shared" si="77"/>
        <v>-55.105858178009179</v>
      </c>
      <c r="K744" s="527">
        <f t="shared" si="78"/>
        <v>48.006432056374486</v>
      </c>
      <c r="L744" s="527">
        <f t="shared" si="79"/>
        <v>65.42902378908488</v>
      </c>
      <c r="M744" s="824">
        <f t="shared" si="80"/>
        <v>-56.999638312484926</v>
      </c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J744" s="143"/>
      <c r="AK744" s="143"/>
      <c r="AL744" s="143"/>
      <c r="AM744" s="143"/>
      <c r="AN744" s="143"/>
      <c r="AO744" s="143"/>
      <c r="AP744" s="143"/>
      <c r="AQ744" s="143"/>
      <c r="AR744" s="143"/>
      <c r="AS744" s="143"/>
      <c r="AT744" s="143"/>
    </row>
    <row r="745" spans="1:46" ht="15" customHeight="1">
      <c r="A745" s="519" t="str">
        <f>+input!B51</f>
        <v>125i</v>
      </c>
      <c r="B745" s="825">
        <f t="shared" si="69"/>
        <v>61.842630859967706</v>
      </c>
      <c r="C745" s="826">
        <f t="shared" si="70"/>
        <v>-46.973699630561732</v>
      </c>
      <c r="D745" s="825">
        <f t="shared" si="71"/>
        <v>61.842630859967706</v>
      </c>
      <c r="E745" s="527">
        <f t="shared" si="72"/>
        <v>-46.973699630561732</v>
      </c>
      <c r="F745" s="825">
        <f t="shared" si="73"/>
        <v>12.30750793496693</v>
      </c>
      <c r="G745" s="821">
        <f t="shared" si="74"/>
        <v>-10.139354800354004</v>
      </c>
      <c r="H745" s="825">
        <f t="shared" si="75"/>
        <v>10.843805296561593</v>
      </c>
      <c r="I745" s="826">
        <f t="shared" si="76"/>
        <v>-8.933505456081706</v>
      </c>
      <c r="J745" s="827">
        <f t="shared" si="77"/>
        <v>-60.638878538589815</v>
      </c>
      <c r="K745" s="527">
        <f t="shared" si="78"/>
        <v>57.816841426753257</v>
      </c>
      <c r="L745" s="527">
        <f t="shared" si="79"/>
        <v>71.99856344906955</v>
      </c>
      <c r="M745" s="824">
        <f t="shared" si="80"/>
        <v>-68.64786464083069</v>
      </c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J745" s="143"/>
      <c r="AK745" s="143"/>
      <c r="AL745" s="143"/>
      <c r="AM745" s="143"/>
      <c r="AN745" s="143"/>
      <c r="AO745" s="143"/>
      <c r="AP745" s="143"/>
      <c r="AQ745" s="143"/>
      <c r="AR745" s="143"/>
      <c r="AS745" s="143"/>
      <c r="AT745" s="143"/>
    </row>
    <row r="746" spans="1:46" ht="15" customHeight="1">
      <c r="A746" s="964" t="str">
        <f>+input!B52</f>
        <v>125j</v>
      </c>
      <c r="B746" s="956">
        <f t="shared" si="69"/>
        <v>25.446396541245605</v>
      </c>
      <c r="C746" s="957">
        <f t="shared" si="70"/>
        <v>-19.328275191190016</v>
      </c>
      <c r="D746" s="956">
        <f t="shared" si="71"/>
        <v>25.446396541245605</v>
      </c>
      <c r="E746" s="955">
        <f t="shared" si="72"/>
        <v>-19.328275191190016</v>
      </c>
      <c r="F746" s="956">
        <f t="shared" si="73"/>
        <v>4.7731878539363324</v>
      </c>
      <c r="G746" s="965">
        <f t="shared" si="74"/>
        <v>-3.9323188281113897</v>
      </c>
      <c r="H746" s="956">
        <f t="shared" si="75"/>
        <v>4.1618242519194695</v>
      </c>
      <c r="I746" s="957">
        <f t="shared" si="76"/>
        <v>-3.4286561446805823</v>
      </c>
      <c r="J746" s="954">
        <f t="shared" si="77"/>
        <v>-66.609548781068284</v>
      </c>
      <c r="K746" s="955">
        <f t="shared" si="78"/>
        <v>63.509646157650906</v>
      </c>
      <c r="L746" s="955">
        <f t="shared" si="79"/>
        <v>59.663089270121937</v>
      </c>
      <c r="M746" s="958">
        <f t="shared" si="80"/>
        <v>-56.886463841273475</v>
      </c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J746" s="143"/>
      <c r="AK746" s="143"/>
      <c r="AL746" s="143"/>
      <c r="AM746" s="143"/>
      <c r="AN746" s="143"/>
      <c r="AO746" s="143"/>
      <c r="AP746" s="143"/>
      <c r="AQ746" s="143"/>
      <c r="AR746" s="143"/>
      <c r="AS746" s="143"/>
      <c r="AT746" s="143"/>
    </row>
    <row r="747" spans="1:46" ht="15" customHeight="1">
      <c r="A747" s="966" t="str">
        <f>+input!B53</f>
        <v>126i</v>
      </c>
      <c r="B747" s="962">
        <f t="shared" si="69"/>
        <v>25.446396541245605</v>
      </c>
      <c r="C747" s="963">
        <f t="shared" si="70"/>
        <v>-19.328275191190016</v>
      </c>
      <c r="D747" s="962">
        <f t="shared" si="71"/>
        <v>25.446396541245605</v>
      </c>
      <c r="E747" s="961">
        <f t="shared" si="72"/>
        <v>-19.328275191190016</v>
      </c>
      <c r="F747" s="962">
        <f t="shared" si="73"/>
        <v>4.7731878539363324</v>
      </c>
      <c r="G747" s="822">
        <f t="shared" si="74"/>
        <v>-3.9323188281113897</v>
      </c>
      <c r="H747" s="962">
        <f t="shared" si="75"/>
        <v>4.1618242519194695</v>
      </c>
      <c r="I747" s="963">
        <f t="shared" si="76"/>
        <v>-3.4286561446805823</v>
      </c>
      <c r="J747" s="960">
        <f t="shared" si="77"/>
        <v>-66.609548781068284</v>
      </c>
      <c r="K747" s="961">
        <f t="shared" si="78"/>
        <v>63.509646157650906</v>
      </c>
      <c r="L747" s="961">
        <f t="shared" si="79"/>
        <v>59.663089270121937</v>
      </c>
      <c r="M747" s="823">
        <f t="shared" si="80"/>
        <v>-56.886463841273475</v>
      </c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J747" s="143"/>
      <c r="AK747" s="143"/>
      <c r="AL747" s="143"/>
      <c r="AM747" s="143"/>
      <c r="AN747" s="143"/>
      <c r="AO747" s="143"/>
      <c r="AP747" s="143"/>
      <c r="AQ747" s="143"/>
      <c r="AR747" s="143"/>
      <c r="AS747" s="143"/>
      <c r="AT747" s="143"/>
    </row>
    <row r="748" spans="1:46" ht="15" customHeight="1">
      <c r="A748" s="519" t="str">
        <f>+input!B54</f>
        <v>126j</v>
      </c>
      <c r="B748" s="825">
        <f t="shared" si="69"/>
        <v>-2.0067407896410128</v>
      </c>
      <c r="C748" s="826">
        <f t="shared" si="70"/>
        <v>1.5242566135719282</v>
      </c>
      <c r="D748" s="825">
        <f t="shared" si="71"/>
        <v>-2.0067407896410128</v>
      </c>
      <c r="E748" s="527">
        <f t="shared" si="72"/>
        <v>1.5242566135719282</v>
      </c>
      <c r="F748" s="825">
        <f t="shared" si="73"/>
        <v>-0.96488348925610401</v>
      </c>
      <c r="G748" s="821">
        <f t="shared" si="74"/>
        <v>0.79490471103218396</v>
      </c>
      <c r="H748" s="825">
        <f t="shared" si="75"/>
        <v>-0.79771793793090895</v>
      </c>
      <c r="I748" s="826">
        <f t="shared" si="76"/>
        <v>0.6571878926284026</v>
      </c>
      <c r="J748" s="827">
        <f t="shared" si="77"/>
        <v>-68.214424765279787</v>
      </c>
      <c r="K748" s="527">
        <f t="shared" si="78"/>
        <v>65.039833762121702</v>
      </c>
      <c r="L748" s="527">
        <f t="shared" si="79"/>
        <v>47.35691079607416</v>
      </c>
      <c r="M748" s="824">
        <f t="shared" si="80"/>
        <v>-45.15299537103202</v>
      </c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J748" s="143"/>
      <c r="AK748" s="143"/>
      <c r="AL748" s="143"/>
      <c r="AM748" s="143"/>
      <c r="AN748" s="143"/>
      <c r="AO748" s="143"/>
      <c r="AP748" s="143"/>
      <c r="AQ748" s="143"/>
      <c r="AR748" s="143"/>
      <c r="AS748" s="143"/>
      <c r="AT748" s="143"/>
    </row>
    <row r="749" spans="1:46" s="73" customFormat="1" ht="15" customHeight="1">
      <c r="A749" s="519" t="str">
        <f>+input!B55</f>
        <v>127i</v>
      </c>
      <c r="B749" s="825">
        <f t="shared" si="69"/>
        <v>-2.1507638339321034</v>
      </c>
      <c r="C749" s="826">
        <f t="shared" si="70"/>
        <v>2.0556240569928077</v>
      </c>
      <c r="D749" s="825">
        <f t="shared" si="71"/>
        <v>-2.1507638339321034</v>
      </c>
      <c r="E749" s="527">
        <f t="shared" si="72"/>
        <v>2.0556240569928077</v>
      </c>
      <c r="F749" s="825">
        <f t="shared" si="73"/>
        <v>-1.0307688909409773</v>
      </c>
      <c r="G749" s="821">
        <f t="shared" si="74"/>
        <v>1.0696091681023099</v>
      </c>
      <c r="H749" s="825">
        <f t="shared" si="75"/>
        <v>-0.85218872881606278</v>
      </c>
      <c r="I749" s="826">
        <f t="shared" si="76"/>
        <v>0.88429994861700523</v>
      </c>
      <c r="J749" s="827">
        <f t="shared" si="77"/>
        <v>-72.486500401196324</v>
      </c>
      <c r="K749" s="527">
        <f t="shared" si="78"/>
        <v>87.221682763605671</v>
      </c>
      <c r="L749" s="527">
        <f t="shared" si="79"/>
        <v>50.322793750327975</v>
      </c>
      <c r="M749" s="824">
        <f t="shared" si="80"/>
        <v>-60.552499127092972</v>
      </c>
    </row>
    <row r="750" spans="1:46" ht="15" customHeight="1">
      <c r="A750" s="534" t="str">
        <f>+input!B56</f>
        <v>127j</v>
      </c>
      <c r="B750" s="825">
        <f t="shared" si="69"/>
        <v>-17.875620393378519</v>
      </c>
      <c r="C750" s="826">
        <f t="shared" si="70"/>
        <v>17.084886185351454</v>
      </c>
      <c r="D750" s="825">
        <f t="shared" si="71"/>
        <v>-17.875620393378519</v>
      </c>
      <c r="E750" s="527">
        <f t="shared" si="72"/>
        <v>17.084886185351454</v>
      </c>
      <c r="F750" s="828">
        <f t="shared" si="73"/>
        <v>-4.1189757522468931</v>
      </c>
      <c r="G750" s="829">
        <f t="shared" si="74"/>
        <v>4.2741823763932922</v>
      </c>
      <c r="H750" s="828">
        <f t="shared" si="75"/>
        <v>-3.6332911041613007</v>
      </c>
      <c r="I750" s="830">
        <f t="shared" si="76"/>
        <v>3.7701967041785882</v>
      </c>
      <c r="J750" s="831">
        <f t="shared" si="77"/>
        <v>-64.982814774096013</v>
      </c>
      <c r="K750" s="832">
        <f t="shared" si="78"/>
        <v>78.192634820852888</v>
      </c>
      <c r="L750" s="832">
        <f t="shared" si="79"/>
        <v>37.331723485585691</v>
      </c>
      <c r="M750" s="833">
        <f t="shared" si="80"/>
        <v>-44.920581416628337</v>
      </c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  <c r="AT750" s="143"/>
    </row>
    <row r="751" spans="1:46" ht="15" customHeight="1">
      <c r="A751" s="519" t="str">
        <f>+input!B57</f>
        <v>128i</v>
      </c>
      <c r="B751" s="825">
        <f t="shared" si="69"/>
        <v>-17.875620393378519</v>
      </c>
      <c r="C751" s="826">
        <f t="shared" si="70"/>
        <v>17.084886185351454</v>
      </c>
      <c r="D751" s="825">
        <f t="shared" si="71"/>
        <v>-17.875620393378519</v>
      </c>
      <c r="E751" s="527">
        <f t="shared" si="72"/>
        <v>17.084886185351454</v>
      </c>
      <c r="F751" s="825">
        <f t="shared" si="73"/>
        <v>-4.1189757522468931</v>
      </c>
      <c r="G751" s="821">
        <f t="shared" si="74"/>
        <v>4.2741823763932922</v>
      </c>
      <c r="H751" s="825">
        <f t="shared" si="75"/>
        <v>-3.6332911041613007</v>
      </c>
      <c r="I751" s="826">
        <f t="shared" si="76"/>
        <v>3.7701967041785882</v>
      </c>
      <c r="J751" s="827">
        <f t="shared" si="77"/>
        <v>-64.982814774096013</v>
      </c>
      <c r="K751" s="527">
        <f t="shared" si="78"/>
        <v>78.192634820852888</v>
      </c>
      <c r="L751" s="527">
        <f t="shared" si="79"/>
        <v>37.331723485585691</v>
      </c>
      <c r="M751" s="824">
        <f t="shared" si="80"/>
        <v>-44.920581416628337</v>
      </c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  <c r="AT751" s="143"/>
    </row>
    <row r="752" spans="1:46" ht="15" customHeight="1">
      <c r="A752" s="519" t="str">
        <f>+input!B58</f>
        <v>128j</v>
      </c>
      <c r="B752" s="825">
        <f t="shared" si="69"/>
        <v>-24.014524365764675</v>
      </c>
      <c r="C752" s="826">
        <f t="shared" si="70"/>
        <v>22.952233631925665</v>
      </c>
      <c r="D752" s="825">
        <f t="shared" si="71"/>
        <v>-24.014524365764675</v>
      </c>
      <c r="E752" s="527">
        <f t="shared" si="72"/>
        <v>22.952233631925665</v>
      </c>
      <c r="F752" s="825">
        <f t="shared" si="73"/>
        <v>-5.2882801346814645</v>
      </c>
      <c r="G752" s="821">
        <f t="shared" si="74"/>
        <v>5.487547174987939</v>
      </c>
      <c r="H752" s="825">
        <f t="shared" si="75"/>
        <v>-4.5742455195434584</v>
      </c>
      <c r="I752" s="826">
        <f t="shared" si="76"/>
        <v>4.7466071083966712</v>
      </c>
      <c r="J752" s="827">
        <f t="shared" si="77"/>
        <v>-51.555606192166408</v>
      </c>
      <c r="K752" s="527">
        <f t="shared" si="78"/>
        <v>62.035919834589059</v>
      </c>
      <c r="L752" s="527">
        <f t="shared" si="79"/>
        <v>24.340653220843407</v>
      </c>
      <c r="M752" s="824">
        <f t="shared" si="80"/>
        <v>-29.288663706163717</v>
      </c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  <c r="AT752" s="143"/>
    </row>
    <row r="753" spans="1:46" ht="15" customHeight="1">
      <c r="A753" s="519" t="str">
        <f>+input!B59</f>
        <v>129i</v>
      </c>
      <c r="B753" s="825">
        <f t="shared" si="69"/>
        <v>-24.014631470183478</v>
      </c>
      <c r="C753" s="826">
        <f t="shared" si="70"/>
        <v>22.952335998543717</v>
      </c>
      <c r="D753" s="825">
        <f t="shared" si="71"/>
        <v>-24.014631470183478</v>
      </c>
      <c r="E753" s="527">
        <f t="shared" si="72"/>
        <v>22.952335998543717</v>
      </c>
      <c r="F753" s="825">
        <f t="shared" si="73"/>
        <v>-5.2882801346814645</v>
      </c>
      <c r="G753" s="821">
        <f t="shared" si="74"/>
        <v>5.487547174987939</v>
      </c>
      <c r="H753" s="825">
        <f t="shared" si="75"/>
        <v>-4.5742455195434584</v>
      </c>
      <c r="I753" s="826">
        <f t="shared" si="76"/>
        <v>4.7466071083966712</v>
      </c>
      <c r="J753" s="827">
        <f t="shared" si="77"/>
        <v>-51.555606192166408</v>
      </c>
      <c r="K753" s="527">
        <f t="shared" si="78"/>
        <v>62.035919834589059</v>
      </c>
      <c r="L753" s="527">
        <f t="shared" si="79"/>
        <v>24.340653220843407</v>
      </c>
      <c r="M753" s="824">
        <f t="shared" si="80"/>
        <v>-29.288663706163717</v>
      </c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  <c r="AT753" s="143"/>
    </row>
    <row r="754" spans="1:46" ht="15" customHeight="1">
      <c r="A754" s="519" t="str">
        <f>+input!B60</f>
        <v>129j</v>
      </c>
      <c r="B754" s="825">
        <f t="shared" si="69"/>
        <v>-11.670954307848882</v>
      </c>
      <c r="C754" s="826">
        <f t="shared" si="70"/>
        <v>11.15468563529666</v>
      </c>
      <c r="D754" s="825">
        <f t="shared" si="71"/>
        <v>-11.670954307848882</v>
      </c>
      <c r="E754" s="527">
        <f t="shared" si="72"/>
        <v>11.15468563529666</v>
      </c>
      <c r="F754" s="825">
        <f t="shared" si="73"/>
        <v>-2.3488106214347404</v>
      </c>
      <c r="G754" s="821">
        <f t="shared" si="74"/>
        <v>2.4373158686708352</v>
      </c>
      <c r="H754" s="825">
        <f t="shared" si="75"/>
        <v>-2.0986267744428688</v>
      </c>
      <c r="I754" s="826">
        <f t="shared" si="76"/>
        <v>2.1777048745814396</v>
      </c>
      <c r="J754" s="827">
        <f t="shared" si="77"/>
        <v>-19.199916623141185</v>
      </c>
      <c r="K754" s="527">
        <f t="shared" si="78"/>
        <v>23.102909197195306</v>
      </c>
      <c r="L754" s="527">
        <f t="shared" si="79"/>
        <v>7.5454269508382596</v>
      </c>
      <c r="M754" s="824">
        <f t="shared" si="80"/>
        <v>-9.0792745156602077</v>
      </c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  <c r="AT754" s="143"/>
    </row>
    <row r="755" spans="1:46" ht="15" customHeight="1">
      <c r="A755" s="519" t="str">
        <f>+input!B61</f>
        <v>130i</v>
      </c>
      <c r="B755" s="825">
        <f t="shared" si="69"/>
        <v>-12.892210929474478</v>
      </c>
      <c r="C755" s="826">
        <f t="shared" si="70"/>
        <v>12.301154477734837</v>
      </c>
      <c r="D755" s="825">
        <f t="shared" si="71"/>
        <v>-12.892210929474478</v>
      </c>
      <c r="E755" s="527">
        <f t="shared" si="72"/>
        <v>12.301154477734837</v>
      </c>
      <c r="F755" s="825">
        <f t="shared" si="73"/>
        <v>-2.5818337550753494</v>
      </c>
      <c r="G755" s="821">
        <f t="shared" si="74"/>
        <v>2.6856411233147686</v>
      </c>
      <c r="H755" s="825">
        <f t="shared" si="75"/>
        <v>-2.3068294208631426</v>
      </c>
      <c r="I755" s="826">
        <f t="shared" si="76"/>
        <v>2.399579734738436</v>
      </c>
      <c r="J755" s="827">
        <f t="shared" si="77"/>
        <v>-20.947529527002555</v>
      </c>
      <c r="K755" s="527">
        <f t="shared" si="78"/>
        <v>25.438697674032202</v>
      </c>
      <c r="L755" s="527">
        <f t="shared" si="79"/>
        <v>8.2322260533163902</v>
      </c>
      <c r="M755" s="824">
        <f t="shared" si="80"/>
        <v>-9.9972223208782882</v>
      </c>
      <c r="T755" s="138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  <c r="AT755" s="143"/>
    </row>
    <row r="756" spans="1:46" ht="15" customHeight="1">
      <c r="A756" s="519" t="str">
        <f>+input!B62</f>
        <v>130j</v>
      </c>
      <c r="B756" s="825">
        <f t="shared" si="69"/>
        <v>0.10446940616259787</v>
      </c>
      <c r="C756" s="826">
        <f t="shared" si="70"/>
        <v>-9.9679900556492368E-2</v>
      </c>
      <c r="D756" s="825">
        <f t="shared" si="71"/>
        <v>0.10446940616259787</v>
      </c>
      <c r="E756" s="527">
        <f t="shared" si="72"/>
        <v>-9.9679900556492368E-2</v>
      </c>
      <c r="F756" s="825">
        <f t="shared" si="73"/>
        <v>1.2681221204145211E-2</v>
      </c>
      <c r="G756" s="821">
        <f t="shared" si="74"/>
        <v>-1.3191092994564115E-2</v>
      </c>
      <c r="H756" s="825">
        <f t="shared" si="75"/>
        <v>1.2157203799015243E-2</v>
      </c>
      <c r="I756" s="826">
        <f t="shared" si="76"/>
        <v>-1.2646006507185432E-2</v>
      </c>
      <c r="J756" s="827">
        <f t="shared" si="77"/>
        <v>1.7024560135076808E-2</v>
      </c>
      <c r="K756" s="527">
        <f t="shared" si="78"/>
        <v>-2.0674640307886027E-2</v>
      </c>
      <c r="L756" s="527">
        <f t="shared" si="79"/>
        <v>1.2197246108775777</v>
      </c>
      <c r="M756" s="824">
        <f t="shared" si="80"/>
        <v>-1.4812346048584941</v>
      </c>
      <c r="T756" s="138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  <c r="AT756" s="143"/>
    </row>
    <row r="757" spans="1:46" ht="15" customHeight="1">
      <c r="A757" s="519" t="str">
        <f>+input!B63</f>
        <v>131i</v>
      </c>
      <c r="B757" s="825">
        <f t="shared" si="69"/>
        <v>0.10482434185737452</v>
      </c>
      <c r="C757" s="826">
        <f t="shared" si="70"/>
        <v>-0.10001856386529132</v>
      </c>
      <c r="D757" s="825">
        <f t="shared" si="71"/>
        <v>0.10482434185737452</v>
      </c>
      <c r="E757" s="527">
        <f t="shared" si="72"/>
        <v>-0.10001856386529132</v>
      </c>
      <c r="F757" s="825">
        <f t="shared" si="73"/>
        <v>1.2786024685171204E-2</v>
      </c>
      <c r="G757" s="821">
        <f t="shared" si="74"/>
        <v>-1.3300110292039851E-2</v>
      </c>
      <c r="H757" s="825">
        <f t="shared" si="75"/>
        <v>1.2262007280041237E-2</v>
      </c>
      <c r="I757" s="826">
        <f t="shared" si="76"/>
        <v>-1.2755023804661168E-2</v>
      </c>
      <c r="J757" s="827">
        <f t="shared" si="77"/>
        <v>0</v>
      </c>
      <c r="K757" s="527">
        <f t="shared" si="78"/>
        <v>0</v>
      </c>
      <c r="L757" s="527">
        <f t="shared" si="79"/>
        <v>1.2195543652762271</v>
      </c>
      <c r="M757" s="824">
        <f t="shared" si="80"/>
        <v>-1.4810278584554157</v>
      </c>
      <c r="T757" s="138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  <c r="AT757" s="143"/>
    </row>
    <row r="758" spans="1:46" ht="15" customHeight="1">
      <c r="A758" s="519" t="str">
        <f>+input!B64</f>
        <v>131j</v>
      </c>
      <c r="B758" s="825">
        <f t="shared" si="69"/>
        <v>0</v>
      </c>
      <c r="C758" s="826">
        <f t="shared" si="70"/>
        <v>0</v>
      </c>
      <c r="D758" s="825">
        <f t="shared" si="71"/>
        <v>0</v>
      </c>
      <c r="E758" s="527">
        <f t="shared" si="72"/>
        <v>0</v>
      </c>
      <c r="F758" s="825">
        <f t="shared" si="73"/>
        <v>0</v>
      </c>
      <c r="G758" s="527">
        <f t="shared" si="74"/>
        <v>0</v>
      </c>
      <c r="H758" s="827">
        <f t="shared" si="75"/>
        <v>0</v>
      </c>
      <c r="I758" s="527">
        <f t="shared" si="76"/>
        <v>0</v>
      </c>
      <c r="J758" s="527">
        <f t="shared" si="77"/>
        <v>0</v>
      </c>
      <c r="K758" s="527">
        <f t="shared" si="78"/>
        <v>0</v>
      </c>
      <c r="L758" s="527">
        <f t="shared" si="79"/>
        <v>0</v>
      </c>
      <c r="M758" s="824">
        <f t="shared" si="80"/>
        <v>0</v>
      </c>
      <c r="T758" s="138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  <c r="AT758" s="143"/>
    </row>
    <row r="759" spans="1:46" ht="15" customHeight="1">
      <c r="A759" s="519" t="str">
        <f>+input!B65</f>
        <v>201i</v>
      </c>
      <c r="B759" s="825">
        <f t="shared" si="69"/>
        <v>0</v>
      </c>
      <c r="C759" s="826">
        <f t="shared" si="70"/>
        <v>0</v>
      </c>
      <c r="D759" s="825">
        <f t="shared" si="71"/>
        <v>0</v>
      </c>
      <c r="E759" s="527">
        <f t="shared" si="72"/>
        <v>0</v>
      </c>
      <c r="F759" s="825">
        <f t="shared" si="73"/>
        <v>-5.1376510855245198E-4</v>
      </c>
      <c r="G759" s="821">
        <f t="shared" si="74"/>
        <v>5.0040051940522328E-4</v>
      </c>
      <c r="H759" s="825">
        <f t="shared" si="75"/>
        <v>3.0825906513147114E-4</v>
      </c>
      <c r="I759" s="826">
        <f t="shared" si="76"/>
        <v>-3.00240311643134E-4</v>
      </c>
      <c r="J759" s="827">
        <f t="shared" si="77"/>
        <v>0</v>
      </c>
      <c r="K759" s="527">
        <f t="shared" si="78"/>
        <v>0</v>
      </c>
      <c r="L759" s="527">
        <f t="shared" si="79"/>
        <v>0</v>
      </c>
      <c r="M759" s="824">
        <f t="shared" si="80"/>
        <v>0</v>
      </c>
      <c r="W759" s="507" t="s">
        <v>1917</v>
      </c>
      <c r="X759" s="73"/>
      <c r="Y759" s="73"/>
      <c r="Z759" s="76" t="s">
        <v>1591</v>
      </c>
      <c r="AA759" s="73"/>
      <c r="AB759" s="73"/>
      <c r="AC759" s="73"/>
      <c r="AD759" s="73"/>
      <c r="AE759" s="73"/>
      <c r="AF759" s="73"/>
      <c r="AG759" s="7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  <c r="AT759" s="143"/>
    </row>
    <row r="760" spans="1:46" ht="15" customHeight="1">
      <c r="A760" s="519" t="str">
        <f>+input!B66</f>
        <v>201j</v>
      </c>
      <c r="B760" s="825">
        <f t="shared" si="69"/>
        <v>0.10243129396802048</v>
      </c>
      <c r="C760" s="826">
        <f t="shared" si="70"/>
        <v>-9.1543400644093886E-2</v>
      </c>
      <c r="D760" s="825">
        <f t="shared" si="71"/>
        <v>0.10243129396802048</v>
      </c>
      <c r="E760" s="527">
        <f t="shared" si="72"/>
        <v>-9.1543400644093886E-2</v>
      </c>
      <c r="F760" s="825">
        <f t="shared" si="73"/>
        <v>1.304963375723228E-2</v>
      </c>
      <c r="G760" s="821">
        <f t="shared" si="74"/>
        <v>-1.2710173192892672E-2</v>
      </c>
      <c r="H760" s="825">
        <f t="shared" si="75"/>
        <v>1.1816597496706393E-2</v>
      </c>
      <c r="I760" s="826">
        <f t="shared" si="76"/>
        <v>-1.1509211946320137E-2</v>
      </c>
      <c r="J760" s="827">
        <f t="shared" si="77"/>
        <v>0</v>
      </c>
      <c r="K760" s="527">
        <f t="shared" si="78"/>
        <v>0</v>
      </c>
      <c r="L760" s="527">
        <f t="shared" si="79"/>
        <v>1.1884725913132916</v>
      </c>
      <c r="M760" s="824">
        <f t="shared" si="80"/>
        <v>-1.3505453247695254</v>
      </c>
      <c r="W760" s="73"/>
      <c r="X760" s="73"/>
      <c r="Y760" s="73"/>
      <c r="Z760" s="73" t="s">
        <v>1592</v>
      </c>
      <c r="AA760" s="73"/>
      <c r="AB760" s="73"/>
      <c r="AC760" s="73"/>
      <c r="AD760" s="73"/>
      <c r="AE760" s="73"/>
      <c r="AF760" s="73"/>
      <c r="AG760" s="7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  <c r="AT760" s="143"/>
    </row>
    <row r="761" spans="1:46" ht="15" customHeight="1">
      <c r="A761" s="519" t="str">
        <f>+input!B67</f>
        <v>202i</v>
      </c>
      <c r="B761" s="825">
        <f t="shared" ref="B761:B792" si="81">-G113/D501*10^6</f>
        <v>0.10208367645455436</v>
      </c>
      <c r="C761" s="826">
        <f t="shared" ref="C761:C792" si="82">G113/E501*10^6</f>
        <v>-9.1232732994849228E-2</v>
      </c>
      <c r="D761" s="825">
        <f t="shared" ref="D761:D792" si="83">-G113/F501*10^6</f>
        <v>0.10208367645455436</v>
      </c>
      <c r="E761" s="527">
        <f t="shared" ref="E761:E792" si="84">G113/G501*10^6</f>
        <v>-9.1232732994849228E-2</v>
      </c>
      <c r="F761" s="825">
        <f t="shared" ref="F761:F792" si="85">-H113/N501*10^6</f>
        <v>1.2535868648679827E-2</v>
      </c>
      <c r="G761" s="821">
        <f t="shared" ref="G761:G792" si="86">H113/O501*10^6</f>
        <v>-1.2209772673487449E-2</v>
      </c>
      <c r="H761" s="825">
        <f t="shared" ref="H761:H792" si="87">-I113/N501*10^6</f>
        <v>1.2022103540127374E-2</v>
      </c>
      <c r="I761" s="826">
        <f t="shared" ref="I761:I792" si="88">I113/O501*10^6</f>
        <v>-1.1709372154082225E-2</v>
      </c>
      <c r="J761" s="827">
        <f t="shared" ref="J761:J792" si="89">-J113/L501*10^6</f>
        <v>-2.5080316361422863E-4</v>
      </c>
      <c r="K761" s="527">
        <f t="shared" ref="K761:K792" si="90">J113/M501*10^6</f>
        <v>2.8500534428169502E-4</v>
      </c>
      <c r="L761" s="527">
        <f t="shared" ref="L761:L792" si="91">-K113/L501*10^6</f>
        <v>1.1884725913132916</v>
      </c>
      <c r="M761" s="824">
        <f t="shared" ref="M761:M792" si="92">K113/M501*10^6</f>
        <v>-1.3505453247695254</v>
      </c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  <c r="AT761" s="143"/>
    </row>
    <row r="762" spans="1:46" ht="15" customHeight="1">
      <c r="A762" s="519" t="str">
        <f>+input!B68</f>
        <v>202j</v>
      </c>
      <c r="B762" s="825">
        <f t="shared" si="81"/>
        <v>-41.356055577065824</v>
      </c>
      <c r="C762" s="826">
        <f t="shared" si="82"/>
        <v>36.960130230637496</v>
      </c>
      <c r="D762" s="825">
        <f t="shared" si="83"/>
        <v>-41.356055577065824</v>
      </c>
      <c r="E762" s="527">
        <f t="shared" si="84"/>
        <v>36.960130230637496</v>
      </c>
      <c r="F762" s="825">
        <f t="shared" si="85"/>
        <v>-8.620773015466721</v>
      </c>
      <c r="G762" s="821">
        <f t="shared" si="86"/>
        <v>8.396520555411886</v>
      </c>
      <c r="H762" s="825">
        <f t="shared" si="87"/>
        <v>-7.5738224772585356</v>
      </c>
      <c r="I762" s="826">
        <f t="shared" si="88"/>
        <v>7.3768043769679217</v>
      </c>
      <c r="J762" s="827">
        <f t="shared" si="89"/>
        <v>-25.522816743092903</v>
      </c>
      <c r="K762" s="527">
        <f t="shared" si="90"/>
        <v>29.003378857263836</v>
      </c>
      <c r="L762" s="527">
        <f t="shared" si="91"/>
        <v>1.9451457359374191</v>
      </c>
      <c r="M762" s="824">
        <f t="shared" si="92"/>
        <v>-2.2104064484673986</v>
      </c>
      <c r="W762" s="507" t="s">
        <v>1918</v>
      </c>
      <c r="X762" s="73"/>
      <c r="Y762" s="73"/>
      <c r="Z762" s="76" t="s">
        <v>1593</v>
      </c>
      <c r="AA762" s="73"/>
      <c r="AB762" s="73"/>
      <c r="AC762" s="73"/>
      <c r="AD762" s="73"/>
      <c r="AE762" s="73"/>
      <c r="AF762" s="73"/>
      <c r="AG762" s="7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  <c r="AT762" s="143"/>
    </row>
    <row r="763" spans="1:46" ht="15" customHeight="1">
      <c r="A763" s="519" t="str">
        <f>+input!B69</f>
        <v>203i</v>
      </c>
      <c r="B763" s="825">
        <f t="shared" si="81"/>
        <v>-30.09114835314762</v>
      </c>
      <c r="C763" s="826">
        <f t="shared" si="82"/>
        <v>25.992330947608622</v>
      </c>
      <c r="D763" s="825">
        <f t="shared" si="83"/>
        <v>-30.09114835314762</v>
      </c>
      <c r="E763" s="527">
        <f t="shared" si="84"/>
        <v>25.992330947608622</v>
      </c>
      <c r="F763" s="825">
        <f t="shared" si="85"/>
        <v>-6.4260194750218966</v>
      </c>
      <c r="G763" s="821">
        <f t="shared" si="86"/>
        <v>5.9624707505267853</v>
      </c>
      <c r="H763" s="825">
        <f t="shared" si="87"/>
        <v>-5.6456782660213003</v>
      </c>
      <c r="I763" s="826">
        <f t="shared" si="88"/>
        <v>5.2384204030010464</v>
      </c>
      <c r="J763" s="827">
        <f t="shared" si="89"/>
        <v>-19.741536814021579</v>
      </c>
      <c r="K763" s="527">
        <f t="shared" si="90"/>
        <v>20.867552824346465</v>
      </c>
      <c r="L763" s="527">
        <f t="shared" si="91"/>
        <v>1.5045426428114634</v>
      </c>
      <c r="M763" s="824">
        <f t="shared" si="92"/>
        <v>-1.590358611445625</v>
      </c>
      <c r="W763" s="73"/>
      <c r="X763" s="73"/>
      <c r="Y763" s="73"/>
      <c r="Z763" s="73" t="s">
        <v>1594</v>
      </c>
      <c r="AA763" s="73"/>
      <c r="AB763" s="73"/>
      <c r="AC763" s="73"/>
      <c r="AD763" s="73"/>
      <c r="AE763" s="73"/>
      <c r="AF763" s="73"/>
      <c r="AG763" s="7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  <c r="AT763" s="143"/>
    </row>
    <row r="764" spans="1:46" ht="15" customHeight="1">
      <c r="A764" s="519" t="str">
        <f>+input!B70</f>
        <v>203j</v>
      </c>
      <c r="B764" s="825">
        <f t="shared" si="81"/>
        <v>-67.723231104428407</v>
      </c>
      <c r="C764" s="826">
        <f t="shared" si="82"/>
        <v>58.498420035324244</v>
      </c>
      <c r="D764" s="825">
        <f t="shared" si="83"/>
        <v>-67.723231104428407</v>
      </c>
      <c r="E764" s="527">
        <f t="shared" si="84"/>
        <v>58.498420035324244</v>
      </c>
      <c r="F764" s="825">
        <f t="shared" si="85"/>
        <v>-14.687005022288325</v>
      </c>
      <c r="G764" s="821">
        <f t="shared" si="86"/>
        <v>13.62754006560737</v>
      </c>
      <c r="H764" s="825">
        <f t="shared" si="87"/>
        <v>-12.845911417974689</v>
      </c>
      <c r="I764" s="826">
        <f t="shared" si="88"/>
        <v>11.919255985957177</v>
      </c>
      <c r="J764" s="827">
        <f t="shared" si="89"/>
        <v>-44.04791562675333</v>
      </c>
      <c r="K764" s="527">
        <f t="shared" si="90"/>
        <v>46.560316696863346</v>
      </c>
      <c r="L764" s="527">
        <f t="shared" si="91"/>
        <v>2.7590287076476003</v>
      </c>
      <c r="M764" s="824">
        <f t="shared" si="92"/>
        <v>-2.9163979401964366</v>
      </c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J764" s="143"/>
      <c r="AK764" s="143"/>
      <c r="AL764" s="143"/>
      <c r="AM764" s="143"/>
      <c r="AN764" s="143"/>
      <c r="AO764" s="143"/>
      <c r="AP764" s="143"/>
      <c r="AQ764" s="143"/>
      <c r="AR764" s="143"/>
      <c r="AS764" s="143"/>
      <c r="AT764" s="143"/>
    </row>
    <row r="765" spans="1:46" ht="15" customHeight="1">
      <c r="A765" s="519" t="str">
        <f>+input!B71</f>
        <v>204i</v>
      </c>
      <c r="B765" s="825">
        <f t="shared" si="81"/>
        <v>-67.723484028607444</v>
      </c>
      <c r="C765" s="826">
        <f t="shared" si="82"/>
        <v>58.498638507842777</v>
      </c>
      <c r="D765" s="825">
        <f t="shared" si="83"/>
        <v>-67.723484028607444</v>
      </c>
      <c r="E765" s="527">
        <f t="shared" si="84"/>
        <v>58.498638507842777</v>
      </c>
      <c r="F765" s="825">
        <f t="shared" si="85"/>
        <v>-14.68708161643919</v>
      </c>
      <c r="G765" s="821">
        <f t="shared" si="86"/>
        <v>13.627611134546074</v>
      </c>
      <c r="H765" s="825">
        <f t="shared" si="87"/>
        <v>-12.845988012125552</v>
      </c>
      <c r="I765" s="826">
        <f t="shared" si="88"/>
        <v>11.919327054895883</v>
      </c>
      <c r="J765" s="827">
        <f t="shared" si="89"/>
        <v>-44.047980290983482</v>
      </c>
      <c r="K765" s="527">
        <f t="shared" si="90"/>
        <v>46.560385049406065</v>
      </c>
      <c r="L765" s="527">
        <f t="shared" si="91"/>
        <v>2.7590287076476003</v>
      </c>
      <c r="M765" s="824">
        <f t="shared" si="92"/>
        <v>-2.9163979401964366</v>
      </c>
      <c r="W765" s="507" t="s">
        <v>1919</v>
      </c>
      <c r="X765" s="73"/>
      <c r="Y765" s="73"/>
      <c r="Z765" s="76" t="s">
        <v>1595</v>
      </c>
      <c r="AA765" s="73"/>
      <c r="AB765" s="73"/>
      <c r="AC765" s="73"/>
      <c r="AD765" s="73"/>
      <c r="AE765" s="73"/>
      <c r="AF765" s="73"/>
      <c r="AG765" s="73"/>
      <c r="AJ765" s="143"/>
      <c r="AK765" s="143"/>
      <c r="AL765" s="143"/>
      <c r="AM765" s="143"/>
      <c r="AN765" s="143"/>
      <c r="AO765" s="143"/>
      <c r="AP765" s="143"/>
      <c r="AQ765" s="143"/>
      <c r="AR765" s="143"/>
      <c r="AS765" s="143"/>
      <c r="AT765" s="143"/>
    </row>
    <row r="766" spans="1:46" ht="15" customHeight="1">
      <c r="A766" s="519" t="str">
        <f>+input!B72</f>
        <v>204j</v>
      </c>
      <c r="B766" s="825">
        <f t="shared" si="81"/>
        <v>-109.08476518374114</v>
      </c>
      <c r="C766" s="826">
        <f t="shared" si="82"/>
        <v>94.22595923300436</v>
      </c>
      <c r="D766" s="825">
        <f t="shared" si="83"/>
        <v>-109.08476518374114</v>
      </c>
      <c r="E766" s="527">
        <f t="shared" si="84"/>
        <v>94.22595923300436</v>
      </c>
      <c r="F766" s="825">
        <f t="shared" si="85"/>
        <v>-23.696621800097731</v>
      </c>
      <c r="G766" s="821">
        <f t="shared" si="86"/>
        <v>21.987237187589855</v>
      </c>
      <c r="H766" s="825">
        <f t="shared" si="87"/>
        <v>-20.807490429514445</v>
      </c>
      <c r="I766" s="826">
        <f t="shared" si="88"/>
        <v>19.306516819640226</v>
      </c>
      <c r="J766" s="827">
        <f t="shared" si="89"/>
        <v>-70.583141124164058</v>
      </c>
      <c r="K766" s="527">
        <f t="shared" si="90"/>
        <v>74.609056011822645</v>
      </c>
      <c r="L766" s="527">
        <f t="shared" si="91"/>
        <v>4.9096963380798195</v>
      </c>
      <c r="M766" s="824">
        <f t="shared" si="92"/>
        <v>-5.1897351584914491</v>
      </c>
      <c r="W766" s="73"/>
      <c r="X766" s="73"/>
      <c r="Y766" s="73"/>
      <c r="Z766" s="73" t="s">
        <v>1596</v>
      </c>
      <c r="AA766" s="73"/>
      <c r="AB766" s="73"/>
      <c r="AC766" s="73"/>
      <c r="AD766" s="73"/>
      <c r="AE766" s="73"/>
      <c r="AF766" s="73"/>
      <c r="AG766" s="73"/>
      <c r="AJ766" s="143"/>
      <c r="AK766" s="143"/>
      <c r="AL766" s="143"/>
      <c r="AM766" s="143"/>
      <c r="AN766" s="143"/>
      <c r="AO766" s="143"/>
      <c r="AP766" s="143"/>
      <c r="AQ766" s="143"/>
      <c r="AR766" s="143"/>
      <c r="AS766" s="143"/>
      <c r="AT766" s="143"/>
    </row>
    <row r="767" spans="1:46" ht="15" customHeight="1">
      <c r="A767" s="519" t="str">
        <f>+input!B73</f>
        <v>205i</v>
      </c>
      <c r="B767" s="825">
        <f t="shared" si="81"/>
        <v>-87.971028826318545</v>
      </c>
      <c r="C767" s="826">
        <f t="shared" si="82"/>
        <v>60.658477046093871</v>
      </c>
      <c r="D767" s="825">
        <f t="shared" si="83"/>
        <v>-87.971028826318545</v>
      </c>
      <c r="E767" s="527">
        <f t="shared" si="84"/>
        <v>60.658477046093871</v>
      </c>
      <c r="F767" s="825">
        <f t="shared" si="85"/>
        <v>-19.397132595072975</v>
      </c>
      <c r="G767" s="821">
        <f t="shared" si="86"/>
        <v>14.241369815822104</v>
      </c>
      <c r="H767" s="825">
        <f t="shared" si="87"/>
        <v>-17.032076674175492</v>
      </c>
      <c r="I767" s="826">
        <f t="shared" si="88"/>
        <v>12.50494636047303</v>
      </c>
      <c r="J767" s="827">
        <f t="shared" si="89"/>
        <v>-59.172866367639564</v>
      </c>
      <c r="K767" s="527">
        <f t="shared" si="90"/>
        <v>48.758963035249643</v>
      </c>
      <c r="L767" s="527">
        <f t="shared" si="91"/>
        <v>4.1160084503440588</v>
      </c>
      <c r="M767" s="824">
        <f t="shared" si="92"/>
        <v>-3.3916272136658852</v>
      </c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J767" s="143"/>
      <c r="AK767" s="143"/>
      <c r="AL767" s="143"/>
      <c r="AM767" s="143"/>
      <c r="AN767" s="143"/>
      <c r="AO767" s="143"/>
      <c r="AP767" s="143"/>
      <c r="AQ767" s="143"/>
      <c r="AR767" s="143"/>
      <c r="AS767" s="143"/>
      <c r="AT767" s="143"/>
    </row>
    <row r="768" spans="1:46" ht="15" customHeight="1">
      <c r="A768" s="519" t="str">
        <f>+input!B74</f>
        <v>205j</v>
      </c>
      <c r="B768" s="825">
        <f t="shared" si="81"/>
        <v>-115.24219258172319</v>
      </c>
      <c r="C768" s="826">
        <f t="shared" si="82"/>
        <v>79.462704787290647</v>
      </c>
      <c r="D768" s="825">
        <f t="shared" si="83"/>
        <v>-115.24219258172319</v>
      </c>
      <c r="E768" s="527">
        <f t="shared" si="84"/>
        <v>79.462704787290647</v>
      </c>
      <c r="F768" s="825">
        <f t="shared" si="85"/>
        <v>-25.510402770755842</v>
      </c>
      <c r="G768" s="821">
        <f t="shared" si="86"/>
        <v>18.729731223324663</v>
      </c>
      <c r="H768" s="825">
        <f t="shared" si="87"/>
        <v>-22.339188930583138</v>
      </c>
      <c r="I768" s="826">
        <f t="shared" si="88"/>
        <v>16.401426828765622</v>
      </c>
      <c r="J768" s="827">
        <f t="shared" si="89"/>
        <v>-77.023124283070914</v>
      </c>
      <c r="K768" s="527">
        <f t="shared" si="90"/>
        <v>63.467732768672107</v>
      </c>
      <c r="L768" s="527">
        <f t="shared" si="91"/>
        <v>5.9195472267117921</v>
      </c>
      <c r="M768" s="824">
        <f t="shared" si="92"/>
        <v>-4.8777590495514884</v>
      </c>
      <c r="W768" s="507" t="s">
        <v>1920</v>
      </c>
      <c r="X768" s="73"/>
      <c r="Y768" s="73"/>
      <c r="Z768" s="76" t="s">
        <v>1597</v>
      </c>
      <c r="AA768" s="73"/>
      <c r="AB768" s="73"/>
      <c r="AC768" s="73"/>
      <c r="AD768" s="73"/>
      <c r="AE768" s="73"/>
      <c r="AF768" s="73"/>
      <c r="AG768" s="73"/>
      <c r="AJ768" s="143"/>
      <c r="AK768" s="143"/>
      <c r="AL768" s="143"/>
      <c r="AM768" s="143"/>
      <c r="AN768" s="143"/>
      <c r="AO768" s="143"/>
      <c r="AP768" s="143"/>
      <c r="AQ768" s="143"/>
      <c r="AR768" s="143"/>
      <c r="AS768" s="143"/>
      <c r="AT768" s="143"/>
    </row>
    <row r="769" spans="1:46" ht="15" customHeight="1">
      <c r="A769" s="519" t="str">
        <f>+input!B75</f>
        <v>206i</v>
      </c>
      <c r="B769" s="825">
        <f t="shared" si="81"/>
        <v>-115.24185263044176</v>
      </c>
      <c r="C769" s="826">
        <f t="shared" si="82"/>
        <v>79.462470381404103</v>
      </c>
      <c r="D769" s="825">
        <f t="shared" si="83"/>
        <v>-115.24185263044176</v>
      </c>
      <c r="E769" s="527">
        <f t="shared" si="84"/>
        <v>79.462470381404103</v>
      </c>
      <c r="F769" s="825">
        <f t="shared" si="85"/>
        <v>-25.510340073764144</v>
      </c>
      <c r="G769" s="821">
        <f t="shared" si="86"/>
        <v>18.72968519120931</v>
      </c>
      <c r="H769" s="825">
        <f t="shared" si="87"/>
        <v>-22.339251627574839</v>
      </c>
      <c r="I769" s="826">
        <f t="shared" si="88"/>
        <v>16.401472860880972</v>
      </c>
      <c r="J769" s="827">
        <f t="shared" si="89"/>
        <v>-77.023124283070914</v>
      </c>
      <c r="K769" s="527">
        <f t="shared" si="90"/>
        <v>63.467732768672107</v>
      </c>
      <c r="L769" s="527">
        <f t="shared" si="91"/>
        <v>5.9195472267117921</v>
      </c>
      <c r="M769" s="824">
        <f t="shared" si="92"/>
        <v>-4.8777590495514884</v>
      </c>
      <c r="W769" s="73"/>
      <c r="X769" s="73"/>
      <c r="Y769" s="73"/>
      <c r="Z769" s="73" t="s">
        <v>1598</v>
      </c>
      <c r="AA769" s="73"/>
      <c r="AB769" s="73"/>
      <c r="AC769" s="73"/>
      <c r="AD769" s="73"/>
      <c r="AE769" s="73"/>
      <c r="AF769" s="73"/>
      <c r="AG769" s="73"/>
      <c r="AJ769" s="143"/>
      <c r="AK769" s="143"/>
      <c r="AL769" s="143"/>
      <c r="AM769" s="143"/>
      <c r="AN769" s="143"/>
      <c r="AO769" s="143"/>
      <c r="AP769" s="143"/>
      <c r="AQ769" s="143"/>
      <c r="AR769" s="143"/>
      <c r="AS769" s="143"/>
      <c r="AT769" s="143"/>
    </row>
    <row r="770" spans="1:46" ht="15" customHeight="1">
      <c r="A770" s="519" t="str">
        <f>+input!B76</f>
        <v>206j</v>
      </c>
      <c r="B770" s="825">
        <f t="shared" si="81"/>
        <v>-133.65973315444938</v>
      </c>
      <c r="C770" s="826">
        <f t="shared" si="82"/>
        <v>92.16211250118549</v>
      </c>
      <c r="D770" s="825">
        <f t="shared" si="83"/>
        <v>-133.65973315444938</v>
      </c>
      <c r="E770" s="527">
        <f t="shared" si="84"/>
        <v>92.16211250118549</v>
      </c>
      <c r="F770" s="825">
        <f t="shared" si="85"/>
        <v>-29.591412657483431</v>
      </c>
      <c r="G770" s="821">
        <f t="shared" si="86"/>
        <v>21.726007643772324</v>
      </c>
      <c r="H770" s="825">
        <f t="shared" si="87"/>
        <v>-25.968968568047718</v>
      </c>
      <c r="I770" s="826">
        <f t="shared" si="88"/>
        <v>19.066410115017124</v>
      </c>
      <c r="J770" s="827">
        <f t="shared" si="89"/>
        <v>-89.131971628111501</v>
      </c>
      <c r="K770" s="527">
        <f t="shared" si="90"/>
        <v>73.445529626239932</v>
      </c>
      <c r="L770" s="527">
        <f t="shared" si="91"/>
        <v>7.7240075865114965</v>
      </c>
      <c r="M770" s="824">
        <f t="shared" si="92"/>
        <v>-6.364650278301621</v>
      </c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J770" s="143"/>
      <c r="AK770" s="143"/>
      <c r="AL770" s="143"/>
      <c r="AM770" s="143"/>
      <c r="AN770" s="143"/>
      <c r="AO770" s="143"/>
      <c r="AP770" s="143"/>
      <c r="AQ770" s="143"/>
      <c r="AR770" s="143"/>
      <c r="AS770" s="143"/>
      <c r="AT770" s="143"/>
    </row>
    <row r="771" spans="1:46" ht="15" customHeight="1">
      <c r="A771" s="519" t="str">
        <f>+input!B77</f>
        <v>207i</v>
      </c>
      <c r="B771" s="825">
        <f t="shared" si="81"/>
        <v>-112.55219884450628</v>
      </c>
      <c r="C771" s="826">
        <f t="shared" si="82"/>
        <v>79.72305399767771</v>
      </c>
      <c r="D771" s="825">
        <f t="shared" si="83"/>
        <v>-112.55219884450628</v>
      </c>
      <c r="E771" s="527">
        <f t="shared" si="84"/>
        <v>79.72305399767771</v>
      </c>
      <c r="F771" s="825">
        <f t="shared" si="85"/>
        <v>-25.209417744870443</v>
      </c>
      <c r="G771" s="821">
        <f t="shared" si="86"/>
        <v>18.870081595589269</v>
      </c>
      <c r="H771" s="825">
        <f t="shared" si="87"/>
        <v>-22.123450649944576</v>
      </c>
      <c r="I771" s="826">
        <f t="shared" si="88"/>
        <v>16.560133326577638</v>
      </c>
      <c r="J771" s="827">
        <f t="shared" si="89"/>
        <v>-77.388192947486473</v>
      </c>
      <c r="K771" s="527">
        <f t="shared" si="90"/>
        <v>64.180147560892479</v>
      </c>
      <c r="L771" s="527">
        <f t="shared" si="91"/>
        <v>6.7063140028675905</v>
      </c>
      <c r="M771" s="824">
        <f t="shared" si="92"/>
        <v>-5.5617298440575746</v>
      </c>
      <c r="W771" s="507" t="s">
        <v>1921</v>
      </c>
      <c r="X771" s="73"/>
      <c r="Y771" s="73"/>
      <c r="Z771" s="76" t="s">
        <v>1599</v>
      </c>
      <c r="AA771" s="73"/>
      <c r="AB771" s="73"/>
      <c r="AC771" s="73"/>
      <c r="AD771" s="73"/>
      <c r="AE771" s="73"/>
      <c r="AF771" s="73"/>
      <c r="AG771" s="73"/>
      <c r="AJ771" s="143"/>
      <c r="AK771" s="143"/>
      <c r="AL771" s="143"/>
      <c r="AM771" s="143"/>
      <c r="AN771" s="143"/>
      <c r="AO771" s="143"/>
      <c r="AP771" s="143"/>
      <c r="AQ771" s="143"/>
      <c r="AR771" s="143"/>
      <c r="AS771" s="143"/>
      <c r="AT771" s="143"/>
    </row>
    <row r="772" spans="1:46" ht="15" customHeight="1">
      <c r="A772" s="519" t="str">
        <f>+input!B78</f>
        <v>207j</v>
      </c>
      <c r="B772" s="825">
        <f t="shared" si="81"/>
        <v>-122.93705673816697</v>
      </c>
      <c r="C772" s="826">
        <f t="shared" si="82"/>
        <v>87.078863969531781</v>
      </c>
      <c r="D772" s="825">
        <f t="shared" si="83"/>
        <v>-122.93705673816697</v>
      </c>
      <c r="E772" s="527">
        <f t="shared" si="84"/>
        <v>87.078863969531781</v>
      </c>
      <c r="F772" s="825">
        <f t="shared" si="85"/>
        <v>-27.611222687364407</v>
      </c>
      <c r="G772" s="821">
        <f t="shared" si="86"/>
        <v>20.667911902509896</v>
      </c>
      <c r="H772" s="825">
        <f t="shared" si="87"/>
        <v>-24.18539113963784</v>
      </c>
      <c r="I772" s="826">
        <f t="shared" si="88"/>
        <v>18.103563868271856</v>
      </c>
      <c r="J772" s="827">
        <f t="shared" si="89"/>
        <v>-85.037234494120838</v>
      </c>
      <c r="K772" s="527">
        <f t="shared" si="90"/>
        <v>70.523707172053236</v>
      </c>
      <c r="L772" s="527">
        <f t="shared" si="91"/>
        <v>8.2796132628380565</v>
      </c>
      <c r="M772" s="824">
        <f t="shared" si="92"/>
        <v>-6.8665100025872627</v>
      </c>
      <c r="W772" s="73"/>
      <c r="X772" s="73"/>
      <c r="Y772" s="73"/>
      <c r="Z772" s="73" t="s">
        <v>1600</v>
      </c>
      <c r="AA772" s="73"/>
      <c r="AB772" s="73"/>
      <c r="AC772" s="73"/>
      <c r="AD772" s="73"/>
      <c r="AE772" s="73"/>
      <c r="AF772" s="73"/>
      <c r="AG772" s="73"/>
      <c r="AJ772" s="143"/>
      <c r="AK772" s="143"/>
      <c r="AL772" s="143"/>
      <c r="AM772" s="143"/>
      <c r="AN772" s="143"/>
      <c r="AO772" s="143"/>
      <c r="AP772" s="143"/>
      <c r="AQ772" s="143"/>
      <c r="AR772" s="143"/>
      <c r="AS772" s="143"/>
      <c r="AT772" s="143"/>
    </row>
    <row r="773" spans="1:46" ht="15" customHeight="1">
      <c r="A773" s="519" t="str">
        <f>+input!B79</f>
        <v>208i</v>
      </c>
      <c r="B773" s="825">
        <f t="shared" si="81"/>
        <v>-122.93688497879504</v>
      </c>
      <c r="C773" s="826">
        <f t="shared" si="82"/>
        <v>87.078742308810575</v>
      </c>
      <c r="D773" s="825">
        <f t="shared" si="83"/>
        <v>-122.93688497879504</v>
      </c>
      <c r="E773" s="527">
        <f t="shared" si="84"/>
        <v>87.078742308810575</v>
      </c>
      <c r="F773" s="825">
        <f t="shared" si="85"/>
        <v>-27.611222687364407</v>
      </c>
      <c r="G773" s="821">
        <f t="shared" si="86"/>
        <v>20.667911902509896</v>
      </c>
      <c r="H773" s="825">
        <f t="shared" si="87"/>
        <v>-24.185284314413014</v>
      </c>
      <c r="I773" s="826">
        <f t="shared" si="88"/>
        <v>18.103483906063708</v>
      </c>
      <c r="J773" s="827">
        <f t="shared" si="89"/>
        <v>-85.037234494120838</v>
      </c>
      <c r="K773" s="527">
        <f t="shared" si="90"/>
        <v>70.523707172053236</v>
      </c>
      <c r="L773" s="527">
        <f t="shared" si="91"/>
        <v>8.2796132628380565</v>
      </c>
      <c r="M773" s="824">
        <f t="shared" si="92"/>
        <v>-6.8665100025872627</v>
      </c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J773" s="143"/>
      <c r="AK773" s="143"/>
      <c r="AL773" s="143"/>
      <c r="AM773" s="143"/>
      <c r="AN773" s="143"/>
      <c r="AO773" s="143"/>
      <c r="AP773" s="143"/>
      <c r="AQ773" s="143"/>
      <c r="AR773" s="143"/>
      <c r="AS773" s="143"/>
      <c r="AT773" s="143"/>
    </row>
    <row r="774" spans="1:46" ht="15" customHeight="1">
      <c r="A774" s="519" t="str">
        <f>+input!B80</f>
        <v>208j</v>
      </c>
      <c r="B774" s="825">
        <f t="shared" si="81"/>
        <v>-125.73444437597752</v>
      </c>
      <c r="C774" s="826">
        <f t="shared" si="82"/>
        <v>89.06031158220533</v>
      </c>
      <c r="D774" s="825">
        <f t="shared" si="83"/>
        <v>-125.73444437597752</v>
      </c>
      <c r="E774" s="527">
        <f t="shared" si="84"/>
        <v>89.06031158220533</v>
      </c>
      <c r="F774" s="825">
        <f t="shared" si="85"/>
        <v>-28.263283859734511</v>
      </c>
      <c r="G774" s="821">
        <f t="shared" si="86"/>
        <v>21.156001221052094</v>
      </c>
      <c r="H774" s="825">
        <f t="shared" si="87"/>
        <v>-24.807915137342093</v>
      </c>
      <c r="I774" s="826">
        <f t="shared" si="88"/>
        <v>18.569543636260821</v>
      </c>
      <c r="J774" s="827">
        <f t="shared" si="89"/>
        <v>-87.711080732390514</v>
      </c>
      <c r="K774" s="527">
        <f t="shared" si="90"/>
        <v>72.741201076371851</v>
      </c>
      <c r="L774" s="527">
        <f t="shared" si="91"/>
        <v>9.8543716347889916</v>
      </c>
      <c r="M774" s="824">
        <f t="shared" si="92"/>
        <v>-8.1725002426377547</v>
      </c>
      <c r="W774" s="507" t="s">
        <v>1922</v>
      </c>
      <c r="X774" s="73"/>
      <c r="Y774" s="73"/>
      <c r="Z774" s="76" t="s">
        <v>1601</v>
      </c>
      <c r="AA774" s="73"/>
      <c r="AB774" s="73"/>
      <c r="AC774" s="73"/>
      <c r="AD774" s="73"/>
      <c r="AE774" s="73"/>
      <c r="AF774" s="73"/>
      <c r="AG774" s="73"/>
      <c r="AJ774" s="143"/>
      <c r="AK774" s="143"/>
      <c r="AL774" s="143"/>
      <c r="AM774" s="143"/>
      <c r="AN774" s="143"/>
      <c r="AO774" s="143"/>
      <c r="AP774" s="143"/>
      <c r="AQ774" s="143"/>
      <c r="AR774" s="143"/>
      <c r="AS774" s="143"/>
      <c r="AT774" s="143"/>
    </row>
    <row r="775" spans="1:46" ht="15" customHeight="1">
      <c r="A775" s="519" t="str">
        <f>+input!B81</f>
        <v>209i</v>
      </c>
      <c r="B775" s="825">
        <f t="shared" si="81"/>
        <v>-125.73427261660555</v>
      </c>
      <c r="C775" s="826">
        <f t="shared" si="82"/>
        <v>89.06018992148411</v>
      </c>
      <c r="D775" s="825">
        <f t="shared" si="83"/>
        <v>-125.73427261660555</v>
      </c>
      <c r="E775" s="527">
        <f t="shared" si="84"/>
        <v>89.06018992148411</v>
      </c>
      <c r="F775" s="825">
        <f t="shared" si="85"/>
        <v>-28.263230447122091</v>
      </c>
      <c r="G775" s="821">
        <f t="shared" si="86"/>
        <v>21.15596123994802</v>
      </c>
      <c r="H775" s="825">
        <f t="shared" si="87"/>
        <v>-24.807915137342093</v>
      </c>
      <c r="I775" s="826">
        <f t="shared" si="88"/>
        <v>18.569543636260821</v>
      </c>
      <c r="J775" s="827">
        <f t="shared" si="89"/>
        <v>-87.711080732390514</v>
      </c>
      <c r="K775" s="527">
        <f t="shared" si="90"/>
        <v>72.741201076371851</v>
      </c>
      <c r="L775" s="527">
        <f t="shared" si="91"/>
        <v>9.8543716347889916</v>
      </c>
      <c r="M775" s="824">
        <f t="shared" si="92"/>
        <v>-8.1725002426377547</v>
      </c>
      <c r="W775" s="73"/>
      <c r="X775" s="73"/>
      <c r="Y775" s="73"/>
      <c r="Z775" s="73" t="s">
        <v>1602</v>
      </c>
      <c r="AA775" s="73"/>
      <c r="AB775" s="73"/>
      <c r="AC775" s="73"/>
      <c r="AD775" s="73"/>
      <c r="AE775" s="73"/>
      <c r="AF775" s="73"/>
      <c r="AG775" s="73"/>
      <c r="AJ775" s="143"/>
      <c r="AK775" s="143"/>
      <c r="AL775" s="143"/>
      <c r="AM775" s="143"/>
      <c r="AN775" s="143"/>
      <c r="AO775" s="143"/>
      <c r="AP775" s="143"/>
      <c r="AQ775" s="143"/>
      <c r="AR775" s="143"/>
      <c r="AS775" s="143"/>
      <c r="AT775" s="143"/>
    </row>
    <row r="776" spans="1:46" ht="15" customHeight="1">
      <c r="A776" s="519" t="str">
        <f>+input!B82</f>
        <v>209j</v>
      </c>
      <c r="B776" s="825">
        <f t="shared" si="81"/>
        <v>-123.40653235482776</v>
      </c>
      <c r="C776" s="826">
        <f t="shared" si="82"/>
        <v>87.411403274155674</v>
      </c>
      <c r="D776" s="825">
        <f t="shared" si="83"/>
        <v>-123.40653235482776</v>
      </c>
      <c r="E776" s="527">
        <f t="shared" si="84"/>
        <v>87.411403274155674</v>
      </c>
      <c r="F776" s="825">
        <f t="shared" si="85"/>
        <v>-27.840523032464738</v>
      </c>
      <c r="G776" s="821">
        <f t="shared" si="86"/>
        <v>20.839550782301973</v>
      </c>
      <c r="H776" s="825">
        <f t="shared" si="87"/>
        <v>-24.399949603711455</v>
      </c>
      <c r="I776" s="826">
        <f t="shared" si="88"/>
        <v>18.26416796333935</v>
      </c>
      <c r="J776" s="827">
        <f t="shared" si="89"/>
        <v>-87.785213034623908</v>
      </c>
      <c r="K776" s="527">
        <f t="shared" si="90"/>
        <v>72.802681024606287</v>
      </c>
      <c r="L776" s="527">
        <f t="shared" si="91"/>
        <v>11.429130006739927</v>
      </c>
      <c r="M776" s="824">
        <f t="shared" si="92"/>
        <v>-9.4784904826882492</v>
      </c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J776" s="143"/>
      <c r="AK776" s="143"/>
      <c r="AL776" s="143"/>
      <c r="AM776" s="143"/>
      <c r="AN776" s="143"/>
      <c r="AO776" s="143"/>
      <c r="AP776" s="143"/>
      <c r="AQ776" s="143"/>
      <c r="AR776" s="143"/>
      <c r="AS776" s="143"/>
      <c r="AT776" s="143"/>
    </row>
    <row r="777" spans="1:46" ht="15" customHeight="1">
      <c r="A777" s="519" t="str">
        <f>+input!B83</f>
        <v>210i</v>
      </c>
      <c r="B777" s="825">
        <f t="shared" si="81"/>
        <v>-123.40739115168753</v>
      </c>
      <c r="C777" s="826">
        <f t="shared" si="82"/>
        <v>87.412011577761689</v>
      </c>
      <c r="D777" s="825">
        <f t="shared" si="83"/>
        <v>-123.40739115168753</v>
      </c>
      <c r="E777" s="527">
        <f t="shared" si="84"/>
        <v>87.412011577761689</v>
      </c>
      <c r="F777" s="825">
        <f t="shared" si="85"/>
        <v>-27.840576445077151</v>
      </c>
      <c r="G777" s="821">
        <f t="shared" si="86"/>
        <v>20.839590763406047</v>
      </c>
      <c r="H777" s="825">
        <f t="shared" si="87"/>
        <v>-24.399949603711455</v>
      </c>
      <c r="I777" s="826">
        <f t="shared" si="88"/>
        <v>18.26416796333935</v>
      </c>
      <c r="J777" s="827">
        <f t="shared" si="89"/>
        <v>-87.785165966495512</v>
      </c>
      <c r="K777" s="527">
        <f t="shared" si="90"/>
        <v>72.802641989718524</v>
      </c>
      <c r="L777" s="527">
        <f t="shared" si="91"/>
        <v>11.429130006739927</v>
      </c>
      <c r="M777" s="824">
        <f t="shared" si="92"/>
        <v>-9.4784904826882492</v>
      </c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J777" s="143"/>
      <c r="AK777" s="143"/>
      <c r="AL777" s="143"/>
      <c r="AM777" s="143"/>
      <c r="AN777" s="143"/>
      <c r="AO777" s="143"/>
      <c r="AP777" s="143"/>
      <c r="AQ777" s="143"/>
      <c r="AR777" s="143"/>
      <c r="AS777" s="143"/>
      <c r="AT777" s="143"/>
    </row>
    <row r="778" spans="1:46" ht="15" customHeight="1">
      <c r="A778" s="519" t="str">
        <f>+input!B84</f>
        <v>210j</v>
      </c>
      <c r="B778" s="825">
        <f t="shared" si="81"/>
        <v>-114.32000355373009</v>
      </c>
      <c r="C778" s="826">
        <f t="shared" si="82"/>
        <v>80.975226693881581</v>
      </c>
      <c r="D778" s="825">
        <f t="shared" si="83"/>
        <v>-114.32000355373009</v>
      </c>
      <c r="E778" s="527">
        <f t="shared" si="84"/>
        <v>80.975226693881581</v>
      </c>
      <c r="F778" s="825">
        <f t="shared" si="85"/>
        <v>-25.881882535183315</v>
      </c>
      <c r="G778" s="821">
        <f t="shared" si="86"/>
        <v>19.37344369588795</v>
      </c>
      <c r="H778" s="825">
        <f t="shared" si="87"/>
        <v>-22.682093163199728</v>
      </c>
      <c r="I778" s="826">
        <f t="shared" si="88"/>
        <v>16.978295694093433</v>
      </c>
      <c r="J778" s="827">
        <f t="shared" si="89"/>
        <v>-83.917060106277916</v>
      </c>
      <c r="K778" s="527">
        <f t="shared" si="90"/>
        <v>69.59471587806506</v>
      </c>
      <c r="L778" s="527">
        <f t="shared" si="91"/>
        <v>13.000828950344721</v>
      </c>
      <c r="M778" s="824">
        <f t="shared" si="92"/>
        <v>-10.781943455033829</v>
      </c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J778" s="143"/>
      <c r="AK778" s="143"/>
      <c r="AL778" s="143"/>
      <c r="AM778" s="143"/>
      <c r="AN778" s="143"/>
      <c r="AO778" s="143"/>
      <c r="AP778" s="143"/>
      <c r="AQ778" s="143"/>
      <c r="AR778" s="143"/>
      <c r="AS778" s="143"/>
      <c r="AT778" s="143"/>
    </row>
    <row r="779" spans="1:46" ht="15" customHeight="1">
      <c r="A779" s="519" t="str">
        <f>+input!B85</f>
        <v>211i</v>
      </c>
      <c r="B779" s="825">
        <f t="shared" si="81"/>
        <v>-114.32091960371382</v>
      </c>
      <c r="C779" s="826">
        <f t="shared" si="82"/>
        <v>80.975875551061335</v>
      </c>
      <c r="D779" s="825">
        <f t="shared" si="83"/>
        <v>-114.32091960371382</v>
      </c>
      <c r="E779" s="527">
        <f t="shared" si="84"/>
        <v>80.975875551061335</v>
      </c>
      <c r="F779" s="825">
        <f t="shared" si="85"/>
        <v>-25.881829122570903</v>
      </c>
      <c r="G779" s="821">
        <f t="shared" si="86"/>
        <v>19.373403714783876</v>
      </c>
      <c r="H779" s="825">
        <f t="shared" si="87"/>
        <v>-22.682199988424561</v>
      </c>
      <c r="I779" s="826">
        <f t="shared" si="88"/>
        <v>16.978375656301584</v>
      </c>
      <c r="J779" s="827">
        <f t="shared" si="89"/>
        <v>-83.917060106277916</v>
      </c>
      <c r="K779" s="527">
        <f t="shared" si="90"/>
        <v>69.59471587806506</v>
      </c>
      <c r="L779" s="527">
        <f t="shared" si="91"/>
        <v>13.000828950344721</v>
      </c>
      <c r="M779" s="824">
        <f t="shared" si="92"/>
        <v>-10.781943455033829</v>
      </c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J779" s="143"/>
      <c r="AK779" s="143"/>
      <c r="AL779" s="143"/>
      <c r="AM779" s="143"/>
      <c r="AN779" s="143"/>
      <c r="AO779" s="143"/>
      <c r="AP779" s="143"/>
      <c r="AQ779" s="143"/>
      <c r="AR779" s="143"/>
      <c r="AS779" s="143"/>
      <c r="AT779" s="143"/>
    </row>
    <row r="780" spans="1:46" ht="15" customHeight="1">
      <c r="A780" s="519" t="str">
        <f>+input!B86</f>
        <v>211j</v>
      </c>
      <c r="B780" s="825">
        <f t="shared" si="81"/>
        <v>-98.356286752915622</v>
      </c>
      <c r="C780" s="826">
        <f t="shared" si="82"/>
        <v>69.66779539017864</v>
      </c>
      <c r="D780" s="825">
        <f t="shared" si="83"/>
        <v>-98.356286752915622</v>
      </c>
      <c r="E780" s="527">
        <f t="shared" si="84"/>
        <v>69.66779539017864</v>
      </c>
      <c r="F780" s="825">
        <f t="shared" si="85"/>
        <v>-22.383570072408727</v>
      </c>
      <c r="G780" s="821">
        <f t="shared" si="86"/>
        <v>16.754841303420729</v>
      </c>
      <c r="H780" s="825">
        <f t="shared" si="87"/>
        <v>-19.650500107712983</v>
      </c>
      <c r="I780" s="826">
        <f t="shared" si="88"/>
        <v>14.709048189029701</v>
      </c>
      <c r="J780" s="827">
        <f t="shared" si="89"/>
        <v>-76.045292176044555</v>
      </c>
      <c r="K780" s="527">
        <f t="shared" si="90"/>
        <v>63.066443177986628</v>
      </c>
      <c r="L780" s="527">
        <f t="shared" si="91"/>
        <v>14.564102698965529</v>
      </c>
      <c r="M780" s="824">
        <f t="shared" si="92"/>
        <v>-12.078409182468956</v>
      </c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J780" s="143"/>
      <c r="AK780" s="143"/>
      <c r="AL780" s="143"/>
      <c r="AM780" s="143"/>
      <c r="AN780" s="143"/>
      <c r="AO780" s="143"/>
      <c r="AP780" s="143"/>
      <c r="AQ780" s="143"/>
      <c r="AR780" s="143"/>
      <c r="AS780" s="143"/>
      <c r="AT780" s="143"/>
    </row>
    <row r="781" spans="1:46" ht="15" customHeight="1">
      <c r="A781" s="519" t="str">
        <f>+input!B87</f>
        <v>212i</v>
      </c>
      <c r="B781" s="825">
        <f t="shared" si="81"/>
        <v>-121.60310688791833</v>
      </c>
      <c r="C781" s="826">
        <f t="shared" si="82"/>
        <v>84.618728821004183</v>
      </c>
      <c r="D781" s="825">
        <f t="shared" si="83"/>
        <v>-121.60310688791833</v>
      </c>
      <c r="E781" s="527">
        <f t="shared" si="84"/>
        <v>84.618728821004183</v>
      </c>
      <c r="F781" s="825">
        <f t="shared" si="85"/>
        <v>-27.27357036064156</v>
      </c>
      <c r="G781" s="821">
        <f t="shared" si="86"/>
        <v>20.245532150054547</v>
      </c>
      <c r="H781" s="825">
        <f t="shared" si="87"/>
        <v>-23.943725052427904</v>
      </c>
      <c r="I781" s="826">
        <f t="shared" si="88"/>
        <v>17.773743918784557</v>
      </c>
      <c r="J781" s="827">
        <f t="shared" si="89"/>
        <v>-90.485172874675385</v>
      </c>
      <c r="K781" s="527">
        <f t="shared" si="90"/>
        <v>75.621314945866388</v>
      </c>
      <c r="L781" s="527">
        <f t="shared" si="91"/>
        <v>17.329611245751263</v>
      </c>
      <c r="M781" s="824">
        <f t="shared" si="92"/>
        <v>-14.48290309086825</v>
      </c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J781" s="143"/>
      <c r="AK781" s="143"/>
      <c r="AL781" s="143"/>
      <c r="AM781" s="143"/>
      <c r="AN781" s="143"/>
      <c r="AO781" s="143"/>
      <c r="AP781" s="143"/>
      <c r="AQ781" s="143"/>
      <c r="AR781" s="143"/>
      <c r="AS781" s="143"/>
      <c r="AT781" s="143"/>
    </row>
    <row r="782" spans="1:46" ht="15" customHeight="1">
      <c r="A782" s="519" t="str">
        <f>+input!B88</f>
        <v>212j</v>
      </c>
      <c r="B782" s="825">
        <f t="shared" si="81"/>
        <v>-95.530751926401592</v>
      </c>
      <c r="C782" s="826">
        <f t="shared" si="82"/>
        <v>66.476021856723989</v>
      </c>
      <c r="D782" s="825">
        <f t="shared" si="83"/>
        <v>-95.530751926401592</v>
      </c>
      <c r="E782" s="527">
        <f t="shared" si="84"/>
        <v>66.476021856723989</v>
      </c>
      <c r="F782" s="825">
        <f t="shared" si="85"/>
        <v>-21.700615670970397</v>
      </c>
      <c r="G782" s="821">
        <f t="shared" si="86"/>
        <v>16.108654145136061</v>
      </c>
      <c r="H782" s="825">
        <f t="shared" si="87"/>
        <v>-18.993277797145442</v>
      </c>
      <c r="I782" s="826">
        <f t="shared" si="88"/>
        <v>14.09896141914512</v>
      </c>
      <c r="J782" s="827">
        <f t="shared" si="89"/>
        <v>-78.346839432312265</v>
      </c>
      <c r="K782" s="527">
        <f t="shared" si="90"/>
        <v>65.476926567073917</v>
      </c>
      <c r="L782" s="527">
        <f t="shared" si="91"/>
        <v>19.189671643694197</v>
      </c>
      <c r="M782" s="824">
        <f t="shared" si="92"/>
        <v>-16.037414274330263</v>
      </c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J782" s="143"/>
      <c r="AK782" s="143"/>
      <c r="AL782" s="143"/>
      <c r="AM782" s="143"/>
      <c r="AN782" s="143"/>
      <c r="AO782" s="143"/>
      <c r="AP782" s="143"/>
      <c r="AQ782" s="143"/>
      <c r="AR782" s="143"/>
      <c r="AS782" s="143"/>
      <c r="AT782" s="143"/>
    </row>
    <row r="783" spans="1:46" ht="15" customHeight="1">
      <c r="A783" s="519" t="str">
        <f>+input!B89</f>
        <v>213i</v>
      </c>
      <c r="B783" s="825">
        <f t="shared" si="81"/>
        <v>-106.5656819001569</v>
      </c>
      <c r="C783" s="826">
        <f t="shared" si="82"/>
        <v>68.054704606187272</v>
      </c>
      <c r="D783" s="825">
        <f t="shared" si="83"/>
        <v>-106.5656819001569</v>
      </c>
      <c r="E783" s="527">
        <f t="shared" si="84"/>
        <v>68.054704606187272</v>
      </c>
      <c r="F783" s="825">
        <f t="shared" si="85"/>
        <v>-23.979648255314199</v>
      </c>
      <c r="G783" s="821">
        <f t="shared" si="86"/>
        <v>16.430634961273405</v>
      </c>
      <c r="H783" s="825">
        <f t="shared" si="87"/>
        <v>-20.98779269337459</v>
      </c>
      <c r="I783" s="826">
        <f t="shared" si="88"/>
        <v>14.380642981754223</v>
      </c>
      <c r="J783" s="827">
        <f t="shared" si="89"/>
        <v>-85.292602948132625</v>
      </c>
      <c r="K783" s="527">
        <f t="shared" si="90"/>
        <v>66.432538977446583</v>
      </c>
      <c r="L783" s="527">
        <f t="shared" si="91"/>
        <v>20.890928416266306</v>
      </c>
      <c r="M783" s="824">
        <f t="shared" si="92"/>
        <v>-16.271486252244138</v>
      </c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J783" s="143"/>
      <c r="AK783" s="143"/>
      <c r="AL783" s="143"/>
      <c r="AM783" s="143"/>
      <c r="AN783" s="143"/>
      <c r="AO783" s="143"/>
      <c r="AP783" s="143"/>
      <c r="AQ783" s="143"/>
      <c r="AR783" s="143"/>
      <c r="AS783" s="143"/>
      <c r="AT783" s="143"/>
    </row>
    <row r="784" spans="1:46" ht="15" customHeight="1">
      <c r="A784" s="519" t="str">
        <f>+input!B90</f>
        <v>213j</v>
      </c>
      <c r="B784" s="825">
        <f t="shared" si="81"/>
        <v>-67.274764609021702</v>
      </c>
      <c r="C784" s="826">
        <f t="shared" si="82"/>
        <v>42.962838986075248</v>
      </c>
      <c r="D784" s="825">
        <f t="shared" si="83"/>
        <v>-67.274764609021702</v>
      </c>
      <c r="E784" s="527">
        <f t="shared" si="84"/>
        <v>42.962838986075248</v>
      </c>
      <c r="F784" s="825">
        <f t="shared" si="85"/>
        <v>-15.475491915356487</v>
      </c>
      <c r="G784" s="821">
        <f t="shared" si="86"/>
        <v>10.603665066313484</v>
      </c>
      <c r="H784" s="825">
        <f t="shared" si="87"/>
        <v>-13.591216938711623</v>
      </c>
      <c r="I784" s="826">
        <f t="shared" si="88"/>
        <v>9.3125771413247307</v>
      </c>
      <c r="J784" s="827">
        <f t="shared" si="89"/>
        <v>-66.440600562161734</v>
      </c>
      <c r="K784" s="527">
        <f t="shared" si="90"/>
        <v>51.749127520646319</v>
      </c>
      <c r="L784" s="527">
        <f t="shared" si="91"/>
        <v>22.909429213460175</v>
      </c>
      <c r="M784" s="824">
        <f t="shared" si="92"/>
        <v>-17.843652281309197</v>
      </c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J784" s="143"/>
      <c r="AK784" s="143"/>
      <c r="AL784" s="143"/>
      <c r="AM784" s="143"/>
      <c r="AN784" s="143"/>
      <c r="AO784" s="143"/>
      <c r="AP784" s="143"/>
      <c r="AQ784" s="143"/>
      <c r="AR784" s="143"/>
      <c r="AS784" s="143"/>
      <c r="AT784" s="143"/>
    </row>
    <row r="785" spans="1:46" ht="15" customHeight="1">
      <c r="A785" s="519" t="str">
        <f>+input!B91</f>
        <v>214i</v>
      </c>
      <c r="B785" s="825">
        <f t="shared" si="81"/>
        <v>-67.274685647381631</v>
      </c>
      <c r="C785" s="826">
        <f t="shared" si="82"/>
        <v>42.962788559793587</v>
      </c>
      <c r="D785" s="825">
        <f t="shared" si="83"/>
        <v>-67.274685647381631</v>
      </c>
      <c r="E785" s="527">
        <f t="shared" si="84"/>
        <v>42.962788559793587</v>
      </c>
      <c r="F785" s="825">
        <f t="shared" si="85"/>
        <v>-15.475491915356487</v>
      </c>
      <c r="G785" s="821">
        <f t="shared" si="86"/>
        <v>10.603665066313484</v>
      </c>
      <c r="H785" s="825">
        <f t="shared" si="87"/>
        <v>-13.591145022564275</v>
      </c>
      <c r="I785" s="826">
        <f t="shared" si="88"/>
        <v>9.312527865040428</v>
      </c>
      <c r="J785" s="827">
        <f t="shared" si="89"/>
        <v>-66.440600562161734</v>
      </c>
      <c r="K785" s="527">
        <f t="shared" si="90"/>
        <v>51.749127520646319</v>
      </c>
      <c r="L785" s="527">
        <f t="shared" si="91"/>
        <v>22.909429213460175</v>
      </c>
      <c r="M785" s="824">
        <f t="shared" si="92"/>
        <v>-17.843652281309197</v>
      </c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J785" s="143"/>
      <c r="AK785" s="143"/>
      <c r="AL785" s="143"/>
      <c r="AM785" s="143"/>
      <c r="AN785" s="143"/>
      <c r="AO785" s="143"/>
      <c r="AP785" s="143"/>
      <c r="AQ785" s="143"/>
      <c r="AR785" s="143"/>
      <c r="AS785" s="143"/>
      <c r="AT785" s="143"/>
    </row>
    <row r="786" spans="1:46" ht="15" customHeight="1">
      <c r="A786" s="519" t="str">
        <f>+input!B92</f>
        <v>214j</v>
      </c>
      <c r="B786" s="825">
        <f t="shared" si="81"/>
        <v>-20.917964956131996</v>
      </c>
      <c r="C786" s="826">
        <f t="shared" si="82"/>
        <v>13.358577552066921</v>
      </c>
      <c r="D786" s="825">
        <f t="shared" si="83"/>
        <v>-20.917964956131996</v>
      </c>
      <c r="E786" s="527">
        <f t="shared" si="84"/>
        <v>13.358577552066921</v>
      </c>
      <c r="F786" s="825">
        <f t="shared" si="85"/>
        <v>-5.5245265230671334</v>
      </c>
      <c r="G786" s="821">
        <f t="shared" si="86"/>
        <v>3.7853548837720297</v>
      </c>
      <c r="H786" s="825">
        <f t="shared" si="87"/>
        <v>-4.8061561272156164</v>
      </c>
      <c r="I786" s="826">
        <f t="shared" si="88"/>
        <v>3.2931340798823823</v>
      </c>
      <c r="J786" s="827">
        <f t="shared" si="89"/>
        <v>-45.490652367858708</v>
      </c>
      <c r="K786" s="527">
        <f t="shared" si="90"/>
        <v>35.431672056895657</v>
      </c>
      <c r="L786" s="527">
        <f t="shared" si="91"/>
        <v>25.130840983077807</v>
      </c>
      <c r="M786" s="824">
        <f t="shared" si="92"/>
        <v>-19.573861219355365</v>
      </c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J786" s="143"/>
      <c r="AK786" s="143"/>
      <c r="AL786" s="143"/>
      <c r="AM786" s="143"/>
      <c r="AN786" s="143"/>
      <c r="AO786" s="143"/>
      <c r="AP786" s="143"/>
      <c r="AQ786" s="143"/>
      <c r="AR786" s="143"/>
      <c r="AS786" s="143"/>
      <c r="AT786" s="143"/>
    </row>
    <row r="787" spans="1:46" ht="15" customHeight="1">
      <c r="A787" s="519" t="str">
        <f>+input!B93</f>
        <v>215i</v>
      </c>
      <c r="B787" s="825">
        <f t="shared" si="81"/>
        <v>-26.471950804968628</v>
      </c>
      <c r="C787" s="826">
        <f t="shared" si="82"/>
        <v>20.107253660719383</v>
      </c>
      <c r="D787" s="825">
        <f t="shared" si="83"/>
        <v>-26.471950804968628</v>
      </c>
      <c r="E787" s="527">
        <f t="shared" si="84"/>
        <v>20.107253660719383</v>
      </c>
      <c r="F787" s="825">
        <f t="shared" si="85"/>
        <v>-6.8559296081940744</v>
      </c>
      <c r="G787" s="821">
        <f t="shared" si="86"/>
        <v>5.6481542121320212</v>
      </c>
      <c r="H787" s="825">
        <f t="shared" si="87"/>
        <v>-5.9645882515017501</v>
      </c>
      <c r="I787" s="826">
        <f t="shared" si="88"/>
        <v>4.9138360779096155</v>
      </c>
      <c r="J787" s="827">
        <f t="shared" si="89"/>
        <v>-54.781132592191362</v>
      </c>
      <c r="K787" s="527">
        <f t="shared" si="90"/>
        <v>52.231705674521343</v>
      </c>
      <c r="L787" s="527">
        <f t="shared" si="91"/>
        <v>30.263270812532078</v>
      </c>
      <c r="M787" s="824">
        <f t="shared" si="92"/>
        <v>-28.854866247395282</v>
      </c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J787" s="143"/>
      <c r="AK787" s="143"/>
      <c r="AL787" s="143"/>
      <c r="AM787" s="143"/>
      <c r="AN787" s="143"/>
      <c r="AO787" s="143"/>
      <c r="AP787" s="143"/>
      <c r="AQ787" s="143"/>
      <c r="AR787" s="143"/>
      <c r="AS787" s="143"/>
      <c r="AT787" s="143"/>
    </row>
    <row r="788" spans="1:46" ht="15" customHeight="1">
      <c r="A788" s="519" t="str">
        <f>+input!B94</f>
        <v>215j</v>
      </c>
      <c r="B788" s="825">
        <f t="shared" si="81"/>
        <v>45.182945023528582</v>
      </c>
      <c r="C788" s="826">
        <f t="shared" si="82"/>
        <v>-34.3195310168039</v>
      </c>
      <c r="D788" s="825">
        <f t="shared" si="83"/>
        <v>45.182945023528582</v>
      </c>
      <c r="E788" s="527">
        <f t="shared" si="84"/>
        <v>-34.3195310168039</v>
      </c>
      <c r="F788" s="825">
        <f t="shared" si="85"/>
        <v>8.3599733193164383</v>
      </c>
      <c r="G788" s="821">
        <f t="shared" si="86"/>
        <v>-6.8872379407708486</v>
      </c>
      <c r="H788" s="825">
        <f t="shared" si="87"/>
        <v>7.3088741746518231</v>
      </c>
      <c r="I788" s="826">
        <f t="shared" si="88"/>
        <v>-6.0213057622650643</v>
      </c>
      <c r="J788" s="827">
        <f t="shared" si="89"/>
        <v>-30.609679673979144</v>
      </c>
      <c r="K788" s="527">
        <f t="shared" si="90"/>
        <v>29.185153790532496</v>
      </c>
      <c r="L788" s="527">
        <f t="shared" si="91"/>
        <v>39.9315876576675</v>
      </c>
      <c r="M788" s="824">
        <f t="shared" si="92"/>
        <v>-38.073234979974437</v>
      </c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J788" s="143"/>
      <c r="AK788" s="143"/>
      <c r="AL788" s="143"/>
      <c r="AM788" s="143"/>
      <c r="AN788" s="143"/>
      <c r="AO788" s="143"/>
      <c r="AP788" s="143"/>
      <c r="AQ788" s="143"/>
      <c r="AR788" s="143"/>
      <c r="AS788" s="143"/>
      <c r="AT788" s="143"/>
    </row>
    <row r="789" spans="1:46" ht="15" customHeight="1">
      <c r="A789" s="519" t="str">
        <f>+input!B95</f>
        <v>216i</v>
      </c>
      <c r="B789" s="825">
        <f t="shared" si="81"/>
        <v>35.750799614741261</v>
      </c>
      <c r="C789" s="826">
        <f t="shared" si="82"/>
        <v>-27.389985735597193</v>
      </c>
      <c r="D789" s="825">
        <f t="shared" si="83"/>
        <v>35.750799614741261</v>
      </c>
      <c r="E789" s="527">
        <f t="shared" si="84"/>
        <v>-27.389985735597193</v>
      </c>
      <c r="F789" s="825">
        <f t="shared" si="85"/>
        <v>6.7511807656307052</v>
      </c>
      <c r="G789" s="821">
        <f t="shared" si="86"/>
        <v>-5.5457301409393951</v>
      </c>
      <c r="H789" s="825">
        <f t="shared" si="87"/>
        <v>5.9024901400669956</v>
      </c>
      <c r="I789" s="826">
        <f t="shared" si="88"/>
        <v>-4.848576658324613</v>
      </c>
      <c r="J789" s="827">
        <f t="shared" si="89"/>
        <v>-25.50480687381669</v>
      </c>
      <c r="K789" s="527">
        <f t="shared" si="90"/>
        <v>23.792052114275677</v>
      </c>
      <c r="L789" s="527">
        <f t="shared" si="91"/>
        <v>33.272070868466471</v>
      </c>
      <c r="M789" s="824">
        <f t="shared" si="92"/>
        <v>-31.037711752489209</v>
      </c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J789" s="143"/>
      <c r="AK789" s="143"/>
      <c r="AL789" s="143"/>
      <c r="AM789" s="143"/>
      <c r="AN789" s="143"/>
      <c r="AO789" s="143"/>
      <c r="AP789" s="143"/>
      <c r="AQ789" s="143"/>
      <c r="AR789" s="143"/>
      <c r="AS789" s="143"/>
      <c r="AT789" s="143"/>
    </row>
    <row r="790" spans="1:46" s="73" customFormat="1" ht="15" customHeight="1">
      <c r="A790" s="519" t="str">
        <f>+input!B96</f>
        <v>216j</v>
      </c>
      <c r="B790" s="825">
        <f t="shared" si="81"/>
        <v>99.523103119202077</v>
      </c>
      <c r="C790" s="826">
        <f t="shared" si="82"/>
        <v>-76.24826309264752</v>
      </c>
      <c r="D790" s="825">
        <f t="shared" si="83"/>
        <v>99.523103119202077</v>
      </c>
      <c r="E790" s="527">
        <f t="shared" si="84"/>
        <v>-76.24826309264752</v>
      </c>
      <c r="F790" s="825">
        <f t="shared" si="85"/>
        <v>20.489590008036163</v>
      </c>
      <c r="G790" s="821">
        <f t="shared" si="86"/>
        <v>-16.831090860657966</v>
      </c>
      <c r="H790" s="825">
        <f t="shared" si="87"/>
        <v>18.012999045403923</v>
      </c>
      <c r="I790" s="826">
        <f t="shared" si="88"/>
        <v>-14.796705228715162</v>
      </c>
      <c r="J790" s="827">
        <f t="shared" si="89"/>
        <v>-12.719979168881972</v>
      </c>
      <c r="K790" s="527">
        <f t="shared" si="90"/>
        <v>11.86577921471055</v>
      </c>
      <c r="L790" s="527">
        <f t="shared" si="91"/>
        <v>49.783854060508077</v>
      </c>
      <c r="M790" s="824">
        <f t="shared" si="92"/>
        <v>-46.440659445771892</v>
      </c>
    </row>
    <row r="791" spans="1:46" ht="15" customHeight="1">
      <c r="A791" s="534" t="str">
        <f>+input!B97</f>
        <v>217i</v>
      </c>
      <c r="B791" s="825">
        <f t="shared" si="81"/>
        <v>59.626315385176575</v>
      </c>
      <c r="C791" s="826">
        <f t="shared" si="82"/>
        <v>-30.911255993557987</v>
      </c>
      <c r="D791" s="825">
        <f t="shared" si="83"/>
        <v>60.996772913563618</v>
      </c>
      <c r="E791" s="527">
        <f t="shared" si="84"/>
        <v>-45.776761109223798</v>
      </c>
      <c r="F791" s="828">
        <f t="shared" si="85"/>
        <v>12.964787116369125</v>
      </c>
      <c r="G791" s="829">
        <f t="shared" si="86"/>
        <v>-10.20673381520715</v>
      </c>
      <c r="H791" s="828">
        <f t="shared" si="87"/>
        <v>11.397769906802315</v>
      </c>
      <c r="I791" s="830">
        <f t="shared" si="88"/>
        <v>-8.9730747201261973</v>
      </c>
      <c r="J791" s="831">
        <f t="shared" si="89"/>
        <v>-8.3079633837765066</v>
      </c>
      <c r="K791" s="832">
        <f t="shared" si="90"/>
        <v>4.9048361052952636</v>
      </c>
      <c r="L791" s="832">
        <f t="shared" si="91"/>
        <v>32.515851650362968</v>
      </c>
      <c r="M791" s="833">
        <f t="shared" si="92"/>
        <v>-19.196632893274582</v>
      </c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J791" s="143"/>
      <c r="AK791" s="143"/>
      <c r="AL791" s="143"/>
      <c r="AM791" s="143"/>
      <c r="AN791" s="143"/>
      <c r="AO791" s="143"/>
      <c r="AP791" s="143"/>
      <c r="AQ791" s="143"/>
      <c r="AR791" s="143"/>
      <c r="AS791" s="143"/>
      <c r="AT791" s="143"/>
    </row>
    <row r="792" spans="1:46" ht="15" customHeight="1">
      <c r="A792" s="519" t="str">
        <f>+input!B98</f>
        <v>217j</v>
      </c>
      <c r="B792" s="825">
        <f t="shared" si="81"/>
        <v>104.32217714416026</v>
      </c>
      <c r="C792" s="826">
        <f t="shared" si="82"/>
        <v>-54.082320912791594</v>
      </c>
      <c r="D792" s="825">
        <f t="shared" si="83"/>
        <v>106.71992907837563</v>
      </c>
      <c r="E792" s="527">
        <f t="shared" si="84"/>
        <v>-80.091002616431581</v>
      </c>
      <c r="F792" s="825">
        <f t="shared" si="85"/>
        <v>23.1589728794672</v>
      </c>
      <c r="G792" s="821">
        <f t="shared" si="86"/>
        <v>-18.232267872403156</v>
      </c>
      <c r="H792" s="825">
        <f t="shared" si="87"/>
        <v>20.297251026058944</v>
      </c>
      <c r="I792" s="826">
        <f t="shared" si="88"/>
        <v>-15.979332058746738</v>
      </c>
      <c r="J792" s="827">
        <f t="shared" si="89"/>
        <v>-2.5186532061503977</v>
      </c>
      <c r="K792" s="527">
        <f t="shared" si="90"/>
        <v>1.4869566236134091</v>
      </c>
      <c r="L792" s="527">
        <f t="shared" si="91"/>
        <v>53.620665506141862</v>
      </c>
      <c r="M792" s="824">
        <f t="shared" si="92"/>
        <v>-31.656443825698975</v>
      </c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J792" s="143"/>
      <c r="AK792" s="143"/>
      <c r="AL792" s="143"/>
      <c r="AM792" s="143"/>
      <c r="AN792" s="143"/>
      <c r="AO792" s="143"/>
      <c r="AP792" s="143"/>
      <c r="AQ792" s="143"/>
      <c r="AR792" s="143"/>
      <c r="AS792" s="143"/>
      <c r="AT792" s="143"/>
    </row>
    <row r="793" spans="1:46" ht="15" customHeight="1">
      <c r="A793" s="519" t="str">
        <f>+input!B99</f>
        <v>218i</v>
      </c>
      <c r="B793" s="825">
        <f t="shared" ref="B793:B820" si="93">-G145/D533*10^6</f>
        <v>55.614914341273987</v>
      </c>
      <c r="C793" s="826">
        <f t="shared" ref="C793:C820" si="94">G145/E533*10^6</f>
        <v>-39.574626125252415</v>
      </c>
      <c r="D793" s="825">
        <f t="shared" ref="D793:D820" si="95">-G145/F533*10^6</f>
        <v>56.884622371415709</v>
      </c>
      <c r="E793" s="527">
        <f t="shared" ref="E793:E820" si="96">G145/G533*10^6</f>
        <v>-61.66046858937667</v>
      </c>
      <c r="F793" s="825">
        <f t="shared" ref="F793:F820" si="97">-H145/N533*10^6</f>
        <v>12.674364236914553</v>
      </c>
      <c r="G793" s="821">
        <f t="shared" ref="G793:G820" si="98">H145/O533*10^6</f>
        <v>-14.132537524192509</v>
      </c>
      <c r="H793" s="825">
        <f t="shared" ref="H793:H820" si="99">-I145/N533*10^6</f>
        <v>11.108145169556954</v>
      </c>
      <c r="I793" s="826">
        <f t="shared" ref="I793:I820" si="100">I145/O533*10^6</f>
        <v>-12.386126475339339</v>
      </c>
      <c r="J793" s="827">
        <f t="shared" ref="J793:J820" si="101">-J145/L533*10^6</f>
        <v>-1.4431073015639524</v>
      </c>
      <c r="K793" s="527">
        <f t="shared" ref="K793:K820" si="102">J145/M533*10^6</f>
        <v>1.1096142473660511</v>
      </c>
      <c r="L793" s="527">
        <f t="shared" ref="L793:L820" si="103">-K145/L533*10^6</f>
        <v>30.722917199427663</v>
      </c>
      <c r="M793" s="824">
        <f t="shared" ref="M793:M820" si="104">K145/M533*10^6</f>
        <v>-23.623043558983536</v>
      </c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J793" s="143"/>
      <c r="AK793" s="143"/>
      <c r="AL793" s="143"/>
      <c r="AM793" s="143"/>
      <c r="AN793" s="143"/>
      <c r="AO793" s="143"/>
      <c r="AP793" s="143"/>
      <c r="AQ793" s="143"/>
      <c r="AR793" s="143"/>
      <c r="AS793" s="143"/>
      <c r="AT793" s="143"/>
    </row>
    <row r="794" spans="1:46" ht="15" customHeight="1">
      <c r="A794" s="519" t="str">
        <f>+input!B100</f>
        <v>218j</v>
      </c>
      <c r="B794" s="825">
        <f t="shared" si="93"/>
        <v>73.638712823874357</v>
      </c>
      <c r="C794" s="826">
        <f t="shared" si="94"/>
        <v>-52.400054245645016</v>
      </c>
      <c r="D794" s="825">
        <f t="shared" si="95"/>
        <v>75.319910504554471</v>
      </c>
      <c r="E794" s="527">
        <f t="shared" si="96"/>
        <v>-81.643523015711637</v>
      </c>
      <c r="F794" s="825">
        <f t="shared" si="97"/>
        <v>16.878461411901505</v>
      </c>
      <c r="G794" s="821">
        <f t="shared" si="98"/>
        <v>-18.820311993211455</v>
      </c>
      <c r="H794" s="825">
        <f t="shared" si="99"/>
        <v>14.804179568295639</v>
      </c>
      <c r="I794" s="826">
        <f t="shared" si="100"/>
        <v>-16.507386039487443</v>
      </c>
      <c r="J794" s="827">
        <f t="shared" si="101"/>
        <v>-0.42579140441493157</v>
      </c>
      <c r="K794" s="527">
        <f t="shared" si="102"/>
        <v>0.32739367906515343</v>
      </c>
      <c r="L794" s="527">
        <f t="shared" si="103"/>
        <v>40.688698036645874</v>
      </c>
      <c r="M794" s="824">
        <f t="shared" si="104"/>
        <v>-31.285794895021215</v>
      </c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J794" s="143"/>
      <c r="AK794" s="143"/>
      <c r="AL794" s="143"/>
      <c r="AM794" s="143"/>
      <c r="AN794" s="143"/>
      <c r="AO794" s="143"/>
      <c r="AP794" s="143"/>
      <c r="AQ794" s="143"/>
      <c r="AR794" s="143"/>
      <c r="AS794" s="143"/>
      <c r="AT794" s="143"/>
    </row>
    <row r="795" spans="1:46" ht="15" customHeight="1">
      <c r="A795" s="519" t="str">
        <f>+input!B101</f>
        <v>219i</v>
      </c>
      <c r="B795" s="825">
        <f t="shared" si="93"/>
        <v>71.380958367647295</v>
      </c>
      <c r="C795" s="826">
        <f t="shared" si="94"/>
        <v>-48.205095807518646</v>
      </c>
      <c r="D795" s="825">
        <f t="shared" si="95"/>
        <v>72.936731880499153</v>
      </c>
      <c r="E795" s="527">
        <f t="shared" si="96"/>
        <v>-76.589982256815318</v>
      </c>
      <c r="F795" s="825">
        <f t="shared" si="97"/>
        <v>16.35012190018891</v>
      </c>
      <c r="G795" s="821">
        <f t="shared" si="98"/>
        <v>-17.651813768305541</v>
      </c>
      <c r="H795" s="825">
        <f t="shared" si="99"/>
        <v>14.340737353391287</v>
      </c>
      <c r="I795" s="826">
        <f t="shared" si="100"/>
        <v>-15.482454908138701</v>
      </c>
      <c r="J795" s="827">
        <f t="shared" si="101"/>
        <v>-0.41316361268060436</v>
      </c>
      <c r="K795" s="527">
        <f t="shared" si="102"/>
        <v>0.30073339412772904</v>
      </c>
      <c r="L795" s="527">
        <f t="shared" si="103"/>
        <v>39.481984140075554</v>
      </c>
      <c r="M795" s="824">
        <f t="shared" si="104"/>
        <v>-28.738133593872224</v>
      </c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J795" s="143"/>
      <c r="AK795" s="143"/>
      <c r="AL795" s="143"/>
      <c r="AM795" s="143"/>
      <c r="AN795" s="143"/>
      <c r="AO795" s="143"/>
      <c r="AP795" s="143"/>
      <c r="AQ795" s="143"/>
      <c r="AR795" s="143"/>
      <c r="AS795" s="143"/>
      <c r="AT795" s="143"/>
    </row>
    <row r="796" spans="1:46" ht="15" customHeight="1">
      <c r="A796" s="519" t="str">
        <f>+input!B102</f>
        <v>219j</v>
      </c>
      <c r="B796" s="825">
        <f t="shared" si="93"/>
        <v>79.197526384296651</v>
      </c>
      <c r="C796" s="826">
        <f t="shared" si="94"/>
        <v>-53.483792237844924</v>
      </c>
      <c r="D796" s="825">
        <f t="shared" si="95"/>
        <v>80.923664792210218</v>
      </c>
      <c r="E796" s="527">
        <f t="shared" si="96"/>
        <v>-84.97696415499766</v>
      </c>
      <c r="F796" s="825">
        <f t="shared" si="97"/>
        <v>18.168744386629253</v>
      </c>
      <c r="G796" s="821">
        <f t="shared" si="98"/>
        <v>-19.615223316042723</v>
      </c>
      <c r="H796" s="825">
        <f t="shared" si="99"/>
        <v>15.9452662980745</v>
      </c>
      <c r="I796" s="826">
        <f t="shared" si="100"/>
        <v>-17.214726159099634</v>
      </c>
      <c r="J796" s="827">
        <f t="shared" si="101"/>
        <v>-0.21422393359926167</v>
      </c>
      <c r="K796" s="527">
        <f t="shared" si="102"/>
        <v>0.15592924613257833</v>
      </c>
      <c r="L796" s="527">
        <f t="shared" si="103"/>
        <v>43.926036649564004</v>
      </c>
      <c r="M796" s="824">
        <f t="shared" si="104"/>
        <v>-31.972869068734752</v>
      </c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J796" s="143"/>
      <c r="AK796" s="143"/>
      <c r="AL796" s="143"/>
      <c r="AM796" s="143"/>
      <c r="AN796" s="143"/>
      <c r="AO796" s="143"/>
      <c r="AP796" s="143"/>
      <c r="AQ796" s="143"/>
      <c r="AR796" s="143"/>
      <c r="AS796" s="143"/>
      <c r="AT796" s="143"/>
    </row>
    <row r="797" spans="1:46" ht="15" customHeight="1">
      <c r="A797" s="519" t="str">
        <f>+input!B103</f>
        <v>220i</v>
      </c>
      <c r="B797" s="825">
        <f t="shared" si="93"/>
        <v>79.197624300999806</v>
      </c>
      <c r="C797" s="826">
        <f t="shared" si="94"/>
        <v>-53.483858363099678</v>
      </c>
      <c r="D797" s="825">
        <f t="shared" si="95"/>
        <v>80.923764843042932</v>
      </c>
      <c r="E797" s="527">
        <f t="shared" si="96"/>
        <v>-84.977069217170111</v>
      </c>
      <c r="F797" s="825">
        <f t="shared" si="97"/>
        <v>18.168357543414331</v>
      </c>
      <c r="G797" s="821">
        <f t="shared" si="98"/>
        <v>-19.614805674851485</v>
      </c>
      <c r="H797" s="825">
        <f t="shared" si="99"/>
        <v>15.945217942672638</v>
      </c>
      <c r="I797" s="826">
        <f t="shared" si="100"/>
        <v>-17.214673953950726</v>
      </c>
      <c r="J797" s="827">
        <f t="shared" si="101"/>
        <v>-0.22748657887135118</v>
      </c>
      <c r="K797" s="527">
        <f t="shared" si="102"/>
        <v>0.1655828559989217</v>
      </c>
      <c r="L797" s="527">
        <f t="shared" si="103"/>
        <v>43.922571033714021</v>
      </c>
      <c r="M797" s="824">
        <f t="shared" si="104"/>
        <v>-31.970346517412896</v>
      </c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J797" s="143"/>
      <c r="AK797" s="143"/>
      <c r="AL797" s="143"/>
      <c r="AM797" s="143"/>
      <c r="AN797" s="143"/>
      <c r="AO797" s="143"/>
      <c r="AP797" s="143"/>
      <c r="AQ797" s="143"/>
      <c r="AR797" s="143"/>
      <c r="AS797" s="143"/>
      <c r="AT797" s="143"/>
    </row>
    <row r="798" spans="1:46" ht="15" customHeight="1">
      <c r="A798" s="519" t="str">
        <f>+input!B104</f>
        <v>220j</v>
      </c>
      <c r="B798" s="825">
        <f t="shared" si="93"/>
        <v>73.016265226968784</v>
      </c>
      <c r="C798" s="826">
        <f t="shared" si="94"/>
        <v>-49.309453687140703</v>
      </c>
      <c r="D798" s="825">
        <f t="shared" si="95"/>
        <v>74.607680837591502</v>
      </c>
      <c r="E798" s="527">
        <f t="shared" si="96"/>
        <v>-78.344625598738418</v>
      </c>
      <c r="F798" s="825">
        <f t="shared" si="97"/>
        <v>16.740349993239164</v>
      </c>
      <c r="G798" s="821">
        <f t="shared" si="98"/>
        <v>-18.073109319967728</v>
      </c>
      <c r="H798" s="825">
        <f t="shared" si="99"/>
        <v>14.683117776296159</v>
      </c>
      <c r="I798" s="826">
        <f t="shared" si="100"/>
        <v>-15.852093464959534</v>
      </c>
      <c r="J798" s="827">
        <f t="shared" si="101"/>
        <v>-0.74464088253797078</v>
      </c>
      <c r="K798" s="527">
        <f t="shared" si="102"/>
        <v>0.5420089599831891</v>
      </c>
      <c r="L798" s="527">
        <f t="shared" si="103"/>
        <v>41.153699477972935</v>
      </c>
      <c r="M798" s="824">
        <f t="shared" si="104"/>
        <v>-29.954941202653362</v>
      </c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J798" s="143"/>
      <c r="AK798" s="143"/>
      <c r="AL798" s="143"/>
      <c r="AM798" s="143"/>
      <c r="AN798" s="143"/>
      <c r="AO798" s="143"/>
      <c r="AP798" s="143"/>
      <c r="AQ798" s="143"/>
      <c r="AR798" s="143"/>
      <c r="AS798" s="143"/>
      <c r="AT798" s="143"/>
    </row>
    <row r="799" spans="1:46" ht="15" customHeight="1">
      <c r="A799" s="519" t="str">
        <f>+input!B105</f>
        <v>221i</v>
      </c>
      <c r="B799" s="825">
        <f t="shared" si="93"/>
        <v>75.32602512026007</v>
      </c>
      <c r="C799" s="826">
        <f t="shared" si="94"/>
        <v>-53.600716946953</v>
      </c>
      <c r="D799" s="825">
        <f t="shared" si="95"/>
        <v>77.045744733365225</v>
      </c>
      <c r="E799" s="527">
        <f t="shared" si="96"/>
        <v>-83.514252622761461</v>
      </c>
      <c r="F799" s="825">
        <f t="shared" si="97"/>
        <v>17.281197752908678</v>
      </c>
      <c r="G799" s="821">
        <f t="shared" si="98"/>
        <v>-19.269382758833181</v>
      </c>
      <c r="H799" s="825">
        <f t="shared" si="99"/>
        <v>15.157497344900593</v>
      </c>
      <c r="I799" s="826">
        <f t="shared" si="100"/>
        <v>-16.901352682902239</v>
      </c>
      <c r="J799" s="827">
        <f t="shared" si="101"/>
        <v>-0.76739983248650889</v>
      </c>
      <c r="K799" s="527">
        <f t="shared" si="102"/>
        <v>0.59005854008951919</v>
      </c>
      <c r="L799" s="527">
        <f t="shared" si="103"/>
        <v>42.41150711193481</v>
      </c>
      <c r="M799" s="824">
        <f t="shared" si="104"/>
        <v>-32.610473588948132</v>
      </c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J799" s="143"/>
      <c r="AK799" s="143"/>
      <c r="AL799" s="143"/>
      <c r="AM799" s="143"/>
      <c r="AN799" s="143"/>
      <c r="AO799" s="143"/>
      <c r="AP799" s="143"/>
      <c r="AQ799" s="143"/>
      <c r="AR799" s="143"/>
      <c r="AS799" s="143"/>
      <c r="AT799" s="143"/>
    </row>
    <row r="800" spans="1:46" ht="15" customHeight="1">
      <c r="A800" s="964" t="str">
        <f>+input!B106</f>
        <v>221j</v>
      </c>
      <c r="B800" s="956">
        <f t="shared" si="93"/>
        <v>61.238413208051924</v>
      </c>
      <c r="C800" s="957">
        <f t="shared" si="94"/>
        <v>-43.576212171090404</v>
      </c>
      <c r="D800" s="956">
        <f t="shared" si="95"/>
        <v>62.636507692676432</v>
      </c>
      <c r="E800" s="955">
        <f t="shared" si="96"/>
        <v>-67.895263326442745</v>
      </c>
      <c r="F800" s="956">
        <f t="shared" si="97"/>
        <v>14.017001738658475</v>
      </c>
      <c r="G800" s="965">
        <f t="shared" si="98"/>
        <v>-15.629644165606448</v>
      </c>
      <c r="H800" s="956">
        <f t="shared" si="99"/>
        <v>12.286004205551661</v>
      </c>
      <c r="I800" s="957">
        <f t="shared" si="100"/>
        <v>-13.69949704866734</v>
      </c>
      <c r="J800" s="954">
        <f t="shared" si="101"/>
        <v>-3.2479930617022004</v>
      </c>
      <c r="K800" s="955">
        <f t="shared" si="102"/>
        <v>2.497402218604968</v>
      </c>
      <c r="L800" s="955">
        <f t="shared" si="103"/>
        <v>36.711378650659235</v>
      </c>
      <c r="M800" s="958">
        <f t="shared" si="104"/>
        <v>-28.227609095369925</v>
      </c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J800" s="143"/>
      <c r="AK800" s="143"/>
      <c r="AL800" s="143"/>
      <c r="AM800" s="143"/>
      <c r="AN800" s="143"/>
      <c r="AO800" s="143"/>
      <c r="AP800" s="143"/>
      <c r="AQ800" s="143"/>
      <c r="AR800" s="143"/>
      <c r="AS800" s="143"/>
      <c r="AT800" s="143"/>
    </row>
    <row r="801" spans="1:46" ht="15" customHeight="1">
      <c r="A801" s="966" t="str">
        <f>+input!B107</f>
        <v>222i</v>
      </c>
      <c r="B801" s="962">
        <f t="shared" si="93"/>
        <v>106.13481240848621</v>
      </c>
      <c r="C801" s="963">
        <f t="shared" si="94"/>
        <v>-57.393051642888892</v>
      </c>
      <c r="D801" s="962">
        <f t="shared" si="95"/>
        <v>108.3670851057575</v>
      </c>
      <c r="E801" s="961">
        <f t="shared" si="96"/>
        <v>-84.185195962959384</v>
      </c>
      <c r="F801" s="962">
        <f t="shared" si="97"/>
        <v>23.726124239821484</v>
      </c>
      <c r="G801" s="822">
        <f t="shared" si="98"/>
        <v>-19.277548343957907</v>
      </c>
      <c r="H801" s="962">
        <f t="shared" si="99"/>
        <v>20.796083825913453</v>
      </c>
      <c r="I801" s="963">
        <f t="shared" si="100"/>
        <v>-16.896881566783197</v>
      </c>
      <c r="J801" s="960">
        <f t="shared" si="101"/>
        <v>-5.3005000130088016</v>
      </c>
      <c r="K801" s="961">
        <f t="shared" si="102"/>
        <v>3.2398092963806779</v>
      </c>
      <c r="L801" s="961">
        <f t="shared" si="103"/>
        <v>59.910430631711634</v>
      </c>
      <c r="M801" s="823">
        <f t="shared" si="104"/>
        <v>-36.618879282034015</v>
      </c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J801" s="143"/>
      <c r="AK801" s="143"/>
      <c r="AL801" s="143"/>
      <c r="AM801" s="143"/>
      <c r="AN801" s="143"/>
      <c r="AO801" s="143"/>
      <c r="AP801" s="143"/>
      <c r="AQ801" s="143"/>
      <c r="AR801" s="143"/>
      <c r="AS801" s="143"/>
      <c r="AT801" s="143"/>
    </row>
    <row r="802" spans="1:46" ht="15" customHeight="1">
      <c r="A802" s="519" t="str">
        <f>+input!B108</f>
        <v>222j</v>
      </c>
      <c r="B802" s="825">
        <f t="shared" si="93"/>
        <v>74.58424305967236</v>
      </c>
      <c r="C802" s="826">
        <f t="shared" si="94"/>
        <v>-40.331887497897796</v>
      </c>
      <c r="D802" s="825">
        <f t="shared" si="95"/>
        <v>76.152930709375497</v>
      </c>
      <c r="E802" s="527">
        <f t="shared" si="96"/>
        <v>-59.159562967536459</v>
      </c>
      <c r="F802" s="825">
        <f t="shared" si="97"/>
        <v>16.555879569223855</v>
      </c>
      <c r="G802" s="821">
        <f t="shared" si="98"/>
        <v>-13.451702669447842</v>
      </c>
      <c r="H802" s="825">
        <f t="shared" si="99"/>
        <v>14.545514013226052</v>
      </c>
      <c r="I802" s="826">
        <f t="shared" si="100"/>
        <v>-11.818274520667861</v>
      </c>
      <c r="J802" s="827">
        <f t="shared" si="101"/>
        <v>-15.062120945134508</v>
      </c>
      <c r="K802" s="527">
        <f t="shared" si="102"/>
        <v>9.2063766326748357</v>
      </c>
      <c r="L802" s="527">
        <f t="shared" si="103"/>
        <v>50.100126758281675</v>
      </c>
      <c r="M802" s="824">
        <f t="shared" si="104"/>
        <v>-30.6225556122948</v>
      </c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J802" s="143"/>
      <c r="AK802" s="143"/>
      <c r="AL802" s="143"/>
      <c r="AM802" s="143"/>
      <c r="AN802" s="143"/>
      <c r="AO802" s="143"/>
      <c r="AP802" s="143"/>
      <c r="AQ802" s="143"/>
      <c r="AR802" s="143"/>
      <c r="AS802" s="143"/>
      <c r="AT802" s="143"/>
    </row>
    <row r="803" spans="1:46" ht="15" customHeight="1">
      <c r="A803" s="519" t="str">
        <f>+input!B109</f>
        <v>223i</v>
      </c>
      <c r="B803" s="825">
        <f t="shared" si="93"/>
        <v>99.895843938245051</v>
      </c>
      <c r="C803" s="826">
        <f t="shared" si="94"/>
        <v>-84.341535211288473</v>
      </c>
      <c r="D803" s="825">
        <f t="shared" si="95"/>
        <v>99.895843938245051</v>
      </c>
      <c r="E803" s="527">
        <f t="shared" si="96"/>
        <v>-84.341535211288473</v>
      </c>
      <c r="F803" s="825">
        <f t="shared" si="97"/>
        <v>21.417180766891647</v>
      </c>
      <c r="G803" s="821">
        <f t="shared" si="98"/>
        <v>-19.117040291160105</v>
      </c>
      <c r="H803" s="825">
        <f t="shared" si="99"/>
        <v>18.816511781573819</v>
      </c>
      <c r="I803" s="826">
        <f t="shared" si="100"/>
        <v>-16.795675293711515</v>
      </c>
      <c r="J803" s="827">
        <f t="shared" si="101"/>
        <v>-19.391453577269051</v>
      </c>
      <c r="K803" s="527">
        <f t="shared" si="102"/>
        <v>19.192693323505701</v>
      </c>
      <c r="L803" s="527">
        <f t="shared" si="103"/>
        <v>64.5004966954764</v>
      </c>
      <c r="M803" s="824">
        <f t="shared" si="104"/>
        <v>-63.839373740460651</v>
      </c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J803" s="143"/>
      <c r="AK803" s="143"/>
      <c r="AL803" s="143"/>
      <c r="AM803" s="143"/>
      <c r="AN803" s="143"/>
      <c r="AO803" s="143"/>
      <c r="AP803" s="143"/>
      <c r="AQ803" s="143"/>
      <c r="AR803" s="143"/>
      <c r="AS803" s="143"/>
      <c r="AT803" s="143"/>
    </row>
    <row r="804" spans="1:46" ht="15" customHeight="1">
      <c r="A804" s="519" t="str">
        <f>+input!B110</f>
        <v>223j</v>
      </c>
      <c r="B804" s="825">
        <f t="shared" si="93"/>
        <v>65.464432733142033</v>
      </c>
      <c r="C804" s="826">
        <f t="shared" si="94"/>
        <v>-55.271275968824078</v>
      </c>
      <c r="D804" s="825">
        <f t="shared" si="95"/>
        <v>65.464432733142033</v>
      </c>
      <c r="E804" s="527">
        <f t="shared" si="96"/>
        <v>-55.271275968824078</v>
      </c>
      <c r="F804" s="825">
        <f t="shared" si="97"/>
        <v>13.926471472863321</v>
      </c>
      <c r="G804" s="821">
        <f t="shared" si="98"/>
        <v>-12.430810532821555</v>
      </c>
      <c r="H804" s="825">
        <f t="shared" si="99"/>
        <v>12.200999249847003</v>
      </c>
      <c r="I804" s="826">
        <f t="shared" si="100"/>
        <v>-10.890648810898155</v>
      </c>
      <c r="J804" s="827">
        <f t="shared" si="101"/>
        <v>-30.557299768396209</v>
      </c>
      <c r="K804" s="527">
        <f t="shared" si="102"/>
        <v>30.244090826524584</v>
      </c>
      <c r="L804" s="527">
        <f t="shared" si="103"/>
        <v>55.488192884645599</v>
      </c>
      <c r="M804" s="824">
        <f t="shared" si="104"/>
        <v>-54.919445046600607</v>
      </c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J804" s="143"/>
      <c r="AK804" s="143"/>
      <c r="AL804" s="143"/>
      <c r="AM804" s="143"/>
      <c r="AN804" s="143"/>
      <c r="AO804" s="143"/>
      <c r="AP804" s="143"/>
      <c r="AQ804" s="143"/>
      <c r="AR804" s="143"/>
      <c r="AS804" s="143"/>
      <c r="AT804" s="143"/>
    </row>
    <row r="805" spans="1:46" ht="15" customHeight="1">
      <c r="A805" s="519" t="str">
        <f>+input!B111</f>
        <v>224i</v>
      </c>
      <c r="B805" s="825">
        <f t="shared" si="93"/>
        <v>98.725089844866076</v>
      </c>
      <c r="C805" s="826">
        <f t="shared" si="94"/>
        <v>-69.560473069016737</v>
      </c>
      <c r="D805" s="825">
        <f t="shared" si="95"/>
        <v>98.725089844866076</v>
      </c>
      <c r="E805" s="527">
        <f t="shared" si="96"/>
        <v>-69.560473069016737</v>
      </c>
      <c r="F805" s="825">
        <f t="shared" si="97"/>
        <v>20.335459490872914</v>
      </c>
      <c r="G805" s="821">
        <f t="shared" si="98"/>
        <v>-15.451951428093151</v>
      </c>
      <c r="H805" s="825">
        <f t="shared" si="99"/>
        <v>17.815921748513215</v>
      </c>
      <c r="I805" s="826">
        <f t="shared" si="100"/>
        <v>-13.537474165670679</v>
      </c>
      <c r="J805" s="827">
        <f t="shared" si="101"/>
        <v>-42.387325278239231</v>
      </c>
      <c r="K805" s="527">
        <f t="shared" si="102"/>
        <v>36.926459695954421</v>
      </c>
      <c r="L805" s="527">
        <f t="shared" si="103"/>
        <v>76.970023487994766</v>
      </c>
      <c r="M805" s="824">
        <f t="shared" si="104"/>
        <v>-67.053782031989783</v>
      </c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J805" s="143"/>
      <c r="AK805" s="143"/>
      <c r="AL805" s="143"/>
      <c r="AM805" s="143"/>
      <c r="AN805" s="143"/>
      <c r="AO805" s="143"/>
      <c r="AP805" s="143"/>
      <c r="AQ805" s="143"/>
      <c r="AR805" s="143"/>
      <c r="AS805" s="143"/>
      <c r="AT805" s="143"/>
    </row>
    <row r="806" spans="1:46" ht="15" customHeight="1">
      <c r="A806" s="519" t="str">
        <f>+input!B112</f>
        <v>224j</v>
      </c>
      <c r="B806" s="825">
        <f t="shared" si="93"/>
        <v>54.71198283658255</v>
      </c>
      <c r="C806" s="826">
        <f t="shared" si="94"/>
        <v>-38.549384099188195</v>
      </c>
      <c r="D806" s="825">
        <f t="shared" si="95"/>
        <v>54.71198283658255</v>
      </c>
      <c r="E806" s="527">
        <f t="shared" si="96"/>
        <v>-38.549384099188195</v>
      </c>
      <c r="F806" s="825">
        <f t="shared" si="97"/>
        <v>11.003705218009905</v>
      </c>
      <c r="G806" s="821">
        <f t="shared" si="98"/>
        <v>-8.3611938365128946</v>
      </c>
      <c r="H806" s="825">
        <f t="shared" si="99"/>
        <v>9.6961343986584687</v>
      </c>
      <c r="I806" s="826">
        <f t="shared" si="100"/>
        <v>-7.3676327714935042</v>
      </c>
      <c r="J806" s="827">
        <f t="shared" si="101"/>
        <v>-55.10545783807234</v>
      </c>
      <c r="K806" s="527">
        <f t="shared" si="102"/>
        <v>48.006083293237268</v>
      </c>
      <c r="L806" s="527">
        <f t="shared" si="103"/>
        <v>65.4291572357305</v>
      </c>
      <c r="M806" s="824">
        <f t="shared" si="104"/>
        <v>-56.999754566864006</v>
      </c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J806" s="143"/>
      <c r="AK806" s="143"/>
      <c r="AL806" s="143"/>
      <c r="AM806" s="143"/>
      <c r="AN806" s="143"/>
      <c r="AO806" s="143"/>
      <c r="AP806" s="143"/>
      <c r="AQ806" s="143"/>
      <c r="AR806" s="143"/>
      <c r="AS806" s="143"/>
      <c r="AT806" s="143"/>
    </row>
    <row r="807" spans="1:46" ht="15" customHeight="1">
      <c r="A807" s="519" t="str">
        <f>+input!B113</f>
        <v>225i</v>
      </c>
      <c r="B807" s="825">
        <f t="shared" si="93"/>
        <v>61.842730787305108</v>
      </c>
      <c r="C807" s="826">
        <f t="shared" si="94"/>
        <v>-46.97377553219571</v>
      </c>
      <c r="D807" s="825">
        <f t="shared" si="95"/>
        <v>61.842730787305108</v>
      </c>
      <c r="E807" s="527">
        <f t="shared" si="96"/>
        <v>-46.97377553219571</v>
      </c>
      <c r="F807" s="825">
        <f t="shared" si="97"/>
        <v>12.30634768287551</v>
      </c>
      <c r="G807" s="821">
        <f t="shared" si="98"/>
        <v>-10.138398944166472</v>
      </c>
      <c r="H807" s="825">
        <f t="shared" si="99"/>
        <v>10.843983796883348</v>
      </c>
      <c r="I807" s="826">
        <f t="shared" si="100"/>
        <v>-8.9336525108797886</v>
      </c>
      <c r="J807" s="827">
        <f t="shared" si="101"/>
        <v>-60.638438001674018</v>
      </c>
      <c r="K807" s="527">
        <f t="shared" si="102"/>
        <v>57.816421391725939</v>
      </c>
      <c r="L807" s="527">
        <f t="shared" si="103"/>
        <v>71.998710294708133</v>
      </c>
      <c r="M807" s="824">
        <f t="shared" si="104"/>
        <v>-68.648004652506458</v>
      </c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J807" s="143"/>
      <c r="AK807" s="143"/>
      <c r="AL807" s="143"/>
      <c r="AM807" s="143"/>
      <c r="AN807" s="143"/>
      <c r="AO807" s="143"/>
      <c r="AP807" s="143"/>
      <c r="AQ807" s="143"/>
      <c r="AR807" s="143"/>
      <c r="AS807" s="143"/>
      <c r="AT807" s="143"/>
    </row>
    <row r="808" spans="1:46" ht="15" customHeight="1">
      <c r="A808" s="519" t="str">
        <f>+input!B114</f>
        <v>225j</v>
      </c>
      <c r="B808" s="825">
        <f t="shared" si="93"/>
        <v>25.446496468583003</v>
      </c>
      <c r="C808" s="826">
        <f t="shared" si="94"/>
        <v>-19.328351092823997</v>
      </c>
      <c r="D808" s="825">
        <f t="shared" si="95"/>
        <v>25.446496468583003</v>
      </c>
      <c r="E808" s="527">
        <f t="shared" si="96"/>
        <v>-19.328351092823997</v>
      </c>
      <c r="F808" s="825">
        <f t="shared" si="97"/>
        <v>4.7729201034536972</v>
      </c>
      <c r="G808" s="821">
        <f t="shared" si="98"/>
        <v>-3.9320982459142666</v>
      </c>
      <c r="H808" s="825">
        <f t="shared" si="99"/>
        <v>4.1619135020803482</v>
      </c>
      <c r="I808" s="826">
        <f t="shared" si="100"/>
        <v>-3.4287296720796232</v>
      </c>
      <c r="J808" s="827">
        <f t="shared" si="101"/>
        <v>-66.609328512610404</v>
      </c>
      <c r="K808" s="527">
        <f t="shared" si="102"/>
        <v>63.509436140137261</v>
      </c>
      <c r="L808" s="527">
        <f t="shared" si="103"/>
        <v>59.663089270121937</v>
      </c>
      <c r="M808" s="824">
        <f t="shared" si="104"/>
        <v>-56.886463841273475</v>
      </c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J808" s="143"/>
      <c r="AK808" s="143"/>
      <c r="AL808" s="143"/>
      <c r="AM808" s="143"/>
      <c r="AN808" s="143"/>
      <c r="AO808" s="143"/>
      <c r="AP808" s="143"/>
      <c r="AQ808" s="143"/>
      <c r="AR808" s="143"/>
      <c r="AS808" s="143"/>
      <c r="AT808" s="143"/>
    </row>
    <row r="809" spans="1:46" ht="15" customHeight="1">
      <c r="A809" s="519" t="str">
        <f>+input!B115</f>
        <v>226i</v>
      </c>
      <c r="B809" s="825">
        <f t="shared" si="93"/>
        <v>25.44629661390821</v>
      </c>
      <c r="C809" s="826">
        <f t="shared" si="94"/>
        <v>-19.328199289556039</v>
      </c>
      <c r="D809" s="825">
        <f t="shared" si="95"/>
        <v>25.44629661390821</v>
      </c>
      <c r="E809" s="527">
        <f t="shared" si="96"/>
        <v>-19.328199289556039</v>
      </c>
      <c r="F809" s="825">
        <f t="shared" si="97"/>
        <v>4.7729201034536972</v>
      </c>
      <c r="G809" s="821">
        <f t="shared" si="98"/>
        <v>-3.9320982459142666</v>
      </c>
      <c r="H809" s="825">
        <f t="shared" si="99"/>
        <v>4.1618242519194695</v>
      </c>
      <c r="I809" s="826">
        <f t="shared" si="100"/>
        <v>-3.4286561446805823</v>
      </c>
      <c r="J809" s="827">
        <f t="shared" si="101"/>
        <v>-66.609328512610404</v>
      </c>
      <c r="K809" s="527">
        <f t="shared" si="102"/>
        <v>63.509436140137261</v>
      </c>
      <c r="L809" s="527">
        <f t="shared" si="103"/>
        <v>59.663089270121937</v>
      </c>
      <c r="M809" s="824">
        <f t="shared" si="104"/>
        <v>-56.886463841273475</v>
      </c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J809" s="143"/>
      <c r="AK809" s="143"/>
      <c r="AL809" s="143"/>
      <c r="AM809" s="143"/>
      <c r="AN809" s="143"/>
      <c r="AO809" s="143"/>
      <c r="AP809" s="143"/>
      <c r="AQ809" s="143"/>
      <c r="AR809" s="143"/>
      <c r="AS809" s="143"/>
      <c r="AT809" s="143"/>
    </row>
    <row r="810" spans="1:46" ht="15" customHeight="1">
      <c r="A810" s="519" t="str">
        <f>+input!B116</f>
        <v>226j</v>
      </c>
      <c r="B810" s="825">
        <f t="shared" si="93"/>
        <v>-2.0066408623036143</v>
      </c>
      <c r="C810" s="826">
        <f t="shared" si="94"/>
        <v>1.5241807119379489</v>
      </c>
      <c r="D810" s="825">
        <f t="shared" si="95"/>
        <v>-2.0066408623036143</v>
      </c>
      <c r="E810" s="527">
        <f t="shared" si="96"/>
        <v>1.5241807119379489</v>
      </c>
      <c r="F810" s="825">
        <f t="shared" si="97"/>
        <v>-0.96434798829083368</v>
      </c>
      <c r="G810" s="821">
        <f t="shared" si="98"/>
        <v>0.79446354663793806</v>
      </c>
      <c r="H810" s="825">
        <f t="shared" si="99"/>
        <v>-0.79780718809178741</v>
      </c>
      <c r="I810" s="826">
        <f t="shared" si="100"/>
        <v>0.65726142002744359</v>
      </c>
      <c r="J810" s="827">
        <f t="shared" si="101"/>
        <v>-68.214424765279787</v>
      </c>
      <c r="K810" s="527">
        <f t="shared" si="102"/>
        <v>65.039833762121702</v>
      </c>
      <c r="L810" s="527">
        <f t="shared" si="103"/>
        <v>47.356763950435564</v>
      </c>
      <c r="M810" s="824">
        <f t="shared" si="104"/>
        <v>-45.152855359356252</v>
      </c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J810" s="143"/>
      <c r="AK810" s="143"/>
      <c r="AL810" s="143"/>
      <c r="AM810" s="143"/>
      <c r="AN810" s="143"/>
      <c r="AO810" s="143"/>
      <c r="AP810" s="143"/>
      <c r="AQ810" s="143"/>
      <c r="AR810" s="143"/>
      <c r="AS810" s="143"/>
      <c r="AT810" s="143"/>
    </row>
    <row r="811" spans="1:46" s="73" customFormat="1" ht="15" customHeight="1">
      <c r="A811" s="519" t="str">
        <f>+input!B117</f>
        <v>227i</v>
      </c>
      <c r="B811" s="825">
        <f t="shared" si="93"/>
        <v>-2.1507638339321034</v>
      </c>
      <c r="C811" s="826">
        <f t="shared" si="94"/>
        <v>2.0556240569928077</v>
      </c>
      <c r="D811" s="825">
        <f t="shared" si="95"/>
        <v>-2.1507638339321034</v>
      </c>
      <c r="E811" s="527">
        <f t="shared" si="96"/>
        <v>2.0556240569928077</v>
      </c>
      <c r="F811" s="825">
        <f t="shared" si="97"/>
        <v>-1.0301968242176727</v>
      </c>
      <c r="G811" s="821">
        <f t="shared" si="98"/>
        <v>1.0690155454024102</v>
      </c>
      <c r="H811" s="825">
        <f t="shared" si="99"/>
        <v>-0.85228407326994693</v>
      </c>
      <c r="I811" s="826">
        <f t="shared" si="100"/>
        <v>0.88439888573365533</v>
      </c>
      <c r="J811" s="827">
        <f t="shared" si="101"/>
        <v>-72.486500401196324</v>
      </c>
      <c r="K811" s="527">
        <f t="shared" si="102"/>
        <v>87.221682763605671</v>
      </c>
      <c r="L811" s="527">
        <f t="shared" si="103"/>
        <v>50.322559686830374</v>
      </c>
      <c r="M811" s="824">
        <f t="shared" si="104"/>
        <v>-60.552217482758905</v>
      </c>
    </row>
    <row r="812" spans="1:46" ht="15" customHeight="1">
      <c r="A812" s="534" t="str">
        <f>+input!B118</f>
        <v>227j</v>
      </c>
      <c r="B812" s="825">
        <f t="shared" si="93"/>
        <v>-17.87583460221612</v>
      </c>
      <c r="C812" s="826">
        <f t="shared" si="94"/>
        <v>17.08509091858755</v>
      </c>
      <c r="D812" s="825">
        <f t="shared" si="95"/>
        <v>-17.87583460221612</v>
      </c>
      <c r="E812" s="527">
        <f t="shared" si="96"/>
        <v>17.08509091858755</v>
      </c>
      <c r="F812" s="828">
        <f t="shared" si="97"/>
        <v>-4.1175455854386325</v>
      </c>
      <c r="G812" s="829">
        <f t="shared" si="98"/>
        <v>4.2726983196435437</v>
      </c>
      <c r="H812" s="828">
        <f t="shared" si="99"/>
        <v>-3.6334817930690688</v>
      </c>
      <c r="I812" s="830">
        <f t="shared" si="100"/>
        <v>3.7703945784118877</v>
      </c>
      <c r="J812" s="831">
        <f t="shared" si="101"/>
        <v>-64.982736752930151</v>
      </c>
      <c r="K812" s="832">
        <f t="shared" si="102"/>
        <v>78.192540939408204</v>
      </c>
      <c r="L812" s="832">
        <f t="shared" si="103"/>
        <v>37.331333379756373</v>
      </c>
      <c r="M812" s="833">
        <f t="shared" si="104"/>
        <v>-44.920112009404917</v>
      </c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J812" s="143"/>
      <c r="AK812" s="143"/>
      <c r="AL812" s="143"/>
      <c r="AM812" s="143"/>
      <c r="AN812" s="143"/>
      <c r="AO812" s="143"/>
      <c r="AP812" s="143"/>
      <c r="AQ812" s="143"/>
      <c r="AR812" s="143"/>
      <c r="AS812" s="143"/>
      <c r="AT812" s="143"/>
    </row>
    <row r="813" spans="1:46" ht="15" customHeight="1">
      <c r="A813" s="519" t="str">
        <f>+input!B119</f>
        <v>228i</v>
      </c>
      <c r="B813" s="825">
        <f t="shared" si="93"/>
        <v>-17.875727497797321</v>
      </c>
      <c r="C813" s="826">
        <f t="shared" si="94"/>
        <v>17.084988551969502</v>
      </c>
      <c r="D813" s="825">
        <f t="shared" si="95"/>
        <v>-17.875727497797321</v>
      </c>
      <c r="E813" s="527">
        <f t="shared" si="96"/>
        <v>17.084988551969502</v>
      </c>
      <c r="F813" s="825">
        <f t="shared" si="97"/>
        <v>-4.1175455854386325</v>
      </c>
      <c r="G813" s="821">
        <f t="shared" si="98"/>
        <v>4.2726983196435437</v>
      </c>
      <c r="H813" s="825">
        <f t="shared" si="99"/>
        <v>-3.6334817930690688</v>
      </c>
      <c r="I813" s="826">
        <f t="shared" si="100"/>
        <v>3.7703945784118877</v>
      </c>
      <c r="J813" s="827">
        <f t="shared" si="101"/>
        <v>-64.982736752930151</v>
      </c>
      <c r="K813" s="527">
        <f t="shared" si="102"/>
        <v>78.192540939408204</v>
      </c>
      <c r="L813" s="527">
        <f t="shared" si="103"/>
        <v>37.331333379756373</v>
      </c>
      <c r="M813" s="824">
        <f t="shared" si="104"/>
        <v>-44.920112009404917</v>
      </c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J813" s="143"/>
      <c r="AK813" s="143"/>
      <c r="AL813" s="143"/>
      <c r="AM813" s="143"/>
      <c r="AN813" s="143"/>
      <c r="AO813" s="143"/>
      <c r="AP813" s="143"/>
      <c r="AQ813" s="143"/>
      <c r="AR813" s="143"/>
      <c r="AS813" s="143"/>
      <c r="AT813" s="143"/>
    </row>
    <row r="814" spans="1:46" ht="15" customHeight="1">
      <c r="A814" s="519" t="str">
        <f>+input!B120</f>
        <v>228j</v>
      </c>
      <c r="B814" s="825">
        <f t="shared" si="93"/>
        <v>-24.014738574602276</v>
      </c>
      <c r="C814" s="826">
        <f t="shared" si="94"/>
        <v>22.952438365161761</v>
      </c>
      <c r="D814" s="825">
        <f t="shared" si="95"/>
        <v>-24.014738574602276</v>
      </c>
      <c r="E814" s="527">
        <f t="shared" si="96"/>
        <v>22.952438365161761</v>
      </c>
      <c r="F814" s="825">
        <f t="shared" si="97"/>
        <v>-5.286087212242129</v>
      </c>
      <c r="G814" s="821">
        <f t="shared" si="98"/>
        <v>5.4852716213049906</v>
      </c>
      <c r="H814" s="825">
        <f t="shared" si="99"/>
        <v>-4.5746268973589954</v>
      </c>
      <c r="I814" s="826">
        <f t="shared" si="100"/>
        <v>4.7470028568632712</v>
      </c>
      <c r="J814" s="827">
        <f t="shared" si="101"/>
        <v>-51.555372128668814</v>
      </c>
      <c r="K814" s="527">
        <f t="shared" si="102"/>
        <v>62.035638190254993</v>
      </c>
      <c r="L814" s="527">
        <f t="shared" si="103"/>
        <v>24.340029051516485</v>
      </c>
      <c r="M814" s="824">
        <f t="shared" si="104"/>
        <v>-29.287912654606224</v>
      </c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J814" s="143"/>
      <c r="AK814" s="143"/>
      <c r="AL814" s="143"/>
      <c r="AM814" s="143"/>
      <c r="AN814" s="143"/>
      <c r="AO814" s="143"/>
      <c r="AP814" s="143"/>
      <c r="AQ814" s="143"/>
      <c r="AR814" s="143"/>
      <c r="AS814" s="143"/>
      <c r="AT814" s="143"/>
    </row>
    <row r="815" spans="1:46" ht="15" customHeight="1">
      <c r="A815" s="519" t="str">
        <f>+input!B121</f>
        <v>229i</v>
      </c>
      <c r="B815" s="825">
        <f t="shared" si="93"/>
        <v>-24.014738574602276</v>
      </c>
      <c r="C815" s="826">
        <f t="shared" si="94"/>
        <v>22.952438365161761</v>
      </c>
      <c r="D815" s="825">
        <f t="shared" si="95"/>
        <v>-24.014738574602276</v>
      </c>
      <c r="E815" s="527">
        <f t="shared" si="96"/>
        <v>22.952438365161761</v>
      </c>
      <c r="F815" s="825">
        <f t="shared" si="97"/>
        <v>-5.286087212242129</v>
      </c>
      <c r="G815" s="821">
        <f t="shared" si="98"/>
        <v>5.4852716213049906</v>
      </c>
      <c r="H815" s="825">
        <f t="shared" si="99"/>
        <v>-4.5746268973589954</v>
      </c>
      <c r="I815" s="826">
        <f t="shared" si="100"/>
        <v>4.7470028568632712</v>
      </c>
      <c r="J815" s="827">
        <f t="shared" si="101"/>
        <v>-51.555372128668814</v>
      </c>
      <c r="K815" s="527">
        <f t="shared" si="102"/>
        <v>62.035638190254993</v>
      </c>
      <c r="L815" s="527">
        <f t="shared" si="103"/>
        <v>24.340029051516485</v>
      </c>
      <c r="M815" s="824">
        <f t="shared" si="104"/>
        <v>-29.287912654606224</v>
      </c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J815" s="143"/>
      <c r="AK815" s="143"/>
      <c r="AL815" s="143"/>
      <c r="AM815" s="143"/>
      <c r="AN815" s="143"/>
      <c r="AO815" s="143"/>
      <c r="AP815" s="143"/>
      <c r="AQ815" s="143"/>
      <c r="AR815" s="143"/>
      <c r="AS815" s="143"/>
      <c r="AT815" s="143"/>
    </row>
    <row r="816" spans="1:46" ht="15" customHeight="1">
      <c r="A816" s="519" t="str">
        <f>+input!B122</f>
        <v>229j</v>
      </c>
      <c r="B816" s="825">
        <f t="shared" si="93"/>
        <v>-11.671061412267683</v>
      </c>
      <c r="C816" s="826">
        <f t="shared" si="94"/>
        <v>11.154788001914708</v>
      </c>
      <c r="D816" s="825">
        <f t="shared" si="95"/>
        <v>-11.671061412267683</v>
      </c>
      <c r="E816" s="527">
        <f t="shared" si="96"/>
        <v>11.154788001914708</v>
      </c>
      <c r="F816" s="825">
        <f t="shared" si="97"/>
        <v>-2.3481432102575517</v>
      </c>
      <c r="G816" s="821">
        <f t="shared" si="98"/>
        <v>2.4366233088542861</v>
      </c>
      <c r="H816" s="825">
        <f t="shared" si="99"/>
        <v>-2.0987221188967529</v>
      </c>
      <c r="I816" s="826">
        <f t="shared" si="100"/>
        <v>2.1778038116980891</v>
      </c>
      <c r="J816" s="827">
        <f t="shared" si="101"/>
        <v>-19.199838601975319</v>
      </c>
      <c r="K816" s="527">
        <f t="shared" si="102"/>
        <v>23.102815315750615</v>
      </c>
      <c r="L816" s="527">
        <f t="shared" si="103"/>
        <v>7.5451928873406642</v>
      </c>
      <c r="M816" s="824">
        <f t="shared" si="104"/>
        <v>-9.0789928713261467</v>
      </c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J816" s="143"/>
      <c r="AK816" s="143"/>
      <c r="AL816" s="143"/>
      <c r="AM816" s="143"/>
      <c r="AN816" s="143"/>
      <c r="AO816" s="143"/>
      <c r="AP816" s="143"/>
      <c r="AQ816" s="143"/>
      <c r="AR816" s="143"/>
      <c r="AS816" s="143"/>
      <c r="AT816" s="143"/>
    </row>
    <row r="817" spans="1:46" ht="15" customHeight="1">
      <c r="A817" s="519" t="str">
        <f>+input!B123</f>
        <v>230i</v>
      </c>
      <c r="B817" s="825">
        <f t="shared" si="93"/>
        <v>-12.892329241372737</v>
      </c>
      <c r="C817" s="826">
        <f t="shared" si="94"/>
        <v>12.301267365504437</v>
      </c>
      <c r="D817" s="825">
        <f t="shared" si="95"/>
        <v>-12.892329241372737</v>
      </c>
      <c r="E817" s="527">
        <f t="shared" si="96"/>
        <v>12.301267365504437</v>
      </c>
      <c r="F817" s="825">
        <f t="shared" si="97"/>
        <v>-2.5811001307081676</v>
      </c>
      <c r="G817" s="821">
        <f t="shared" si="98"/>
        <v>2.6848780022324381</v>
      </c>
      <c r="H817" s="825">
        <f t="shared" si="99"/>
        <v>-2.3069342243441686</v>
      </c>
      <c r="I817" s="826">
        <f t="shared" si="100"/>
        <v>2.3996887520359116</v>
      </c>
      <c r="J817" s="827">
        <f t="shared" si="101"/>
        <v>-20.947444404201878</v>
      </c>
      <c r="K817" s="527">
        <f t="shared" si="102"/>
        <v>25.438594300830665</v>
      </c>
      <c r="L817" s="527">
        <f t="shared" si="103"/>
        <v>8.2319706849143639</v>
      </c>
      <c r="M817" s="824">
        <f t="shared" si="104"/>
        <v>-9.9969122012736698</v>
      </c>
      <c r="T817" s="138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J817" s="143"/>
      <c r="AK817" s="143"/>
      <c r="AL817" s="143"/>
      <c r="AM817" s="143"/>
      <c r="AN817" s="143"/>
      <c r="AO817" s="143"/>
      <c r="AP817" s="143"/>
      <c r="AQ817" s="143"/>
      <c r="AR817" s="143"/>
      <c r="AS817" s="143"/>
      <c r="AT817" s="143"/>
    </row>
    <row r="818" spans="1:46" ht="15" customHeight="1">
      <c r="A818" s="519" t="str">
        <f>+input!B124</f>
        <v>230j</v>
      </c>
      <c r="B818" s="825">
        <f t="shared" si="93"/>
        <v>0.10446940616259787</v>
      </c>
      <c r="C818" s="826">
        <f t="shared" si="94"/>
        <v>-9.9679900556492368E-2</v>
      </c>
      <c r="D818" s="825">
        <f t="shared" si="95"/>
        <v>0.10446940616259787</v>
      </c>
      <c r="E818" s="527">
        <f t="shared" si="96"/>
        <v>-9.9679900556492368E-2</v>
      </c>
      <c r="F818" s="825">
        <f t="shared" si="97"/>
        <v>1.2681221204145211E-2</v>
      </c>
      <c r="G818" s="821">
        <f t="shared" si="98"/>
        <v>-1.3191092994564115E-2</v>
      </c>
      <c r="H818" s="825">
        <f t="shared" si="99"/>
        <v>1.2157203799015243E-2</v>
      </c>
      <c r="I818" s="826">
        <f t="shared" si="100"/>
        <v>-1.2646006507185432E-2</v>
      </c>
      <c r="J818" s="827">
        <f t="shared" si="101"/>
        <v>1.7024560135076808E-2</v>
      </c>
      <c r="K818" s="527">
        <f t="shared" si="102"/>
        <v>-2.0674640307886027E-2</v>
      </c>
      <c r="L818" s="527">
        <f t="shared" si="103"/>
        <v>1.2101057344012593</v>
      </c>
      <c r="M818" s="824">
        <f t="shared" si="104"/>
        <v>-1.4695534330845388</v>
      </c>
      <c r="T818" s="138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J818" s="143"/>
      <c r="AK818" s="143"/>
      <c r="AL818" s="143"/>
      <c r="AM818" s="143"/>
      <c r="AN818" s="143"/>
      <c r="AO818" s="143"/>
      <c r="AP818" s="143"/>
      <c r="AQ818" s="143"/>
      <c r="AR818" s="143"/>
      <c r="AS818" s="143"/>
      <c r="AT818" s="143"/>
    </row>
    <row r="819" spans="1:46" ht="15" customHeight="1">
      <c r="A819" s="519" t="str">
        <f>+input!B125</f>
        <v>231i</v>
      </c>
      <c r="B819" s="825">
        <f t="shared" si="93"/>
        <v>0.10470602995911564</v>
      </c>
      <c r="C819" s="826">
        <f t="shared" si="94"/>
        <v>-9.9905676095691662E-2</v>
      </c>
      <c r="D819" s="825">
        <f t="shared" si="95"/>
        <v>0.10470602995911564</v>
      </c>
      <c r="E819" s="527">
        <f t="shared" si="96"/>
        <v>-9.9905676095691662E-2</v>
      </c>
      <c r="F819" s="825">
        <f t="shared" si="97"/>
        <v>1.2786024685171204E-2</v>
      </c>
      <c r="G819" s="821">
        <f t="shared" si="98"/>
        <v>-1.3300110292039851E-2</v>
      </c>
      <c r="H819" s="825">
        <f t="shared" si="99"/>
        <v>1.2262007280041237E-2</v>
      </c>
      <c r="I819" s="826">
        <f t="shared" si="100"/>
        <v>-1.2755023804661168E-2</v>
      </c>
      <c r="J819" s="827">
        <f t="shared" si="101"/>
        <v>0</v>
      </c>
      <c r="K819" s="527">
        <f t="shared" si="102"/>
        <v>0</v>
      </c>
      <c r="L819" s="527">
        <f t="shared" si="103"/>
        <v>1.2101057344012593</v>
      </c>
      <c r="M819" s="824">
        <f t="shared" si="104"/>
        <v>-1.4695534330845388</v>
      </c>
      <c r="T819" s="138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J819" s="143"/>
      <c r="AK819" s="143"/>
      <c r="AL819" s="143"/>
      <c r="AM819" s="143"/>
      <c r="AN819" s="143"/>
      <c r="AO819" s="143"/>
      <c r="AP819" s="143"/>
      <c r="AQ819" s="143"/>
      <c r="AR819" s="143"/>
      <c r="AS819" s="143"/>
      <c r="AT819" s="143"/>
    </row>
    <row r="820" spans="1:46" ht="15" customHeight="1" thickBot="1">
      <c r="A820" s="924" t="str">
        <f>+input!B126</f>
        <v>231j</v>
      </c>
      <c r="B820" s="921">
        <f t="shared" si="93"/>
        <v>1.1831189825888774E-4</v>
      </c>
      <c r="C820" s="922">
        <f t="shared" si="94"/>
        <v>-1.1288776959965162E-4</v>
      </c>
      <c r="D820" s="921">
        <f t="shared" si="95"/>
        <v>1.1831189825888774E-4</v>
      </c>
      <c r="E820" s="920">
        <f t="shared" si="96"/>
        <v>-1.1288776959965162E-4</v>
      </c>
      <c r="F820" s="921">
        <f t="shared" si="97"/>
        <v>0</v>
      </c>
      <c r="G820" s="920">
        <f t="shared" si="98"/>
        <v>0</v>
      </c>
      <c r="H820" s="919">
        <f t="shared" si="99"/>
        <v>0</v>
      </c>
      <c r="I820" s="920">
        <f t="shared" si="100"/>
        <v>0</v>
      </c>
      <c r="J820" s="920">
        <f t="shared" si="101"/>
        <v>0</v>
      </c>
      <c r="K820" s="920">
        <f t="shared" si="102"/>
        <v>0</v>
      </c>
      <c r="L820" s="920">
        <f t="shared" si="103"/>
        <v>0</v>
      </c>
      <c r="M820" s="923">
        <f t="shared" si="104"/>
        <v>0</v>
      </c>
      <c r="T820" s="138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J820" s="143"/>
      <c r="AK820" s="143"/>
      <c r="AL820" s="143"/>
      <c r="AM820" s="143"/>
      <c r="AN820" s="143"/>
      <c r="AO820" s="143"/>
      <c r="AP820" s="143"/>
      <c r="AQ820" s="143"/>
      <c r="AR820" s="143"/>
      <c r="AS820" s="143"/>
      <c r="AT820" s="143"/>
    </row>
    <row r="821" spans="1:46" ht="15" customHeight="1">
      <c r="L821" s="339"/>
      <c r="T821" s="138"/>
      <c r="X821" s="339"/>
      <c r="Z821" s="339"/>
      <c r="AC821" s="339"/>
    </row>
    <row r="822" spans="1:46" ht="15" customHeight="1">
      <c r="A822" s="95" t="s">
        <v>1653</v>
      </c>
      <c r="B822" s="96"/>
      <c r="C822" s="160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T822" s="138"/>
    </row>
    <row r="823" spans="1:46" ht="15" customHeight="1">
      <c r="A823" s="95"/>
      <c r="B823" s="170" t="s">
        <v>863</v>
      </c>
      <c r="C823" s="350"/>
      <c r="D823" s="170"/>
      <c r="E823" s="124" t="s">
        <v>864</v>
      </c>
      <c r="F823" s="170" t="s">
        <v>866</v>
      </c>
      <c r="G823" s="170"/>
      <c r="H823" s="170"/>
      <c r="I823" s="170"/>
      <c r="J823" s="170"/>
      <c r="K823" s="170"/>
      <c r="L823" s="170"/>
      <c r="M823" s="170"/>
      <c r="N823" s="170"/>
      <c r="O823" s="170"/>
      <c r="T823" s="138"/>
      <c r="X823" s="339"/>
      <c r="Z823" s="339"/>
      <c r="AC823" s="339"/>
    </row>
    <row r="824" spans="1:46" ht="15" customHeight="1">
      <c r="A824" s="95"/>
      <c r="B824" s="170" t="s">
        <v>865</v>
      </c>
      <c r="C824" s="350"/>
      <c r="D824" s="170"/>
      <c r="E824" s="124" t="s">
        <v>864</v>
      </c>
      <c r="F824" s="170" t="s">
        <v>1924</v>
      </c>
      <c r="G824" s="170"/>
      <c r="H824" s="170"/>
      <c r="I824" s="170"/>
      <c r="J824" s="170"/>
      <c r="K824" s="170"/>
      <c r="L824" s="170"/>
      <c r="M824" s="170"/>
      <c r="N824" s="170"/>
      <c r="O824" s="170"/>
      <c r="T824" s="138"/>
      <c r="X824" s="339"/>
      <c r="Z824" s="339"/>
      <c r="AC824" s="339"/>
    </row>
    <row r="825" spans="1:46" ht="15" customHeight="1">
      <c r="A825" s="95"/>
      <c r="B825" s="170" t="s">
        <v>867</v>
      </c>
      <c r="C825" s="350"/>
      <c r="D825" s="170"/>
      <c r="E825" s="124" t="s">
        <v>864</v>
      </c>
      <c r="F825" s="170" t="s">
        <v>1925</v>
      </c>
      <c r="G825" s="170"/>
      <c r="H825" s="170"/>
      <c r="I825" s="170"/>
      <c r="J825" s="170"/>
      <c r="K825" s="170"/>
      <c r="L825" s="170"/>
      <c r="M825" s="170"/>
      <c r="N825" s="170"/>
      <c r="O825" s="170"/>
      <c r="X825" s="339"/>
      <c r="Z825" s="339"/>
      <c r="AC825" s="339"/>
    </row>
    <row r="826" spans="1:46" ht="15" customHeight="1">
      <c r="A826" s="95"/>
      <c r="B826" s="170" t="s">
        <v>868</v>
      </c>
      <c r="C826" s="350"/>
      <c r="D826" s="170"/>
      <c r="E826" s="124" t="s">
        <v>864</v>
      </c>
      <c r="F826" s="170" t="s">
        <v>1926</v>
      </c>
      <c r="G826" s="170"/>
      <c r="H826" s="170"/>
      <c r="I826" s="170"/>
      <c r="J826" s="170"/>
      <c r="K826" s="170"/>
      <c r="L826" s="170"/>
      <c r="M826" s="170"/>
      <c r="N826" s="170"/>
      <c r="O826" s="170"/>
      <c r="X826" s="339"/>
      <c r="Z826" s="339"/>
      <c r="AC826" s="339"/>
    </row>
    <row r="827" spans="1:46" ht="15" customHeight="1">
      <c r="A827" s="95"/>
      <c r="B827" s="170" t="s">
        <v>869</v>
      </c>
      <c r="C827" s="350"/>
      <c r="D827" s="170"/>
      <c r="E827" s="124" t="s">
        <v>864</v>
      </c>
      <c r="F827" s="170" t="s">
        <v>870</v>
      </c>
      <c r="G827" s="170"/>
      <c r="H827" s="170"/>
      <c r="I827" s="170"/>
      <c r="J827" s="170"/>
      <c r="K827" s="170"/>
      <c r="L827" s="170"/>
      <c r="M827" s="170"/>
      <c r="N827" s="170"/>
      <c r="O827" s="170"/>
      <c r="X827" s="339"/>
      <c r="Z827" s="339"/>
      <c r="AC827" s="339"/>
    </row>
    <row r="828" spans="1:46" ht="15" customHeight="1">
      <c r="A828" s="95"/>
      <c r="B828" s="96"/>
      <c r="C828" s="160"/>
      <c r="D828" s="170"/>
      <c r="E828" s="170"/>
      <c r="F828" s="170"/>
      <c r="G828" s="170"/>
      <c r="H828" s="170"/>
      <c r="I828" s="170"/>
      <c r="J828" s="170"/>
      <c r="K828" s="170"/>
      <c r="L828" s="170"/>
      <c r="M828" s="170"/>
      <c r="N828" s="170"/>
      <c r="O828" s="170"/>
      <c r="X828" s="339"/>
      <c r="Z828" s="339"/>
      <c r="AC828" s="339"/>
    </row>
    <row r="829" spans="1:46" ht="15" customHeight="1" thickBot="1">
      <c r="A829" s="95"/>
      <c r="B829" s="445" t="s">
        <v>1803</v>
      </c>
      <c r="C829" s="160"/>
      <c r="D829" s="170"/>
      <c r="E829" s="170"/>
      <c r="F829" s="170"/>
      <c r="G829" s="170"/>
      <c r="H829" s="170"/>
      <c r="I829" s="170"/>
      <c r="J829" s="170"/>
      <c r="K829" s="170"/>
      <c r="L829" s="170"/>
      <c r="M829" s="170"/>
      <c r="N829" s="170"/>
      <c r="O829" s="170"/>
      <c r="X829" s="466"/>
      <c r="Z829" s="466"/>
      <c r="AC829" s="466"/>
    </row>
    <row r="830" spans="1:46" ht="15" customHeight="1">
      <c r="B830" s="535" t="s">
        <v>16</v>
      </c>
      <c r="C830" s="536" t="s">
        <v>860</v>
      </c>
      <c r="D830" s="1918" t="s">
        <v>200</v>
      </c>
      <c r="E830" s="1919"/>
      <c r="F830" s="1918" t="s">
        <v>1616</v>
      </c>
      <c r="G830" s="1919"/>
      <c r="H830" s="1918" t="s">
        <v>859</v>
      </c>
      <c r="I830" s="1919"/>
      <c r="J830" s="1918" t="s">
        <v>195</v>
      </c>
      <c r="K830" s="1919"/>
      <c r="L830" s="1918" t="s">
        <v>861</v>
      </c>
      <c r="M830" s="1919"/>
      <c r="N830" s="1918" t="s">
        <v>862</v>
      </c>
      <c r="O830" s="1912"/>
      <c r="V830" s="508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J830" s="143"/>
      <c r="AK830" s="143"/>
      <c r="AL830" s="143"/>
      <c r="AM830" s="143"/>
      <c r="AN830" s="143"/>
      <c r="AO830" s="143"/>
      <c r="AP830" s="143"/>
      <c r="AQ830" s="143"/>
      <c r="AR830" s="143"/>
      <c r="AS830" s="143"/>
      <c r="AT830" s="143"/>
    </row>
    <row r="831" spans="1:46" ht="15" customHeight="1">
      <c r="B831" s="537"/>
      <c r="C831" s="262" t="s">
        <v>694</v>
      </c>
      <c r="D831" s="532" t="s">
        <v>231</v>
      </c>
      <c r="E831" s="532" t="s">
        <v>232</v>
      </c>
      <c r="F831" s="524" t="s">
        <v>231</v>
      </c>
      <c r="G831" s="524" t="s">
        <v>232</v>
      </c>
      <c r="H831" s="524" t="s">
        <v>231</v>
      </c>
      <c r="I831" s="524" t="s">
        <v>232</v>
      </c>
      <c r="J831" s="524" t="s">
        <v>231</v>
      </c>
      <c r="K831" s="524" t="s">
        <v>232</v>
      </c>
      <c r="L831" s="532" t="s">
        <v>231</v>
      </c>
      <c r="M831" s="532" t="s">
        <v>232</v>
      </c>
      <c r="N831" s="532" t="s">
        <v>231</v>
      </c>
      <c r="O831" s="526" t="s">
        <v>232</v>
      </c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J831" s="143"/>
      <c r="AK831" s="143"/>
      <c r="AL831" s="143"/>
      <c r="AM831" s="143"/>
      <c r="AN831" s="143"/>
      <c r="AO831" s="143"/>
      <c r="AP831" s="143"/>
      <c r="AQ831" s="143"/>
      <c r="AR831" s="143"/>
      <c r="AS831" s="143"/>
      <c r="AT831" s="143"/>
    </row>
    <row r="832" spans="1:46" ht="15" customHeight="1">
      <c r="B832" s="518" t="str">
        <f>+input!B3</f>
        <v>101i</v>
      </c>
      <c r="C832" s="538" t="str">
        <f t="shared" ref="C832:C863" si="105">IF(B567+D567+F567&lt;=0,"Positive","Negative")</f>
        <v>Negative</v>
      </c>
      <c r="D832" s="821">
        <f t="shared" ref="D832:D863" si="106">1.25*(B567+D567+IF(C832="Positive",F567,B697))</f>
        <v>4.3452189183266609E-4</v>
      </c>
      <c r="E832" s="821">
        <f t="shared" ref="E832:E863" si="107">1.25*(C567+E567+IF(C832="Positive",G567,C697))</f>
        <v>-3.8833456155582815E-4</v>
      </c>
      <c r="F832" s="527">
        <f t="shared" ref="F832:F863" si="108">1.25*(B567+D567)+IF(C832="Positive",1.25*F567+1.25*H567+1.5*J567+1.8*L567,1.25*D697+1.25*F697+1.5*H697+1.8*L697)</f>
        <v>2.8039235926693052E-4</v>
      </c>
      <c r="G832" s="527">
        <f t="shared" ref="G832:G863" si="109">1.25*(C567+E567)+IF(C832="Positive",1.25*G567+1.25*I567+1.5*K567+1.8*M567,1.25*E697+1.25*G697+1.5*I697+1.8*M697)</f>
        <v>-2.3821440573426115E-4</v>
      </c>
      <c r="H832" s="527">
        <f t="shared" ref="H832:H863" si="110">1*(B567+D567)+IF(C832="Positive",1*F567+1*H567+1*J567+1*L567,1*D697+1*F697+1*H697+1*L697)</f>
        <v>2.4486449175564252E-4</v>
      </c>
      <c r="I832" s="527">
        <f t="shared" ref="I832:I863" si="111">1*(C567+E567)+IF(C832="Positive",1*G567+1*I567+1*K567+1*M567,1*E697+1*G697+1*I697+1*M697)</f>
        <v>-2.1058754536361785E-4</v>
      </c>
      <c r="J832" s="527">
        <f t="shared" ref="J832:J863" si="112">1*(B567+D567)+IF(C832="Positive",1*F567+1*H567+1*J567+1.3*L567,1*D697+1*F697+1*H697+1.3*L697)</f>
        <v>2.4486449175564252E-4</v>
      </c>
      <c r="K832" s="527">
        <f t="shared" ref="K832:K863" si="113">1*(C567+E567)+IF(C832="Positive",1*G567+1*I567+1*K567+1.3*M567,1*E697+1*G697+1*I697+1.3*M697)</f>
        <v>-2.1058754536361785E-4</v>
      </c>
      <c r="L832" s="822">
        <f>0.75*IF(C832="Positive",-L49/H437*10^6,-L49/L437*10^6)</f>
        <v>-1.2540158180711434E-4</v>
      </c>
      <c r="M832" s="822">
        <f t="shared" ref="M832:M863" si="114">0.75*IF(C832="Positive",L49/I437*10^6,L49/M437*10^6)</f>
        <v>1.4250267214084748E-4</v>
      </c>
      <c r="N832" s="822">
        <f t="shared" ref="N832:N863" si="115">0.75*IF(C832="Positive",-M49/H437*10^6,-M49/L437*10^6)</f>
        <v>6.2700790903557171E-5</v>
      </c>
      <c r="O832" s="823">
        <f t="shared" ref="O832:O863" si="116">0.75*IF(C832="Positive",M49/I437*10^6,M49/M437*10^6)</f>
        <v>-7.1251336070423741E-5</v>
      </c>
      <c r="V832" s="147" t="s">
        <v>863</v>
      </c>
      <c r="W832" s="509"/>
      <c r="X832" s="73"/>
      <c r="Y832" s="122"/>
      <c r="Z832" s="73"/>
      <c r="AA832" s="122"/>
      <c r="AB832" s="122"/>
      <c r="AC832" s="122"/>
      <c r="AD832" s="122"/>
      <c r="AE832" s="122"/>
      <c r="AF832" s="122"/>
      <c r="AG832" s="170"/>
      <c r="AH832" s="170"/>
      <c r="AI832" s="170"/>
      <c r="AJ832" s="143"/>
      <c r="AK832" s="143"/>
      <c r="AL832" s="143"/>
      <c r="AM832" s="143"/>
      <c r="AN832" s="143"/>
      <c r="AO832" s="143"/>
      <c r="AP832" s="143"/>
      <c r="AQ832" s="143"/>
      <c r="AR832" s="143"/>
      <c r="AS832" s="143"/>
      <c r="AT832" s="143"/>
    </row>
    <row r="833" spans="2:46" ht="15" customHeight="1">
      <c r="B833" s="518" t="str">
        <f>+input!B4</f>
        <v>101j</v>
      </c>
      <c r="C833" s="538" t="str">
        <f t="shared" si="105"/>
        <v>Negative</v>
      </c>
      <c r="D833" s="821">
        <f t="shared" si="106"/>
        <v>0.15541399664548358</v>
      </c>
      <c r="E833" s="821">
        <f t="shared" si="107"/>
        <v>-0.13889432818313455</v>
      </c>
      <c r="F833" s="527">
        <f t="shared" si="108"/>
        <v>2.345533531424854</v>
      </c>
      <c r="G833" s="527">
        <f t="shared" si="109"/>
        <v>-2.6221339032378883</v>
      </c>
      <c r="H833" s="527">
        <f t="shared" si="110"/>
        <v>1.3469497369373435</v>
      </c>
      <c r="I833" s="527">
        <f t="shared" si="111"/>
        <v>-1.4964253701936685</v>
      </c>
      <c r="J833" s="527">
        <f t="shared" si="112"/>
        <v>1.7062754294474489</v>
      </c>
      <c r="K833" s="527">
        <f t="shared" si="113"/>
        <v>-1.904752526946053</v>
      </c>
      <c r="L833" s="821">
        <f t="shared" ref="L833:L863" si="117">0.75*IF(C833="Positive",-L50/H438*10^6,-L50/L438*10^6)</f>
        <v>-6.2700790903557171E-5</v>
      </c>
      <c r="M833" s="821">
        <f t="shared" si="114"/>
        <v>7.1251336070423741E-5</v>
      </c>
      <c r="N833" s="821">
        <f t="shared" si="115"/>
        <v>0.65610107601482226</v>
      </c>
      <c r="O833" s="824">
        <f t="shared" si="116"/>
        <v>-0.74557398064091407</v>
      </c>
      <c r="V833" s="73"/>
      <c r="W833" s="122" t="s">
        <v>1462</v>
      </c>
      <c r="X833" s="74"/>
      <c r="Y833" s="73"/>
      <c r="Z833" s="73"/>
      <c r="AA833" s="122"/>
      <c r="AB833" s="122"/>
      <c r="AC833" s="122"/>
      <c r="AD833" s="122"/>
      <c r="AE833" s="122"/>
      <c r="AF833" s="122"/>
      <c r="AG833" s="170"/>
      <c r="AH833" s="170"/>
      <c r="AI833" s="170"/>
      <c r="AJ833" s="143"/>
      <c r="AK833" s="143"/>
      <c r="AL833" s="143"/>
      <c r="AM833" s="143"/>
      <c r="AN833" s="143"/>
      <c r="AO833" s="143"/>
      <c r="AP833" s="143"/>
      <c r="AQ833" s="143"/>
      <c r="AR833" s="143"/>
      <c r="AS833" s="143"/>
      <c r="AT833" s="143"/>
    </row>
    <row r="834" spans="2:46" ht="15" customHeight="1">
      <c r="B834" s="518" t="str">
        <f>+input!B5</f>
        <v>102i</v>
      </c>
      <c r="C834" s="538" t="str">
        <f t="shared" si="105"/>
        <v>Negative</v>
      </c>
      <c r="D834" s="821">
        <f t="shared" si="106"/>
        <v>0.15599335916792711</v>
      </c>
      <c r="E834" s="821">
        <f t="shared" si="107"/>
        <v>-0.13941210759854231</v>
      </c>
      <c r="F834" s="527">
        <f t="shared" si="108"/>
        <v>2.3455184164380651</v>
      </c>
      <c r="G834" s="527">
        <f t="shared" si="109"/>
        <v>-2.6220971051067279</v>
      </c>
      <c r="H834" s="527">
        <f t="shared" si="110"/>
        <v>1.346983062901284</v>
      </c>
      <c r="I834" s="527">
        <f t="shared" si="111"/>
        <v>-1.4964341949880167</v>
      </c>
      <c r="J834" s="527">
        <f t="shared" si="112"/>
        <v>1.7063338357277509</v>
      </c>
      <c r="K834" s="527">
        <f t="shared" si="113"/>
        <v>-1.9047898522748292</v>
      </c>
      <c r="L834" s="821">
        <f t="shared" si="117"/>
        <v>-1.2540158180711434E-4</v>
      </c>
      <c r="M834" s="821">
        <f t="shared" si="114"/>
        <v>1.4250267214084748E-4</v>
      </c>
      <c r="N834" s="821">
        <f t="shared" si="115"/>
        <v>0.65603837522391861</v>
      </c>
      <c r="O834" s="824">
        <f t="shared" si="116"/>
        <v>-0.74550272930484363</v>
      </c>
      <c r="V834" s="73"/>
      <c r="W834" s="122" t="s">
        <v>1928</v>
      </c>
      <c r="X834" s="74"/>
      <c r="Y834" s="73"/>
      <c r="Z834" s="73"/>
      <c r="AA834" s="122"/>
      <c r="AB834" s="122"/>
      <c r="AC834" s="122"/>
      <c r="AD834" s="122"/>
      <c r="AE834" s="122"/>
      <c r="AF834" s="122"/>
      <c r="AG834" s="170"/>
      <c r="AH834" s="170"/>
      <c r="AI834" s="170"/>
      <c r="AJ834" s="143"/>
      <c r="AK834" s="143"/>
      <c r="AL834" s="143"/>
      <c r="AM834" s="143"/>
      <c r="AN834" s="143"/>
      <c r="AO834" s="143"/>
      <c r="AP834" s="143"/>
      <c r="AQ834" s="143"/>
      <c r="AR834" s="143"/>
      <c r="AS834" s="143"/>
      <c r="AT834" s="143"/>
    </row>
    <row r="835" spans="2:46" ht="15" customHeight="1">
      <c r="B835" s="518" t="str">
        <f>+input!B6</f>
        <v>102j</v>
      </c>
      <c r="C835" s="538" t="str">
        <f t="shared" si="105"/>
        <v>Positive</v>
      </c>
      <c r="D835" s="821">
        <f t="shared" si="106"/>
        <v>-76.804496353405341</v>
      </c>
      <c r="E835" s="821">
        <f t="shared" si="107"/>
        <v>68.640593207215815</v>
      </c>
      <c r="F835" s="527">
        <f t="shared" si="108"/>
        <v>-90.408354112373843</v>
      </c>
      <c r="G835" s="527">
        <f t="shared" si="109"/>
        <v>128.09322785796388</v>
      </c>
      <c r="H835" s="527">
        <f t="shared" si="110"/>
        <v>-70.249799293908936</v>
      </c>
      <c r="I835" s="527">
        <f t="shared" si="111"/>
        <v>91.04463296491231</v>
      </c>
      <c r="J835" s="527">
        <f t="shared" si="112"/>
        <v>-71.334950875146163</v>
      </c>
      <c r="K835" s="527">
        <f t="shared" si="113"/>
        <v>98.015377329802618</v>
      </c>
      <c r="L835" s="821">
        <f t="shared" si="117"/>
        <v>-0.85852635721792558</v>
      </c>
      <c r="M835" s="821">
        <f t="shared" si="114"/>
        <v>5.5149601863579569</v>
      </c>
      <c r="N835" s="821">
        <f t="shared" si="115"/>
        <v>7.9344420514613392E-2</v>
      </c>
      <c r="O835" s="824">
        <f t="shared" si="116"/>
        <v>-0.50968885983387713</v>
      </c>
      <c r="V835" s="147" t="s">
        <v>865</v>
      </c>
      <c r="W835" s="510"/>
      <c r="X835" s="74"/>
      <c r="Y835" s="122"/>
      <c r="Z835" s="73"/>
      <c r="AA835" s="122"/>
      <c r="AB835" s="122"/>
      <c r="AC835" s="122"/>
      <c r="AD835" s="122"/>
      <c r="AE835" s="122"/>
      <c r="AF835" s="122"/>
      <c r="AG835" s="170"/>
      <c r="AH835" s="170"/>
      <c r="AI835" s="170"/>
      <c r="AJ835" s="143"/>
      <c r="AK835" s="143"/>
      <c r="AL835" s="143"/>
      <c r="AM835" s="143"/>
      <c r="AN835" s="143"/>
      <c r="AO835" s="143"/>
      <c r="AP835" s="143"/>
      <c r="AQ835" s="143"/>
      <c r="AR835" s="143"/>
      <c r="AS835" s="143"/>
      <c r="AT835" s="143"/>
    </row>
    <row r="836" spans="2:46" ht="15" customHeight="1">
      <c r="B836" s="518" t="str">
        <f>+input!B7</f>
        <v>103i</v>
      </c>
      <c r="C836" s="538" t="str">
        <f t="shared" si="105"/>
        <v>Positive</v>
      </c>
      <c r="D836" s="821">
        <f t="shared" si="106"/>
        <v>-55.882227353329924</v>
      </c>
      <c r="E836" s="821">
        <f t="shared" si="107"/>
        <v>48.270319577395639</v>
      </c>
      <c r="F836" s="527">
        <f t="shared" si="108"/>
        <v>-68.142408729349881</v>
      </c>
      <c r="G836" s="527">
        <f t="shared" si="109"/>
        <v>92.190202173328899</v>
      </c>
      <c r="H836" s="527">
        <f t="shared" si="110"/>
        <v>-52.593504639899763</v>
      </c>
      <c r="I836" s="527">
        <f t="shared" si="111"/>
        <v>65.301357393613458</v>
      </c>
      <c r="J836" s="527">
        <f t="shared" si="112"/>
        <v>-53.617563055074484</v>
      </c>
      <c r="K836" s="527">
        <f t="shared" si="113"/>
        <v>70.457604527347627</v>
      </c>
      <c r="L836" s="821">
        <f t="shared" si="117"/>
        <v>-0.81019201000096852</v>
      </c>
      <c r="M836" s="821">
        <f t="shared" si="114"/>
        <v>4.0794061817548464</v>
      </c>
      <c r="N836" s="821">
        <f t="shared" si="115"/>
        <v>7.4877393103469983E-2</v>
      </c>
      <c r="O836" s="824">
        <f t="shared" si="116"/>
        <v>-0.37701593761658803</v>
      </c>
      <c r="V836" s="73"/>
      <c r="W836" s="122" t="s">
        <v>1929</v>
      </c>
      <c r="X836" s="74"/>
      <c r="Y836" s="73"/>
      <c r="Z836" s="73"/>
      <c r="AA836" s="122"/>
      <c r="AB836" s="122"/>
      <c r="AC836" s="122"/>
      <c r="AD836" s="122"/>
      <c r="AE836" s="122"/>
      <c r="AF836" s="122"/>
      <c r="AG836" s="170"/>
      <c r="AH836" s="170"/>
      <c r="AI836" s="170"/>
      <c r="AJ836" s="143"/>
      <c r="AK836" s="143"/>
      <c r="AL836" s="143"/>
      <c r="AM836" s="143"/>
      <c r="AN836" s="143"/>
      <c r="AO836" s="143"/>
      <c r="AP836" s="143"/>
      <c r="AQ836" s="143"/>
      <c r="AR836" s="143"/>
      <c r="AS836" s="143"/>
      <c r="AT836" s="143"/>
    </row>
    <row r="837" spans="2:46" ht="15" customHeight="1">
      <c r="B837" s="518" t="str">
        <f>+input!B8</f>
        <v>103j</v>
      </c>
      <c r="C837" s="538" t="str">
        <f t="shared" si="105"/>
        <v>Positive</v>
      </c>
      <c r="D837" s="821">
        <f t="shared" si="106"/>
        <v>-126.69109128803922</v>
      </c>
      <c r="E837" s="821">
        <f t="shared" si="107"/>
        <v>109.43406792675474</v>
      </c>
      <c r="F837" s="527">
        <f t="shared" si="108"/>
        <v>-154.34677877930403</v>
      </c>
      <c r="G837" s="527">
        <f t="shared" si="109"/>
        <v>208.06705623472254</v>
      </c>
      <c r="H837" s="527">
        <f t="shared" si="110"/>
        <v>-119.17404484149023</v>
      </c>
      <c r="I837" s="527">
        <f t="shared" si="111"/>
        <v>147.55875346487727</v>
      </c>
      <c r="J837" s="527">
        <f t="shared" si="112"/>
        <v>-121.45895167896074</v>
      </c>
      <c r="K837" s="527">
        <f t="shared" si="113"/>
        <v>159.06351154993905</v>
      </c>
      <c r="L837" s="821">
        <f t="shared" si="117"/>
        <v>-1.6283170487706551</v>
      </c>
      <c r="M837" s="821">
        <f t="shared" si="114"/>
        <v>8.1987560388356293</v>
      </c>
      <c r="N837" s="821">
        <f t="shared" si="115"/>
        <v>6.3682262652900765E-2</v>
      </c>
      <c r="O837" s="824">
        <f t="shared" si="116"/>
        <v>-0.3206472203225858</v>
      </c>
      <c r="V837" s="73"/>
      <c r="W837" s="122" t="s">
        <v>1930</v>
      </c>
      <c r="X837" s="74"/>
      <c r="Y837" s="73"/>
      <c r="Z837" s="73"/>
      <c r="AA837" s="122"/>
      <c r="AB837" s="73"/>
      <c r="AC837" s="73"/>
      <c r="AD837" s="73"/>
      <c r="AE837" s="73"/>
      <c r="AF837" s="73"/>
      <c r="AJ837" s="143"/>
      <c r="AK837" s="143"/>
      <c r="AL837" s="143"/>
      <c r="AM837" s="143"/>
      <c r="AN837" s="143"/>
      <c r="AO837" s="143"/>
      <c r="AP837" s="143"/>
      <c r="AQ837" s="143"/>
      <c r="AR837" s="143"/>
      <c r="AS837" s="143"/>
      <c r="AT837" s="143"/>
    </row>
    <row r="838" spans="2:46" ht="15" customHeight="1">
      <c r="B838" s="518" t="str">
        <f>+input!B9</f>
        <v>104i</v>
      </c>
      <c r="C838" s="538" t="str">
        <f t="shared" si="105"/>
        <v>Positive</v>
      </c>
      <c r="D838" s="821">
        <f t="shared" si="106"/>
        <v>-126.69077513281543</v>
      </c>
      <c r="E838" s="821">
        <f t="shared" si="107"/>
        <v>109.43379483610656</v>
      </c>
      <c r="F838" s="527">
        <f t="shared" si="108"/>
        <v>-154.34641178166035</v>
      </c>
      <c r="G838" s="527">
        <f t="shared" si="109"/>
        <v>208.06673383248744</v>
      </c>
      <c r="H838" s="527">
        <f t="shared" si="110"/>
        <v>-119.1737463236675</v>
      </c>
      <c r="I838" s="527">
        <f t="shared" si="111"/>
        <v>147.55847077181767</v>
      </c>
      <c r="J838" s="527">
        <f t="shared" si="112"/>
        <v>-121.45865651548422</v>
      </c>
      <c r="K838" s="527">
        <f t="shared" si="113"/>
        <v>159.06324574638279</v>
      </c>
      <c r="L838" s="821">
        <f t="shared" si="117"/>
        <v>-1.6283086629051491</v>
      </c>
      <c r="M838" s="821">
        <f t="shared" si="114"/>
        <v>8.1987138150773582</v>
      </c>
      <c r="N838" s="821">
        <f t="shared" si="115"/>
        <v>6.3682262652900765E-2</v>
      </c>
      <c r="O838" s="824">
        <f t="shared" si="116"/>
        <v>-0.3206472203225858</v>
      </c>
      <c r="V838" s="147" t="s">
        <v>1463</v>
      </c>
      <c r="W838" s="510"/>
      <c r="X838" s="73"/>
      <c r="Y838" s="73"/>
      <c r="Z838" s="73"/>
      <c r="AA838" s="73"/>
      <c r="AB838" s="73"/>
      <c r="AC838" s="73"/>
      <c r="AD838" s="73"/>
      <c r="AE838" s="73"/>
      <c r="AF838" s="73"/>
      <c r="AJ838" s="143"/>
      <c r="AK838" s="143"/>
      <c r="AL838" s="143"/>
      <c r="AM838" s="143"/>
      <c r="AN838" s="143"/>
      <c r="AO838" s="143"/>
      <c r="AP838" s="143"/>
      <c r="AQ838" s="143"/>
      <c r="AR838" s="143"/>
      <c r="AS838" s="143"/>
      <c r="AT838" s="143"/>
    </row>
    <row r="839" spans="2:46" ht="15" customHeight="1">
      <c r="B839" s="518" t="str">
        <f>+input!B10</f>
        <v>104j</v>
      </c>
      <c r="C839" s="538" t="str">
        <f t="shared" si="105"/>
        <v>Positive</v>
      </c>
      <c r="D839" s="821">
        <f t="shared" si="106"/>
        <v>-206.18811154298578</v>
      </c>
      <c r="E839" s="821">
        <f t="shared" si="107"/>
        <v>178.10252934820704</v>
      </c>
      <c r="F839" s="527">
        <f t="shared" si="108"/>
        <v>-250.70247961199954</v>
      </c>
      <c r="G839" s="527">
        <f t="shared" si="109"/>
        <v>336.57490022290699</v>
      </c>
      <c r="H839" s="527">
        <f t="shared" si="110"/>
        <v>-193.64964871065715</v>
      </c>
      <c r="I839" s="527">
        <f t="shared" si="111"/>
        <v>238.94734157058571</v>
      </c>
      <c r="J839" s="527">
        <f t="shared" si="112"/>
        <v>-197.31102157532837</v>
      </c>
      <c r="K839" s="527">
        <f t="shared" si="113"/>
        <v>257.38275800703201</v>
      </c>
      <c r="L839" s="821">
        <f t="shared" si="117"/>
        <v>-2.551919503875367</v>
      </c>
      <c r="M839" s="821">
        <f t="shared" si="114"/>
        <v>12.84919632746994</v>
      </c>
      <c r="N839" s="821">
        <f t="shared" si="115"/>
        <v>0.13327656048756281</v>
      </c>
      <c r="O839" s="824">
        <f t="shared" si="116"/>
        <v>-0.67106219022739755</v>
      </c>
      <c r="V839" s="73"/>
      <c r="W839" s="122" t="s">
        <v>1931</v>
      </c>
      <c r="X839" s="73"/>
      <c r="Y839" s="73"/>
      <c r="Z839" s="73"/>
      <c r="AA839" s="73"/>
      <c r="AB839" s="73"/>
      <c r="AC839" s="73"/>
      <c r="AD839" s="73"/>
      <c r="AE839" s="73"/>
      <c r="AF839" s="73"/>
      <c r="AJ839" s="143"/>
      <c r="AK839" s="143"/>
      <c r="AL839" s="143"/>
      <c r="AM839" s="143"/>
      <c r="AN839" s="143"/>
      <c r="AO839" s="143"/>
      <c r="AP839" s="143"/>
      <c r="AQ839" s="143"/>
      <c r="AR839" s="143"/>
      <c r="AS839" s="143"/>
      <c r="AT839" s="143"/>
    </row>
    <row r="840" spans="2:46" ht="15" customHeight="1">
      <c r="B840" s="518" t="str">
        <f>+input!B11</f>
        <v>105i</v>
      </c>
      <c r="C840" s="538" t="str">
        <f t="shared" si="105"/>
        <v>Positive</v>
      </c>
      <c r="D840" s="821">
        <f t="shared" si="106"/>
        <v>-166.27986034713479</v>
      </c>
      <c r="E840" s="821">
        <f t="shared" si="107"/>
        <v>114.65459966380237</v>
      </c>
      <c r="F840" s="527">
        <f t="shared" si="108"/>
        <v>-208.36702562586024</v>
      </c>
      <c r="G840" s="527">
        <f t="shared" si="109"/>
        <v>220.92317771867664</v>
      </c>
      <c r="H840" s="527">
        <f t="shared" si="110"/>
        <v>-160.02397870096712</v>
      </c>
      <c r="I840" s="527">
        <f t="shared" si="111"/>
        <v>156.38596665312195</v>
      </c>
      <c r="J840" s="527">
        <f t="shared" si="112"/>
        <v>-163.61278114435103</v>
      </c>
      <c r="K840" s="527">
        <f t="shared" si="113"/>
        <v>168.77258855260271</v>
      </c>
      <c r="L840" s="821">
        <f t="shared" si="117"/>
        <v>-2.5013390575967294</v>
      </c>
      <c r="M840" s="821">
        <f t="shared" si="114"/>
        <v>8.6332813348287463</v>
      </c>
      <c r="N840" s="821">
        <f t="shared" si="115"/>
        <v>0.13063494585289054</v>
      </c>
      <c r="O840" s="824">
        <f t="shared" si="116"/>
        <v>-0.45088179320708116</v>
      </c>
      <c r="V840" s="73"/>
      <c r="W840" s="122" t="s">
        <v>1932</v>
      </c>
      <c r="X840" s="73"/>
      <c r="Y840" s="73"/>
      <c r="Z840" s="73"/>
      <c r="AA840" s="73"/>
      <c r="AB840" s="73"/>
      <c r="AC840" s="73"/>
      <c r="AD840" s="73"/>
      <c r="AE840" s="73"/>
      <c r="AF840" s="73"/>
      <c r="AJ840" s="143"/>
      <c r="AK840" s="143"/>
      <c r="AL840" s="143"/>
      <c r="AM840" s="143"/>
      <c r="AN840" s="143"/>
      <c r="AO840" s="143"/>
      <c r="AP840" s="143"/>
      <c r="AQ840" s="143"/>
      <c r="AR840" s="143"/>
      <c r="AS840" s="143"/>
      <c r="AT840" s="143"/>
    </row>
    <row r="841" spans="2:46" ht="15" customHeight="1">
      <c r="B841" s="518" t="str">
        <f>+input!B12</f>
        <v>105j</v>
      </c>
      <c r="C841" s="538" t="str">
        <f t="shared" si="105"/>
        <v>Positive</v>
      </c>
      <c r="D841" s="821">
        <f t="shared" si="106"/>
        <v>-219.04242391683582</v>
      </c>
      <c r="E841" s="821">
        <f t="shared" si="107"/>
        <v>151.03585828821303</v>
      </c>
      <c r="F841" s="527">
        <f t="shared" si="108"/>
        <v>-274.06494366174275</v>
      </c>
      <c r="G841" s="527">
        <f t="shared" si="109"/>
        <v>289.73357691519402</v>
      </c>
      <c r="H841" s="527">
        <f t="shared" si="110"/>
        <v>-210.55638211692573</v>
      </c>
      <c r="I841" s="527">
        <f t="shared" si="111"/>
        <v>205.27298416378477</v>
      </c>
      <c r="J841" s="527">
        <f t="shared" si="112"/>
        <v>-215.22779506293875</v>
      </c>
      <c r="K841" s="527">
        <f t="shared" si="113"/>
        <v>221.39619707712728</v>
      </c>
      <c r="L841" s="821">
        <f t="shared" si="117"/>
        <v>-2.973180021023353</v>
      </c>
      <c r="M841" s="821">
        <f t="shared" si="114"/>
        <v>10.261823363222332</v>
      </c>
      <c r="N841" s="821">
        <f t="shared" si="115"/>
        <v>0.18394761550631328</v>
      </c>
      <c r="O841" s="824">
        <f t="shared" si="116"/>
        <v>-0.63488854528290872</v>
      </c>
      <c r="V841" s="147" t="s">
        <v>1464</v>
      </c>
      <c r="W841" s="510"/>
      <c r="X841" s="73"/>
      <c r="Y841" s="73"/>
      <c r="Z841" s="73"/>
      <c r="AA841" s="73"/>
      <c r="AB841" s="73"/>
      <c r="AC841" s="73"/>
      <c r="AD841" s="73"/>
      <c r="AE841" s="73"/>
      <c r="AF841" s="73"/>
      <c r="AJ841" s="143"/>
      <c r="AK841" s="143"/>
      <c r="AL841" s="143"/>
      <c r="AM841" s="143"/>
      <c r="AN841" s="143"/>
      <c r="AO841" s="143"/>
      <c r="AP841" s="143"/>
      <c r="AQ841" s="143"/>
      <c r="AR841" s="143"/>
      <c r="AS841" s="143"/>
      <c r="AT841" s="143"/>
    </row>
    <row r="842" spans="2:46" ht="15" customHeight="1">
      <c r="B842" s="518" t="str">
        <f>+input!B13</f>
        <v>106i</v>
      </c>
      <c r="C842" s="538" t="str">
        <f t="shared" si="105"/>
        <v>Positive</v>
      </c>
      <c r="D842" s="821">
        <f t="shared" si="106"/>
        <v>-219.04182900209335</v>
      </c>
      <c r="E842" s="821">
        <f t="shared" si="107"/>
        <v>151.03544807791161</v>
      </c>
      <c r="F842" s="527">
        <f t="shared" si="108"/>
        <v>-274.06439403597767</v>
      </c>
      <c r="G842" s="527">
        <f t="shared" si="109"/>
        <v>289.73323710023715</v>
      </c>
      <c r="H842" s="527">
        <f t="shared" si="110"/>
        <v>-210.55593206454742</v>
      </c>
      <c r="I842" s="527">
        <f t="shared" si="111"/>
        <v>205.27269622145479</v>
      </c>
      <c r="J842" s="527">
        <f t="shared" si="112"/>
        <v>-215.22734501056041</v>
      </c>
      <c r="K842" s="527">
        <f t="shared" si="113"/>
        <v>221.39590913479728</v>
      </c>
      <c r="L842" s="821">
        <f t="shared" si="117"/>
        <v>-2.9731718013703072</v>
      </c>
      <c r="M842" s="821">
        <f t="shared" si="114"/>
        <v>10.261794993386985</v>
      </c>
      <c r="N842" s="821">
        <f t="shared" si="115"/>
        <v>0.18394761550631328</v>
      </c>
      <c r="O842" s="824">
        <f t="shared" si="116"/>
        <v>-0.63488854528290872</v>
      </c>
      <c r="V842" s="73"/>
      <c r="W842" s="122" t="s">
        <v>1933</v>
      </c>
      <c r="X842" s="73"/>
      <c r="Y842" s="73"/>
      <c r="Z842" s="73"/>
      <c r="AA842" s="73"/>
      <c r="AB842" s="73"/>
      <c r="AC842" s="73"/>
      <c r="AD842" s="73"/>
      <c r="AE842" s="73"/>
      <c r="AF842" s="73"/>
      <c r="AJ842" s="143"/>
      <c r="AK842" s="143"/>
      <c r="AL842" s="143"/>
      <c r="AM842" s="143"/>
      <c r="AN842" s="143"/>
      <c r="AO842" s="143"/>
      <c r="AP842" s="143"/>
      <c r="AQ842" s="143"/>
      <c r="AR842" s="143"/>
      <c r="AS842" s="143"/>
      <c r="AT842" s="143"/>
    </row>
    <row r="843" spans="2:46" ht="15" customHeight="1">
      <c r="B843" s="518" t="str">
        <f>+input!B14</f>
        <v>106j</v>
      </c>
      <c r="C843" s="538" t="str">
        <f t="shared" si="105"/>
        <v>Positive</v>
      </c>
      <c r="D843" s="821">
        <f t="shared" si="106"/>
        <v>-255.72478194911668</v>
      </c>
      <c r="E843" s="821">
        <f t="shared" si="107"/>
        <v>176.32936687148444</v>
      </c>
      <c r="F843" s="527">
        <f t="shared" si="108"/>
        <v>-319.50697310896152</v>
      </c>
      <c r="G843" s="527">
        <f t="shared" si="109"/>
        <v>337.00212297254143</v>
      </c>
      <c r="H843" s="527">
        <f t="shared" si="110"/>
        <v>-245.53321766037919</v>
      </c>
      <c r="I843" s="527">
        <f t="shared" si="111"/>
        <v>238.90439848518645</v>
      </c>
      <c r="J843" s="527">
        <f t="shared" si="112"/>
        <v>-250.93902701526093</v>
      </c>
      <c r="K843" s="527">
        <f t="shared" si="113"/>
        <v>257.56235405558527</v>
      </c>
      <c r="L843" s="821">
        <f t="shared" si="117"/>
        <v>-3.4404919556218791</v>
      </c>
      <c r="M843" s="821">
        <f t="shared" si="114"/>
        <v>11.874733612338433</v>
      </c>
      <c r="N843" s="821">
        <f t="shared" si="115"/>
        <v>0.23527112912271353</v>
      </c>
      <c r="O843" s="824">
        <f t="shared" si="116"/>
        <v>-0.81202979720419588</v>
      </c>
      <c r="V843" s="73"/>
      <c r="W843" s="122" t="s">
        <v>1934</v>
      </c>
      <c r="X843" s="73"/>
      <c r="Y843" s="73"/>
      <c r="Z843" s="73"/>
      <c r="AA843" s="73"/>
      <c r="AB843" s="73"/>
      <c r="AC843" s="73"/>
      <c r="AD843" s="73"/>
      <c r="AE843" s="73"/>
      <c r="AF843" s="7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  <c r="AT843" s="143"/>
    </row>
    <row r="844" spans="2:46" ht="15" customHeight="1">
      <c r="B844" s="518" t="str">
        <f>+input!B15</f>
        <v>107i</v>
      </c>
      <c r="C844" s="538" t="str">
        <f t="shared" si="105"/>
        <v>Positive</v>
      </c>
      <c r="D844" s="821">
        <f t="shared" si="106"/>
        <v>-215.34009209292282</v>
      </c>
      <c r="E844" s="821">
        <f t="shared" si="107"/>
        <v>152.52984807081745</v>
      </c>
      <c r="F844" s="527">
        <f t="shared" si="108"/>
        <v>-275.95165494882599</v>
      </c>
      <c r="G844" s="527">
        <f t="shared" si="109"/>
        <v>295.4629164210545</v>
      </c>
      <c r="H844" s="527">
        <f t="shared" si="110"/>
        <v>-211.07287528882983</v>
      </c>
      <c r="I844" s="527">
        <f t="shared" si="111"/>
        <v>209.04139365407786</v>
      </c>
      <c r="J844" s="527">
        <f t="shared" si="112"/>
        <v>-216.32051451662332</v>
      </c>
      <c r="K844" s="527">
        <f t="shared" si="113"/>
        <v>225.65911578894838</v>
      </c>
      <c r="L844" s="821">
        <f t="shared" si="117"/>
        <v>-3.339833593409816</v>
      </c>
      <c r="M844" s="821">
        <f t="shared" si="114"/>
        <v>10.576265673531646</v>
      </c>
      <c r="N844" s="821">
        <f t="shared" si="115"/>
        <v>0.22837928449381401</v>
      </c>
      <c r="O844" s="824">
        <f t="shared" si="116"/>
        <v>-0.72320968083671278</v>
      </c>
      <c r="V844" s="147" t="s">
        <v>1465</v>
      </c>
      <c r="W844" s="510"/>
      <c r="X844" s="73"/>
      <c r="Y844" s="73"/>
      <c r="Z844" s="73"/>
      <c r="AA844" s="73"/>
      <c r="AB844" s="73"/>
      <c r="AC844" s="73"/>
      <c r="AD844" s="73"/>
      <c r="AE844" s="73"/>
      <c r="AF844" s="73"/>
      <c r="AJ844" s="143"/>
      <c r="AK844" s="143"/>
      <c r="AL844" s="143"/>
      <c r="AM844" s="143"/>
      <c r="AN844" s="143"/>
      <c r="AO844" s="143"/>
      <c r="AP844" s="143"/>
      <c r="AQ844" s="143"/>
      <c r="AR844" s="143"/>
      <c r="AS844" s="143"/>
      <c r="AT844" s="143"/>
    </row>
    <row r="845" spans="2:46" ht="15" customHeight="1">
      <c r="B845" s="518" t="str">
        <f>+input!B16</f>
        <v>107j</v>
      </c>
      <c r="C845" s="538" t="str">
        <f t="shared" si="105"/>
        <v>Positive</v>
      </c>
      <c r="D845" s="821">
        <f t="shared" si="106"/>
        <v>-236.06600924039725</v>
      </c>
      <c r="E845" s="821">
        <f t="shared" si="107"/>
        <v>167.21044453061862</v>
      </c>
      <c r="F845" s="527">
        <f t="shared" si="108"/>
        <v>-302.53337012148461</v>
      </c>
      <c r="G845" s="527">
        <f t="shared" si="109"/>
        <v>324.07061909117698</v>
      </c>
      <c r="H845" s="527">
        <f t="shared" si="110"/>
        <v>-231.39187189268188</v>
      </c>
      <c r="I845" s="527">
        <f t="shared" si="111"/>
        <v>229.24302323341809</v>
      </c>
      <c r="J845" s="527">
        <f t="shared" si="112"/>
        <v>-237.1581910995456</v>
      </c>
      <c r="K845" s="527">
        <f t="shared" si="113"/>
        <v>247.50325153057574</v>
      </c>
      <c r="L845" s="821">
        <f t="shared" si="117"/>
        <v>-3.448445808507635</v>
      </c>
      <c r="M845" s="821">
        <f t="shared" si="114"/>
        <v>10.920208450959827</v>
      </c>
      <c r="N845" s="821">
        <f t="shared" si="115"/>
        <v>0.2863558018976311</v>
      </c>
      <c r="O845" s="824">
        <f t="shared" si="116"/>
        <v>-0.90680417252001755</v>
      </c>
      <c r="V845" s="73"/>
      <c r="W845" s="122" t="s">
        <v>1466</v>
      </c>
      <c r="X845" s="73"/>
      <c r="Y845" s="73"/>
      <c r="Z845" s="73"/>
      <c r="AA845" s="73"/>
      <c r="AB845" s="73"/>
      <c r="AC845" s="73"/>
      <c r="AD845" s="73"/>
      <c r="AE845" s="73"/>
      <c r="AF845" s="73"/>
      <c r="AJ845" s="143"/>
      <c r="AK845" s="143"/>
      <c r="AL845" s="143"/>
      <c r="AM845" s="143"/>
      <c r="AN845" s="143"/>
      <c r="AO845" s="143"/>
      <c r="AP845" s="143"/>
      <c r="AQ845" s="143"/>
      <c r="AR845" s="143"/>
      <c r="AS845" s="143"/>
      <c r="AT845" s="143"/>
    </row>
    <row r="846" spans="2:46" ht="15" customHeight="1">
      <c r="B846" s="518" t="str">
        <f>+input!B17</f>
        <v>108i</v>
      </c>
      <c r="C846" s="538" t="str">
        <f t="shared" si="105"/>
        <v>Positive</v>
      </c>
      <c r="D846" s="821">
        <f t="shared" si="106"/>
        <v>-236.06572297477732</v>
      </c>
      <c r="E846" s="821">
        <f t="shared" si="107"/>
        <v>167.21024176274994</v>
      </c>
      <c r="F846" s="527">
        <f t="shared" si="108"/>
        <v>-302.53290351538112</v>
      </c>
      <c r="G846" s="527">
        <f t="shared" si="109"/>
        <v>324.07014867229799</v>
      </c>
      <c r="H846" s="527">
        <f t="shared" si="110"/>
        <v>-231.39152265319689</v>
      </c>
      <c r="I846" s="527">
        <f t="shared" si="111"/>
        <v>229.24268258511623</v>
      </c>
      <c r="J846" s="527">
        <f t="shared" si="112"/>
        <v>-237.15784186006064</v>
      </c>
      <c r="K846" s="527">
        <f t="shared" si="113"/>
        <v>247.50291088227388</v>
      </c>
      <c r="L846" s="821">
        <f t="shared" si="117"/>
        <v>-3.448445808507635</v>
      </c>
      <c r="M846" s="821">
        <f t="shared" si="114"/>
        <v>10.920208450959827</v>
      </c>
      <c r="N846" s="821">
        <f t="shared" si="115"/>
        <v>0.2863558018976311</v>
      </c>
      <c r="O846" s="824">
        <f t="shared" si="116"/>
        <v>-0.90680417252001755</v>
      </c>
      <c r="V846" s="73"/>
      <c r="W846" s="122" t="s">
        <v>1467</v>
      </c>
      <c r="X846" s="73"/>
      <c r="Y846" s="73"/>
      <c r="Z846" s="73"/>
      <c r="AA846" s="73"/>
      <c r="AB846" s="73"/>
      <c r="AC846" s="73"/>
      <c r="AD846" s="73"/>
      <c r="AE846" s="73"/>
      <c r="AF846" s="73"/>
      <c r="AJ846" s="143"/>
      <c r="AK846" s="143"/>
      <c r="AL846" s="143"/>
      <c r="AM846" s="143"/>
      <c r="AN846" s="143"/>
      <c r="AO846" s="143"/>
      <c r="AP846" s="143"/>
      <c r="AQ846" s="143"/>
      <c r="AR846" s="143"/>
      <c r="AS846" s="143"/>
      <c r="AT846" s="143"/>
    </row>
    <row r="847" spans="2:46" ht="15" customHeight="1">
      <c r="B847" s="518" t="str">
        <f>+input!B18</f>
        <v>108j</v>
      </c>
      <c r="C847" s="538" t="str">
        <f t="shared" si="105"/>
        <v>Positive</v>
      </c>
      <c r="D847" s="821">
        <f t="shared" si="106"/>
        <v>-242.60209744070414</v>
      </c>
      <c r="E847" s="821">
        <f t="shared" si="107"/>
        <v>171.84009120013002</v>
      </c>
      <c r="F847" s="527">
        <f t="shared" si="108"/>
        <v>-310.94478622427368</v>
      </c>
      <c r="G847" s="527">
        <f t="shared" si="109"/>
        <v>333.31393033291374</v>
      </c>
      <c r="H847" s="527">
        <f t="shared" si="110"/>
        <v>-237.79900684074562</v>
      </c>
      <c r="I847" s="527">
        <f t="shared" si="111"/>
        <v>235.71234769952756</v>
      </c>
      <c r="J847" s="527">
        <f t="shared" si="112"/>
        <v>-243.74663791112033</v>
      </c>
      <c r="K847" s="527">
        <f t="shared" si="113"/>
        <v>254.54673706927233</v>
      </c>
      <c r="L847" s="821">
        <f t="shared" si="117"/>
        <v>-3.6116912763805633</v>
      </c>
      <c r="M847" s="821">
        <f t="shared" si="114"/>
        <v>11.437158589323264</v>
      </c>
      <c r="N847" s="821">
        <f t="shared" si="115"/>
        <v>0.34578452493969414</v>
      </c>
      <c r="O847" s="824">
        <f t="shared" si="116"/>
        <v>-1.0949973701607079</v>
      </c>
      <c r="V847" s="147" t="s">
        <v>1468</v>
      </c>
      <c r="W847" s="510"/>
      <c r="X847" s="73"/>
      <c r="Y847" s="73"/>
      <c r="Z847" s="73"/>
      <c r="AA847" s="73"/>
      <c r="AB847" s="73"/>
      <c r="AC847" s="73"/>
      <c r="AD847" s="73"/>
      <c r="AE847" s="73"/>
      <c r="AF847" s="73"/>
      <c r="AJ847" s="143"/>
      <c r="AK847" s="143"/>
      <c r="AL847" s="143"/>
      <c r="AM847" s="143"/>
      <c r="AN847" s="143"/>
      <c r="AO847" s="143"/>
      <c r="AP847" s="143"/>
      <c r="AQ847" s="143"/>
      <c r="AR847" s="143"/>
      <c r="AS847" s="143"/>
      <c r="AT847" s="143"/>
    </row>
    <row r="848" spans="2:46" ht="15" customHeight="1">
      <c r="B848" s="518" t="str">
        <f>+input!B19</f>
        <v>109i</v>
      </c>
      <c r="C848" s="538" t="str">
        <f t="shared" si="105"/>
        <v>Positive</v>
      </c>
      <c r="D848" s="821">
        <f t="shared" si="106"/>
        <v>-242.60238370632408</v>
      </c>
      <c r="E848" s="821">
        <f t="shared" si="107"/>
        <v>171.84029396799869</v>
      </c>
      <c r="F848" s="527">
        <f t="shared" si="108"/>
        <v>-310.94519872823207</v>
      </c>
      <c r="G848" s="527">
        <f t="shared" si="109"/>
        <v>333.31432045648972</v>
      </c>
      <c r="H848" s="527">
        <f t="shared" si="110"/>
        <v>-237.79933203483279</v>
      </c>
      <c r="I848" s="527">
        <f t="shared" si="111"/>
        <v>235.71265266102802</v>
      </c>
      <c r="J848" s="527">
        <f t="shared" si="112"/>
        <v>-243.7469631052075</v>
      </c>
      <c r="K848" s="527">
        <f t="shared" si="113"/>
        <v>254.54704203077279</v>
      </c>
      <c r="L848" s="821">
        <f t="shared" si="117"/>
        <v>-3.6116912763805633</v>
      </c>
      <c r="M848" s="821">
        <f t="shared" si="114"/>
        <v>11.437158589323264</v>
      </c>
      <c r="N848" s="821">
        <f t="shared" si="115"/>
        <v>0.34578452493969414</v>
      </c>
      <c r="O848" s="824">
        <f t="shared" si="116"/>
        <v>-1.0949973701607079</v>
      </c>
      <c r="V848" s="73"/>
      <c r="W848" s="122" t="s">
        <v>1469</v>
      </c>
      <c r="X848" s="73"/>
      <c r="Y848" s="73"/>
      <c r="Z848" s="73"/>
      <c r="AA848" s="73"/>
      <c r="AB848" s="73"/>
      <c r="AC848" s="73"/>
      <c r="AD848" s="73"/>
      <c r="AE848" s="73"/>
      <c r="AF848" s="7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  <c r="AT848" s="143"/>
    </row>
    <row r="849" spans="2:46" ht="15" customHeight="1">
      <c r="B849" s="518" t="str">
        <f>+input!B20</f>
        <v>109j</v>
      </c>
      <c r="C849" s="538" t="str">
        <f t="shared" si="105"/>
        <v>Positive</v>
      </c>
      <c r="D849" s="821">
        <f t="shared" si="106"/>
        <v>-238.75683450119439</v>
      </c>
      <c r="E849" s="821">
        <f t="shared" si="107"/>
        <v>169.1164118041786</v>
      </c>
      <c r="F849" s="527">
        <f t="shared" si="108"/>
        <v>-306.61570808932493</v>
      </c>
      <c r="G849" s="527">
        <f t="shared" si="109"/>
        <v>329.92294822102718</v>
      </c>
      <c r="H849" s="527">
        <f t="shared" si="110"/>
        <v>-234.36514181879511</v>
      </c>
      <c r="I849" s="527">
        <f t="shared" si="111"/>
        <v>233.03078699028998</v>
      </c>
      <c r="J849" s="527">
        <f t="shared" si="112"/>
        <v>-240.31779975484068</v>
      </c>
      <c r="K849" s="527">
        <f t="shared" si="113"/>
        <v>251.88109495757953</v>
      </c>
      <c r="L849" s="821">
        <f t="shared" si="117"/>
        <v>-3.4588586016829694</v>
      </c>
      <c r="M849" s="821">
        <f t="shared" si="114"/>
        <v>10.953182688731188</v>
      </c>
      <c r="N849" s="821">
        <f t="shared" si="115"/>
        <v>0.40521324798175706</v>
      </c>
      <c r="O849" s="824">
        <f t="shared" si="116"/>
        <v>-1.2831905678013982</v>
      </c>
      <c r="V849" s="73"/>
      <c r="W849" s="122" t="s">
        <v>1470</v>
      </c>
      <c r="X849" s="73"/>
      <c r="Y849" s="73"/>
      <c r="Z849" s="73"/>
      <c r="AA849" s="73"/>
      <c r="AB849" s="73"/>
      <c r="AC849" s="73"/>
      <c r="AD849" s="73"/>
      <c r="AE849" s="73"/>
      <c r="AF849" s="73"/>
      <c r="AJ849" s="143"/>
      <c r="AK849" s="143"/>
      <c r="AL849" s="143"/>
      <c r="AM849" s="143"/>
      <c r="AN849" s="143"/>
      <c r="AO849" s="143"/>
      <c r="AP849" s="143"/>
      <c r="AQ849" s="143"/>
      <c r="AR849" s="143"/>
      <c r="AS849" s="143"/>
      <c r="AT849" s="143"/>
    </row>
    <row r="850" spans="2:46" ht="15" customHeight="1">
      <c r="B850" s="518" t="str">
        <f>+input!B21</f>
        <v>110i</v>
      </c>
      <c r="C850" s="538" t="str">
        <f t="shared" si="105"/>
        <v>Positive</v>
      </c>
      <c r="D850" s="821">
        <f t="shared" si="106"/>
        <v>-238.75719233321922</v>
      </c>
      <c r="E850" s="821">
        <f t="shared" si="107"/>
        <v>169.11666526401444</v>
      </c>
      <c r="F850" s="527">
        <f t="shared" si="108"/>
        <v>-306.61616098702495</v>
      </c>
      <c r="G850" s="527">
        <f t="shared" si="109"/>
        <v>329.92331055089323</v>
      </c>
      <c r="H850" s="527">
        <f t="shared" si="110"/>
        <v>-234.36548958173933</v>
      </c>
      <c r="I850" s="527">
        <f t="shared" si="111"/>
        <v>233.03106312840924</v>
      </c>
      <c r="J850" s="527">
        <f t="shared" si="112"/>
        <v>-240.31814432612413</v>
      </c>
      <c r="K850" s="527">
        <f t="shared" si="113"/>
        <v>251.88136098865277</v>
      </c>
      <c r="L850" s="821">
        <f t="shared" si="117"/>
        <v>-3.4588665808348282</v>
      </c>
      <c r="M850" s="821">
        <f t="shared" si="114"/>
        <v>10.953207956346338</v>
      </c>
      <c r="N850" s="821">
        <f t="shared" si="115"/>
        <v>0.40522122713361552</v>
      </c>
      <c r="O850" s="824">
        <f t="shared" si="116"/>
        <v>-1.2832158354165486</v>
      </c>
      <c r="V850" s="511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J850" s="143"/>
      <c r="AK850" s="143"/>
      <c r="AL850" s="143"/>
      <c r="AM850" s="143"/>
      <c r="AN850" s="143"/>
      <c r="AO850" s="143"/>
      <c r="AP850" s="143"/>
      <c r="AQ850" s="143"/>
      <c r="AR850" s="143"/>
      <c r="AS850" s="143"/>
      <c r="AT850" s="143"/>
    </row>
    <row r="851" spans="2:46" ht="15" customHeight="1">
      <c r="B851" s="518" t="str">
        <f>+input!B22</f>
        <v>110j</v>
      </c>
      <c r="C851" s="538" t="str">
        <f t="shared" si="105"/>
        <v>Positive</v>
      </c>
      <c r="D851" s="821">
        <f t="shared" si="106"/>
        <v>-221.93035606179873</v>
      </c>
      <c r="E851" s="821">
        <f t="shared" si="107"/>
        <v>157.19786855947524</v>
      </c>
      <c r="F851" s="527">
        <f t="shared" si="108"/>
        <v>-285.95378635967546</v>
      </c>
      <c r="G851" s="527">
        <f t="shared" si="109"/>
        <v>309.66410613336222</v>
      </c>
      <c r="H851" s="527">
        <f t="shared" si="110"/>
        <v>-218.37493806664725</v>
      </c>
      <c r="I851" s="527">
        <f t="shared" si="111"/>
        <v>218.27143896316733</v>
      </c>
      <c r="J851" s="527">
        <f t="shared" si="112"/>
        <v>-224.06530213113965</v>
      </c>
      <c r="K851" s="527">
        <f t="shared" si="113"/>
        <v>236.29113977818463</v>
      </c>
      <c r="L851" s="821">
        <f t="shared" si="117"/>
        <v>-3.3163908452495594</v>
      </c>
      <c r="M851" s="821">
        <f t="shared" si="114"/>
        <v>10.50202942021957</v>
      </c>
      <c r="N851" s="821">
        <f t="shared" si="115"/>
        <v>0.46236791274414935</v>
      </c>
      <c r="O851" s="824">
        <f t="shared" si="116"/>
        <v>-1.4641824951242048</v>
      </c>
      <c r="V851" s="511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J851" s="143"/>
      <c r="AK851" s="143"/>
      <c r="AL851" s="143"/>
      <c r="AM851" s="143"/>
      <c r="AN851" s="143"/>
      <c r="AO851" s="143"/>
      <c r="AP851" s="143"/>
      <c r="AQ851" s="143"/>
      <c r="AR851" s="143"/>
      <c r="AS851" s="143"/>
      <c r="AT851" s="143"/>
    </row>
    <row r="852" spans="2:46" ht="15" customHeight="1">
      <c r="B852" s="518" t="str">
        <f>+input!B23</f>
        <v>111i</v>
      </c>
      <c r="C852" s="538" t="str">
        <f t="shared" si="105"/>
        <v>Positive</v>
      </c>
      <c r="D852" s="821">
        <f t="shared" si="106"/>
        <v>-221.93071389382362</v>
      </c>
      <c r="E852" s="821">
        <f t="shared" si="107"/>
        <v>157.19812201931106</v>
      </c>
      <c r="F852" s="527">
        <f t="shared" si="108"/>
        <v>-285.95396986256617</v>
      </c>
      <c r="G852" s="527">
        <f t="shared" si="109"/>
        <v>309.66410086388805</v>
      </c>
      <c r="H852" s="527">
        <f t="shared" si="110"/>
        <v>-218.37510410527813</v>
      </c>
      <c r="I852" s="527">
        <f t="shared" si="111"/>
        <v>218.27146329702907</v>
      </c>
      <c r="J852" s="527">
        <f t="shared" si="112"/>
        <v>-224.0654681697705</v>
      </c>
      <c r="K852" s="527">
        <f t="shared" si="113"/>
        <v>236.29116411204635</v>
      </c>
      <c r="L852" s="821">
        <f t="shared" si="117"/>
        <v>-3.3163988244014186</v>
      </c>
      <c r="M852" s="821">
        <f t="shared" si="114"/>
        <v>10.50205468783472</v>
      </c>
      <c r="N852" s="821">
        <f t="shared" si="115"/>
        <v>0.46236791274414935</v>
      </c>
      <c r="O852" s="824">
        <f t="shared" si="116"/>
        <v>-1.4641824951242048</v>
      </c>
      <c r="V852" s="511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J852" s="143"/>
      <c r="AK852" s="143"/>
      <c r="AL852" s="143"/>
      <c r="AM852" s="143"/>
      <c r="AN852" s="143"/>
      <c r="AO852" s="143"/>
      <c r="AP852" s="143"/>
      <c r="AQ852" s="143"/>
      <c r="AR852" s="143"/>
      <c r="AS852" s="143"/>
      <c r="AT852" s="143"/>
    </row>
    <row r="853" spans="2:46" ht="15" customHeight="1">
      <c r="B853" s="518" t="str">
        <f>+input!B24</f>
        <v>111j</v>
      </c>
      <c r="C853" s="538" t="str">
        <f t="shared" si="105"/>
        <v>Positive</v>
      </c>
      <c r="D853" s="821">
        <f t="shared" si="106"/>
        <v>-191.89322022815526</v>
      </c>
      <c r="E853" s="821">
        <f t="shared" si="107"/>
        <v>135.92194301927847</v>
      </c>
      <c r="F853" s="527">
        <f t="shared" si="108"/>
        <v>-248.69779784429412</v>
      </c>
      <c r="G853" s="527">
        <f t="shared" si="109"/>
        <v>272.285733685487</v>
      </c>
      <c r="H853" s="527">
        <f t="shared" si="110"/>
        <v>-189.62595413417534</v>
      </c>
      <c r="I853" s="527">
        <f t="shared" si="111"/>
        <v>191.25293204922318</v>
      </c>
      <c r="J853" s="527">
        <f t="shared" si="112"/>
        <v>-194.78254485594192</v>
      </c>
      <c r="K853" s="527">
        <f t="shared" si="113"/>
        <v>207.5823304811347</v>
      </c>
      <c r="L853" s="821">
        <f t="shared" si="117"/>
        <v>-3.1924666377352908</v>
      </c>
      <c r="M853" s="821">
        <f t="shared" si="114"/>
        <v>10.109598089317643</v>
      </c>
      <c r="N853" s="821">
        <f t="shared" si="115"/>
        <v>0.51143171752202865</v>
      </c>
      <c r="O853" s="824">
        <f t="shared" si="116"/>
        <v>-1.6195530606844364</v>
      </c>
      <c r="V853" s="511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J853" s="143"/>
      <c r="AK853" s="143"/>
      <c r="AL853" s="143"/>
      <c r="AM853" s="143"/>
      <c r="AN853" s="143"/>
      <c r="AO853" s="143"/>
      <c r="AP853" s="143"/>
      <c r="AQ853" s="143"/>
      <c r="AR853" s="143"/>
      <c r="AS853" s="143"/>
      <c r="AT853" s="143"/>
    </row>
    <row r="854" spans="2:46" ht="15" customHeight="1">
      <c r="B854" s="518" t="str">
        <f>+input!B25</f>
        <v>112i</v>
      </c>
      <c r="C854" s="538" t="str">
        <f t="shared" si="105"/>
        <v>Positive</v>
      </c>
      <c r="D854" s="821">
        <f t="shared" si="106"/>
        <v>-237.24872550950522</v>
      </c>
      <c r="E854" s="821">
        <f t="shared" si="107"/>
        <v>165.09188030468215</v>
      </c>
      <c r="F854" s="527">
        <f t="shared" si="108"/>
        <v>-297.53873106615964</v>
      </c>
      <c r="G854" s="527">
        <f t="shared" si="109"/>
        <v>324.96157016478554</v>
      </c>
      <c r="H854" s="527">
        <f t="shared" si="110"/>
        <v>-228.27293668908271</v>
      </c>
      <c r="I854" s="527">
        <f t="shared" si="111"/>
        <v>228.84069938840054</v>
      </c>
      <c r="J854" s="527">
        <f t="shared" si="112"/>
        <v>-233.60690183278581</v>
      </c>
      <c r="K854" s="527">
        <f t="shared" si="113"/>
        <v>247.95829106992863</v>
      </c>
      <c r="L854" s="821">
        <f t="shared" si="117"/>
        <v>-3.3022633685470062</v>
      </c>
      <c r="M854" s="821">
        <f t="shared" si="114"/>
        <v>11.835720895041479</v>
      </c>
      <c r="N854" s="821">
        <f t="shared" si="115"/>
        <v>0.52901549518249336</v>
      </c>
      <c r="O854" s="824">
        <f t="shared" si="116"/>
        <v>-1.8960570527986413</v>
      </c>
      <c r="V854" s="511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J854" s="143"/>
      <c r="AK854" s="143"/>
      <c r="AL854" s="143"/>
      <c r="AM854" s="143"/>
      <c r="AN854" s="143"/>
      <c r="AO854" s="143"/>
      <c r="AP854" s="143"/>
      <c r="AQ854" s="143"/>
      <c r="AR854" s="143"/>
      <c r="AS854" s="143"/>
      <c r="AT854" s="143"/>
    </row>
    <row r="855" spans="2:46" ht="15" customHeight="1">
      <c r="B855" s="518" t="str">
        <f>+input!B26</f>
        <v>112j</v>
      </c>
      <c r="C855" s="538" t="str">
        <f t="shared" si="105"/>
        <v>Positive</v>
      </c>
      <c r="D855" s="821">
        <f t="shared" si="106"/>
        <v>-187.61596722920439</v>
      </c>
      <c r="E855" s="821">
        <f t="shared" si="107"/>
        <v>130.55443285746978</v>
      </c>
      <c r="F855" s="527">
        <f t="shared" si="108"/>
        <v>-237.79788181074701</v>
      </c>
      <c r="G855" s="527">
        <f t="shared" si="109"/>
        <v>265.75223189196447</v>
      </c>
      <c r="H855" s="527">
        <f t="shared" si="110"/>
        <v>-181.92975488149744</v>
      </c>
      <c r="I855" s="527">
        <f t="shared" si="111"/>
        <v>185.87333197879786</v>
      </c>
      <c r="J855" s="527">
        <f t="shared" si="112"/>
        <v>-186.54818767280241</v>
      </c>
      <c r="K855" s="527">
        <f t="shared" si="113"/>
        <v>202.42636709133177</v>
      </c>
      <c r="L855" s="821">
        <f t="shared" si="117"/>
        <v>-2.8812216733173557</v>
      </c>
      <c r="M855" s="821">
        <f t="shared" si="114"/>
        <v>10.326655313725979</v>
      </c>
      <c r="N855" s="821">
        <f t="shared" si="115"/>
        <v>0.57975047059222562</v>
      </c>
      <c r="O855" s="824">
        <f t="shared" si="116"/>
        <v>-2.0778974881454428</v>
      </c>
      <c r="V855" s="511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J855" s="143"/>
      <c r="AK855" s="143"/>
      <c r="AL855" s="143"/>
      <c r="AM855" s="143"/>
      <c r="AN855" s="143"/>
      <c r="AO855" s="143"/>
      <c r="AP855" s="143"/>
      <c r="AQ855" s="143"/>
      <c r="AR855" s="143"/>
      <c r="AS855" s="143"/>
      <c r="AT855" s="143"/>
    </row>
    <row r="856" spans="2:46" ht="15" customHeight="1">
      <c r="B856" s="518" t="str">
        <f>+input!B27</f>
        <v>113i</v>
      </c>
      <c r="C856" s="538" t="str">
        <f t="shared" si="105"/>
        <v>Positive</v>
      </c>
      <c r="D856" s="821">
        <f t="shared" si="106"/>
        <v>-209.28930753896856</v>
      </c>
      <c r="E856" s="821">
        <f t="shared" si="107"/>
        <v>133.65580501931754</v>
      </c>
      <c r="F856" s="527">
        <f t="shared" si="108"/>
        <v>-260.5571267618493</v>
      </c>
      <c r="G856" s="527">
        <f t="shared" si="109"/>
        <v>268.96056107953916</v>
      </c>
      <c r="H856" s="527">
        <f t="shared" si="110"/>
        <v>-200.01873507289781</v>
      </c>
      <c r="I856" s="527">
        <f t="shared" si="111"/>
        <v>188.43064323933015</v>
      </c>
      <c r="J856" s="527">
        <f t="shared" si="112"/>
        <v>-204.6790217876638</v>
      </c>
      <c r="K856" s="527">
        <f t="shared" si="113"/>
        <v>204.98559693046343</v>
      </c>
      <c r="L856" s="821">
        <f t="shared" si="117"/>
        <v>-2.9073323556285215</v>
      </c>
      <c r="M856" s="821">
        <f t="shared" si="114"/>
        <v>10.327852224126582</v>
      </c>
      <c r="N856" s="821">
        <f t="shared" si="115"/>
        <v>0.58500438093781648</v>
      </c>
      <c r="O856" s="824">
        <f t="shared" si="116"/>
        <v>-2.07813832673639</v>
      </c>
      <c r="V856" s="511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J856" s="143"/>
      <c r="AK856" s="143"/>
      <c r="AL856" s="143"/>
      <c r="AM856" s="143"/>
      <c r="AN856" s="143"/>
      <c r="AO856" s="143"/>
      <c r="AP856" s="143"/>
      <c r="AQ856" s="143"/>
      <c r="AR856" s="143"/>
      <c r="AS856" s="143"/>
      <c r="AT856" s="143"/>
    </row>
    <row r="857" spans="2:46" ht="15" customHeight="1">
      <c r="B857" s="518" t="str">
        <f>+input!B28</f>
        <v>113j</v>
      </c>
      <c r="C857" s="538" t="str">
        <f t="shared" si="105"/>
        <v>Positive</v>
      </c>
      <c r="D857" s="821">
        <f t="shared" si="106"/>
        <v>-135.67287699051366</v>
      </c>
      <c r="E857" s="821">
        <f t="shared" si="107"/>
        <v>86.64306746811512</v>
      </c>
      <c r="F857" s="527">
        <f t="shared" si="108"/>
        <v>-172.52145420937154</v>
      </c>
      <c r="G857" s="527">
        <f t="shared" si="109"/>
        <v>187.27581997919799</v>
      </c>
      <c r="H857" s="527">
        <f t="shared" si="110"/>
        <v>-131.66194407917732</v>
      </c>
      <c r="I857" s="527">
        <f t="shared" si="111"/>
        <v>129.31546150366032</v>
      </c>
      <c r="J857" s="527">
        <f t="shared" si="112"/>
        <v>-135.29218933974741</v>
      </c>
      <c r="K857" s="527">
        <f t="shared" si="113"/>
        <v>142.21135093161624</v>
      </c>
      <c r="L857" s="821">
        <f t="shared" si="117"/>
        <v>-2.5750869786638524</v>
      </c>
      <c r="M857" s="821">
        <f t="shared" si="114"/>
        <v>9.147601487124577</v>
      </c>
      <c r="N857" s="821">
        <f t="shared" si="115"/>
        <v>0.65378874331595815</v>
      </c>
      <c r="O857" s="824">
        <f t="shared" si="116"/>
        <v>-2.3224842229311995</v>
      </c>
      <c r="V857" s="511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J857" s="143"/>
      <c r="AK857" s="143"/>
      <c r="AL857" s="143"/>
      <c r="AM857" s="143"/>
      <c r="AN857" s="143"/>
      <c r="AO857" s="143"/>
      <c r="AP857" s="143"/>
      <c r="AQ857" s="143"/>
      <c r="AR857" s="143"/>
      <c r="AS857" s="143"/>
      <c r="AT857" s="143"/>
    </row>
    <row r="858" spans="2:46" ht="15" customHeight="1">
      <c r="B858" s="518" t="str">
        <f>+input!B29</f>
        <v>114i</v>
      </c>
      <c r="C858" s="538" t="str">
        <f t="shared" si="105"/>
        <v>Positive</v>
      </c>
      <c r="D858" s="821">
        <f t="shared" si="106"/>
        <v>-135.67327179871401</v>
      </c>
      <c r="E858" s="821">
        <f t="shared" si="107"/>
        <v>86.643319599523409</v>
      </c>
      <c r="F858" s="527">
        <f t="shared" si="108"/>
        <v>-172.5218762907208</v>
      </c>
      <c r="G858" s="527">
        <f t="shared" si="109"/>
        <v>187.27611420913416</v>
      </c>
      <c r="H858" s="527">
        <f t="shared" si="110"/>
        <v>-131.66228719888647</v>
      </c>
      <c r="I858" s="527">
        <f t="shared" si="111"/>
        <v>129.31570530731486</v>
      </c>
      <c r="J858" s="527">
        <f t="shared" si="112"/>
        <v>-135.2925324594566</v>
      </c>
      <c r="K858" s="527">
        <f t="shared" si="113"/>
        <v>142.21159473527078</v>
      </c>
      <c r="L858" s="821">
        <f t="shared" si="117"/>
        <v>-2.5750786502509238</v>
      </c>
      <c r="M858" s="821">
        <f t="shared" si="114"/>
        <v>9.1475719017151818</v>
      </c>
      <c r="N858" s="821">
        <f t="shared" si="115"/>
        <v>0.65378041490302952</v>
      </c>
      <c r="O858" s="824">
        <f t="shared" si="116"/>
        <v>-2.3224546375218047</v>
      </c>
      <c r="V858" s="511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J858" s="143"/>
      <c r="AK858" s="143"/>
      <c r="AL858" s="143"/>
      <c r="AM858" s="143"/>
      <c r="AN858" s="143"/>
      <c r="AO858" s="143"/>
      <c r="AP858" s="143"/>
      <c r="AQ858" s="143"/>
      <c r="AR858" s="143"/>
      <c r="AS858" s="143"/>
      <c r="AT858" s="143"/>
    </row>
    <row r="859" spans="2:46" ht="15" customHeight="1">
      <c r="B859" s="518" t="str">
        <f>+input!B30</f>
        <v>114j</v>
      </c>
      <c r="C859" s="538" t="str">
        <f t="shared" si="105"/>
        <v>Positive</v>
      </c>
      <c r="D859" s="821">
        <f t="shared" si="106"/>
        <v>-48.667019837267347</v>
      </c>
      <c r="E859" s="821">
        <f t="shared" si="107"/>
        <v>31.079608369529026</v>
      </c>
      <c r="F859" s="527">
        <f t="shared" si="108"/>
        <v>-68.932802626914849</v>
      </c>
      <c r="G859" s="527">
        <f t="shared" si="109"/>
        <v>92.319271736249505</v>
      </c>
      <c r="H859" s="527">
        <f t="shared" si="110"/>
        <v>-51.13616837357764</v>
      </c>
      <c r="I859" s="527">
        <f t="shared" si="111"/>
        <v>60.342536780219234</v>
      </c>
      <c r="J859" s="527">
        <f t="shared" si="112"/>
        <v>-53.621753229861916</v>
      </c>
      <c r="K859" s="527">
        <f t="shared" si="113"/>
        <v>69.172195706737554</v>
      </c>
      <c r="L859" s="821">
        <f t="shared" si="117"/>
        <v>-1.9952212285030442</v>
      </c>
      <c r="M859" s="821">
        <f t="shared" si="114"/>
        <v>7.0877173579850155</v>
      </c>
      <c r="N859" s="821">
        <f t="shared" si="115"/>
        <v>0.74797476512663807</v>
      </c>
      <c r="O859" s="824">
        <f t="shared" si="116"/>
        <v>-2.6570656177813157</v>
      </c>
      <c r="V859" s="511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J859" s="143"/>
      <c r="AK859" s="143"/>
      <c r="AL859" s="143"/>
      <c r="AM859" s="143"/>
      <c r="AN859" s="143"/>
      <c r="AO859" s="143"/>
      <c r="AP859" s="143"/>
      <c r="AQ859" s="143"/>
      <c r="AR859" s="143"/>
      <c r="AS859" s="143"/>
      <c r="AT859" s="143"/>
    </row>
    <row r="860" spans="2:46" ht="15" customHeight="1">
      <c r="B860" s="518" t="str">
        <f>+input!B31</f>
        <v>115i</v>
      </c>
      <c r="C860" s="538" t="str">
        <f t="shared" si="105"/>
        <v>Positive</v>
      </c>
      <c r="D860" s="821">
        <f t="shared" si="106"/>
        <v>-61.587966040607078</v>
      </c>
      <c r="E860" s="821">
        <f t="shared" si="107"/>
        <v>46.780264316365532</v>
      </c>
      <c r="F860" s="527">
        <f t="shared" si="108"/>
        <v>-82.585110651132311</v>
      </c>
      <c r="G860" s="527">
        <f t="shared" si="109"/>
        <v>134.26427122746725</v>
      </c>
      <c r="H860" s="527">
        <f t="shared" si="110"/>
        <v>-61.968023203363472</v>
      </c>
      <c r="I860" s="527">
        <f t="shared" si="111"/>
        <v>88.119479528316873</v>
      </c>
      <c r="J860" s="527">
        <f t="shared" si="112"/>
        <v>-64.491585627609382</v>
      </c>
      <c r="K860" s="527">
        <f t="shared" si="113"/>
        <v>100.72185170403407</v>
      </c>
      <c r="L860" s="821">
        <f t="shared" si="117"/>
        <v>-2.0257064680684493</v>
      </c>
      <c r="M860" s="821">
        <f t="shared" si="114"/>
        <v>10.116138433541883</v>
      </c>
      <c r="N860" s="821">
        <f t="shared" si="115"/>
        <v>0.75939471127512592</v>
      </c>
      <c r="O860" s="824">
        <f t="shared" si="116"/>
        <v>-3.7923273416231007</v>
      </c>
      <c r="V860" s="511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J860" s="143"/>
      <c r="AK860" s="143"/>
      <c r="AL860" s="143"/>
      <c r="AM860" s="143"/>
      <c r="AN860" s="143"/>
      <c r="AO860" s="143"/>
      <c r="AP860" s="143"/>
      <c r="AQ860" s="143"/>
      <c r="AR860" s="143"/>
      <c r="AS860" s="143"/>
      <c r="AT860" s="143"/>
    </row>
    <row r="861" spans="2:46" ht="15" customHeight="1">
      <c r="B861" s="518" t="str">
        <f>+input!B32</f>
        <v>115j</v>
      </c>
      <c r="C861" s="538" t="str">
        <f t="shared" si="105"/>
        <v>Negative</v>
      </c>
      <c r="D861" s="821">
        <f t="shared" si="106"/>
        <v>71.060453080146601</v>
      </c>
      <c r="E861" s="821">
        <f t="shared" si="107"/>
        <v>-53.975264832389023</v>
      </c>
      <c r="F861" s="527">
        <f t="shared" si="108"/>
        <v>164.35183484899051</v>
      </c>
      <c r="G861" s="527">
        <f t="shared" si="109"/>
        <v>-140.14915468811</v>
      </c>
      <c r="H861" s="527">
        <f t="shared" si="110"/>
        <v>112.44974771283954</v>
      </c>
      <c r="I861" s="527">
        <f t="shared" si="111"/>
        <v>-94.162792307188724</v>
      </c>
      <c r="J861" s="527">
        <f t="shared" si="112"/>
        <v>124.42926806383137</v>
      </c>
      <c r="K861" s="527">
        <f t="shared" si="113"/>
        <v>-105.58480480468377</v>
      </c>
      <c r="L861" s="821">
        <f t="shared" si="117"/>
        <v>-10.257241278723136</v>
      </c>
      <c r="M861" s="821">
        <f t="shared" si="114"/>
        <v>9.7798855582475728</v>
      </c>
      <c r="N861" s="821">
        <f t="shared" si="115"/>
        <v>6.1477477269199721</v>
      </c>
      <c r="O861" s="824">
        <f t="shared" si="116"/>
        <v>-5.8616413104146581</v>
      </c>
      <c r="V861" s="511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J861" s="143"/>
      <c r="AK861" s="143"/>
      <c r="AL861" s="143"/>
      <c r="AM861" s="143"/>
      <c r="AN861" s="143"/>
      <c r="AO861" s="143"/>
      <c r="AP861" s="143"/>
      <c r="AQ861" s="143"/>
      <c r="AR861" s="143"/>
      <c r="AS861" s="143"/>
      <c r="AT861" s="143"/>
    </row>
    <row r="862" spans="2:46" ht="15" customHeight="1">
      <c r="B862" s="518" t="str">
        <f>+input!B33</f>
        <v>116i</v>
      </c>
      <c r="C862" s="538" t="str">
        <f t="shared" si="105"/>
        <v>Negative</v>
      </c>
      <c r="D862" s="821">
        <f t="shared" si="106"/>
        <v>56.226483276901263</v>
      </c>
      <c r="E862" s="821">
        <f t="shared" si="107"/>
        <v>-43.077150483708564</v>
      </c>
      <c r="F862" s="527">
        <f t="shared" si="108"/>
        <v>133.40991706068854</v>
      </c>
      <c r="G862" s="527">
        <f t="shared" si="109"/>
        <v>-113.15090121918681</v>
      </c>
      <c r="H862" s="527">
        <f t="shared" si="110"/>
        <v>90.907699432146515</v>
      </c>
      <c r="I862" s="527">
        <f t="shared" si="111"/>
        <v>-75.894385933913156</v>
      </c>
      <c r="J862" s="527">
        <f t="shared" si="112"/>
        <v>100.88935739940497</v>
      </c>
      <c r="K862" s="527">
        <f t="shared" si="113"/>
        <v>-85.205733701368331</v>
      </c>
      <c r="L862" s="821">
        <f t="shared" si="117"/>
        <v>-8.5466088067025492</v>
      </c>
      <c r="M862" s="821">
        <f t="shared" si="114"/>
        <v>7.9726681772346737</v>
      </c>
      <c r="N862" s="821">
        <f t="shared" si="115"/>
        <v>5.1224684529230959</v>
      </c>
      <c r="O862" s="824">
        <f t="shared" si="116"/>
        <v>-4.778473210506669</v>
      </c>
      <c r="V862" s="511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J862" s="143"/>
      <c r="AK862" s="143"/>
      <c r="AL862" s="143"/>
      <c r="AM862" s="143"/>
      <c r="AN862" s="143"/>
      <c r="AO862" s="143"/>
      <c r="AP862" s="143"/>
      <c r="AQ862" s="143"/>
      <c r="AR862" s="143"/>
      <c r="AS862" s="143"/>
      <c r="AT862" s="143"/>
    </row>
    <row r="863" spans="2:46" ht="15" customHeight="1">
      <c r="B863" s="518" t="str">
        <f>+input!B34</f>
        <v>116j</v>
      </c>
      <c r="C863" s="538" t="str">
        <f t="shared" si="105"/>
        <v>Negative</v>
      </c>
      <c r="D863" s="821">
        <f t="shared" si="106"/>
        <v>173.91449085073006</v>
      </c>
      <c r="E863" s="821">
        <f t="shared" si="107"/>
        <v>-133.24220646664884</v>
      </c>
      <c r="F863" s="527">
        <f t="shared" si="108"/>
        <v>316.15721654585275</v>
      </c>
      <c r="G863" s="527">
        <f t="shared" si="109"/>
        <v>-260.06953868292703</v>
      </c>
      <c r="H863" s="527">
        <f t="shared" si="110"/>
        <v>227.41834589262575</v>
      </c>
      <c r="I863" s="527">
        <f t="shared" si="111"/>
        <v>-184.66246180687943</v>
      </c>
      <c r="J863" s="527">
        <f t="shared" si="112"/>
        <v>242.35346540405965</v>
      </c>
      <c r="K863" s="527">
        <f t="shared" si="113"/>
        <v>-198.59462539890259</v>
      </c>
      <c r="L863" s="821">
        <f t="shared" si="117"/>
        <v>-5.2636057856341205</v>
      </c>
      <c r="M863" s="821">
        <f t="shared" si="114"/>
        <v>4.9101325793363868</v>
      </c>
      <c r="N863" s="821">
        <f t="shared" si="115"/>
        <v>6.1241948013454222</v>
      </c>
      <c r="O863" s="824">
        <f t="shared" si="116"/>
        <v>-5.712929432967786</v>
      </c>
      <c r="V863" s="511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J863" s="143"/>
      <c r="AK863" s="143"/>
      <c r="AL863" s="143"/>
      <c r="AM863" s="143"/>
      <c r="AN863" s="143"/>
      <c r="AO863" s="143"/>
      <c r="AP863" s="143"/>
      <c r="AQ863" s="143"/>
      <c r="AR863" s="143"/>
      <c r="AS863" s="143"/>
      <c r="AT863" s="143"/>
    </row>
    <row r="864" spans="2:46" ht="15" customHeight="1">
      <c r="B864" s="518" t="str">
        <f>+input!B35</f>
        <v>117i</v>
      </c>
      <c r="C864" s="538" t="str">
        <f t="shared" ref="C864:C895" si="118">IF(B599+D599+F599&lt;=0,"Positive","Negative")</f>
        <v>Negative</v>
      </c>
      <c r="D864" s="821">
        <f t="shared" ref="D864:D895" si="119">1.25*(B599+D599+IF(C864="Positive",F599,B729))</f>
        <v>105.59054156003751</v>
      </c>
      <c r="E864" s="821">
        <f t="shared" ref="E864:E895" si="120">1.25*(C599+E599+IF(C864="Positive",G599,C729))</f>
        <v>-69.371399894815028</v>
      </c>
      <c r="F864" s="527">
        <f t="shared" ref="F864:F895" si="121">1.25*(B599+D599)+IF(C864="Positive",1.25*F599+1.25*H599+1.5*J599+1.8*L599,1.25*D729+1.25*F729+1.5*H729+1.8*L729)</f>
        <v>199.13482973018188</v>
      </c>
      <c r="G864" s="527">
        <f t="shared" ref="G864:G895" si="122">1.25*(C599+E599)+IF(C864="Positive",1.25*G599+1.25*I599+1.5*K599+1.8*M599,1.25*E729+1.25*G729+1.5*I729+1.8*M729)</f>
        <v>-148.72525846364701</v>
      </c>
      <c r="H864" s="527">
        <f t="shared" ref="H864:H895" si="123">1*(B599+D599)+IF(C864="Positive",1*F599+1*H599+1*J599+1*L599,1*D729+1*F729+1*H729+1*L729)</f>
        <v>142.72139760290793</v>
      </c>
      <c r="I864" s="527">
        <f t="shared" ref="I864:I895" si="124">1*(C599+E599)+IF(C864="Positive",1*G599+1*I599+1*K599+1*M599,1*E729+1*G729+1*I729+1*M729)</f>
        <v>-108.73911565552443</v>
      </c>
      <c r="J864" s="527">
        <f t="shared" ref="J864:J895" si="125">1*(B599+D599)+IF(C864="Positive",1*F599+1*H599+1*J599+1.3*L599,1*D729+1*F729+1*H729+1.3*L729)</f>
        <v>152.47612912340156</v>
      </c>
      <c r="K864" s="527">
        <f t="shared" ref="K864:K895" si="126">1*(C599+E599)+IF(C864="Positive",1*G599+1*I599+1*K599+1.3*M599,1*E729+1*G729+1*I729+1.3*M729)</f>
        <v>-114.49809136942919</v>
      </c>
      <c r="L864" s="821">
        <f t="shared" ref="L864:L895" si="127">0.75*IF(C864="Positive",-L81/H469*10^6,-L81/L469*10^6)</f>
        <v>-3.4378699234919221</v>
      </c>
      <c r="M864" s="821">
        <f t="shared" ref="M864:M895" si="128">0.75*IF(C864="Positive",L81/I469*10^6,L81/M469*10^6)</f>
        <v>2.0296416518854343</v>
      </c>
      <c r="N864" s="821">
        <f t="shared" ref="N864:N895" si="129">0.75*IF(C864="Positive",-M81/H469*10^6,-M81/L469*10^6)</f>
        <v>3.999984746534174</v>
      </c>
      <c r="O864" s="824">
        <f t="shared" ref="O864:O895" si="130">0.75*IF(C864="Positive",M81/I469*10^6,M81/M469*10^6)</f>
        <v>-2.3615016941147036</v>
      </c>
      <c r="V864" s="511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J864" s="143"/>
      <c r="AK864" s="143"/>
      <c r="AL864" s="143"/>
      <c r="AM864" s="143"/>
      <c r="AN864" s="143"/>
      <c r="AO864" s="143"/>
      <c r="AP864" s="143"/>
      <c r="AQ864" s="143"/>
      <c r="AR864" s="143"/>
      <c r="AS864" s="143"/>
      <c r="AT864" s="143"/>
    </row>
    <row r="865" spans="2:46" ht="15" customHeight="1">
      <c r="B865" s="518" t="str">
        <f>+input!B36</f>
        <v>117j</v>
      </c>
      <c r="C865" s="538" t="str">
        <f t="shared" si="118"/>
        <v>Negative</v>
      </c>
      <c r="D865" s="821">
        <f t="shared" si="119"/>
        <v>190.11897531074629</v>
      </c>
      <c r="E865" s="821">
        <f t="shared" si="120"/>
        <v>-126.69312784059801</v>
      </c>
      <c r="F865" s="527">
        <f t="shared" si="121"/>
        <v>349.0271288427619</v>
      </c>
      <c r="G865" s="527">
        <f t="shared" si="122"/>
        <v>-262.94431224241271</v>
      </c>
      <c r="H865" s="527">
        <f t="shared" si="123"/>
        <v>251.56897312840533</v>
      </c>
      <c r="I865" s="527">
        <f t="shared" si="124"/>
        <v>-193.2306251757704</v>
      </c>
      <c r="J865" s="527">
        <f t="shared" si="125"/>
        <v>267.65525669140129</v>
      </c>
      <c r="K865" s="527">
        <f t="shared" si="126"/>
        <v>-202.72760786275177</v>
      </c>
      <c r="L865" s="821">
        <f t="shared" si="127"/>
        <v>-1.2812933443072705</v>
      </c>
      <c r="M865" s="821">
        <f t="shared" si="128"/>
        <v>0.75644698541943867</v>
      </c>
      <c r="N865" s="821">
        <f t="shared" si="129"/>
        <v>6.9522488379326575</v>
      </c>
      <c r="O865" s="824">
        <f t="shared" si="130"/>
        <v>-4.1044525039527375</v>
      </c>
      <c r="V865" s="511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J865" s="143"/>
      <c r="AK865" s="143"/>
      <c r="AL865" s="143"/>
      <c r="AM865" s="143"/>
      <c r="AN865" s="143"/>
      <c r="AO865" s="143"/>
      <c r="AP865" s="143"/>
      <c r="AQ865" s="143"/>
      <c r="AR865" s="143"/>
      <c r="AS865" s="143"/>
      <c r="AT865" s="143"/>
    </row>
    <row r="866" spans="2:46" ht="15" customHeight="1">
      <c r="B866" s="518" t="str">
        <f>+input!B37</f>
        <v>118i</v>
      </c>
      <c r="C866" s="538" t="str">
        <f t="shared" si="118"/>
        <v>Negative</v>
      </c>
      <c r="D866" s="821">
        <f t="shared" si="119"/>
        <v>101.41676271675635</v>
      </c>
      <c r="E866" s="821">
        <f t="shared" si="120"/>
        <v>-97.76463379416235</v>
      </c>
      <c r="F866" s="527">
        <f t="shared" si="121"/>
        <v>190.80990778243967</v>
      </c>
      <c r="G866" s="527">
        <f t="shared" si="122"/>
        <v>-204.13765677587872</v>
      </c>
      <c r="H866" s="527">
        <f t="shared" si="123"/>
        <v>136.90810317512259</v>
      </c>
      <c r="I866" s="527">
        <f t="shared" si="124"/>
        <v>-150.43866221169174</v>
      </c>
      <c r="J866" s="527">
        <f t="shared" si="125"/>
        <v>146.1250264133437</v>
      </c>
      <c r="K866" s="527">
        <f t="shared" si="126"/>
        <v>-157.5256122471643</v>
      </c>
      <c r="L866" s="821">
        <f t="shared" si="127"/>
        <v>-0.73413988718250889</v>
      </c>
      <c r="M866" s="821">
        <f t="shared" si="128"/>
        <v>0.56448475972271084</v>
      </c>
      <c r="N866" s="821">
        <f t="shared" si="129"/>
        <v>3.9834322102139135</v>
      </c>
      <c r="O866" s="824">
        <f t="shared" si="130"/>
        <v>-3.0628859885054913</v>
      </c>
      <c r="V866" s="511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J866" s="143"/>
      <c r="AK866" s="143"/>
      <c r="AL866" s="143"/>
      <c r="AM866" s="143"/>
      <c r="AN866" s="143"/>
      <c r="AO866" s="143"/>
      <c r="AP866" s="143"/>
      <c r="AQ866" s="143"/>
      <c r="AR866" s="143"/>
      <c r="AS866" s="143"/>
      <c r="AT866" s="143"/>
    </row>
    <row r="867" spans="2:46" ht="15" customHeight="1">
      <c r="B867" s="518" t="str">
        <f>+input!B38</f>
        <v>118j</v>
      </c>
      <c r="C867" s="538" t="str">
        <f t="shared" si="118"/>
        <v>Negative</v>
      </c>
      <c r="D867" s="821">
        <f t="shared" si="119"/>
        <v>136.77731617845615</v>
      </c>
      <c r="E867" s="821">
        <f t="shared" si="120"/>
        <v>-133.22269493720955</v>
      </c>
      <c r="F867" s="527">
        <f t="shared" si="121"/>
        <v>255.42199879001697</v>
      </c>
      <c r="G867" s="527">
        <f t="shared" si="122"/>
        <v>-274.37693384289759</v>
      </c>
      <c r="H867" s="527">
        <f t="shared" si="123"/>
        <v>183.47350955199906</v>
      </c>
      <c r="I867" s="527">
        <f t="shared" si="124"/>
        <v>-202.43413736965505</v>
      </c>
      <c r="J867" s="527">
        <f t="shared" si="125"/>
        <v>195.68025632982938</v>
      </c>
      <c r="K867" s="527">
        <f t="shared" si="126"/>
        <v>-211.81998146038285</v>
      </c>
      <c r="L867" s="821">
        <f t="shared" si="127"/>
        <v>-0.10424425810045634</v>
      </c>
      <c r="M867" s="821">
        <f t="shared" si="128"/>
        <v>8.0154063297312075E-2</v>
      </c>
      <c r="N867" s="821">
        <f t="shared" si="129"/>
        <v>5.3755249028474665</v>
      </c>
      <c r="O867" s="824">
        <f t="shared" si="130"/>
        <v>-4.1332747833832668</v>
      </c>
      <c r="V867" s="511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J867" s="143"/>
      <c r="AK867" s="143"/>
      <c r="AL867" s="143"/>
      <c r="AM867" s="143"/>
      <c r="AN867" s="143"/>
      <c r="AO867" s="143"/>
      <c r="AP867" s="143"/>
      <c r="AQ867" s="143"/>
      <c r="AR867" s="143"/>
      <c r="AS867" s="143"/>
      <c r="AT867" s="143"/>
    </row>
    <row r="868" spans="2:46" ht="15" customHeight="1">
      <c r="B868" s="518" t="str">
        <f>+input!B39</f>
        <v>119i</v>
      </c>
      <c r="C868" s="538" t="str">
        <f t="shared" si="118"/>
        <v>Negative</v>
      </c>
      <c r="D868" s="821">
        <f t="shared" si="119"/>
        <v>132.53453097774104</v>
      </c>
      <c r="E868" s="821">
        <f t="shared" si="120"/>
        <v>-125.99156677886987</v>
      </c>
      <c r="F868" s="527">
        <f t="shared" si="121"/>
        <v>247.49525313630375</v>
      </c>
      <c r="G868" s="527">
        <f t="shared" si="122"/>
        <v>-258.48933920844155</v>
      </c>
      <c r="H868" s="527">
        <f t="shared" si="123"/>
        <v>177.75572849397054</v>
      </c>
      <c r="I868" s="527">
        <f t="shared" si="124"/>
        <v>-191.04999665987614</v>
      </c>
      <c r="J868" s="527">
        <f t="shared" si="125"/>
        <v>189.60045702891051</v>
      </c>
      <c r="K868" s="527">
        <f t="shared" si="126"/>
        <v>-199.67153375924252</v>
      </c>
      <c r="L868" s="821">
        <f t="shared" si="127"/>
        <v>-0.10115266262167771</v>
      </c>
      <c r="M868" s="821">
        <f t="shared" si="128"/>
        <v>7.362696670674708E-2</v>
      </c>
      <c r="N868" s="821">
        <f t="shared" si="129"/>
        <v>5.2161517329917491</v>
      </c>
      <c r="O868" s="824">
        <f t="shared" si="130"/>
        <v>-3.7967308030112124</v>
      </c>
      <c r="V868" s="511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J868" s="143"/>
      <c r="AK868" s="143"/>
      <c r="AL868" s="143"/>
      <c r="AM868" s="143"/>
      <c r="AN868" s="143"/>
      <c r="AO868" s="143"/>
      <c r="AP868" s="143"/>
      <c r="AQ868" s="143"/>
      <c r="AR868" s="143"/>
      <c r="AS868" s="143"/>
      <c r="AT868" s="143"/>
    </row>
    <row r="869" spans="2:46" ht="15" customHeight="1">
      <c r="B869" s="518" t="str">
        <f>+input!B40</f>
        <v>119j</v>
      </c>
      <c r="C869" s="538" t="str">
        <f t="shared" si="118"/>
        <v>Negative</v>
      </c>
      <c r="D869" s="821">
        <f t="shared" si="119"/>
        <v>148.26948555692721</v>
      </c>
      <c r="E869" s="821">
        <f t="shared" si="120"/>
        <v>-141.64342527974492</v>
      </c>
      <c r="F869" s="527">
        <f t="shared" si="121"/>
        <v>276.12173626917394</v>
      </c>
      <c r="G869" s="527">
        <f t="shared" si="122"/>
        <v>-288.90054796601828</v>
      </c>
      <c r="H869" s="527">
        <f t="shared" si="123"/>
        <v>198.38061118560032</v>
      </c>
      <c r="I869" s="527">
        <f t="shared" si="124"/>
        <v>-213.60922344982689</v>
      </c>
      <c r="J869" s="527">
        <f t="shared" si="125"/>
        <v>211.5585821319703</v>
      </c>
      <c r="K869" s="527">
        <f t="shared" si="126"/>
        <v>-223.20120059589294</v>
      </c>
      <c r="L869" s="821">
        <f t="shared" si="127"/>
        <v>-0.17534683271792723</v>
      </c>
      <c r="M869" s="821">
        <f t="shared" si="128"/>
        <v>0.12763139476557508</v>
      </c>
      <c r="N869" s="821">
        <f t="shared" si="129"/>
        <v>5.8425784594926906</v>
      </c>
      <c r="O869" s="824">
        <f t="shared" si="130"/>
        <v>-4.2526940820877348</v>
      </c>
      <c r="V869" s="511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J869" s="143"/>
      <c r="AK869" s="143"/>
      <c r="AL869" s="143"/>
      <c r="AM869" s="143"/>
      <c r="AN869" s="143"/>
      <c r="AO869" s="143"/>
      <c r="AP869" s="143"/>
      <c r="AQ869" s="143"/>
      <c r="AR869" s="143"/>
      <c r="AS869" s="143"/>
      <c r="AT869" s="143"/>
    </row>
    <row r="870" spans="2:46" ht="15" customHeight="1">
      <c r="B870" s="518" t="str">
        <f>+input!B41</f>
        <v>120i</v>
      </c>
      <c r="C870" s="538" t="str">
        <f t="shared" si="118"/>
        <v>Negative</v>
      </c>
      <c r="D870" s="821">
        <f t="shared" si="119"/>
        <v>148.26960795280615</v>
      </c>
      <c r="E870" s="821">
        <f t="shared" si="120"/>
        <v>-141.64350793631337</v>
      </c>
      <c r="F870" s="527">
        <f t="shared" si="121"/>
        <v>276.11584686791849</v>
      </c>
      <c r="G870" s="527">
        <f t="shared" si="122"/>
        <v>-288.89638015016817</v>
      </c>
      <c r="H870" s="527">
        <f t="shared" si="123"/>
        <v>198.3774390421905</v>
      </c>
      <c r="I870" s="527">
        <f t="shared" si="124"/>
        <v>-213.60701478127308</v>
      </c>
      <c r="J870" s="527">
        <f t="shared" si="125"/>
        <v>211.55437030380548</v>
      </c>
      <c r="K870" s="527">
        <f t="shared" si="126"/>
        <v>-223.19823516194259</v>
      </c>
      <c r="L870" s="821">
        <f t="shared" si="127"/>
        <v>-0.18237803410589426</v>
      </c>
      <c r="M870" s="821">
        <f t="shared" si="128"/>
        <v>0.13274926331280737</v>
      </c>
      <c r="N870" s="821">
        <f t="shared" si="129"/>
        <v>5.8319150261080965</v>
      </c>
      <c r="O870" s="824">
        <f t="shared" si="130"/>
        <v>-4.2449323857127856</v>
      </c>
      <c r="V870" s="511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J870" s="143"/>
      <c r="AK870" s="143"/>
      <c r="AL870" s="143"/>
      <c r="AM870" s="143"/>
      <c r="AN870" s="143"/>
      <c r="AO870" s="143"/>
      <c r="AP870" s="143"/>
      <c r="AQ870" s="143"/>
      <c r="AR870" s="143"/>
      <c r="AS870" s="143"/>
      <c r="AT870" s="143"/>
    </row>
    <row r="871" spans="2:46" ht="15" customHeight="1">
      <c r="B871" s="518" t="str">
        <f>+input!B42</f>
        <v>120j</v>
      </c>
      <c r="C871" s="538" t="str">
        <f t="shared" si="118"/>
        <v>Negative</v>
      </c>
      <c r="D871" s="821">
        <f t="shared" si="119"/>
        <v>135.88633655415651</v>
      </c>
      <c r="E871" s="821">
        <f t="shared" si="120"/>
        <v>-129.35699623484572</v>
      </c>
      <c r="F871" s="527">
        <f t="shared" si="121"/>
        <v>254.90204391659316</v>
      </c>
      <c r="G871" s="527">
        <f t="shared" si="122"/>
        <v>-265.93891571897541</v>
      </c>
      <c r="H871" s="527">
        <f t="shared" si="123"/>
        <v>182.87716434119469</v>
      </c>
      <c r="I871" s="527">
        <f t="shared" si="124"/>
        <v>-196.40036470039672</v>
      </c>
      <c r="J871" s="527">
        <f t="shared" si="125"/>
        <v>195.22339414821215</v>
      </c>
      <c r="K871" s="527">
        <f t="shared" si="126"/>
        <v>-205.38693438027693</v>
      </c>
      <c r="L871" s="821">
        <f t="shared" si="127"/>
        <v>-0.27111779380331735</v>
      </c>
      <c r="M871" s="821">
        <f t="shared" si="128"/>
        <v>0.19734113033308989</v>
      </c>
      <c r="N871" s="821">
        <f t="shared" si="129"/>
        <v>5.5458684255663471</v>
      </c>
      <c r="O871" s="824">
        <f t="shared" si="130"/>
        <v>-4.0367248804547664</v>
      </c>
      <c r="V871" s="511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J871" s="143"/>
      <c r="AK871" s="143"/>
      <c r="AL871" s="143"/>
      <c r="AM871" s="143"/>
      <c r="AN871" s="143"/>
      <c r="AO871" s="143"/>
      <c r="AP871" s="143"/>
      <c r="AQ871" s="143"/>
      <c r="AR871" s="143"/>
      <c r="AS871" s="143"/>
      <c r="AT871" s="143"/>
    </row>
    <row r="872" spans="2:46" ht="15" customHeight="1">
      <c r="B872" s="518" t="str">
        <f>+input!B43</f>
        <v>121i</v>
      </c>
      <c r="C872" s="538" t="str">
        <f t="shared" si="118"/>
        <v>Negative</v>
      </c>
      <c r="D872" s="821">
        <f t="shared" si="119"/>
        <v>140.23644996885517</v>
      </c>
      <c r="E872" s="821">
        <f t="shared" si="120"/>
        <v>-136.76807524343602</v>
      </c>
      <c r="F872" s="527">
        <f t="shared" si="121"/>
        <v>263.06418300295439</v>
      </c>
      <c r="G872" s="527">
        <f t="shared" si="122"/>
        <v>-282.29687400065148</v>
      </c>
      <c r="H872" s="527">
        <f t="shared" si="123"/>
        <v>188.75856753748855</v>
      </c>
      <c r="I872" s="527">
        <f t="shared" si="124"/>
        <v>-208.1084419009606</v>
      </c>
      <c r="J872" s="527">
        <f t="shared" si="125"/>
        <v>201.48214330122192</v>
      </c>
      <c r="K872" s="527">
        <f t="shared" si="126"/>
        <v>-217.89167903764434</v>
      </c>
      <c r="L872" s="821">
        <f t="shared" si="127"/>
        <v>-0.27940414557908511</v>
      </c>
      <c r="M872" s="821">
        <f t="shared" si="128"/>
        <v>0.2148355984144065</v>
      </c>
      <c r="N872" s="821">
        <f t="shared" si="129"/>
        <v>5.7153704565164229</v>
      </c>
      <c r="O872" s="824">
        <f t="shared" si="130"/>
        <v>-4.3945841592324522</v>
      </c>
      <c r="V872" s="511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J872" s="143"/>
      <c r="AK872" s="143"/>
      <c r="AL872" s="143"/>
      <c r="AM872" s="143"/>
      <c r="AN872" s="143"/>
      <c r="AO872" s="143"/>
      <c r="AP872" s="143"/>
      <c r="AQ872" s="143"/>
      <c r="AR872" s="143"/>
      <c r="AS872" s="143"/>
      <c r="AT872" s="143"/>
    </row>
    <row r="873" spans="2:46" ht="15" customHeight="1">
      <c r="B873" s="518" t="str">
        <f>+input!B44</f>
        <v>121j</v>
      </c>
      <c r="C873" s="538" t="str">
        <f t="shared" si="118"/>
        <v>Negative</v>
      </c>
      <c r="D873" s="821">
        <f t="shared" si="119"/>
        <v>112.94627367341826</v>
      </c>
      <c r="E873" s="821">
        <f t="shared" si="120"/>
        <v>-109.57994496527135</v>
      </c>
      <c r="F873" s="527">
        <f t="shared" si="121"/>
        <v>216.72447769719204</v>
      </c>
      <c r="G873" s="527">
        <f t="shared" si="122"/>
        <v>-230.87451700580431</v>
      </c>
      <c r="H873" s="527">
        <f t="shared" si="123"/>
        <v>154.76928413826073</v>
      </c>
      <c r="I873" s="527">
        <f t="shared" si="124"/>
        <v>-169.53949309576473</v>
      </c>
      <c r="J873" s="527">
        <f t="shared" si="125"/>
        <v>165.78275268019314</v>
      </c>
      <c r="K873" s="527">
        <f t="shared" si="126"/>
        <v>-178.00781807326427</v>
      </c>
      <c r="L873" s="821">
        <f t="shared" si="127"/>
        <v>-1.2013073274953265</v>
      </c>
      <c r="M873" s="821">
        <f t="shared" si="128"/>
        <v>0.92369273207157754</v>
      </c>
      <c r="N873" s="821">
        <f t="shared" si="129"/>
        <v>5.0274888515481493</v>
      </c>
      <c r="O873" s="824">
        <f t="shared" si="130"/>
        <v>-3.8656676825805629</v>
      </c>
      <c r="V873" s="511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J873" s="143"/>
      <c r="AK873" s="143"/>
      <c r="AL873" s="143"/>
      <c r="AM873" s="143"/>
      <c r="AN873" s="143"/>
      <c r="AO873" s="143"/>
      <c r="AP873" s="143"/>
      <c r="AQ873" s="143"/>
      <c r="AR873" s="143"/>
      <c r="AS873" s="143"/>
      <c r="AT873" s="143"/>
    </row>
    <row r="874" spans="2:46" ht="15" customHeight="1">
      <c r="B874" s="518" t="str">
        <f>+input!B45</f>
        <v>122i</v>
      </c>
      <c r="C874" s="538" t="str">
        <f t="shared" si="118"/>
        <v>Negative</v>
      </c>
      <c r="D874" s="821">
        <f t="shared" si="119"/>
        <v>195.35240037707553</v>
      </c>
      <c r="E874" s="821">
        <f t="shared" si="120"/>
        <v>-135.3665913393416</v>
      </c>
      <c r="F874" s="527">
        <f t="shared" si="121"/>
        <v>366.83295076008693</v>
      </c>
      <c r="G874" s="527">
        <f t="shared" si="122"/>
        <v>-284.21253214164204</v>
      </c>
      <c r="H874" s="527">
        <f t="shared" si="123"/>
        <v>262.94640595120558</v>
      </c>
      <c r="I874" s="527">
        <f t="shared" si="124"/>
        <v>-207.87824840004654</v>
      </c>
      <c r="J874" s="527">
        <f t="shared" si="125"/>
        <v>280.91962480998933</v>
      </c>
      <c r="K874" s="527">
        <f t="shared" si="126"/>
        <v>-218.86396699294551</v>
      </c>
      <c r="L874" s="821">
        <f t="shared" si="127"/>
        <v>-1.9604504640411604</v>
      </c>
      <c r="M874" s="821">
        <f t="shared" si="128"/>
        <v>1.1982804684286712</v>
      </c>
      <c r="N874" s="821">
        <f t="shared" si="129"/>
        <v>8.2045140543086177</v>
      </c>
      <c r="O874" s="824">
        <f t="shared" si="130"/>
        <v>-5.014821401791937</v>
      </c>
      <c r="V874" s="511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J874" s="143"/>
      <c r="AK874" s="143"/>
      <c r="AL874" s="143"/>
      <c r="AM874" s="143"/>
      <c r="AN874" s="143"/>
      <c r="AO874" s="143"/>
      <c r="AP874" s="143"/>
      <c r="AQ874" s="143"/>
      <c r="AR874" s="143"/>
      <c r="AS874" s="143"/>
      <c r="AT874" s="143"/>
    </row>
    <row r="875" spans="2:46" ht="15" customHeight="1">
      <c r="B875" s="967" t="str">
        <f>+input!B46</f>
        <v>122j</v>
      </c>
      <c r="C875" s="968" t="str">
        <f t="shared" si="118"/>
        <v>Negative</v>
      </c>
      <c r="D875" s="965">
        <f t="shared" si="119"/>
        <v>137.36490277605083</v>
      </c>
      <c r="E875" s="965">
        <f t="shared" si="120"/>
        <v>-95.212095715053394</v>
      </c>
      <c r="F875" s="955">
        <f t="shared" si="121"/>
        <v>272.01988537612044</v>
      </c>
      <c r="G875" s="955">
        <f t="shared" si="122"/>
        <v>-208.40994461050926</v>
      </c>
      <c r="H875" s="955">
        <f t="shared" si="123"/>
        <v>192.66270885590779</v>
      </c>
      <c r="I875" s="955">
        <f t="shared" si="124"/>
        <v>-150.89035303546797</v>
      </c>
      <c r="J875" s="955">
        <f t="shared" si="125"/>
        <v>207.69278050936867</v>
      </c>
      <c r="K875" s="955">
        <f t="shared" si="126"/>
        <v>-160.07714027226467</v>
      </c>
      <c r="L875" s="965">
        <f t="shared" si="127"/>
        <v>-4.3464937019861134</v>
      </c>
      <c r="M875" s="965">
        <f t="shared" si="128"/>
        <v>2.6566947774350078</v>
      </c>
      <c r="N875" s="965">
        <f t="shared" si="129"/>
        <v>6.6065796368827705</v>
      </c>
      <c r="O875" s="958">
        <f t="shared" si="130"/>
        <v>-4.0381205683088321</v>
      </c>
      <c r="V875" s="511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J875" s="143"/>
      <c r="AK875" s="143"/>
      <c r="AL875" s="143"/>
      <c r="AM875" s="143"/>
      <c r="AN875" s="143"/>
      <c r="AO875" s="143"/>
      <c r="AP875" s="143"/>
      <c r="AQ875" s="143"/>
      <c r="AR875" s="143"/>
      <c r="AS875" s="143"/>
      <c r="AT875" s="143"/>
    </row>
    <row r="876" spans="2:46" ht="15" customHeight="1">
      <c r="B876" s="969" t="str">
        <f>+input!B47</f>
        <v>123i</v>
      </c>
      <c r="C876" s="970" t="str">
        <f t="shared" si="118"/>
        <v>Negative</v>
      </c>
      <c r="D876" s="822">
        <f t="shared" si="119"/>
        <v>181.5717713727631</v>
      </c>
      <c r="E876" s="822">
        <f t="shared" si="120"/>
        <v>-153.30009082338759</v>
      </c>
      <c r="F876" s="961">
        <f t="shared" si="121"/>
        <v>352.66982462623065</v>
      </c>
      <c r="G876" s="961">
        <f t="shared" si="122"/>
        <v>-317.30161933550608</v>
      </c>
      <c r="H876" s="961">
        <f t="shared" si="123"/>
        <v>249.99229716576218</v>
      </c>
      <c r="I876" s="961">
        <f t="shared" si="124"/>
        <v>-222.39279263398234</v>
      </c>
      <c r="J876" s="961">
        <f t="shared" si="125"/>
        <v>269.34248946555658</v>
      </c>
      <c r="K876" s="961">
        <f t="shared" si="126"/>
        <v>-241.5446476035425</v>
      </c>
      <c r="L876" s="822">
        <f t="shared" si="127"/>
        <v>-5.5958142384444471</v>
      </c>
      <c r="M876" s="822">
        <f t="shared" si="128"/>
        <v>5.5384577616020128</v>
      </c>
      <c r="N876" s="822">
        <f t="shared" si="129"/>
        <v>8.5055207563266038</v>
      </c>
      <c r="O876" s="823">
        <f t="shared" si="130"/>
        <v>-8.418340109595789</v>
      </c>
      <c r="V876" s="511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J876" s="143"/>
      <c r="AK876" s="143"/>
      <c r="AL876" s="143"/>
      <c r="AM876" s="143"/>
      <c r="AN876" s="143"/>
      <c r="AO876" s="143"/>
      <c r="AP876" s="143"/>
      <c r="AQ876" s="143"/>
      <c r="AR876" s="143"/>
      <c r="AS876" s="143"/>
      <c r="AT876" s="143"/>
    </row>
    <row r="877" spans="2:46" ht="15" customHeight="1">
      <c r="B877" s="518" t="str">
        <f>+input!B48</f>
        <v>123j</v>
      </c>
      <c r="C877" s="538" t="str">
        <f t="shared" si="118"/>
        <v>Negative</v>
      </c>
      <c r="D877" s="821">
        <f t="shared" si="119"/>
        <v>120.68945206524526</v>
      </c>
      <c r="E877" s="821">
        <f t="shared" si="120"/>
        <v>-101.89746910076326</v>
      </c>
      <c r="F877" s="527">
        <f t="shared" si="121"/>
        <v>256.27875309173174</v>
      </c>
      <c r="G877" s="527">
        <f t="shared" si="122"/>
        <v>-232.62783530324657</v>
      </c>
      <c r="H877" s="527">
        <f t="shared" si="123"/>
        <v>178.16797728583691</v>
      </c>
      <c r="I877" s="527">
        <f t="shared" si="124"/>
        <v>-159.75956027766432</v>
      </c>
      <c r="J877" s="527">
        <f t="shared" si="125"/>
        <v>194.81446401199821</v>
      </c>
      <c r="K877" s="527">
        <f t="shared" si="126"/>
        <v>-176.23542235659244</v>
      </c>
      <c r="L877" s="821">
        <f t="shared" si="127"/>
        <v>-8.1870782613375042</v>
      </c>
      <c r="M877" s="821">
        <f t="shared" si="128"/>
        <v>8.1031616149489469</v>
      </c>
      <c r="N877" s="821">
        <f t="shared" si="129"/>
        <v>7.0497114844573279</v>
      </c>
      <c r="O877" s="824">
        <f t="shared" si="130"/>
        <v>-6.9774527216974462</v>
      </c>
      <c r="V877" s="511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J877" s="143"/>
      <c r="AK877" s="143"/>
      <c r="AL877" s="143"/>
      <c r="AM877" s="143"/>
      <c r="AN877" s="143"/>
      <c r="AO877" s="143"/>
      <c r="AP877" s="143"/>
      <c r="AQ877" s="143"/>
      <c r="AR877" s="143"/>
      <c r="AS877" s="143"/>
      <c r="AT877" s="143"/>
    </row>
    <row r="878" spans="2:46" ht="15" customHeight="1">
      <c r="B878" s="518" t="str">
        <f>+input!B49</f>
        <v>124i</v>
      </c>
      <c r="C878" s="538" t="str">
        <f t="shared" si="118"/>
        <v>Negative</v>
      </c>
      <c r="D878" s="821">
        <f t="shared" si="119"/>
        <v>182.00878918606219</v>
      </c>
      <c r="E878" s="821">
        <f t="shared" si="120"/>
        <v>-128.24113402576765</v>
      </c>
      <c r="F878" s="527">
        <f t="shared" si="121"/>
        <v>372.69955550147154</v>
      </c>
      <c r="G878" s="527">
        <f t="shared" si="122"/>
        <v>-288.5602716901144</v>
      </c>
      <c r="H878" s="527">
        <f t="shared" si="123"/>
        <v>260.72960696081651</v>
      </c>
      <c r="I878" s="527">
        <f t="shared" si="124"/>
        <v>-198.63701940064584</v>
      </c>
      <c r="J878" s="527">
        <f t="shared" si="125"/>
        <v>283.82065404120863</v>
      </c>
      <c r="K878" s="527">
        <f t="shared" si="126"/>
        <v>-218.75318888655647</v>
      </c>
      <c r="L878" s="821">
        <f t="shared" si="127"/>
        <v>-11.356643158000079</v>
      </c>
      <c r="M878" s="821">
        <f t="shared" si="128"/>
        <v>9.8935382948194039</v>
      </c>
      <c r="N878" s="821">
        <f t="shared" si="129"/>
        <v>9.778953509448618</v>
      </c>
      <c r="O878" s="824">
        <f t="shared" si="130"/>
        <v>-8.5191063664649</v>
      </c>
      <c r="V878" s="511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J878" s="143"/>
      <c r="AK878" s="143"/>
      <c r="AL878" s="143"/>
      <c r="AM878" s="143"/>
      <c r="AN878" s="143"/>
      <c r="AO878" s="143"/>
      <c r="AP878" s="143"/>
      <c r="AQ878" s="143"/>
      <c r="AR878" s="143"/>
      <c r="AS878" s="143"/>
      <c r="AT878" s="143"/>
    </row>
    <row r="879" spans="2:46" ht="15" customHeight="1">
      <c r="B879" s="518" t="str">
        <f>+input!B50</f>
        <v>124j</v>
      </c>
      <c r="C879" s="538" t="str">
        <f t="shared" si="118"/>
        <v>Negative</v>
      </c>
      <c r="D879" s="821">
        <f t="shared" si="119"/>
        <v>105.10838141560447</v>
      </c>
      <c r="E879" s="821">
        <f t="shared" si="120"/>
        <v>-74.058061089405044</v>
      </c>
      <c r="F879" s="527">
        <f t="shared" si="121"/>
        <v>251.18051474512725</v>
      </c>
      <c r="G879" s="527">
        <f t="shared" si="122"/>
        <v>-198.16115496427173</v>
      </c>
      <c r="H879" s="527">
        <f t="shared" si="123"/>
        <v>170.21644637034015</v>
      </c>
      <c r="I879" s="527">
        <f t="shared" si="124"/>
        <v>-131.97558081500682</v>
      </c>
      <c r="J879" s="527">
        <f t="shared" si="125"/>
        <v>189.84515350706562</v>
      </c>
      <c r="K879" s="527">
        <f t="shared" si="126"/>
        <v>-149.0754723087523</v>
      </c>
      <c r="L879" s="821">
        <f t="shared" si="127"/>
        <v>-13.079906416081027</v>
      </c>
      <c r="M879" s="821">
        <f t="shared" si="128"/>
        <v>11.394789218942083</v>
      </c>
      <c r="N879" s="821">
        <f t="shared" si="129"/>
        <v>7.7962699723023983</v>
      </c>
      <c r="O879" s="824">
        <f t="shared" si="130"/>
        <v>-6.7918569294298035</v>
      </c>
      <c r="V879" s="511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J879" s="143"/>
      <c r="AK879" s="143"/>
      <c r="AL879" s="143"/>
      <c r="AM879" s="143"/>
      <c r="AN879" s="143"/>
      <c r="AO879" s="143"/>
      <c r="AP879" s="143"/>
      <c r="AQ879" s="143"/>
      <c r="AR879" s="143"/>
      <c r="AS879" s="143"/>
      <c r="AT879" s="143"/>
    </row>
    <row r="880" spans="2:46" ht="15" customHeight="1">
      <c r="B880" s="518" t="str">
        <f>+input!B51</f>
        <v>125i</v>
      </c>
      <c r="C880" s="538" t="str">
        <f t="shared" si="118"/>
        <v>Negative</v>
      </c>
      <c r="D880" s="821">
        <f t="shared" si="119"/>
        <v>118.80735870848579</v>
      </c>
      <c r="E880" s="821">
        <f t="shared" si="120"/>
        <v>-90.242298949241828</v>
      </c>
      <c r="F880" s="527">
        <f t="shared" si="121"/>
        <v>280.05486578036204</v>
      </c>
      <c r="G880" s="527">
        <f t="shared" si="122"/>
        <v>-239.88290698730216</v>
      </c>
      <c r="H880" s="527">
        <f t="shared" si="123"/>
        <v>190.19576364738671</v>
      </c>
      <c r="I880" s="527">
        <f t="shared" si="124"/>
        <v>-159.91456405665986</v>
      </c>
      <c r="J880" s="527">
        <f t="shared" si="125"/>
        <v>211.79533268210758</v>
      </c>
      <c r="K880" s="527">
        <f t="shared" si="126"/>
        <v>-180.50892344890909</v>
      </c>
      <c r="L880" s="821">
        <f t="shared" si="127"/>
        <v>-14.393222112587981</v>
      </c>
      <c r="M880" s="821">
        <f t="shared" si="128"/>
        <v>13.723384412097182</v>
      </c>
      <c r="N880" s="821">
        <f t="shared" si="129"/>
        <v>8.5790709651476025</v>
      </c>
      <c r="O880" s="824">
        <f t="shared" si="130"/>
        <v>-8.1798146261089641</v>
      </c>
      <c r="V880" s="511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J880" s="143"/>
      <c r="AK880" s="143"/>
      <c r="AL880" s="143"/>
      <c r="AM880" s="143"/>
      <c r="AN880" s="143"/>
      <c r="AO880" s="143"/>
      <c r="AP880" s="143"/>
      <c r="AQ880" s="143"/>
      <c r="AR880" s="143"/>
      <c r="AS880" s="143"/>
      <c r="AT880" s="143"/>
    </row>
    <row r="881" spans="2:46" ht="15" customHeight="1">
      <c r="B881" s="518" t="str">
        <f>+input!B52</f>
        <v>125j</v>
      </c>
      <c r="C881" s="538" t="str">
        <f t="shared" si="118"/>
        <v>Negative</v>
      </c>
      <c r="D881" s="821">
        <f t="shared" si="119"/>
        <v>54.732700876711668</v>
      </c>
      <c r="E881" s="821">
        <f t="shared" si="120"/>
        <v>-41.573222471301882</v>
      </c>
      <c r="F881" s="527">
        <f t="shared" si="121"/>
        <v>174.3354827582308</v>
      </c>
      <c r="G881" s="527">
        <f t="shared" si="122"/>
        <v>-154.02724013775426</v>
      </c>
      <c r="H881" s="527">
        <f t="shared" si="123"/>
        <v>112.38426207734707</v>
      </c>
      <c r="I881" s="527">
        <f t="shared" si="124"/>
        <v>-97.506016791106958</v>
      </c>
      <c r="J881" s="527">
        <f t="shared" si="125"/>
        <v>130.28318885838365</v>
      </c>
      <c r="K881" s="527">
        <f t="shared" si="126"/>
        <v>-114.571955943489</v>
      </c>
      <c r="L881" s="821">
        <f t="shared" si="127"/>
        <v>-16.413194005699637</v>
      </c>
      <c r="M881" s="821">
        <f t="shared" si="128"/>
        <v>15.649350021045779</v>
      </c>
      <c r="N881" s="821">
        <f t="shared" si="129"/>
        <v>6.9710010882966493</v>
      </c>
      <c r="O881" s="824">
        <f t="shared" si="130"/>
        <v>-6.6465817676902024</v>
      </c>
      <c r="V881" s="511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J881" s="143"/>
      <c r="AK881" s="143"/>
      <c r="AL881" s="143"/>
      <c r="AM881" s="143"/>
      <c r="AN881" s="143"/>
      <c r="AO881" s="143"/>
      <c r="AP881" s="143"/>
      <c r="AQ881" s="143"/>
      <c r="AR881" s="143"/>
      <c r="AS881" s="143"/>
      <c r="AT881" s="143"/>
    </row>
    <row r="882" spans="2:46" ht="15" customHeight="1">
      <c r="B882" s="518" t="str">
        <f>+input!B53</f>
        <v>126i</v>
      </c>
      <c r="C882" s="538" t="str">
        <f t="shared" si="118"/>
        <v>Negative</v>
      </c>
      <c r="D882" s="821">
        <f t="shared" si="119"/>
        <v>54.732700876711668</v>
      </c>
      <c r="E882" s="821">
        <f t="shared" si="120"/>
        <v>-41.573222471301882</v>
      </c>
      <c r="F882" s="527">
        <f t="shared" si="121"/>
        <v>174.3354827582308</v>
      </c>
      <c r="G882" s="527">
        <f t="shared" si="122"/>
        <v>-154.02724013775426</v>
      </c>
      <c r="H882" s="527">
        <f t="shared" si="123"/>
        <v>112.38426207734707</v>
      </c>
      <c r="I882" s="527">
        <f t="shared" si="124"/>
        <v>-97.506016791106958</v>
      </c>
      <c r="J882" s="527">
        <f t="shared" si="125"/>
        <v>130.28318885838365</v>
      </c>
      <c r="K882" s="527">
        <f t="shared" si="126"/>
        <v>-114.571955943489</v>
      </c>
      <c r="L882" s="821">
        <f t="shared" si="127"/>
        <v>-16.413249072814111</v>
      </c>
      <c r="M882" s="821">
        <f t="shared" si="128"/>
        <v>15.649402525424192</v>
      </c>
      <c r="N882" s="821">
        <f t="shared" si="129"/>
        <v>6.9710010882966493</v>
      </c>
      <c r="O882" s="824">
        <f t="shared" si="130"/>
        <v>-6.6465817676902024</v>
      </c>
      <c r="V882" s="511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J882" s="143"/>
      <c r="AK882" s="143"/>
      <c r="AL882" s="143"/>
      <c r="AM882" s="143"/>
      <c r="AN882" s="143"/>
      <c r="AO882" s="143"/>
      <c r="AP882" s="143"/>
      <c r="AQ882" s="143"/>
      <c r="AR882" s="143"/>
      <c r="AS882" s="143"/>
      <c r="AT882" s="143"/>
    </row>
    <row r="883" spans="2:46" ht="15" customHeight="1">
      <c r="B883" s="518" t="str">
        <f>+input!B54</f>
        <v>126j</v>
      </c>
      <c r="C883" s="538" t="str">
        <f t="shared" si="118"/>
        <v>Negative</v>
      </c>
      <c r="D883" s="821">
        <f t="shared" si="119"/>
        <v>6.3753641260380745</v>
      </c>
      <c r="E883" s="821">
        <f t="shared" si="120"/>
        <v>-4.8425242478781501</v>
      </c>
      <c r="F883" s="527">
        <f t="shared" si="121"/>
        <v>89.215122290505064</v>
      </c>
      <c r="G883" s="527">
        <f t="shared" si="122"/>
        <v>-84.138503188002957</v>
      </c>
      <c r="H883" s="527">
        <f t="shared" si="123"/>
        <v>50.694600669717609</v>
      </c>
      <c r="I883" s="527">
        <f t="shared" si="124"/>
        <v>-47.574922165673954</v>
      </c>
      <c r="J883" s="527">
        <f t="shared" si="125"/>
        <v>64.901673908539863</v>
      </c>
      <c r="K883" s="527">
        <f t="shared" si="126"/>
        <v>-61.120820776983564</v>
      </c>
      <c r="L883" s="821">
        <f t="shared" si="127"/>
        <v>-15.940167492373504</v>
      </c>
      <c r="M883" s="821">
        <f t="shared" si="128"/>
        <v>15.198337410477421</v>
      </c>
      <c r="N883" s="821">
        <f t="shared" si="129"/>
        <v>5.39085023848369</v>
      </c>
      <c r="O883" s="824">
        <f t="shared" si="130"/>
        <v>-5.1399686291268738</v>
      </c>
      <c r="V883" s="511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J883" s="143"/>
      <c r="AK883" s="143"/>
      <c r="AL883" s="143"/>
      <c r="AM883" s="143"/>
      <c r="AN883" s="143"/>
      <c r="AO883" s="143"/>
      <c r="AP883" s="143"/>
      <c r="AQ883" s="143"/>
      <c r="AR883" s="143"/>
      <c r="AS883" s="143"/>
      <c r="AT883" s="143"/>
    </row>
    <row r="884" spans="2:46" ht="15" customHeight="1">
      <c r="B884" s="518" t="str">
        <f>+input!B55</f>
        <v>127i</v>
      </c>
      <c r="C884" s="538" t="str">
        <f t="shared" si="118"/>
        <v>Negative</v>
      </c>
      <c r="D884" s="821">
        <f t="shared" si="119"/>
        <v>6.833395799993057</v>
      </c>
      <c r="E884" s="821">
        <f t="shared" si="120"/>
        <v>-6.5311181896425641</v>
      </c>
      <c r="F884" s="527">
        <f t="shared" si="121"/>
        <v>94.847680343683109</v>
      </c>
      <c r="G884" s="527">
        <f t="shared" si="122"/>
        <v>-112.86215523535652</v>
      </c>
      <c r="H884" s="527">
        <f t="shared" si="123"/>
        <v>53.906552770565384</v>
      </c>
      <c r="I884" s="527">
        <f t="shared" si="124"/>
        <v>-63.823484562087707</v>
      </c>
      <c r="J884" s="527">
        <f t="shared" si="125"/>
        <v>69.003390895663784</v>
      </c>
      <c r="K884" s="527">
        <f t="shared" si="126"/>
        <v>-81.9892343002156</v>
      </c>
      <c r="L884" s="821">
        <f t="shared" si="127"/>
        <v>-16.938414614659539</v>
      </c>
      <c r="M884" s="821">
        <f t="shared" si="128"/>
        <v>20.381685111864957</v>
      </c>
      <c r="N884" s="821">
        <f t="shared" si="129"/>
        <v>5.7285285560403247</v>
      </c>
      <c r="O884" s="824">
        <f t="shared" si="130"/>
        <v>-6.8930338428775766</v>
      </c>
      <c r="V884" s="511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J884" s="143"/>
      <c r="AK884" s="143"/>
      <c r="AL884" s="143"/>
      <c r="AM884" s="143"/>
      <c r="AN884" s="143"/>
      <c r="AO884" s="143"/>
      <c r="AP884" s="143"/>
      <c r="AQ884" s="143"/>
      <c r="AR884" s="143"/>
      <c r="AS884" s="143"/>
      <c r="AT884" s="143"/>
    </row>
    <row r="885" spans="2:46" s="73" customFormat="1" ht="15" customHeight="1">
      <c r="B885" s="533" t="str">
        <f>+input!B56</f>
        <v>127j</v>
      </c>
      <c r="C885" s="538" t="str">
        <f t="shared" si="118"/>
        <v>Positive</v>
      </c>
      <c r="D885" s="821">
        <f t="shared" si="119"/>
        <v>-22.047176849028361</v>
      </c>
      <c r="E885" s="821">
        <f t="shared" si="120"/>
        <v>21.071912408337575</v>
      </c>
      <c r="F885" s="527">
        <f t="shared" si="121"/>
        <v>-42.425792763925983</v>
      </c>
      <c r="G885" s="527">
        <f t="shared" si="122"/>
        <v>141.75745313577335</v>
      </c>
      <c r="H885" s="527">
        <f t="shared" si="123"/>
        <v>-29.565920613845652</v>
      </c>
      <c r="I885" s="527">
        <f t="shared" si="124"/>
        <v>85.477145697078214</v>
      </c>
      <c r="J885" s="527">
        <f t="shared" si="125"/>
        <v>-32.387423705175699</v>
      </c>
      <c r="K885" s="527">
        <f t="shared" si="126"/>
        <v>104.10168836806361</v>
      </c>
      <c r="L885" s="821">
        <f t="shared" si="127"/>
        <v>-2.3920987815644708</v>
      </c>
      <c r="M885" s="821">
        <f t="shared" si="128"/>
        <v>15.790075143762488</v>
      </c>
      <c r="N885" s="821">
        <f t="shared" si="129"/>
        <v>0.61575040719282004</v>
      </c>
      <c r="O885" s="824">
        <f t="shared" si="130"/>
        <v>-4.0645249578774276</v>
      </c>
      <c r="V885" s="511"/>
    </row>
    <row r="886" spans="2:46" s="73" customFormat="1" ht="15" customHeight="1">
      <c r="B886" s="533" t="str">
        <f>+input!B57</f>
        <v>128i</v>
      </c>
      <c r="C886" s="538" t="str">
        <f t="shared" si="118"/>
        <v>Positive</v>
      </c>
      <c r="D886" s="821">
        <f t="shared" si="119"/>
        <v>-22.047176849028361</v>
      </c>
      <c r="E886" s="821">
        <f t="shared" si="120"/>
        <v>21.587072413656848</v>
      </c>
      <c r="F886" s="527">
        <f t="shared" si="121"/>
        <v>-42.425792763925983</v>
      </c>
      <c r="G886" s="527">
        <f t="shared" si="122"/>
        <v>142.27261314109262</v>
      </c>
      <c r="H886" s="527">
        <f t="shared" si="123"/>
        <v>-29.565920613845652</v>
      </c>
      <c r="I886" s="527">
        <f t="shared" si="124"/>
        <v>85.889273701333636</v>
      </c>
      <c r="J886" s="527">
        <f t="shared" si="125"/>
        <v>-32.387423705175699</v>
      </c>
      <c r="K886" s="527">
        <f t="shared" si="126"/>
        <v>104.51381637231903</v>
      </c>
      <c r="L886" s="821">
        <f t="shared" si="127"/>
        <v>-2.3920987815644708</v>
      </c>
      <c r="M886" s="821">
        <f t="shared" si="128"/>
        <v>15.790075143762488</v>
      </c>
      <c r="N886" s="821">
        <f t="shared" si="129"/>
        <v>0.61575040719282004</v>
      </c>
      <c r="O886" s="824">
        <f t="shared" si="130"/>
        <v>-4.0645249578774276</v>
      </c>
      <c r="V886" s="511"/>
    </row>
    <row r="887" spans="2:46" ht="15" customHeight="1">
      <c r="B887" s="518" t="str">
        <f>+input!B58</f>
        <v>128j</v>
      </c>
      <c r="C887" s="538" t="str">
        <f t="shared" si="118"/>
        <v>Positive</v>
      </c>
      <c r="D887" s="821">
        <f t="shared" si="119"/>
        <v>-34.662470817440934</v>
      </c>
      <c r="E887" s="821">
        <f t="shared" si="120"/>
        <v>33.129164514950688</v>
      </c>
      <c r="F887" s="527">
        <f t="shared" si="121"/>
        <v>-52.478203044973306</v>
      </c>
      <c r="G887" s="527">
        <f t="shared" si="122"/>
        <v>133.1476691587489</v>
      </c>
      <c r="H887" s="527">
        <f t="shared" si="123"/>
        <v>-38.401662492143494</v>
      </c>
      <c r="I887" s="527">
        <f t="shared" si="124"/>
        <v>84.074833555816241</v>
      </c>
      <c r="J887" s="527">
        <f t="shared" si="125"/>
        <v>-40.640166668244198</v>
      </c>
      <c r="K887" s="527">
        <f t="shared" si="126"/>
        <v>98.851041554692955</v>
      </c>
      <c r="L887" s="821">
        <f t="shared" si="127"/>
        <v>-1.9209911989589776</v>
      </c>
      <c r="M887" s="821">
        <f t="shared" si="128"/>
        <v>12.680327257317796</v>
      </c>
      <c r="N887" s="821">
        <f t="shared" si="129"/>
        <v>0.40240668717529293</v>
      </c>
      <c r="O887" s="824">
        <f t="shared" si="130"/>
        <v>-2.656258126888372</v>
      </c>
      <c r="V887" s="511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J887" s="143"/>
      <c r="AK887" s="143"/>
      <c r="AL887" s="143"/>
      <c r="AM887" s="143"/>
      <c r="AN887" s="143"/>
      <c r="AO887" s="143"/>
      <c r="AP887" s="143"/>
      <c r="AQ887" s="143"/>
      <c r="AR887" s="143"/>
      <c r="AS887" s="143"/>
      <c r="AT887" s="143"/>
    </row>
    <row r="888" spans="2:46" ht="15" customHeight="1">
      <c r="B888" s="518" t="str">
        <f>+input!B59</f>
        <v>129i</v>
      </c>
      <c r="C888" s="538" t="str">
        <f t="shared" si="118"/>
        <v>Positive</v>
      </c>
      <c r="D888" s="821">
        <f t="shared" si="119"/>
        <v>-34.66260469796444</v>
      </c>
      <c r="E888" s="821">
        <f t="shared" si="120"/>
        <v>33.129292473223245</v>
      </c>
      <c r="F888" s="527">
        <f t="shared" si="121"/>
        <v>-52.478336925496812</v>
      </c>
      <c r="G888" s="527">
        <f t="shared" si="122"/>
        <v>133.14779711702147</v>
      </c>
      <c r="H888" s="527">
        <f t="shared" si="123"/>
        <v>-38.401769596562296</v>
      </c>
      <c r="I888" s="527">
        <f t="shared" si="124"/>
        <v>84.074935922434292</v>
      </c>
      <c r="J888" s="527">
        <f t="shared" si="125"/>
        <v>-40.640273772663001</v>
      </c>
      <c r="K888" s="527">
        <f t="shared" si="126"/>
        <v>98.851143921311007</v>
      </c>
      <c r="L888" s="821">
        <f t="shared" si="127"/>
        <v>-1.9209996680042725</v>
      </c>
      <c r="M888" s="821">
        <f t="shared" si="128"/>
        <v>12.680383160887761</v>
      </c>
      <c r="N888" s="821">
        <f t="shared" si="129"/>
        <v>0.40240668717529293</v>
      </c>
      <c r="O888" s="824">
        <f t="shared" si="130"/>
        <v>-2.656258126888372</v>
      </c>
      <c r="V888" s="511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J888" s="143"/>
      <c r="AK888" s="143"/>
      <c r="AL888" s="143"/>
      <c r="AM888" s="143"/>
      <c r="AN888" s="143"/>
      <c r="AO888" s="143"/>
      <c r="AP888" s="143"/>
      <c r="AQ888" s="143"/>
      <c r="AR888" s="143"/>
      <c r="AS888" s="143"/>
      <c r="AT888" s="143"/>
    </row>
    <row r="889" spans="2:46" ht="15" customHeight="1">
      <c r="B889" s="518" t="str">
        <f>+input!B60</f>
        <v>129j</v>
      </c>
      <c r="C889" s="538" t="str">
        <f t="shared" si="118"/>
        <v>Positive</v>
      </c>
      <c r="D889" s="821">
        <f t="shared" si="119"/>
        <v>-17.594980040016605</v>
      </c>
      <c r="E889" s="821">
        <f t="shared" si="120"/>
        <v>16.816660054414978</v>
      </c>
      <c r="F889" s="527">
        <f t="shared" si="121"/>
        <v>-24.577026961808023</v>
      </c>
      <c r="G889" s="527">
        <f t="shared" si="122"/>
        <v>54.964515506442908</v>
      </c>
      <c r="H889" s="527">
        <f t="shared" si="123"/>
        <v>-18.302331563251506</v>
      </c>
      <c r="I889" s="527">
        <f t="shared" si="124"/>
        <v>35.546816936749671</v>
      </c>
      <c r="J889" s="527">
        <f t="shared" si="125"/>
        <v>-19.135976955403198</v>
      </c>
      <c r="K889" s="527">
        <f t="shared" si="126"/>
        <v>41.049651304115358</v>
      </c>
      <c r="L889" s="821">
        <f t="shared" si="127"/>
        <v>-0.8939670141673659</v>
      </c>
      <c r="M889" s="821">
        <f t="shared" si="128"/>
        <v>5.9010131347986086</v>
      </c>
      <c r="N889" s="821">
        <f t="shared" si="129"/>
        <v>0.12454578010312234</v>
      </c>
      <c r="O889" s="824">
        <f t="shared" si="130"/>
        <v>-0.82211789990572259</v>
      </c>
      <c r="V889" s="511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J889" s="143"/>
      <c r="AK889" s="143"/>
      <c r="AL889" s="143"/>
      <c r="AM889" s="143"/>
      <c r="AN889" s="143"/>
      <c r="AO889" s="143"/>
      <c r="AP889" s="143"/>
      <c r="AQ889" s="143"/>
      <c r="AR889" s="143"/>
      <c r="AS889" s="143"/>
      <c r="AT889" s="143"/>
    </row>
    <row r="890" spans="2:46" ht="15" customHeight="1">
      <c r="B890" s="518" t="str">
        <f>+input!B61</f>
        <v>130i</v>
      </c>
      <c r="C890" s="538" t="str">
        <f t="shared" si="118"/>
        <v>Positive</v>
      </c>
      <c r="D890" s="821">
        <f t="shared" si="119"/>
        <v>-19.436278645970077</v>
      </c>
      <c r="E890" s="821">
        <f t="shared" si="120"/>
        <v>18.545202789830768</v>
      </c>
      <c r="F890" s="527">
        <f t="shared" si="121"/>
        <v>-26.796254395189226</v>
      </c>
      <c r="G890" s="527">
        <f t="shared" si="122"/>
        <v>60.746653049220257</v>
      </c>
      <c r="H890" s="527">
        <f t="shared" si="123"/>
        <v>-20.010575709604446</v>
      </c>
      <c r="I890" s="527">
        <f t="shared" si="124"/>
        <v>39.275506787198573</v>
      </c>
      <c r="J890" s="527">
        <f t="shared" si="125"/>
        <v>-20.883228992184055</v>
      </c>
      <c r="K890" s="527">
        <f t="shared" si="126"/>
        <v>45.364783274106934</v>
      </c>
      <c r="L890" s="821">
        <f t="shared" si="127"/>
        <v>-0.93579747069373864</v>
      </c>
      <c r="M890" s="821">
        <f t="shared" si="128"/>
        <v>6.5298895317956509</v>
      </c>
      <c r="N890" s="821">
        <f t="shared" si="129"/>
        <v>0.13037351955836296</v>
      </c>
      <c r="O890" s="824">
        <f t="shared" si="130"/>
        <v>-0.90973176060883554</v>
      </c>
      <c r="V890" s="511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J890" s="143"/>
      <c r="AK890" s="143"/>
      <c r="AL890" s="143"/>
      <c r="AM890" s="143"/>
      <c r="AN890" s="143"/>
      <c r="AO890" s="143"/>
      <c r="AP890" s="143"/>
      <c r="AQ890" s="143"/>
      <c r="AR890" s="143"/>
      <c r="AS890" s="143"/>
      <c r="AT890" s="143"/>
    </row>
    <row r="891" spans="2:46" ht="15" customHeight="1">
      <c r="B891" s="518" t="str">
        <f>+input!B62</f>
        <v>130j</v>
      </c>
      <c r="C891" s="538" t="str">
        <f t="shared" si="118"/>
        <v>Negative</v>
      </c>
      <c r="D891" s="821">
        <f t="shared" si="119"/>
        <v>0.15794638417561513</v>
      </c>
      <c r="E891" s="821">
        <f t="shared" si="120"/>
        <v>-0.15070517241553488</v>
      </c>
      <c r="F891" s="527">
        <f t="shared" si="121"/>
        <v>2.3875380159589596</v>
      </c>
      <c r="G891" s="527">
        <f t="shared" si="122"/>
        <v>-2.8523853371648076</v>
      </c>
      <c r="H891" s="527">
        <f t="shared" si="123"/>
        <v>1.3709201432212301</v>
      </c>
      <c r="I891" s="527">
        <f t="shared" si="124"/>
        <v>-1.6276358422926716</v>
      </c>
      <c r="J891" s="527">
        <f t="shared" si="125"/>
        <v>1.7368375264845035</v>
      </c>
      <c r="K891" s="527">
        <f t="shared" si="126"/>
        <v>-2.0720062237502197</v>
      </c>
      <c r="L891" s="821">
        <f t="shared" si="127"/>
        <v>-3.1921050253269016E-4</v>
      </c>
      <c r="M891" s="821">
        <f t="shared" si="128"/>
        <v>3.8764950577286305E-4</v>
      </c>
      <c r="N891" s="821">
        <f t="shared" si="129"/>
        <v>0.66804373970041386</v>
      </c>
      <c r="O891" s="824">
        <f t="shared" si="130"/>
        <v>-0.81127288568144773</v>
      </c>
      <c r="V891" s="511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J891" s="143"/>
      <c r="AK891" s="143"/>
      <c r="AL891" s="143"/>
      <c r="AM891" s="143"/>
      <c r="AN891" s="143"/>
      <c r="AO891" s="143"/>
      <c r="AP891" s="143"/>
      <c r="AQ891" s="143"/>
      <c r="AR891" s="143"/>
      <c r="AS891" s="143"/>
      <c r="AT891" s="143"/>
    </row>
    <row r="892" spans="2:46" ht="15" customHeight="1">
      <c r="B892" s="518" t="str">
        <f>+input!B63</f>
        <v>131i</v>
      </c>
      <c r="C892" s="538" t="str">
        <f t="shared" si="118"/>
        <v>Negative</v>
      </c>
      <c r="D892" s="821">
        <f t="shared" si="119"/>
        <v>0.15853794366690957</v>
      </c>
      <c r="E892" s="821">
        <f t="shared" si="120"/>
        <v>-0.15126961126353314</v>
      </c>
      <c r="F892" s="527">
        <f t="shared" si="121"/>
        <v>2.3881113429406442</v>
      </c>
      <c r="G892" s="527">
        <f t="shared" si="122"/>
        <v>-2.8528774300553232</v>
      </c>
      <c r="H892" s="527">
        <f t="shared" si="123"/>
        <v>1.371432752174967</v>
      </c>
      <c r="I892" s="527">
        <f t="shared" si="124"/>
        <v>-1.6280986815629432</v>
      </c>
      <c r="J892" s="527">
        <f t="shared" si="125"/>
        <v>1.7372990617578352</v>
      </c>
      <c r="K892" s="527">
        <f t="shared" si="126"/>
        <v>-2.0724070390995681</v>
      </c>
      <c r="L892" s="821">
        <f t="shared" si="127"/>
        <v>-6.3842100506538032E-5</v>
      </c>
      <c r="M892" s="821">
        <f t="shared" si="128"/>
        <v>7.752990115457259E-5</v>
      </c>
      <c r="N892" s="821">
        <f t="shared" si="129"/>
        <v>0.66797989759990739</v>
      </c>
      <c r="O892" s="824">
        <f t="shared" si="130"/>
        <v>-0.81119535578029311</v>
      </c>
      <c r="V892" s="511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J892" s="143"/>
      <c r="AK892" s="143"/>
      <c r="AL892" s="143"/>
      <c r="AM892" s="143"/>
      <c r="AN892" s="143"/>
      <c r="AO892" s="143"/>
      <c r="AP892" s="143"/>
      <c r="AQ892" s="143"/>
      <c r="AR892" s="143"/>
      <c r="AS892" s="143"/>
      <c r="AT892" s="143"/>
    </row>
    <row r="893" spans="2:46" ht="15" customHeight="1">
      <c r="B893" s="518" t="str">
        <f>+input!B64</f>
        <v>131j</v>
      </c>
      <c r="C893" s="538" t="str">
        <f t="shared" si="118"/>
        <v>Positive</v>
      </c>
      <c r="D893" s="821">
        <f t="shared" si="119"/>
        <v>0</v>
      </c>
      <c r="E893" s="821">
        <f t="shared" si="120"/>
        <v>0</v>
      </c>
      <c r="F893" s="527">
        <f t="shared" si="121"/>
        <v>0</v>
      </c>
      <c r="G893" s="527">
        <f t="shared" si="122"/>
        <v>0</v>
      </c>
      <c r="H893" s="527">
        <f t="shared" si="123"/>
        <v>0</v>
      </c>
      <c r="I893" s="527">
        <f t="shared" si="124"/>
        <v>0</v>
      </c>
      <c r="J893" s="527">
        <f t="shared" si="125"/>
        <v>0</v>
      </c>
      <c r="K893" s="527">
        <f t="shared" si="126"/>
        <v>0</v>
      </c>
      <c r="L893" s="821">
        <f t="shared" si="127"/>
        <v>-8.8653284073414236E-6</v>
      </c>
      <c r="M893" s="821">
        <f t="shared" si="128"/>
        <v>6.1861264831282158E-5</v>
      </c>
      <c r="N893" s="821">
        <f t="shared" si="129"/>
        <v>8.8653284073414236E-6</v>
      </c>
      <c r="O893" s="824">
        <f t="shared" si="130"/>
        <v>-6.1861264831282158E-5</v>
      </c>
      <c r="V893" s="511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J893" s="143"/>
      <c r="AK893" s="143"/>
      <c r="AL893" s="143"/>
      <c r="AM893" s="143"/>
      <c r="AN893" s="143"/>
      <c r="AO893" s="143"/>
      <c r="AP893" s="143"/>
      <c r="AQ893" s="143"/>
      <c r="AR893" s="143"/>
      <c r="AS893" s="143"/>
      <c r="AT893" s="143"/>
    </row>
    <row r="894" spans="2:46" ht="15" customHeight="1">
      <c r="B894" s="518" t="str">
        <f>+input!B65</f>
        <v>201i</v>
      </c>
      <c r="C894" s="538" t="str">
        <f t="shared" si="118"/>
        <v>Negative</v>
      </c>
      <c r="D894" s="821">
        <f t="shared" si="119"/>
        <v>4.3452189183266609E-4</v>
      </c>
      <c r="E894" s="821">
        <f t="shared" si="120"/>
        <v>-3.8833456155582815E-4</v>
      </c>
      <c r="F894" s="527">
        <f t="shared" si="121"/>
        <v>2.5470410383930783E-4</v>
      </c>
      <c r="G894" s="527">
        <f t="shared" si="122"/>
        <v>-2.1319437976399997E-4</v>
      </c>
      <c r="H894" s="527">
        <f t="shared" si="123"/>
        <v>1.4211147004515205E-4</v>
      </c>
      <c r="I894" s="527">
        <f t="shared" si="124"/>
        <v>-1.1050744148257324E-4</v>
      </c>
      <c r="J894" s="527">
        <f t="shared" si="125"/>
        <v>1.4211147004515205E-4</v>
      </c>
      <c r="K894" s="527">
        <f t="shared" si="126"/>
        <v>-1.1050744148257324E-4</v>
      </c>
      <c r="L894" s="821">
        <f t="shared" si="127"/>
        <v>0</v>
      </c>
      <c r="M894" s="821">
        <f t="shared" si="128"/>
        <v>0</v>
      </c>
      <c r="N894" s="821">
        <f t="shared" si="129"/>
        <v>0</v>
      </c>
      <c r="O894" s="824">
        <f t="shared" si="130"/>
        <v>0</v>
      </c>
      <c r="V894" s="147" t="s">
        <v>863</v>
      </c>
      <c r="W894" s="509"/>
      <c r="X894" s="73"/>
      <c r="Y894" s="122"/>
      <c r="Z894" s="73"/>
      <c r="AA894" s="122"/>
      <c r="AB894" s="122"/>
      <c r="AC894" s="122"/>
      <c r="AD894" s="122"/>
      <c r="AE894" s="122"/>
      <c r="AF894" s="122"/>
      <c r="AG894" s="170"/>
      <c r="AH894" s="170"/>
      <c r="AI894" s="170"/>
      <c r="AJ894" s="143"/>
      <c r="AK894" s="143"/>
      <c r="AL894" s="143"/>
      <c r="AM894" s="143"/>
      <c r="AN894" s="143"/>
      <c r="AO894" s="143"/>
      <c r="AP894" s="143"/>
      <c r="AQ894" s="143"/>
      <c r="AR894" s="143"/>
      <c r="AS894" s="143"/>
      <c r="AT894" s="143"/>
    </row>
    <row r="895" spans="2:46" ht="15" customHeight="1">
      <c r="B895" s="518" t="str">
        <f>+input!B66</f>
        <v>201j</v>
      </c>
      <c r="C895" s="538" t="str">
        <f t="shared" si="118"/>
        <v>Negative</v>
      </c>
      <c r="D895" s="821">
        <f t="shared" si="119"/>
        <v>0.15541399664548355</v>
      </c>
      <c r="E895" s="821">
        <f t="shared" si="120"/>
        <v>-0.13889432818313452</v>
      </c>
      <c r="F895" s="527">
        <f t="shared" si="121"/>
        <v>2.3287015994510081</v>
      </c>
      <c r="G895" s="527">
        <f t="shared" si="122"/>
        <v>-2.6030274471788761</v>
      </c>
      <c r="H895" s="527">
        <f t="shared" si="123"/>
        <v>1.3376700198836173</v>
      </c>
      <c r="I895" s="527">
        <f t="shared" si="124"/>
        <v>-1.485880172455246</v>
      </c>
      <c r="J895" s="527">
        <f t="shared" si="125"/>
        <v>1.6942117972776047</v>
      </c>
      <c r="K895" s="527">
        <f t="shared" si="126"/>
        <v>-1.8910437698861036</v>
      </c>
      <c r="L895" s="821">
        <f t="shared" si="127"/>
        <v>0</v>
      </c>
      <c r="M895" s="821">
        <f t="shared" si="128"/>
        <v>0</v>
      </c>
      <c r="N895" s="821">
        <f t="shared" si="129"/>
        <v>0</v>
      </c>
      <c r="O895" s="824">
        <f t="shared" si="130"/>
        <v>0</v>
      </c>
      <c r="V895" s="73"/>
      <c r="W895" s="122" t="s">
        <v>1462</v>
      </c>
      <c r="X895" s="74"/>
      <c r="Y895" s="73"/>
      <c r="Z895" s="73"/>
      <c r="AA895" s="122"/>
      <c r="AB895" s="122"/>
      <c r="AC895" s="122"/>
      <c r="AD895" s="122"/>
      <c r="AE895" s="122"/>
      <c r="AF895" s="122"/>
      <c r="AG895" s="170"/>
      <c r="AH895" s="170"/>
      <c r="AI895" s="170"/>
      <c r="AJ895" s="143"/>
      <c r="AK895" s="143"/>
      <c r="AL895" s="143"/>
      <c r="AM895" s="143"/>
      <c r="AN895" s="143"/>
      <c r="AO895" s="143"/>
      <c r="AP895" s="143"/>
      <c r="AQ895" s="143"/>
      <c r="AR895" s="143"/>
      <c r="AS895" s="143"/>
      <c r="AT895" s="143"/>
    </row>
    <row r="896" spans="2:46" ht="15" customHeight="1">
      <c r="B896" s="518" t="str">
        <f>+input!B67</f>
        <v>202i</v>
      </c>
      <c r="C896" s="538" t="str">
        <f t="shared" ref="C896:C927" si="131">IF(B631+D631+F631&lt;=0,"Positive","Negative")</f>
        <v>Negative</v>
      </c>
      <c r="D896" s="821">
        <f t="shared" ref="D896:D927" si="132">1.25*(B631+D631+IF(C896="Positive",F631,B761))</f>
        <v>0.15541399664548358</v>
      </c>
      <c r="E896" s="821">
        <f t="shared" ref="E896:E927" si="133">1.25*(C631+E631+IF(C896="Positive",G631,C761))</f>
        <v>-0.13889432818313455</v>
      </c>
      <c r="F896" s="527">
        <f t="shared" ref="F896:F927" si="134">1.25*(B631+D631)+IF(C896="Positive",1.25*F631+1.25*H631+1.5*J631+1.8*L631,1.25*D761+1.25*F761+1.5*H761+1.8*L761)</f>
        <v>2.3283676521304493</v>
      </c>
      <c r="G896" s="527">
        <f t="shared" ref="G896:G927" si="135">1.25*(C631+E631)+IF(C896="Positive",1.25*G631+1.25*I631+1.5*K631+1.8*M631,1.25*E761+1.25*G761+1.5*I761+1.8*M761)</f>
        <v>-2.6027021868412628</v>
      </c>
      <c r="H896" s="527">
        <f t="shared" ref="H896:H927" si="136">1*(B631+D631)+IF(C896="Positive",1*F631+1*H631+1*J631+1*L631,1*D761+1*F761+1*H761+1*L761)</f>
        <v>1.3373617608184856</v>
      </c>
      <c r="I896" s="527">
        <f t="shared" ref="I896:I927" si="137">1*(C631+E631)+IF(C896="Positive",1*G631+1*I631+1*K631+1*M631,1*E761+1*G761+1*I761+1*M761)</f>
        <v>-1.4855799321436027</v>
      </c>
      <c r="J896" s="527">
        <f t="shared" ref="J896:J927" si="138">1*(B631+D631)+IF(C896="Positive",1*F631+1*H631+1*J631+1.3*L631,1*D761+1*F761+1*H761+1.3*L761)</f>
        <v>1.6939035382124732</v>
      </c>
      <c r="K896" s="527">
        <f t="shared" ref="K896:K927" si="139">1*(C631+E631)+IF(C896="Positive",1*G631+1*I631+1*K631+1.3*M631,1*E761+1*G761+1*I761+1.3*M761)</f>
        <v>-1.8907435295744603</v>
      </c>
      <c r="L896" s="821">
        <f t="shared" ref="L896:L927" si="140">0.75*IF(C896="Positive",-L113/H501*10^6,-L113/L501*10^6)</f>
        <v>0</v>
      </c>
      <c r="M896" s="821">
        <f t="shared" ref="M896:M927" si="141">0.75*IF(C896="Positive",L113/I501*10^6,L113/M501*10^6)</f>
        <v>0</v>
      </c>
      <c r="N896" s="821">
        <f t="shared" ref="N896:N927" si="142">0.75*IF(C896="Positive",-M113/H501*10^6,-M113/L501*10^6)</f>
        <v>0</v>
      </c>
      <c r="O896" s="824">
        <f t="shared" ref="O896:O927" si="143">0.75*IF(C896="Positive",M113/I501*10^6,M113/M501*10^6)</f>
        <v>0</v>
      </c>
      <c r="V896" s="73"/>
      <c r="W896" s="122" t="s">
        <v>1928</v>
      </c>
      <c r="X896" s="74"/>
      <c r="Y896" s="73"/>
      <c r="Z896" s="73"/>
      <c r="AA896" s="122"/>
      <c r="AB896" s="122"/>
      <c r="AC896" s="122"/>
      <c r="AD896" s="122"/>
      <c r="AE896" s="122"/>
      <c r="AF896" s="122"/>
      <c r="AG896" s="170"/>
      <c r="AH896" s="170"/>
      <c r="AI896" s="170"/>
      <c r="AJ896" s="143"/>
      <c r="AK896" s="143"/>
      <c r="AL896" s="143"/>
      <c r="AM896" s="143"/>
      <c r="AN896" s="143"/>
      <c r="AO896" s="143"/>
      <c r="AP896" s="143"/>
      <c r="AQ896" s="143"/>
      <c r="AR896" s="143"/>
      <c r="AS896" s="143"/>
      <c r="AT896" s="143"/>
    </row>
    <row r="897" spans="2:46" ht="15" customHeight="1">
      <c r="B897" s="518" t="str">
        <f>+input!B68</f>
        <v>202j</v>
      </c>
      <c r="C897" s="538" t="str">
        <f t="shared" si="131"/>
        <v>Positive</v>
      </c>
      <c r="D897" s="821">
        <f t="shared" si="132"/>
        <v>-76.803916990882882</v>
      </c>
      <c r="E897" s="821">
        <f t="shared" si="133"/>
        <v>68.640075427800411</v>
      </c>
      <c r="F897" s="527">
        <f t="shared" si="134"/>
        <v>-90.407585443681356</v>
      </c>
      <c r="G897" s="527">
        <f t="shared" si="135"/>
        <v>128.09223959421266</v>
      </c>
      <c r="H897" s="527">
        <f t="shared" si="136"/>
        <v>-70.249171189830065</v>
      </c>
      <c r="I897" s="527">
        <f t="shared" si="137"/>
        <v>91.043809624566236</v>
      </c>
      <c r="J897" s="527">
        <f t="shared" si="138"/>
        <v>-71.334322771067292</v>
      </c>
      <c r="K897" s="527">
        <f t="shared" si="139"/>
        <v>98.014553989456545</v>
      </c>
      <c r="L897" s="821">
        <f t="shared" si="140"/>
        <v>0</v>
      </c>
      <c r="M897" s="821">
        <f t="shared" si="141"/>
        <v>0</v>
      </c>
      <c r="N897" s="821">
        <f t="shared" si="142"/>
        <v>0</v>
      </c>
      <c r="O897" s="824">
        <f t="shared" si="143"/>
        <v>0</v>
      </c>
      <c r="V897" s="147" t="s">
        <v>865</v>
      </c>
      <c r="W897" s="510"/>
      <c r="X897" s="74"/>
      <c r="Y897" s="122"/>
      <c r="Z897" s="73"/>
      <c r="AA897" s="122"/>
      <c r="AB897" s="122"/>
      <c r="AC897" s="122"/>
      <c r="AD897" s="122"/>
      <c r="AE897" s="122"/>
      <c r="AF897" s="122"/>
      <c r="AG897" s="170"/>
      <c r="AH897" s="170"/>
      <c r="AI897" s="170"/>
      <c r="AJ897" s="143"/>
      <c r="AK897" s="143"/>
      <c r="AL897" s="143"/>
      <c r="AM897" s="143"/>
      <c r="AN897" s="143"/>
      <c r="AO897" s="143"/>
      <c r="AP897" s="143"/>
      <c r="AQ897" s="143"/>
      <c r="AR897" s="143"/>
      <c r="AS897" s="143"/>
      <c r="AT897" s="143"/>
    </row>
    <row r="898" spans="2:46" ht="15" customHeight="1">
      <c r="B898" s="518" t="str">
        <f>+input!B69</f>
        <v>203i</v>
      </c>
      <c r="C898" s="538" t="str">
        <f t="shared" si="131"/>
        <v>Positive</v>
      </c>
      <c r="D898" s="821">
        <f t="shared" si="132"/>
        <v>-55.882648893628328</v>
      </c>
      <c r="E898" s="821">
        <f t="shared" si="133"/>
        <v>48.270683698259873</v>
      </c>
      <c r="F898" s="527">
        <f t="shared" si="134"/>
        <v>-68.142631557856376</v>
      </c>
      <c r="G898" s="527">
        <f t="shared" si="135"/>
        <v>92.190144478094098</v>
      </c>
      <c r="H898" s="527">
        <f t="shared" si="136"/>
        <v>-52.593671547745409</v>
      </c>
      <c r="I898" s="527">
        <f t="shared" si="137"/>
        <v>65.301287133648529</v>
      </c>
      <c r="J898" s="527">
        <f t="shared" si="138"/>
        <v>-53.61772996292013</v>
      </c>
      <c r="K898" s="527">
        <f t="shared" si="139"/>
        <v>70.457534267382698</v>
      </c>
      <c r="L898" s="821">
        <f t="shared" si="140"/>
        <v>0</v>
      </c>
      <c r="M898" s="821">
        <f t="shared" si="141"/>
        <v>0</v>
      </c>
      <c r="N898" s="821">
        <f t="shared" si="142"/>
        <v>0</v>
      </c>
      <c r="O898" s="824">
        <f t="shared" si="143"/>
        <v>0</v>
      </c>
      <c r="V898" s="73"/>
      <c r="W898" s="122" t="s">
        <v>1929</v>
      </c>
      <c r="X898" s="74"/>
      <c r="Y898" s="73"/>
      <c r="Z898" s="73"/>
      <c r="AA898" s="122"/>
      <c r="AB898" s="122"/>
      <c r="AC898" s="122"/>
      <c r="AD898" s="122"/>
      <c r="AE898" s="122"/>
      <c r="AF898" s="122"/>
      <c r="AG898" s="170"/>
      <c r="AH898" s="170"/>
      <c r="AI898" s="170"/>
      <c r="AJ898" s="143"/>
      <c r="AK898" s="143"/>
      <c r="AL898" s="143"/>
      <c r="AM898" s="143"/>
      <c r="AN898" s="143"/>
      <c r="AO898" s="143"/>
      <c r="AP898" s="143"/>
      <c r="AQ898" s="143"/>
      <c r="AR898" s="143"/>
      <c r="AS898" s="143"/>
      <c r="AT898" s="143"/>
    </row>
    <row r="899" spans="2:46" ht="15" customHeight="1">
      <c r="B899" s="518" t="str">
        <f>+input!B70</f>
        <v>203j</v>
      </c>
      <c r="C899" s="538" t="str">
        <f t="shared" si="131"/>
        <v>Positive</v>
      </c>
      <c r="D899" s="821">
        <f t="shared" si="132"/>
        <v>-126.69077513281542</v>
      </c>
      <c r="E899" s="821">
        <f t="shared" si="133"/>
        <v>109.43379483610656</v>
      </c>
      <c r="F899" s="527">
        <f t="shared" si="134"/>
        <v>-154.34582274313431</v>
      </c>
      <c r="G899" s="527">
        <f t="shared" si="135"/>
        <v>208.06548344905104</v>
      </c>
      <c r="H899" s="527">
        <f t="shared" si="136"/>
        <v>-119.17326373788714</v>
      </c>
      <c r="I899" s="527">
        <f t="shared" si="137"/>
        <v>147.55744636129143</v>
      </c>
      <c r="J899" s="527">
        <f t="shared" si="138"/>
        <v>-121.45817392970386</v>
      </c>
      <c r="K899" s="527">
        <f t="shared" si="139"/>
        <v>159.06222133585655</v>
      </c>
      <c r="L899" s="821">
        <f t="shared" si="140"/>
        <v>0</v>
      </c>
      <c r="M899" s="821">
        <f t="shared" si="141"/>
        <v>0</v>
      </c>
      <c r="N899" s="821">
        <f t="shared" si="142"/>
        <v>0</v>
      </c>
      <c r="O899" s="824">
        <f t="shared" si="143"/>
        <v>0</v>
      </c>
      <c r="V899" s="73"/>
      <c r="W899" s="122" t="s">
        <v>1930</v>
      </c>
      <c r="X899" s="74"/>
      <c r="Y899" s="73"/>
      <c r="Z899" s="73"/>
      <c r="AA899" s="122"/>
      <c r="AB899" s="73"/>
      <c r="AC899" s="73"/>
      <c r="AD899" s="73"/>
      <c r="AE899" s="73"/>
      <c r="AF899" s="73"/>
      <c r="AJ899" s="143"/>
      <c r="AK899" s="143"/>
      <c r="AL899" s="143"/>
      <c r="AM899" s="143"/>
      <c r="AN899" s="143"/>
      <c r="AO899" s="143"/>
      <c r="AP899" s="143"/>
      <c r="AQ899" s="143"/>
      <c r="AR899" s="143"/>
      <c r="AS899" s="143"/>
      <c r="AT899" s="143"/>
    </row>
    <row r="900" spans="2:46" ht="15" customHeight="1">
      <c r="B900" s="518" t="str">
        <f>+input!B71</f>
        <v>204i</v>
      </c>
      <c r="C900" s="538" t="str">
        <f t="shared" si="131"/>
        <v>Positive</v>
      </c>
      <c r="D900" s="821">
        <f t="shared" si="132"/>
        <v>-126.6909859029646</v>
      </c>
      <c r="E900" s="821">
        <f t="shared" si="133"/>
        <v>109.43397689653867</v>
      </c>
      <c r="F900" s="527">
        <f t="shared" si="134"/>
        <v>-154.34613170470755</v>
      </c>
      <c r="G900" s="527">
        <f t="shared" si="135"/>
        <v>208.06593255997049</v>
      </c>
      <c r="H900" s="527">
        <f t="shared" si="136"/>
        <v>-119.1735003099582</v>
      </c>
      <c r="I900" s="527">
        <f t="shared" si="137"/>
        <v>147.55776882686692</v>
      </c>
      <c r="J900" s="527">
        <f t="shared" si="138"/>
        <v>-121.45841385612113</v>
      </c>
      <c r="K900" s="527">
        <f t="shared" si="139"/>
        <v>159.06256069093536</v>
      </c>
      <c r="L900" s="821">
        <f t="shared" si="140"/>
        <v>0</v>
      </c>
      <c r="M900" s="821">
        <f t="shared" si="141"/>
        <v>0</v>
      </c>
      <c r="N900" s="821">
        <f t="shared" si="142"/>
        <v>0</v>
      </c>
      <c r="O900" s="824">
        <f t="shared" si="143"/>
        <v>0</v>
      </c>
      <c r="V900" s="147" t="s">
        <v>859</v>
      </c>
      <c r="W900" s="510"/>
      <c r="X900" s="73"/>
      <c r="Y900" s="73"/>
      <c r="Z900" s="73"/>
      <c r="AA900" s="73"/>
      <c r="AB900" s="73"/>
      <c r="AC900" s="73"/>
      <c r="AD900" s="73"/>
      <c r="AE900" s="73"/>
      <c r="AF900" s="73"/>
      <c r="AJ900" s="143"/>
      <c r="AK900" s="143"/>
      <c r="AL900" s="143"/>
      <c r="AM900" s="143"/>
      <c r="AN900" s="143"/>
      <c r="AO900" s="143"/>
      <c r="AP900" s="143"/>
      <c r="AQ900" s="143"/>
      <c r="AR900" s="143"/>
      <c r="AS900" s="143"/>
      <c r="AT900" s="143"/>
    </row>
    <row r="901" spans="2:46" ht="15" customHeight="1">
      <c r="B901" s="518" t="str">
        <f>+input!B72</f>
        <v>204j</v>
      </c>
      <c r="C901" s="538" t="str">
        <f t="shared" si="131"/>
        <v>Positive</v>
      </c>
      <c r="D901" s="821">
        <f t="shared" si="132"/>
        <v>-206.18821692806034</v>
      </c>
      <c r="E901" s="821">
        <f t="shared" si="133"/>
        <v>178.10262037842307</v>
      </c>
      <c r="F901" s="527">
        <f t="shared" si="134"/>
        <v>-250.70211427604937</v>
      </c>
      <c r="G901" s="527">
        <f t="shared" si="135"/>
        <v>336.57410925719375</v>
      </c>
      <c r="H901" s="527">
        <f t="shared" si="136"/>
        <v>-193.64932957004214</v>
      </c>
      <c r="I901" s="527">
        <f t="shared" si="137"/>
        <v>238.94662309980652</v>
      </c>
      <c r="J901" s="527">
        <f t="shared" si="138"/>
        <v>-197.31070914340577</v>
      </c>
      <c r="K901" s="527">
        <f t="shared" si="139"/>
        <v>257.38207331525939</v>
      </c>
      <c r="L901" s="821">
        <f t="shared" si="140"/>
        <v>0</v>
      </c>
      <c r="M901" s="821">
        <f t="shared" si="141"/>
        <v>0</v>
      </c>
      <c r="N901" s="821">
        <f t="shared" si="142"/>
        <v>0</v>
      </c>
      <c r="O901" s="824">
        <f t="shared" si="143"/>
        <v>0</v>
      </c>
      <c r="V901" s="73"/>
      <c r="W901" s="122" t="s">
        <v>1931</v>
      </c>
      <c r="X901" s="73"/>
      <c r="Y901" s="73"/>
      <c r="Z901" s="73"/>
      <c r="AA901" s="73"/>
      <c r="AB901" s="73"/>
      <c r="AC901" s="73"/>
      <c r="AD901" s="73"/>
      <c r="AE901" s="73"/>
      <c r="AF901" s="73"/>
      <c r="AJ901" s="143"/>
      <c r="AK901" s="143"/>
      <c r="AL901" s="143"/>
      <c r="AM901" s="143"/>
      <c r="AN901" s="143"/>
      <c r="AO901" s="143"/>
      <c r="AP901" s="143"/>
      <c r="AQ901" s="143"/>
      <c r="AR901" s="143"/>
      <c r="AS901" s="143"/>
      <c r="AT901" s="143"/>
    </row>
    <row r="902" spans="2:46" ht="15" customHeight="1">
      <c r="B902" s="518" t="str">
        <f>+input!B73</f>
        <v>205i</v>
      </c>
      <c r="C902" s="538" t="str">
        <f t="shared" si="131"/>
        <v>Positive</v>
      </c>
      <c r="D902" s="821">
        <f t="shared" si="132"/>
        <v>-166.27977535931447</v>
      </c>
      <c r="E902" s="821">
        <f t="shared" si="133"/>
        <v>114.65454106233075</v>
      </c>
      <c r="F902" s="527">
        <f t="shared" si="134"/>
        <v>-208.36630075771404</v>
      </c>
      <c r="G902" s="527">
        <f t="shared" si="135"/>
        <v>220.92219936224689</v>
      </c>
      <c r="H902" s="527">
        <f t="shared" si="136"/>
        <v>-160.02338916205724</v>
      </c>
      <c r="I902" s="527">
        <f t="shared" si="137"/>
        <v>156.3851506807047</v>
      </c>
      <c r="J902" s="527">
        <f t="shared" si="138"/>
        <v>-163.61219818116359</v>
      </c>
      <c r="K902" s="527">
        <f t="shared" si="139"/>
        <v>168.77179527605369</v>
      </c>
      <c r="L902" s="821">
        <f t="shared" si="140"/>
        <v>0</v>
      </c>
      <c r="M902" s="821">
        <f t="shared" si="141"/>
        <v>0</v>
      </c>
      <c r="N902" s="821">
        <f t="shared" si="142"/>
        <v>0</v>
      </c>
      <c r="O902" s="824">
        <f t="shared" si="143"/>
        <v>0</v>
      </c>
      <c r="V902" s="73"/>
      <c r="W902" s="122" t="s">
        <v>1932</v>
      </c>
      <c r="X902" s="73"/>
      <c r="Y902" s="73"/>
      <c r="Z902" s="73"/>
      <c r="AA902" s="73"/>
      <c r="AB902" s="73"/>
      <c r="AC902" s="73"/>
      <c r="AD902" s="73"/>
      <c r="AE902" s="73"/>
      <c r="AF902" s="73"/>
      <c r="AJ902" s="143"/>
      <c r="AK902" s="143"/>
      <c r="AL902" s="143"/>
      <c r="AM902" s="143"/>
      <c r="AN902" s="143"/>
      <c r="AO902" s="143"/>
      <c r="AP902" s="143"/>
      <c r="AQ902" s="143"/>
      <c r="AR902" s="143"/>
      <c r="AS902" s="143"/>
      <c r="AT902" s="143"/>
    </row>
    <row r="903" spans="2:46" ht="15" customHeight="1">
      <c r="B903" s="518" t="str">
        <f>+input!B74</f>
        <v>205j</v>
      </c>
      <c r="C903" s="538" t="str">
        <f t="shared" si="131"/>
        <v>Positive</v>
      </c>
      <c r="D903" s="821">
        <f t="shared" si="132"/>
        <v>-219.04259389247653</v>
      </c>
      <c r="E903" s="821">
        <f t="shared" si="133"/>
        <v>151.03597549115628</v>
      </c>
      <c r="F903" s="527">
        <f t="shared" si="134"/>
        <v>-274.06492017697735</v>
      </c>
      <c r="G903" s="527">
        <f t="shared" si="135"/>
        <v>289.73346826014659</v>
      </c>
      <c r="H903" s="527">
        <f t="shared" si="136"/>
        <v>-210.55633298118801</v>
      </c>
      <c r="I903" s="527">
        <f t="shared" si="137"/>
        <v>205.27283177174445</v>
      </c>
      <c r="J903" s="527">
        <f t="shared" si="138"/>
        <v>-215.22775250292347</v>
      </c>
      <c r="K903" s="527">
        <f t="shared" si="139"/>
        <v>221.39606738095517</v>
      </c>
      <c r="L903" s="821">
        <f t="shared" si="140"/>
        <v>0</v>
      </c>
      <c r="M903" s="821">
        <f t="shared" si="141"/>
        <v>0</v>
      </c>
      <c r="N903" s="821">
        <f t="shared" si="142"/>
        <v>0</v>
      </c>
      <c r="O903" s="824">
        <f t="shared" si="143"/>
        <v>0</v>
      </c>
      <c r="V903" s="147" t="s">
        <v>868</v>
      </c>
      <c r="W903" s="510"/>
      <c r="X903" s="73"/>
      <c r="Y903" s="73"/>
      <c r="Z903" s="73"/>
      <c r="AA903" s="73"/>
      <c r="AB903" s="73"/>
      <c r="AC903" s="73"/>
      <c r="AD903" s="73"/>
      <c r="AE903" s="73"/>
      <c r="AF903" s="73"/>
      <c r="AJ903" s="143"/>
      <c r="AK903" s="143"/>
      <c r="AL903" s="143"/>
      <c r="AM903" s="143"/>
      <c r="AN903" s="143"/>
      <c r="AO903" s="143"/>
      <c r="AP903" s="143"/>
      <c r="AQ903" s="143"/>
      <c r="AR903" s="143"/>
      <c r="AS903" s="143"/>
      <c r="AT903" s="143"/>
    </row>
    <row r="904" spans="2:46" ht="15" customHeight="1">
      <c r="B904" s="518" t="str">
        <f>+input!B75</f>
        <v>206i</v>
      </c>
      <c r="C904" s="538" t="str">
        <f t="shared" si="131"/>
        <v>Positive</v>
      </c>
      <c r="D904" s="821">
        <f t="shared" si="132"/>
        <v>-219.04216895337473</v>
      </c>
      <c r="E904" s="821">
        <f t="shared" si="133"/>
        <v>151.0356824837981</v>
      </c>
      <c r="F904" s="527">
        <f t="shared" si="134"/>
        <v>-274.06450170772951</v>
      </c>
      <c r="G904" s="527">
        <f t="shared" si="135"/>
        <v>289.73318530926622</v>
      </c>
      <c r="H904" s="527">
        <f t="shared" si="136"/>
        <v>-210.55599302990657</v>
      </c>
      <c r="I904" s="527">
        <f t="shared" si="137"/>
        <v>205.27259736585791</v>
      </c>
      <c r="J904" s="527">
        <f t="shared" si="138"/>
        <v>-215.22741255164203</v>
      </c>
      <c r="K904" s="527">
        <f t="shared" si="139"/>
        <v>221.39583297506863</v>
      </c>
      <c r="L904" s="821">
        <f t="shared" si="140"/>
        <v>0</v>
      </c>
      <c r="M904" s="821">
        <f t="shared" si="141"/>
        <v>0</v>
      </c>
      <c r="N904" s="821">
        <f t="shared" si="142"/>
        <v>0</v>
      </c>
      <c r="O904" s="824">
        <f t="shared" si="143"/>
        <v>0</v>
      </c>
      <c r="V904" s="73"/>
      <c r="W904" s="122" t="s">
        <v>1933</v>
      </c>
      <c r="X904" s="73"/>
      <c r="Y904" s="73"/>
      <c r="Z904" s="73"/>
      <c r="AA904" s="73"/>
      <c r="AB904" s="73"/>
      <c r="AC904" s="73"/>
      <c r="AD904" s="73"/>
      <c r="AE904" s="73"/>
      <c r="AF904" s="73"/>
      <c r="AJ904" s="143"/>
      <c r="AK904" s="143"/>
      <c r="AL904" s="143"/>
      <c r="AM904" s="143"/>
      <c r="AN904" s="143"/>
      <c r="AO904" s="143"/>
      <c r="AP904" s="143"/>
      <c r="AQ904" s="143"/>
      <c r="AR904" s="143"/>
      <c r="AS904" s="143"/>
      <c r="AT904" s="143"/>
    </row>
    <row r="905" spans="2:46" ht="15" customHeight="1">
      <c r="B905" s="518" t="str">
        <f>+input!B76</f>
        <v>206j</v>
      </c>
      <c r="C905" s="538" t="str">
        <f t="shared" si="131"/>
        <v>Positive</v>
      </c>
      <c r="D905" s="821">
        <f t="shared" si="132"/>
        <v>-255.72461197347593</v>
      </c>
      <c r="E905" s="821">
        <f t="shared" si="133"/>
        <v>176.32924966854119</v>
      </c>
      <c r="F905" s="527">
        <f t="shared" si="134"/>
        <v>-319.50635734861226</v>
      </c>
      <c r="G905" s="527">
        <f t="shared" si="135"/>
        <v>337.00138770897371</v>
      </c>
      <c r="H905" s="527">
        <f t="shared" si="136"/>
        <v>-245.53271540770686</v>
      </c>
      <c r="I905" s="527">
        <f t="shared" si="137"/>
        <v>238.90377698705879</v>
      </c>
      <c r="J905" s="527">
        <f t="shared" si="138"/>
        <v>-250.93853133831107</v>
      </c>
      <c r="K905" s="527">
        <f t="shared" si="139"/>
        <v>257.56175525332594</v>
      </c>
      <c r="L905" s="821">
        <f t="shared" si="140"/>
        <v>0</v>
      </c>
      <c r="M905" s="821">
        <f t="shared" si="141"/>
        <v>0</v>
      </c>
      <c r="N905" s="821">
        <f t="shared" si="142"/>
        <v>0</v>
      </c>
      <c r="O905" s="824">
        <f t="shared" si="143"/>
        <v>0</v>
      </c>
      <c r="V905" s="73"/>
      <c r="W905" s="122" t="s">
        <v>1934</v>
      </c>
      <c r="X905" s="73"/>
      <c r="Y905" s="73"/>
      <c r="Z905" s="73"/>
      <c r="AA905" s="73"/>
      <c r="AB905" s="73"/>
      <c r="AC905" s="73"/>
      <c r="AD905" s="73"/>
      <c r="AE905" s="73"/>
      <c r="AF905" s="73"/>
      <c r="AJ905" s="143"/>
      <c r="AK905" s="143"/>
      <c r="AL905" s="143"/>
      <c r="AM905" s="143"/>
      <c r="AN905" s="143"/>
      <c r="AO905" s="143"/>
      <c r="AP905" s="143"/>
      <c r="AQ905" s="143"/>
      <c r="AR905" s="143"/>
      <c r="AS905" s="143"/>
      <c r="AT905" s="143"/>
    </row>
    <row r="906" spans="2:46" ht="15" customHeight="1">
      <c r="B906" s="518" t="str">
        <f>+input!B77</f>
        <v>207i</v>
      </c>
      <c r="C906" s="538" t="str">
        <f t="shared" si="131"/>
        <v>Positive</v>
      </c>
      <c r="D906" s="821">
        <f t="shared" si="132"/>
        <v>-215.34080775697262</v>
      </c>
      <c r="E906" s="821">
        <f t="shared" si="133"/>
        <v>152.53035499048914</v>
      </c>
      <c r="F906" s="527">
        <f t="shared" si="134"/>
        <v>-275.95208429993431</v>
      </c>
      <c r="G906" s="527">
        <f t="shared" si="135"/>
        <v>295.46306285346026</v>
      </c>
      <c r="H906" s="527">
        <f t="shared" si="136"/>
        <v>-211.07320459843208</v>
      </c>
      <c r="I906" s="527">
        <f t="shared" si="137"/>
        <v>209.04147401530707</v>
      </c>
      <c r="J906" s="527">
        <f t="shared" si="138"/>
        <v>-216.32085020954707</v>
      </c>
      <c r="K906" s="527">
        <f t="shared" si="139"/>
        <v>225.65921636426975</v>
      </c>
      <c r="L906" s="821">
        <f t="shared" si="140"/>
        <v>0</v>
      </c>
      <c r="M906" s="821">
        <f t="shared" si="141"/>
        <v>0</v>
      </c>
      <c r="N906" s="821">
        <f t="shared" si="142"/>
        <v>0</v>
      </c>
      <c r="O906" s="824">
        <f t="shared" si="143"/>
        <v>0</v>
      </c>
      <c r="V906" s="147" t="s">
        <v>1465</v>
      </c>
      <c r="W906" s="510"/>
      <c r="X906" s="73"/>
      <c r="Y906" s="73"/>
      <c r="Z906" s="73"/>
      <c r="AA906" s="73"/>
      <c r="AB906" s="73"/>
      <c r="AC906" s="73"/>
      <c r="AD906" s="73"/>
      <c r="AE906" s="73"/>
      <c r="AF906" s="73"/>
      <c r="AJ906" s="143"/>
      <c r="AK906" s="143"/>
      <c r="AL906" s="143"/>
      <c r="AM906" s="143"/>
      <c r="AN906" s="143"/>
      <c r="AO906" s="143"/>
      <c r="AP906" s="143"/>
      <c r="AQ906" s="143"/>
      <c r="AR906" s="143"/>
      <c r="AS906" s="143"/>
      <c r="AT906" s="143"/>
    </row>
    <row r="907" spans="2:46" ht="15" customHeight="1">
      <c r="B907" s="518" t="str">
        <f>+input!B78</f>
        <v>207j</v>
      </c>
      <c r="C907" s="538" t="str">
        <f t="shared" si="131"/>
        <v>Positive</v>
      </c>
      <c r="D907" s="821">
        <f t="shared" si="132"/>
        <v>-236.0653651427524</v>
      </c>
      <c r="E907" s="821">
        <f t="shared" si="133"/>
        <v>167.2099883029141</v>
      </c>
      <c r="F907" s="527">
        <f t="shared" si="134"/>
        <v>-302.5326369695141</v>
      </c>
      <c r="G907" s="527">
        <f t="shared" si="135"/>
        <v>324.07006291514261</v>
      </c>
      <c r="H907" s="527">
        <f t="shared" si="136"/>
        <v>-231.3912710718439</v>
      </c>
      <c r="I907" s="527">
        <f t="shared" si="137"/>
        <v>229.24254919420247</v>
      </c>
      <c r="J907" s="527">
        <f t="shared" si="138"/>
        <v>-237.15759347036843</v>
      </c>
      <c r="K907" s="527">
        <f t="shared" si="139"/>
        <v>247.50278759840614</v>
      </c>
      <c r="L907" s="821">
        <f t="shared" si="140"/>
        <v>0</v>
      </c>
      <c r="M907" s="821">
        <f t="shared" si="141"/>
        <v>0</v>
      </c>
      <c r="N907" s="821">
        <f t="shared" si="142"/>
        <v>0</v>
      </c>
      <c r="O907" s="824">
        <f t="shared" si="143"/>
        <v>0</v>
      </c>
      <c r="V907" s="73"/>
      <c r="W907" s="122" t="s">
        <v>1466</v>
      </c>
      <c r="X907" s="73"/>
      <c r="Y907" s="73"/>
      <c r="Z907" s="73"/>
      <c r="AA907" s="73"/>
      <c r="AB907" s="73"/>
      <c r="AC907" s="73"/>
      <c r="AD907" s="73"/>
      <c r="AE907" s="73"/>
      <c r="AF907" s="73"/>
      <c r="AJ907" s="143"/>
      <c r="AK907" s="143"/>
      <c r="AL907" s="143"/>
      <c r="AM907" s="143"/>
      <c r="AN907" s="143"/>
      <c r="AO907" s="143"/>
      <c r="AP907" s="143"/>
      <c r="AQ907" s="143"/>
      <c r="AR907" s="143"/>
      <c r="AS907" s="143"/>
      <c r="AT907" s="143"/>
    </row>
    <row r="908" spans="2:46" ht="15" customHeight="1">
      <c r="B908" s="518" t="str">
        <f>+input!B79</f>
        <v>208i</v>
      </c>
      <c r="C908" s="538" t="str">
        <f t="shared" si="131"/>
        <v>Positive</v>
      </c>
      <c r="D908" s="821">
        <f t="shared" si="132"/>
        <v>-236.06543670915741</v>
      </c>
      <c r="E908" s="821">
        <f t="shared" si="133"/>
        <v>167.21003899488127</v>
      </c>
      <c r="F908" s="527">
        <f t="shared" si="134"/>
        <v>-302.53263639972567</v>
      </c>
      <c r="G908" s="527">
        <f t="shared" si="135"/>
        <v>324.0700065467056</v>
      </c>
      <c r="H908" s="527">
        <f t="shared" si="136"/>
        <v>-231.39128023417229</v>
      </c>
      <c r="I908" s="527">
        <f t="shared" si="137"/>
        <v>229.24251837417344</v>
      </c>
      <c r="J908" s="527">
        <f t="shared" si="138"/>
        <v>-237.15760263269681</v>
      </c>
      <c r="K908" s="527">
        <f t="shared" si="139"/>
        <v>247.50275677837715</v>
      </c>
      <c r="L908" s="821">
        <f t="shared" si="140"/>
        <v>0</v>
      </c>
      <c r="M908" s="821">
        <f t="shared" si="141"/>
        <v>0</v>
      </c>
      <c r="N908" s="821">
        <f t="shared" si="142"/>
        <v>0</v>
      </c>
      <c r="O908" s="824">
        <f t="shared" si="143"/>
        <v>0</v>
      </c>
      <c r="V908" s="73"/>
      <c r="W908" s="122" t="s">
        <v>1467</v>
      </c>
      <c r="X908" s="73"/>
      <c r="Y908" s="73"/>
      <c r="Z908" s="73"/>
      <c r="AA908" s="73"/>
      <c r="AB908" s="73"/>
      <c r="AC908" s="73"/>
      <c r="AD908" s="73"/>
      <c r="AE908" s="73"/>
      <c r="AF908" s="73"/>
      <c r="AJ908" s="143"/>
      <c r="AK908" s="143"/>
      <c r="AL908" s="143"/>
      <c r="AM908" s="143"/>
      <c r="AN908" s="143"/>
      <c r="AO908" s="143"/>
      <c r="AP908" s="143"/>
      <c r="AQ908" s="143"/>
      <c r="AR908" s="143"/>
      <c r="AS908" s="143"/>
      <c r="AT908" s="143"/>
    </row>
    <row r="909" spans="2:46" ht="15" customHeight="1">
      <c r="B909" s="518" t="str">
        <f>+input!B80</f>
        <v>208j</v>
      </c>
      <c r="C909" s="538" t="str">
        <f t="shared" si="131"/>
        <v>Positive</v>
      </c>
      <c r="D909" s="821">
        <f t="shared" si="132"/>
        <v>-242.60252683913407</v>
      </c>
      <c r="E909" s="821">
        <f t="shared" si="133"/>
        <v>171.84039535193304</v>
      </c>
      <c r="F909" s="527">
        <f t="shared" si="134"/>
        <v>-310.94497628464165</v>
      </c>
      <c r="G909" s="527">
        <f t="shared" si="135"/>
        <v>333.31391149387832</v>
      </c>
      <c r="H909" s="527">
        <f t="shared" si="136"/>
        <v>-237.79916863517622</v>
      </c>
      <c r="I909" s="527">
        <f t="shared" si="137"/>
        <v>235.71233921671248</v>
      </c>
      <c r="J909" s="527">
        <f t="shared" si="138"/>
        <v>-243.74680289721169</v>
      </c>
      <c r="K909" s="527">
        <f t="shared" si="139"/>
        <v>254.54673869350333</v>
      </c>
      <c r="L909" s="821">
        <f t="shared" si="140"/>
        <v>0</v>
      </c>
      <c r="M909" s="821">
        <f t="shared" si="141"/>
        <v>0</v>
      </c>
      <c r="N909" s="821">
        <f t="shared" si="142"/>
        <v>0</v>
      </c>
      <c r="O909" s="824">
        <f t="shared" si="143"/>
        <v>0</v>
      </c>
      <c r="V909" s="147" t="s">
        <v>1468</v>
      </c>
      <c r="W909" s="510"/>
      <c r="X909" s="73"/>
      <c r="Y909" s="73"/>
      <c r="Z909" s="73"/>
      <c r="AA909" s="73"/>
      <c r="AB909" s="73"/>
      <c r="AC909" s="73"/>
      <c r="AD909" s="73"/>
      <c r="AE909" s="73"/>
      <c r="AF909" s="73"/>
      <c r="AJ909" s="143"/>
      <c r="AK909" s="143"/>
      <c r="AL909" s="143"/>
      <c r="AM909" s="143"/>
      <c r="AN909" s="143"/>
      <c r="AO909" s="143"/>
      <c r="AP909" s="143"/>
      <c r="AQ909" s="143"/>
      <c r="AR909" s="143"/>
      <c r="AS909" s="143"/>
      <c r="AT909" s="143"/>
    </row>
    <row r="910" spans="2:46" ht="15" customHeight="1">
      <c r="B910" s="518" t="str">
        <f>+input!B81</f>
        <v>209i</v>
      </c>
      <c r="C910" s="538" t="str">
        <f t="shared" si="131"/>
        <v>Positive</v>
      </c>
      <c r="D910" s="821">
        <f t="shared" si="132"/>
        <v>-242.6019543078942</v>
      </c>
      <c r="E910" s="821">
        <f t="shared" si="133"/>
        <v>171.83998981619567</v>
      </c>
      <c r="F910" s="527">
        <f t="shared" si="134"/>
        <v>-310.94437369665445</v>
      </c>
      <c r="G910" s="527">
        <f t="shared" si="135"/>
        <v>333.31346134963923</v>
      </c>
      <c r="H910" s="527">
        <f t="shared" si="136"/>
        <v>-237.79868656478652</v>
      </c>
      <c r="I910" s="527">
        <f t="shared" si="137"/>
        <v>235.71197910132122</v>
      </c>
      <c r="J910" s="527">
        <f t="shared" si="138"/>
        <v>-243.74632082682197</v>
      </c>
      <c r="K910" s="527">
        <f t="shared" si="139"/>
        <v>254.54637857811204</v>
      </c>
      <c r="L910" s="821">
        <f t="shared" si="140"/>
        <v>0</v>
      </c>
      <c r="M910" s="821">
        <f t="shared" si="141"/>
        <v>0</v>
      </c>
      <c r="N910" s="821">
        <f t="shared" si="142"/>
        <v>0</v>
      </c>
      <c r="O910" s="824">
        <f t="shared" si="143"/>
        <v>0</v>
      </c>
      <c r="V910" s="73"/>
      <c r="W910" s="122" t="s">
        <v>1469</v>
      </c>
      <c r="X910" s="73"/>
      <c r="Y910" s="73"/>
      <c r="Z910" s="73"/>
      <c r="AA910" s="73"/>
      <c r="AB910" s="73"/>
      <c r="AC910" s="73"/>
      <c r="AD910" s="73"/>
      <c r="AE910" s="73"/>
      <c r="AF910" s="73"/>
      <c r="AJ910" s="143"/>
      <c r="AK910" s="143"/>
      <c r="AL910" s="143"/>
      <c r="AM910" s="143"/>
      <c r="AN910" s="143"/>
      <c r="AO910" s="143"/>
      <c r="AP910" s="143"/>
      <c r="AQ910" s="143"/>
      <c r="AR910" s="143"/>
      <c r="AS910" s="143"/>
      <c r="AT910" s="143"/>
    </row>
    <row r="911" spans="2:46" ht="15" customHeight="1">
      <c r="B911" s="518" t="str">
        <f>+input!B82</f>
        <v>209j</v>
      </c>
      <c r="C911" s="538" t="str">
        <f t="shared" si="131"/>
        <v>Positive</v>
      </c>
      <c r="D911" s="821">
        <f t="shared" si="132"/>
        <v>-238.75740703243417</v>
      </c>
      <c r="E911" s="821">
        <f t="shared" si="133"/>
        <v>169.11681733991594</v>
      </c>
      <c r="F911" s="527">
        <f t="shared" si="134"/>
        <v>-306.61663039474911</v>
      </c>
      <c r="G911" s="527">
        <f t="shared" si="135"/>
        <v>329.92390509255983</v>
      </c>
      <c r="H911" s="527">
        <f t="shared" si="136"/>
        <v>-234.36585093663422</v>
      </c>
      <c r="I911" s="527">
        <f t="shared" si="137"/>
        <v>233.03150197704718</v>
      </c>
      <c r="J911" s="527">
        <f t="shared" si="138"/>
        <v>-240.3185120643405</v>
      </c>
      <c r="K911" s="527">
        <f t="shared" si="139"/>
        <v>251.88182005138282</v>
      </c>
      <c r="L911" s="821">
        <f t="shared" si="140"/>
        <v>0</v>
      </c>
      <c r="M911" s="821">
        <f t="shared" si="141"/>
        <v>0</v>
      </c>
      <c r="N911" s="821">
        <f t="shared" si="142"/>
        <v>0</v>
      </c>
      <c r="O911" s="824">
        <f t="shared" si="143"/>
        <v>0</v>
      </c>
      <c r="V911" s="73"/>
      <c r="W911" s="122" t="s">
        <v>1470</v>
      </c>
      <c r="X911" s="73"/>
      <c r="Y911" s="73"/>
      <c r="Z911" s="73"/>
      <c r="AA911" s="73"/>
      <c r="AB911" s="73"/>
      <c r="AC911" s="73"/>
      <c r="AD911" s="73"/>
      <c r="AE911" s="73"/>
      <c r="AF911" s="73"/>
      <c r="AJ911" s="143"/>
      <c r="AK911" s="143"/>
      <c r="AL911" s="143"/>
      <c r="AM911" s="143"/>
      <c r="AN911" s="143"/>
      <c r="AO911" s="143"/>
      <c r="AP911" s="143"/>
      <c r="AQ911" s="143"/>
      <c r="AR911" s="143"/>
      <c r="AS911" s="143"/>
      <c r="AT911" s="143"/>
    </row>
    <row r="912" spans="2:46" ht="15" customHeight="1">
      <c r="B912" s="518" t="str">
        <f>+input!B83</f>
        <v>210i</v>
      </c>
      <c r="C912" s="538" t="str">
        <f t="shared" si="131"/>
        <v>Positive</v>
      </c>
      <c r="D912" s="821">
        <f t="shared" si="132"/>
        <v>-238.75826582929398</v>
      </c>
      <c r="E912" s="821">
        <f t="shared" si="133"/>
        <v>169.11742564352195</v>
      </c>
      <c r="F912" s="527">
        <f t="shared" si="134"/>
        <v>-306.6175000983917</v>
      </c>
      <c r="G912" s="527">
        <f t="shared" si="135"/>
        <v>329.92449736239126</v>
      </c>
      <c r="H912" s="527">
        <f t="shared" si="136"/>
        <v>-234.36655138065072</v>
      </c>
      <c r="I912" s="527">
        <f t="shared" si="137"/>
        <v>233.03199061657986</v>
      </c>
      <c r="J912" s="527">
        <f t="shared" si="138"/>
        <v>-240.31920931669629</v>
      </c>
      <c r="K912" s="527">
        <f t="shared" si="139"/>
        <v>251.88229858386941</v>
      </c>
      <c r="L912" s="821">
        <f t="shared" si="140"/>
        <v>0</v>
      </c>
      <c r="M912" s="821">
        <f t="shared" si="141"/>
        <v>0</v>
      </c>
      <c r="N912" s="821">
        <f t="shared" si="142"/>
        <v>0</v>
      </c>
      <c r="O912" s="824">
        <f t="shared" si="143"/>
        <v>0</v>
      </c>
      <c r="V912" s="511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J912" s="143"/>
      <c r="AK912" s="143"/>
      <c r="AL912" s="143"/>
      <c r="AM912" s="143"/>
      <c r="AN912" s="143"/>
      <c r="AO912" s="143"/>
      <c r="AP912" s="143"/>
      <c r="AQ912" s="143"/>
      <c r="AR912" s="143"/>
      <c r="AS912" s="143"/>
      <c r="AT912" s="143"/>
    </row>
    <row r="913" spans="2:46" ht="15" customHeight="1">
      <c r="B913" s="518" t="str">
        <f>+input!B84</f>
        <v>210j</v>
      </c>
      <c r="C913" s="538" t="str">
        <f t="shared" si="131"/>
        <v>Positive</v>
      </c>
      <c r="D913" s="821">
        <f t="shared" si="132"/>
        <v>-221.92928256572401</v>
      </c>
      <c r="E913" s="821">
        <f t="shared" si="133"/>
        <v>157.19710817996773</v>
      </c>
      <c r="F913" s="527">
        <f t="shared" si="134"/>
        <v>-285.95252050041825</v>
      </c>
      <c r="G913" s="527">
        <f t="shared" si="135"/>
        <v>309.66306025944374</v>
      </c>
      <c r="H913" s="527">
        <f t="shared" si="136"/>
        <v>-218.37393499740062</v>
      </c>
      <c r="I913" s="527">
        <f t="shared" si="137"/>
        <v>218.27061653875302</v>
      </c>
      <c r="J913" s="527">
        <f t="shared" si="138"/>
        <v>-224.06429906189305</v>
      </c>
      <c r="K913" s="527">
        <f t="shared" si="139"/>
        <v>236.29031735377032</v>
      </c>
      <c r="L913" s="821">
        <f t="shared" si="140"/>
        <v>0</v>
      </c>
      <c r="M913" s="821">
        <f t="shared" si="141"/>
        <v>0</v>
      </c>
      <c r="N913" s="821">
        <f t="shared" si="142"/>
        <v>0</v>
      </c>
      <c r="O913" s="824">
        <f t="shared" si="143"/>
        <v>0</v>
      </c>
      <c r="V913" s="511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J913" s="143"/>
      <c r="AK913" s="143"/>
      <c r="AL913" s="143"/>
      <c r="AM913" s="143"/>
      <c r="AN913" s="143"/>
      <c r="AO913" s="143"/>
      <c r="AP913" s="143"/>
      <c r="AQ913" s="143"/>
      <c r="AR913" s="143"/>
      <c r="AS913" s="143"/>
      <c r="AT913" s="143"/>
    </row>
    <row r="914" spans="2:46" ht="15" customHeight="1">
      <c r="B914" s="518" t="str">
        <f>+input!B85</f>
        <v>211i</v>
      </c>
      <c r="C914" s="538" t="str">
        <f t="shared" si="131"/>
        <v>Positive</v>
      </c>
      <c r="D914" s="821">
        <f t="shared" si="132"/>
        <v>-221.93085702663356</v>
      </c>
      <c r="E914" s="821">
        <f t="shared" si="133"/>
        <v>157.19822340324544</v>
      </c>
      <c r="F914" s="527">
        <f t="shared" si="134"/>
        <v>-285.95413704077396</v>
      </c>
      <c r="G914" s="527">
        <f t="shared" si="135"/>
        <v>309.66423793462383</v>
      </c>
      <c r="H914" s="527">
        <f t="shared" si="136"/>
        <v>-218.37521861152609</v>
      </c>
      <c r="I914" s="527">
        <f t="shared" si="137"/>
        <v>218.27154440417658</v>
      </c>
      <c r="J914" s="527">
        <f t="shared" si="138"/>
        <v>-224.06558267601849</v>
      </c>
      <c r="K914" s="527">
        <f t="shared" si="139"/>
        <v>236.29124521919388</v>
      </c>
      <c r="L914" s="821">
        <f t="shared" si="140"/>
        <v>0</v>
      </c>
      <c r="M914" s="821">
        <f t="shared" si="141"/>
        <v>0</v>
      </c>
      <c r="N914" s="821">
        <f t="shared" si="142"/>
        <v>0</v>
      </c>
      <c r="O914" s="824">
        <f t="shared" si="143"/>
        <v>0</v>
      </c>
      <c r="V914" s="511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J914" s="143"/>
      <c r="AK914" s="143"/>
      <c r="AL914" s="143"/>
      <c r="AM914" s="143"/>
      <c r="AN914" s="143"/>
      <c r="AO914" s="143"/>
      <c r="AP914" s="143"/>
      <c r="AQ914" s="143"/>
      <c r="AR914" s="143"/>
      <c r="AS914" s="143"/>
      <c r="AT914" s="143"/>
    </row>
    <row r="915" spans="2:46" ht="15" customHeight="1">
      <c r="B915" s="518" t="str">
        <f>+input!B86</f>
        <v>211j</v>
      </c>
      <c r="C915" s="538" t="str">
        <f t="shared" si="131"/>
        <v>Positive</v>
      </c>
      <c r="D915" s="821">
        <f t="shared" si="132"/>
        <v>-191.89307709534532</v>
      </c>
      <c r="E915" s="821">
        <f t="shared" si="133"/>
        <v>135.92184163534412</v>
      </c>
      <c r="F915" s="527">
        <f t="shared" si="134"/>
        <v>-248.69788692228059</v>
      </c>
      <c r="G915" s="527">
        <f t="shared" si="135"/>
        <v>272.28591249351547</v>
      </c>
      <c r="H915" s="527">
        <f t="shared" si="136"/>
        <v>-189.62605880416717</v>
      </c>
      <c r="I915" s="527">
        <f t="shared" si="137"/>
        <v>191.25314042978243</v>
      </c>
      <c r="J915" s="527">
        <f t="shared" si="138"/>
        <v>-194.78264314261227</v>
      </c>
      <c r="K915" s="527">
        <f t="shared" si="139"/>
        <v>207.58251864760183</v>
      </c>
      <c r="L915" s="821">
        <f t="shared" si="140"/>
        <v>0</v>
      </c>
      <c r="M915" s="821">
        <f t="shared" si="141"/>
        <v>0</v>
      </c>
      <c r="N915" s="821">
        <f t="shared" si="142"/>
        <v>0</v>
      </c>
      <c r="O915" s="824">
        <f t="shared" si="143"/>
        <v>0</v>
      </c>
      <c r="V915" s="511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J915" s="143"/>
      <c r="AK915" s="143"/>
      <c r="AL915" s="143"/>
      <c r="AM915" s="143"/>
      <c r="AN915" s="143"/>
      <c r="AO915" s="143"/>
      <c r="AP915" s="143"/>
      <c r="AQ915" s="143"/>
      <c r="AR915" s="143"/>
      <c r="AS915" s="143"/>
      <c r="AT915" s="143"/>
    </row>
    <row r="916" spans="2:46" ht="15" customHeight="1">
      <c r="B916" s="518" t="str">
        <f>+input!B87</f>
        <v>212i</v>
      </c>
      <c r="C916" s="538" t="str">
        <f t="shared" si="131"/>
        <v>Positive</v>
      </c>
      <c r="D916" s="821">
        <f t="shared" si="132"/>
        <v>-237.24739828845802</v>
      </c>
      <c r="E916" s="821">
        <f t="shared" si="133"/>
        <v>165.09095674474395</v>
      </c>
      <c r="F916" s="527">
        <f t="shared" si="134"/>
        <v>-297.53764691247034</v>
      </c>
      <c r="G916" s="527">
        <f t="shared" si="135"/>
        <v>324.96095596943178</v>
      </c>
      <c r="H916" s="527">
        <f t="shared" si="136"/>
        <v>-228.27208956887458</v>
      </c>
      <c r="I916" s="527">
        <f t="shared" si="137"/>
        <v>228.8402595363612</v>
      </c>
      <c r="J916" s="527">
        <f t="shared" si="138"/>
        <v>-233.6060481096851</v>
      </c>
      <c r="K916" s="527">
        <f t="shared" si="139"/>
        <v>247.95782755230476</v>
      </c>
      <c r="L916" s="821">
        <f t="shared" si="140"/>
        <v>0</v>
      </c>
      <c r="M916" s="821">
        <f t="shared" si="141"/>
        <v>0</v>
      </c>
      <c r="N916" s="821">
        <f t="shared" si="142"/>
        <v>0</v>
      </c>
      <c r="O916" s="824">
        <f t="shared" si="143"/>
        <v>0</v>
      </c>
      <c r="V916" s="511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J916" s="143"/>
      <c r="AK916" s="143"/>
      <c r="AL916" s="143"/>
      <c r="AM916" s="143"/>
      <c r="AN916" s="143"/>
      <c r="AO916" s="143"/>
      <c r="AP916" s="143"/>
      <c r="AQ916" s="143"/>
      <c r="AR916" s="143"/>
      <c r="AS916" s="143"/>
      <c r="AT916" s="143"/>
    </row>
    <row r="917" spans="2:46" ht="15" customHeight="1">
      <c r="B917" s="518" t="str">
        <f>+input!B88</f>
        <v>212j</v>
      </c>
      <c r="C917" s="538" t="str">
        <f t="shared" si="131"/>
        <v>Positive</v>
      </c>
      <c r="D917" s="821">
        <f t="shared" si="132"/>
        <v>-187.61738293165465</v>
      </c>
      <c r="E917" s="821">
        <f t="shared" si="133"/>
        <v>130.55541798807047</v>
      </c>
      <c r="F917" s="527">
        <f t="shared" si="134"/>
        <v>-237.79939586467884</v>
      </c>
      <c r="G917" s="527">
        <f t="shared" si="135"/>
        <v>265.75325595309954</v>
      </c>
      <c r="H917" s="527">
        <f t="shared" si="136"/>
        <v>-181.93098591025694</v>
      </c>
      <c r="I917" s="527">
        <f t="shared" si="137"/>
        <v>185.8742116893518</v>
      </c>
      <c r="J917" s="527">
        <f t="shared" si="138"/>
        <v>-186.54940879722312</v>
      </c>
      <c r="K917" s="527">
        <f t="shared" si="139"/>
        <v>202.42721130350887</v>
      </c>
      <c r="L917" s="821">
        <f t="shared" si="140"/>
        <v>0</v>
      </c>
      <c r="M917" s="821">
        <f t="shared" si="141"/>
        <v>0</v>
      </c>
      <c r="N917" s="821">
        <f t="shared" si="142"/>
        <v>0</v>
      </c>
      <c r="O917" s="824">
        <f t="shared" si="143"/>
        <v>0</v>
      </c>
      <c r="V917" s="511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J917" s="143"/>
      <c r="AK917" s="143"/>
      <c r="AL917" s="143"/>
      <c r="AM917" s="143"/>
      <c r="AN917" s="143"/>
      <c r="AO917" s="143"/>
      <c r="AP917" s="143"/>
      <c r="AQ917" s="143"/>
      <c r="AR917" s="143"/>
      <c r="AS917" s="143"/>
      <c r="AT917" s="143"/>
    </row>
    <row r="918" spans="2:46" ht="15" customHeight="1">
      <c r="B918" s="518" t="str">
        <f>+input!B89</f>
        <v>213i</v>
      </c>
      <c r="C918" s="538" t="str">
        <f t="shared" si="131"/>
        <v>Positive</v>
      </c>
      <c r="D918" s="821">
        <f t="shared" si="132"/>
        <v>-209.28901143281831</v>
      </c>
      <c r="E918" s="821">
        <f t="shared" si="133"/>
        <v>133.65561592076133</v>
      </c>
      <c r="F918" s="527">
        <f t="shared" si="134"/>
        <v>-260.55703707099838</v>
      </c>
      <c r="G918" s="527">
        <f t="shared" si="135"/>
        <v>268.96052999559583</v>
      </c>
      <c r="H918" s="527">
        <f t="shared" si="136"/>
        <v>-200.01869922811539</v>
      </c>
      <c r="I918" s="527">
        <f t="shared" si="137"/>
        <v>188.43071305838632</v>
      </c>
      <c r="J918" s="527">
        <f t="shared" si="138"/>
        <v>-204.6789726174207</v>
      </c>
      <c r="K918" s="527">
        <f t="shared" si="139"/>
        <v>204.98561941286454</v>
      </c>
      <c r="L918" s="821">
        <f t="shared" si="140"/>
        <v>0</v>
      </c>
      <c r="M918" s="821">
        <f t="shared" si="141"/>
        <v>0</v>
      </c>
      <c r="N918" s="821">
        <f t="shared" si="142"/>
        <v>0</v>
      </c>
      <c r="O918" s="824">
        <f t="shared" si="143"/>
        <v>0</v>
      </c>
      <c r="V918" s="511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J918" s="143"/>
      <c r="AK918" s="143"/>
      <c r="AL918" s="143"/>
      <c r="AM918" s="143"/>
      <c r="AN918" s="143"/>
      <c r="AO918" s="143"/>
      <c r="AP918" s="143"/>
      <c r="AQ918" s="143"/>
      <c r="AR918" s="143"/>
      <c r="AS918" s="143"/>
      <c r="AT918" s="143"/>
    </row>
    <row r="919" spans="2:46" ht="15" customHeight="1">
      <c r="B919" s="518" t="str">
        <f>+input!B90</f>
        <v>213j</v>
      </c>
      <c r="C919" s="538" t="str">
        <f t="shared" si="131"/>
        <v>Positive</v>
      </c>
      <c r="D919" s="821">
        <f t="shared" si="132"/>
        <v>-135.67317309666393</v>
      </c>
      <c r="E919" s="821">
        <f t="shared" si="133"/>
        <v>86.64325656667134</v>
      </c>
      <c r="F919" s="527">
        <f t="shared" si="134"/>
        <v>-172.52199857388575</v>
      </c>
      <c r="G919" s="527">
        <f t="shared" si="135"/>
        <v>187.27615137798574</v>
      </c>
      <c r="H919" s="527">
        <f t="shared" si="136"/>
        <v>-131.66241434143197</v>
      </c>
      <c r="I919" s="527">
        <f t="shared" si="137"/>
        <v>129.31583918303721</v>
      </c>
      <c r="J919" s="527">
        <f t="shared" si="138"/>
        <v>-135.29263961381105</v>
      </c>
      <c r="K919" s="527">
        <f t="shared" si="139"/>
        <v>142.21165760601056</v>
      </c>
      <c r="L919" s="821">
        <f t="shared" si="140"/>
        <v>0</v>
      </c>
      <c r="M919" s="821">
        <f t="shared" si="141"/>
        <v>0</v>
      </c>
      <c r="N919" s="821">
        <f t="shared" si="142"/>
        <v>0</v>
      </c>
      <c r="O919" s="824">
        <f t="shared" si="143"/>
        <v>0</v>
      </c>
      <c r="V919" s="511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J919" s="143"/>
      <c r="AK919" s="143"/>
      <c r="AL919" s="143"/>
      <c r="AM919" s="143"/>
      <c r="AN919" s="143"/>
      <c r="AO919" s="143"/>
      <c r="AP919" s="143"/>
      <c r="AQ919" s="143"/>
      <c r="AR919" s="143"/>
      <c r="AS919" s="143"/>
      <c r="AT919" s="143"/>
    </row>
    <row r="920" spans="2:46" ht="15" customHeight="1">
      <c r="B920" s="518" t="str">
        <f>+input!B91</f>
        <v>214i</v>
      </c>
      <c r="C920" s="538" t="str">
        <f t="shared" si="131"/>
        <v>Positive</v>
      </c>
      <c r="D920" s="821">
        <f t="shared" si="132"/>
        <v>-135.67386401101456</v>
      </c>
      <c r="E920" s="821">
        <f t="shared" si="133"/>
        <v>86.643697796635806</v>
      </c>
      <c r="F920" s="527">
        <f t="shared" si="134"/>
        <v>-172.52264857851304</v>
      </c>
      <c r="G920" s="527">
        <f t="shared" si="135"/>
        <v>187.27652946015837</v>
      </c>
      <c r="H920" s="527">
        <f t="shared" si="136"/>
        <v>-131.66293979976356</v>
      </c>
      <c r="I920" s="527">
        <f t="shared" si="137"/>
        <v>129.31615006848085</v>
      </c>
      <c r="J920" s="527">
        <f t="shared" si="138"/>
        <v>-135.29316507214264</v>
      </c>
      <c r="K920" s="527">
        <f t="shared" si="139"/>
        <v>142.21196849145423</v>
      </c>
      <c r="L920" s="821">
        <f t="shared" si="140"/>
        <v>0</v>
      </c>
      <c r="M920" s="821">
        <f t="shared" si="141"/>
        <v>0</v>
      </c>
      <c r="N920" s="821">
        <f t="shared" si="142"/>
        <v>0</v>
      </c>
      <c r="O920" s="824">
        <f t="shared" si="143"/>
        <v>0</v>
      </c>
      <c r="V920" s="511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J920" s="143"/>
      <c r="AK920" s="143"/>
      <c r="AL920" s="143"/>
      <c r="AM920" s="143"/>
      <c r="AN920" s="143"/>
      <c r="AO920" s="143"/>
      <c r="AP920" s="143"/>
      <c r="AQ920" s="143"/>
      <c r="AR920" s="143"/>
      <c r="AS920" s="143"/>
      <c r="AT920" s="143"/>
    </row>
    <row r="921" spans="2:46" ht="15" customHeight="1">
      <c r="B921" s="518" t="str">
        <f>+input!B92</f>
        <v>214j</v>
      </c>
      <c r="C921" s="538" t="str">
        <f t="shared" si="131"/>
        <v>Positive</v>
      </c>
      <c r="D921" s="821">
        <f t="shared" si="132"/>
        <v>-48.666328922916726</v>
      </c>
      <c r="E921" s="821">
        <f t="shared" si="133"/>
        <v>31.079167139564554</v>
      </c>
      <c r="F921" s="527">
        <f t="shared" si="134"/>
        <v>-68.932485033451457</v>
      </c>
      <c r="G921" s="527">
        <f t="shared" si="135"/>
        <v>92.318965094459131</v>
      </c>
      <c r="H921" s="527">
        <f t="shared" si="136"/>
        <v>-51.135984408721029</v>
      </c>
      <c r="I921" s="527">
        <f t="shared" si="137"/>
        <v>60.342507650412323</v>
      </c>
      <c r="J921" s="527">
        <f t="shared" si="138"/>
        <v>-53.621532619988422</v>
      </c>
      <c r="K921" s="527">
        <f t="shared" si="139"/>
        <v>69.172036401129304</v>
      </c>
      <c r="L921" s="821">
        <f t="shared" si="140"/>
        <v>0</v>
      </c>
      <c r="M921" s="821">
        <f t="shared" si="141"/>
        <v>0</v>
      </c>
      <c r="N921" s="821">
        <f t="shared" si="142"/>
        <v>0</v>
      </c>
      <c r="O921" s="824">
        <f t="shared" si="143"/>
        <v>0</v>
      </c>
      <c r="V921" s="511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J921" s="143"/>
      <c r="AK921" s="143"/>
      <c r="AL921" s="143"/>
      <c r="AM921" s="143"/>
      <c r="AN921" s="143"/>
      <c r="AO921" s="143"/>
      <c r="AP921" s="143"/>
      <c r="AQ921" s="143"/>
      <c r="AR921" s="143"/>
      <c r="AS921" s="143"/>
      <c r="AT921" s="143"/>
    </row>
    <row r="922" spans="2:46" ht="15" customHeight="1">
      <c r="B922" s="518" t="str">
        <f>+input!B93</f>
        <v>215i</v>
      </c>
      <c r="C922" s="538" t="str">
        <f t="shared" si="131"/>
        <v>Positive</v>
      </c>
      <c r="D922" s="821">
        <f t="shared" si="132"/>
        <v>-61.588590586465827</v>
      </c>
      <c r="E922" s="821">
        <f t="shared" si="133"/>
        <v>46.780738701577903</v>
      </c>
      <c r="F922" s="527">
        <f t="shared" si="134"/>
        <v>-82.586049061994231</v>
      </c>
      <c r="G922" s="527">
        <f t="shared" si="135"/>
        <v>134.26471953318679</v>
      </c>
      <c r="H922" s="527">
        <f t="shared" si="136"/>
        <v>-61.968846402421079</v>
      </c>
      <c r="I922" s="527">
        <f t="shared" si="137"/>
        <v>88.120146965196909</v>
      </c>
      <c r="J922" s="527">
        <f t="shared" si="138"/>
        <v>-64.492371621746216</v>
      </c>
      <c r="K922" s="527">
        <f t="shared" si="139"/>
        <v>100.72233334394159</v>
      </c>
      <c r="L922" s="821">
        <f t="shared" si="140"/>
        <v>0</v>
      </c>
      <c r="M922" s="821">
        <f t="shared" si="141"/>
        <v>0</v>
      </c>
      <c r="N922" s="821">
        <f t="shared" si="142"/>
        <v>0</v>
      </c>
      <c r="O922" s="824">
        <f t="shared" si="143"/>
        <v>0</v>
      </c>
      <c r="V922" s="511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J922" s="143"/>
      <c r="AK922" s="143"/>
      <c r="AL922" s="143"/>
      <c r="AM922" s="143"/>
      <c r="AN922" s="143"/>
      <c r="AO922" s="143"/>
      <c r="AP922" s="143"/>
      <c r="AQ922" s="143"/>
      <c r="AR922" s="143"/>
      <c r="AS922" s="143"/>
      <c r="AT922" s="143"/>
    </row>
    <row r="923" spans="2:46" ht="15" customHeight="1">
      <c r="B923" s="518" t="str">
        <f>+input!B94</f>
        <v>215j</v>
      </c>
      <c r="C923" s="538" t="str">
        <f t="shared" si="131"/>
        <v>Negative</v>
      </c>
      <c r="D923" s="821">
        <f t="shared" si="132"/>
        <v>71.061202535177088</v>
      </c>
      <c r="E923" s="821">
        <f t="shared" si="133"/>
        <v>-53.975834094643879</v>
      </c>
      <c r="F923" s="527">
        <f t="shared" si="134"/>
        <v>164.35133823010185</v>
      </c>
      <c r="G923" s="527">
        <f t="shared" si="135"/>
        <v>-140.14866312795903</v>
      </c>
      <c r="H923" s="527">
        <f t="shared" si="136"/>
        <v>112.44939717977743</v>
      </c>
      <c r="I923" s="527">
        <f t="shared" si="137"/>
        <v>-94.162445958725456</v>
      </c>
      <c r="J923" s="527">
        <f t="shared" si="138"/>
        <v>124.42887347707767</v>
      </c>
      <c r="K923" s="527">
        <f t="shared" si="139"/>
        <v>-105.58441645271779</v>
      </c>
      <c r="L923" s="821">
        <f t="shared" si="140"/>
        <v>0</v>
      </c>
      <c r="M923" s="821">
        <f t="shared" si="141"/>
        <v>0</v>
      </c>
      <c r="N923" s="821">
        <f t="shared" si="142"/>
        <v>0</v>
      </c>
      <c r="O923" s="824">
        <f t="shared" si="143"/>
        <v>0</v>
      </c>
      <c r="V923" s="511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J923" s="143"/>
      <c r="AK923" s="143"/>
      <c r="AL923" s="143"/>
      <c r="AM923" s="143"/>
      <c r="AN923" s="143"/>
      <c r="AO923" s="143"/>
      <c r="AP923" s="143"/>
      <c r="AQ923" s="143"/>
      <c r="AR923" s="143"/>
      <c r="AS923" s="143"/>
      <c r="AT923" s="143"/>
    </row>
    <row r="924" spans="2:46" ht="15" customHeight="1">
      <c r="B924" s="518" t="str">
        <f>+input!B95</f>
        <v>216i</v>
      </c>
      <c r="C924" s="538" t="str">
        <f t="shared" si="131"/>
        <v>Negative</v>
      </c>
      <c r="D924" s="821">
        <f t="shared" si="132"/>
        <v>56.227076281094739</v>
      </c>
      <c r="E924" s="821">
        <f t="shared" si="133"/>
        <v>-43.077604805753822</v>
      </c>
      <c r="F924" s="527">
        <f t="shared" si="134"/>
        <v>133.40951501147327</v>
      </c>
      <c r="G924" s="527">
        <f t="shared" si="135"/>
        <v>-113.15051362389556</v>
      </c>
      <c r="H924" s="527">
        <f t="shared" si="136"/>
        <v>90.907402799039971</v>
      </c>
      <c r="I924" s="527">
        <f t="shared" si="137"/>
        <v>-75.894102396356274</v>
      </c>
      <c r="J924" s="527">
        <f t="shared" si="138"/>
        <v>100.88902405957992</v>
      </c>
      <c r="K924" s="527">
        <f t="shared" si="139"/>
        <v>-85.205415922103029</v>
      </c>
      <c r="L924" s="821">
        <f t="shared" si="140"/>
        <v>0</v>
      </c>
      <c r="M924" s="821">
        <f t="shared" si="141"/>
        <v>0</v>
      </c>
      <c r="N924" s="821">
        <f t="shared" si="142"/>
        <v>0</v>
      </c>
      <c r="O924" s="824">
        <f t="shared" si="143"/>
        <v>0</v>
      </c>
      <c r="V924" s="511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J924" s="143"/>
      <c r="AK924" s="143"/>
      <c r="AL924" s="143"/>
      <c r="AM924" s="143"/>
      <c r="AN924" s="143"/>
      <c r="AO924" s="143"/>
      <c r="AP924" s="143"/>
      <c r="AQ924" s="143"/>
      <c r="AR924" s="143"/>
      <c r="AS924" s="143"/>
      <c r="AT924" s="143"/>
    </row>
    <row r="925" spans="2:46" ht="15" customHeight="1">
      <c r="B925" s="518" t="str">
        <f>+input!B96</f>
        <v>216j</v>
      </c>
      <c r="C925" s="538" t="str">
        <f t="shared" si="131"/>
        <v>Negative</v>
      </c>
      <c r="D925" s="821">
        <f t="shared" si="132"/>
        <v>173.91389784653657</v>
      </c>
      <c r="E925" s="821">
        <f t="shared" si="133"/>
        <v>-133.24175214460357</v>
      </c>
      <c r="F925" s="527">
        <f t="shared" si="134"/>
        <v>316.15632123360223</v>
      </c>
      <c r="G925" s="527">
        <f t="shared" si="135"/>
        <v>-260.0688605658882</v>
      </c>
      <c r="H925" s="527">
        <f t="shared" si="136"/>
        <v>227.41756139117743</v>
      </c>
      <c r="I925" s="527">
        <f t="shared" si="137"/>
        <v>-184.66185725082789</v>
      </c>
      <c r="J925" s="527">
        <f t="shared" si="138"/>
        <v>242.35271760932986</v>
      </c>
      <c r="K925" s="527">
        <f t="shared" si="139"/>
        <v>-198.59405508455947</v>
      </c>
      <c r="L925" s="821">
        <f t="shared" si="140"/>
        <v>0</v>
      </c>
      <c r="M925" s="821">
        <f t="shared" si="141"/>
        <v>0</v>
      </c>
      <c r="N925" s="821">
        <f t="shared" si="142"/>
        <v>0</v>
      </c>
      <c r="O925" s="824">
        <f t="shared" si="143"/>
        <v>0</v>
      </c>
      <c r="V925" s="511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J925" s="143"/>
      <c r="AK925" s="143"/>
      <c r="AL925" s="143"/>
      <c r="AM925" s="143"/>
      <c r="AN925" s="143"/>
      <c r="AO925" s="143"/>
      <c r="AP925" s="143"/>
      <c r="AQ925" s="143"/>
      <c r="AR925" s="143"/>
      <c r="AS925" s="143"/>
      <c r="AT925" s="143"/>
    </row>
    <row r="926" spans="2:46" ht="15" customHeight="1">
      <c r="B926" s="518" t="str">
        <f>+input!B97</f>
        <v>217i</v>
      </c>
      <c r="C926" s="538" t="str">
        <f t="shared" si="131"/>
        <v>Negative</v>
      </c>
      <c r="D926" s="821">
        <f t="shared" si="132"/>
        <v>105.59071641405038</v>
      </c>
      <c r="E926" s="821">
        <f t="shared" si="133"/>
        <v>-69.3714613339435</v>
      </c>
      <c r="F926" s="527">
        <f t="shared" si="134"/>
        <v>199.13496005085241</v>
      </c>
      <c r="G926" s="527">
        <f t="shared" si="135"/>
        <v>-148.72531128561823</v>
      </c>
      <c r="H926" s="527">
        <f t="shared" si="136"/>
        <v>142.72143933316173</v>
      </c>
      <c r="I926" s="527">
        <f t="shared" si="137"/>
        <v>-108.73911561142855</v>
      </c>
      <c r="J926" s="527">
        <f t="shared" si="138"/>
        <v>152.47619482827062</v>
      </c>
      <c r="K926" s="527">
        <f t="shared" si="139"/>
        <v>-114.49810547941092</v>
      </c>
      <c r="L926" s="821">
        <f t="shared" si="140"/>
        <v>0</v>
      </c>
      <c r="M926" s="821">
        <f t="shared" si="141"/>
        <v>0</v>
      </c>
      <c r="N926" s="821">
        <f t="shared" si="142"/>
        <v>0</v>
      </c>
      <c r="O926" s="824">
        <f t="shared" si="143"/>
        <v>0</v>
      </c>
      <c r="V926" s="511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J926" s="143"/>
      <c r="AK926" s="143"/>
      <c r="AL926" s="143"/>
      <c r="AM926" s="143"/>
      <c r="AN926" s="143"/>
      <c r="AO926" s="143"/>
      <c r="AP926" s="143"/>
      <c r="AQ926" s="143"/>
      <c r="AR926" s="143"/>
      <c r="AS926" s="143"/>
      <c r="AT926" s="143"/>
    </row>
    <row r="927" spans="2:46" ht="15" customHeight="1">
      <c r="B927" s="518" t="str">
        <f>+input!B98</f>
        <v>217j</v>
      </c>
      <c r="C927" s="538" t="str">
        <f t="shared" si="131"/>
        <v>Negative</v>
      </c>
      <c r="D927" s="821">
        <f t="shared" si="132"/>
        <v>190.11838596402691</v>
      </c>
      <c r="E927" s="821">
        <f t="shared" si="133"/>
        <v>-126.69285152167902</v>
      </c>
      <c r="F927" s="527">
        <f t="shared" si="134"/>
        <v>349.02736643127383</v>
      </c>
      <c r="G927" s="527">
        <f t="shared" si="135"/>
        <v>-262.94463546611121</v>
      </c>
      <c r="H927" s="527">
        <f t="shared" si="136"/>
        <v>251.56935011710488</v>
      </c>
      <c r="I927" s="527">
        <f t="shared" si="137"/>
        <v>-193.23100667783206</v>
      </c>
      <c r="J927" s="527">
        <f t="shared" si="138"/>
        <v>267.65554976894742</v>
      </c>
      <c r="K927" s="527">
        <f t="shared" si="139"/>
        <v>-202.72793982554174</v>
      </c>
      <c r="L927" s="821">
        <f t="shared" si="140"/>
        <v>0</v>
      </c>
      <c r="M927" s="821">
        <f t="shared" si="141"/>
        <v>0</v>
      </c>
      <c r="N927" s="821">
        <f t="shared" si="142"/>
        <v>0</v>
      </c>
      <c r="O927" s="824">
        <f t="shared" si="143"/>
        <v>0</v>
      </c>
      <c r="V927" s="511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J927" s="143"/>
      <c r="AK927" s="143"/>
      <c r="AL927" s="143"/>
      <c r="AM927" s="143"/>
      <c r="AN927" s="143"/>
      <c r="AO927" s="143"/>
      <c r="AP927" s="143"/>
      <c r="AQ927" s="143"/>
      <c r="AR927" s="143"/>
      <c r="AS927" s="143"/>
      <c r="AT927" s="143"/>
    </row>
    <row r="928" spans="2:46" ht="15" customHeight="1">
      <c r="B928" s="518" t="str">
        <f>+input!B99</f>
        <v>218i</v>
      </c>
      <c r="C928" s="538" t="str">
        <f t="shared" ref="C928:C955" si="144">IF(B663+D663+F663&lt;=0,"Positive","Negative")</f>
        <v>Negative</v>
      </c>
      <c r="D928" s="821">
        <f t="shared" ref="D928:D955" si="145">1.25*(B663+D663+IF(C928="Positive",F663,B793))</f>
        <v>101.41701990535128</v>
      </c>
      <c r="E928" s="821">
        <f t="shared" ref="E928:E955" si="146">1.25*(C663+E663+IF(C928="Positive",G663,C793))</f>
        <v>-97.764896536425056</v>
      </c>
      <c r="F928" s="527">
        <f t="shared" ref="F928:F955" si="147">1.25*(B663+D663)+IF(C928="Positive",1.25*F663+1.25*H663+1.5*J663+1.8*L663,1.25*D793+1.25*F793+1.5*H793+1.8*L793)</f>
        <v>190.81057895247685</v>
      </c>
      <c r="G928" s="527">
        <f t="shared" ref="G928:G955" si="148">1.25*(C663+E663)+IF(C928="Positive",1.25*G663+1.25*I663+1.5*K663+1.8*M663,1.25*E793+1.25*G793+1.5*I793+1.8*M793)</f>
        <v>-204.13853964100039</v>
      </c>
      <c r="H928" s="527">
        <f t="shared" ref="H928:H955" si="149">1*(B663+D663)+IF(C928="Positive",1*F663+1*H663+1*J663+1*L663,1*D793+1*F793+1*H793+1*L793)</f>
        <v>136.90875056032192</v>
      </c>
      <c r="I928" s="527">
        <f t="shared" ref="I928:I955" si="150">1*(C663+E663)+IF(C928="Positive",1*G663+1*I663+1*K663+1*M663,1*E793+1*G793+1*I793+1*M793)</f>
        <v>-150.43946725177969</v>
      </c>
      <c r="J928" s="527">
        <f t="shared" ref="J928:J955" si="151">1*(B663+D663)+IF(C928="Positive",1*F663+1*H663+1*J663+1.3*L663,1*D793+1*F793+1*H793+1.3*L793)</f>
        <v>146.1256257201502</v>
      </c>
      <c r="K928" s="527">
        <f t="shared" ref="K928:K955" si="152">1*(C663+E663)+IF(C928="Positive",1*G663+1*I663+1*K663+1.3*M663,1*E793+1*G793+1*I793+1.3*M793)</f>
        <v>-157.52638031947475</v>
      </c>
      <c r="L928" s="821">
        <f t="shared" ref="L928:L955" si="153">0.75*IF(C928="Positive",-L145/H533*10^6,-L145/L533*10^6)</f>
        <v>0</v>
      </c>
      <c r="M928" s="821">
        <f t="shared" ref="M928:M955" si="154">0.75*IF(C928="Positive",L145/I533*10^6,L145/M533*10^6)</f>
        <v>0</v>
      </c>
      <c r="N928" s="821">
        <f t="shared" ref="N928:N955" si="155">0.75*IF(C928="Positive",-M145/H533*10^6,-M145/L533*10^6)</f>
        <v>0</v>
      </c>
      <c r="O928" s="824">
        <f t="shared" ref="O928:O955" si="156">0.75*IF(C928="Positive",M145/I533*10^6,M145/M533*10^6)</f>
        <v>0</v>
      </c>
      <c r="V928" s="511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J928" s="143"/>
      <c r="AK928" s="143"/>
      <c r="AL928" s="143"/>
      <c r="AM928" s="143"/>
      <c r="AN928" s="143"/>
      <c r="AO928" s="143"/>
      <c r="AP928" s="143"/>
      <c r="AQ928" s="143"/>
      <c r="AR928" s="143"/>
      <c r="AS928" s="143"/>
      <c r="AT928" s="143"/>
    </row>
    <row r="929" spans="2:46" ht="15" customHeight="1">
      <c r="B929" s="967" t="str">
        <f>+input!B100</f>
        <v>218j</v>
      </c>
      <c r="C929" s="968" t="str">
        <f t="shared" si="144"/>
        <v>Negative</v>
      </c>
      <c r="D929" s="965">
        <f t="shared" si="145"/>
        <v>136.77664706934712</v>
      </c>
      <c r="E929" s="965">
        <f t="shared" si="146"/>
        <v>-133.22211250224331</v>
      </c>
      <c r="F929" s="955">
        <f t="shared" si="147"/>
        <v>255.42214675348021</v>
      </c>
      <c r="G929" s="955">
        <f t="shared" si="148"/>
        <v>-274.37734832661027</v>
      </c>
      <c r="H929" s="955">
        <f t="shared" si="149"/>
        <v>183.47385435300083</v>
      </c>
      <c r="I929" s="955">
        <f t="shared" si="150"/>
        <v>-202.43465169958139</v>
      </c>
      <c r="J929" s="955">
        <f t="shared" si="151"/>
        <v>195.68046376399462</v>
      </c>
      <c r="K929" s="955">
        <f t="shared" si="152"/>
        <v>-211.82039016808776</v>
      </c>
      <c r="L929" s="965">
        <f t="shared" si="153"/>
        <v>0</v>
      </c>
      <c r="M929" s="965">
        <f t="shared" si="154"/>
        <v>0</v>
      </c>
      <c r="N929" s="965">
        <f t="shared" si="155"/>
        <v>0</v>
      </c>
      <c r="O929" s="958">
        <f t="shared" si="156"/>
        <v>0</v>
      </c>
      <c r="V929" s="511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J929" s="143"/>
      <c r="AK929" s="143"/>
      <c r="AL929" s="143"/>
      <c r="AM929" s="143"/>
      <c r="AN929" s="143"/>
      <c r="AO929" s="143"/>
      <c r="AP929" s="143"/>
      <c r="AQ929" s="143"/>
      <c r="AR929" s="143"/>
      <c r="AS929" s="143"/>
      <c r="AT929" s="143"/>
    </row>
    <row r="930" spans="2:46" ht="15" customHeight="1">
      <c r="B930" s="969" t="str">
        <f>+input!B101</f>
        <v>219i</v>
      </c>
      <c r="C930" s="970" t="str">
        <f t="shared" si="144"/>
        <v>Negative</v>
      </c>
      <c r="D930" s="822">
        <f t="shared" si="145"/>
        <v>132.53394812996251</v>
      </c>
      <c r="E930" s="822">
        <f t="shared" si="146"/>
        <v>-125.99114615236319</v>
      </c>
      <c r="F930" s="961">
        <f t="shared" si="147"/>
        <v>247.49499487848641</v>
      </c>
      <c r="G930" s="961">
        <f t="shared" si="148"/>
        <v>-258.48934425554404</v>
      </c>
      <c r="H930" s="961">
        <f t="shared" si="149"/>
        <v>177.75577541047761</v>
      </c>
      <c r="I930" s="961">
        <f t="shared" si="150"/>
        <v>-191.05020564150371</v>
      </c>
      <c r="J930" s="961">
        <f t="shared" si="151"/>
        <v>189.60037065250029</v>
      </c>
      <c r="K930" s="961">
        <f t="shared" si="152"/>
        <v>-199.67164571966535</v>
      </c>
      <c r="L930" s="822">
        <f t="shared" si="153"/>
        <v>0</v>
      </c>
      <c r="M930" s="822">
        <f t="shared" si="154"/>
        <v>0</v>
      </c>
      <c r="N930" s="822">
        <f t="shared" si="155"/>
        <v>0</v>
      </c>
      <c r="O930" s="823">
        <f t="shared" si="156"/>
        <v>0</v>
      </c>
      <c r="V930" s="511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J930" s="143"/>
      <c r="AK930" s="143"/>
      <c r="AL930" s="143"/>
      <c r="AM930" s="143"/>
      <c r="AN930" s="143"/>
      <c r="AO930" s="143"/>
      <c r="AP930" s="143"/>
      <c r="AQ930" s="143"/>
      <c r="AR930" s="143"/>
      <c r="AS930" s="143"/>
      <c r="AT930" s="143"/>
    </row>
    <row r="931" spans="2:46" ht="15" customHeight="1">
      <c r="B931" s="518" t="str">
        <f>+input!B102</f>
        <v>219j</v>
      </c>
      <c r="C931" s="538" t="str">
        <f t="shared" si="144"/>
        <v>Negative</v>
      </c>
      <c r="D931" s="821">
        <f t="shared" si="145"/>
        <v>148.26969974971536</v>
      </c>
      <c r="E931" s="821">
        <f t="shared" si="146"/>
        <v>-141.64356992873968</v>
      </c>
      <c r="F931" s="527">
        <f t="shared" si="147"/>
        <v>276.12306865922085</v>
      </c>
      <c r="G931" s="527">
        <f t="shared" si="148"/>
        <v>-288.90231753260599</v>
      </c>
      <c r="H931" s="527">
        <f t="shared" si="149"/>
        <v>198.38194554195363</v>
      </c>
      <c r="I931" s="527">
        <f t="shared" si="150"/>
        <v>-213.61084640402157</v>
      </c>
      <c r="J931" s="527">
        <f t="shared" si="151"/>
        <v>211.55975653682282</v>
      </c>
      <c r="K931" s="527">
        <f t="shared" si="152"/>
        <v>-223.20270712464199</v>
      </c>
      <c r="L931" s="821">
        <f t="shared" si="153"/>
        <v>0</v>
      </c>
      <c r="M931" s="821">
        <f t="shared" si="154"/>
        <v>0</v>
      </c>
      <c r="N931" s="821">
        <f t="shared" si="155"/>
        <v>0</v>
      </c>
      <c r="O931" s="824">
        <f t="shared" si="156"/>
        <v>0</v>
      </c>
      <c r="V931" s="511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J931" s="143"/>
      <c r="AK931" s="143"/>
      <c r="AL931" s="143"/>
      <c r="AM931" s="143"/>
      <c r="AN931" s="143"/>
      <c r="AO931" s="143"/>
      <c r="AP931" s="143"/>
      <c r="AQ931" s="143"/>
      <c r="AR931" s="143"/>
      <c r="AS931" s="143"/>
      <c r="AT931" s="143"/>
    </row>
    <row r="932" spans="2:46" ht="15" customHeight="1">
      <c r="B932" s="518" t="str">
        <f>+input!B103</f>
        <v>220i</v>
      </c>
      <c r="C932" s="538" t="str">
        <f t="shared" si="144"/>
        <v>Negative</v>
      </c>
      <c r="D932" s="821">
        <f t="shared" si="145"/>
        <v>148.26953354868431</v>
      </c>
      <c r="E932" s="821">
        <f t="shared" si="146"/>
        <v>-141.64321453776995</v>
      </c>
      <c r="F932" s="527">
        <f t="shared" si="147"/>
        <v>276.11611093020031</v>
      </c>
      <c r="G932" s="527">
        <f t="shared" si="148"/>
        <v>-288.89686986119165</v>
      </c>
      <c r="H932" s="527">
        <f t="shared" si="149"/>
        <v>198.37791390079155</v>
      </c>
      <c r="I932" s="527">
        <f t="shared" si="150"/>
        <v>-213.60760863050149</v>
      </c>
      <c r="J932" s="527">
        <f t="shared" si="151"/>
        <v>211.55468521090577</v>
      </c>
      <c r="K932" s="527">
        <f t="shared" si="152"/>
        <v>-223.19871258572533</v>
      </c>
      <c r="L932" s="821">
        <f t="shared" si="153"/>
        <v>0</v>
      </c>
      <c r="M932" s="821">
        <f t="shared" si="154"/>
        <v>0</v>
      </c>
      <c r="N932" s="821">
        <f t="shared" si="155"/>
        <v>0</v>
      </c>
      <c r="O932" s="824">
        <f t="shared" si="156"/>
        <v>0</v>
      </c>
      <c r="V932" s="511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J932" s="143"/>
      <c r="AK932" s="143"/>
      <c r="AL932" s="143"/>
      <c r="AM932" s="143"/>
      <c r="AN932" s="143"/>
      <c r="AO932" s="143"/>
      <c r="AP932" s="143"/>
      <c r="AQ932" s="143"/>
      <c r="AR932" s="143"/>
      <c r="AS932" s="143"/>
      <c r="AT932" s="143"/>
    </row>
    <row r="933" spans="2:46" ht="15" customHeight="1">
      <c r="B933" s="518" t="str">
        <f>+input!B104</f>
        <v>220j</v>
      </c>
      <c r="C933" s="538" t="str">
        <f t="shared" si="144"/>
        <v>Negative</v>
      </c>
      <c r="D933" s="821">
        <f t="shared" si="145"/>
        <v>135.88619529813658</v>
      </c>
      <c r="E933" s="821">
        <f t="shared" si="146"/>
        <v>-129.35711697658778</v>
      </c>
      <c r="F933" s="527">
        <f t="shared" si="147"/>
        <v>254.90223802775944</v>
      </c>
      <c r="G933" s="527">
        <f t="shared" si="148"/>
        <v>-265.93950287825993</v>
      </c>
      <c r="H933" s="527">
        <f t="shared" si="149"/>
        <v>182.87753909664025</v>
      </c>
      <c r="I933" s="527">
        <f t="shared" si="150"/>
        <v>-196.40100948044858</v>
      </c>
      <c r="J933" s="527">
        <f t="shared" si="151"/>
        <v>195.22364894003212</v>
      </c>
      <c r="K933" s="527">
        <f t="shared" si="152"/>
        <v>-205.38749184124458</v>
      </c>
      <c r="L933" s="821">
        <f t="shared" si="153"/>
        <v>0</v>
      </c>
      <c r="M933" s="821">
        <f t="shared" si="154"/>
        <v>0</v>
      </c>
      <c r="N933" s="821">
        <f t="shared" si="155"/>
        <v>0</v>
      </c>
      <c r="O933" s="824">
        <f t="shared" si="156"/>
        <v>0</v>
      </c>
      <c r="V933" s="511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J933" s="143"/>
      <c r="AK933" s="143"/>
      <c r="AL933" s="143"/>
      <c r="AM933" s="143"/>
      <c r="AN933" s="143"/>
      <c r="AO933" s="143"/>
      <c r="AP933" s="143"/>
      <c r="AQ933" s="143"/>
      <c r="AR933" s="143"/>
      <c r="AS933" s="143"/>
      <c r="AT933" s="143"/>
    </row>
    <row r="934" spans="2:46" ht="15" customHeight="1">
      <c r="B934" s="518" t="str">
        <f>+input!B105</f>
        <v>221i</v>
      </c>
      <c r="C934" s="538" t="str">
        <f t="shared" si="144"/>
        <v>Negative</v>
      </c>
      <c r="D934" s="821">
        <f t="shared" si="145"/>
        <v>140.23660780320154</v>
      </c>
      <c r="E934" s="821">
        <f t="shared" si="146"/>
        <v>-136.76818755566956</v>
      </c>
      <c r="F934" s="527">
        <f t="shared" si="147"/>
        <v>263.06471332955232</v>
      </c>
      <c r="G934" s="527">
        <f t="shared" si="148"/>
        <v>-282.29771708343162</v>
      </c>
      <c r="H934" s="527">
        <f t="shared" si="149"/>
        <v>188.75920806541046</v>
      </c>
      <c r="I934" s="527">
        <f t="shared" si="150"/>
        <v>-208.10929475102768</v>
      </c>
      <c r="J934" s="527">
        <f t="shared" si="151"/>
        <v>201.48266019899091</v>
      </c>
      <c r="K934" s="527">
        <f t="shared" si="152"/>
        <v>-217.89243682771212</v>
      </c>
      <c r="L934" s="821">
        <f t="shared" si="153"/>
        <v>0</v>
      </c>
      <c r="M934" s="821">
        <f t="shared" si="154"/>
        <v>0</v>
      </c>
      <c r="N934" s="821">
        <f t="shared" si="155"/>
        <v>0</v>
      </c>
      <c r="O934" s="824">
        <f t="shared" si="156"/>
        <v>0</v>
      </c>
      <c r="V934" s="511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J934" s="143"/>
      <c r="AK934" s="143"/>
      <c r="AL934" s="143"/>
      <c r="AM934" s="143"/>
      <c r="AN934" s="143"/>
      <c r="AO934" s="143"/>
      <c r="AP934" s="143"/>
      <c r="AQ934" s="143"/>
      <c r="AR934" s="143"/>
      <c r="AS934" s="143"/>
      <c r="AT934" s="143"/>
    </row>
    <row r="935" spans="2:46" ht="15" customHeight="1">
      <c r="B935" s="518" t="str">
        <f>+input!B106</f>
        <v>221j</v>
      </c>
      <c r="C935" s="538" t="str">
        <f t="shared" si="144"/>
        <v>Negative</v>
      </c>
      <c r="D935" s="821">
        <f t="shared" si="145"/>
        <v>112.94604805169263</v>
      </c>
      <c r="E935" s="821">
        <f t="shared" si="146"/>
        <v>-109.57970468545533</v>
      </c>
      <c r="F935" s="527">
        <f t="shared" si="147"/>
        <v>216.72440621031046</v>
      </c>
      <c r="G935" s="527">
        <f t="shared" si="148"/>
        <v>-230.8745157813207</v>
      </c>
      <c r="H935" s="527">
        <f t="shared" si="149"/>
        <v>154.76931752084798</v>
      </c>
      <c r="I935" s="527">
        <f t="shared" si="150"/>
        <v>-169.53956521336033</v>
      </c>
      <c r="J935" s="527">
        <f t="shared" si="151"/>
        <v>165.78273111604574</v>
      </c>
      <c r="K935" s="527">
        <f t="shared" si="152"/>
        <v>-178.00784794197131</v>
      </c>
      <c r="L935" s="821">
        <f t="shared" si="153"/>
        <v>0</v>
      </c>
      <c r="M935" s="821">
        <f t="shared" si="154"/>
        <v>0</v>
      </c>
      <c r="N935" s="821">
        <f t="shared" si="155"/>
        <v>0</v>
      </c>
      <c r="O935" s="824">
        <f t="shared" si="156"/>
        <v>0</v>
      </c>
      <c r="V935" s="511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J935" s="143"/>
      <c r="AK935" s="143"/>
      <c r="AL935" s="143"/>
      <c r="AM935" s="143"/>
      <c r="AN935" s="143"/>
      <c r="AO935" s="143"/>
      <c r="AP935" s="143"/>
      <c r="AQ935" s="143"/>
      <c r="AR935" s="143"/>
      <c r="AS935" s="143"/>
      <c r="AT935" s="143"/>
    </row>
    <row r="936" spans="2:46" ht="15" customHeight="1">
      <c r="B936" s="518" t="str">
        <f>+input!B107</f>
        <v>222i</v>
      </c>
      <c r="C936" s="538" t="str">
        <f t="shared" si="144"/>
        <v>Negative</v>
      </c>
      <c r="D936" s="821">
        <f t="shared" si="145"/>
        <v>195.35278334563512</v>
      </c>
      <c r="E936" s="821">
        <f t="shared" si="146"/>
        <v>-135.36679843194219</v>
      </c>
      <c r="F936" s="527">
        <f t="shared" si="147"/>
        <v>366.8336803929522</v>
      </c>
      <c r="G936" s="527">
        <f t="shared" si="148"/>
        <v>-284.21321931981373</v>
      </c>
      <c r="H936" s="527">
        <f t="shared" si="149"/>
        <v>262.94713807122594</v>
      </c>
      <c r="I936" s="527">
        <f t="shared" si="150"/>
        <v>-207.87889225839936</v>
      </c>
      <c r="J936" s="527">
        <f t="shared" si="151"/>
        <v>280.92026726073942</v>
      </c>
      <c r="K936" s="527">
        <f t="shared" si="152"/>
        <v>-218.86455604300957</v>
      </c>
      <c r="L936" s="821">
        <f t="shared" si="153"/>
        <v>0</v>
      </c>
      <c r="M936" s="821">
        <f t="shared" si="154"/>
        <v>0</v>
      </c>
      <c r="N936" s="821">
        <f t="shared" si="155"/>
        <v>0</v>
      </c>
      <c r="O936" s="824">
        <f t="shared" si="156"/>
        <v>0</v>
      </c>
      <c r="V936" s="511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J936" s="143"/>
      <c r="AK936" s="143"/>
      <c r="AL936" s="143"/>
      <c r="AM936" s="143"/>
      <c r="AN936" s="143"/>
      <c r="AO936" s="143"/>
      <c r="AP936" s="143"/>
      <c r="AQ936" s="143"/>
      <c r="AR936" s="143"/>
      <c r="AS936" s="143"/>
      <c r="AT936" s="143"/>
    </row>
    <row r="937" spans="2:46" ht="15" customHeight="1">
      <c r="B937" s="518" t="str">
        <f>+input!B108</f>
        <v>222j</v>
      </c>
      <c r="C937" s="538" t="str">
        <f t="shared" si="144"/>
        <v>Negative</v>
      </c>
      <c r="D937" s="821">
        <f t="shared" si="145"/>
        <v>137.3647933564624</v>
      </c>
      <c r="E937" s="821">
        <f t="shared" si="146"/>
        <v>-95.21203654573894</v>
      </c>
      <c r="F937" s="527">
        <f t="shared" si="147"/>
        <v>272.01900156486721</v>
      </c>
      <c r="G937" s="527">
        <f t="shared" si="148"/>
        <v>-208.40927110272949</v>
      </c>
      <c r="H937" s="527">
        <f t="shared" si="149"/>
        <v>192.6620426756046</v>
      </c>
      <c r="I937" s="527">
        <f t="shared" si="150"/>
        <v>-150.88983750864031</v>
      </c>
      <c r="J937" s="527">
        <f t="shared" si="151"/>
        <v>207.69208070308912</v>
      </c>
      <c r="K937" s="527">
        <f t="shared" si="152"/>
        <v>-160.07660419232874</v>
      </c>
      <c r="L937" s="821">
        <f t="shared" si="153"/>
        <v>0</v>
      </c>
      <c r="M937" s="821">
        <f t="shared" si="154"/>
        <v>0</v>
      </c>
      <c r="N937" s="821">
        <f t="shared" si="155"/>
        <v>0</v>
      </c>
      <c r="O937" s="824">
        <f t="shared" si="156"/>
        <v>0</v>
      </c>
      <c r="V937" s="511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J937" s="143"/>
      <c r="AK937" s="143"/>
      <c r="AL937" s="143"/>
      <c r="AM937" s="143"/>
      <c r="AN937" s="143"/>
      <c r="AO937" s="143"/>
      <c r="AP937" s="143"/>
      <c r="AQ937" s="143"/>
      <c r="AR937" s="143"/>
      <c r="AS937" s="143"/>
      <c r="AT937" s="143"/>
    </row>
    <row r="938" spans="2:46" ht="15" customHeight="1">
      <c r="B938" s="518" t="str">
        <f>+input!B109</f>
        <v>223i</v>
      </c>
      <c r="C938" s="538" t="str">
        <f t="shared" si="144"/>
        <v>Negative</v>
      </c>
      <c r="D938" s="821">
        <f t="shared" si="145"/>
        <v>181.57155154316797</v>
      </c>
      <c r="E938" s="821">
        <f t="shared" si="146"/>
        <v>-153.29990522241755</v>
      </c>
      <c r="F938" s="527">
        <f t="shared" si="147"/>
        <v>352.66868922600082</v>
      </c>
      <c r="G938" s="527">
        <f t="shared" si="148"/>
        <v>-317.30059125976413</v>
      </c>
      <c r="H938" s="527">
        <f t="shared" si="149"/>
        <v>249.99143047847627</v>
      </c>
      <c r="I938" s="527">
        <f t="shared" si="150"/>
        <v>-222.39201350326633</v>
      </c>
      <c r="J938" s="527">
        <f t="shared" si="151"/>
        <v>269.34157948711919</v>
      </c>
      <c r="K938" s="527">
        <f t="shared" si="152"/>
        <v>-241.54382562540451</v>
      </c>
      <c r="L938" s="821">
        <f t="shared" si="153"/>
        <v>0</v>
      </c>
      <c r="M938" s="821">
        <f t="shared" si="154"/>
        <v>0</v>
      </c>
      <c r="N938" s="821">
        <f t="shared" si="155"/>
        <v>0</v>
      </c>
      <c r="O938" s="824">
        <f t="shared" si="156"/>
        <v>0</v>
      </c>
      <c r="V938" s="511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J938" s="143"/>
      <c r="AK938" s="143"/>
      <c r="AL938" s="143"/>
      <c r="AM938" s="143"/>
      <c r="AN938" s="143"/>
      <c r="AO938" s="143"/>
      <c r="AP938" s="143"/>
      <c r="AQ938" s="143"/>
      <c r="AR938" s="143"/>
      <c r="AS938" s="143"/>
      <c r="AT938" s="143"/>
    </row>
    <row r="939" spans="2:46" ht="15" customHeight="1">
      <c r="B939" s="518" t="str">
        <f>+input!B110</f>
        <v>223j</v>
      </c>
      <c r="C939" s="538" t="str">
        <f t="shared" si="144"/>
        <v>Negative</v>
      </c>
      <c r="D939" s="821">
        <f t="shared" si="145"/>
        <v>120.68996500096723</v>
      </c>
      <c r="E939" s="821">
        <f t="shared" si="146"/>
        <v>-101.89790216969337</v>
      </c>
      <c r="F939" s="527">
        <f t="shared" si="147"/>
        <v>256.27830040917894</v>
      </c>
      <c r="G939" s="527">
        <f t="shared" si="148"/>
        <v>-232.62738963594865</v>
      </c>
      <c r="H939" s="527">
        <f t="shared" si="149"/>
        <v>178.16763560812973</v>
      </c>
      <c r="I939" s="527">
        <f t="shared" si="150"/>
        <v>-159.75922612607502</v>
      </c>
      <c r="J939" s="527">
        <f t="shared" si="151"/>
        <v>194.81409347352343</v>
      </c>
      <c r="K939" s="527">
        <f t="shared" si="152"/>
        <v>-176.23505964005523</v>
      </c>
      <c r="L939" s="821">
        <f t="shared" si="153"/>
        <v>0</v>
      </c>
      <c r="M939" s="821">
        <f t="shared" si="154"/>
        <v>0</v>
      </c>
      <c r="N939" s="821">
        <f t="shared" si="155"/>
        <v>0</v>
      </c>
      <c r="O939" s="824">
        <f t="shared" si="156"/>
        <v>0</v>
      </c>
      <c r="V939" s="511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J939" s="143"/>
      <c r="AK939" s="143"/>
      <c r="AL939" s="143"/>
      <c r="AM939" s="143"/>
      <c r="AN939" s="143"/>
      <c r="AO939" s="143"/>
      <c r="AP939" s="143"/>
      <c r="AQ939" s="143"/>
      <c r="AR939" s="143"/>
      <c r="AS939" s="143"/>
      <c r="AT939" s="143"/>
    </row>
    <row r="940" spans="2:46" ht="15" customHeight="1">
      <c r="B940" s="518" t="str">
        <f>+input!B111</f>
        <v>224i</v>
      </c>
      <c r="C940" s="538" t="str">
        <f t="shared" si="144"/>
        <v>Negative</v>
      </c>
      <c r="D940" s="821">
        <f t="shared" si="145"/>
        <v>182.009231211654</v>
      </c>
      <c r="E940" s="821">
        <f t="shared" si="146"/>
        <v>-128.24144547151383</v>
      </c>
      <c r="F940" s="527">
        <f t="shared" si="147"/>
        <v>372.69848047640562</v>
      </c>
      <c r="G940" s="527">
        <f t="shared" si="148"/>
        <v>-288.5594036627179</v>
      </c>
      <c r="H940" s="527">
        <f t="shared" si="149"/>
        <v>260.7287896967041</v>
      </c>
      <c r="I940" s="527">
        <f t="shared" si="150"/>
        <v>-198.63636400296465</v>
      </c>
      <c r="J940" s="527">
        <f t="shared" si="151"/>
        <v>283.81979674310253</v>
      </c>
      <c r="K940" s="527">
        <f t="shared" si="152"/>
        <v>-218.7524986125616</v>
      </c>
      <c r="L940" s="821">
        <f t="shared" si="153"/>
        <v>0</v>
      </c>
      <c r="M940" s="821">
        <f t="shared" si="154"/>
        <v>0</v>
      </c>
      <c r="N940" s="821">
        <f t="shared" si="155"/>
        <v>0</v>
      </c>
      <c r="O940" s="824">
        <f t="shared" si="156"/>
        <v>0</v>
      </c>
      <c r="V940" s="511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J940" s="143"/>
      <c r="AK940" s="143"/>
      <c r="AL940" s="143"/>
      <c r="AM940" s="143"/>
      <c r="AN940" s="143"/>
      <c r="AO940" s="143"/>
      <c r="AP940" s="143"/>
      <c r="AQ940" s="143"/>
      <c r="AR940" s="143"/>
      <c r="AS940" s="143"/>
      <c r="AT940" s="143"/>
    </row>
    <row r="941" spans="2:46" ht="15" customHeight="1">
      <c r="B941" s="518" t="str">
        <f>+input!B112</f>
        <v>224j</v>
      </c>
      <c r="C941" s="538" t="str">
        <f t="shared" si="144"/>
        <v>Negative</v>
      </c>
      <c r="D941" s="821">
        <f t="shared" si="145"/>
        <v>105.10827090920651</v>
      </c>
      <c r="E941" s="821">
        <f t="shared" si="146"/>
        <v>-74.057983227968492</v>
      </c>
      <c r="F941" s="527">
        <f t="shared" si="147"/>
        <v>251.17958705402151</v>
      </c>
      <c r="G941" s="527">
        <f t="shared" si="148"/>
        <v>-198.16048290120509</v>
      </c>
      <c r="H941" s="527">
        <f t="shared" si="149"/>
        <v>170.21561357976407</v>
      </c>
      <c r="I941" s="527">
        <f t="shared" si="150"/>
        <v>-131.9749677572452</v>
      </c>
      <c r="J941" s="527">
        <f t="shared" si="151"/>
        <v>189.84436075048325</v>
      </c>
      <c r="K941" s="527">
        <f t="shared" si="152"/>
        <v>-149.07489412730439</v>
      </c>
      <c r="L941" s="821">
        <f t="shared" si="153"/>
        <v>0</v>
      </c>
      <c r="M941" s="821">
        <f t="shared" si="154"/>
        <v>0</v>
      </c>
      <c r="N941" s="821">
        <f t="shared" si="155"/>
        <v>0</v>
      </c>
      <c r="O941" s="824">
        <f t="shared" si="156"/>
        <v>0</v>
      </c>
      <c r="V941" s="511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J941" s="143"/>
      <c r="AK941" s="143"/>
      <c r="AL941" s="143"/>
      <c r="AM941" s="143"/>
      <c r="AN941" s="143"/>
      <c r="AO941" s="143"/>
      <c r="AP941" s="143"/>
      <c r="AQ941" s="143"/>
      <c r="AR941" s="143"/>
      <c r="AS941" s="143"/>
      <c r="AT941" s="143"/>
    </row>
    <row r="942" spans="2:46" ht="15" customHeight="1">
      <c r="B942" s="518" t="str">
        <f>+input!B113</f>
        <v>225i</v>
      </c>
      <c r="C942" s="538" t="str">
        <f t="shared" si="144"/>
        <v>Negative</v>
      </c>
      <c r="D942" s="821">
        <f t="shared" si="145"/>
        <v>118.80735870848579</v>
      </c>
      <c r="E942" s="821">
        <f t="shared" si="146"/>
        <v>-90.242298949241828</v>
      </c>
      <c r="F942" s="527">
        <f t="shared" si="147"/>
        <v>280.05394753787988</v>
      </c>
      <c r="G942" s="527">
        <f t="shared" si="148"/>
        <v>-239.88218477028124</v>
      </c>
      <c r="H942" s="527">
        <f t="shared" si="149"/>
        <v>190.19492874125564</v>
      </c>
      <c r="I942" s="527">
        <f t="shared" si="150"/>
        <v>-159.91389526694621</v>
      </c>
      <c r="J942" s="527">
        <f t="shared" si="151"/>
        <v>211.79454182966805</v>
      </c>
      <c r="K942" s="527">
        <f t="shared" si="152"/>
        <v>-180.50829666269814</v>
      </c>
      <c r="L942" s="821">
        <f t="shared" si="153"/>
        <v>0</v>
      </c>
      <c r="M942" s="821">
        <f t="shared" si="154"/>
        <v>0</v>
      </c>
      <c r="N942" s="821">
        <f t="shared" si="155"/>
        <v>0</v>
      </c>
      <c r="O942" s="824">
        <f t="shared" si="156"/>
        <v>0</v>
      </c>
      <c r="V942" s="511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J942" s="143"/>
      <c r="AK942" s="143"/>
      <c r="AL942" s="143"/>
      <c r="AM942" s="143"/>
      <c r="AN942" s="143"/>
      <c r="AO942" s="143"/>
      <c r="AP942" s="143"/>
      <c r="AQ942" s="143"/>
      <c r="AR942" s="143"/>
      <c r="AS942" s="143"/>
      <c r="AT942" s="143"/>
    </row>
    <row r="943" spans="2:46" ht="15" customHeight="1">
      <c r="B943" s="518" t="str">
        <f>+input!B114</f>
        <v>225j</v>
      </c>
      <c r="C943" s="538" t="str">
        <f t="shared" si="144"/>
        <v>Negative</v>
      </c>
      <c r="D943" s="821">
        <f t="shared" si="145"/>
        <v>54.732950695055166</v>
      </c>
      <c r="E943" s="821">
        <f t="shared" si="146"/>
        <v>-41.573412225386832</v>
      </c>
      <c r="F943" s="527">
        <f t="shared" si="147"/>
        <v>174.33553176371231</v>
      </c>
      <c r="G943" s="527">
        <f t="shared" si="148"/>
        <v>-154.02726445519136</v>
      </c>
      <c r="H943" s="527">
        <f t="shared" si="149"/>
        <v>112.38428343170011</v>
      </c>
      <c r="I943" s="527">
        <f t="shared" si="150"/>
        <v>-97.506021539576835</v>
      </c>
      <c r="J943" s="527">
        <f t="shared" si="151"/>
        <v>130.28321021273669</v>
      </c>
      <c r="K943" s="527">
        <f t="shared" si="152"/>
        <v>-114.57196069195888</v>
      </c>
      <c r="L943" s="821">
        <f t="shared" si="153"/>
        <v>0</v>
      </c>
      <c r="M943" s="821">
        <f t="shared" si="154"/>
        <v>0</v>
      </c>
      <c r="N943" s="821">
        <f t="shared" si="155"/>
        <v>0</v>
      </c>
      <c r="O943" s="824">
        <f t="shared" si="156"/>
        <v>0</v>
      </c>
      <c r="V943" s="511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J943" s="143"/>
      <c r="AK943" s="143"/>
      <c r="AL943" s="143"/>
      <c r="AM943" s="143"/>
      <c r="AN943" s="143"/>
      <c r="AO943" s="143"/>
      <c r="AP943" s="143"/>
      <c r="AQ943" s="143"/>
      <c r="AR943" s="143"/>
      <c r="AS943" s="143"/>
      <c r="AT943" s="143"/>
    </row>
    <row r="944" spans="2:46" ht="15" customHeight="1">
      <c r="B944" s="518" t="str">
        <f>+input!B115</f>
        <v>226i</v>
      </c>
      <c r="C944" s="538" t="str">
        <f t="shared" si="144"/>
        <v>Negative</v>
      </c>
      <c r="D944" s="821">
        <f t="shared" si="145"/>
        <v>54.732575967539923</v>
      </c>
      <c r="E944" s="821">
        <f t="shared" si="146"/>
        <v>-41.573127594259411</v>
      </c>
      <c r="F944" s="527">
        <f t="shared" si="147"/>
        <v>174.33502316095576</v>
      </c>
      <c r="G944" s="527">
        <f t="shared" si="148"/>
        <v>-154.02686953296538</v>
      </c>
      <c r="H944" s="527">
        <f t="shared" si="149"/>
        <v>112.38389439952704</v>
      </c>
      <c r="I944" s="527">
        <f t="shared" si="150"/>
        <v>-97.505720307275851</v>
      </c>
      <c r="J944" s="527">
        <f t="shared" si="151"/>
        <v>130.28282118056362</v>
      </c>
      <c r="K944" s="527">
        <f t="shared" si="152"/>
        <v>-114.57165945965789</v>
      </c>
      <c r="L944" s="821">
        <f t="shared" si="153"/>
        <v>0</v>
      </c>
      <c r="M944" s="821">
        <f t="shared" si="154"/>
        <v>0</v>
      </c>
      <c r="N944" s="821">
        <f t="shared" si="155"/>
        <v>0</v>
      </c>
      <c r="O944" s="824">
        <f t="shared" si="156"/>
        <v>0</v>
      </c>
      <c r="V944" s="511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J944" s="143"/>
      <c r="AK944" s="143"/>
      <c r="AL944" s="143"/>
      <c r="AM944" s="143"/>
      <c r="AN944" s="143"/>
      <c r="AO944" s="143"/>
      <c r="AP944" s="143"/>
      <c r="AQ944" s="143"/>
      <c r="AR944" s="143"/>
      <c r="AS944" s="143"/>
      <c r="AT944" s="143"/>
    </row>
    <row r="945" spans="2:46" ht="15" customHeight="1">
      <c r="B945" s="518" t="str">
        <f>+input!B116</f>
        <v>226j</v>
      </c>
      <c r="C945" s="538" t="str">
        <f t="shared" si="144"/>
        <v>Negative</v>
      </c>
      <c r="D945" s="821">
        <f t="shared" si="145"/>
        <v>6.3753641260380736</v>
      </c>
      <c r="E945" s="821">
        <f t="shared" si="146"/>
        <v>-4.8425242478781509</v>
      </c>
      <c r="F945" s="527">
        <f t="shared" si="147"/>
        <v>89.215393469320858</v>
      </c>
      <c r="G945" s="527">
        <f t="shared" si="148"/>
        <v>-84.13869233138081</v>
      </c>
      <c r="H945" s="527">
        <f t="shared" si="149"/>
        <v>50.694900074883407</v>
      </c>
      <c r="I945" s="527">
        <f t="shared" si="150"/>
        <v>-47.575149790993386</v>
      </c>
      <c r="J945" s="527">
        <f t="shared" si="151"/>
        <v>64.901929260014072</v>
      </c>
      <c r="K945" s="527">
        <f t="shared" si="152"/>
        <v>-61.121006398800262</v>
      </c>
      <c r="L945" s="821">
        <f t="shared" si="153"/>
        <v>0</v>
      </c>
      <c r="M945" s="821">
        <f t="shared" si="154"/>
        <v>0</v>
      </c>
      <c r="N945" s="821">
        <f t="shared" si="155"/>
        <v>0</v>
      </c>
      <c r="O945" s="824">
        <f t="shared" si="156"/>
        <v>0</v>
      </c>
      <c r="V945" s="511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J945" s="143"/>
      <c r="AK945" s="143"/>
      <c r="AL945" s="143"/>
      <c r="AM945" s="143"/>
      <c r="AN945" s="143"/>
      <c r="AO945" s="143"/>
      <c r="AP945" s="143"/>
      <c r="AQ945" s="143"/>
      <c r="AR945" s="143"/>
      <c r="AS945" s="143"/>
      <c r="AT945" s="143"/>
    </row>
    <row r="946" spans="2:46" ht="15" customHeight="1">
      <c r="B946" s="518" t="str">
        <f>+input!B117</f>
        <v>227i</v>
      </c>
      <c r="C946" s="538" t="str">
        <f t="shared" si="144"/>
        <v>Negative</v>
      </c>
      <c r="D946" s="821">
        <f t="shared" si="145"/>
        <v>6.833395799993057</v>
      </c>
      <c r="E946" s="821">
        <f t="shared" si="146"/>
        <v>-6.5311181896425641</v>
      </c>
      <c r="F946" s="527">
        <f t="shared" si="147"/>
        <v>94.84783109611071</v>
      </c>
      <c r="G946" s="527">
        <f t="shared" si="148"/>
        <v>-112.86224189825509</v>
      </c>
      <c r="H946" s="527">
        <f t="shared" si="149"/>
        <v>53.906795429337201</v>
      </c>
      <c r="I946" s="527">
        <f t="shared" si="150"/>
        <v>-63.823697603336889</v>
      </c>
      <c r="J946" s="527">
        <f t="shared" si="151"/>
        <v>69.003563335386318</v>
      </c>
      <c r="K946" s="527">
        <f t="shared" si="152"/>
        <v>-81.989362848164561</v>
      </c>
      <c r="L946" s="821">
        <f t="shared" si="153"/>
        <v>0</v>
      </c>
      <c r="M946" s="821">
        <f t="shared" si="154"/>
        <v>0</v>
      </c>
      <c r="N946" s="821">
        <f t="shared" si="155"/>
        <v>0</v>
      </c>
      <c r="O946" s="824">
        <f t="shared" si="156"/>
        <v>0</v>
      </c>
      <c r="V946" s="511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  <c r="AT946" s="143"/>
    </row>
    <row r="947" spans="2:46" s="73" customFormat="1" ht="15" customHeight="1">
      <c r="B947" s="533" t="str">
        <f>+input!B118</f>
        <v>227j</v>
      </c>
      <c r="C947" s="538" t="str">
        <f t="shared" si="144"/>
        <v>Positive</v>
      </c>
      <c r="D947" s="821">
        <f t="shared" si="145"/>
        <v>-22.047444610075363</v>
      </c>
      <c r="E947" s="821">
        <f t="shared" si="146"/>
        <v>21.072168324882696</v>
      </c>
      <c r="F947" s="527">
        <f t="shared" si="147"/>
        <v>-42.42555144158883</v>
      </c>
      <c r="G947" s="527">
        <f t="shared" si="148"/>
        <v>141.75630845906716</v>
      </c>
      <c r="H947" s="527">
        <f t="shared" si="149"/>
        <v>-29.565720111589158</v>
      </c>
      <c r="I947" s="527">
        <f t="shared" si="150"/>
        <v>85.476230589307733</v>
      </c>
      <c r="J947" s="527">
        <f t="shared" si="151"/>
        <v>-32.387219815301087</v>
      </c>
      <c r="K947" s="527">
        <f t="shared" si="152"/>
        <v>104.10075089886514</v>
      </c>
      <c r="L947" s="821">
        <f t="shared" si="153"/>
        <v>0</v>
      </c>
      <c r="M947" s="821">
        <f t="shared" si="154"/>
        <v>0</v>
      </c>
      <c r="N947" s="821">
        <f t="shared" si="155"/>
        <v>0</v>
      </c>
      <c r="O947" s="824">
        <f t="shared" si="156"/>
        <v>0</v>
      </c>
      <c r="V947" s="511"/>
    </row>
    <row r="948" spans="2:46" s="73" customFormat="1" ht="15" customHeight="1">
      <c r="B948" s="533" t="str">
        <f>+input!B119</f>
        <v>228i</v>
      </c>
      <c r="C948" s="538" t="str">
        <f t="shared" si="144"/>
        <v>Positive</v>
      </c>
      <c r="D948" s="821">
        <f t="shared" si="145"/>
        <v>-22.047310729551867</v>
      </c>
      <c r="E948" s="821">
        <f t="shared" si="146"/>
        <v>21.587634893821242</v>
      </c>
      <c r="F948" s="527">
        <f t="shared" si="147"/>
        <v>-42.425417561065331</v>
      </c>
      <c r="G948" s="527">
        <f t="shared" si="148"/>
        <v>142.27177502800569</v>
      </c>
      <c r="H948" s="527">
        <f t="shared" si="149"/>
        <v>-29.565613007170359</v>
      </c>
      <c r="I948" s="527">
        <f t="shared" si="150"/>
        <v>85.888603844458586</v>
      </c>
      <c r="J948" s="527">
        <f t="shared" si="151"/>
        <v>-32.387112710882292</v>
      </c>
      <c r="K948" s="527">
        <f t="shared" si="152"/>
        <v>104.513124154016</v>
      </c>
      <c r="L948" s="821">
        <f t="shared" si="153"/>
        <v>0</v>
      </c>
      <c r="M948" s="821">
        <f t="shared" si="154"/>
        <v>0</v>
      </c>
      <c r="N948" s="821">
        <f t="shared" si="155"/>
        <v>0</v>
      </c>
      <c r="O948" s="824">
        <f t="shared" si="156"/>
        <v>0</v>
      </c>
      <c r="V948" s="511"/>
    </row>
    <row r="949" spans="2:46" ht="15" customHeight="1">
      <c r="B949" s="518" t="str">
        <f>+input!B120</f>
        <v>228j</v>
      </c>
      <c r="C949" s="538" t="str">
        <f t="shared" si="144"/>
        <v>Positive</v>
      </c>
      <c r="D949" s="821">
        <f t="shared" si="145"/>
        <v>-34.662738578487932</v>
      </c>
      <c r="E949" s="821">
        <f t="shared" si="146"/>
        <v>33.129420431495802</v>
      </c>
      <c r="F949" s="527">
        <f t="shared" si="147"/>
        <v>-52.477703845585204</v>
      </c>
      <c r="G949" s="527">
        <f t="shared" si="148"/>
        <v>133.14569328949204</v>
      </c>
      <c r="H949" s="527">
        <f t="shared" si="149"/>
        <v>-38.401253212366051</v>
      </c>
      <c r="I949" s="527">
        <f t="shared" si="150"/>
        <v>84.073286924360787</v>
      </c>
      <c r="J949" s="527">
        <f t="shared" si="151"/>
        <v>-40.639747225612396</v>
      </c>
      <c r="K949" s="527">
        <f t="shared" si="152"/>
        <v>98.849427838953531</v>
      </c>
      <c r="L949" s="821">
        <f t="shared" si="153"/>
        <v>0</v>
      </c>
      <c r="M949" s="821">
        <f t="shared" si="154"/>
        <v>0</v>
      </c>
      <c r="N949" s="821">
        <f t="shared" si="155"/>
        <v>0</v>
      </c>
      <c r="O949" s="824">
        <f t="shared" si="156"/>
        <v>0</v>
      </c>
      <c r="V949" s="511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J949" s="143"/>
      <c r="AK949" s="143"/>
      <c r="AL949" s="143"/>
      <c r="AM949" s="143"/>
      <c r="AN949" s="143"/>
      <c r="AO949" s="143"/>
      <c r="AP949" s="143"/>
      <c r="AQ949" s="143"/>
      <c r="AR949" s="143"/>
      <c r="AS949" s="143"/>
      <c r="AT949" s="143"/>
    </row>
    <row r="950" spans="2:46" ht="15" customHeight="1">
      <c r="B950" s="518" t="str">
        <f>+input!B121</f>
        <v>229i</v>
      </c>
      <c r="C950" s="538" t="str">
        <f t="shared" si="144"/>
        <v>Positive</v>
      </c>
      <c r="D950" s="821">
        <f t="shared" si="145"/>
        <v>-34.662738578487932</v>
      </c>
      <c r="E950" s="821">
        <f t="shared" si="146"/>
        <v>33.129420431495802</v>
      </c>
      <c r="F950" s="527">
        <f t="shared" si="147"/>
        <v>-52.477703845585204</v>
      </c>
      <c r="G950" s="527">
        <f t="shared" si="148"/>
        <v>133.14569328949204</v>
      </c>
      <c r="H950" s="527">
        <f t="shared" si="149"/>
        <v>-38.401253212366051</v>
      </c>
      <c r="I950" s="527">
        <f t="shared" si="150"/>
        <v>84.073286924360787</v>
      </c>
      <c r="J950" s="527">
        <f t="shared" si="151"/>
        <v>-40.639747225612396</v>
      </c>
      <c r="K950" s="527">
        <f t="shared" si="152"/>
        <v>98.849427838953531</v>
      </c>
      <c r="L950" s="821">
        <f t="shared" si="153"/>
        <v>0</v>
      </c>
      <c r="M950" s="821">
        <f t="shared" si="154"/>
        <v>0</v>
      </c>
      <c r="N950" s="821">
        <f t="shared" si="155"/>
        <v>0</v>
      </c>
      <c r="O950" s="824">
        <f t="shared" si="156"/>
        <v>0</v>
      </c>
      <c r="V950" s="511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J950" s="143"/>
      <c r="AK950" s="143"/>
      <c r="AL950" s="143"/>
      <c r="AM950" s="143"/>
      <c r="AN950" s="143"/>
      <c r="AO950" s="143"/>
      <c r="AP950" s="143"/>
      <c r="AQ950" s="143"/>
      <c r="AR950" s="143"/>
      <c r="AS950" s="143"/>
      <c r="AT950" s="143"/>
    </row>
    <row r="951" spans="2:46" ht="15" customHeight="1">
      <c r="B951" s="518" t="str">
        <f>+input!B122</f>
        <v>229j</v>
      </c>
      <c r="C951" s="538" t="str">
        <f t="shared" si="144"/>
        <v>Positive</v>
      </c>
      <c r="D951" s="821">
        <f t="shared" si="145"/>
        <v>-17.595247801063607</v>
      </c>
      <c r="E951" s="821">
        <f t="shared" si="146"/>
        <v>16.816915970960096</v>
      </c>
      <c r="F951" s="527">
        <f t="shared" si="147"/>
        <v>-24.577049413454439</v>
      </c>
      <c r="G951" s="527">
        <f t="shared" si="148"/>
        <v>54.964054297026181</v>
      </c>
      <c r="H951" s="527">
        <f t="shared" si="149"/>
        <v>-18.30234828662854</v>
      </c>
      <c r="I951" s="527">
        <f t="shared" si="150"/>
        <v>35.546464684394039</v>
      </c>
      <c r="J951" s="527">
        <f t="shared" si="151"/>
        <v>-19.135990291162116</v>
      </c>
      <c r="K951" s="527">
        <f t="shared" si="152"/>
        <v>41.049276690331745</v>
      </c>
      <c r="L951" s="821">
        <f t="shared" si="153"/>
        <v>0</v>
      </c>
      <c r="M951" s="821">
        <f t="shared" si="154"/>
        <v>0</v>
      </c>
      <c r="N951" s="821">
        <f t="shared" si="155"/>
        <v>0</v>
      </c>
      <c r="O951" s="824">
        <f t="shared" si="156"/>
        <v>0</v>
      </c>
      <c r="V951" s="511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J951" s="143"/>
      <c r="AK951" s="143"/>
      <c r="AL951" s="143"/>
      <c r="AM951" s="143"/>
      <c r="AN951" s="143"/>
      <c r="AO951" s="143"/>
      <c r="AP951" s="143"/>
      <c r="AQ951" s="143"/>
      <c r="AR951" s="143"/>
      <c r="AS951" s="143"/>
      <c r="AT951" s="143"/>
    </row>
    <row r="952" spans="2:46" ht="15" customHeight="1">
      <c r="B952" s="518" t="str">
        <f>+input!B123</f>
        <v>230i</v>
      </c>
      <c r="C952" s="538" t="str">
        <f t="shared" si="144"/>
        <v>Positive</v>
      </c>
      <c r="D952" s="821">
        <f t="shared" si="145"/>
        <v>-19.436278645970077</v>
      </c>
      <c r="E952" s="821">
        <f t="shared" si="146"/>
        <v>18.545202789830768</v>
      </c>
      <c r="F952" s="527">
        <f t="shared" si="147"/>
        <v>-26.795991787166805</v>
      </c>
      <c r="G952" s="527">
        <f t="shared" si="148"/>
        <v>60.74586084568152</v>
      </c>
      <c r="H952" s="527">
        <f t="shared" si="149"/>
        <v>-20.010364166765818</v>
      </c>
      <c r="I952" s="527">
        <f t="shared" si="150"/>
        <v>39.274891558061242</v>
      </c>
      <c r="J952" s="527">
        <f t="shared" si="151"/>
        <v>-20.883013903214064</v>
      </c>
      <c r="K952" s="527">
        <f t="shared" si="152"/>
        <v>45.364143300463674</v>
      </c>
      <c r="L952" s="821">
        <f t="shared" si="153"/>
        <v>0</v>
      </c>
      <c r="M952" s="821">
        <f t="shared" si="154"/>
        <v>0</v>
      </c>
      <c r="N952" s="821">
        <f t="shared" si="155"/>
        <v>0</v>
      </c>
      <c r="O952" s="824">
        <f t="shared" si="156"/>
        <v>0</v>
      </c>
      <c r="V952" s="511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J952" s="143"/>
      <c r="AK952" s="143"/>
      <c r="AL952" s="143"/>
      <c r="AM952" s="143"/>
      <c r="AN952" s="143"/>
      <c r="AO952" s="143"/>
      <c r="AP952" s="143"/>
      <c r="AQ952" s="143"/>
      <c r="AR952" s="143"/>
      <c r="AS952" s="143"/>
      <c r="AT952" s="143"/>
    </row>
    <row r="953" spans="2:46" ht="15" customHeight="1">
      <c r="B953" s="518" t="str">
        <f>+input!B124</f>
        <v>230j</v>
      </c>
      <c r="C953" s="538" t="str">
        <f t="shared" si="144"/>
        <v>Negative</v>
      </c>
      <c r="D953" s="821">
        <f t="shared" si="145"/>
        <v>0.15794638417561513</v>
      </c>
      <c r="E953" s="821">
        <f t="shared" si="146"/>
        <v>-0.15070517241553488</v>
      </c>
      <c r="F953" s="527">
        <f t="shared" si="147"/>
        <v>2.3702240383015867</v>
      </c>
      <c r="G953" s="527">
        <f t="shared" si="148"/>
        <v>-2.8313592279716882</v>
      </c>
      <c r="H953" s="527">
        <f t="shared" si="149"/>
        <v>1.3613012667449118</v>
      </c>
      <c r="I953" s="527">
        <f t="shared" si="150"/>
        <v>-1.6159546705187162</v>
      </c>
      <c r="J953" s="527">
        <f t="shared" si="151"/>
        <v>1.7243329870652897</v>
      </c>
      <c r="K953" s="527">
        <f t="shared" si="152"/>
        <v>-2.0568207004440779</v>
      </c>
      <c r="L953" s="821">
        <f t="shared" si="153"/>
        <v>0</v>
      </c>
      <c r="M953" s="821">
        <f t="shared" si="154"/>
        <v>0</v>
      </c>
      <c r="N953" s="821">
        <f t="shared" si="155"/>
        <v>0</v>
      </c>
      <c r="O953" s="824">
        <f t="shared" si="156"/>
        <v>0</v>
      </c>
      <c r="V953" s="511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J953" s="143"/>
      <c r="AK953" s="143"/>
      <c r="AL953" s="143"/>
      <c r="AM953" s="143"/>
      <c r="AN953" s="143"/>
      <c r="AO953" s="143"/>
      <c r="AP953" s="143"/>
      <c r="AQ953" s="143"/>
      <c r="AR953" s="143"/>
      <c r="AS953" s="143"/>
      <c r="AT953" s="143"/>
    </row>
    <row r="954" spans="2:46" ht="15" customHeight="1">
      <c r="B954" s="518" t="str">
        <f>+input!B125</f>
        <v>231i</v>
      </c>
      <c r="C954" s="538" t="str">
        <f t="shared" si="144"/>
        <v>Negative</v>
      </c>
      <c r="D954" s="821">
        <f t="shared" si="145"/>
        <v>0.15839005379408594</v>
      </c>
      <c r="E954" s="821">
        <f t="shared" si="146"/>
        <v>-0.15112850155153357</v>
      </c>
      <c r="F954" s="527">
        <f t="shared" si="147"/>
        <v>2.3709559174928789</v>
      </c>
      <c r="G954" s="527">
        <f t="shared" si="148"/>
        <v>-2.8320823546757454</v>
      </c>
      <c r="H954" s="527">
        <f t="shared" si="149"/>
        <v>1.3618658094017404</v>
      </c>
      <c r="I954" s="527">
        <f t="shared" si="150"/>
        <v>-1.6165113684224668</v>
      </c>
      <c r="J954" s="527">
        <f t="shared" si="151"/>
        <v>1.7248975297221183</v>
      </c>
      <c r="K954" s="527">
        <f t="shared" si="152"/>
        <v>-2.0573773983478283</v>
      </c>
      <c r="L954" s="821">
        <f t="shared" si="153"/>
        <v>0</v>
      </c>
      <c r="M954" s="821">
        <f t="shared" si="154"/>
        <v>0</v>
      </c>
      <c r="N954" s="821">
        <f t="shared" si="155"/>
        <v>0</v>
      </c>
      <c r="O954" s="824">
        <f t="shared" si="156"/>
        <v>0</v>
      </c>
      <c r="V954" s="511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  <c r="AT954" s="143"/>
    </row>
    <row r="955" spans="2:46" ht="15" customHeight="1" thickBot="1">
      <c r="B955" s="925" t="str">
        <f>+input!B126</f>
        <v>231j</v>
      </c>
      <c r="C955" s="926" t="str">
        <f t="shared" si="144"/>
        <v>Negative</v>
      </c>
      <c r="D955" s="927">
        <f t="shared" si="145"/>
        <v>1.4788987282360967E-4</v>
      </c>
      <c r="E955" s="927">
        <f t="shared" si="146"/>
        <v>-1.4110971199956452E-4</v>
      </c>
      <c r="F955" s="920">
        <f t="shared" si="147"/>
        <v>1.4788987282360967E-4</v>
      </c>
      <c r="G955" s="920">
        <f t="shared" si="148"/>
        <v>-1.4110971199956452E-4</v>
      </c>
      <c r="H955" s="920">
        <f t="shared" si="149"/>
        <v>1.1831189825888774E-4</v>
      </c>
      <c r="I955" s="920">
        <f t="shared" si="150"/>
        <v>-1.1288776959965162E-4</v>
      </c>
      <c r="J955" s="920">
        <f t="shared" si="151"/>
        <v>1.1831189825888774E-4</v>
      </c>
      <c r="K955" s="920">
        <f t="shared" si="152"/>
        <v>-1.1288776959965162E-4</v>
      </c>
      <c r="L955" s="927">
        <f t="shared" si="153"/>
        <v>0</v>
      </c>
      <c r="M955" s="927">
        <f t="shared" si="154"/>
        <v>0</v>
      </c>
      <c r="N955" s="927">
        <f t="shared" si="155"/>
        <v>0</v>
      </c>
      <c r="O955" s="923">
        <f t="shared" si="156"/>
        <v>0</v>
      </c>
      <c r="V955" s="511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J955" s="143"/>
      <c r="AK955" s="143"/>
      <c r="AL955" s="143"/>
      <c r="AM955" s="143"/>
      <c r="AN955" s="143"/>
      <c r="AO955" s="143"/>
      <c r="AP955" s="143"/>
      <c r="AQ955" s="143"/>
      <c r="AR955" s="143"/>
      <c r="AS955" s="143"/>
      <c r="AT955" s="143"/>
    </row>
    <row r="956" spans="2:46" ht="15" customHeight="1">
      <c r="X956" s="339"/>
      <c r="Z956" s="339"/>
    </row>
  </sheetData>
  <mergeCells count="65">
    <mergeCell ref="J47:K47"/>
    <mergeCell ref="L47:M47"/>
    <mergeCell ref="L176:M176"/>
    <mergeCell ref="L305:M305"/>
    <mergeCell ref="D46:M46"/>
    <mergeCell ref="D175:M175"/>
    <mergeCell ref="J176:K176"/>
    <mergeCell ref="D304:M304"/>
    <mergeCell ref="J305:K305"/>
    <mergeCell ref="N830:O830"/>
    <mergeCell ref="F695:G695"/>
    <mergeCell ref="H695:I695"/>
    <mergeCell ref="J695:K695"/>
    <mergeCell ref="L695:M695"/>
    <mergeCell ref="D830:E830"/>
    <mergeCell ref="F830:G830"/>
    <mergeCell ref="H830:I830"/>
    <mergeCell ref="J830:K830"/>
    <mergeCell ref="L830:M830"/>
    <mergeCell ref="N565:O565"/>
    <mergeCell ref="B694:C694"/>
    <mergeCell ref="D694:E694"/>
    <mergeCell ref="F694:G694"/>
    <mergeCell ref="H694:I694"/>
    <mergeCell ref="J694:M694"/>
    <mergeCell ref="F565:G565"/>
    <mergeCell ref="H565:I565"/>
    <mergeCell ref="J565:K565"/>
    <mergeCell ref="L565:M565"/>
    <mergeCell ref="L434:M434"/>
    <mergeCell ref="N434:O434"/>
    <mergeCell ref="H434:I434"/>
    <mergeCell ref="F434:G434"/>
    <mergeCell ref="L564:O564"/>
    <mergeCell ref="J564:K564"/>
    <mergeCell ref="H564:I564"/>
    <mergeCell ref="F564:G564"/>
    <mergeCell ref="F435:G435"/>
    <mergeCell ref="H435:I435"/>
    <mergeCell ref="J435:K435"/>
    <mergeCell ref="L435:M435"/>
    <mergeCell ref="N435:O435"/>
    <mergeCell ref="J434:K434"/>
    <mergeCell ref="A694:A696"/>
    <mergeCell ref="D23:E24"/>
    <mergeCell ref="D25:E26"/>
    <mergeCell ref="D27:E28"/>
    <mergeCell ref="A564:A566"/>
    <mergeCell ref="D435:E435"/>
    <mergeCell ref="D434:E434"/>
    <mergeCell ref="D564:E564"/>
    <mergeCell ref="B564:C564"/>
    <mergeCell ref="B565:C565"/>
    <mergeCell ref="D565:E565"/>
    <mergeCell ref="B695:C695"/>
    <mergeCell ref="D695:E695"/>
    <mergeCell ref="K21:K22"/>
    <mergeCell ref="L21:L22"/>
    <mergeCell ref="M21:M22"/>
    <mergeCell ref="N21:N22"/>
    <mergeCell ref="D21:F22"/>
    <mergeCell ref="G21:G22"/>
    <mergeCell ref="H21:H22"/>
    <mergeCell ref="I21:I22"/>
    <mergeCell ref="J21:J22"/>
  </mergeCells>
  <phoneticPr fontId="51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rowBreaks count="8" manualBreakCount="8">
    <brk id="43" max="14" man="1"/>
    <brk id="173" max="14" man="1"/>
    <brk id="302" max="14" man="1"/>
    <brk id="432" max="14" man="1"/>
    <brk id="562" max="14" man="1"/>
    <brk id="692" max="14" man="1"/>
    <brk id="821" max="14" man="1"/>
    <brk id="958" max="1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AS1063"/>
  <sheetViews>
    <sheetView showGridLines="0" view="pageBreakPreview" topLeftCell="A882" zoomScale="106" zoomScaleNormal="112" zoomScaleSheetLayoutView="106" workbookViewId="0">
      <selection activeCell="I904" sqref="I904"/>
    </sheetView>
  </sheetViews>
  <sheetFormatPr defaultColWidth="9.77734375" defaultRowHeight="15" customHeight="1"/>
  <cols>
    <col min="1" max="1" width="3.77734375" style="143" customWidth="1"/>
    <col min="2" max="11" width="5.5546875" style="143" customWidth="1"/>
    <col min="12" max="12" width="5.5546875" style="190" customWidth="1"/>
    <col min="13" max="15" width="5.5546875" style="143" customWidth="1"/>
    <col min="16" max="16" width="4.77734375" style="143" customWidth="1"/>
    <col min="17" max="24" width="5.77734375" style="143" customWidth="1"/>
    <col min="25" max="25" width="5.77734375" style="190" customWidth="1"/>
    <col min="26" max="27" width="5.77734375" style="143" customWidth="1"/>
    <col min="28" max="28" width="5.77734375" style="73" customWidth="1"/>
    <col min="29" max="29" width="5.77734375" style="143" customWidth="1"/>
    <col min="30" max="30" width="5.77734375" style="463" customWidth="1"/>
    <col min="31" max="31" width="5.77734375" style="73" customWidth="1"/>
    <col min="32" max="32" width="5.77734375" style="463" customWidth="1"/>
    <col min="33" max="45" width="5.77734375" style="73" customWidth="1"/>
    <col min="46" max="75" width="5.77734375" style="143" customWidth="1"/>
    <col min="76" max="16384" width="9.77734375" style="143"/>
  </cols>
  <sheetData>
    <row r="1" spans="1:39" ht="21.75" customHeight="1" thickBot="1">
      <c r="A1" s="82" t="s">
        <v>320</v>
      </c>
      <c r="B1" s="83" t="s">
        <v>353</v>
      </c>
      <c r="C1" s="83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D1" s="73"/>
      <c r="AF1" s="73"/>
    </row>
    <row r="2" spans="1:39" ht="14.25" customHeight="1" thickTop="1">
      <c r="A2" s="159"/>
      <c r="B2" s="160"/>
      <c r="C2" s="16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D2" s="73"/>
      <c r="AF2" s="73"/>
    </row>
    <row r="3" spans="1:39" ht="15" customHeight="1">
      <c r="A3" s="133" t="s">
        <v>354</v>
      </c>
      <c r="O3" s="137" t="s">
        <v>104</v>
      </c>
      <c r="AM3" s="76"/>
    </row>
    <row r="4" spans="1:39" ht="15" customHeight="1">
      <c r="A4" s="139"/>
      <c r="B4" s="170"/>
      <c r="C4" s="170"/>
      <c r="D4" s="170"/>
      <c r="E4" s="170"/>
      <c r="F4" s="89"/>
      <c r="G4" s="63"/>
      <c r="H4" s="170"/>
      <c r="I4" s="170"/>
      <c r="J4" s="170"/>
      <c r="AJ4" s="505"/>
      <c r="AM4" s="76"/>
    </row>
    <row r="5" spans="1:39" ht="15" customHeight="1" thickBot="1">
      <c r="A5" s="133"/>
      <c r="C5" s="64" t="s">
        <v>121</v>
      </c>
      <c r="D5" s="170"/>
      <c r="E5" s="170"/>
      <c r="F5" s="170"/>
      <c r="G5" s="170"/>
      <c r="H5" s="170"/>
      <c r="I5" s="170"/>
      <c r="J5" s="170"/>
      <c r="K5" s="170"/>
      <c r="L5" s="189"/>
      <c r="M5" s="170"/>
      <c r="N5" s="170"/>
      <c r="O5" s="170"/>
      <c r="P5" s="170"/>
      <c r="Q5" s="170"/>
      <c r="R5" s="170"/>
      <c r="S5" s="170"/>
      <c r="T5" s="170"/>
      <c r="U5" s="170"/>
      <c r="W5" s="170"/>
      <c r="X5" s="170"/>
      <c r="Y5" s="189"/>
      <c r="Z5" s="170"/>
      <c r="AA5" s="170"/>
      <c r="AJ5" s="505"/>
      <c r="AM5" s="76"/>
    </row>
    <row r="6" spans="1:39" ht="15" customHeight="1">
      <c r="A6" s="133"/>
      <c r="C6" s="35" t="s">
        <v>141</v>
      </c>
      <c r="D6" s="36"/>
      <c r="E6" s="36"/>
      <c r="F6" s="36"/>
      <c r="G6" s="36"/>
      <c r="H6" s="36"/>
      <c r="I6" s="36"/>
      <c r="J6" s="36"/>
      <c r="K6" s="36"/>
      <c r="L6" s="36"/>
      <c r="M6" s="43"/>
      <c r="W6" s="170"/>
      <c r="X6" s="170"/>
      <c r="Y6" s="189"/>
      <c r="Z6" s="170"/>
      <c r="AA6" s="170"/>
      <c r="AJ6" s="505"/>
      <c r="AM6" s="76"/>
    </row>
    <row r="7" spans="1:39" ht="15" customHeight="1">
      <c r="A7" s="133"/>
      <c r="C7" s="225"/>
      <c r="D7" s="9"/>
      <c r="E7" s="9"/>
      <c r="F7" s="9"/>
      <c r="G7" s="33" t="s">
        <v>170</v>
      </c>
      <c r="H7" s="9"/>
      <c r="I7" s="9"/>
      <c r="J7" s="9"/>
      <c r="K7" s="198"/>
      <c r="L7" s="9"/>
      <c r="M7" s="38" t="s">
        <v>161</v>
      </c>
      <c r="W7" s="170"/>
      <c r="X7" s="170"/>
      <c r="Y7" s="189"/>
      <c r="Z7" s="170"/>
      <c r="AA7" s="170"/>
      <c r="AJ7" s="505"/>
      <c r="AM7" s="76"/>
    </row>
    <row r="8" spans="1:39" ht="15" customHeight="1">
      <c r="A8" s="133"/>
      <c r="C8" s="226"/>
      <c r="D8" s="11"/>
      <c r="E8" s="11"/>
      <c r="F8" s="11"/>
      <c r="G8" s="34"/>
      <c r="H8" s="11"/>
      <c r="I8" s="11"/>
      <c r="J8" s="11"/>
      <c r="K8" s="11"/>
      <c r="L8" s="11"/>
      <c r="M8" s="227"/>
      <c r="W8" s="170"/>
      <c r="X8" s="170"/>
      <c r="Y8" s="189"/>
      <c r="Z8" s="170"/>
      <c r="AA8" s="170"/>
      <c r="AJ8" s="505"/>
      <c r="AM8" s="76"/>
    </row>
    <row r="9" spans="1:39" ht="15" customHeight="1">
      <c r="A9" s="133"/>
      <c r="C9" s="71" t="s">
        <v>118</v>
      </c>
      <c r="D9" s="9"/>
      <c r="E9" s="9"/>
      <c r="F9" s="9"/>
      <c r="G9" s="62"/>
      <c r="H9" s="9"/>
      <c r="I9" s="9"/>
      <c r="J9" s="9"/>
      <c r="K9" s="198"/>
      <c r="L9" s="9"/>
      <c r="M9" s="228"/>
      <c r="W9" s="170"/>
      <c r="X9" s="170"/>
      <c r="Y9" s="189"/>
      <c r="Z9" s="170"/>
      <c r="AA9" s="170"/>
      <c r="AJ9" s="505"/>
      <c r="AM9" s="76"/>
    </row>
    <row r="10" spans="1:39" ht="15" customHeight="1">
      <c r="A10" s="133"/>
      <c r="C10" s="229" t="s">
        <v>215</v>
      </c>
      <c r="D10" s="9"/>
      <c r="E10" s="9"/>
      <c r="F10" s="9"/>
      <c r="G10" s="33" t="s">
        <v>1665</v>
      </c>
      <c r="H10" s="9"/>
      <c r="I10" s="9"/>
      <c r="J10" s="9"/>
      <c r="K10" s="198"/>
      <c r="L10" s="9"/>
      <c r="M10" s="38" t="s">
        <v>162</v>
      </c>
      <c r="W10" s="170"/>
      <c r="X10" s="170"/>
      <c r="Y10" s="189"/>
      <c r="Z10" s="170"/>
      <c r="AA10" s="170"/>
      <c r="AJ10" s="505"/>
      <c r="AM10" s="76"/>
    </row>
    <row r="11" spans="1:39" ht="15" customHeight="1">
      <c r="A11" s="133"/>
      <c r="C11" s="37"/>
      <c r="D11" s="9"/>
      <c r="E11" s="9"/>
      <c r="F11" s="9"/>
      <c r="G11" s="33" t="s">
        <v>1666</v>
      </c>
      <c r="H11" s="9"/>
      <c r="I11" s="9"/>
      <c r="J11" s="9"/>
      <c r="K11" s="198"/>
      <c r="L11" s="9"/>
      <c r="M11" s="38" t="s">
        <v>163</v>
      </c>
      <c r="W11" s="170"/>
      <c r="X11" s="170"/>
      <c r="Y11" s="189"/>
      <c r="Z11" s="170"/>
      <c r="AA11" s="170"/>
      <c r="AJ11" s="505"/>
      <c r="AM11" s="76"/>
    </row>
    <row r="12" spans="1:39" ht="15" customHeight="1">
      <c r="A12" s="133"/>
      <c r="C12" s="37"/>
      <c r="D12" s="31" t="s">
        <v>437</v>
      </c>
      <c r="E12" s="198"/>
      <c r="F12" s="198"/>
      <c r="G12" s="33" t="s">
        <v>1667</v>
      </c>
      <c r="H12" s="9"/>
      <c r="I12" s="9"/>
      <c r="J12" s="9"/>
      <c r="K12" s="198"/>
      <c r="L12" s="9"/>
      <c r="M12" s="38" t="s">
        <v>164</v>
      </c>
      <c r="W12" s="170"/>
      <c r="X12" s="170"/>
      <c r="Y12" s="189"/>
      <c r="Z12" s="170"/>
      <c r="AA12" s="170"/>
      <c r="AJ12" s="505"/>
      <c r="AM12" s="76"/>
    </row>
    <row r="13" spans="1:39" ht="15" customHeight="1">
      <c r="A13" s="133"/>
      <c r="C13" s="230"/>
      <c r="D13" s="9"/>
      <c r="E13" s="9"/>
      <c r="F13" s="198"/>
      <c r="G13" s="33"/>
      <c r="H13" s="9"/>
      <c r="I13" s="9"/>
      <c r="J13" s="9"/>
      <c r="K13" s="198"/>
      <c r="L13" s="9"/>
      <c r="M13" s="228"/>
      <c r="W13" s="170"/>
      <c r="X13" s="170"/>
      <c r="Y13" s="189"/>
      <c r="Z13" s="170"/>
      <c r="AA13" s="170"/>
      <c r="AJ13" s="505"/>
      <c r="AM13" s="76"/>
    </row>
    <row r="14" spans="1:39" ht="15" customHeight="1">
      <c r="A14" s="133"/>
      <c r="C14" s="229" t="s">
        <v>216</v>
      </c>
      <c r="D14" s="9"/>
      <c r="E14" s="31"/>
      <c r="F14" s="198"/>
      <c r="G14" s="33" t="s">
        <v>1668</v>
      </c>
      <c r="H14" s="9"/>
      <c r="I14" s="9"/>
      <c r="J14" s="9"/>
      <c r="K14" s="198"/>
      <c r="L14" s="9"/>
      <c r="M14" s="38" t="s">
        <v>165</v>
      </c>
      <c r="W14" s="170"/>
      <c r="X14" s="170"/>
      <c r="Y14" s="189"/>
      <c r="Z14" s="170"/>
      <c r="AA14" s="170"/>
      <c r="AJ14" s="505"/>
      <c r="AM14" s="76"/>
    </row>
    <row r="15" spans="1:39" ht="15" customHeight="1">
      <c r="A15" s="133"/>
      <c r="C15" s="37"/>
      <c r="D15" s="31" t="s">
        <v>437</v>
      </c>
      <c r="E15" s="198"/>
      <c r="F15" s="198"/>
      <c r="G15" s="33" t="s">
        <v>1667</v>
      </c>
      <c r="H15" s="9"/>
      <c r="I15" s="9"/>
      <c r="J15" s="9"/>
      <c r="K15" s="198"/>
      <c r="L15" s="9"/>
      <c r="M15" s="38" t="s">
        <v>166</v>
      </c>
      <c r="W15" s="170"/>
      <c r="X15" s="170"/>
      <c r="Y15" s="189"/>
      <c r="Z15" s="170"/>
      <c r="AA15" s="170"/>
      <c r="AJ15" s="505"/>
      <c r="AM15" s="76"/>
    </row>
    <row r="16" spans="1:39" ht="15" customHeight="1">
      <c r="A16" s="133"/>
      <c r="C16" s="46"/>
      <c r="D16" s="11"/>
      <c r="E16" s="11"/>
      <c r="F16" s="11"/>
      <c r="G16" s="34"/>
      <c r="H16" s="11"/>
      <c r="I16" s="11"/>
      <c r="J16" s="11"/>
      <c r="K16" s="11"/>
      <c r="L16" s="11"/>
      <c r="M16" s="227"/>
      <c r="W16" s="170"/>
      <c r="X16" s="170"/>
      <c r="Y16" s="189"/>
      <c r="Z16" s="170"/>
      <c r="AA16" s="170"/>
      <c r="AJ16" s="505"/>
      <c r="AM16" s="76"/>
    </row>
    <row r="17" spans="1:39" ht="15" customHeight="1">
      <c r="A17" s="133"/>
      <c r="C17" s="39" t="s">
        <v>119</v>
      </c>
      <c r="D17" s="9"/>
      <c r="E17" s="9"/>
      <c r="F17" s="9"/>
      <c r="G17" s="33"/>
      <c r="H17" s="9"/>
      <c r="I17" s="9"/>
      <c r="J17" s="9"/>
      <c r="K17" s="198"/>
      <c r="L17" s="9"/>
      <c r="M17" s="228"/>
      <c r="W17" s="170"/>
      <c r="X17" s="170"/>
      <c r="Y17" s="189"/>
      <c r="Z17" s="170"/>
      <c r="AA17" s="170"/>
      <c r="AJ17" s="505"/>
      <c r="AM17" s="76"/>
    </row>
    <row r="18" spans="1:39" ht="15" customHeight="1">
      <c r="C18" s="230" t="s">
        <v>215</v>
      </c>
      <c r="D18" s="9"/>
      <c r="E18" s="9"/>
      <c r="F18" s="9"/>
      <c r="G18" s="33" t="s">
        <v>1669</v>
      </c>
      <c r="H18" s="9"/>
      <c r="I18" s="9"/>
      <c r="J18" s="9"/>
      <c r="K18" s="198"/>
      <c r="L18" s="9"/>
      <c r="M18" s="38" t="s">
        <v>167</v>
      </c>
      <c r="W18" s="170"/>
      <c r="X18" s="170"/>
      <c r="Z18" s="170"/>
      <c r="AB18" s="122"/>
      <c r="AJ18" s="505"/>
      <c r="AM18" s="76"/>
    </row>
    <row r="19" spans="1:39" ht="15" customHeight="1">
      <c r="C19" s="230"/>
      <c r="D19" s="9"/>
      <c r="E19" s="9"/>
      <c r="F19" s="9"/>
      <c r="G19" s="33"/>
      <c r="H19" s="9"/>
      <c r="I19" s="9"/>
      <c r="J19" s="9"/>
      <c r="K19" s="198"/>
      <c r="L19" s="9"/>
      <c r="M19" s="231"/>
      <c r="W19" s="170"/>
      <c r="X19" s="170"/>
      <c r="Z19" s="170"/>
      <c r="AB19" s="122"/>
      <c r="AJ19" s="505"/>
      <c r="AM19" s="76"/>
    </row>
    <row r="20" spans="1:39" ht="15" customHeight="1">
      <c r="C20" s="229" t="s">
        <v>216</v>
      </c>
      <c r="D20" s="9"/>
      <c r="E20" s="9"/>
      <c r="F20" s="9"/>
      <c r="G20" s="33" t="s">
        <v>1670</v>
      </c>
      <c r="H20" s="9"/>
      <c r="I20" s="9"/>
      <c r="J20" s="9"/>
      <c r="K20" s="198"/>
      <c r="L20" s="9"/>
      <c r="M20" s="38" t="s">
        <v>168</v>
      </c>
      <c r="W20" s="170"/>
      <c r="X20" s="170"/>
      <c r="Z20" s="170"/>
      <c r="AB20" s="122"/>
      <c r="AJ20" s="505"/>
      <c r="AM20" s="76"/>
    </row>
    <row r="21" spans="1:39" ht="15" customHeight="1">
      <c r="C21" s="46"/>
      <c r="D21" s="11"/>
      <c r="E21" s="11"/>
      <c r="F21" s="11"/>
      <c r="G21" s="34"/>
      <c r="H21" s="11"/>
      <c r="I21" s="11"/>
      <c r="J21" s="11"/>
      <c r="K21" s="11"/>
      <c r="L21" s="11"/>
      <c r="M21" s="227"/>
      <c r="W21" s="170"/>
      <c r="X21" s="170"/>
      <c r="Y21" s="189"/>
      <c r="Z21" s="170"/>
      <c r="AA21" s="170"/>
      <c r="AI21" s="556"/>
      <c r="AJ21" s="505"/>
      <c r="AM21" s="76"/>
    </row>
    <row r="22" spans="1:39" ht="15" customHeight="1">
      <c r="C22" s="39" t="s">
        <v>120</v>
      </c>
      <c r="D22" s="9"/>
      <c r="E22" s="9"/>
      <c r="F22" s="9"/>
      <c r="G22" s="33"/>
      <c r="H22" s="9"/>
      <c r="I22" s="9"/>
      <c r="J22" s="9"/>
      <c r="K22" s="198"/>
      <c r="L22" s="9"/>
      <c r="M22" s="228"/>
      <c r="W22" s="170"/>
      <c r="X22" s="170"/>
      <c r="Y22" s="189"/>
      <c r="Z22" s="170"/>
      <c r="AA22" s="170"/>
      <c r="AJ22" s="505"/>
      <c r="AM22" s="76"/>
    </row>
    <row r="23" spans="1:39" ht="15" customHeight="1">
      <c r="C23" s="37"/>
      <c r="D23" s="9"/>
      <c r="E23" s="9"/>
      <c r="F23" s="9"/>
      <c r="G23" s="33" t="s">
        <v>1671</v>
      </c>
      <c r="H23" s="9"/>
      <c r="I23" s="9"/>
      <c r="J23" s="9"/>
      <c r="K23" s="198"/>
      <c r="L23" s="9"/>
      <c r="M23" s="38" t="s">
        <v>169</v>
      </c>
      <c r="W23" s="170"/>
      <c r="X23" s="170"/>
      <c r="Y23" s="189"/>
      <c r="Z23" s="170"/>
      <c r="AA23" s="170"/>
      <c r="AJ23" s="505"/>
      <c r="AM23" s="76"/>
    </row>
    <row r="24" spans="1:39" ht="15" customHeight="1" thickBot="1">
      <c r="C24" s="40"/>
      <c r="D24" s="41"/>
      <c r="E24" s="41"/>
      <c r="F24" s="41"/>
      <c r="G24" s="42"/>
      <c r="H24" s="41"/>
      <c r="I24" s="41"/>
      <c r="J24" s="41"/>
      <c r="K24" s="41"/>
      <c r="L24" s="41"/>
      <c r="M24" s="45"/>
      <c r="W24" s="170"/>
      <c r="X24" s="170"/>
      <c r="Y24" s="189"/>
      <c r="Z24" s="170"/>
      <c r="AA24" s="170"/>
      <c r="AJ24" s="505"/>
      <c r="AM24" s="76"/>
    </row>
    <row r="25" spans="1:39" ht="15" customHeight="1">
      <c r="B25" s="122"/>
      <c r="C25" s="122"/>
      <c r="D25" s="122"/>
      <c r="E25" s="122"/>
      <c r="F25" s="122"/>
      <c r="G25" s="87"/>
      <c r="H25" s="122"/>
      <c r="I25" s="122"/>
      <c r="J25" s="122"/>
      <c r="K25" s="170"/>
      <c r="L25" s="189"/>
      <c r="M25" s="170"/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170"/>
      <c r="Y25" s="189"/>
      <c r="Z25" s="170"/>
      <c r="AA25" s="170"/>
      <c r="AJ25" s="505"/>
      <c r="AM25" s="76"/>
    </row>
    <row r="26" spans="1:39" ht="15" customHeight="1">
      <c r="B26" s="122"/>
      <c r="C26" s="122"/>
      <c r="D26" s="122"/>
      <c r="E26" s="122"/>
      <c r="F26" s="122"/>
      <c r="G26" s="87"/>
      <c r="H26" s="122"/>
      <c r="I26" s="122"/>
      <c r="J26" s="122"/>
      <c r="K26" s="170"/>
      <c r="L26" s="189"/>
      <c r="M26" s="170"/>
      <c r="N26" s="170"/>
      <c r="P26" s="170"/>
      <c r="Q26" s="170"/>
      <c r="R26" s="170"/>
      <c r="S26" s="170"/>
      <c r="T26" s="170"/>
      <c r="U26" s="170"/>
      <c r="V26" s="170"/>
      <c r="W26" s="170"/>
      <c r="X26" s="170"/>
      <c r="Y26" s="189"/>
      <c r="Z26" s="170"/>
      <c r="AA26" s="170"/>
      <c r="AJ26" s="505"/>
      <c r="AM26" s="76"/>
    </row>
    <row r="27" spans="1:39" ht="15" customHeight="1">
      <c r="A27" s="206" t="s">
        <v>389</v>
      </c>
      <c r="B27" s="96"/>
      <c r="C27" s="122"/>
      <c r="D27" s="122"/>
      <c r="E27" s="122"/>
      <c r="F27" s="122"/>
      <c r="G27" s="87"/>
      <c r="H27" s="122"/>
      <c r="I27" s="122"/>
      <c r="J27" s="122"/>
      <c r="K27" s="170"/>
      <c r="L27" s="189"/>
      <c r="M27" s="170"/>
      <c r="N27" s="170"/>
      <c r="O27" s="137" t="s">
        <v>918</v>
      </c>
      <c r="P27" s="170"/>
      <c r="Q27" s="170"/>
      <c r="R27" s="170"/>
      <c r="S27" s="170"/>
      <c r="X27" s="170"/>
      <c r="Y27" s="189"/>
      <c r="Z27" s="170"/>
      <c r="AJ27" s="505"/>
      <c r="AM27" s="76"/>
    </row>
    <row r="28" spans="1:39" ht="15" customHeight="1">
      <c r="A28" s="206"/>
      <c r="B28" s="96"/>
      <c r="C28" s="147" t="s">
        <v>1971</v>
      </c>
      <c r="D28" s="122"/>
      <c r="E28" s="122"/>
      <c r="F28" s="122"/>
      <c r="G28" s="87"/>
      <c r="H28" s="122"/>
      <c r="I28" s="122"/>
      <c r="J28" s="122"/>
      <c r="K28" s="170"/>
      <c r="L28" s="359"/>
      <c r="M28" s="170"/>
      <c r="N28" s="170"/>
      <c r="O28" s="170"/>
      <c r="P28" s="170"/>
      <c r="Q28" s="170"/>
      <c r="R28" s="170"/>
      <c r="S28" s="170"/>
      <c r="X28" s="170"/>
      <c r="Y28" s="359"/>
      <c r="Z28" s="170"/>
      <c r="AJ28" s="505"/>
      <c r="AM28" s="76"/>
    </row>
    <row r="29" spans="1:39" ht="15" customHeight="1">
      <c r="A29" s="206"/>
      <c r="B29" s="96"/>
      <c r="C29" s="122"/>
      <c r="D29" s="122"/>
      <c r="E29" s="122"/>
      <c r="F29" s="122"/>
      <c r="G29" s="87"/>
      <c r="H29" s="122"/>
      <c r="I29" s="122"/>
      <c r="J29" s="122"/>
      <c r="K29" s="170"/>
      <c r="L29" s="359"/>
      <c r="M29" s="170"/>
      <c r="N29" s="170"/>
      <c r="O29" s="170"/>
      <c r="P29" s="170"/>
      <c r="Q29" s="170"/>
      <c r="R29" s="170"/>
      <c r="S29" s="170"/>
      <c r="X29" s="170"/>
      <c r="Y29" s="359"/>
      <c r="Z29" s="170"/>
      <c r="AJ29" s="505"/>
      <c r="AM29" s="76"/>
    </row>
    <row r="30" spans="1:39" ht="15" customHeight="1">
      <c r="B30" s="147" t="s">
        <v>1972</v>
      </c>
      <c r="C30" s="122"/>
      <c r="D30" s="122"/>
      <c r="E30" s="122"/>
      <c r="F30" s="122"/>
      <c r="G30" s="87"/>
      <c r="H30" s="122"/>
      <c r="I30" s="122"/>
      <c r="J30" s="122"/>
      <c r="K30" s="170"/>
      <c r="L30" s="201"/>
      <c r="M30" s="170"/>
      <c r="N30" s="170"/>
      <c r="O30" s="170"/>
      <c r="P30" s="170"/>
      <c r="Q30" s="170"/>
      <c r="R30" s="170"/>
      <c r="S30" s="170"/>
      <c r="X30" s="170"/>
      <c r="Y30" s="201"/>
      <c r="Z30" s="170"/>
      <c r="AA30" s="108"/>
      <c r="AJ30" s="505"/>
      <c r="AM30" s="76"/>
    </row>
    <row r="31" spans="1:39" ht="15" customHeight="1">
      <c r="A31" s="170"/>
      <c r="B31" s="148" t="s">
        <v>134</v>
      </c>
      <c r="C31" s="148"/>
      <c r="D31" s="148"/>
      <c r="E31" s="141"/>
      <c r="F31" s="141"/>
      <c r="G31" s="148"/>
      <c r="H31" s="148" t="s">
        <v>1967</v>
      </c>
      <c r="I31" s="141"/>
      <c r="J31" s="141"/>
      <c r="K31" s="141"/>
      <c r="L31" s="170"/>
      <c r="M31" s="170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  <c r="Y31" s="189"/>
      <c r="Z31" s="170"/>
      <c r="AA31" s="170"/>
      <c r="AJ31" s="505"/>
      <c r="AM31" s="76"/>
    </row>
    <row r="32" spans="1:39" ht="15" customHeight="1">
      <c r="A32" s="170"/>
      <c r="B32" s="93"/>
      <c r="C32" s="93"/>
      <c r="D32" s="93"/>
      <c r="E32" s="93"/>
      <c r="F32" s="170"/>
      <c r="G32" s="365"/>
      <c r="H32" s="365"/>
      <c r="I32" s="170"/>
      <c r="J32" s="170"/>
      <c r="K32" s="170"/>
      <c r="L32" s="143"/>
      <c r="Z32" s="170"/>
      <c r="AA32" s="170"/>
      <c r="AJ32" s="505"/>
      <c r="AM32" s="76"/>
    </row>
    <row r="33" spans="1:39" ht="15" customHeight="1">
      <c r="A33" s="170"/>
      <c r="C33" s="170"/>
      <c r="D33" s="170"/>
      <c r="E33" s="170"/>
      <c r="F33" s="170"/>
      <c r="G33" s="115"/>
      <c r="H33" s="115" t="s">
        <v>1968</v>
      </c>
      <c r="I33" s="170"/>
      <c r="J33" s="170"/>
      <c r="K33" s="170"/>
      <c r="L33" s="143"/>
      <c r="Y33" s="788"/>
      <c r="Z33" s="170"/>
      <c r="AA33" s="170"/>
      <c r="AD33" s="559"/>
      <c r="AF33" s="559"/>
      <c r="AJ33" s="505"/>
      <c r="AM33" s="76"/>
    </row>
    <row r="34" spans="1:39" ht="15" customHeight="1">
      <c r="A34" s="170"/>
      <c r="B34" s="170" t="s">
        <v>1966</v>
      </c>
      <c r="C34" s="170"/>
      <c r="D34" s="170"/>
      <c r="E34" s="118"/>
      <c r="F34" s="118"/>
      <c r="G34" s="104"/>
      <c r="H34" s="104"/>
      <c r="I34" s="118"/>
      <c r="J34" s="118"/>
      <c r="K34" s="118"/>
      <c r="L34" s="143"/>
      <c r="Y34" s="788"/>
      <c r="Z34" s="170"/>
      <c r="AA34" s="170"/>
      <c r="AD34" s="559"/>
      <c r="AF34" s="559"/>
      <c r="AJ34" s="505"/>
      <c r="AM34" s="76"/>
    </row>
    <row r="35" spans="1:39" ht="15" customHeight="1">
      <c r="A35" s="170"/>
      <c r="B35" s="170"/>
      <c r="C35" s="170"/>
      <c r="D35" s="115"/>
      <c r="E35" s="1937" t="s">
        <v>136</v>
      </c>
      <c r="F35" s="1937"/>
      <c r="G35" s="170"/>
      <c r="H35" s="789">
        <v>0.85</v>
      </c>
      <c r="I35" s="1929" t="s">
        <v>1969</v>
      </c>
      <c r="J35" s="1870"/>
      <c r="K35" s="1870"/>
      <c r="L35" s="143"/>
      <c r="P35" s="115"/>
      <c r="R35" s="115"/>
      <c r="T35" s="115"/>
      <c r="V35" s="115"/>
      <c r="W35" s="115"/>
      <c r="X35" s="170"/>
      <c r="Y35" s="189"/>
      <c r="Z35" s="170"/>
      <c r="AA35" s="170"/>
      <c r="AJ35" s="505"/>
      <c r="AM35" s="76"/>
    </row>
    <row r="36" spans="1:39" ht="15" customHeight="1">
      <c r="A36" s="170"/>
      <c r="B36" s="104"/>
      <c r="C36" s="104"/>
      <c r="D36" s="104"/>
      <c r="E36" s="1930"/>
      <c r="F36" s="1930"/>
      <c r="G36" s="118"/>
      <c r="H36" s="109" t="s">
        <v>234</v>
      </c>
      <c r="I36" s="1930"/>
      <c r="J36" s="1930"/>
      <c r="K36" s="1930"/>
      <c r="L36" s="143"/>
      <c r="P36" s="115"/>
      <c r="R36" s="115"/>
      <c r="T36" s="115"/>
      <c r="V36" s="115"/>
      <c r="W36" s="115"/>
      <c r="X36" s="170"/>
      <c r="Y36" s="189"/>
      <c r="Z36" s="170"/>
      <c r="AA36" s="170"/>
      <c r="AJ36" s="505"/>
      <c r="AM36" s="76"/>
    </row>
    <row r="37" spans="1:39" ht="15" customHeight="1">
      <c r="A37" s="170"/>
      <c r="B37" s="145" t="s">
        <v>1970</v>
      </c>
      <c r="C37" s="112"/>
      <c r="D37" s="112"/>
      <c r="E37" s="145"/>
      <c r="F37" s="145"/>
      <c r="G37" s="145"/>
      <c r="H37" s="112" t="s">
        <v>1968</v>
      </c>
      <c r="I37" s="787"/>
      <c r="J37" s="787"/>
      <c r="K37" s="787"/>
      <c r="L37" s="143"/>
      <c r="P37" s="115"/>
      <c r="R37" s="115"/>
      <c r="T37" s="115"/>
      <c r="V37" s="115"/>
      <c r="W37" s="115"/>
      <c r="X37" s="170"/>
      <c r="Y37" s="786"/>
      <c r="Z37" s="170"/>
      <c r="AA37" s="170"/>
      <c r="AD37" s="559"/>
      <c r="AF37" s="559"/>
      <c r="AJ37" s="505"/>
      <c r="AM37" s="76"/>
    </row>
    <row r="38" spans="1:39" ht="15" customHeight="1">
      <c r="A38" s="170"/>
      <c r="B38" s="194"/>
      <c r="C38" s="194"/>
      <c r="D38" s="194"/>
      <c r="E38" s="170"/>
      <c r="F38" s="170"/>
      <c r="G38" s="170"/>
      <c r="H38" s="170"/>
      <c r="I38" s="170"/>
      <c r="J38" s="170"/>
      <c r="K38" s="170"/>
      <c r="L38" s="193"/>
      <c r="M38" s="193"/>
      <c r="N38" s="193"/>
      <c r="O38" s="170"/>
      <c r="P38" s="115"/>
      <c r="R38" s="115"/>
      <c r="T38" s="115"/>
      <c r="V38" s="115"/>
      <c r="W38" s="115"/>
      <c r="X38" s="170"/>
      <c r="Y38" s="193"/>
      <c r="Z38" s="170"/>
      <c r="AA38" s="170"/>
      <c r="AJ38" s="505"/>
      <c r="AM38" s="76"/>
    </row>
    <row r="39" spans="1:39" ht="15" customHeight="1">
      <c r="A39" s="170"/>
      <c r="B39" s="191" t="s">
        <v>363</v>
      </c>
      <c r="C39" s="191"/>
      <c r="D39" s="170"/>
      <c r="E39" s="170"/>
      <c r="F39" s="191"/>
      <c r="G39" s="191"/>
      <c r="H39" s="170"/>
      <c r="I39" s="170"/>
      <c r="J39" s="170"/>
      <c r="K39" s="170"/>
      <c r="L39" s="189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89"/>
      <c r="Z39" s="170"/>
      <c r="AA39" s="170"/>
      <c r="AJ39" s="505"/>
      <c r="AM39" s="76"/>
    </row>
    <row r="40" spans="1:39" ht="15" customHeight="1">
      <c r="A40" s="170"/>
      <c r="B40" s="194"/>
      <c r="C40" s="194" t="s">
        <v>367</v>
      </c>
      <c r="D40" s="124" t="s">
        <v>364</v>
      </c>
      <c r="E40" s="194" t="s">
        <v>382</v>
      </c>
      <c r="F40" s="170"/>
      <c r="G40" s="170"/>
      <c r="H40" s="170"/>
      <c r="I40" s="170"/>
      <c r="L40" s="193"/>
      <c r="M40" s="170"/>
      <c r="N40" s="170"/>
      <c r="O40" s="170"/>
      <c r="P40" s="170"/>
      <c r="Q40" s="170"/>
      <c r="R40" s="170"/>
      <c r="S40" s="170"/>
      <c r="T40" s="170"/>
      <c r="U40" s="170"/>
      <c r="V40" s="170"/>
      <c r="W40" s="170"/>
      <c r="X40" s="170"/>
      <c r="Y40" s="193"/>
      <c r="Z40" s="170"/>
      <c r="AA40" s="170"/>
      <c r="AJ40" s="505"/>
      <c r="AM40" s="76"/>
    </row>
    <row r="41" spans="1:39" ht="15" customHeight="1">
      <c r="A41" s="170"/>
      <c r="B41" s="194"/>
      <c r="C41" s="194" t="s">
        <v>368</v>
      </c>
      <c r="D41" s="124" t="s">
        <v>364</v>
      </c>
      <c r="E41" s="194" t="s">
        <v>366</v>
      </c>
      <c r="F41" s="170"/>
      <c r="G41" s="170" t="s">
        <v>365</v>
      </c>
      <c r="H41" s="170"/>
      <c r="L41" s="193"/>
      <c r="N41" s="170"/>
      <c r="O41" s="137" t="s">
        <v>919</v>
      </c>
      <c r="P41" s="170"/>
      <c r="Q41" s="170"/>
      <c r="R41" s="170"/>
      <c r="S41" s="170"/>
      <c r="T41" s="170"/>
      <c r="U41" s="170"/>
      <c r="V41" s="170"/>
      <c r="W41" s="170"/>
      <c r="X41" s="170"/>
      <c r="Z41" s="170"/>
      <c r="AJ41" s="505"/>
      <c r="AM41" s="76"/>
    </row>
    <row r="42" spans="1:39" ht="15" customHeight="1">
      <c r="A42" s="170"/>
      <c r="B42" s="194"/>
      <c r="C42" s="194" t="s">
        <v>373</v>
      </c>
      <c r="D42" s="124" t="s">
        <v>364</v>
      </c>
      <c r="E42" s="194" t="s">
        <v>397</v>
      </c>
      <c r="L42" s="143"/>
      <c r="O42" s="137" t="s">
        <v>920</v>
      </c>
      <c r="R42" s="170"/>
      <c r="S42" s="170"/>
      <c r="T42" s="170"/>
      <c r="U42" s="170"/>
      <c r="V42" s="170"/>
      <c r="W42" s="170"/>
      <c r="X42" s="170"/>
      <c r="Z42" s="170"/>
      <c r="AJ42" s="505"/>
      <c r="AM42" s="76"/>
    </row>
    <row r="43" spans="1:39" ht="15" customHeight="1">
      <c r="A43" s="170"/>
      <c r="B43" s="194"/>
      <c r="D43" s="124" t="s">
        <v>364</v>
      </c>
      <c r="E43" s="150">
        <v>1</v>
      </c>
      <c r="F43" s="170"/>
      <c r="G43" s="170"/>
      <c r="I43" s="170" t="s">
        <v>371</v>
      </c>
      <c r="L43" s="143"/>
      <c r="N43" s="170"/>
      <c r="O43" s="137"/>
      <c r="P43" s="170"/>
      <c r="Q43" s="170"/>
      <c r="V43" s="170"/>
      <c r="W43" s="170"/>
      <c r="X43" s="170"/>
      <c r="Z43" s="170"/>
      <c r="AJ43" s="505"/>
      <c r="AM43" s="76"/>
    </row>
    <row r="44" spans="1:39" ht="15" customHeight="1">
      <c r="A44" s="170"/>
      <c r="B44" s="194"/>
      <c r="D44" s="124" t="s">
        <v>364</v>
      </c>
      <c r="E44" s="150">
        <v>1</v>
      </c>
      <c r="I44" s="170" t="s">
        <v>372</v>
      </c>
      <c r="L44" s="143"/>
      <c r="O44" s="137"/>
      <c r="V44" s="170"/>
      <c r="W44" s="170"/>
      <c r="X44" s="170"/>
      <c r="Z44" s="170"/>
      <c r="AJ44" s="505"/>
      <c r="AM44" s="76"/>
    </row>
    <row r="45" spans="1:39" ht="15" customHeight="1">
      <c r="A45" s="170"/>
      <c r="B45" s="194"/>
      <c r="D45" s="124" t="s">
        <v>364</v>
      </c>
      <c r="E45" s="170" t="s">
        <v>235</v>
      </c>
      <c r="F45" s="170"/>
      <c r="G45" s="170"/>
      <c r="H45" s="170"/>
      <c r="I45" s="170" t="s">
        <v>136</v>
      </c>
      <c r="L45" s="170"/>
      <c r="M45" s="170"/>
      <c r="N45" s="170"/>
      <c r="O45" s="137"/>
      <c r="P45" s="170"/>
      <c r="V45" s="170"/>
      <c r="W45" s="170"/>
      <c r="X45" s="170"/>
      <c r="Z45" s="170"/>
      <c r="AJ45" s="505"/>
      <c r="AM45" s="76"/>
    </row>
    <row r="46" spans="1:39" ht="15" customHeight="1">
      <c r="A46" s="170"/>
      <c r="B46" s="194"/>
      <c r="C46" s="170" t="s">
        <v>370</v>
      </c>
      <c r="D46" s="124" t="s">
        <v>364</v>
      </c>
      <c r="E46" s="150">
        <v>1</v>
      </c>
      <c r="F46" s="170" t="s">
        <v>369</v>
      </c>
      <c r="H46" s="170"/>
      <c r="I46" s="170"/>
      <c r="L46" s="170"/>
      <c r="M46" s="193"/>
      <c r="N46" s="170"/>
      <c r="O46" s="137" t="s">
        <v>921</v>
      </c>
      <c r="P46" s="170"/>
      <c r="Q46" s="170"/>
      <c r="R46" s="170"/>
      <c r="S46" s="170"/>
      <c r="V46" s="170"/>
      <c r="W46" s="170"/>
      <c r="X46" s="170"/>
      <c r="Z46" s="170"/>
      <c r="AJ46" s="505"/>
      <c r="AM46" s="76"/>
    </row>
    <row r="47" spans="1:39" ht="15" customHeight="1">
      <c r="A47" s="170"/>
      <c r="B47" s="360"/>
      <c r="C47" s="170" t="s">
        <v>925</v>
      </c>
      <c r="D47" s="124" t="s">
        <v>330</v>
      </c>
      <c r="E47" s="150" t="s">
        <v>924</v>
      </c>
      <c r="F47" s="170"/>
      <c r="H47" s="170"/>
      <c r="I47" s="170"/>
      <c r="L47" s="170"/>
      <c r="M47" s="359"/>
      <c r="N47" s="170"/>
      <c r="O47" s="170"/>
      <c r="P47" s="170"/>
      <c r="Q47" s="170"/>
      <c r="R47" s="170"/>
      <c r="S47" s="170"/>
      <c r="V47" s="170"/>
      <c r="W47" s="170"/>
      <c r="X47" s="170"/>
      <c r="Y47" s="359"/>
      <c r="Z47" s="170"/>
      <c r="AA47" s="137"/>
      <c r="AJ47" s="505"/>
      <c r="AM47" s="76"/>
    </row>
    <row r="48" spans="1:39" ht="15" customHeight="1">
      <c r="A48" s="170"/>
      <c r="B48" s="360"/>
      <c r="C48" s="170"/>
      <c r="D48" s="124"/>
      <c r="E48" s="150"/>
      <c r="F48" s="170"/>
      <c r="H48" s="170"/>
      <c r="I48" s="170"/>
      <c r="L48" s="170"/>
      <c r="M48" s="359"/>
      <c r="N48" s="170"/>
      <c r="O48" s="170"/>
      <c r="P48" s="170"/>
      <c r="Q48" s="170"/>
      <c r="R48" s="170"/>
      <c r="S48" s="170"/>
      <c r="V48" s="170"/>
      <c r="W48" s="170"/>
      <c r="X48" s="170"/>
      <c r="Y48" s="359"/>
      <c r="Z48" s="170"/>
      <c r="AA48" s="137"/>
      <c r="AJ48" s="505"/>
      <c r="AM48" s="76"/>
    </row>
    <row r="49" spans="1:39" ht="15" customHeight="1">
      <c r="A49" s="170"/>
      <c r="B49" s="360"/>
      <c r="C49" s="170"/>
      <c r="D49" s="124"/>
      <c r="E49" s="150"/>
      <c r="F49" s="170"/>
      <c r="H49" s="170"/>
      <c r="I49" s="170"/>
      <c r="L49" s="170"/>
      <c r="M49" s="359"/>
      <c r="N49" s="170"/>
      <c r="O49" s="170"/>
      <c r="P49" s="170"/>
      <c r="Q49" s="170"/>
      <c r="R49" s="170"/>
      <c r="S49" s="170"/>
      <c r="V49" s="170"/>
      <c r="W49" s="170"/>
      <c r="X49" s="170"/>
      <c r="Y49" s="359"/>
      <c r="Z49" s="170"/>
      <c r="AA49" s="137"/>
      <c r="AJ49" s="505"/>
      <c r="AM49" s="76"/>
    </row>
    <row r="50" spans="1:39" ht="15" customHeight="1">
      <c r="A50" s="170"/>
      <c r="B50" s="360"/>
      <c r="C50" s="170" t="s">
        <v>926</v>
      </c>
      <c r="D50" s="124" t="s">
        <v>330</v>
      </c>
      <c r="E50" s="170" t="s">
        <v>927</v>
      </c>
      <c r="F50" s="170"/>
      <c r="H50" s="170"/>
      <c r="I50" s="170"/>
      <c r="L50" s="170"/>
      <c r="M50" s="359"/>
      <c r="N50" s="170"/>
      <c r="O50" s="170"/>
      <c r="P50" s="170"/>
      <c r="Q50" s="170"/>
      <c r="R50" s="170"/>
      <c r="S50" s="170"/>
      <c r="V50" s="170"/>
      <c r="W50" s="170"/>
      <c r="X50" s="170"/>
      <c r="Y50" s="359"/>
      <c r="Z50" s="170"/>
      <c r="AA50" s="137"/>
      <c r="AJ50" s="505"/>
      <c r="AM50" s="76"/>
    </row>
    <row r="51" spans="1:39" ht="15" customHeight="1">
      <c r="A51" s="170"/>
      <c r="B51" s="360"/>
      <c r="C51" s="170" t="s">
        <v>928</v>
      </c>
      <c r="D51" s="124" t="s">
        <v>330</v>
      </c>
      <c r="E51" s="170" t="s">
        <v>929</v>
      </c>
      <c r="F51" s="170"/>
      <c r="H51" s="170"/>
      <c r="I51" s="170"/>
      <c r="L51" s="170"/>
      <c r="M51" s="359"/>
      <c r="N51" s="170"/>
      <c r="O51" s="170"/>
      <c r="P51" s="170"/>
      <c r="Q51" s="170"/>
      <c r="R51" s="170"/>
      <c r="S51" s="170"/>
      <c r="V51" s="170"/>
      <c r="W51" s="170"/>
      <c r="X51" s="170"/>
      <c r="Y51" s="359"/>
      <c r="Z51" s="170"/>
      <c r="AA51" s="137"/>
      <c r="AJ51" s="505"/>
      <c r="AM51" s="76"/>
    </row>
    <row r="52" spans="1:39" ht="15" customHeight="1">
      <c r="A52" s="170"/>
      <c r="B52" s="360"/>
      <c r="C52" s="170" t="s">
        <v>930</v>
      </c>
      <c r="D52" s="124" t="s">
        <v>330</v>
      </c>
      <c r="E52" s="170" t="s">
        <v>931</v>
      </c>
      <c r="F52" s="170"/>
      <c r="H52" s="170"/>
      <c r="I52" s="170"/>
      <c r="L52" s="170"/>
      <c r="M52" s="359"/>
      <c r="N52" s="170"/>
      <c r="O52" s="170"/>
      <c r="P52" s="170"/>
      <c r="Q52" s="170"/>
      <c r="R52" s="170"/>
      <c r="S52" s="170"/>
      <c r="V52" s="170"/>
      <c r="W52" s="170"/>
      <c r="X52" s="170"/>
      <c r="Y52" s="359"/>
      <c r="Z52" s="170"/>
      <c r="AA52" s="137"/>
      <c r="AJ52" s="505"/>
      <c r="AM52" s="76"/>
    </row>
    <row r="53" spans="1:39" ht="15" customHeight="1">
      <c r="A53" s="170"/>
      <c r="B53" s="360"/>
      <c r="C53" s="170" t="s">
        <v>932</v>
      </c>
      <c r="D53" s="124" t="s">
        <v>330</v>
      </c>
      <c r="E53" s="170" t="s">
        <v>933</v>
      </c>
      <c r="F53" s="170"/>
      <c r="H53" s="170"/>
      <c r="I53" s="170"/>
      <c r="L53" s="170"/>
      <c r="M53" s="359"/>
      <c r="N53" s="170"/>
      <c r="O53" s="170"/>
      <c r="P53" s="170"/>
      <c r="Q53" s="170"/>
      <c r="R53" s="170"/>
      <c r="S53" s="170"/>
      <c r="V53" s="170"/>
      <c r="W53" s="170"/>
      <c r="X53" s="170"/>
      <c r="Y53" s="359"/>
      <c r="Z53" s="170"/>
      <c r="AA53" s="137"/>
      <c r="AJ53" s="505"/>
      <c r="AM53" s="76"/>
    </row>
    <row r="54" spans="1:39" ht="15" customHeight="1">
      <c r="A54" s="170"/>
      <c r="B54" s="360"/>
      <c r="C54" s="170"/>
      <c r="D54" s="170"/>
      <c r="E54" s="124"/>
      <c r="F54" s="170"/>
      <c r="H54" s="170"/>
      <c r="J54" s="170"/>
      <c r="K54" s="170"/>
      <c r="L54" s="170"/>
      <c r="M54" s="359"/>
      <c r="O54" s="150"/>
      <c r="Q54" s="170"/>
      <c r="R54" s="170"/>
      <c r="S54" s="170"/>
      <c r="X54" s="170"/>
      <c r="Y54" s="359"/>
      <c r="Z54" s="170"/>
      <c r="AA54" s="137"/>
      <c r="AJ54" s="505"/>
      <c r="AM54" s="76"/>
    </row>
    <row r="55" spans="1:39" ht="15" customHeight="1">
      <c r="A55" s="170"/>
      <c r="B55" s="360"/>
      <c r="C55" s="170"/>
      <c r="D55" s="170"/>
      <c r="E55" s="124"/>
      <c r="F55" s="170"/>
      <c r="G55" s="150"/>
      <c r="H55" s="170"/>
      <c r="J55" s="170"/>
      <c r="K55" s="170"/>
      <c r="L55" s="170"/>
      <c r="M55" s="359"/>
      <c r="N55" s="170"/>
      <c r="O55" s="170"/>
      <c r="P55" s="170"/>
      <c r="Q55" s="170"/>
      <c r="R55" s="170"/>
      <c r="S55" s="170"/>
      <c r="V55" s="170"/>
      <c r="W55" s="170"/>
      <c r="X55" s="170"/>
      <c r="Y55" s="359"/>
      <c r="Z55" s="170"/>
      <c r="AA55" s="137"/>
      <c r="AJ55" s="505"/>
      <c r="AM55" s="76"/>
    </row>
    <row r="56" spans="1:39" ht="15" customHeight="1">
      <c r="A56" s="170"/>
      <c r="B56" s="360"/>
      <c r="C56" s="170"/>
      <c r="D56" s="170"/>
      <c r="E56" s="124"/>
      <c r="F56" s="170"/>
      <c r="G56" s="150"/>
      <c r="H56" s="170"/>
      <c r="J56" s="170"/>
      <c r="K56" s="170"/>
      <c r="L56" s="170"/>
      <c r="M56" s="359"/>
      <c r="N56" s="170"/>
      <c r="O56" s="170"/>
      <c r="P56" s="170"/>
      <c r="Q56" s="170"/>
      <c r="R56" s="170"/>
      <c r="S56" s="170"/>
      <c r="V56" s="170"/>
      <c r="W56" s="170"/>
      <c r="X56" s="170"/>
      <c r="Y56" s="359"/>
      <c r="Z56" s="170"/>
      <c r="AA56" s="137"/>
      <c r="AJ56" s="505"/>
      <c r="AM56" s="76"/>
    </row>
    <row r="57" spans="1:39" ht="15" customHeight="1">
      <c r="A57" s="170"/>
      <c r="B57" s="360"/>
      <c r="C57" s="170"/>
      <c r="D57" s="170"/>
      <c r="E57" s="124"/>
      <c r="F57" s="170"/>
      <c r="G57" s="150"/>
      <c r="H57" s="170"/>
      <c r="J57" s="170"/>
      <c r="K57" s="170"/>
      <c r="L57" s="170"/>
      <c r="M57" s="359"/>
      <c r="N57" s="170"/>
      <c r="O57" s="170"/>
      <c r="P57" s="170"/>
      <c r="Q57" s="170"/>
      <c r="R57" s="170"/>
      <c r="S57" s="170"/>
      <c r="V57" s="170"/>
      <c r="W57" s="170"/>
      <c r="X57" s="170"/>
      <c r="Y57" s="359"/>
      <c r="Z57" s="170"/>
      <c r="AA57" s="137"/>
      <c r="AJ57" s="505"/>
      <c r="AM57" s="76"/>
    </row>
    <row r="58" spans="1:39" ht="15" customHeight="1">
      <c r="A58" s="170"/>
      <c r="B58" s="360"/>
      <c r="C58" s="170"/>
      <c r="D58" s="170"/>
      <c r="E58" s="124"/>
      <c r="F58" s="170"/>
      <c r="G58" s="150"/>
      <c r="H58" s="170"/>
      <c r="J58" s="170"/>
      <c r="K58" s="170"/>
      <c r="L58" s="170"/>
      <c r="M58" s="359"/>
      <c r="N58" s="170"/>
      <c r="O58" s="170"/>
      <c r="P58" s="170"/>
      <c r="Q58" s="170"/>
      <c r="R58" s="170"/>
      <c r="S58" s="170"/>
      <c r="V58" s="170"/>
      <c r="W58" s="170"/>
      <c r="X58" s="170"/>
      <c r="Y58" s="359"/>
      <c r="Z58" s="170"/>
      <c r="AA58" s="137"/>
      <c r="AJ58" s="505"/>
      <c r="AM58" s="76"/>
    </row>
    <row r="59" spans="1:39" ht="15" customHeight="1">
      <c r="A59" s="170"/>
      <c r="B59" s="360"/>
      <c r="C59" s="170"/>
      <c r="D59" s="170"/>
      <c r="E59" s="124"/>
      <c r="F59" s="170"/>
      <c r="G59" s="150"/>
      <c r="H59" s="170"/>
      <c r="J59" s="170"/>
      <c r="K59" s="170"/>
      <c r="L59" s="170"/>
      <c r="M59" s="359"/>
      <c r="N59" s="170"/>
      <c r="O59" s="170"/>
      <c r="P59" s="170"/>
      <c r="Q59" s="170"/>
      <c r="R59" s="170"/>
      <c r="S59" s="170"/>
      <c r="V59" s="170"/>
      <c r="W59" s="170"/>
      <c r="X59" s="170"/>
      <c r="Y59" s="359"/>
      <c r="Z59" s="170"/>
      <c r="AA59" s="137"/>
      <c r="AJ59" s="505"/>
      <c r="AM59" s="76"/>
    </row>
    <row r="60" spans="1:39" ht="15" customHeight="1">
      <c r="A60" s="170"/>
      <c r="B60" s="360"/>
      <c r="C60" s="170"/>
      <c r="D60" s="170"/>
      <c r="E60" s="124"/>
      <c r="F60" s="170"/>
      <c r="G60" s="150"/>
      <c r="H60" s="170"/>
      <c r="J60" s="170"/>
      <c r="K60" s="170"/>
      <c r="L60" s="170"/>
      <c r="M60" s="359"/>
      <c r="N60" s="170"/>
      <c r="O60" s="170"/>
      <c r="P60" s="170"/>
      <c r="Q60" s="170"/>
      <c r="R60" s="170"/>
      <c r="S60" s="170"/>
      <c r="V60" s="170"/>
      <c r="W60" s="170"/>
      <c r="X60" s="170"/>
      <c r="Y60" s="359"/>
      <c r="Z60" s="170"/>
      <c r="AA60" s="137"/>
      <c r="AJ60" s="505"/>
      <c r="AM60" s="76"/>
    </row>
    <row r="61" spans="1:39" ht="15" customHeight="1">
      <c r="A61" s="170"/>
      <c r="B61" s="360"/>
      <c r="C61" s="170"/>
      <c r="D61" s="170"/>
      <c r="E61" s="124"/>
      <c r="F61" s="170"/>
      <c r="G61" s="150"/>
      <c r="H61" s="170"/>
      <c r="J61" s="170"/>
      <c r="K61" s="170"/>
      <c r="L61" s="170"/>
      <c r="M61" s="359"/>
      <c r="N61" s="170"/>
      <c r="O61" s="170"/>
      <c r="P61" s="170"/>
      <c r="Q61" s="170"/>
      <c r="R61" s="170"/>
      <c r="S61" s="170"/>
      <c r="V61" s="170"/>
      <c r="W61" s="170"/>
      <c r="X61" s="170"/>
      <c r="Y61" s="359"/>
      <c r="Z61" s="170"/>
      <c r="AA61" s="137"/>
      <c r="AJ61" s="505"/>
      <c r="AM61" s="76"/>
    </row>
    <row r="62" spans="1:39" ht="15" customHeight="1">
      <c r="A62" s="170"/>
      <c r="B62" s="360"/>
      <c r="C62" s="170"/>
      <c r="D62" s="170"/>
      <c r="E62" s="124"/>
      <c r="F62" s="170"/>
      <c r="G62" s="150"/>
      <c r="H62" s="170"/>
      <c r="J62" s="170"/>
      <c r="K62" s="170"/>
      <c r="L62" s="170"/>
      <c r="M62" s="359"/>
      <c r="N62" s="170"/>
      <c r="O62" s="170"/>
      <c r="P62" s="170"/>
      <c r="Q62" s="170"/>
      <c r="R62" s="170"/>
      <c r="S62" s="170"/>
      <c r="V62" s="170"/>
      <c r="W62" s="170"/>
      <c r="X62" s="170"/>
      <c r="Y62" s="359"/>
      <c r="Z62" s="170"/>
      <c r="AA62" s="137"/>
      <c r="AJ62" s="505"/>
      <c r="AM62" s="76"/>
    </row>
    <row r="63" spans="1:39" ht="15" customHeight="1">
      <c r="A63" s="170"/>
      <c r="B63" s="360"/>
      <c r="C63" s="170"/>
      <c r="D63" s="170"/>
      <c r="E63" s="124"/>
      <c r="F63" s="170"/>
      <c r="G63" s="150"/>
      <c r="H63" s="170"/>
      <c r="J63" s="170"/>
      <c r="K63" s="170"/>
      <c r="L63" s="170"/>
      <c r="M63" s="359"/>
      <c r="N63" s="170"/>
      <c r="O63" s="170"/>
      <c r="P63" s="170"/>
      <c r="Q63" s="170"/>
      <c r="R63" s="170"/>
      <c r="S63" s="170"/>
      <c r="V63" s="170"/>
      <c r="W63" s="170"/>
      <c r="X63" s="170"/>
      <c r="Y63" s="359"/>
      <c r="Z63" s="170"/>
      <c r="AA63" s="137"/>
      <c r="AJ63" s="505"/>
      <c r="AM63" s="76"/>
    </row>
    <row r="64" spans="1:39" ht="15" customHeight="1">
      <c r="A64" s="170"/>
      <c r="B64" s="360"/>
      <c r="C64" s="170"/>
      <c r="D64" s="170"/>
      <c r="E64" s="124"/>
      <c r="F64" s="170"/>
      <c r="G64" s="150"/>
      <c r="H64" s="170"/>
      <c r="J64" s="170"/>
      <c r="K64" s="170"/>
      <c r="L64" s="170"/>
      <c r="M64" s="359"/>
      <c r="N64" s="170"/>
      <c r="O64" s="170"/>
      <c r="P64" s="170"/>
      <c r="Q64" s="170"/>
      <c r="R64" s="170"/>
      <c r="S64" s="170"/>
      <c r="V64" s="170"/>
      <c r="W64" s="170"/>
      <c r="X64" s="170"/>
      <c r="Y64" s="359"/>
      <c r="Z64" s="170"/>
      <c r="AA64" s="137"/>
      <c r="AJ64" s="505"/>
      <c r="AM64" s="76"/>
    </row>
    <row r="65" spans="1:39" ht="15" customHeight="1">
      <c r="A65" s="170"/>
      <c r="B65" s="360"/>
      <c r="C65" s="170" t="s">
        <v>1672</v>
      </c>
      <c r="D65" s="124"/>
      <c r="E65" s="170"/>
      <c r="F65" s="150"/>
      <c r="H65" s="170"/>
      <c r="J65" s="170"/>
      <c r="K65" s="170"/>
      <c r="L65" s="170"/>
      <c r="M65" s="359"/>
      <c r="N65" s="170"/>
      <c r="O65" s="170"/>
      <c r="P65" s="170"/>
      <c r="Q65" s="170"/>
      <c r="R65" s="170"/>
      <c r="S65" s="170"/>
      <c r="V65" s="170"/>
      <c r="W65" s="170"/>
      <c r="X65" s="170"/>
      <c r="Y65" s="359"/>
      <c r="Z65" s="170"/>
      <c r="AA65" s="137"/>
      <c r="AJ65" s="505"/>
      <c r="AM65" s="76"/>
    </row>
    <row r="66" spans="1:39" ht="15" customHeight="1">
      <c r="A66" s="170"/>
      <c r="B66" s="360"/>
      <c r="C66" s="170"/>
      <c r="D66" s="143" t="s">
        <v>922</v>
      </c>
      <c r="E66" s="170"/>
      <c r="F66" s="150"/>
      <c r="H66" s="170"/>
      <c r="J66" s="170"/>
      <c r="K66" s="170"/>
      <c r="L66" s="170"/>
      <c r="M66" s="359"/>
      <c r="N66" s="170"/>
      <c r="O66" s="170"/>
      <c r="P66" s="170"/>
      <c r="Q66" s="170"/>
      <c r="R66" s="170"/>
      <c r="S66" s="170"/>
      <c r="V66" s="170"/>
      <c r="W66" s="170"/>
      <c r="X66" s="170"/>
      <c r="Y66" s="359"/>
      <c r="Z66" s="170"/>
      <c r="AA66" s="137"/>
      <c r="AJ66" s="505"/>
      <c r="AM66" s="76"/>
    </row>
    <row r="67" spans="1:39" ht="15" customHeight="1">
      <c r="A67" s="170"/>
      <c r="B67" s="360"/>
      <c r="D67" s="124" t="s">
        <v>1965</v>
      </c>
      <c r="E67" s="170"/>
      <c r="F67" s="150"/>
      <c r="H67" s="170"/>
      <c r="J67" s="170"/>
      <c r="K67" s="170"/>
      <c r="L67" s="170"/>
      <c r="M67" s="359"/>
      <c r="N67" s="170"/>
      <c r="O67" s="170"/>
      <c r="P67" s="170"/>
      <c r="Q67" s="170"/>
      <c r="R67" s="170"/>
      <c r="S67" s="170"/>
      <c r="V67" s="170"/>
      <c r="W67" s="170"/>
      <c r="X67" s="170"/>
      <c r="Y67" s="359"/>
      <c r="Z67" s="170"/>
      <c r="AA67" s="137"/>
      <c r="AJ67" s="505"/>
      <c r="AM67" s="76"/>
    </row>
    <row r="68" spans="1:39" ht="15" customHeight="1">
      <c r="A68" s="170"/>
      <c r="B68" s="360"/>
      <c r="D68" s="649" t="s">
        <v>2000</v>
      </c>
      <c r="E68" s="170"/>
      <c r="F68" s="150"/>
      <c r="H68" s="170"/>
      <c r="J68" s="170"/>
      <c r="K68" s="170"/>
      <c r="L68" s="170"/>
      <c r="M68" s="359"/>
      <c r="N68" s="170"/>
      <c r="O68" s="170"/>
      <c r="P68" s="170"/>
      <c r="Q68" s="170"/>
      <c r="R68" s="170"/>
      <c r="S68" s="170"/>
      <c r="V68" s="170"/>
      <c r="W68" s="170"/>
      <c r="X68" s="170"/>
      <c r="Y68" s="359"/>
      <c r="Z68" s="170"/>
      <c r="AA68" s="137"/>
      <c r="AJ68" s="505"/>
      <c r="AM68" s="76"/>
    </row>
    <row r="69" spans="1:39" ht="15" customHeight="1">
      <c r="A69" s="170"/>
      <c r="B69" s="360"/>
      <c r="D69" s="170" t="s">
        <v>2001</v>
      </c>
      <c r="E69" s="170"/>
      <c r="F69" s="150"/>
      <c r="H69" s="170"/>
      <c r="J69" s="170"/>
      <c r="K69" s="170"/>
      <c r="L69" s="170"/>
      <c r="M69" s="359"/>
      <c r="N69" s="170"/>
      <c r="O69" s="170"/>
      <c r="P69" s="170"/>
      <c r="Q69" s="170"/>
      <c r="R69" s="170"/>
      <c r="S69" s="170"/>
      <c r="V69" s="170"/>
      <c r="W69" s="170"/>
      <c r="X69" s="170"/>
      <c r="Y69" s="359"/>
      <c r="Z69" s="170"/>
      <c r="AA69" s="137"/>
      <c r="AJ69" s="505"/>
      <c r="AM69" s="76"/>
    </row>
    <row r="70" spans="1:39" ht="15" customHeight="1">
      <c r="A70" s="170"/>
      <c r="B70" s="360"/>
      <c r="C70" s="170" t="s">
        <v>1673</v>
      </c>
      <c r="D70" s="124"/>
      <c r="E70" s="170"/>
      <c r="F70" s="150"/>
      <c r="H70" s="170"/>
      <c r="J70" s="170"/>
      <c r="K70" s="170"/>
      <c r="L70" s="170"/>
      <c r="M70" s="359"/>
      <c r="N70" s="170"/>
      <c r="O70" s="170"/>
      <c r="P70" s="170"/>
      <c r="Q70" s="170"/>
      <c r="R70" s="170"/>
      <c r="S70" s="170"/>
      <c r="V70" s="170"/>
      <c r="W70" s="170"/>
      <c r="X70" s="170"/>
      <c r="Y70" s="359"/>
      <c r="Z70" s="170"/>
      <c r="AA70" s="137"/>
      <c r="AJ70" s="505"/>
      <c r="AM70" s="76"/>
    </row>
    <row r="71" spans="1:39" ht="15" customHeight="1">
      <c r="A71" s="170"/>
      <c r="B71" s="360"/>
      <c r="C71" s="170"/>
      <c r="D71" s="143" t="s">
        <v>923</v>
      </c>
      <c r="E71" s="170"/>
      <c r="F71" s="150"/>
      <c r="H71" s="170"/>
      <c r="J71" s="170"/>
      <c r="K71" s="170"/>
      <c r="L71" s="170"/>
      <c r="M71" s="359"/>
      <c r="N71" s="170"/>
      <c r="O71" s="170"/>
      <c r="P71" s="170"/>
      <c r="Q71" s="170"/>
      <c r="R71" s="170"/>
      <c r="S71" s="170"/>
      <c r="V71" s="170"/>
      <c r="W71" s="170"/>
      <c r="X71" s="170"/>
      <c r="Y71" s="359"/>
      <c r="Z71" s="170"/>
      <c r="AA71" s="137"/>
      <c r="AJ71" s="505"/>
      <c r="AM71" s="76"/>
    </row>
    <row r="72" spans="1:39" ht="15" customHeight="1">
      <c r="A72" s="170"/>
      <c r="B72" s="360"/>
      <c r="D72" s="124" t="s">
        <v>935</v>
      </c>
      <c r="E72" s="170"/>
      <c r="F72" s="150"/>
      <c r="H72" s="170"/>
      <c r="J72" s="170"/>
      <c r="K72" s="170"/>
      <c r="L72" s="170"/>
      <c r="M72" s="359"/>
      <c r="N72" s="170"/>
      <c r="O72" s="170"/>
      <c r="P72" s="170"/>
      <c r="Q72" s="170"/>
      <c r="R72" s="170"/>
      <c r="S72" s="170"/>
      <c r="V72" s="170"/>
      <c r="W72" s="170"/>
      <c r="X72" s="170"/>
      <c r="Y72" s="359"/>
      <c r="Z72" s="170"/>
      <c r="AA72" s="137"/>
      <c r="AJ72" s="505"/>
      <c r="AM72" s="76"/>
    </row>
    <row r="73" spans="1:39" ht="15" customHeight="1">
      <c r="A73" s="170"/>
      <c r="B73" s="360"/>
      <c r="C73" s="170"/>
      <c r="D73" s="170" t="s">
        <v>1604</v>
      </c>
      <c r="E73" s="170"/>
      <c r="F73" s="150"/>
      <c r="H73" s="170"/>
      <c r="J73" s="170"/>
      <c r="K73" s="170"/>
      <c r="L73" s="170"/>
      <c r="M73" s="359"/>
      <c r="N73" s="170"/>
      <c r="O73" s="170"/>
      <c r="P73" s="170"/>
      <c r="Q73" s="170"/>
      <c r="R73" s="170"/>
      <c r="S73" s="170"/>
      <c r="V73" s="170"/>
      <c r="W73" s="170"/>
      <c r="X73" s="170"/>
      <c r="Y73" s="359"/>
      <c r="Z73" s="170"/>
      <c r="AA73" s="137"/>
      <c r="AJ73" s="505"/>
      <c r="AM73" s="76"/>
    </row>
    <row r="74" spans="1:39" ht="15" customHeight="1">
      <c r="A74" s="170"/>
      <c r="B74" s="360"/>
      <c r="C74" s="170"/>
      <c r="D74" s="124" t="s">
        <v>2002</v>
      </c>
      <c r="E74" s="170"/>
      <c r="F74" s="150"/>
      <c r="H74" s="170"/>
      <c r="J74" s="170"/>
      <c r="K74" s="170"/>
      <c r="L74" s="170"/>
      <c r="M74" s="359"/>
      <c r="N74" s="170"/>
      <c r="O74" s="170"/>
      <c r="P74" s="170"/>
      <c r="Q74" s="170"/>
      <c r="R74" s="170"/>
      <c r="S74" s="170"/>
      <c r="V74" s="170"/>
      <c r="W74" s="170"/>
      <c r="X74" s="170"/>
      <c r="Y74" s="359"/>
      <c r="Z74" s="170"/>
      <c r="AA74" s="137"/>
      <c r="AJ74" s="505"/>
      <c r="AM74" s="76"/>
    </row>
    <row r="75" spans="1:39" ht="15" customHeight="1">
      <c r="A75" s="170"/>
      <c r="B75" s="360"/>
      <c r="C75" s="170" t="s">
        <v>1674</v>
      </c>
      <c r="D75" s="124"/>
      <c r="E75" s="170"/>
      <c r="F75" s="150"/>
      <c r="H75" s="170"/>
      <c r="J75" s="170"/>
      <c r="K75" s="170"/>
      <c r="L75" s="170"/>
      <c r="M75" s="359"/>
      <c r="N75" s="170"/>
      <c r="O75" s="170"/>
      <c r="P75" s="170"/>
      <c r="Q75" s="170"/>
      <c r="R75" s="170"/>
      <c r="S75" s="170"/>
      <c r="V75" s="170"/>
      <c r="W75" s="170"/>
      <c r="X75" s="170"/>
      <c r="Y75" s="359"/>
      <c r="Z75" s="170"/>
      <c r="AA75" s="137"/>
      <c r="AJ75" s="505"/>
      <c r="AM75" s="76"/>
    </row>
    <row r="76" spans="1:39" ht="15" customHeight="1">
      <c r="A76" s="170"/>
      <c r="B76" s="360"/>
      <c r="C76" s="170"/>
      <c r="D76" s="143" t="s">
        <v>934</v>
      </c>
      <c r="E76" s="170"/>
      <c r="F76" s="150"/>
      <c r="H76" s="170"/>
      <c r="J76" s="170"/>
      <c r="K76" s="170"/>
      <c r="L76" s="170"/>
      <c r="M76" s="359"/>
      <c r="N76" s="170"/>
      <c r="O76" s="170"/>
      <c r="P76" s="170"/>
      <c r="Q76" s="170"/>
      <c r="R76" s="170"/>
      <c r="S76" s="170"/>
      <c r="V76" s="170"/>
      <c r="W76" s="170"/>
      <c r="X76" s="170"/>
      <c r="Y76" s="359"/>
      <c r="Z76" s="170"/>
      <c r="AA76" s="137"/>
      <c r="AJ76" s="505"/>
      <c r="AM76" s="76"/>
    </row>
    <row r="77" spans="1:39" ht="15" customHeight="1">
      <c r="A77" s="170"/>
      <c r="B77" s="360"/>
      <c r="D77" s="124" t="s">
        <v>936</v>
      </c>
      <c r="E77" s="170"/>
      <c r="F77" s="150"/>
      <c r="H77" s="170"/>
      <c r="J77" s="170"/>
      <c r="K77" s="170"/>
      <c r="L77" s="170"/>
      <c r="M77" s="359"/>
      <c r="N77" s="170"/>
      <c r="O77" s="170"/>
      <c r="P77" s="170"/>
      <c r="Q77" s="170"/>
      <c r="R77" s="170"/>
      <c r="S77" s="170"/>
      <c r="V77" s="170"/>
      <c r="W77" s="170"/>
      <c r="X77" s="170"/>
      <c r="Y77" s="359"/>
      <c r="Z77" s="170"/>
      <c r="AA77" s="137"/>
      <c r="AJ77" s="505"/>
      <c r="AM77" s="76"/>
    </row>
    <row r="78" spans="1:39" ht="15" customHeight="1">
      <c r="A78" s="170"/>
      <c r="B78" s="360"/>
      <c r="C78" s="170"/>
      <c r="D78" s="170" t="s">
        <v>937</v>
      </c>
      <c r="E78" s="561">
        <v>3</v>
      </c>
      <c r="F78" s="143" t="s">
        <v>938</v>
      </c>
      <c r="H78" s="561"/>
      <c r="J78" s="170"/>
      <c r="K78" s="170"/>
      <c r="L78" s="170"/>
      <c r="M78" s="359"/>
      <c r="N78" s="170"/>
      <c r="O78" s="170"/>
      <c r="P78" s="170"/>
      <c r="Q78" s="170"/>
      <c r="R78" s="170"/>
      <c r="S78" s="170"/>
      <c r="V78" s="170"/>
      <c r="W78" s="170"/>
      <c r="X78" s="170"/>
      <c r="Y78" s="359"/>
      <c r="Z78" s="170"/>
      <c r="AA78" s="137"/>
      <c r="AJ78" s="505"/>
      <c r="AM78" s="76"/>
    </row>
    <row r="79" spans="1:39" ht="15" customHeight="1">
      <c r="A79" s="170"/>
      <c r="B79" s="360"/>
      <c r="C79" s="170" t="s">
        <v>1675</v>
      </c>
      <c r="D79" s="124"/>
      <c r="E79" s="170"/>
      <c r="F79" s="150"/>
      <c r="H79" s="170"/>
      <c r="J79" s="170"/>
      <c r="K79" s="170"/>
      <c r="L79" s="170"/>
      <c r="M79" s="359"/>
      <c r="N79" s="170"/>
      <c r="O79" s="170"/>
      <c r="P79" s="170"/>
      <c r="Q79" s="170"/>
      <c r="R79" s="170"/>
      <c r="S79" s="170"/>
      <c r="V79" s="170"/>
      <c r="W79" s="170"/>
      <c r="X79" s="170"/>
      <c r="Y79" s="359"/>
      <c r="Z79" s="170"/>
      <c r="AA79" s="137"/>
      <c r="AJ79" s="505"/>
      <c r="AM79" s="76"/>
    </row>
    <row r="80" spans="1:39" ht="15" customHeight="1">
      <c r="A80" s="170"/>
      <c r="B80" s="360"/>
      <c r="C80" s="170"/>
      <c r="D80" s="170" t="s">
        <v>939</v>
      </c>
      <c r="E80" s="170"/>
      <c r="F80" s="150"/>
      <c r="H80" s="170"/>
      <c r="J80" s="170"/>
      <c r="K80" s="170"/>
      <c r="L80" s="170"/>
      <c r="M80" s="359"/>
      <c r="N80" s="170"/>
      <c r="O80" s="170"/>
      <c r="P80" s="170"/>
      <c r="Q80" s="170"/>
      <c r="R80" s="170"/>
      <c r="S80" s="170"/>
      <c r="V80" s="170"/>
      <c r="W80" s="170"/>
      <c r="X80" s="170"/>
      <c r="Y80" s="359"/>
      <c r="Z80" s="170"/>
      <c r="AA80" s="137"/>
      <c r="AJ80" s="505"/>
      <c r="AM80" s="76"/>
    </row>
    <row r="81" spans="1:45" ht="15" customHeight="1">
      <c r="A81" s="170"/>
      <c r="B81" s="360"/>
      <c r="D81" s="170" t="s">
        <v>386</v>
      </c>
      <c r="E81" s="170"/>
      <c r="F81" s="150"/>
      <c r="H81" s="170"/>
      <c r="J81" s="170"/>
      <c r="K81" s="170"/>
      <c r="L81" s="170"/>
      <c r="M81" s="359"/>
      <c r="N81" s="170"/>
      <c r="O81" s="170"/>
      <c r="P81" s="170"/>
      <c r="Q81" s="170"/>
      <c r="R81" s="170"/>
      <c r="S81" s="170"/>
      <c r="V81" s="170"/>
      <c r="W81" s="170"/>
      <c r="X81" s="170"/>
      <c r="Y81" s="359"/>
      <c r="Z81" s="170"/>
      <c r="AA81" s="137"/>
      <c r="AJ81" s="505"/>
      <c r="AM81" s="76"/>
    </row>
    <row r="82" spans="1:45" ht="15" customHeight="1">
      <c r="A82" s="170"/>
      <c r="B82" s="202"/>
      <c r="C82" s="170"/>
      <c r="D82" s="170"/>
      <c r="E82" s="124"/>
      <c r="F82" s="202"/>
      <c r="H82" s="170"/>
      <c r="I82" s="170"/>
      <c r="J82" s="170"/>
      <c r="K82" s="170"/>
      <c r="L82" s="143"/>
      <c r="M82" s="170"/>
      <c r="N82" s="170"/>
      <c r="P82" s="170"/>
      <c r="Q82" s="170"/>
      <c r="R82" s="170"/>
      <c r="S82" s="170"/>
      <c r="T82" s="170"/>
      <c r="U82" s="170"/>
      <c r="V82" s="170"/>
      <c r="W82" s="170"/>
      <c r="X82" s="170"/>
      <c r="Y82" s="201"/>
      <c r="Z82" s="170"/>
      <c r="AA82" s="170"/>
      <c r="AJ82" s="505"/>
      <c r="AM82" s="76"/>
    </row>
    <row r="83" spans="1:45" ht="15" customHeight="1">
      <c r="A83" s="170"/>
      <c r="B83" s="194"/>
      <c r="C83" s="1870" t="s">
        <v>376</v>
      </c>
      <c r="D83" s="1871" t="s">
        <v>364</v>
      </c>
      <c r="E83" s="531" t="s">
        <v>374</v>
      </c>
      <c r="F83" s="194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93"/>
      <c r="Z83" s="170"/>
      <c r="AA83" s="170"/>
      <c r="AJ83" s="505"/>
      <c r="AM83" s="76"/>
    </row>
    <row r="84" spans="1:45" ht="15" customHeight="1">
      <c r="A84" s="134"/>
      <c r="B84" s="170"/>
      <c r="C84" s="1870"/>
      <c r="D84" s="1871"/>
      <c r="E84" s="530" t="s">
        <v>375</v>
      </c>
      <c r="F84" s="170"/>
      <c r="H84" s="170"/>
      <c r="I84" s="170"/>
      <c r="J84" s="170"/>
      <c r="K84" s="17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89"/>
      <c r="Z84" s="170"/>
      <c r="AA84" s="170"/>
      <c r="AJ84" s="505"/>
      <c r="AM84" s="76"/>
    </row>
    <row r="85" spans="1:45" ht="15" customHeight="1">
      <c r="A85" s="170"/>
      <c r="B85" s="170"/>
      <c r="C85" s="1870" t="s">
        <v>377</v>
      </c>
      <c r="D85" s="1871" t="s">
        <v>364</v>
      </c>
      <c r="F85" s="170"/>
      <c r="G85" s="170"/>
      <c r="H85" s="170"/>
      <c r="I85" s="170"/>
      <c r="J85" s="170"/>
      <c r="K85" s="170"/>
      <c r="L85" s="170"/>
      <c r="N85" s="170"/>
      <c r="O85" s="170"/>
      <c r="P85" s="170"/>
      <c r="Q85" s="170"/>
      <c r="R85" s="170"/>
      <c r="S85" s="170"/>
      <c r="T85" s="170"/>
      <c r="U85" s="170"/>
      <c r="V85" s="170"/>
      <c r="W85" s="170"/>
      <c r="X85" s="170"/>
      <c r="Y85" s="189"/>
      <c r="Z85" s="170"/>
      <c r="AA85" s="170"/>
      <c r="AJ85" s="505"/>
      <c r="AM85" s="76"/>
    </row>
    <row r="86" spans="1:45" ht="15" customHeight="1">
      <c r="A86" s="170"/>
      <c r="B86" s="170"/>
      <c r="C86" s="1870"/>
      <c r="D86" s="1871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89"/>
      <c r="Z86" s="170"/>
      <c r="AA86" s="170"/>
      <c r="AJ86" s="505"/>
      <c r="AM86" s="76"/>
    </row>
    <row r="87" spans="1:45" ht="15" customHeight="1">
      <c r="A87" s="170"/>
      <c r="B87" s="170"/>
      <c r="C87" s="170"/>
      <c r="D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89"/>
      <c r="Z87" s="170"/>
      <c r="AA87" s="170"/>
      <c r="AJ87" s="505"/>
      <c r="AM87" s="76"/>
    </row>
    <row r="88" spans="1:45" ht="15" customHeight="1">
      <c r="A88" s="170"/>
      <c r="B88" s="170"/>
      <c r="C88" s="170" t="s">
        <v>380</v>
      </c>
      <c r="D88" s="124" t="s">
        <v>324</v>
      </c>
      <c r="E88" s="170" t="s">
        <v>379</v>
      </c>
      <c r="F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99"/>
      <c r="Z88" s="170"/>
      <c r="AA88" s="170"/>
      <c r="AJ88" s="505"/>
      <c r="AM88" s="76"/>
    </row>
    <row r="89" spans="1:45" ht="15" customHeight="1">
      <c r="A89" s="170"/>
      <c r="B89" s="170"/>
      <c r="C89" s="170" t="s">
        <v>381</v>
      </c>
      <c r="D89" s="124" t="s">
        <v>324</v>
      </c>
      <c r="E89" s="170" t="s">
        <v>452</v>
      </c>
      <c r="F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99"/>
      <c r="Z89" s="170"/>
      <c r="AA89" s="170"/>
      <c r="AJ89" s="505"/>
      <c r="AM89" s="76"/>
    </row>
    <row r="90" spans="1:45" ht="15" customHeight="1">
      <c r="A90" s="170"/>
      <c r="B90" s="170"/>
      <c r="C90" s="170" t="s">
        <v>940</v>
      </c>
      <c r="D90" s="124" t="s">
        <v>324</v>
      </c>
      <c r="E90" s="170" t="s">
        <v>941</v>
      </c>
      <c r="F90" s="200"/>
      <c r="G90" s="170" t="s">
        <v>378</v>
      </c>
      <c r="H90" s="170"/>
      <c r="K90" s="170"/>
      <c r="L90" s="143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201"/>
      <c r="Z90" s="170"/>
      <c r="AA90" s="170"/>
      <c r="AJ90" s="505"/>
      <c r="AM90" s="76"/>
    </row>
    <row r="91" spans="1:45" ht="15" customHeight="1">
      <c r="A91" s="170"/>
      <c r="B91" s="170"/>
      <c r="C91" s="170"/>
      <c r="D91" s="170"/>
      <c r="E91" s="124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201"/>
      <c r="Z91" s="170"/>
      <c r="AA91" s="170"/>
      <c r="AJ91" s="505"/>
      <c r="AM91" s="76"/>
    </row>
    <row r="92" spans="1:45" ht="15" customHeight="1" thickBot="1">
      <c r="A92" s="445" t="s">
        <v>1621</v>
      </c>
      <c r="B92" s="170"/>
      <c r="C92" s="170"/>
      <c r="D92" s="170"/>
      <c r="E92" s="170"/>
      <c r="F92" s="170"/>
      <c r="G92" s="170"/>
      <c r="H92" s="170"/>
      <c r="I92" s="170"/>
      <c r="J92" s="170"/>
      <c r="K92" s="170"/>
      <c r="L92" s="193"/>
      <c r="M92" s="170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93"/>
      <c r="Z92" s="170"/>
      <c r="AA92" s="170"/>
      <c r="AB92" s="462"/>
      <c r="AJ92" s="505"/>
      <c r="AM92" s="76"/>
    </row>
    <row r="93" spans="1:45" ht="15" customHeight="1">
      <c r="A93" s="549" t="s">
        <v>16</v>
      </c>
      <c r="B93" s="1918" t="s">
        <v>946</v>
      </c>
      <c r="C93" s="1911"/>
      <c r="D93" s="1911"/>
      <c r="E93" s="1911"/>
      <c r="F93" s="1911"/>
      <c r="G93" s="1911"/>
      <c r="H93" s="1919"/>
      <c r="I93" s="1918" t="s">
        <v>947</v>
      </c>
      <c r="J93" s="1911"/>
      <c r="K93" s="1919"/>
      <c r="L93" s="544" t="s">
        <v>142</v>
      </c>
      <c r="M93" s="544" t="s">
        <v>385</v>
      </c>
      <c r="N93" s="545" t="s">
        <v>143</v>
      </c>
      <c r="R93" s="463"/>
      <c r="S93" s="73"/>
      <c r="T93" s="463"/>
      <c r="U93" s="73"/>
      <c r="V93" s="73"/>
      <c r="W93" s="73"/>
      <c r="X93" s="73"/>
      <c r="Y93" s="73"/>
      <c r="Z93" s="73"/>
      <c r="AA93" s="73"/>
      <c r="AC93" s="73"/>
      <c r="AD93" s="73"/>
      <c r="AF93" s="73"/>
      <c r="AH93" s="143"/>
      <c r="AI93" s="14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</row>
    <row r="94" spans="1:45" ht="15" customHeight="1">
      <c r="A94" s="550"/>
      <c r="B94" s="543" t="s">
        <v>943</v>
      </c>
      <c r="C94" s="543" t="s">
        <v>1058</v>
      </c>
      <c r="D94" s="543" t="s">
        <v>1822</v>
      </c>
      <c r="E94" s="543" t="s">
        <v>1845</v>
      </c>
      <c r="F94" s="543" t="s">
        <v>944</v>
      </c>
      <c r="G94" s="543" t="s">
        <v>1609</v>
      </c>
      <c r="H94" s="543" t="s">
        <v>945</v>
      </c>
      <c r="I94" s="543" t="s">
        <v>1603</v>
      </c>
      <c r="J94" s="543" t="s">
        <v>948</v>
      </c>
      <c r="K94" s="543" t="s">
        <v>949</v>
      </c>
      <c r="L94" s="543"/>
      <c r="M94" s="543"/>
      <c r="N94" s="546"/>
      <c r="R94" s="463"/>
      <c r="S94" s="73"/>
      <c r="T94" s="463"/>
      <c r="U94" s="73"/>
      <c r="V94" s="73"/>
      <c r="W94" s="73"/>
      <c r="X94" s="73"/>
      <c r="Y94" s="73"/>
      <c r="Z94" s="73"/>
      <c r="AA94" s="73"/>
      <c r="AC94" s="73"/>
      <c r="AD94" s="73"/>
      <c r="AF94" s="7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</row>
    <row r="95" spans="1:45" ht="15" customHeight="1">
      <c r="A95" s="482" t="str">
        <f>input!B3</f>
        <v>101i</v>
      </c>
      <c r="B95" s="792">
        <f>input!AL3</f>
        <v>5000</v>
      </c>
      <c r="C95" s="573">
        <f>+input!CJ3</f>
        <v>113285.61043672869</v>
      </c>
      <c r="D95" s="573">
        <f>(input!CR3-input!CJ3)*input!$CU$1</f>
        <v>0</v>
      </c>
      <c r="E95" s="817">
        <f>(input!DH3-input!CJ3)*input!$DJ$1</f>
        <v>1580499.9999999998</v>
      </c>
      <c r="F95" s="574">
        <f>(C95*7.85+(D95+E95)*2.5)/10^5/2</f>
        <v>24.202710209641598</v>
      </c>
      <c r="G95" s="21">
        <f>+input!BP3</f>
        <v>0.125</v>
      </c>
      <c r="H95" s="21">
        <f>F95*G95*B95^2/12/10^6</f>
        <v>6.302789117094167</v>
      </c>
      <c r="I95" s="21">
        <f>input!M3/(input!T3+input!M3*input!BP3)</f>
        <v>1.7333333333333334</v>
      </c>
      <c r="J95" s="21">
        <f>+input!T3*input!P3/10^6*25</f>
        <v>8.5187500000000007</v>
      </c>
      <c r="K95" s="21">
        <f>0.5*J95/I95*B95*B95/12/10^6</f>
        <v>5.1194411057692308</v>
      </c>
      <c r="L95" s="21">
        <f>0.5*$E$78/I95*B95*B95/12/10^6</f>
        <v>1.802884615384615</v>
      </c>
      <c r="M95" s="366"/>
      <c r="N95" s="576">
        <f>IF(ISNUMBER(M95),(+MST!B4+MST!C4+MST!D4)*B95*B95/12/M95/input!M3,0)</f>
        <v>0</v>
      </c>
      <c r="R95" s="559"/>
      <c r="S95" s="73"/>
      <c r="T95" s="559"/>
      <c r="U95" s="73"/>
      <c r="V95" s="73"/>
      <c r="W95" s="73"/>
      <c r="X95" s="73"/>
      <c r="Y95" s="73"/>
      <c r="Z95" s="73"/>
      <c r="AA95" s="73"/>
      <c r="AC95" s="73"/>
      <c r="AD95" s="73"/>
      <c r="AF95" s="73"/>
      <c r="AH95" s="143"/>
      <c r="AI95" s="14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</row>
    <row r="96" spans="1:45" ht="15" customHeight="1">
      <c r="A96" s="482" t="str">
        <f>input!B4</f>
        <v>101j</v>
      </c>
      <c r="B96" s="792">
        <f>input!AL4</f>
        <v>5000</v>
      </c>
      <c r="C96" s="573">
        <f>+input!CJ4</f>
        <v>113285.61043672869</v>
      </c>
      <c r="D96" s="573">
        <f>(input!CR4-input!CJ4)*input!$CU$1</f>
        <v>0</v>
      </c>
      <c r="E96" s="817">
        <f>(input!DH4-input!CJ4)*input!$DJ$1</f>
        <v>1580499.9999999998</v>
      </c>
      <c r="F96" s="574">
        <f t="shared" ref="F96:F156" si="0">(C96*7.85+(D96+E96)*2.5)/10^5/2</f>
        <v>24.202710209641598</v>
      </c>
      <c r="G96" s="21">
        <f>+input!BP4</f>
        <v>0.125</v>
      </c>
      <c r="H96" s="21">
        <f t="shared" ref="H96:H156" si="1">F96*G96*B96^2/12/10^6</f>
        <v>6.302789117094167</v>
      </c>
      <c r="I96" s="21">
        <f>input!M4/(input!T4+input!M4*input!BP4)</f>
        <v>1.7333333333333334</v>
      </c>
      <c r="J96" s="21">
        <f>+input!T4*input!P4/10^6*25</f>
        <v>8.5187500000000007</v>
      </c>
      <c r="K96" s="21">
        <f t="shared" ref="K96:K126" si="2">0.5*J96/I96*B96*B96/12/10^6</f>
        <v>5.1194411057692308</v>
      </c>
      <c r="L96" s="21">
        <f t="shared" ref="L96:L126" si="3">0.5*$E$78/I96*B96*B96/12/10^6</f>
        <v>1.802884615384615</v>
      </c>
      <c r="M96" s="366"/>
      <c r="N96" s="576">
        <f>IF(ISNUMBER(M96),(+MST!B5+MST!C5+MST!D5)*B96*B96/12/M96/input!M4,0)</f>
        <v>0</v>
      </c>
      <c r="R96" s="559"/>
      <c r="S96" s="73"/>
      <c r="T96" s="559"/>
      <c r="U96" s="73"/>
      <c r="V96" s="73"/>
      <c r="W96" s="73"/>
      <c r="X96" s="73"/>
      <c r="Y96" s="73"/>
      <c r="Z96" s="73"/>
      <c r="AA96" s="73"/>
      <c r="AC96" s="73"/>
      <c r="AD96" s="73"/>
      <c r="AF96" s="7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</row>
    <row r="97" spans="1:45" ht="15" customHeight="1">
      <c r="A97" s="482" t="str">
        <f>input!B5</f>
        <v>102i</v>
      </c>
      <c r="B97" s="792">
        <f>input!AL5</f>
        <v>5000</v>
      </c>
      <c r="C97" s="573">
        <f>+input!CJ5</f>
        <v>113285.61043672869</v>
      </c>
      <c r="D97" s="573">
        <f>(input!CR5-input!CJ5)*input!$CU$1</f>
        <v>0</v>
      </c>
      <c r="E97" s="817">
        <f>(input!DH5-input!CJ5)*input!$DJ$1</f>
        <v>1580499.9999999998</v>
      </c>
      <c r="F97" s="574">
        <f t="shared" si="0"/>
        <v>24.202710209641598</v>
      </c>
      <c r="G97" s="21">
        <f>+input!BP5</f>
        <v>0.125</v>
      </c>
      <c r="H97" s="21">
        <f t="shared" si="1"/>
        <v>6.302789117094167</v>
      </c>
      <c r="I97" s="21">
        <f>input!M5/(input!T5+input!M5*input!BP5)</f>
        <v>1.7333333333333334</v>
      </c>
      <c r="J97" s="21">
        <f>+input!T5*input!P5/10^6*25</f>
        <v>8.5187500000000007</v>
      </c>
      <c r="K97" s="21">
        <f t="shared" si="2"/>
        <v>5.1194411057692308</v>
      </c>
      <c r="L97" s="21">
        <f t="shared" si="3"/>
        <v>1.802884615384615</v>
      </c>
      <c r="M97" s="366"/>
      <c r="N97" s="576">
        <f>IF(ISNUMBER(M97),(+MST!B6+MST!C6+MST!D6)*B97*B97/12/M97/input!M5,0)</f>
        <v>0</v>
      </c>
      <c r="R97" s="559"/>
      <c r="S97" s="73"/>
      <c r="T97" s="559"/>
      <c r="U97" s="73"/>
      <c r="V97" s="73"/>
      <c r="W97" s="73"/>
      <c r="X97" s="73"/>
      <c r="Y97" s="73"/>
      <c r="Z97" s="73"/>
      <c r="AA97" s="73"/>
      <c r="AC97" s="73"/>
      <c r="AD97" s="73"/>
      <c r="AF97" s="73"/>
      <c r="AH97" s="143"/>
      <c r="AI97" s="14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/>
    </row>
    <row r="98" spans="1:45" ht="15" customHeight="1">
      <c r="A98" s="482" t="str">
        <f>input!B6</f>
        <v>102j</v>
      </c>
      <c r="B98" s="792">
        <f>input!AL6</f>
        <v>5000</v>
      </c>
      <c r="C98" s="573">
        <f>+input!CJ6</f>
        <v>113285.61043672869</v>
      </c>
      <c r="D98" s="573">
        <f>(input!CR6-input!CJ6)*input!$CU$1</f>
        <v>0</v>
      </c>
      <c r="E98" s="817">
        <f>(input!DH6-input!CJ6)*input!$DJ$1</f>
        <v>1580499.9999999998</v>
      </c>
      <c r="F98" s="574">
        <f t="shared" si="0"/>
        <v>24.202710209641598</v>
      </c>
      <c r="G98" s="21">
        <f>+input!BP6</f>
        <v>0.125</v>
      </c>
      <c r="H98" s="21">
        <f t="shared" si="1"/>
        <v>6.302789117094167</v>
      </c>
      <c r="I98" s="21">
        <f>input!M6/(input!T6+input!M6*input!BP6)</f>
        <v>1.7333333333333334</v>
      </c>
      <c r="J98" s="21">
        <f>+input!T6*input!P6/10^6*25</f>
        <v>8.5187500000000007</v>
      </c>
      <c r="K98" s="21">
        <f t="shared" si="2"/>
        <v>5.1194411057692308</v>
      </c>
      <c r="L98" s="21">
        <f t="shared" si="3"/>
        <v>1.802884615384615</v>
      </c>
      <c r="M98" s="366"/>
      <c r="N98" s="576">
        <f>IF(ISNUMBER(M98),(+MST!B7+MST!C7+MST!D7)*B98*B98/12/M98/input!M6,0)</f>
        <v>0</v>
      </c>
      <c r="R98" s="559"/>
      <c r="S98" s="73"/>
      <c r="T98" s="559"/>
      <c r="U98" s="73"/>
      <c r="V98" s="73"/>
      <c r="W98" s="73"/>
      <c r="X98" s="73"/>
      <c r="Y98" s="73"/>
      <c r="Z98" s="73"/>
      <c r="AA98" s="73"/>
      <c r="AC98" s="73"/>
      <c r="AD98" s="73"/>
      <c r="AF98" s="73"/>
      <c r="AH98" s="143"/>
      <c r="AI98" s="14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</row>
    <row r="99" spans="1:45" ht="15" customHeight="1">
      <c r="A99" s="482" t="str">
        <f>input!B7</f>
        <v>103i</v>
      </c>
      <c r="B99" s="792">
        <f>input!AL7</f>
        <v>5000</v>
      </c>
      <c r="C99" s="573">
        <f>+input!CJ7</f>
        <v>137762.96508570784</v>
      </c>
      <c r="D99" s="573">
        <f>(input!CR7-input!CJ7)*input!$CU$1</f>
        <v>0</v>
      </c>
      <c r="E99" s="817">
        <f>(input!DH7-input!CJ7)*input!$DJ$1</f>
        <v>1595000</v>
      </c>
      <c r="F99" s="574">
        <f t="shared" si="0"/>
        <v>25.344696379614035</v>
      </c>
      <c r="G99" s="21">
        <f>+input!BP7</f>
        <v>0.125</v>
      </c>
      <c r="H99" s="21">
        <f t="shared" si="1"/>
        <v>6.6001813488578209</v>
      </c>
      <c r="I99" s="21">
        <f>input!M7/(input!T7+input!M7*input!BP7)</f>
        <v>1.8064516129032258</v>
      </c>
      <c r="J99" s="21">
        <f>+input!T7*input!P7/10^6*25</f>
        <v>8.6999999999999993</v>
      </c>
      <c r="K99" s="21">
        <f t="shared" si="2"/>
        <v>5.0167410714285712</v>
      </c>
      <c r="L99" s="21">
        <f t="shared" si="3"/>
        <v>1.7299107142857146</v>
      </c>
      <c r="M99" s="366"/>
      <c r="N99" s="576">
        <f>IF(ISNUMBER(M99),(+MST!B8+MST!C8+MST!D8)*B99*B99/12/M99/input!M7,0)</f>
        <v>0</v>
      </c>
      <c r="R99" s="559"/>
      <c r="S99" s="73"/>
      <c r="T99" s="559"/>
      <c r="U99" s="73"/>
      <c r="V99" s="73"/>
      <c r="W99" s="73"/>
      <c r="X99" s="73"/>
      <c r="Y99" s="73"/>
      <c r="Z99" s="73"/>
      <c r="AA99" s="73"/>
      <c r="AC99" s="73"/>
      <c r="AD99" s="73"/>
      <c r="AF99" s="73"/>
      <c r="AH99" s="143"/>
      <c r="AI99" s="14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</row>
    <row r="100" spans="1:45" ht="15" customHeight="1">
      <c r="A100" s="482" t="str">
        <f>input!B8</f>
        <v>103j</v>
      </c>
      <c r="B100" s="792">
        <f>input!AL8</f>
        <v>5000</v>
      </c>
      <c r="C100" s="573">
        <f>+input!CJ8</f>
        <v>137762.96508570784</v>
      </c>
      <c r="D100" s="573">
        <f>(input!CR8-input!CJ8)*input!$CU$1</f>
        <v>0</v>
      </c>
      <c r="E100" s="817">
        <f>(input!DH8-input!CJ8)*input!$DJ$1</f>
        <v>1595000</v>
      </c>
      <c r="F100" s="574">
        <f t="shared" si="0"/>
        <v>25.344696379614035</v>
      </c>
      <c r="G100" s="21">
        <f>+input!BP8</f>
        <v>0.125</v>
      </c>
      <c r="H100" s="21">
        <f t="shared" si="1"/>
        <v>6.6001813488578209</v>
      </c>
      <c r="I100" s="21">
        <f>input!M8/(input!T8+input!M8*input!BP8)</f>
        <v>1.8064516129032258</v>
      </c>
      <c r="J100" s="21">
        <f>+input!T8*input!P8/10^6*25</f>
        <v>8.6999999999999993</v>
      </c>
      <c r="K100" s="21">
        <f t="shared" si="2"/>
        <v>5.0167410714285712</v>
      </c>
      <c r="L100" s="21">
        <f t="shared" si="3"/>
        <v>1.7299107142857146</v>
      </c>
      <c r="M100" s="366"/>
      <c r="N100" s="576">
        <f>IF(ISNUMBER(M100),(+MST!B9+MST!C9+MST!D9)*B100*B100/12/M100/input!M8,0)</f>
        <v>0</v>
      </c>
      <c r="R100" s="559"/>
      <c r="S100" s="73"/>
      <c r="T100" s="559"/>
      <c r="U100" s="73"/>
      <c r="V100" s="73"/>
      <c r="W100" s="73"/>
      <c r="X100" s="73"/>
      <c r="Y100" s="73"/>
      <c r="Z100" s="73"/>
      <c r="AA100" s="73"/>
      <c r="AC100" s="73"/>
      <c r="AD100" s="73"/>
      <c r="AF100" s="73"/>
      <c r="AH100" s="143"/>
      <c r="AI100" s="14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</row>
    <row r="101" spans="1:45" ht="15" customHeight="1">
      <c r="A101" s="482" t="str">
        <f>input!B9</f>
        <v>104i</v>
      </c>
      <c r="B101" s="792">
        <f>input!AL9</f>
        <v>5000</v>
      </c>
      <c r="C101" s="573">
        <f>+input!CJ9</f>
        <v>137762.96508570784</v>
      </c>
      <c r="D101" s="573">
        <f>(input!CR9-input!CJ9)*input!$CU$1</f>
        <v>0</v>
      </c>
      <c r="E101" s="817">
        <f>(input!DH9-input!CJ9)*input!$DJ$1</f>
        <v>1595000</v>
      </c>
      <c r="F101" s="574">
        <f t="shared" si="0"/>
        <v>25.344696379614035</v>
      </c>
      <c r="G101" s="21">
        <f>+input!BP9</f>
        <v>0.125</v>
      </c>
      <c r="H101" s="21">
        <f t="shared" si="1"/>
        <v>6.6001813488578209</v>
      </c>
      <c r="I101" s="21">
        <f>input!M9/(input!T9+input!M9*input!BP9)</f>
        <v>1.8064516129032258</v>
      </c>
      <c r="J101" s="21">
        <f>+input!T9*input!P9/10^6*25</f>
        <v>8.6999999999999993</v>
      </c>
      <c r="K101" s="21">
        <f t="shared" si="2"/>
        <v>5.0167410714285712</v>
      </c>
      <c r="L101" s="21">
        <f t="shared" si="3"/>
        <v>1.7299107142857146</v>
      </c>
      <c r="M101" s="366"/>
      <c r="N101" s="576">
        <f>IF(ISNUMBER(M101),(+MST!B10+MST!C10+MST!D10)*B101*B101/12/M101/input!M9,0)</f>
        <v>0</v>
      </c>
      <c r="R101" s="559"/>
      <c r="S101" s="73"/>
      <c r="T101" s="559"/>
      <c r="U101" s="73"/>
      <c r="V101" s="73"/>
      <c r="W101" s="73"/>
      <c r="X101" s="73"/>
      <c r="Y101" s="73"/>
      <c r="Z101" s="73"/>
      <c r="AA101" s="73"/>
      <c r="AC101" s="73"/>
      <c r="AD101" s="73"/>
      <c r="AF101" s="73"/>
      <c r="AH101" s="143"/>
      <c r="AI101" s="14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</row>
    <row r="102" spans="1:45" ht="15" customHeight="1">
      <c r="A102" s="482" t="str">
        <f>input!B10</f>
        <v>104j</v>
      </c>
      <c r="B102" s="792">
        <f>input!AL10</f>
        <v>5000</v>
      </c>
      <c r="C102" s="573">
        <f>+input!CJ10</f>
        <v>137762.96508570784</v>
      </c>
      <c r="D102" s="573">
        <f>(input!CR10-input!CJ10)*input!$CU$1</f>
        <v>0</v>
      </c>
      <c r="E102" s="817">
        <f>(input!DH10-input!CJ10)*input!$DJ$1</f>
        <v>1595000</v>
      </c>
      <c r="F102" s="574">
        <f t="shared" si="0"/>
        <v>25.344696379614035</v>
      </c>
      <c r="G102" s="21">
        <f>+input!BP10</f>
        <v>0.125</v>
      </c>
      <c r="H102" s="21">
        <f t="shared" si="1"/>
        <v>6.6001813488578209</v>
      </c>
      <c r="I102" s="21">
        <f>input!M10/(input!T10+input!M10*input!BP10)</f>
        <v>1.8064516129032258</v>
      </c>
      <c r="J102" s="21">
        <f>+input!T10*input!P10/10^6*25</f>
        <v>8.6999999999999993</v>
      </c>
      <c r="K102" s="21">
        <f t="shared" si="2"/>
        <v>5.0167410714285712</v>
      </c>
      <c r="L102" s="21">
        <f t="shared" si="3"/>
        <v>1.7299107142857146</v>
      </c>
      <c r="M102" s="366"/>
      <c r="N102" s="576">
        <f>IF(ISNUMBER(M102),(+MST!B11+MST!C11+MST!D11)*B102*B102/12/M102/input!M10,0)</f>
        <v>0</v>
      </c>
      <c r="R102" s="559"/>
      <c r="S102" s="73"/>
      <c r="T102" s="559"/>
      <c r="U102" s="73"/>
      <c r="V102" s="73"/>
      <c r="W102" s="73"/>
      <c r="X102" s="73"/>
      <c r="Y102" s="73"/>
      <c r="Z102" s="73"/>
      <c r="AA102" s="73"/>
      <c r="AC102" s="73"/>
      <c r="AD102" s="73"/>
      <c r="AF102" s="73"/>
      <c r="AH102" s="143"/>
      <c r="AI102" s="14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</row>
    <row r="103" spans="1:45" ht="15" customHeight="1">
      <c r="A103" s="482" t="str">
        <f>input!B11</f>
        <v>105i</v>
      </c>
      <c r="B103" s="792">
        <f>input!AL11</f>
        <v>5000</v>
      </c>
      <c r="C103" s="573">
        <f>+input!CJ11</f>
        <v>176802.96508570784</v>
      </c>
      <c r="D103" s="573">
        <f>(input!CR11-input!CJ11)*input!$CU$1</f>
        <v>0</v>
      </c>
      <c r="E103" s="817">
        <f>(input!DH11-input!CJ11)*input!$DJ$1</f>
        <v>1595000</v>
      </c>
      <c r="F103" s="574">
        <f t="shared" si="0"/>
        <v>26.877016379614034</v>
      </c>
      <c r="G103" s="21">
        <f>+input!BP11</f>
        <v>0.125</v>
      </c>
      <c r="H103" s="21">
        <f t="shared" si="1"/>
        <v>6.9992230155244881</v>
      </c>
      <c r="I103" s="21">
        <f>input!M11/(input!T11+input!M11*input!BP11)</f>
        <v>1.8064516129032258</v>
      </c>
      <c r="J103" s="21">
        <f>+input!T11*input!P11/10^6*25</f>
        <v>8.6999999999999993</v>
      </c>
      <c r="K103" s="21">
        <f t="shared" si="2"/>
        <v>5.0167410714285712</v>
      </c>
      <c r="L103" s="21">
        <f t="shared" si="3"/>
        <v>1.7299107142857146</v>
      </c>
      <c r="M103" s="366"/>
      <c r="N103" s="576">
        <f>IF(ISNUMBER(M103),(+MST!B12+MST!C12+MST!D12)*B103*B103/12/M103/input!M11,0)</f>
        <v>0</v>
      </c>
      <c r="R103" s="559"/>
      <c r="S103" s="73"/>
      <c r="T103" s="559"/>
      <c r="U103" s="73"/>
      <c r="V103" s="73"/>
      <c r="W103" s="73"/>
      <c r="X103" s="73"/>
      <c r="Y103" s="73"/>
      <c r="Z103" s="73"/>
      <c r="AA103" s="73"/>
      <c r="AC103" s="73"/>
      <c r="AD103" s="73"/>
      <c r="AF103" s="73"/>
      <c r="AH103" s="143"/>
      <c r="AI103" s="14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</row>
    <row r="104" spans="1:45" ht="15" customHeight="1">
      <c r="A104" s="482" t="str">
        <f>input!B12</f>
        <v>105j</v>
      </c>
      <c r="B104" s="792">
        <f>input!AL12</f>
        <v>5000</v>
      </c>
      <c r="C104" s="573">
        <f>+input!CJ12</f>
        <v>176802.96508570784</v>
      </c>
      <c r="D104" s="573">
        <f>(input!CR12-input!CJ12)*input!$CU$1</f>
        <v>0</v>
      </c>
      <c r="E104" s="817">
        <f>(input!DH12-input!CJ12)*input!$DJ$1</f>
        <v>1595000</v>
      </c>
      <c r="F104" s="574">
        <f t="shared" si="0"/>
        <v>26.877016379614034</v>
      </c>
      <c r="G104" s="21">
        <f>+input!BP12</f>
        <v>0.125</v>
      </c>
      <c r="H104" s="21">
        <f t="shared" si="1"/>
        <v>6.9992230155244881</v>
      </c>
      <c r="I104" s="21">
        <f>input!M12/(input!T12+input!M12*input!BP12)</f>
        <v>1.8064516129032258</v>
      </c>
      <c r="J104" s="21">
        <f>+input!T12*input!P12/10^6*25</f>
        <v>8.6999999999999993</v>
      </c>
      <c r="K104" s="21">
        <f t="shared" si="2"/>
        <v>5.0167410714285712</v>
      </c>
      <c r="L104" s="21">
        <f t="shared" si="3"/>
        <v>1.7299107142857146</v>
      </c>
      <c r="M104" s="366"/>
      <c r="N104" s="576">
        <f>IF(ISNUMBER(M104),(+MST!B13+MST!C13+MST!D13)*B104*B104/12/M104/input!M12,0)</f>
        <v>0</v>
      </c>
      <c r="R104" s="559"/>
      <c r="S104" s="73"/>
      <c r="T104" s="559"/>
      <c r="U104" s="73"/>
      <c r="V104" s="73"/>
      <c r="W104" s="73"/>
      <c r="X104" s="73"/>
      <c r="Y104" s="73"/>
      <c r="Z104" s="73"/>
      <c r="AA104" s="73"/>
      <c r="AC104" s="73"/>
      <c r="AD104" s="73"/>
      <c r="AF104" s="73"/>
      <c r="AH104" s="143"/>
      <c r="AI104" s="14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</row>
    <row r="105" spans="1:45" ht="15" customHeight="1">
      <c r="A105" s="482" t="str">
        <f>input!B13</f>
        <v>106i</v>
      </c>
      <c r="B105" s="792">
        <f>input!AL13</f>
        <v>5000</v>
      </c>
      <c r="C105" s="573">
        <f>+input!CJ13</f>
        <v>176802.96508570784</v>
      </c>
      <c r="D105" s="573">
        <f>(input!CR13-input!CJ13)*input!$CU$1</f>
        <v>0</v>
      </c>
      <c r="E105" s="817">
        <f>(input!DH13-input!CJ13)*input!$DJ$1</f>
        <v>1595000</v>
      </c>
      <c r="F105" s="574">
        <f t="shared" si="0"/>
        <v>26.877016379614034</v>
      </c>
      <c r="G105" s="21">
        <f>+input!BP13</f>
        <v>0.125</v>
      </c>
      <c r="H105" s="21">
        <f t="shared" si="1"/>
        <v>6.9992230155244881</v>
      </c>
      <c r="I105" s="21">
        <f>input!M13/(input!T13+input!M13*input!BP13)</f>
        <v>1.8064516129032258</v>
      </c>
      <c r="J105" s="21">
        <f>+input!T13*input!P13/10^6*25</f>
        <v>8.6999999999999993</v>
      </c>
      <c r="K105" s="21">
        <f t="shared" si="2"/>
        <v>5.0167410714285712</v>
      </c>
      <c r="L105" s="21">
        <f t="shared" si="3"/>
        <v>1.7299107142857146</v>
      </c>
      <c r="M105" s="366"/>
      <c r="N105" s="576">
        <f>IF(ISNUMBER(M105),(+MST!B14+MST!C14+MST!D14)*B105*B105/12/M105/input!M13,0)</f>
        <v>0</v>
      </c>
      <c r="R105" s="559"/>
      <c r="S105" s="73"/>
      <c r="T105" s="559"/>
      <c r="U105" s="73"/>
      <c r="V105" s="73"/>
      <c r="W105" s="73"/>
      <c r="X105" s="73"/>
      <c r="Y105" s="73"/>
      <c r="Z105" s="73"/>
      <c r="AA105" s="73"/>
      <c r="AC105" s="73"/>
      <c r="AD105" s="73"/>
      <c r="AF105" s="73"/>
      <c r="AH105" s="143"/>
      <c r="AI105" s="14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</row>
    <row r="106" spans="1:45" ht="15" customHeight="1">
      <c r="A106" s="482" t="str">
        <f>input!B14</f>
        <v>106j</v>
      </c>
      <c r="B106" s="792">
        <f>input!AL14</f>
        <v>5000</v>
      </c>
      <c r="C106" s="573">
        <f>+input!CJ14</f>
        <v>176802.96508570784</v>
      </c>
      <c r="D106" s="573">
        <f>(input!CR14-input!CJ14)*input!$CU$1</f>
        <v>0</v>
      </c>
      <c r="E106" s="817">
        <f>(input!DH14-input!CJ14)*input!$DJ$1</f>
        <v>1595000</v>
      </c>
      <c r="F106" s="574">
        <f t="shared" si="0"/>
        <v>26.877016379614034</v>
      </c>
      <c r="G106" s="21">
        <f>+input!BP14</f>
        <v>0.125</v>
      </c>
      <c r="H106" s="21">
        <f t="shared" si="1"/>
        <v>6.9992230155244881</v>
      </c>
      <c r="I106" s="21">
        <f>input!M14/(input!T14+input!M14*input!BP14)</f>
        <v>1.8064516129032258</v>
      </c>
      <c r="J106" s="21">
        <f>+input!T14*input!P14/10^6*25</f>
        <v>8.6999999999999993</v>
      </c>
      <c r="K106" s="21">
        <f t="shared" si="2"/>
        <v>5.0167410714285712</v>
      </c>
      <c r="L106" s="21">
        <f t="shared" si="3"/>
        <v>1.7299107142857146</v>
      </c>
      <c r="M106" s="366"/>
      <c r="N106" s="576">
        <f>IF(ISNUMBER(M106),(+MST!B15+MST!C15+MST!D15)*B106*B106/12/M106/input!M14,0)</f>
        <v>0</v>
      </c>
      <c r="R106" s="559"/>
      <c r="S106" s="73"/>
      <c r="T106" s="559"/>
      <c r="U106" s="73"/>
      <c r="V106" s="73"/>
      <c r="W106" s="73"/>
      <c r="X106" s="73"/>
      <c r="Y106" s="73"/>
      <c r="Z106" s="73"/>
      <c r="AA106" s="73"/>
      <c r="AC106" s="73"/>
      <c r="AD106" s="73"/>
      <c r="AF106" s="73"/>
      <c r="AH106" s="143"/>
      <c r="AI106" s="14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</row>
    <row r="107" spans="1:45" ht="15" customHeight="1">
      <c r="A107" s="482" t="str">
        <f>input!B15</f>
        <v>107i</v>
      </c>
      <c r="B107" s="792">
        <f>input!AL15</f>
        <v>5000</v>
      </c>
      <c r="C107" s="573">
        <f>+input!CJ15</f>
        <v>198442.96508570784</v>
      </c>
      <c r="D107" s="573">
        <f>(input!CR15-input!CJ15)*input!$CU$1</f>
        <v>0</v>
      </c>
      <c r="E107" s="817">
        <f>(input!DH15-input!CJ15)*input!$DJ$1</f>
        <v>1595000</v>
      </c>
      <c r="F107" s="574">
        <f t="shared" si="0"/>
        <v>27.726386379614034</v>
      </c>
      <c r="G107" s="21">
        <f>+input!BP15</f>
        <v>0.125</v>
      </c>
      <c r="H107" s="21">
        <f t="shared" si="1"/>
        <v>7.2204131196911545</v>
      </c>
      <c r="I107" s="21">
        <f>input!M15/(input!T15+input!M15*input!BP15)</f>
        <v>1.8064516129032258</v>
      </c>
      <c r="J107" s="21">
        <f>+input!T15*input!P15/10^6*25</f>
        <v>8.6999999999999993</v>
      </c>
      <c r="K107" s="21">
        <f t="shared" si="2"/>
        <v>5.0167410714285712</v>
      </c>
      <c r="L107" s="21">
        <f t="shared" si="3"/>
        <v>1.7299107142857146</v>
      </c>
      <c r="M107" s="366"/>
      <c r="N107" s="576">
        <f>IF(ISNUMBER(M107),(+MST!B16+MST!C16+MST!D16)*B107*B107/12/M107/input!M15,0)</f>
        <v>0</v>
      </c>
      <c r="R107" s="559"/>
      <c r="S107" s="73"/>
      <c r="T107" s="559"/>
      <c r="U107" s="73"/>
      <c r="V107" s="73"/>
      <c r="W107" s="73"/>
      <c r="X107" s="73"/>
      <c r="Y107" s="73"/>
      <c r="Z107" s="73"/>
      <c r="AA107" s="73"/>
      <c r="AC107" s="73"/>
      <c r="AD107" s="73"/>
      <c r="AF107" s="73"/>
      <c r="AH107" s="143"/>
      <c r="AI107" s="14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</row>
    <row r="108" spans="1:45" ht="15" customHeight="1">
      <c r="A108" s="482" t="str">
        <f>input!B16</f>
        <v>107j</v>
      </c>
      <c r="B108" s="792">
        <f>input!AL16</f>
        <v>5000</v>
      </c>
      <c r="C108" s="573">
        <f>+input!CJ16</f>
        <v>198442.96508570784</v>
      </c>
      <c r="D108" s="573">
        <f>(input!CR16-input!CJ16)*input!$CU$1</f>
        <v>0</v>
      </c>
      <c r="E108" s="817">
        <f>(input!DH16-input!CJ16)*input!$DJ$1</f>
        <v>1595000</v>
      </c>
      <c r="F108" s="574">
        <f t="shared" si="0"/>
        <v>27.726386379614034</v>
      </c>
      <c r="G108" s="21">
        <f>+input!BP16</f>
        <v>0.125</v>
      </c>
      <c r="H108" s="21">
        <f t="shared" si="1"/>
        <v>7.2204131196911545</v>
      </c>
      <c r="I108" s="21">
        <f>input!M16/(input!T16+input!M16*input!BP16)</f>
        <v>1.8064516129032258</v>
      </c>
      <c r="J108" s="21">
        <f>+input!T16*input!P16/10^6*25</f>
        <v>8.6999999999999993</v>
      </c>
      <c r="K108" s="21">
        <f t="shared" si="2"/>
        <v>5.0167410714285712</v>
      </c>
      <c r="L108" s="21">
        <f t="shared" si="3"/>
        <v>1.7299107142857146</v>
      </c>
      <c r="M108" s="366"/>
      <c r="N108" s="576">
        <f>IF(ISNUMBER(M108),(+MST!B17+MST!C17+MST!D17)*B108*B108/12/M108/input!M16,0)</f>
        <v>0</v>
      </c>
      <c r="R108" s="559"/>
      <c r="S108" s="73"/>
      <c r="T108" s="559"/>
      <c r="U108" s="73"/>
      <c r="V108" s="73"/>
      <c r="W108" s="73"/>
      <c r="X108" s="73"/>
      <c r="Y108" s="73"/>
      <c r="Z108" s="73"/>
      <c r="AA108" s="73"/>
      <c r="AC108" s="73"/>
      <c r="AD108" s="73"/>
      <c r="AF108" s="73"/>
      <c r="AH108" s="143"/>
      <c r="AI108" s="14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</row>
    <row r="109" spans="1:45" ht="15" customHeight="1">
      <c r="A109" s="482" t="str">
        <f>input!B17</f>
        <v>108i</v>
      </c>
      <c r="B109" s="792">
        <f>input!AL17</f>
        <v>5000</v>
      </c>
      <c r="C109" s="573">
        <f>+input!CJ17</f>
        <v>198442.96508570784</v>
      </c>
      <c r="D109" s="573">
        <f>(input!CR17-input!CJ17)*input!$CU$1</f>
        <v>0</v>
      </c>
      <c r="E109" s="817">
        <f>(input!DH17-input!CJ17)*input!$DJ$1</f>
        <v>1595000</v>
      </c>
      <c r="F109" s="574">
        <f t="shared" si="0"/>
        <v>27.726386379614034</v>
      </c>
      <c r="G109" s="21">
        <f>+input!BP17</f>
        <v>0.125</v>
      </c>
      <c r="H109" s="21">
        <f t="shared" si="1"/>
        <v>7.2204131196911545</v>
      </c>
      <c r="I109" s="21">
        <f>input!M17/(input!T17+input!M17*input!BP17)</f>
        <v>1.8064516129032258</v>
      </c>
      <c r="J109" s="21">
        <f>+input!T17*input!P17/10^6*25</f>
        <v>8.6999999999999993</v>
      </c>
      <c r="K109" s="21">
        <f t="shared" si="2"/>
        <v>5.0167410714285712</v>
      </c>
      <c r="L109" s="21">
        <f t="shared" si="3"/>
        <v>1.7299107142857146</v>
      </c>
      <c r="M109" s="366"/>
      <c r="N109" s="576">
        <f>IF(ISNUMBER(M109),(+MST!B18+MST!C18+MST!D18)*B109*B109/12/M109/input!M17,0)</f>
        <v>0</v>
      </c>
      <c r="R109" s="559"/>
      <c r="S109" s="73"/>
      <c r="T109" s="559"/>
      <c r="U109" s="73"/>
      <c r="V109" s="73"/>
      <c r="W109" s="73"/>
      <c r="X109" s="73"/>
      <c r="Y109" s="73"/>
      <c r="Z109" s="73"/>
      <c r="AA109" s="73"/>
      <c r="AC109" s="73"/>
      <c r="AD109" s="73"/>
      <c r="AF109" s="73"/>
      <c r="AH109" s="143"/>
      <c r="AI109" s="14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</row>
    <row r="110" spans="1:45" ht="15" customHeight="1">
      <c r="A110" s="482" t="str">
        <f>input!B18</f>
        <v>108j</v>
      </c>
      <c r="B110" s="792">
        <f>input!AL18</f>
        <v>5000</v>
      </c>
      <c r="C110" s="573">
        <f>+input!CJ18</f>
        <v>198442.96508570784</v>
      </c>
      <c r="D110" s="573">
        <f>(input!CR18-input!CJ18)*input!$CU$1</f>
        <v>0</v>
      </c>
      <c r="E110" s="817">
        <f>(input!DH18-input!CJ18)*input!$DJ$1</f>
        <v>1595000</v>
      </c>
      <c r="F110" s="574">
        <f t="shared" si="0"/>
        <v>27.726386379614034</v>
      </c>
      <c r="G110" s="21">
        <f>+input!BP18</f>
        <v>0.125</v>
      </c>
      <c r="H110" s="21">
        <f t="shared" si="1"/>
        <v>7.2204131196911545</v>
      </c>
      <c r="I110" s="21">
        <f>input!M18/(input!T18+input!M18*input!BP18)</f>
        <v>1.8064516129032258</v>
      </c>
      <c r="J110" s="21">
        <f>+input!T18*input!P18/10^6*25</f>
        <v>8.6999999999999993</v>
      </c>
      <c r="K110" s="21">
        <f t="shared" si="2"/>
        <v>5.0167410714285712</v>
      </c>
      <c r="L110" s="21">
        <f t="shared" si="3"/>
        <v>1.7299107142857146</v>
      </c>
      <c r="M110" s="366"/>
      <c r="N110" s="576">
        <f>IF(ISNUMBER(M110),(+MST!B19+MST!C19+MST!D19)*B110*B110/12/M110/input!M18,0)</f>
        <v>0</v>
      </c>
      <c r="R110" s="559"/>
      <c r="S110" s="73"/>
      <c r="T110" s="559"/>
      <c r="U110" s="73"/>
      <c r="V110" s="73"/>
      <c r="W110" s="73"/>
      <c r="X110" s="73"/>
      <c r="Y110" s="73"/>
      <c r="Z110" s="73"/>
      <c r="AA110" s="73"/>
      <c r="AC110" s="73"/>
      <c r="AD110" s="73"/>
      <c r="AF110" s="73"/>
      <c r="AH110" s="143"/>
      <c r="AI110" s="14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</row>
    <row r="111" spans="1:45" ht="15" customHeight="1">
      <c r="A111" s="482" t="str">
        <f>input!B19</f>
        <v>109i</v>
      </c>
      <c r="B111" s="792">
        <f>input!AL19</f>
        <v>5000</v>
      </c>
      <c r="C111" s="573">
        <f>+input!CJ19</f>
        <v>198442.96508570784</v>
      </c>
      <c r="D111" s="573">
        <f>(input!CR19-input!CJ19)*input!$CU$1</f>
        <v>0</v>
      </c>
      <c r="E111" s="817">
        <f>(input!DH19-input!CJ19)*input!$DJ$1</f>
        <v>1595000</v>
      </c>
      <c r="F111" s="574">
        <f t="shared" si="0"/>
        <v>27.726386379614034</v>
      </c>
      <c r="G111" s="21">
        <f>+input!BP19</f>
        <v>0.125</v>
      </c>
      <c r="H111" s="21">
        <f t="shared" si="1"/>
        <v>7.2204131196911545</v>
      </c>
      <c r="I111" s="21">
        <f>input!M19/(input!T19+input!M19*input!BP19)</f>
        <v>1.8064516129032258</v>
      </c>
      <c r="J111" s="21">
        <f>+input!T19*input!P19/10^6*25</f>
        <v>8.6999999999999993</v>
      </c>
      <c r="K111" s="21">
        <f t="shared" si="2"/>
        <v>5.0167410714285712</v>
      </c>
      <c r="L111" s="21">
        <f t="shared" si="3"/>
        <v>1.7299107142857146</v>
      </c>
      <c r="M111" s="366"/>
      <c r="N111" s="576">
        <f>IF(ISNUMBER(M111),(+MST!B20+MST!C20+MST!D20)*B111*B111/12/M111/input!M19,0)</f>
        <v>0</v>
      </c>
      <c r="R111" s="559"/>
      <c r="S111" s="73"/>
      <c r="T111" s="559"/>
      <c r="U111" s="73"/>
      <c r="V111" s="73"/>
      <c r="W111" s="73"/>
      <c r="X111" s="73"/>
      <c r="Y111" s="73"/>
      <c r="Z111" s="73"/>
      <c r="AA111" s="73"/>
      <c r="AC111" s="73"/>
      <c r="AD111" s="73"/>
      <c r="AF111" s="73"/>
      <c r="AH111" s="143"/>
      <c r="AI111" s="14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</row>
    <row r="112" spans="1:45" ht="15" customHeight="1">
      <c r="A112" s="482" t="str">
        <f>input!B20</f>
        <v>109j</v>
      </c>
      <c r="B112" s="792">
        <f>input!AL20</f>
        <v>5000</v>
      </c>
      <c r="C112" s="573">
        <f>+input!CJ20</f>
        <v>198442.96508570784</v>
      </c>
      <c r="D112" s="573">
        <f>(input!CR20-input!CJ20)*input!$CU$1</f>
        <v>0</v>
      </c>
      <c r="E112" s="817">
        <f>(input!DH20-input!CJ20)*input!$DJ$1</f>
        <v>1595000</v>
      </c>
      <c r="F112" s="574">
        <f t="shared" si="0"/>
        <v>27.726386379614034</v>
      </c>
      <c r="G112" s="21">
        <f>+input!BP20</f>
        <v>0.125</v>
      </c>
      <c r="H112" s="21">
        <f t="shared" si="1"/>
        <v>7.2204131196911545</v>
      </c>
      <c r="I112" s="21">
        <f>input!M20/(input!T20+input!M20*input!BP20)</f>
        <v>1.8064516129032258</v>
      </c>
      <c r="J112" s="21">
        <f>+input!T20*input!P20/10^6*25</f>
        <v>8.6999999999999993</v>
      </c>
      <c r="K112" s="21">
        <f t="shared" si="2"/>
        <v>5.0167410714285712</v>
      </c>
      <c r="L112" s="21">
        <f t="shared" si="3"/>
        <v>1.7299107142857146</v>
      </c>
      <c r="M112" s="366"/>
      <c r="N112" s="576">
        <f>IF(ISNUMBER(M112),(+MST!B21+MST!C21+MST!D21)*B112*B112/12/M112/input!M20,0)</f>
        <v>0</v>
      </c>
      <c r="R112" s="559"/>
      <c r="S112" s="73"/>
      <c r="T112" s="559"/>
      <c r="U112" s="73"/>
      <c r="V112" s="73"/>
      <c r="W112" s="73"/>
      <c r="X112" s="73"/>
      <c r="Y112" s="73"/>
      <c r="Z112" s="73"/>
      <c r="AA112" s="73"/>
      <c r="AC112" s="73"/>
      <c r="AD112" s="73"/>
      <c r="AF112" s="73"/>
      <c r="AH112" s="143"/>
      <c r="AI112" s="14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</row>
    <row r="113" spans="1:45" ht="15" customHeight="1">
      <c r="A113" s="482" t="str">
        <f>input!B21</f>
        <v>110i</v>
      </c>
      <c r="B113" s="792">
        <f>input!AL21</f>
        <v>5000</v>
      </c>
      <c r="C113" s="573">
        <f>+input!CJ21</f>
        <v>198442.96508570784</v>
      </c>
      <c r="D113" s="573">
        <f>(input!CR21-input!CJ21)*input!$CU$1</f>
        <v>0</v>
      </c>
      <c r="E113" s="817">
        <f>(input!DH21-input!CJ21)*input!$DJ$1</f>
        <v>1595000</v>
      </c>
      <c r="F113" s="574">
        <f t="shared" si="0"/>
        <v>27.726386379614034</v>
      </c>
      <c r="G113" s="21">
        <f>+input!BP21</f>
        <v>0.125</v>
      </c>
      <c r="H113" s="21">
        <f t="shared" si="1"/>
        <v>7.2204131196911545</v>
      </c>
      <c r="I113" s="21">
        <f>input!M21/(input!T21+input!M21*input!BP21)</f>
        <v>1.8064516129032258</v>
      </c>
      <c r="J113" s="21">
        <f>+input!T21*input!P21/10^6*25</f>
        <v>8.6999999999999993</v>
      </c>
      <c r="K113" s="21">
        <f t="shared" si="2"/>
        <v>5.0167410714285712</v>
      </c>
      <c r="L113" s="21">
        <f t="shared" si="3"/>
        <v>1.7299107142857146</v>
      </c>
      <c r="M113" s="366"/>
      <c r="N113" s="576">
        <f>IF(ISNUMBER(M113),(+MST!B22+MST!C22+MST!D22)*B113*B113/12/M113/input!M21,0)</f>
        <v>0</v>
      </c>
      <c r="R113" s="559"/>
      <c r="S113" s="73"/>
      <c r="T113" s="559"/>
      <c r="U113" s="73"/>
      <c r="V113" s="73"/>
      <c r="W113" s="73"/>
      <c r="X113" s="73"/>
      <c r="Y113" s="73"/>
      <c r="Z113" s="73"/>
      <c r="AA113" s="73"/>
      <c r="AC113" s="73"/>
      <c r="AD113" s="73"/>
      <c r="AF113" s="73"/>
      <c r="AH113" s="143"/>
      <c r="AI113" s="14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</row>
    <row r="114" spans="1:45" ht="15" customHeight="1">
      <c r="A114" s="482" t="str">
        <f>input!B22</f>
        <v>110j</v>
      </c>
      <c r="B114" s="792">
        <f>input!AL22</f>
        <v>5000</v>
      </c>
      <c r="C114" s="573">
        <f>+input!CJ22</f>
        <v>198442.96508570784</v>
      </c>
      <c r="D114" s="573">
        <f>(input!CR22-input!CJ22)*input!$CU$1</f>
        <v>0</v>
      </c>
      <c r="E114" s="817">
        <f>(input!DH22-input!CJ22)*input!$DJ$1</f>
        <v>1595000</v>
      </c>
      <c r="F114" s="574">
        <f t="shared" si="0"/>
        <v>27.726386379614034</v>
      </c>
      <c r="G114" s="21">
        <f>+input!BP22</f>
        <v>0.125</v>
      </c>
      <c r="H114" s="21">
        <f t="shared" si="1"/>
        <v>7.2204131196911545</v>
      </c>
      <c r="I114" s="21">
        <f>input!M22/(input!T22+input!M22*input!BP22)</f>
        <v>1.8064516129032258</v>
      </c>
      <c r="J114" s="21">
        <f>+input!T22*input!P22/10^6*25</f>
        <v>8.6999999999999993</v>
      </c>
      <c r="K114" s="21">
        <f t="shared" si="2"/>
        <v>5.0167410714285712</v>
      </c>
      <c r="L114" s="21">
        <f t="shared" si="3"/>
        <v>1.7299107142857146</v>
      </c>
      <c r="M114" s="366"/>
      <c r="N114" s="576">
        <f>IF(ISNUMBER(M114),(+MST!B23+MST!C23+MST!D23)*B114*B114/12/M114/input!M22,0)</f>
        <v>0</v>
      </c>
      <c r="R114" s="559"/>
      <c r="S114" s="73"/>
      <c r="T114" s="559"/>
      <c r="U114" s="73"/>
      <c r="V114" s="73"/>
      <c r="W114" s="73"/>
      <c r="X114" s="73"/>
      <c r="Y114" s="73"/>
      <c r="Z114" s="73"/>
      <c r="AA114" s="73"/>
      <c r="AC114" s="73"/>
      <c r="AD114" s="73"/>
      <c r="AF114" s="73"/>
      <c r="AH114" s="143"/>
      <c r="AI114" s="14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</row>
    <row r="115" spans="1:45" ht="15" customHeight="1">
      <c r="A115" s="482" t="str">
        <f>input!B23</f>
        <v>111i</v>
      </c>
      <c r="B115" s="792">
        <f>input!AL23</f>
        <v>5000</v>
      </c>
      <c r="C115" s="573">
        <f>+input!CJ23</f>
        <v>198442.96508570784</v>
      </c>
      <c r="D115" s="573">
        <f>(input!CR23-input!CJ23)*input!$CU$1</f>
        <v>0</v>
      </c>
      <c r="E115" s="817">
        <f>(input!DH23-input!CJ23)*input!$DJ$1</f>
        <v>1595000</v>
      </c>
      <c r="F115" s="574">
        <f t="shared" si="0"/>
        <v>27.726386379614034</v>
      </c>
      <c r="G115" s="21">
        <f>+input!BP23</f>
        <v>0.125</v>
      </c>
      <c r="H115" s="21">
        <f t="shared" si="1"/>
        <v>7.2204131196911545</v>
      </c>
      <c r="I115" s="21">
        <f>input!M23/(input!T23+input!M23*input!BP23)</f>
        <v>1.8064516129032258</v>
      </c>
      <c r="J115" s="21">
        <f>+input!T23*input!P23/10^6*25</f>
        <v>8.6999999999999993</v>
      </c>
      <c r="K115" s="21">
        <f t="shared" si="2"/>
        <v>5.0167410714285712</v>
      </c>
      <c r="L115" s="21">
        <f t="shared" si="3"/>
        <v>1.7299107142857146</v>
      </c>
      <c r="M115" s="366"/>
      <c r="N115" s="576">
        <f>IF(ISNUMBER(M115),(+MST!B24+MST!C24+MST!D24)*B115*B115/12/M115/input!M23,0)</f>
        <v>0</v>
      </c>
      <c r="R115" s="559"/>
      <c r="S115" s="73"/>
      <c r="T115" s="559"/>
      <c r="U115" s="73"/>
      <c r="V115" s="73"/>
      <c r="W115" s="73"/>
      <c r="X115" s="73"/>
      <c r="Y115" s="73"/>
      <c r="Z115" s="73"/>
      <c r="AA115" s="73"/>
      <c r="AC115" s="73"/>
      <c r="AD115" s="73"/>
      <c r="AF115" s="73"/>
      <c r="AH115" s="143"/>
      <c r="AI115" s="14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</row>
    <row r="116" spans="1:45" ht="15" customHeight="1">
      <c r="A116" s="482" t="str">
        <f>input!B24</f>
        <v>111j</v>
      </c>
      <c r="B116" s="792">
        <f>input!AL24</f>
        <v>5000</v>
      </c>
      <c r="C116" s="573">
        <f>+input!CJ24</f>
        <v>198442.96508570784</v>
      </c>
      <c r="D116" s="573">
        <f>(input!CR24-input!CJ24)*input!$CU$1</f>
        <v>0</v>
      </c>
      <c r="E116" s="817">
        <f>(input!DH24-input!CJ24)*input!$DJ$1</f>
        <v>1595000</v>
      </c>
      <c r="F116" s="574">
        <f t="shared" si="0"/>
        <v>27.726386379614034</v>
      </c>
      <c r="G116" s="21">
        <f>+input!BP24</f>
        <v>0.125</v>
      </c>
      <c r="H116" s="21">
        <f t="shared" si="1"/>
        <v>7.2204131196911545</v>
      </c>
      <c r="I116" s="21">
        <f>input!M24/(input!T24+input!M24*input!BP24)</f>
        <v>1.8064516129032258</v>
      </c>
      <c r="J116" s="21">
        <f>+input!T24*input!P24/10^6*25</f>
        <v>8.6999999999999993</v>
      </c>
      <c r="K116" s="21">
        <f t="shared" si="2"/>
        <v>5.0167410714285712</v>
      </c>
      <c r="L116" s="21">
        <f t="shared" si="3"/>
        <v>1.7299107142857146</v>
      </c>
      <c r="M116" s="366"/>
      <c r="N116" s="576">
        <f>IF(ISNUMBER(M116),(+MST!B25+MST!C25+MST!D25)*B116*B116/12/M116/input!M24,0)</f>
        <v>0</v>
      </c>
      <c r="R116" s="559"/>
      <c r="S116" s="73"/>
      <c r="T116" s="559"/>
      <c r="U116" s="73"/>
      <c r="V116" s="73"/>
      <c r="W116" s="73"/>
      <c r="X116" s="73"/>
      <c r="Y116" s="73"/>
      <c r="Z116" s="73"/>
      <c r="AA116" s="73"/>
      <c r="AC116" s="73"/>
      <c r="AD116" s="73"/>
      <c r="AF116" s="73"/>
      <c r="AH116" s="143"/>
      <c r="AI116" s="14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</row>
    <row r="117" spans="1:45" ht="15" customHeight="1">
      <c r="A117" s="482" t="str">
        <f>input!B25</f>
        <v>112i</v>
      </c>
      <c r="B117" s="792">
        <f>input!AL25</f>
        <v>5000</v>
      </c>
      <c r="C117" s="573">
        <f>+input!CJ25</f>
        <v>170922.96508570784</v>
      </c>
      <c r="D117" s="573">
        <f>(input!CR25-input!CJ25)*input!$CU$1</f>
        <v>0</v>
      </c>
      <c r="E117" s="817">
        <f>(input!DH25-input!CJ25)*input!$DJ$1</f>
        <v>1595000</v>
      </c>
      <c r="F117" s="574">
        <f t="shared" si="0"/>
        <v>26.646226379614035</v>
      </c>
      <c r="G117" s="21">
        <f>+input!BP25</f>
        <v>0.125</v>
      </c>
      <c r="H117" s="21">
        <f t="shared" si="1"/>
        <v>6.9391214530244882</v>
      </c>
      <c r="I117" s="21">
        <f>input!M25/(input!T25+input!M25*input!BP25)</f>
        <v>1.8064516129032258</v>
      </c>
      <c r="J117" s="21">
        <f>+input!T25*input!P25/10^6*25</f>
        <v>8.6999999999999993</v>
      </c>
      <c r="K117" s="21">
        <f t="shared" si="2"/>
        <v>5.0167410714285712</v>
      </c>
      <c r="L117" s="21">
        <f t="shared" si="3"/>
        <v>1.7299107142857146</v>
      </c>
      <c r="M117" s="366"/>
      <c r="N117" s="576">
        <f>IF(ISNUMBER(M117),(+MST!B26+MST!C26+MST!D26)*B117*B117/12/M117/input!M25,0)</f>
        <v>0</v>
      </c>
      <c r="R117" s="559"/>
      <c r="S117" s="73"/>
      <c r="T117" s="559"/>
      <c r="U117" s="73"/>
      <c r="V117" s="73"/>
      <c r="W117" s="73"/>
      <c r="X117" s="73"/>
      <c r="Y117" s="73"/>
      <c r="Z117" s="73"/>
      <c r="AA117" s="73"/>
      <c r="AC117" s="73"/>
      <c r="AD117" s="73"/>
      <c r="AF117" s="73"/>
      <c r="AH117" s="143"/>
      <c r="AI117" s="14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</row>
    <row r="118" spans="1:45" ht="15" customHeight="1">
      <c r="A118" s="482" t="str">
        <f>input!B26</f>
        <v>112j</v>
      </c>
      <c r="B118" s="792">
        <f>input!AL26</f>
        <v>5000</v>
      </c>
      <c r="C118" s="573">
        <f>+input!CJ26</f>
        <v>170922.96508570784</v>
      </c>
      <c r="D118" s="573">
        <f>(input!CR26-input!CJ26)*input!$CU$1</f>
        <v>0</v>
      </c>
      <c r="E118" s="817">
        <f>(input!DH26-input!CJ26)*input!$DJ$1</f>
        <v>1595000</v>
      </c>
      <c r="F118" s="574">
        <f t="shared" si="0"/>
        <v>26.646226379614035</v>
      </c>
      <c r="G118" s="21">
        <f>+input!BP26</f>
        <v>0.125</v>
      </c>
      <c r="H118" s="21">
        <f t="shared" si="1"/>
        <v>6.9391214530244882</v>
      </c>
      <c r="I118" s="21">
        <f>input!M26/(input!T26+input!M26*input!BP26)</f>
        <v>1.8064516129032258</v>
      </c>
      <c r="J118" s="21">
        <f>+input!T26*input!P26/10^6*25</f>
        <v>8.6999999999999993</v>
      </c>
      <c r="K118" s="21">
        <f t="shared" si="2"/>
        <v>5.0167410714285712</v>
      </c>
      <c r="L118" s="21">
        <f t="shared" si="3"/>
        <v>1.7299107142857146</v>
      </c>
      <c r="M118" s="366"/>
      <c r="N118" s="576">
        <f>IF(ISNUMBER(M118),(+MST!B27+MST!C27+MST!D27)*B118*B118/12/M118/input!M26,0)</f>
        <v>0</v>
      </c>
      <c r="R118" s="559"/>
      <c r="S118" s="73"/>
      <c r="T118" s="559"/>
      <c r="U118" s="73"/>
      <c r="V118" s="73"/>
      <c r="W118" s="73"/>
      <c r="X118" s="73"/>
      <c r="Y118" s="73"/>
      <c r="Z118" s="73"/>
      <c r="AA118" s="73"/>
      <c r="AC118" s="73"/>
      <c r="AD118" s="73"/>
      <c r="AF118" s="73"/>
      <c r="AH118" s="143"/>
      <c r="AI118" s="14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</row>
    <row r="119" spans="1:45" ht="15" customHeight="1">
      <c r="A119" s="482" t="str">
        <f>input!B27</f>
        <v>113i</v>
      </c>
      <c r="B119" s="792">
        <f>input!AL27</f>
        <v>5000</v>
      </c>
      <c r="C119" s="573">
        <f>+input!CJ27</f>
        <v>164922.96508570784</v>
      </c>
      <c r="D119" s="573">
        <f>(input!CR27-input!CJ27)*input!$CU$1</f>
        <v>0</v>
      </c>
      <c r="E119" s="817">
        <f>(input!DH27-input!CJ27)*input!$DJ$1</f>
        <v>1595000</v>
      </c>
      <c r="F119" s="574">
        <f t="shared" si="0"/>
        <v>26.410726379614033</v>
      </c>
      <c r="G119" s="21">
        <f>+input!BP27</f>
        <v>0.125</v>
      </c>
      <c r="H119" s="21">
        <f t="shared" si="1"/>
        <v>6.8777933280244881</v>
      </c>
      <c r="I119" s="21">
        <f>input!M27/(input!T27+input!M27*input!BP27)</f>
        <v>1.8064516129032258</v>
      </c>
      <c r="J119" s="21">
        <f>+input!T27*input!P27/10^6*25</f>
        <v>8.6999999999999993</v>
      </c>
      <c r="K119" s="21">
        <f t="shared" si="2"/>
        <v>5.0167410714285712</v>
      </c>
      <c r="L119" s="21">
        <f t="shared" si="3"/>
        <v>1.7299107142857146</v>
      </c>
      <c r="M119" s="366"/>
      <c r="N119" s="576">
        <f>IF(ISNUMBER(M119),(+MST!B28+MST!C28+MST!D28)*B119*B119/12/M119/input!M27,0)</f>
        <v>0</v>
      </c>
      <c r="R119" s="559"/>
      <c r="S119" s="73"/>
      <c r="T119" s="559"/>
      <c r="U119" s="73"/>
      <c r="V119" s="73"/>
      <c r="W119" s="73"/>
      <c r="X119" s="73"/>
      <c r="Y119" s="73"/>
      <c r="Z119" s="73"/>
      <c r="AA119" s="73"/>
      <c r="AC119" s="73"/>
      <c r="AD119" s="73"/>
      <c r="AF119" s="73"/>
      <c r="AH119" s="143"/>
      <c r="AI119" s="14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</row>
    <row r="120" spans="1:45" ht="15" customHeight="1">
      <c r="A120" s="482" t="str">
        <f>input!B28</f>
        <v>113j</v>
      </c>
      <c r="B120" s="792">
        <f>input!AL28</f>
        <v>5000</v>
      </c>
      <c r="C120" s="573">
        <f>+input!CJ28</f>
        <v>164922.96508570784</v>
      </c>
      <c r="D120" s="573">
        <f>(input!CR28-input!CJ28)*input!$CU$1</f>
        <v>0</v>
      </c>
      <c r="E120" s="817">
        <f>(input!DH28-input!CJ28)*input!$DJ$1</f>
        <v>1595000</v>
      </c>
      <c r="F120" s="574">
        <f t="shared" si="0"/>
        <v>26.410726379614033</v>
      </c>
      <c r="G120" s="21">
        <f>+input!BP28</f>
        <v>0.125</v>
      </c>
      <c r="H120" s="21">
        <f t="shared" si="1"/>
        <v>6.8777933280244881</v>
      </c>
      <c r="I120" s="21">
        <f>input!M28/(input!T28+input!M28*input!BP28)</f>
        <v>1.8064516129032258</v>
      </c>
      <c r="J120" s="21">
        <f>+input!T28*input!P28/10^6*25</f>
        <v>8.6999999999999993</v>
      </c>
      <c r="K120" s="21">
        <f t="shared" si="2"/>
        <v>5.0167410714285712</v>
      </c>
      <c r="L120" s="21">
        <f t="shared" si="3"/>
        <v>1.7299107142857146</v>
      </c>
      <c r="M120" s="366"/>
      <c r="N120" s="576">
        <f>IF(ISNUMBER(M120),(+MST!B29+MST!C29+MST!D29)*B120*B120/12/M120/input!M28,0)</f>
        <v>0</v>
      </c>
      <c r="R120" s="557"/>
      <c r="S120" s="73"/>
      <c r="T120" s="463"/>
      <c r="U120" s="73"/>
      <c r="V120" s="73"/>
      <c r="W120" s="73"/>
      <c r="X120" s="73"/>
      <c r="Y120" s="73"/>
      <c r="Z120" s="73"/>
      <c r="AA120" s="73"/>
      <c r="AC120" s="73"/>
      <c r="AD120" s="73"/>
      <c r="AF120" s="73"/>
      <c r="AH120" s="143"/>
      <c r="AI120" s="14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</row>
    <row r="121" spans="1:45" ht="15" customHeight="1">
      <c r="A121" s="482" t="str">
        <f>input!B29</f>
        <v>114i</v>
      </c>
      <c r="B121" s="792">
        <f>input!AL29</f>
        <v>5000</v>
      </c>
      <c r="C121" s="573">
        <f>+input!CJ29</f>
        <v>164922.96508570784</v>
      </c>
      <c r="D121" s="573">
        <f>(input!CR29-input!CJ29)*input!$CU$1</f>
        <v>0</v>
      </c>
      <c r="E121" s="817">
        <f>(input!DH29-input!CJ29)*input!$DJ$1</f>
        <v>1595000</v>
      </c>
      <c r="F121" s="574">
        <f t="shared" si="0"/>
        <v>26.410726379614033</v>
      </c>
      <c r="G121" s="21">
        <f>+input!BP29</f>
        <v>0.125</v>
      </c>
      <c r="H121" s="21">
        <f t="shared" si="1"/>
        <v>6.8777933280244881</v>
      </c>
      <c r="I121" s="21">
        <f>input!M29/(input!T29+input!M29*input!BP29)</f>
        <v>1.8064516129032258</v>
      </c>
      <c r="J121" s="21">
        <f>+input!T29*input!P29/10^6*25</f>
        <v>8.6999999999999993</v>
      </c>
      <c r="K121" s="21">
        <f t="shared" si="2"/>
        <v>5.0167410714285712</v>
      </c>
      <c r="L121" s="21">
        <f t="shared" si="3"/>
        <v>1.7299107142857146</v>
      </c>
      <c r="M121" s="366"/>
      <c r="N121" s="576">
        <f>IF(ISNUMBER(M121),(+MST!B30+MST!C30+MST!D30)*B121*B121/12/M121/input!M29,0)</f>
        <v>0</v>
      </c>
      <c r="R121" s="557"/>
      <c r="S121" s="73"/>
      <c r="T121" s="463"/>
      <c r="U121" s="73"/>
      <c r="V121" s="73"/>
      <c r="W121" s="73"/>
      <c r="X121" s="73"/>
      <c r="Y121" s="73"/>
      <c r="Z121" s="73"/>
      <c r="AA121" s="73"/>
      <c r="AC121" s="73"/>
      <c r="AD121" s="73"/>
      <c r="AF121" s="73"/>
      <c r="AH121" s="143"/>
      <c r="AI121" s="14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</row>
    <row r="122" spans="1:45" ht="15" customHeight="1">
      <c r="A122" s="482" t="str">
        <f>input!B30</f>
        <v>114j</v>
      </c>
      <c r="B122" s="792">
        <f>input!AL30</f>
        <v>5000</v>
      </c>
      <c r="C122" s="573">
        <f>+input!CJ30</f>
        <v>164922.96508570784</v>
      </c>
      <c r="D122" s="573">
        <f>(input!CR30-input!CJ30)*input!$CU$1</f>
        <v>0</v>
      </c>
      <c r="E122" s="817">
        <f>(input!DH30-input!CJ30)*input!$DJ$1</f>
        <v>1595000</v>
      </c>
      <c r="F122" s="574">
        <f t="shared" si="0"/>
        <v>26.410726379614033</v>
      </c>
      <c r="G122" s="21">
        <f>+input!BP30</f>
        <v>0.125</v>
      </c>
      <c r="H122" s="21">
        <f t="shared" si="1"/>
        <v>6.8777933280244881</v>
      </c>
      <c r="I122" s="21">
        <f>input!M30/(input!T30+input!M30*input!BP30)</f>
        <v>1.8064516129032258</v>
      </c>
      <c r="J122" s="21">
        <f>+input!T30*input!P30/10^6*25</f>
        <v>8.6999999999999993</v>
      </c>
      <c r="K122" s="21">
        <f t="shared" si="2"/>
        <v>5.0167410714285712</v>
      </c>
      <c r="L122" s="21">
        <f t="shared" si="3"/>
        <v>1.7299107142857146</v>
      </c>
      <c r="M122" s="366"/>
      <c r="N122" s="576">
        <f>IF(ISNUMBER(M122),(+MST!B31+MST!C31+MST!D31)*B122*B122/12/M122/input!M30,0)</f>
        <v>0</v>
      </c>
      <c r="R122" s="557"/>
      <c r="S122" s="73"/>
      <c r="T122" s="463"/>
      <c r="U122" s="73"/>
      <c r="V122" s="73"/>
      <c r="W122" s="73"/>
      <c r="X122" s="73"/>
      <c r="Y122" s="73"/>
      <c r="Z122" s="73"/>
      <c r="AA122" s="73"/>
      <c r="AC122" s="73"/>
      <c r="AD122" s="73"/>
      <c r="AF122" s="73"/>
      <c r="AH122" s="143"/>
      <c r="AI122" s="14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</row>
    <row r="123" spans="1:45" ht="15" customHeight="1">
      <c r="A123" s="482" t="str">
        <f>input!B31</f>
        <v>115i</v>
      </c>
      <c r="B123" s="792">
        <f>input!AL31</f>
        <v>5000</v>
      </c>
      <c r="C123" s="573">
        <f>+input!CJ31</f>
        <v>129762.96508570782</v>
      </c>
      <c r="D123" s="573">
        <f>(input!CR31-input!CJ31)*input!$CU$1</f>
        <v>0</v>
      </c>
      <c r="E123" s="817">
        <f>(input!DH31-input!CJ31)*input!$DJ$1</f>
        <v>1595000</v>
      </c>
      <c r="F123" s="574">
        <f t="shared" si="0"/>
        <v>25.030696379614032</v>
      </c>
      <c r="G123" s="21">
        <f>+input!BP31</f>
        <v>0.125</v>
      </c>
      <c r="H123" s="21">
        <f t="shared" si="1"/>
        <v>6.5184105155244882</v>
      </c>
      <c r="I123" s="21">
        <f>input!M31/(input!T31+input!M31*input!BP31)</f>
        <v>1.8064516129032258</v>
      </c>
      <c r="J123" s="21">
        <f>+input!T31*input!P31/10^6*25</f>
        <v>8.6999999999999993</v>
      </c>
      <c r="K123" s="21">
        <f t="shared" si="2"/>
        <v>5.0167410714285712</v>
      </c>
      <c r="L123" s="21">
        <f t="shared" si="3"/>
        <v>1.7299107142857146</v>
      </c>
      <c r="M123" s="366"/>
      <c r="N123" s="576">
        <f>IF(ISNUMBER(M123),(+MST!B32+MST!C32+MST!D32)*B123*B123/12/M123/input!M31,0)</f>
        <v>0</v>
      </c>
      <c r="R123" s="557"/>
      <c r="S123" s="73"/>
      <c r="T123" s="463"/>
      <c r="U123" s="73"/>
      <c r="V123" s="73"/>
      <c r="W123" s="73"/>
      <c r="X123" s="73"/>
      <c r="Y123" s="73"/>
      <c r="Z123" s="73"/>
      <c r="AA123" s="73"/>
      <c r="AC123" s="73"/>
      <c r="AD123" s="73"/>
      <c r="AF123" s="73"/>
      <c r="AH123" s="143"/>
      <c r="AI123" s="14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</row>
    <row r="124" spans="1:45" ht="15" customHeight="1">
      <c r="A124" s="482" t="str">
        <f>input!B32</f>
        <v>115j</v>
      </c>
      <c r="B124" s="792">
        <f>input!AL32</f>
        <v>5000</v>
      </c>
      <c r="C124" s="573">
        <f>+input!CJ32</f>
        <v>129762.96508570782</v>
      </c>
      <c r="D124" s="573">
        <f>(input!CR32-input!CJ32)*input!$CU$1</f>
        <v>0</v>
      </c>
      <c r="E124" s="817">
        <f>(input!DH32-input!CJ32)*input!$DJ$1</f>
        <v>1595000</v>
      </c>
      <c r="F124" s="574">
        <f t="shared" si="0"/>
        <v>25.030696379614032</v>
      </c>
      <c r="G124" s="21">
        <f>+input!BP32</f>
        <v>0.125</v>
      </c>
      <c r="H124" s="21">
        <f t="shared" si="1"/>
        <v>6.5184105155244882</v>
      </c>
      <c r="I124" s="21">
        <f>input!M32/(input!T32+input!M32*input!BP32)</f>
        <v>1.8064516129032258</v>
      </c>
      <c r="J124" s="21">
        <f>+input!T32*input!P32/10^6*25</f>
        <v>8.6999999999999993</v>
      </c>
      <c r="K124" s="21">
        <f t="shared" si="2"/>
        <v>5.0167410714285712</v>
      </c>
      <c r="L124" s="21">
        <f t="shared" si="3"/>
        <v>1.7299107142857146</v>
      </c>
      <c r="M124" s="366"/>
      <c r="N124" s="576">
        <f>IF(ISNUMBER(M124),(+MST!B33+MST!C33+MST!D33)*B124*B124/12/M124/input!M32,0)</f>
        <v>0</v>
      </c>
      <c r="R124" s="557"/>
      <c r="S124" s="73"/>
      <c r="T124" s="463"/>
      <c r="U124" s="73"/>
      <c r="V124" s="73"/>
      <c r="W124" s="73"/>
      <c r="X124" s="73"/>
      <c r="Y124" s="73"/>
      <c r="Z124" s="73"/>
      <c r="AA124" s="73"/>
      <c r="AC124" s="73"/>
      <c r="AD124" s="73"/>
      <c r="AF124" s="73"/>
      <c r="AH124" s="143"/>
      <c r="AI124" s="14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</row>
    <row r="125" spans="1:45" ht="15" customHeight="1">
      <c r="A125" s="482" t="str">
        <f>input!B33</f>
        <v>116i</v>
      </c>
      <c r="B125" s="792">
        <f>input!AL33</f>
        <v>5000</v>
      </c>
      <c r="C125" s="573">
        <f>+input!CJ33</f>
        <v>150868.83596312936</v>
      </c>
      <c r="D125" s="573">
        <f>(input!CR33-input!CJ33)*input!$CU$1</f>
        <v>0</v>
      </c>
      <c r="E125" s="817">
        <f>(input!DH33-input!CJ33)*input!$DJ$1</f>
        <v>1595000</v>
      </c>
      <c r="F125" s="574">
        <f t="shared" si="0"/>
        <v>25.859101811552826</v>
      </c>
      <c r="G125" s="21">
        <f>+input!BP33</f>
        <v>0.12491115849324805</v>
      </c>
      <c r="H125" s="21">
        <f t="shared" si="1"/>
        <v>6.7293549268248185</v>
      </c>
      <c r="I125" s="21">
        <f>input!M33/(input!T33+input!M33*input!BP33)</f>
        <v>1.8137286496938447</v>
      </c>
      <c r="J125" s="21">
        <f>+input!T33*input!P33/10^6*25</f>
        <v>8.6999999999999993</v>
      </c>
      <c r="K125" s="21">
        <f t="shared" si="2"/>
        <v>4.9966129175550815</v>
      </c>
      <c r="L125" s="21">
        <f t="shared" si="3"/>
        <v>1.7229699715707179</v>
      </c>
      <c r="M125" s="366"/>
      <c r="N125" s="576">
        <f>IF(ISNUMBER(M125),(+MST!B34+MST!C34+MST!D34)*B125*B125/12/M125/input!M33,0)</f>
        <v>0</v>
      </c>
      <c r="R125" s="557"/>
      <c r="S125" s="73"/>
      <c r="T125" s="463"/>
      <c r="U125" s="73"/>
      <c r="V125" s="73"/>
      <c r="W125" s="73"/>
      <c r="X125" s="73"/>
      <c r="Y125" s="73"/>
      <c r="Z125" s="73"/>
      <c r="AA125" s="73"/>
      <c r="AC125" s="73"/>
      <c r="AD125" s="73"/>
      <c r="AF125" s="7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</row>
    <row r="126" spans="1:45" ht="15" customHeight="1">
      <c r="A126" s="971" t="str">
        <f>input!B34</f>
        <v>116j</v>
      </c>
      <c r="B126" s="972">
        <f>input!AL34</f>
        <v>5000</v>
      </c>
      <c r="C126" s="973">
        <f>+input!CJ34</f>
        <v>150868.83596312936</v>
      </c>
      <c r="D126" s="973">
        <f>(input!CR34-input!CJ34)*input!$CU$1</f>
        <v>0</v>
      </c>
      <c r="E126" s="974">
        <f>(input!DH34-input!CJ34)*input!$DJ$1</f>
        <v>1595000</v>
      </c>
      <c r="F126" s="975">
        <f t="shared" si="0"/>
        <v>25.859101811552826</v>
      </c>
      <c r="G126" s="976">
        <f>+input!BP34</f>
        <v>0.12491115849324805</v>
      </c>
      <c r="H126" s="976">
        <f t="shared" si="1"/>
        <v>6.7293549268248185</v>
      </c>
      <c r="I126" s="976">
        <f>input!M34/(input!T34+input!M34*input!BP34)</f>
        <v>1.8137286496938447</v>
      </c>
      <c r="J126" s="976">
        <f>+input!T34*input!P34/10^6*25</f>
        <v>8.6999999999999993</v>
      </c>
      <c r="K126" s="976">
        <f t="shared" si="2"/>
        <v>4.9966129175550815</v>
      </c>
      <c r="L126" s="976">
        <f t="shared" si="3"/>
        <v>1.7229699715707179</v>
      </c>
      <c r="M126" s="977"/>
      <c r="N126" s="978">
        <f>IF(ISNUMBER(M126),(+MST!B35+MST!C35+MST!D35)*B126*B126/12/M126/input!M34,0)</f>
        <v>0</v>
      </c>
      <c r="R126" s="557"/>
      <c r="S126" s="73"/>
      <c r="T126" s="463"/>
      <c r="U126" s="73"/>
      <c r="V126" s="73"/>
      <c r="W126" s="73"/>
      <c r="X126" s="73"/>
      <c r="Y126" s="73"/>
      <c r="Z126" s="73"/>
      <c r="AA126" s="73"/>
      <c r="AC126" s="73"/>
      <c r="AD126" s="73"/>
      <c r="AF126" s="73"/>
      <c r="AH126" s="143"/>
      <c r="AI126" s="14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</row>
    <row r="127" spans="1:45" ht="15" customHeight="1">
      <c r="A127" s="979" t="str">
        <f>input!B35</f>
        <v>117i</v>
      </c>
      <c r="B127" s="980">
        <f>input!AL35</f>
        <v>5000</v>
      </c>
      <c r="C127" s="981">
        <f>+input!CJ35</f>
        <v>186894.12496807487</v>
      </c>
      <c r="D127" s="981">
        <f>(input!CR35-input!CJ35)*input!$CU$1</f>
        <v>610005.99999999988</v>
      </c>
      <c r="E127" s="982">
        <f>(input!DH35-input!CJ35)*input!$DJ$1</f>
        <v>1595000.0000000002</v>
      </c>
      <c r="F127" s="983">
        <f t="shared" si="0"/>
        <v>34.898169404996942</v>
      </c>
      <c r="G127" s="984">
        <f>+input!BP35</f>
        <v>0.125</v>
      </c>
      <c r="H127" s="984">
        <f t="shared" si="1"/>
        <v>9.088064949217955</v>
      </c>
      <c r="I127" s="984">
        <f>input!M35/(input!T35+input!M35*input!BP35)</f>
        <v>1.8677738741616097</v>
      </c>
      <c r="J127" s="984">
        <f>+input!T35*input!P35/10^6*25</f>
        <v>8.6999999999999993</v>
      </c>
      <c r="K127" s="984">
        <f t="shared" ref="K127:K156" si="4">0.5*J127/I127*B127*B127/12/10^6</f>
        <v>4.8520327462380299</v>
      </c>
      <c r="L127" s="984">
        <f t="shared" ref="L127:L156" si="5">0.5*$E$78/I127*B127*B127/12/10^6</f>
        <v>1.6731147400820794</v>
      </c>
      <c r="M127" s="985"/>
      <c r="N127" s="986">
        <f>IF(ISNUMBER(M127),(+MST!B36+MST!C36+MST!D36)*B127*B127/12/M127/input!M35,0)</f>
        <v>0</v>
      </c>
      <c r="R127" s="557"/>
      <c r="S127" s="73"/>
      <c r="T127" s="463"/>
      <c r="U127" s="73"/>
      <c r="V127" s="73"/>
      <c r="W127" s="73"/>
      <c r="X127" s="73"/>
      <c r="Y127" s="73"/>
      <c r="Z127" s="73"/>
      <c r="AA127" s="73"/>
      <c r="AC127" s="73"/>
      <c r="AD127" s="73"/>
      <c r="AF127" s="7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</row>
    <row r="128" spans="1:45" ht="15" customHeight="1">
      <c r="A128" s="482" t="str">
        <f>input!B36</f>
        <v>117j</v>
      </c>
      <c r="B128" s="792">
        <f>input!AL36</f>
        <v>5000</v>
      </c>
      <c r="C128" s="573">
        <f>+input!CJ36</f>
        <v>186894.12496807487</v>
      </c>
      <c r="D128" s="573">
        <f>(input!CR36-input!CJ36)*input!$CU$1</f>
        <v>610005.99999999988</v>
      </c>
      <c r="E128" s="817">
        <f>(input!DH36-input!CJ36)*input!$DJ$1</f>
        <v>1595000.0000000002</v>
      </c>
      <c r="F128" s="574">
        <f t="shared" si="0"/>
        <v>34.898169404996942</v>
      </c>
      <c r="G128" s="21">
        <f>+input!BP36</f>
        <v>0.125</v>
      </c>
      <c r="H128" s="21">
        <f t="shared" si="1"/>
        <v>9.088064949217955</v>
      </c>
      <c r="I128" s="21">
        <f>input!M36/(input!T36+input!M36*input!BP36)</f>
        <v>1.8677738741616097</v>
      </c>
      <c r="J128" s="21">
        <f>+input!T36*input!P36/10^6*25</f>
        <v>8.6999999999999993</v>
      </c>
      <c r="K128" s="21">
        <f t="shared" si="4"/>
        <v>4.8520327462380299</v>
      </c>
      <c r="L128" s="21">
        <f t="shared" si="5"/>
        <v>1.6731147400820794</v>
      </c>
      <c r="M128" s="366"/>
      <c r="N128" s="576">
        <f>IF(ISNUMBER(M128),(+MST!B37+MST!C37+MST!D37)*B128*B128/12/M128/input!M36,0)</f>
        <v>0</v>
      </c>
      <c r="R128" s="557"/>
      <c r="S128" s="73"/>
      <c r="T128" s="463"/>
      <c r="U128" s="73"/>
      <c r="V128" s="73"/>
      <c r="W128" s="73"/>
      <c r="X128" s="73"/>
      <c r="Y128" s="73"/>
      <c r="Z128" s="73"/>
      <c r="AA128" s="73"/>
      <c r="AC128" s="73"/>
      <c r="AD128" s="73"/>
      <c r="AF128" s="73"/>
      <c r="AH128" s="143"/>
      <c r="AI128" s="14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</row>
    <row r="129" spans="1:45" ht="15" customHeight="1">
      <c r="A129" s="482" t="str">
        <f>input!B37</f>
        <v>118i</v>
      </c>
      <c r="B129" s="792">
        <f>input!AL37</f>
        <v>5000</v>
      </c>
      <c r="C129" s="573">
        <f>+input!CJ37</f>
        <v>264600.58446584287</v>
      </c>
      <c r="D129" s="573">
        <f>(input!CR37-input!CJ37)*input!$CU$1</f>
        <v>864266.56010312587</v>
      </c>
      <c r="E129" s="817">
        <f>(input!DH37-input!CJ37)*input!$DJ$1</f>
        <v>1580500.0000000002</v>
      </c>
      <c r="F129" s="574">
        <f t="shared" si="0"/>
        <v>40.945154941573406</v>
      </c>
      <c r="G129" s="21">
        <f>+input!BP37</f>
        <v>0.1250402835965195</v>
      </c>
      <c r="H129" s="21">
        <f t="shared" si="1"/>
        <v>10.666237053745355</v>
      </c>
      <c r="I129" s="21">
        <f>input!M37/(input!T37+input!M37*input!BP37)</f>
        <v>2.0175552665799739</v>
      </c>
      <c r="J129" s="21">
        <f>+input!T37*input!P37/10^6*25</f>
        <v>8.3375000000000004</v>
      </c>
      <c r="K129" s="21">
        <f t="shared" si="4"/>
        <v>4.3046631619937692</v>
      </c>
      <c r="L129" s="21">
        <f t="shared" si="5"/>
        <v>1.5489042861746698</v>
      </c>
      <c r="M129" s="366"/>
      <c r="N129" s="576">
        <f>IF(ISNUMBER(M129),(+MST!B38+MST!C38+MST!D38)*B129*B129/12/M129/input!M37,0)</f>
        <v>0</v>
      </c>
      <c r="R129" s="557"/>
      <c r="S129" s="73"/>
      <c r="T129" s="463"/>
      <c r="U129" s="73"/>
      <c r="V129" s="73"/>
      <c r="W129" s="73"/>
      <c r="X129" s="73"/>
      <c r="Y129" s="73"/>
      <c r="Z129" s="73"/>
      <c r="AA129" s="73"/>
      <c r="AC129" s="73"/>
      <c r="AD129" s="73"/>
      <c r="AF129" s="73"/>
      <c r="AH129" s="143"/>
      <c r="AI129" s="14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</row>
    <row r="130" spans="1:45" ht="15" customHeight="1">
      <c r="A130" s="482" t="str">
        <f>input!B38</f>
        <v>118j</v>
      </c>
      <c r="B130" s="792">
        <f>input!AL38</f>
        <v>5000</v>
      </c>
      <c r="C130" s="573">
        <f>+input!CJ38</f>
        <v>264600.58446584287</v>
      </c>
      <c r="D130" s="573">
        <f>(input!CR38-input!CJ38)*input!$CU$1</f>
        <v>864266.56010312587</v>
      </c>
      <c r="E130" s="817">
        <f>(input!DH38-input!CJ38)*input!$DJ$1</f>
        <v>1580500.0000000002</v>
      </c>
      <c r="F130" s="574">
        <f t="shared" si="0"/>
        <v>40.945154941573406</v>
      </c>
      <c r="G130" s="21">
        <f>+input!BP38</f>
        <v>0.1250402835965195</v>
      </c>
      <c r="H130" s="21">
        <f t="shared" si="1"/>
        <v>10.666237053745355</v>
      </c>
      <c r="I130" s="21">
        <f>input!M38/(input!T38+input!M38*input!BP38)</f>
        <v>2.0175552665799739</v>
      </c>
      <c r="J130" s="21">
        <f>+input!T38*input!P38/10^6*25</f>
        <v>8.3375000000000004</v>
      </c>
      <c r="K130" s="21">
        <f t="shared" si="4"/>
        <v>4.3046631619937692</v>
      </c>
      <c r="L130" s="21">
        <f t="shared" si="5"/>
        <v>1.5489042861746698</v>
      </c>
      <c r="M130" s="366"/>
      <c r="N130" s="576">
        <f>IF(ISNUMBER(M130),(+MST!B39+MST!C39+MST!D39)*B130*B130/12/M130/input!M38,0)</f>
        <v>0</v>
      </c>
      <c r="R130" s="557"/>
      <c r="S130" s="73"/>
      <c r="T130" s="463"/>
      <c r="U130" s="73"/>
      <c r="V130" s="73"/>
      <c r="W130" s="73"/>
      <c r="X130" s="73"/>
      <c r="Y130" s="73"/>
      <c r="Z130" s="73"/>
      <c r="AA130" s="73"/>
      <c r="AC130" s="73"/>
      <c r="AD130" s="73"/>
      <c r="AF130" s="7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</row>
    <row r="131" spans="1:45" ht="15" customHeight="1">
      <c r="A131" s="482" t="str">
        <f>input!B39</f>
        <v>119i</v>
      </c>
      <c r="B131" s="792">
        <f>input!AL39</f>
        <v>5000</v>
      </c>
      <c r="C131" s="573">
        <f>+input!CJ39</f>
        <v>266617.28678094374</v>
      </c>
      <c r="D131" s="573">
        <f>(input!CR39-input!CJ39)*input!$CU$1</f>
        <v>1004999.9999999999</v>
      </c>
      <c r="E131" s="817">
        <f>(input!DH39-input!CJ39)*input!$DJ$1</f>
        <v>1580499.9999999998</v>
      </c>
      <c r="F131" s="574">
        <f t="shared" si="0"/>
        <v>42.783478506152036</v>
      </c>
      <c r="G131" s="21">
        <f>+input!BP39</f>
        <v>0.125</v>
      </c>
      <c r="H131" s="21">
        <f t="shared" si="1"/>
        <v>11.141530860977094</v>
      </c>
      <c r="I131" s="21">
        <f>input!M39/(input!T39+input!M39*input!BP39)</f>
        <v>2.064516129032258</v>
      </c>
      <c r="J131" s="21">
        <f>+input!T39*input!P39/10^6*25</f>
        <v>8.3375000000000004</v>
      </c>
      <c r="K131" s="21">
        <f t="shared" si="4"/>
        <v>4.2067464192708339</v>
      </c>
      <c r="L131" s="21">
        <f t="shared" si="5"/>
        <v>1.513671875</v>
      </c>
      <c r="M131" s="366"/>
      <c r="N131" s="576">
        <f>IF(ISNUMBER(M131),(+MST!B40+MST!C40+MST!D40)*B131*B131/12/M131/input!M39,0)</f>
        <v>0</v>
      </c>
      <c r="R131" s="557"/>
      <c r="S131" s="73"/>
      <c r="T131" s="463"/>
      <c r="U131" s="73"/>
      <c r="V131" s="73"/>
      <c r="W131" s="73"/>
      <c r="X131" s="73"/>
      <c r="Y131" s="73"/>
      <c r="Z131" s="73"/>
      <c r="AA131" s="73"/>
      <c r="AC131" s="73"/>
      <c r="AD131" s="73"/>
      <c r="AF131" s="7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</row>
    <row r="132" spans="1:45" ht="15" customHeight="1">
      <c r="A132" s="482" t="str">
        <f>input!B40</f>
        <v>119j</v>
      </c>
      <c r="B132" s="792">
        <f>input!AL40</f>
        <v>5000</v>
      </c>
      <c r="C132" s="573">
        <f>+input!CJ40</f>
        <v>266617.28678094374</v>
      </c>
      <c r="D132" s="573">
        <f>(input!CR40-input!CJ40)*input!$CU$1</f>
        <v>1004999.9999999999</v>
      </c>
      <c r="E132" s="817">
        <f>(input!DH40-input!CJ40)*input!$DJ$1</f>
        <v>1580499.9999999998</v>
      </c>
      <c r="F132" s="574">
        <f t="shared" si="0"/>
        <v>42.783478506152036</v>
      </c>
      <c r="G132" s="21">
        <f>+input!BP40</f>
        <v>0.125</v>
      </c>
      <c r="H132" s="21">
        <f t="shared" si="1"/>
        <v>11.141530860977094</v>
      </c>
      <c r="I132" s="21">
        <f>input!M40/(input!T40+input!M40*input!BP40)</f>
        <v>2.064516129032258</v>
      </c>
      <c r="J132" s="21">
        <f>+input!T40*input!P40/10^6*25</f>
        <v>8.3375000000000004</v>
      </c>
      <c r="K132" s="21">
        <f t="shared" si="4"/>
        <v>4.2067464192708339</v>
      </c>
      <c r="L132" s="21">
        <f t="shared" si="5"/>
        <v>1.513671875</v>
      </c>
      <c r="M132" s="366"/>
      <c r="N132" s="576">
        <f>IF(ISNUMBER(M132),(+MST!B41+MST!C41+MST!D41)*B132*B132/12/M132/input!M40,0)</f>
        <v>0</v>
      </c>
      <c r="R132" s="463"/>
      <c r="S132" s="73"/>
      <c r="T132" s="463"/>
      <c r="U132" s="73"/>
      <c r="V132" s="73"/>
      <c r="W132" s="73"/>
      <c r="X132" s="73"/>
      <c r="Y132" s="73"/>
      <c r="Z132" s="73"/>
      <c r="AA132" s="73"/>
      <c r="AC132" s="73"/>
      <c r="AD132" s="73"/>
      <c r="AF132" s="73"/>
      <c r="AH132" s="143"/>
      <c r="AI132" s="14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</row>
    <row r="133" spans="1:45" ht="15" customHeight="1">
      <c r="A133" s="482" t="str">
        <f>input!B41</f>
        <v>120i</v>
      </c>
      <c r="B133" s="792">
        <f>input!AL41</f>
        <v>5000</v>
      </c>
      <c r="C133" s="573">
        <f>+input!CJ41</f>
        <v>266617.28678094374</v>
      </c>
      <c r="D133" s="573">
        <f>(input!CR41-input!CJ41)*input!$CU$1</f>
        <v>1004999.9999999999</v>
      </c>
      <c r="E133" s="817">
        <f>(input!DH41-input!CJ41)*input!$DJ$1</f>
        <v>1580499.9999999998</v>
      </c>
      <c r="F133" s="574">
        <f t="shared" si="0"/>
        <v>42.783478506152036</v>
      </c>
      <c r="G133" s="21">
        <f>+input!BP41</f>
        <v>0.125</v>
      </c>
      <c r="H133" s="21">
        <f t="shared" si="1"/>
        <v>11.141530860977094</v>
      </c>
      <c r="I133" s="21">
        <f>input!M41/(input!T41+input!M41*input!BP41)</f>
        <v>2.064516129032258</v>
      </c>
      <c r="J133" s="21">
        <f>+input!T41*input!P41/10^6*25</f>
        <v>8.3375000000000004</v>
      </c>
      <c r="K133" s="21">
        <f t="shared" si="4"/>
        <v>4.2067464192708339</v>
      </c>
      <c r="L133" s="21">
        <f t="shared" si="5"/>
        <v>1.513671875</v>
      </c>
      <c r="M133" s="366"/>
      <c r="N133" s="576">
        <f>IF(ISNUMBER(M133),(+MST!B42+MST!C42+MST!D42)*B133*B133/12/M133/input!M41,0)</f>
        <v>0</v>
      </c>
      <c r="R133" s="463"/>
      <c r="S133" s="73"/>
      <c r="T133" s="463"/>
      <c r="U133" s="73"/>
      <c r="V133" s="73"/>
      <c r="W133" s="73"/>
      <c r="X133" s="73"/>
      <c r="Y133" s="73"/>
      <c r="Z133" s="73"/>
      <c r="AA133" s="73"/>
      <c r="AC133" s="73"/>
      <c r="AD133" s="73"/>
      <c r="AF133" s="73"/>
      <c r="AH133" s="143"/>
      <c r="AI133" s="14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</row>
    <row r="134" spans="1:45" ht="15" customHeight="1">
      <c r="A134" s="482" t="str">
        <f>input!B42</f>
        <v>120j</v>
      </c>
      <c r="B134" s="792">
        <f>input!AL42</f>
        <v>5000</v>
      </c>
      <c r="C134" s="573">
        <f>+input!CJ42</f>
        <v>266617.28678094374</v>
      </c>
      <c r="D134" s="573">
        <f>(input!CR42-input!CJ42)*input!$CU$1</f>
        <v>1004999.9999999999</v>
      </c>
      <c r="E134" s="817">
        <f>(input!DH42-input!CJ42)*input!$DJ$1</f>
        <v>1580499.9999999998</v>
      </c>
      <c r="F134" s="574">
        <f t="shared" si="0"/>
        <v>42.783478506152036</v>
      </c>
      <c r="G134" s="21">
        <f>+input!BP42</f>
        <v>0.125</v>
      </c>
      <c r="H134" s="21">
        <f t="shared" si="1"/>
        <v>11.141530860977094</v>
      </c>
      <c r="I134" s="21">
        <f>input!M42/(input!T42+input!M42*input!BP42)</f>
        <v>2.064516129032258</v>
      </c>
      <c r="J134" s="21">
        <f>+input!T42*input!P42/10^6*25</f>
        <v>8.3375000000000004</v>
      </c>
      <c r="K134" s="21">
        <f t="shared" si="4"/>
        <v>4.2067464192708339</v>
      </c>
      <c r="L134" s="21">
        <f t="shared" si="5"/>
        <v>1.513671875</v>
      </c>
      <c r="M134" s="366"/>
      <c r="N134" s="576">
        <f>IF(ISNUMBER(M134),(+MST!B43+MST!C43+MST!D43)*B134*B134/12/M134/input!M42,0)</f>
        <v>0</v>
      </c>
      <c r="R134" s="463"/>
      <c r="S134" s="73"/>
      <c r="T134" s="463"/>
      <c r="U134" s="73"/>
      <c r="V134" s="73"/>
      <c r="W134" s="73"/>
      <c r="X134" s="73"/>
      <c r="Y134" s="73"/>
      <c r="Z134" s="73"/>
      <c r="AA134" s="73"/>
      <c r="AC134" s="73"/>
      <c r="AD134" s="73"/>
      <c r="AF134" s="73"/>
      <c r="AH134" s="143"/>
      <c r="AI134" s="14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</row>
    <row r="135" spans="1:45" ht="15" customHeight="1">
      <c r="A135" s="482" t="str">
        <f>input!B43</f>
        <v>121i</v>
      </c>
      <c r="B135" s="792">
        <f>input!AL43</f>
        <v>5000</v>
      </c>
      <c r="C135" s="573">
        <f>+input!CJ43</f>
        <v>264600.58446584287</v>
      </c>
      <c r="D135" s="573">
        <f>(input!CR43-input!CJ43)*input!$CU$1</f>
        <v>864266.56010312587</v>
      </c>
      <c r="E135" s="817">
        <f>(input!DH43-input!CJ43)*input!$DJ$1</f>
        <v>1580500.0000000002</v>
      </c>
      <c r="F135" s="574">
        <f t="shared" si="0"/>
        <v>40.945154941573406</v>
      </c>
      <c r="G135" s="21">
        <f>+input!BP43</f>
        <v>0.1250402835965195</v>
      </c>
      <c r="H135" s="21">
        <f t="shared" si="1"/>
        <v>10.666237053745355</v>
      </c>
      <c r="I135" s="21">
        <f>input!M43/(input!T43+input!M43*input!BP43)</f>
        <v>2.0175552665799739</v>
      </c>
      <c r="J135" s="21">
        <f>+input!T43*input!P43/10^6*25</f>
        <v>8.3375000000000004</v>
      </c>
      <c r="K135" s="21">
        <f t="shared" si="4"/>
        <v>4.3046631619937692</v>
      </c>
      <c r="L135" s="21">
        <f t="shared" si="5"/>
        <v>1.5489042861746698</v>
      </c>
      <c r="M135" s="366"/>
      <c r="N135" s="576">
        <f>IF(ISNUMBER(M135),(+MST!B44+MST!C44+MST!D44)*B135*B135/12/M135/input!M43,0)</f>
        <v>0</v>
      </c>
      <c r="R135" s="463"/>
      <c r="S135" s="73"/>
      <c r="T135" s="463"/>
      <c r="U135" s="73"/>
      <c r="V135" s="73"/>
      <c r="W135" s="73"/>
      <c r="X135" s="73"/>
      <c r="Y135" s="73"/>
      <c r="Z135" s="73"/>
      <c r="AA135" s="73"/>
      <c r="AC135" s="73"/>
      <c r="AD135" s="73"/>
      <c r="AF135" s="7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</row>
    <row r="136" spans="1:45" ht="15" customHeight="1">
      <c r="A136" s="482" t="str">
        <f>input!B44</f>
        <v>121j</v>
      </c>
      <c r="B136" s="792">
        <f>input!AL44</f>
        <v>5000</v>
      </c>
      <c r="C136" s="573">
        <f>+input!CJ44</f>
        <v>264600.58446584287</v>
      </c>
      <c r="D136" s="573">
        <f>(input!CR44-input!CJ44)*input!$CU$1</f>
        <v>864266.56010312587</v>
      </c>
      <c r="E136" s="817">
        <f>(input!DH44-input!CJ44)*input!$DJ$1</f>
        <v>1580500.0000000002</v>
      </c>
      <c r="F136" s="574">
        <f t="shared" si="0"/>
        <v>40.945154941573406</v>
      </c>
      <c r="G136" s="21">
        <f>+input!BP44</f>
        <v>0.1250402835965195</v>
      </c>
      <c r="H136" s="21">
        <f t="shared" si="1"/>
        <v>10.666237053745355</v>
      </c>
      <c r="I136" s="21">
        <f>input!M44/(input!T44+input!M44*input!BP44)</f>
        <v>2.0175552665799739</v>
      </c>
      <c r="J136" s="21">
        <f>+input!T44*input!P44/10^6*25</f>
        <v>8.3375000000000004</v>
      </c>
      <c r="K136" s="21">
        <f t="shared" si="4"/>
        <v>4.3046631619937692</v>
      </c>
      <c r="L136" s="21">
        <f t="shared" si="5"/>
        <v>1.5489042861746698</v>
      </c>
      <c r="M136" s="366"/>
      <c r="N136" s="576">
        <f>IF(ISNUMBER(M136),(+MST!B45+MST!C45+MST!D45)*B136*B136/12/M136/input!M44,0)</f>
        <v>0</v>
      </c>
      <c r="R136" s="463"/>
      <c r="S136" s="73"/>
      <c r="T136" s="463"/>
      <c r="U136" s="73"/>
      <c r="V136" s="73"/>
      <c r="W136" s="73"/>
      <c r="X136" s="73"/>
      <c r="Y136" s="73"/>
      <c r="Z136" s="73"/>
      <c r="AA136" s="73"/>
      <c r="AC136" s="73"/>
      <c r="AD136" s="73"/>
      <c r="AF136" s="73"/>
      <c r="AH136" s="143"/>
      <c r="AI136" s="14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</row>
    <row r="137" spans="1:45" ht="15" customHeight="1">
      <c r="A137" s="482" t="str">
        <f>input!B45</f>
        <v>122i</v>
      </c>
      <c r="B137" s="792">
        <f>input!AL45</f>
        <v>5000</v>
      </c>
      <c r="C137" s="573">
        <f>+input!CJ45</f>
        <v>197112.12496807487</v>
      </c>
      <c r="D137" s="573">
        <f>(input!CR45-input!CJ45)*input!$CU$1</f>
        <v>610005.99999999988</v>
      </c>
      <c r="E137" s="817">
        <f>(input!DH45-input!CJ45)*input!$DJ$1</f>
        <v>1595000.0000000002</v>
      </c>
      <c r="F137" s="574">
        <f t="shared" si="0"/>
        <v>35.299225904996938</v>
      </c>
      <c r="G137" s="21">
        <f>+input!BP45</f>
        <v>0.125</v>
      </c>
      <c r="H137" s="21">
        <f t="shared" si="1"/>
        <v>9.1925067460929526</v>
      </c>
      <c r="I137" s="21">
        <f>input!M45/(input!T45+input!M45*input!BP45)</f>
        <v>1.8677738741616097</v>
      </c>
      <c r="J137" s="21">
        <f>+input!T45*input!P45/10^6*25</f>
        <v>8.6999999999999993</v>
      </c>
      <c r="K137" s="21">
        <f t="shared" si="4"/>
        <v>4.8520327462380299</v>
      </c>
      <c r="L137" s="21">
        <f t="shared" si="5"/>
        <v>1.6731147400820794</v>
      </c>
      <c r="M137" s="366"/>
      <c r="N137" s="576">
        <f>IF(ISNUMBER(M137),(+MST!B46+MST!C46+MST!D46)*B137*B137/12/M137/input!M45,0)</f>
        <v>0</v>
      </c>
      <c r="R137" s="463"/>
      <c r="S137" s="73"/>
      <c r="T137" s="463"/>
      <c r="U137" s="73"/>
      <c r="V137" s="73"/>
      <c r="W137" s="73"/>
      <c r="X137" s="73"/>
      <c r="Y137" s="73"/>
      <c r="Z137" s="73"/>
      <c r="AA137" s="73"/>
      <c r="AC137" s="73"/>
      <c r="AD137" s="73"/>
      <c r="AF137" s="73"/>
      <c r="AH137" s="143"/>
      <c r="AI137" s="14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</row>
    <row r="138" spans="1:45" ht="15" customHeight="1">
      <c r="A138" s="482" t="str">
        <f>input!B46</f>
        <v>122j</v>
      </c>
      <c r="B138" s="792">
        <f>input!AL46</f>
        <v>5000</v>
      </c>
      <c r="C138" s="573">
        <f>+input!CJ46</f>
        <v>197112.12496807487</v>
      </c>
      <c r="D138" s="573">
        <f>(input!CR46-input!CJ46)*input!$CU$1</f>
        <v>610005.99999999988</v>
      </c>
      <c r="E138" s="817">
        <f>(input!DH46-input!CJ46)*input!$DJ$1</f>
        <v>1595000.0000000002</v>
      </c>
      <c r="F138" s="574">
        <f t="shared" si="0"/>
        <v>35.299225904996938</v>
      </c>
      <c r="G138" s="21">
        <f>+input!BP46</f>
        <v>0.125</v>
      </c>
      <c r="H138" s="21">
        <f t="shared" si="1"/>
        <v>9.1925067460929526</v>
      </c>
      <c r="I138" s="21">
        <f>input!M46/(input!T46+input!M46*input!BP46)</f>
        <v>1.8677738741616097</v>
      </c>
      <c r="J138" s="21">
        <f>+input!T46*input!P46/10^6*25</f>
        <v>8.6999999999999993</v>
      </c>
      <c r="K138" s="21">
        <f t="shared" si="4"/>
        <v>4.8520327462380299</v>
      </c>
      <c r="L138" s="21">
        <f t="shared" si="5"/>
        <v>1.6731147400820794</v>
      </c>
      <c r="M138" s="366"/>
      <c r="N138" s="576">
        <f>IF(ISNUMBER(M138),(+MST!B47+MST!C47+MST!D47)*B138*B138/12/M138/input!M46,0)</f>
        <v>0</v>
      </c>
      <c r="R138" s="463"/>
      <c r="S138" s="73"/>
      <c r="T138" s="463"/>
      <c r="U138" s="73"/>
      <c r="V138" s="73"/>
      <c r="W138" s="73"/>
      <c r="X138" s="73"/>
      <c r="Y138" s="73"/>
      <c r="Z138" s="73"/>
      <c r="AA138" s="73"/>
      <c r="AC138" s="73"/>
      <c r="AD138" s="73"/>
      <c r="AF138" s="7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</row>
    <row r="139" spans="1:45" ht="15" customHeight="1">
      <c r="A139" s="482" t="str">
        <f>input!B47</f>
        <v>123i</v>
      </c>
      <c r="B139" s="792">
        <f>input!AL47</f>
        <v>5000</v>
      </c>
      <c r="C139" s="573">
        <f>+input!CJ47</f>
        <v>179290.83596312936</v>
      </c>
      <c r="D139" s="573">
        <f>(input!CR47-input!CJ47)*input!$CU$1</f>
        <v>0</v>
      </c>
      <c r="E139" s="817">
        <f>(input!DH47-input!CJ47)*input!$DJ$1</f>
        <v>1595000</v>
      </c>
      <c r="F139" s="574">
        <f t="shared" si="0"/>
        <v>26.974665311552826</v>
      </c>
      <c r="G139" s="21">
        <f>+input!BP47</f>
        <v>0.12491115849324805</v>
      </c>
      <c r="H139" s="21">
        <f t="shared" si="1"/>
        <v>7.0196597792368651</v>
      </c>
      <c r="I139" s="21">
        <f>input!M47/(input!T47+input!M47*input!BP47)</f>
        <v>1.8137286496938447</v>
      </c>
      <c r="J139" s="21">
        <f>+input!T47*input!P47/10^6*25</f>
        <v>8.6999999999999993</v>
      </c>
      <c r="K139" s="21">
        <f t="shared" si="4"/>
        <v>4.9966129175550815</v>
      </c>
      <c r="L139" s="21">
        <f t="shared" si="5"/>
        <v>1.7229699715707179</v>
      </c>
      <c r="M139" s="366"/>
      <c r="N139" s="576">
        <f>IF(ISNUMBER(M139),(+MST!B48+MST!C48+MST!D48)*B139*B139/12/M139/input!M47,0)</f>
        <v>0</v>
      </c>
      <c r="R139" s="463"/>
      <c r="S139" s="73"/>
      <c r="T139" s="463"/>
      <c r="U139" s="73"/>
      <c r="V139" s="73"/>
      <c r="W139" s="73"/>
      <c r="X139" s="73"/>
      <c r="Y139" s="73"/>
      <c r="Z139" s="73"/>
      <c r="AA139" s="73"/>
      <c r="AC139" s="73"/>
      <c r="AD139" s="73"/>
      <c r="AF139" s="7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</row>
    <row r="140" spans="1:45" ht="15" customHeight="1">
      <c r="A140" s="482" t="str">
        <f>input!B48</f>
        <v>123j</v>
      </c>
      <c r="B140" s="792">
        <f>input!AL48</f>
        <v>5000</v>
      </c>
      <c r="C140" s="573">
        <f>+input!CJ48</f>
        <v>179290.83596312936</v>
      </c>
      <c r="D140" s="573">
        <f>(input!CR48-input!CJ48)*input!$CU$1</f>
        <v>0</v>
      </c>
      <c r="E140" s="817">
        <f>(input!DH48-input!CJ48)*input!$DJ$1</f>
        <v>1595000</v>
      </c>
      <c r="F140" s="574">
        <f t="shared" si="0"/>
        <v>26.974665311552826</v>
      </c>
      <c r="G140" s="21">
        <f>+input!BP48</f>
        <v>0.12491115849324805</v>
      </c>
      <c r="H140" s="21">
        <f t="shared" si="1"/>
        <v>7.0196597792368651</v>
      </c>
      <c r="I140" s="21">
        <f>input!M48/(input!T48+input!M48*input!BP48)</f>
        <v>1.8137286496938447</v>
      </c>
      <c r="J140" s="21">
        <f>+input!T48*input!P48/10^6*25</f>
        <v>8.6999999999999993</v>
      </c>
      <c r="K140" s="21">
        <f t="shared" si="4"/>
        <v>4.9966129175550815</v>
      </c>
      <c r="L140" s="21">
        <f t="shared" si="5"/>
        <v>1.7229699715707179</v>
      </c>
      <c r="M140" s="366"/>
      <c r="N140" s="576">
        <f>IF(ISNUMBER(M140),(+MST!B49+MST!C49+MST!D49)*B140*B140/12/M140/input!M48,0)</f>
        <v>0</v>
      </c>
      <c r="R140" s="463"/>
      <c r="S140" s="73"/>
      <c r="T140" s="463"/>
      <c r="U140" s="73"/>
      <c r="V140" s="73"/>
      <c r="W140" s="73"/>
      <c r="X140" s="73"/>
      <c r="Y140" s="73"/>
      <c r="Z140" s="73"/>
      <c r="AA140" s="73"/>
      <c r="AC140" s="73"/>
      <c r="AD140" s="73"/>
      <c r="AF140" s="7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</row>
    <row r="141" spans="1:45" ht="15" customHeight="1">
      <c r="A141" s="482" t="str">
        <f>input!B49</f>
        <v>124i</v>
      </c>
      <c r="B141" s="792">
        <f>input!AL49</f>
        <v>5000</v>
      </c>
      <c r="C141" s="573">
        <f>+input!CJ49</f>
        <v>145402.96508570784</v>
      </c>
      <c r="D141" s="573">
        <f>(input!CR49-input!CJ49)*input!$CU$1</f>
        <v>0</v>
      </c>
      <c r="E141" s="817">
        <f>(input!DH49-input!CJ49)*input!$DJ$1</f>
        <v>1595000</v>
      </c>
      <c r="F141" s="574">
        <f t="shared" si="0"/>
        <v>25.644566379614034</v>
      </c>
      <c r="G141" s="21">
        <f>+input!BP49</f>
        <v>0.125</v>
      </c>
      <c r="H141" s="21">
        <f t="shared" si="1"/>
        <v>6.6782724946911554</v>
      </c>
      <c r="I141" s="21">
        <f>input!M49/(input!T49+input!M49*input!BP49)</f>
        <v>1.8064516129032258</v>
      </c>
      <c r="J141" s="21">
        <f>+input!T49*input!P49/10^6*25</f>
        <v>8.6999999999999993</v>
      </c>
      <c r="K141" s="21">
        <f t="shared" si="4"/>
        <v>5.0167410714285712</v>
      </c>
      <c r="L141" s="21">
        <f t="shared" si="5"/>
        <v>1.7299107142857146</v>
      </c>
      <c r="M141" s="366"/>
      <c r="N141" s="576">
        <f>IF(ISNUMBER(M141),(+MST!B50+MST!C50+MST!D50)*B141*B141/12/M141/input!M49,0)</f>
        <v>0</v>
      </c>
      <c r="R141" s="463"/>
      <c r="S141" s="73"/>
      <c r="T141" s="463"/>
      <c r="U141" s="73"/>
      <c r="V141" s="73"/>
      <c r="W141" s="73"/>
      <c r="X141" s="73"/>
      <c r="Y141" s="73"/>
      <c r="Z141" s="73"/>
      <c r="AA141" s="73"/>
      <c r="AC141" s="73"/>
      <c r="AD141" s="73"/>
      <c r="AF141" s="7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</row>
    <row r="142" spans="1:45" ht="15" customHeight="1">
      <c r="A142" s="482" t="str">
        <f>input!B50</f>
        <v>124j</v>
      </c>
      <c r="B142" s="792">
        <f>input!AL50</f>
        <v>5000</v>
      </c>
      <c r="C142" s="573">
        <f>+input!CJ50</f>
        <v>145402.96508570784</v>
      </c>
      <c r="D142" s="573">
        <f>(input!CR50-input!CJ50)*input!$CU$1</f>
        <v>0</v>
      </c>
      <c r="E142" s="817">
        <f>(input!DH50-input!CJ50)*input!$DJ$1</f>
        <v>1595000</v>
      </c>
      <c r="F142" s="574">
        <f t="shared" si="0"/>
        <v>25.644566379614034</v>
      </c>
      <c r="G142" s="21">
        <f>+input!BP50</f>
        <v>0.125</v>
      </c>
      <c r="H142" s="21">
        <f t="shared" si="1"/>
        <v>6.6782724946911554</v>
      </c>
      <c r="I142" s="21">
        <f>input!M50/(input!T50+input!M50*input!BP50)</f>
        <v>1.8064516129032258</v>
      </c>
      <c r="J142" s="21">
        <f>+input!T50*input!P50/10^6*25</f>
        <v>8.6999999999999993</v>
      </c>
      <c r="K142" s="21">
        <f t="shared" si="4"/>
        <v>5.0167410714285712</v>
      </c>
      <c r="L142" s="21">
        <f t="shared" si="5"/>
        <v>1.7299107142857146</v>
      </c>
      <c r="M142" s="366"/>
      <c r="N142" s="576">
        <f>IF(ISNUMBER(M142),(+MST!B51+MST!C51+MST!D51)*B142*B142/12/M142/input!M50,0)</f>
        <v>0</v>
      </c>
      <c r="R142" s="463"/>
      <c r="S142" s="73"/>
      <c r="T142" s="463"/>
      <c r="U142" s="73"/>
      <c r="V142" s="73"/>
      <c r="W142" s="73"/>
      <c r="X142" s="73"/>
      <c r="Y142" s="73"/>
      <c r="Z142" s="73"/>
      <c r="AA142" s="73"/>
      <c r="AC142" s="73"/>
      <c r="AD142" s="73"/>
      <c r="AF142" s="7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</row>
    <row r="143" spans="1:45" ht="15" customHeight="1">
      <c r="A143" s="482" t="str">
        <f>input!B51</f>
        <v>125i</v>
      </c>
      <c r="B143" s="792">
        <f>input!AL51</f>
        <v>5000</v>
      </c>
      <c r="C143" s="573">
        <f>+input!CJ51</f>
        <v>129762.96508570782</v>
      </c>
      <c r="D143" s="573">
        <f>(input!CR51-input!CJ51)*input!$CU$1</f>
        <v>0</v>
      </c>
      <c r="E143" s="817">
        <f>(input!DH51-input!CJ51)*input!$DJ$1</f>
        <v>1595000</v>
      </c>
      <c r="F143" s="574">
        <f t="shared" si="0"/>
        <v>25.030696379614032</v>
      </c>
      <c r="G143" s="21">
        <f>+input!BP51</f>
        <v>0.125</v>
      </c>
      <c r="H143" s="21">
        <f t="shared" si="1"/>
        <v>6.5184105155244882</v>
      </c>
      <c r="I143" s="21">
        <f>input!M51/(input!T51+input!M51*input!BP51)</f>
        <v>1.8064516129032258</v>
      </c>
      <c r="J143" s="21">
        <f>+input!T51*input!P51/10^6*25</f>
        <v>8.6999999999999993</v>
      </c>
      <c r="K143" s="21">
        <f t="shared" si="4"/>
        <v>5.0167410714285712</v>
      </c>
      <c r="L143" s="21">
        <f t="shared" si="5"/>
        <v>1.7299107142857146</v>
      </c>
      <c r="M143" s="366"/>
      <c r="N143" s="576">
        <f>IF(ISNUMBER(M143),(+MST!B52+MST!C52+MST!D52)*B143*B143/12/M143/input!M51,0)</f>
        <v>0</v>
      </c>
      <c r="R143" s="463"/>
      <c r="S143" s="73"/>
      <c r="T143" s="463"/>
      <c r="U143" s="73"/>
      <c r="V143" s="73"/>
      <c r="W143" s="73"/>
      <c r="X143" s="73"/>
      <c r="Y143" s="73"/>
      <c r="Z143" s="73"/>
      <c r="AA143" s="73"/>
      <c r="AC143" s="73"/>
      <c r="AD143" s="73"/>
      <c r="AF143" s="7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</row>
    <row r="144" spans="1:45" ht="15" customHeight="1">
      <c r="A144" s="482" t="str">
        <f>input!B52</f>
        <v>125j</v>
      </c>
      <c r="B144" s="792">
        <f>input!AL52</f>
        <v>5000</v>
      </c>
      <c r="C144" s="573">
        <f>+input!CJ52</f>
        <v>129762.96508570782</v>
      </c>
      <c r="D144" s="573">
        <f>(input!CR52-input!CJ52)*input!$CU$1</f>
        <v>0</v>
      </c>
      <c r="E144" s="817">
        <f>(input!DH52-input!CJ52)*input!$DJ$1</f>
        <v>1595000</v>
      </c>
      <c r="F144" s="574">
        <f t="shared" si="0"/>
        <v>25.030696379614032</v>
      </c>
      <c r="G144" s="21">
        <f>+input!BP52</f>
        <v>0.125</v>
      </c>
      <c r="H144" s="21">
        <f t="shared" si="1"/>
        <v>6.5184105155244882</v>
      </c>
      <c r="I144" s="21">
        <f>input!M52/(input!T52+input!M52*input!BP52)</f>
        <v>1.8064516129032258</v>
      </c>
      <c r="J144" s="21">
        <f>+input!T52*input!P52/10^6*25</f>
        <v>8.6999999999999993</v>
      </c>
      <c r="K144" s="21">
        <f t="shared" si="4"/>
        <v>5.0167410714285712</v>
      </c>
      <c r="L144" s="21">
        <f t="shared" si="5"/>
        <v>1.7299107142857146</v>
      </c>
      <c r="M144" s="366"/>
      <c r="N144" s="576">
        <f>IF(ISNUMBER(M144),(+MST!B53+MST!C53+MST!D53)*B144*B144/12/M144/input!M52,0)</f>
        <v>0</v>
      </c>
      <c r="R144" s="463"/>
      <c r="S144" s="73"/>
      <c r="T144" s="463"/>
      <c r="U144" s="73"/>
      <c r="V144" s="73"/>
      <c r="W144" s="73"/>
      <c r="X144" s="73"/>
      <c r="Y144" s="73"/>
      <c r="Z144" s="73"/>
      <c r="AA144" s="73"/>
      <c r="AC144" s="73"/>
      <c r="AD144" s="73"/>
      <c r="AF144" s="7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</row>
    <row r="145" spans="1:45" ht="15" customHeight="1">
      <c r="A145" s="482" t="str">
        <f>input!B53</f>
        <v>126i</v>
      </c>
      <c r="B145" s="792">
        <f>input!AL53</f>
        <v>5000</v>
      </c>
      <c r="C145" s="573">
        <f>+input!CJ53</f>
        <v>129762.96508570782</v>
      </c>
      <c r="D145" s="573">
        <f>(input!CR53-input!CJ53)*input!$CU$1</f>
        <v>0</v>
      </c>
      <c r="E145" s="817">
        <f>(input!DH53-input!CJ53)*input!$DJ$1</f>
        <v>1595000</v>
      </c>
      <c r="F145" s="574">
        <f t="shared" si="0"/>
        <v>25.030696379614032</v>
      </c>
      <c r="G145" s="21">
        <f>+input!BP53</f>
        <v>0.125</v>
      </c>
      <c r="H145" s="21">
        <f t="shared" si="1"/>
        <v>6.5184105155244882</v>
      </c>
      <c r="I145" s="21">
        <f>input!M53/(input!T53+input!M53*input!BP53)</f>
        <v>1.8064516129032258</v>
      </c>
      <c r="J145" s="21">
        <f>+input!T53*input!P53/10^6*25</f>
        <v>8.6999999999999993</v>
      </c>
      <c r="K145" s="21">
        <f t="shared" si="4"/>
        <v>5.0167410714285712</v>
      </c>
      <c r="L145" s="21">
        <f t="shared" si="5"/>
        <v>1.7299107142857146</v>
      </c>
      <c r="M145" s="366"/>
      <c r="N145" s="576">
        <f>IF(ISNUMBER(M145),(+MST!B54+MST!C54+MST!D54)*B145*B145/12/M145/input!M53,0)</f>
        <v>0</v>
      </c>
      <c r="R145" s="463"/>
      <c r="S145" s="73"/>
      <c r="T145" s="463"/>
      <c r="U145" s="73"/>
      <c r="V145" s="73"/>
      <c r="W145" s="73"/>
      <c r="X145" s="73"/>
      <c r="Y145" s="73"/>
      <c r="Z145" s="73"/>
      <c r="AA145" s="73"/>
      <c r="AC145" s="73"/>
      <c r="AD145" s="73"/>
      <c r="AF145" s="7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</row>
    <row r="146" spans="1:45" ht="15" customHeight="1">
      <c r="A146" s="482" t="str">
        <f>input!B54</f>
        <v>126j</v>
      </c>
      <c r="B146" s="792">
        <f>input!AL54</f>
        <v>5000</v>
      </c>
      <c r="C146" s="573">
        <f>+input!CJ54</f>
        <v>129762.96508570782</v>
      </c>
      <c r="D146" s="573">
        <f>(input!CR54-input!CJ54)*input!$CU$1</f>
        <v>0</v>
      </c>
      <c r="E146" s="817">
        <f>(input!DH54-input!CJ54)*input!$DJ$1</f>
        <v>1595000</v>
      </c>
      <c r="F146" s="574">
        <f t="shared" si="0"/>
        <v>25.030696379614032</v>
      </c>
      <c r="G146" s="21">
        <f>+input!BP54</f>
        <v>0.125</v>
      </c>
      <c r="H146" s="21">
        <f t="shared" si="1"/>
        <v>6.5184105155244882</v>
      </c>
      <c r="I146" s="21">
        <f>input!M54/(input!T54+input!M54*input!BP54)</f>
        <v>1.8064516129032258</v>
      </c>
      <c r="J146" s="21">
        <f>+input!T54*input!P54/10^6*25</f>
        <v>8.6999999999999993</v>
      </c>
      <c r="K146" s="21">
        <f t="shared" si="4"/>
        <v>5.0167410714285712</v>
      </c>
      <c r="L146" s="21">
        <f t="shared" si="5"/>
        <v>1.7299107142857146</v>
      </c>
      <c r="M146" s="366"/>
      <c r="N146" s="576">
        <f>IF(ISNUMBER(M146),(+MST!B55+MST!C55+MST!D55)*B146*B146/12/M146/input!M54,0)</f>
        <v>0</v>
      </c>
      <c r="R146" s="463"/>
      <c r="S146" s="73"/>
      <c r="T146" s="463"/>
      <c r="U146" s="73"/>
      <c r="V146" s="73"/>
      <c r="W146" s="73"/>
      <c r="X146" s="73"/>
      <c r="Y146" s="73"/>
      <c r="Z146" s="73"/>
      <c r="AA146" s="73"/>
      <c r="AC146" s="73"/>
      <c r="AD146" s="73"/>
      <c r="AF146" s="7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</row>
    <row r="147" spans="1:45" ht="15" customHeight="1">
      <c r="A147" s="482" t="str">
        <f>input!B55</f>
        <v>127i</v>
      </c>
      <c r="B147" s="792">
        <f>input!AL55</f>
        <v>5000</v>
      </c>
      <c r="C147" s="573">
        <f>+input!CJ55</f>
        <v>114242.96508570782</v>
      </c>
      <c r="D147" s="573">
        <f>(input!CR55-input!CJ55)*input!$CU$1</f>
        <v>0</v>
      </c>
      <c r="E147" s="817">
        <f>(input!DH55-input!CJ55)*input!$DJ$1</f>
        <v>1595000</v>
      </c>
      <c r="F147" s="574">
        <f t="shared" si="0"/>
        <v>24.421536379614029</v>
      </c>
      <c r="G147" s="21">
        <f>+input!BP55</f>
        <v>0.125</v>
      </c>
      <c r="H147" s="21">
        <f t="shared" si="1"/>
        <v>6.3597750988578197</v>
      </c>
      <c r="I147" s="21">
        <f>input!M55/(input!T55+input!M55*input!BP55)</f>
        <v>1.8064516129032258</v>
      </c>
      <c r="J147" s="21">
        <f>+input!T55*input!P55/10^6*25</f>
        <v>8.6999999999999993</v>
      </c>
      <c r="K147" s="21">
        <f t="shared" si="4"/>
        <v>5.0167410714285712</v>
      </c>
      <c r="L147" s="21">
        <f t="shared" si="5"/>
        <v>1.7299107142857146</v>
      </c>
      <c r="M147" s="366"/>
      <c r="N147" s="576">
        <f>IF(ISNUMBER(M147),(+MST!B56+MST!C56+MST!D56)*B147*B147/12/M147/input!M55,0)</f>
        <v>0</v>
      </c>
      <c r="R147" s="463"/>
      <c r="S147" s="73"/>
      <c r="T147" s="463"/>
      <c r="U147" s="73"/>
      <c r="V147" s="73"/>
      <c r="W147" s="73"/>
      <c r="X147" s="73"/>
      <c r="Y147" s="73"/>
      <c r="Z147" s="73"/>
      <c r="AA147" s="73"/>
      <c r="AC147" s="73"/>
      <c r="AD147" s="73"/>
      <c r="AF147" s="7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</row>
    <row r="148" spans="1:45" ht="15" customHeight="1">
      <c r="A148" s="482" t="str">
        <f>input!B56</f>
        <v>127j</v>
      </c>
      <c r="B148" s="792">
        <f>input!AL56</f>
        <v>5000</v>
      </c>
      <c r="C148" s="573">
        <f>+input!CJ56</f>
        <v>114242.96508570782</v>
      </c>
      <c r="D148" s="573">
        <f>(input!CR56-input!CJ56)*input!$CU$1</f>
        <v>0</v>
      </c>
      <c r="E148" s="817">
        <f>(input!DH56-input!CJ56)*input!$DJ$1</f>
        <v>1595000</v>
      </c>
      <c r="F148" s="574">
        <f t="shared" si="0"/>
        <v>24.421536379614029</v>
      </c>
      <c r="G148" s="21">
        <f>+input!BP56</f>
        <v>0.125</v>
      </c>
      <c r="H148" s="21">
        <f t="shared" si="1"/>
        <v>6.3597750988578197</v>
      </c>
      <c r="I148" s="21">
        <f>input!M56/(input!T56+input!M56*input!BP56)</f>
        <v>1.8064516129032258</v>
      </c>
      <c r="J148" s="21">
        <f>+input!T56*input!P56/10^6*25</f>
        <v>8.6999999999999993</v>
      </c>
      <c r="K148" s="21">
        <f t="shared" si="4"/>
        <v>5.0167410714285712</v>
      </c>
      <c r="L148" s="21">
        <f t="shared" si="5"/>
        <v>1.7299107142857146</v>
      </c>
      <c r="M148" s="366"/>
      <c r="N148" s="576">
        <f>IF(ISNUMBER(M148),(+MST!B57+MST!C57+MST!D57)*B148*B148/12/M148/input!M56,0)</f>
        <v>0</v>
      </c>
      <c r="R148" s="463"/>
      <c r="S148" s="73"/>
      <c r="T148" s="463"/>
      <c r="U148" s="73"/>
      <c r="V148" s="73"/>
      <c r="W148" s="73"/>
      <c r="X148" s="73"/>
      <c r="Y148" s="73"/>
      <c r="Z148" s="73"/>
      <c r="AA148" s="73"/>
      <c r="AC148" s="73"/>
      <c r="AD148" s="73"/>
      <c r="AF148" s="7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</row>
    <row r="149" spans="1:45" ht="15" customHeight="1">
      <c r="A149" s="482" t="str">
        <f>input!B57</f>
        <v>128i</v>
      </c>
      <c r="B149" s="792">
        <f>input!AL57</f>
        <v>5000</v>
      </c>
      <c r="C149" s="573">
        <f>+input!CJ57</f>
        <v>114242.96508570782</v>
      </c>
      <c r="D149" s="573">
        <f>(input!CR57-input!CJ57)*input!$CU$1</f>
        <v>0</v>
      </c>
      <c r="E149" s="817">
        <f>(input!DH57-input!CJ57)*input!$DJ$1</f>
        <v>1595000</v>
      </c>
      <c r="F149" s="574">
        <f t="shared" si="0"/>
        <v>24.421536379614029</v>
      </c>
      <c r="G149" s="21">
        <f>+input!BP57</f>
        <v>0.125</v>
      </c>
      <c r="H149" s="21">
        <f t="shared" si="1"/>
        <v>6.3597750988578197</v>
      </c>
      <c r="I149" s="21">
        <f>input!M57/(input!T57+input!M57*input!BP57)</f>
        <v>1.8064516129032258</v>
      </c>
      <c r="J149" s="21">
        <f>+input!T57*input!P57/10^6*25</f>
        <v>8.6999999999999993</v>
      </c>
      <c r="K149" s="21">
        <f t="shared" si="4"/>
        <v>5.0167410714285712</v>
      </c>
      <c r="L149" s="21">
        <f t="shared" si="5"/>
        <v>1.7299107142857146</v>
      </c>
      <c r="M149" s="366"/>
      <c r="N149" s="576">
        <f>IF(ISNUMBER(M149),(+MST!B58+MST!C58+MST!D58)*B149*B149/12/M149/input!M57,0)</f>
        <v>0</v>
      </c>
      <c r="R149" s="463"/>
      <c r="S149" s="73"/>
      <c r="T149" s="463"/>
      <c r="U149" s="73"/>
      <c r="V149" s="73"/>
      <c r="W149" s="73"/>
      <c r="X149" s="73"/>
      <c r="Y149" s="73"/>
      <c r="Z149" s="73"/>
      <c r="AA149" s="73"/>
      <c r="AC149" s="73"/>
      <c r="AD149" s="73"/>
      <c r="AF149" s="7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</row>
    <row r="150" spans="1:45" ht="15" customHeight="1">
      <c r="A150" s="482" t="str">
        <f>input!B58</f>
        <v>128j</v>
      </c>
      <c r="B150" s="792">
        <f>input!AL58</f>
        <v>5000</v>
      </c>
      <c r="C150" s="573">
        <f>+input!CJ58</f>
        <v>114242.96508570782</v>
      </c>
      <c r="D150" s="573">
        <f>(input!CR58-input!CJ58)*input!$CU$1</f>
        <v>0</v>
      </c>
      <c r="E150" s="817">
        <f>(input!DH58-input!CJ58)*input!$DJ$1</f>
        <v>1595000</v>
      </c>
      <c r="F150" s="574">
        <f t="shared" si="0"/>
        <v>24.421536379614029</v>
      </c>
      <c r="G150" s="21">
        <f>+input!BP58</f>
        <v>0.125</v>
      </c>
      <c r="H150" s="21">
        <f t="shared" si="1"/>
        <v>6.3597750988578197</v>
      </c>
      <c r="I150" s="21">
        <f>input!M58/(input!T58+input!M58*input!BP58)</f>
        <v>1.8064516129032258</v>
      </c>
      <c r="J150" s="21">
        <f>+input!T58*input!P58/10^6*25</f>
        <v>8.6999999999999993</v>
      </c>
      <c r="K150" s="21">
        <f t="shared" si="4"/>
        <v>5.0167410714285712</v>
      </c>
      <c r="L150" s="21">
        <f t="shared" si="5"/>
        <v>1.7299107142857146</v>
      </c>
      <c r="M150" s="366"/>
      <c r="N150" s="576">
        <f>IF(ISNUMBER(M150),(+MST!B59+MST!C59+MST!D59)*B150*B150/12/M150/input!M58,0)</f>
        <v>0</v>
      </c>
      <c r="R150" s="463"/>
      <c r="S150" s="73"/>
      <c r="T150" s="463"/>
      <c r="U150" s="73"/>
      <c r="V150" s="73"/>
      <c r="W150" s="73"/>
      <c r="X150" s="73"/>
      <c r="Y150" s="73"/>
      <c r="Z150" s="73"/>
      <c r="AA150" s="73"/>
      <c r="AC150" s="73"/>
      <c r="AD150" s="73"/>
      <c r="AF150" s="7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</row>
    <row r="151" spans="1:45" ht="15" customHeight="1">
      <c r="A151" s="482" t="str">
        <f>input!B59</f>
        <v>129i</v>
      </c>
      <c r="B151" s="792">
        <f>input!AL59</f>
        <v>5000</v>
      </c>
      <c r="C151" s="573">
        <f>+input!CJ59</f>
        <v>114242.96508570782</v>
      </c>
      <c r="D151" s="573">
        <f>(input!CR59-input!CJ59)*input!$CU$1</f>
        <v>0</v>
      </c>
      <c r="E151" s="817">
        <f>(input!DH59-input!CJ59)*input!$DJ$1</f>
        <v>1595000</v>
      </c>
      <c r="F151" s="574">
        <f t="shared" si="0"/>
        <v>24.421536379614029</v>
      </c>
      <c r="G151" s="21">
        <f>+input!BP59</f>
        <v>0.125</v>
      </c>
      <c r="H151" s="21">
        <f t="shared" si="1"/>
        <v>6.3597750988578197</v>
      </c>
      <c r="I151" s="21">
        <f>input!M59/(input!T59+input!M59*input!BP59)</f>
        <v>1.8064516129032258</v>
      </c>
      <c r="J151" s="21">
        <f>+input!T59*input!P59/10^6*25</f>
        <v>8.6999999999999993</v>
      </c>
      <c r="K151" s="21">
        <f t="shared" si="4"/>
        <v>5.0167410714285712</v>
      </c>
      <c r="L151" s="21">
        <f t="shared" si="5"/>
        <v>1.7299107142857146</v>
      </c>
      <c r="M151" s="366"/>
      <c r="N151" s="576">
        <f>IF(ISNUMBER(M151),(+MST!B60+MST!C60+MST!D60)*B151*B151/12/M151/input!M59,0)</f>
        <v>0</v>
      </c>
      <c r="R151" s="463"/>
      <c r="S151" s="73"/>
      <c r="T151" s="463"/>
      <c r="U151" s="73"/>
      <c r="V151" s="73"/>
      <c r="W151" s="73"/>
      <c r="X151" s="73"/>
      <c r="Y151" s="73"/>
      <c r="Z151" s="73"/>
      <c r="AA151" s="73"/>
      <c r="AC151" s="73"/>
      <c r="AD151" s="73"/>
      <c r="AF151" s="7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</row>
    <row r="152" spans="1:45" ht="15" customHeight="1">
      <c r="A152" s="482" t="str">
        <f>input!B60</f>
        <v>129j</v>
      </c>
      <c r="B152" s="792">
        <f>input!AL60</f>
        <v>5000</v>
      </c>
      <c r="C152" s="573">
        <f>+input!CJ60</f>
        <v>114242.96508570782</v>
      </c>
      <c r="D152" s="573">
        <f>(input!CR60-input!CJ60)*input!$CU$1</f>
        <v>0</v>
      </c>
      <c r="E152" s="817">
        <f>(input!DH60-input!CJ60)*input!$DJ$1</f>
        <v>1595000</v>
      </c>
      <c r="F152" s="574">
        <f t="shared" si="0"/>
        <v>24.421536379614029</v>
      </c>
      <c r="G152" s="21">
        <f>+input!BP60</f>
        <v>0.125</v>
      </c>
      <c r="H152" s="21">
        <f t="shared" si="1"/>
        <v>6.3597750988578197</v>
      </c>
      <c r="I152" s="21">
        <f>input!M60/(input!T60+input!M60*input!BP60)</f>
        <v>1.8064516129032258</v>
      </c>
      <c r="J152" s="21">
        <f>+input!T60*input!P60/10^6*25</f>
        <v>8.6999999999999993</v>
      </c>
      <c r="K152" s="21">
        <f t="shared" si="4"/>
        <v>5.0167410714285712</v>
      </c>
      <c r="L152" s="21">
        <f t="shared" si="5"/>
        <v>1.7299107142857146</v>
      </c>
      <c r="M152" s="366"/>
      <c r="N152" s="576">
        <f>IF(ISNUMBER(M152),(+MST!B61+MST!C61+MST!D61)*B152*B152/12/M152/input!M60,0)</f>
        <v>0</v>
      </c>
      <c r="R152" s="463"/>
      <c r="S152" s="73"/>
      <c r="T152" s="463"/>
      <c r="U152" s="73"/>
      <c r="V152" s="73"/>
      <c r="W152" s="73"/>
      <c r="X152" s="73"/>
      <c r="Y152" s="73"/>
      <c r="Z152" s="73"/>
      <c r="AA152" s="73"/>
      <c r="AC152" s="73"/>
      <c r="AD152" s="73"/>
      <c r="AF152" s="7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</row>
    <row r="153" spans="1:45" ht="15" customHeight="1">
      <c r="A153" s="482" t="str">
        <f>input!B61</f>
        <v>130i</v>
      </c>
      <c r="B153" s="792">
        <f>input!AL61</f>
        <v>5000</v>
      </c>
      <c r="C153" s="573">
        <f>+input!CJ61</f>
        <v>109405.61043672869</v>
      </c>
      <c r="D153" s="573">
        <f>(input!CR61-input!CJ61)*input!$CU$1</f>
        <v>0</v>
      </c>
      <c r="E153" s="817">
        <f>(input!DH61-input!CJ61)*input!$DJ$1</f>
        <v>1580499.9999999998</v>
      </c>
      <c r="F153" s="574">
        <f t="shared" si="0"/>
        <v>24.050420209641597</v>
      </c>
      <c r="G153" s="21">
        <f>+input!BP61</f>
        <v>0.125</v>
      </c>
      <c r="H153" s="21">
        <f t="shared" si="1"/>
        <v>6.2631302629274996</v>
      </c>
      <c r="I153" s="21">
        <f>input!M61/(input!T61+input!M61*input!BP61)</f>
        <v>1.7333333333333334</v>
      </c>
      <c r="J153" s="21">
        <f>+input!T61*input!P61/10^6*25</f>
        <v>8.5187500000000007</v>
      </c>
      <c r="K153" s="21">
        <f t="shared" si="4"/>
        <v>5.1194411057692308</v>
      </c>
      <c r="L153" s="21">
        <f t="shared" si="5"/>
        <v>1.802884615384615</v>
      </c>
      <c r="M153" s="366"/>
      <c r="N153" s="576">
        <f>IF(ISNUMBER(M153),(+MST!B62+MST!C62+MST!D62)*B153*B153/12/M153/input!M61,0)</f>
        <v>0</v>
      </c>
      <c r="R153" s="463"/>
      <c r="S153" s="73"/>
      <c r="T153" s="463"/>
      <c r="U153" s="73"/>
      <c r="V153" s="73"/>
      <c r="W153" s="73"/>
      <c r="X153" s="73"/>
      <c r="Y153" s="73"/>
      <c r="Z153" s="73"/>
      <c r="AA153" s="73"/>
      <c r="AC153" s="73"/>
      <c r="AD153" s="73"/>
      <c r="AF153" s="7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</row>
    <row r="154" spans="1:45" ht="15" customHeight="1">
      <c r="A154" s="482" t="str">
        <f>input!B62</f>
        <v>130j</v>
      </c>
      <c r="B154" s="792">
        <f>input!AL62</f>
        <v>5000</v>
      </c>
      <c r="C154" s="573">
        <f>+input!CJ62</f>
        <v>109405.61043672869</v>
      </c>
      <c r="D154" s="573">
        <f>(input!CR62-input!CJ62)*input!$CU$1</f>
        <v>0</v>
      </c>
      <c r="E154" s="817">
        <f>(input!DH62-input!CJ62)*input!$DJ$1</f>
        <v>1580499.9999999998</v>
      </c>
      <c r="F154" s="574">
        <f t="shared" si="0"/>
        <v>24.050420209641597</v>
      </c>
      <c r="G154" s="21">
        <f>+input!BP62</f>
        <v>0.125</v>
      </c>
      <c r="H154" s="21">
        <f t="shared" si="1"/>
        <v>6.2631302629274996</v>
      </c>
      <c r="I154" s="21">
        <f>input!M62/(input!T62+input!M62*input!BP62)</f>
        <v>1.7333333333333334</v>
      </c>
      <c r="J154" s="21">
        <f>+input!T62*input!P62/10^6*25</f>
        <v>8.5187500000000007</v>
      </c>
      <c r="K154" s="21">
        <f t="shared" si="4"/>
        <v>5.1194411057692308</v>
      </c>
      <c r="L154" s="21">
        <f t="shared" si="5"/>
        <v>1.802884615384615</v>
      </c>
      <c r="M154" s="366"/>
      <c r="N154" s="576">
        <f>IF(ISNUMBER(M154),(+MST!B63+MST!C63+MST!D63)*B154*B154/12/M154/input!M62,0)</f>
        <v>0</v>
      </c>
      <c r="R154" s="463"/>
      <c r="S154" s="73"/>
      <c r="T154" s="463"/>
      <c r="U154" s="73"/>
      <c r="V154" s="73"/>
      <c r="W154" s="73"/>
      <c r="X154" s="73"/>
      <c r="Y154" s="73"/>
      <c r="Z154" s="73"/>
      <c r="AA154" s="73"/>
      <c r="AC154" s="73"/>
      <c r="AD154" s="73"/>
      <c r="AF154" s="7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</row>
    <row r="155" spans="1:45" ht="15" customHeight="1">
      <c r="A155" s="482" t="str">
        <f>input!B63</f>
        <v>131i</v>
      </c>
      <c r="B155" s="792">
        <f>input!AL63</f>
        <v>5000</v>
      </c>
      <c r="C155" s="573">
        <f>+input!CJ63</f>
        <v>109405.61043672869</v>
      </c>
      <c r="D155" s="573">
        <f>(input!CR63-input!CJ63)*input!$CU$1</f>
        <v>0</v>
      </c>
      <c r="E155" s="817">
        <f>(input!DH63-input!CJ63)*input!$DJ$1</f>
        <v>1580499.9999999998</v>
      </c>
      <c r="F155" s="574">
        <f t="shared" si="0"/>
        <v>24.050420209641597</v>
      </c>
      <c r="G155" s="21">
        <f>+input!BP63</f>
        <v>0.125</v>
      </c>
      <c r="H155" s="21">
        <f t="shared" si="1"/>
        <v>6.2631302629274996</v>
      </c>
      <c r="I155" s="21">
        <f>input!M63/(input!T63+input!M63*input!BP63)</f>
        <v>1.7333333333333334</v>
      </c>
      <c r="J155" s="21">
        <f>+input!T63*input!P63/10^6*25</f>
        <v>8.5187500000000007</v>
      </c>
      <c r="K155" s="21">
        <f t="shared" si="4"/>
        <v>5.1194411057692308</v>
      </c>
      <c r="L155" s="21">
        <f t="shared" si="5"/>
        <v>1.802884615384615</v>
      </c>
      <c r="M155" s="366"/>
      <c r="N155" s="576">
        <f>IF(ISNUMBER(M155),(+MST!B64+MST!C64+MST!D64)*B155*B155/12/M155/input!M63,0)</f>
        <v>0</v>
      </c>
      <c r="R155" s="463"/>
      <c r="S155" s="73"/>
      <c r="T155" s="463"/>
      <c r="U155" s="73"/>
      <c r="V155" s="73"/>
      <c r="W155" s="73"/>
      <c r="X155" s="73"/>
      <c r="Y155" s="73"/>
      <c r="Z155" s="73"/>
      <c r="AA155" s="73"/>
      <c r="AC155" s="73"/>
      <c r="AD155" s="73"/>
      <c r="AF155" s="7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</row>
    <row r="156" spans="1:45" ht="15" customHeight="1">
      <c r="A156" s="482" t="str">
        <f>input!B64</f>
        <v>131j</v>
      </c>
      <c r="B156" s="792">
        <f>input!AL64</f>
        <v>5000</v>
      </c>
      <c r="C156" s="573">
        <f>+input!CJ64</f>
        <v>109405.61043672869</v>
      </c>
      <c r="D156" s="573">
        <f>(input!CR64-input!CJ64)*input!$CU$1</f>
        <v>0</v>
      </c>
      <c r="E156" s="817">
        <f>(input!DH64-input!CJ64)*input!$DJ$1</f>
        <v>1580499.9999999998</v>
      </c>
      <c r="F156" s="574">
        <f t="shared" si="0"/>
        <v>24.050420209641597</v>
      </c>
      <c r="G156" s="21">
        <f>+input!BP64</f>
        <v>0.125</v>
      </c>
      <c r="H156" s="21">
        <f t="shared" si="1"/>
        <v>6.2631302629274996</v>
      </c>
      <c r="I156" s="21">
        <f>input!M64/(input!T64+input!M64*input!BP64)</f>
        <v>1.7333333333333334</v>
      </c>
      <c r="J156" s="21">
        <f>+input!T64*input!P64/10^6*25</f>
        <v>8.5187500000000007</v>
      </c>
      <c r="K156" s="21">
        <f t="shared" si="4"/>
        <v>5.1194411057692308</v>
      </c>
      <c r="L156" s="21">
        <f t="shared" si="5"/>
        <v>1.802884615384615</v>
      </c>
      <c r="M156" s="366"/>
      <c r="N156" s="576">
        <f>IF(ISNUMBER(M156),(+MST!B65+MST!C65+MST!D65)*B156*B156/12/M156/input!M64,0)</f>
        <v>0</v>
      </c>
      <c r="R156" s="463"/>
      <c r="S156" s="73"/>
      <c r="T156" s="463"/>
      <c r="U156" s="73"/>
      <c r="V156" s="73"/>
      <c r="W156" s="73"/>
      <c r="X156" s="73"/>
      <c r="Y156" s="73"/>
      <c r="Z156" s="73"/>
      <c r="AA156" s="73"/>
      <c r="AC156" s="73"/>
      <c r="AD156" s="73"/>
      <c r="AF156" s="7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</row>
    <row r="157" spans="1:45" ht="15" customHeight="1">
      <c r="A157" s="170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93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93"/>
      <c r="Z157" s="170"/>
      <c r="AA157" s="170"/>
      <c r="AJ157" s="505"/>
      <c r="AM157" s="76"/>
    </row>
    <row r="158" spans="1:45" ht="15" customHeight="1" thickBot="1">
      <c r="A158" s="445" t="s">
        <v>1622</v>
      </c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L158" s="201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201"/>
      <c r="Z158" s="170"/>
      <c r="AA158" s="170"/>
      <c r="AJ158" s="505"/>
      <c r="AM158" s="76"/>
    </row>
    <row r="159" spans="1:45" ht="15" customHeight="1">
      <c r="A159" s="659" t="s">
        <v>16</v>
      </c>
      <c r="B159" s="1918" t="s">
        <v>384</v>
      </c>
      <c r="C159" s="1919"/>
      <c r="D159" s="547" t="s">
        <v>693</v>
      </c>
      <c r="E159" s="660" t="s">
        <v>158</v>
      </c>
      <c r="F159" s="660" t="s">
        <v>159</v>
      </c>
      <c r="G159" s="660" t="s">
        <v>940</v>
      </c>
      <c r="H159" s="660" t="s">
        <v>387</v>
      </c>
      <c r="I159" s="660" t="s">
        <v>144</v>
      </c>
      <c r="J159" s="660" t="s">
        <v>145</v>
      </c>
      <c r="K159" s="660" t="s">
        <v>14</v>
      </c>
      <c r="L159" s="660" t="s">
        <v>450</v>
      </c>
      <c r="M159" s="660" t="s">
        <v>942</v>
      </c>
      <c r="N159" s="665" t="s">
        <v>499</v>
      </c>
      <c r="Q159" s="463"/>
      <c r="R159" s="73"/>
      <c r="S159" s="463"/>
      <c r="T159" s="73"/>
      <c r="U159" s="73"/>
      <c r="V159" s="73"/>
      <c r="W159" s="73"/>
      <c r="X159" s="73"/>
      <c r="Y159" s="73"/>
      <c r="Z159" s="73"/>
      <c r="AA159" s="73"/>
      <c r="AC159" s="73"/>
      <c r="AD159" s="73"/>
      <c r="AF159" s="7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</row>
    <row r="160" spans="1:45" ht="15" customHeight="1">
      <c r="A160" s="661"/>
      <c r="B160" s="662" t="s">
        <v>383</v>
      </c>
      <c r="C160" s="662" t="s">
        <v>388</v>
      </c>
      <c r="D160" s="551" t="s">
        <v>962</v>
      </c>
      <c r="E160" s="662"/>
      <c r="F160" s="662"/>
      <c r="G160" s="662"/>
      <c r="H160" s="662"/>
      <c r="I160" s="662"/>
      <c r="J160" s="662"/>
      <c r="K160" s="662"/>
      <c r="L160" s="662"/>
      <c r="M160" s="662"/>
      <c r="N160" s="664"/>
      <c r="Q160" s="463"/>
      <c r="R160" s="73"/>
      <c r="S160" s="463"/>
      <c r="T160" s="73"/>
      <c r="U160" s="73"/>
      <c r="V160" s="73"/>
      <c r="W160" s="73"/>
      <c r="X160" s="73"/>
      <c r="Y160" s="73"/>
      <c r="Z160" s="73"/>
      <c r="AA160" s="73"/>
      <c r="AC160" s="73"/>
      <c r="AD160" s="73"/>
      <c r="AF160" s="7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</row>
    <row r="161" spans="1:45" ht="15" customHeight="1">
      <c r="A161" s="482" t="str">
        <f t="shared" ref="A161:A192" si="6">A95</f>
        <v>101i</v>
      </c>
      <c r="B161" s="21">
        <f>+Stress!D832</f>
        <v>4.3452189183266609E-4</v>
      </c>
      <c r="C161" s="21">
        <f>Stress!E832</f>
        <v>-3.8833456155582815E-4</v>
      </c>
      <c r="D161" s="987" t="str">
        <f>IF(B161&lt;=0,"Positive","Negative")</f>
        <v>Negative</v>
      </c>
      <c r="E161" s="483">
        <f>IF(B161&lt;=0,(input!CL3-input!H3),(input!CM3-input!K3))/COS(ATAN(input!BP3))</f>
        <v>1240.6566573796786</v>
      </c>
      <c r="F161" s="21">
        <f>input!G3/SQRT(12*(1+E161*input!N3/(3*input!G3*input!H3)))</f>
        <v>119.81840833836236</v>
      </c>
      <c r="G161" s="577">
        <f>+(input!H3*(input!G3)^2)/6</f>
        <v>916666.66666666663</v>
      </c>
      <c r="H161" s="21">
        <f>IF(input!F3=1,0,(H95*1.25+K95*1.25+L95*1.5+1.5*N95)/G161*10^6)</f>
        <v>18.525943310897638</v>
      </c>
      <c r="I161" s="483">
        <f t="shared" ref="I161:I192" si="7">1*1*PI()^2*Es/((B95/F161)^2)</f>
        <v>1190.2169306499557</v>
      </c>
      <c r="J161" s="483">
        <f>1*F161*SQRT(Es/input!BI3)</f>
        <v>2816.705197807451</v>
      </c>
      <c r="K161" s="21">
        <f>IF(D161="Positive",IF(B95&lt;=IF(B161=0,0,1.2*J161*SQRT(1*1*input!BI3/ABS(B161))),H161,H161*MAX(0.85/(1-ABS(B161)/I161),1)),H161)</f>
        <v>18.525943310897638</v>
      </c>
      <c r="L161" s="483">
        <f>0.6*input!BI3</f>
        <v>228</v>
      </c>
      <c r="M161" s="484" t="str">
        <f>IF(ABS(K161)&lt;=0.6*input!BI3,"OK","NG")</f>
        <v>OK</v>
      </c>
      <c r="N161" s="607">
        <f>IF(K161=0,"Inf",0.6*input!BI3/ABS(K161))</f>
        <v>12.307065620020659</v>
      </c>
      <c r="Q161" s="559"/>
      <c r="R161" s="73"/>
      <c r="S161" s="559"/>
      <c r="T161" s="73"/>
      <c r="U161" s="73"/>
      <c r="V161" s="73"/>
      <c r="W161" s="73"/>
      <c r="X161" s="73"/>
      <c r="Y161" s="73"/>
      <c r="Z161" s="73"/>
      <c r="AA161" s="73"/>
      <c r="AC161" s="73"/>
      <c r="AD161" s="73"/>
      <c r="AF161" s="7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</row>
    <row r="162" spans="1:45" ht="15" customHeight="1">
      <c r="A162" s="482" t="str">
        <f t="shared" si="6"/>
        <v>101j</v>
      </c>
      <c r="B162" s="21">
        <f>+Stress!D833</f>
        <v>0.15541399664548358</v>
      </c>
      <c r="C162" s="21">
        <f>Stress!E833</f>
        <v>-0.13889432818313455</v>
      </c>
      <c r="D162" s="987" t="str">
        <f t="shared" ref="D162:D222" si="8">IF(B162&lt;=0,"Positive","Negative")</f>
        <v>Negative</v>
      </c>
      <c r="E162" s="483">
        <f>IF(B162&lt;=0,(input!CL4-input!H4),(input!CM4-input!K4))/COS(ATAN(input!BP4))</f>
        <v>1240.6566573796786</v>
      </c>
      <c r="F162" s="21">
        <f>input!G4/SQRT(12*(1+E162*input!N4/(3*input!G4*input!H4)))</f>
        <v>119.81840833836236</v>
      </c>
      <c r="G162" s="577">
        <f>+(input!H4*(input!G4)^2)/6</f>
        <v>916666.66666666663</v>
      </c>
      <c r="H162" s="21">
        <f>IF(input!F4=1,0,(H96*1.25+K96*1.25+L96*1.5+1.5*N96)/G162*10^6)</f>
        <v>18.525943310897638</v>
      </c>
      <c r="I162" s="483">
        <f t="shared" si="7"/>
        <v>1190.2169306499557</v>
      </c>
      <c r="J162" s="483">
        <f>1*F162*SQRT(Es/input!BI4)</f>
        <v>2816.705197807451</v>
      </c>
      <c r="K162" s="21">
        <f>IF(D162="Positive",IF(B96&lt;=IF(B162=0,0,1.2*J162*SQRT(1*1*input!BI4/ABS(B162))),H162,H162*MAX(0.85/(1-ABS(B162)/I162),1)),H162)</f>
        <v>18.525943310897638</v>
      </c>
      <c r="L162" s="483">
        <f>0.6*input!BI4</f>
        <v>228</v>
      </c>
      <c r="M162" s="484" t="str">
        <f>IF(ABS(K162)&lt;=0.6*input!BI4,"OK","NG")</f>
        <v>OK</v>
      </c>
      <c r="N162" s="607">
        <f>IF(K162=0,"Inf",0.6*input!BI4/ABS(K162))</f>
        <v>12.307065620020659</v>
      </c>
      <c r="Q162" s="559"/>
      <c r="R162" s="73"/>
      <c r="S162" s="559"/>
      <c r="T162" s="73"/>
      <c r="U162" s="73"/>
      <c r="V162" s="73"/>
      <c r="W162" s="73"/>
      <c r="X162" s="73"/>
      <c r="Y162" s="73"/>
      <c r="Z162" s="73"/>
      <c r="AA162" s="73"/>
      <c r="AC162" s="73"/>
      <c r="AD162" s="73"/>
      <c r="AF162" s="7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</row>
    <row r="163" spans="1:45" ht="15" customHeight="1">
      <c r="A163" s="482" t="str">
        <f t="shared" si="6"/>
        <v>102i</v>
      </c>
      <c r="B163" s="21">
        <f>+Stress!D834</f>
        <v>0.15599335916792711</v>
      </c>
      <c r="C163" s="21">
        <f>Stress!E834</f>
        <v>-0.13941210759854231</v>
      </c>
      <c r="D163" s="987" t="str">
        <f t="shared" si="8"/>
        <v>Negative</v>
      </c>
      <c r="E163" s="483">
        <f>IF(B163&lt;=0,(input!CL5-input!H5),(input!CM5-input!K5))/COS(ATAN(input!BP5))</f>
        <v>1240.6566573796786</v>
      </c>
      <c r="F163" s="21">
        <f>input!G5/SQRT(12*(1+E163*input!N5/(3*input!G5*input!H5)))</f>
        <v>119.81840833836236</v>
      </c>
      <c r="G163" s="577">
        <f>+(input!H5*(input!G5)^2)/6</f>
        <v>916666.66666666663</v>
      </c>
      <c r="H163" s="21">
        <f>IF(input!F5=1,0,(H97*1.25+K97*1.25+L97*1.5+1.5*N97)/G163*10^6)</f>
        <v>18.525943310897638</v>
      </c>
      <c r="I163" s="483">
        <f t="shared" si="7"/>
        <v>1190.2169306499557</v>
      </c>
      <c r="J163" s="483">
        <f>1*F163*SQRT(Es/input!BI5)</f>
        <v>2816.705197807451</v>
      </c>
      <c r="K163" s="21">
        <f>IF(D163="Positive",IF(B97&lt;=IF(B163=0,0,1.2*J163*SQRT(1*1*input!BI5/ABS(B163))),H163,H163*MAX(0.85/(1-ABS(B163)/I163),1)),H163)</f>
        <v>18.525943310897638</v>
      </c>
      <c r="L163" s="483">
        <f>0.6*input!BI5</f>
        <v>228</v>
      </c>
      <c r="M163" s="484" t="str">
        <f>IF(ABS(K163)&lt;=0.6*input!BI5,"OK","NG")</f>
        <v>OK</v>
      </c>
      <c r="N163" s="607">
        <f>IF(K163=0,"Inf",0.6*input!BI5/ABS(K163))</f>
        <v>12.307065620020659</v>
      </c>
      <c r="Q163" s="559"/>
      <c r="R163" s="73"/>
      <c r="S163" s="559"/>
      <c r="T163" s="73"/>
      <c r="U163" s="73"/>
      <c r="V163" s="73"/>
      <c r="W163" s="73"/>
      <c r="X163" s="73"/>
      <c r="Y163" s="73"/>
      <c r="Z163" s="73"/>
      <c r="AA163" s="73"/>
      <c r="AC163" s="73"/>
      <c r="AD163" s="73"/>
      <c r="AF163" s="7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</row>
    <row r="164" spans="1:45" ht="15" customHeight="1">
      <c r="A164" s="482" t="str">
        <f t="shared" si="6"/>
        <v>102j</v>
      </c>
      <c r="B164" s="21">
        <f>+Stress!D835</f>
        <v>-76.804496353405341</v>
      </c>
      <c r="C164" s="21">
        <f>Stress!E835</f>
        <v>68.640593207215815</v>
      </c>
      <c r="D164" s="987" t="str">
        <f t="shared" si="8"/>
        <v>Positive</v>
      </c>
      <c r="E164" s="483">
        <f>IF(B164&lt;=0,(input!CL6-input!H6),(input!CM6-input!K6))/COS(ATAN(input!BP6))</f>
        <v>1379.5771108173501</v>
      </c>
      <c r="F164" s="21">
        <f>input!G6/SQRT(12*(1+E164*input!N6/(3*input!G6*input!H6)))</f>
        <v>117.78580059859503</v>
      </c>
      <c r="G164" s="577">
        <f>+(input!H6*(input!G6)^2)/6</f>
        <v>916666.66666666663</v>
      </c>
      <c r="H164" s="21">
        <f>IF(input!F6=1,0,(H98*1.25+K98*1.25+L98*1.5+1.5*N98)/G164*10^6)</f>
        <v>18.525943310897638</v>
      </c>
      <c r="I164" s="483">
        <f t="shared" si="7"/>
        <v>1150.1776067051464</v>
      </c>
      <c r="J164" s="483">
        <f>1*F164*SQRT(Es/input!BI6)</f>
        <v>2768.9224166379799</v>
      </c>
      <c r="K164" s="21">
        <f>IF(D164="Positive",IF(B98&lt;=IF(B164=0,0,1.2*J164*SQRT(1*1*input!BI6/ABS(B164))),H164,H164*MAX(0.85/(1-ABS(B164)/I164),1)),H164)</f>
        <v>18.525943310897638</v>
      </c>
      <c r="L164" s="483">
        <f>0.6*input!BI6</f>
        <v>228</v>
      </c>
      <c r="M164" s="484" t="str">
        <f>IF(ABS(K164)&lt;=0.6*input!BI6,"OK","NG")</f>
        <v>OK</v>
      </c>
      <c r="N164" s="607">
        <f>IF(K164=0,"Inf",0.6*input!BI6/ABS(K164))</f>
        <v>12.307065620020659</v>
      </c>
      <c r="Q164" s="559"/>
      <c r="R164" s="73"/>
      <c r="S164" s="559"/>
      <c r="T164" s="73"/>
      <c r="U164" s="73"/>
      <c r="V164" s="73"/>
      <c r="W164" s="73"/>
      <c r="X164" s="73"/>
      <c r="Y164" s="73"/>
      <c r="Z164" s="73"/>
      <c r="AA164" s="73"/>
      <c r="AC164" s="73"/>
      <c r="AD164" s="73"/>
      <c r="AF164" s="7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</row>
    <row r="165" spans="1:45" ht="15" customHeight="1">
      <c r="A165" s="482" t="str">
        <f t="shared" si="6"/>
        <v>103i</v>
      </c>
      <c r="B165" s="21">
        <f>+Stress!D836</f>
        <v>-55.882227353329924</v>
      </c>
      <c r="C165" s="21">
        <f>Stress!E836</f>
        <v>48.270319577395639</v>
      </c>
      <c r="D165" s="987" t="str">
        <f t="shared" si="8"/>
        <v>Positive</v>
      </c>
      <c r="E165" s="483">
        <f>IF(B165&lt;=0,(input!CL7-input!H7),(input!CM7-input!K7))/COS(ATAN(input!BP7))</f>
        <v>1509.7302541060105</v>
      </c>
      <c r="F165" s="21">
        <f>input!G7/SQRT(12*(1+E165*input!N7/(3*input!G7*input!H7)))</f>
        <v>121.874621301899</v>
      </c>
      <c r="G165" s="577">
        <f>+(input!H7*(input!G7)^2)/6</f>
        <v>1250000</v>
      </c>
      <c r="H165" s="21">
        <f>IF(input!F7=1,0,(H99*1.25+K99*1.25+L99*1.5+1.5*N99)/G165*10^6)</f>
        <v>13.692815277429251</v>
      </c>
      <c r="I165" s="483">
        <f t="shared" si="7"/>
        <v>1231.4182620218357</v>
      </c>
      <c r="J165" s="483">
        <f>1*F165*SQRT(Es/input!BI7)</f>
        <v>2865.0428933461617</v>
      </c>
      <c r="K165" s="21">
        <f>IF(D165="Positive",IF(B99&lt;=IF(B165=0,0,1.2*J165*SQRT(1*1*input!BI7/ABS(B165))),H165,H165*MAX(0.85/(1-ABS(B165)/I165),1)),H165)</f>
        <v>13.692815277429251</v>
      </c>
      <c r="L165" s="483">
        <f>0.6*input!BI7</f>
        <v>228</v>
      </c>
      <c r="M165" s="484" t="str">
        <f>IF(ABS(K165)&lt;=0.6*input!BI7,"OK","NG")</f>
        <v>OK</v>
      </c>
      <c r="N165" s="607">
        <f>IF(K165=0,"Inf",0.6*input!BI7/ABS(K165))</f>
        <v>16.651068124451154</v>
      </c>
      <c r="Q165" s="559"/>
      <c r="R165" s="73"/>
      <c r="S165" s="559"/>
      <c r="T165" s="73"/>
      <c r="U165" s="73"/>
      <c r="V165" s="73"/>
      <c r="W165" s="73"/>
      <c r="X165" s="73"/>
      <c r="Y165" s="73"/>
      <c r="Z165" s="73"/>
      <c r="AA165" s="73"/>
      <c r="AC165" s="73"/>
      <c r="AD165" s="73"/>
      <c r="AF165" s="7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</row>
    <row r="166" spans="1:45" ht="15" customHeight="1">
      <c r="A166" s="482" t="str">
        <f t="shared" si="6"/>
        <v>103j</v>
      </c>
      <c r="B166" s="21">
        <f>+Stress!D837</f>
        <v>-126.69109128803922</v>
      </c>
      <c r="C166" s="21">
        <f>Stress!E837</f>
        <v>109.43406792675474</v>
      </c>
      <c r="D166" s="987" t="str">
        <f t="shared" si="8"/>
        <v>Positive</v>
      </c>
      <c r="E166" s="483">
        <f>IF(B166&lt;=0,(input!CL8-input!H8),(input!CM8-input!K8))/COS(ATAN(input!BP8))</f>
        <v>1509.7302541060105</v>
      </c>
      <c r="F166" s="21">
        <f>input!G8/SQRT(12*(1+E166*input!N8/(3*input!G8*input!H8)))</f>
        <v>121.874621301899</v>
      </c>
      <c r="G166" s="577">
        <f>+(input!H8*(input!G8)^2)/6</f>
        <v>1250000</v>
      </c>
      <c r="H166" s="21">
        <f>IF(input!F8=1,0,(H100*1.25+K100*1.25+L100*1.5+1.5*N100)/G166*10^6)</f>
        <v>13.692815277429251</v>
      </c>
      <c r="I166" s="483">
        <f t="shared" si="7"/>
        <v>1231.4182620218357</v>
      </c>
      <c r="J166" s="483">
        <f>1*F166*SQRT(Es/input!BI8)</f>
        <v>2865.0428933461617</v>
      </c>
      <c r="K166" s="21">
        <f>IF(D166="Positive",IF(B100&lt;=IF(B166=0,0,1.2*J166*SQRT(1*1*input!BI8/ABS(B166))),H166,H166*MAX(0.85/(1-ABS(B166)/I166),1)),H166)</f>
        <v>13.692815277429251</v>
      </c>
      <c r="L166" s="483">
        <f>0.6*input!BI8</f>
        <v>228</v>
      </c>
      <c r="M166" s="484" t="str">
        <f>IF(ABS(K166)&lt;=0.6*input!BI8,"OK","NG")</f>
        <v>OK</v>
      </c>
      <c r="N166" s="607">
        <f>IF(K166=0,"Inf",0.6*input!BI8/ABS(K166))</f>
        <v>16.651068124451154</v>
      </c>
      <c r="Q166" s="559"/>
      <c r="R166" s="73"/>
      <c r="S166" s="559"/>
      <c r="T166" s="73"/>
      <c r="U166" s="73"/>
      <c r="V166" s="73"/>
      <c r="W166" s="73"/>
      <c r="X166" s="73"/>
      <c r="Y166" s="73"/>
      <c r="Z166" s="73"/>
      <c r="AA166" s="73"/>
      <c r="AC166" s="73"/>
      <c r="AD166" s="73"/>
      <c r="AF166" s="7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</row>
    <row r="167" spans="1:45" ht="15" customHeight="1">
      <c r="A167" s="482" t="str">
        <f t="shared" si="6"/>
        <v>104i</v>
      </c>
      <c r="B167" s="21">
        <f>+Stress!D838</f>
        <v>-126.69077513281543</v>
      </c>
      <c r="C167" s="21">
        <f>Stress!E838</f>
        <v>109.43379483610656</v>
      </c>
      <c r="D167" s="987" t="str">
        <f t="shared" si="8"/>
        <v>Positive</v>
      </c>
      <c r="E167" s="483">
        <f>IF(B167&lt;=0,(input!CL9-input!H9),(input!CM9-input!K9))/COS(ATAN(input!BP9))</f>
        <v>1509.7302541060105</v>
      </c>
      <c r="F167" s="21">
        <f>input!G9/SQRT(12*(1+E167*input!N9/(3*input!G9*input!H9)))</f>
        <v>121.874621301899</v>
      </c>
      <c r="G167" s="577">
        <f>+(input!H9*(input!G9)^2)/6</f>
        <v>1250000</v>
      </c>
      <c r="H167" s="21">
        <f>IF(input!F9=1,0,(H101*1.25+K101*1.25+L101*1.5+1.5*N101)/G167*10^6)</f>
        <v>13.692815277429251</v>
      </c>
      <c r="I167" s="483">
        <f t="shared" si="7"/>
        <v>1231.4182620218357</v>
      </c>
      <c r="J167" s="483">
        <f>1*F167*SQRT(Es/input!BI9)</f>
        <v>2865.0428933461617</v>
      </c>
      <c r="K167" s="21">
        <f>IF(D167="Positive",IF(B101&lt;=IF(B167=0,0,1.2*J167*SQRT(1*1*input!BI9/ABS(B167))),H167,H167*MAX(0.85/(1-ABS(B167)/I167),1)),H167)</f>
        <v>13.692815277429251</v>
      </c>
      <c r="L167" s="483">
        <f>0.6*input!BI9</f>
        <v>228</v>
      </c>
      <c r="M167" s="484" t="str">
        <f>IF(ABS(K167)&lt;=0.6*input!BI9,"OK","NG")</f>
        <v>OK</v>
      </c>
      <c r="N167" s="607">
        <f>IF(K167=0,"Inf",0.6*input!BI9/ABS(K167))</f>
        <v>16.651068124451154</v>
      </c>
      <c r="Q167" s="559"/>
      <c r="R167" s="73"/>
      <c r="S167" s="559"/>
      <c r="T167" s="73"/>
      <c r="U167" s="73"/>
      <c r="V167" s="73"/>
      <c r="W167" s="73"/>
      <c r="X167" s="73"/>
      <c r="Y167" s="73"/>
      <c r="Z167" s="73"/>
      <c r="AA167" s="73"/>
      <c r="AC167" s="73"/>
      <c r="AD167" s="73"/>
      <c r="AF167" s="7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</row>
    <row r="168" spans="1:45" ht="15" customHeight="1">
      <c r="A168" s="482" t="str">
        <f t="shared" si="6"/>
        <v>104j</v>
      </c>
      <c r="B168" s="21">
        <f>+Stress!D839</f>
        <v>-206.18811154298578</v>
      </c>
      <c r="C168" s="21">
        <f>Stress!E839</f>
        <v>178.10252934820704</v>
      </c>
      <c r="D168" s="987" t="str">
        <f t="shared" si="8"/>
        <v>Positive</v>
      </c>
      <c r="E168" s="483">
        <f>IF(B168&lt;=0,(input!CL10-input!H10),(input!CM10-input!K10))/COS(ATAN(input!BP10))</f>
        <v>1509.7302541060105</v>
      </c>
      <c r="F168" s="21">
        <f>input!G10/SQRT(12*(1+E168*input!N10/(3*input!G10*input!H10)))</f>
        <v>121.874621301899</v>
      </c>
      <c r="G168" s="577">
        <f>+(input!H10*(input!G10)^2)/6</f>
        <v>1250000</v>
      </c>
      <c r="H168" s="21">
        <f>IF(input!F10=1,0,(H102*1.25+K102*1.25+L102*1.5+1.5*N102)/G168*10^6)</f>
        <v>13.692815277429251</v>
      </c>
      <c r="I168" s="483">
        <f t="shared" si="7"/>
        <v>1231.4182620218357</v>
      </c>
      <c r="J168" s="483">
        <f>1*F168*SQRT(Es/input!BI10)</f>
        <v>2865.0428933461617</v>
      </c>
      <c r="K168" s="21">
        <f>IF(D168="Positive",IF(B102&lt;=IF(B168=0,0,1.2*J168*SQRT(1*1*input!BI10/ABS(B168))),H168,H168*MAX(0.85/(1-ABS(B168)/I168),1)),H168)</f>
        <v>13.979637026628728</v>
      </c>
      <c r="L168" s="483">
        <f>0.6*input!BI10</f>
        <v>228</v>
      </c>
      <c r="M168" s="484" t="str">
        <f>IF(ABS(K168)&lt;=0.6*input!BI10,"OK","NG")</f>
        <v>OK</v>
      </c>
      <c r="N168" s="607">
        <f>IF(K168=0,"Inf",0.6*input!BI10/ABS(K168))</f>
        <v>16.309436329834636</v>
      </c>
      <c r="Q168" s="559"/>
      <c r="R168" s="73"/>
      <c r="S168" s="559"/>
      <c r="T168" s="73"/>
      <c r="U168" s="73"/>
      <c r="V168" s="73"/>
      <c r="W168" s="73"/>
      <c r="X168" s="73"/>
      <c r="Y168" s="73"/>
      <c r="Z168" s="73"/>
      <c r="AA168" s="73"/>
      <c r="AC168" s="73"/>
      <c r="AD168" s="73"/>
      <c r="AF168" s="7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</row>
    <row r="169" spans="1:45" ht="15" customHeight="1">
      <c r="A169" s="482" t="str">
        <f t="shared" si="6"/>
        <v>105i</v>
      </c>
      <c r="B169" s="21">
        <f>+Stress!D840</f>
        <v>-166.27986034713479</v>
      </c>
      <c r="C169" s="21">
        <f>Stress!E840</f>
        <v>114.65459966380237</v>
      </c>
      <c r="D169" s="987" t="str">
        <f t="shared" si="8"/>
        <v>Positive</v>
      </c>
      <c r="E169" s="483">
        <f>IF(B169&lt;=0,(input!CL11-input!H11),(input!CM11-input!K11))/COS(ATAN(input!BP11))</f>
        <v>1674.8163025287497</v>
      </c>
      <c r="F169" s="21">
        <f>input!G11/SQRT(12*(1+E169*input!N11/(3*input!G11*input!H11)))</f>
        <v>124.10687169134388</v>
      </c>
      <c r="G169" s="577">
        <f>+(input!H11*(input!G11)^2)/6</f>
        <v>1583333.3333333333</v>
      </c>
      <c r="H169" s="21">
        <f>IF(input!F11=1,0,(H103*1.25+K103*1.25+L103*1.5+1.5*N103)/G169*10^6)</f>
        <v>11.125150219023094</v>
      </c>
      <c r="I169" s="483">
        <f t="shared" si="7"/>
        <v>1276.940580414177</v>
      </c>
      <c r="J169" s="483">
        <f>1*F169*SQRT(Es/input!BI11)</f>
        <v>2917.5188973421523</v>
      </c>
      <c r="K169" s="21">
        <f>IF(D169="Positive",IF(B103&lt;=IF(B169=0,0,1.2*J169*SQRT(1*1*input!BI11/ABS(B169))),H169,H169*MAX(0.85/(1-ABS(B169)/I169),1)),H169)</f>
        <v>11.125150219023094</v>
      </c>
      <c r="L169" s="483">
        <f>0.6*input!BI11</f>
        <v>228</v>
      </c>
      <c r="M169" s="484" t="str">
        <f>IF(ABS(K169)&lt;=0.6*input!BI11,"OK","NG")</f>
        <v>OK</v>
      </c>
      <c r="N169" s="607">
        <f>IF(K169=0,"Inf",0.6*input!BI11/ABS(K169))</f>
        <v>20.494105293979644</v>
      </c>
      <c r="Q169" s="559"/>
      <c r="R169" s="73"/>
      <c r="S169" s="559"/>
      <c r="T169" s="73"/>
      <c r="U169" s="73"/>
      <c r="V169" s="73"/>
      <c r="W169" s="73"/>
      <c r="X169" s="73"/>
      <c r="Y169" s="73"/>
      <c r="Z169" s="73"/>
      <c r="AA169" s="73"/>
      <c r="AC169" s="73"/>
      <c r="AD169" s="73"/>
      <c r="AF169" s="7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</row>
    <row r="170" spans="1:45" ht="15" customHeight="1">
      <c r="A170" s="482" t="str">
        <f t="shared" si="6"/>
        <v>105j</v>
      </c>
      <c r="B170" s="21">
        <f>+Stress!D841</f>
        <v>-219.04242391683582</v>
      </c>
      <c r="C170" s="21">
        <f>Stress!E841</f>
        <v>151.03585828821303</v>
      </c>
      <c r="D170" s="987" t="str">
        <f t="shared" si="8"/>
        <v>Positive</v>
      </c>
      <c r="E170" s="483">
        <f>IF(B170&lt;=0,(input!CL12-input!H12),(input!CM12-input!K12))/COS(ATAN(input!BP12))</f>
        <v>1674.8163025287497</v>
      </c>
      <c r="F170" s="21">
        <f>input!G12/SQRT(12*(1+E170*input!N12/(3*input!G12*input!H12)))</f>
        <v>124.10687169134388</v>
      </c>
      <c r="G170" s="577">
        <f>+(input!H12*(input!G12)^2)/6</f>
        <v>1583333.3333333333</v>
      </c>
      <c r="H170" s="21">
        <f>IF(input!F12=1,0,(H104*1.25+K104*1.25+L104*1.5+1.5*N104)/G170*10^6)</f>
        <v>11.125150219023094</v>
      </c>
      <c r="I170" s="483">
        <f t="shared" si="7"/>
        <v>1276.940580414177</v>
      </c>
      <c r="J170" s="483">
        <f>1*F170*SQRT(Es/input!BI12)</f>
        <v>2917.5188973421523</v>
      </c>
      <c r="K170" s="21">
        <f>IF(D170="Positive",IF(B104&lt;=IF(B170=0,0,1.2*J170*SQRT(1*1*input!BI12/ABS(B170))),H170,H170*MAX(0.85/(1-ABS(B170)/I170),1)),H170)</f>
        <v>11.414361899612091</v>
      </c>
      <c r="L170" s="483">
        <f>0.6*input!BI12</f>
        <v>228</v>
      </c>
      <c r="M170" s="484" t="str">
        <f>IF(ABS(K170)&lt;=0.6*input!BI12,"OK","NG")</f>
        <v>OK</v>
      </c>
      <c r="N170" s="607">
        <f>IF(K170=0,"Inf",0.6*input!BI12/ABS(K170))</f>
        <v>19.974835387666165</v>
      </c>
      <c r="Q170" s="559"/>
      <c r="R170" s="73"/>
      <c r="S170" s="559"/>
      <c r="T170" s="73"/>
      <c r="U170" s="73"/>
      <c r="V170" s="73"/>
      <c r="W170" s="73"/>
      <c r="X170" s="73"/>
      <c r="Y170" s="73"/>
      <c r="Z170" s="73"/>
      <c r="AA170" s="73"/>
      <c r="AC170" s="73"/>
      <c r="AD170" s="73"/>
      <c r="AF170" s="7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</row>
    <row r="171" spans="1:45" ht="15" customHeight="1">
      <c r="A171" s="482" t="str">
        <f t="shared" si="6"/>
        <v>106i</v>
      </c>
      <c r="B171" s="21">
        <f>+Stress!D842</f>
        <v>-219.04182900209335</v>
      </c>
      <c r="C171" s="21">
        <f>Stress!E842</f>
        <v>151.03544807791161</v>
      </c>
      <c r="D171" s="987" t="str">
        <f t="shared" si="8"/>
        <v>Positive</v>
      </c>
      <c r="E171" s="483">
        <f>IF(B171&lt;=0,(input!CL13-input!H13),(input!CM13-input!K13))/COS(ATAN(input!BP13))</f>
        <v>1674.8163025287497</v>
      </c>
      <c r="F171" s="21">
        <f>input!G13/SQRT(12*(1+E171*input!N13/(3*input!G13*input!H13)))</f>
        <v>124.10687169134388</v>
      </c>
      <c r="G171" s="577">
        <f>+(input!H13*(input!G13)^2)/6</f>
        <v>1583333.3333333333</v>
      </c>
      <c r="H171" s="21">
        <f>IF(input!F13=1,0,(H105*1.25+K105*1.25+L105*1.5+1.5*N105)/G171*10^6)</f>
        <v>11.125150219023094</v>
      </c>
      <c r="I171" s="483">
        <f t="shared" si="7"/>
        <v>1276.940580414177</v>
      </c>
      <c r="J171" s="483">
        <f>1*F171*SQRT(Es/input!BI13)</f>
        <v>2917.5188973421523</v>
      </c>
      <c r="K171" s="21">
        <f>IF(D171="Positive",IF(B105&lt;=IF(B171=0,0,1.2*J171*SQRT(1*1*input!BI13/ABS(B171))),H171,H171*MAX(0.85/(1-ABS(B171)/I171),1)),H171)</f>
        <v>11.414355480687631</v>
      </c>
      <c r="L171" s="483">
        <f>0.6*input!BI13</f>
        <v>228</v>
      </c>
      <c r="M171" s="484" t="str">
        <f>IF(ABS(K171)&lt;=0.6*input!BI13,"OK","NG")</f>
        <v>OK</v>
      </c>
      <c r="N171" s="607">
        <f>IF(K171=0,"Inf",0.6*input!BI13/ABS(K171))</f>
        <v>19.974846620622742</v>
      </c>
      <c r="Q171" s="463"/>
      <c r="R171" s="73"/>
      <c r="S171" s="463"/>
      <c r="T171" s="73"/>
      <c r="U171" s="73"/>
      <c r="V171" s="73"/>
      <c r="W171" s="73"/>
      <c r="X171" s="73"/>
      <c r="Y171" s="73"/>
      <c r="Z171" s="73"/>
      <c r="AA171" s="73"/>
      <c r="AC171" s="73"/>
      <c r="AD171" s="73"/>
      <c r="AF171" s="7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</row>
    <row r="172" spans="1:45" ht="15" customHeight="1">
      <c r="A172" s="482" t="str">
        <f t="shared" si="6"/>
        <v>106j</v>
      </c>
      <c r="B172" s="21">
        <f>+Stress!D843</f>
        <v>-255.72478194911668</v>
      </c>
      <c r="C172" s="21">
        <f>Stress!E843</f>
        <v>176.32936687148444</v>
      </c>
      <c r="D172" s="987" t="str">
        <f t="shared" si="8"/>
        <v>Positive</v>
      </c>
      <c r="E172" s="483">
        <f>IF(B172&lt;=0,(input!CL14-input!H14),(input!CM14-input!K14))/COS(ATAN(input!BP14))</f>
        <v>1674.8163025287497</v>
      </c>
      <c r="F172" s="21">
        <f>input!G14/SQRT(12*(1+E172*input!N14/(3*input!G14*input!H14)))</f>
        <v>124.10687169134388</v>
      </c>
      <c r="G172" s="577">
        <f>+(input!H14*(input!G14)^2)/6</f>
        <v>1583333.3333333333</v>
      </c>
      <c r="H172" s="21">
        <f>IF(input!F14=1,0,(H106*1.25+K106*1.25+L106*1.5+1.5*N106)/G172*10^6)</f>
        <v>11.125150219023094</v>
      </c>
      <c r="I172" s="483">
        <f t="shared" si="7"/>
        <v>1276.940580414177</v>
      </c>
      <c r="J172" s="483">
        <f>1*F172*SQRT(Es/input!BI14)</f>
        <v>2917.5188973421523</v>
      </c>
      <c r="K172" s="21">
        <f>IF(D172="Positive",IF(B106&lt;=IF(B172=0,0,1.2*J172*SQRT(1*1*input!BI14/ABS(B172))),H172,H172*MAX(0.85/(1-ABS(B172)/I172),1)),H172)</f>
        <v>11.82436898189669</v>
      </c>
      <c r="L172" s="483">
        <f>0.6*input!BI14</f>
        <v>228</v>
      </c>
      <c r="M172" s="484" t="str">
        <f>IF(ABS(K172)&lt;=0.6*input!BI14,"OK","NG")</f>
        <v>OK</v>
      </c>
      <c r="N172" s="607">
        <f>IF(K172=0,"Inf",0.6*input!BI14/ABS(K172))</f>
        <v>19.282212890097718</v>
      </c>
      <c r="Q172" s="463"/>
      <c r="R172" s="73"/>
      <c r="S172" s="463"/>
      <c r="T172" s="73"/>
      <c r="U172" s="73"/>
      <c r="V172" s="73"/>
      <c r="W172" s="73"/>
      <c r="X172" s="73"/>
      <c r="Y172" s="73"/>
      <c r="Z172" s="73"/>
      <c r="AA172" s="73"/>
      <c r="AC172" s="73"/>
      <c r="AD172" s="73"/>
      <c r="AF172" s="7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</row>
    <row r="173" spans="1:45" ht="15" customHeight="1">
      <c r="A173" s="482" t="str">
        <f t="shared" si="6"/>
        <v>107i</v>
      </c>
      <c r="B173" s="21">
        <f>+Stress!D844</f>
        <v>-215.34009209292282</v>
      </c>
      <c r="C173" s="21">
        <f>Stress!E844</f>
        <v>152.52984807081745</v>
      </c>
      <c r="D173" s="987" t="str">
        <f t="shared" si="8"/>
        <v>Positive</v>
      </c>
      <c r="E173" s="483">
        <f>IF(B173&lt;=0,(input!CL15-input!H15),(input!CM15-input!K15))/COS(ATAN(input!BP15))</f>
        <v>1658.6746003479614</v>
      </c>
      <c r="F173" s="21">
        <f>input!G15/SQRT(12*(1+E173*input!N15/(3*input!G15*input!H15)))</f>
        <v>153.30610284199338</v>
      </c>
      <c r="G173" s="577">
        <f>+(input!H15*(input!G15)^2)/6</f>
        <v>2400000</v>
      </c>
      <c r="H173" s="21">
        <f>IF(input!F15=1,0,(H107*1.25+K107*1.25+L107*1.5+1.5*N107)/G173*10^6)</f>
        <v>7.4547120043034294</v>
      </c>
      <c r="I173" s="483">
        <f t="shared" si="7"/>
        <v>1948.4888225658669</v>
      </c>
      <c r="J173" s="483">
        <f>1*F173*SQRT(Es/input!BI15)</f>
        <v>3603.937848274611</v>
      </c>
      <c r="K173" s="21">
        <f>IF(D173="Positive",IF(B107&lt;=IF(B173=0,0,1.2*J173*SQRT(1*1*input!BI15/ABS(B173))),H173,H173*MAX(0.85/(1-ABS(B173)/I173),1)),H173)</f>
        <v>7.4547120043034294</v>
      </c>
      <c r="L173" s="483">
        <f>0.6*input!BI15</f>
        <v>228</v>
      </c>
      <c r="M173" s="484" t="str">
        <f>IF(ABS(K173)&lt;=0.6*input!BI15,"OK","NG")</f>
        <v>OK</v>
      </c>
      <c r="N173" s="607">
        <f>IF(K173=0,"Inf",0.6*input!BI15/ABS(K173))</f>
        <v>30.584682529436545</v>
      </c>
      <c r="Q173" s="559"/>
      <c r="R173" s="73"/>
      <c r="S173" s="559"/>
      <c r="T173" s="73"/>
      <c r="U173" s="73"/>
      <c r="V173" s="73"/>
      <c r="W173" s="73"/>
      <c r="X173" s="73"/>
      <c r="Y173" s="73"/>
      <c r="Z173" s="73"/>
      <c r="AA173" s="73"/>
      <c r="AC173" s="73"/>
      <c r="AD173" s="73"/>
      <c r="AF173" s="7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</row>
    <row r="174" spans="1:45" ht="15" customHeight="1">
      <c r="A174" s="482" t="str">
        <f t="shared" si="6"/>
        <v>107j</v>
      </c>
      <c r="B174" s="21">
        <f>+Stress!D845</f>
        <v>-236.06600924039725</v>
      </c>
      <c r="C174" s="21">
        <f>Stress!E845</f>
        <v>167.21044453061862</v>
      </c>
      <c r="D174" s="987" t="str">
        <f t="shared" si="8"/>
        <v>Positive</v>
      </c>
      <c r="E174" s="483">
        <f>IF(B174&lt;=0,(input!CL16-input!H16),(input!CM16-input!K16))/COS(ATAN(input!BP16))</f>
        <v>1658.6746003479614</v>
      </c>
      <c r="F174" s="21">
        <f>input!G16/SQRT(12*(1+E174*input!N16/(3*input!G16*input!H16)))</f>
        <v>153.30610284199338</v>
      </c>
      <c r="G174" s="577">
        <f>+(input!H16*(input!G16)^2)/6</f>
        <v>2400000</v>
      </c>
      <c r="H174" s="21">
        <f>IF(input!F16=1,0,(H108*1.25+K108*1.25+L108*1.5+1.5*N108)/G174*10^6)</f>
        <v>7.4547120043034294</v>
      </c>
      <c r="I174" s="483">
        <f t="shared" si="7"/>
        <v>1948.4888225658669</v>
      </c>
      <c r="J174" s="483">
        <f>1*F174*SQRT(Es/input!BI16)</f>
        <v>3603.937848274611</v>
      </c>
      <c r="K174" s="21">
        <f>IF(D174="Positive",IF(B108&lt;=IF(B174=0,0,1.2*J174*SQRT(1*1*input!BI16/ABS(B174))),H174,H174*MAX(0.85/(1-ABS(B174)/I174),1)),H174)</f>
        <v>7.4547120043034294</v>
      </c>
      <c r="L174" s="483">
        <f>0.6*input!BI16</f>
        <v>228</v>
      </c>
      <c r="M174" s="484" t="str">
        <f>IF(ABS(K174)&lt;=0.6*input!BI16,"OK","NG")</f>
        <v>OK</v>
      </c>
      <c r="N174" s="607">
        <f>IF(K174=0,"Inf",0.6*input!BI16/ABS(K174))</f>
        <v>30.584682529436545</v>
      </c>
      <c r="Q174" s="559"/>
      <c r="R174" s="73"/>
      <c r="S174" s="559"/>
      <c r="T174" s="73"/>
      <c r="U174" s="73"/>
      <c r="V174" s="73"/>
      <c r="W174" s="73"/>
      <c r="X174" s="73"/>
      <c r="Y174" s="73"/>
      <c r="Z174" s="73"/>
      <c r="AA174" s="73"/>
      <c r="AC174" s="73"/>
      <c r="AD174" s="73"/>
      <c r="AF174" s="7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</row>
    <row r="175" spans="1:45" ht="15" customHeight="1">
      <c r="A175" s="482" t="str">
        <f t="shared" si="6"/>
        <v>108i</v>
      </c>
      <c r="B175" s="21">
        <f>+Stress!D846</f>
        <v>-236.06572297477732</v>
      </c>
      <c r="C175" s="21">
        <f>Stress!E846</f>
        <v>167.21024176274994</v>
      </c>
      <c r="D175" s="987" t="str">
        <f t="shared" si="8"/>
        <v>Positive</v>
      </c>
      <c r="E175" s="483">
        <f>IF(B175&lt;=0,(input!CL17-input!H17),(input!CM17-input!K17))/COS(ATAN(input!BP17))</f>
        <v>1658.6746003479614</v>
      </c>
      <c r="F175" s="21">
        <f>input!G17/SQRT(12*(1+E175*input!N17/(3*input!G17*input!H17)))</f>
        <v>153.30610284199338</v>
      </c>
      <c r="G175" s="577">
        <f>+(input!H17*(input!G17)^2)/6</f>
        <v>2400000</v>
      </c>
      <c r="H175" s="21">
        <f>IF(input!F17=1,0,(H109*1.25+K109*1.25+L109*1.5+1.5*N109)/G175*10^6)</f>
        <v>7.4547120043034294</v>
      </c>
      <c r="I175" s="483">
        <f t="shared" si="7"/>
        <v>1948.4888225658669</v>
      </c>
      <c r="J175" s="483">
        <f>1*F175*SQRT(Es/input!BI17)</f>
        <v>3603.937848274611</v>
      </c>
      <c r="K175" s="21">
        <f>IF(D175="Positive",IF(B109&lt;=IF(B175=0,0,1.2*J175*SQRT(1*1*input!BI17/ABS(B175))),H175,H175*MAX(0.85/(1-ABS(B175)/I175),1)),H175)</f>
        <v>7.4547120043034294</v>
      </c>
      <c r="L175" s="483">
        <f>0.6*input!BI17</f>
        <v>228</v>
      </c>
      <c r="M175" s="484" t="str">
        <f>IF(ABS(K175)&lt;=0.6*input!BI17,"OK","NG")</f>
        <v>OK</v>
      </c>
      <c r="N175" s="607">
        <f>IF(K175=0,"Inf",0.6*input!BI17/ABS(K175))</f>
        <v>30.584682529436545</v>
      </c>
      <c r="Q175" s="559"/>
      <c r="R175" s="73"/>
      <c r="S175" s="559"/>
      <c r="T175" s="73"/>
      <c r="U175" s="73"/>
      <c r="V175" s="73"/>
      <c r="W175" s="73"/>
      <c r="X175" s="73"/>
      <c r="Y175" s="73"/>
      <c r="Z175" s="73"/>
      <c r="AA175" s="73"/>
      <c r="AC175" s="73"/>
      <c r="AD175" s="73"/>
      <c r="AF175" s="7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</row>
    <row r="176" spans="1:45" ht="15" customHeight="1">
      <c r="A176" s="482" t="str">
        <f t="shared" si="6"/>
        <v>108j</v>
      </c>
      <c r="B176" s="21">
        <f>+Stress!D847</f>
        <v>-242.60209744070414</v>
      </c>
      <c r="C176" s="21">
        <f>Stress!E847</f>
        <v>171.84009120013002</v>
      </c>
      <c r="D176" s="987" t="str">
        <f t="shared" si="8"/>
        <v>Positive</v>
      </c>
      <c r="E176" s="483">
        <f>IF(B176&lt;=0,(input!CL18-input!H18),(input!CM18-input!K18))/COS(ATAN(input!BP18))</f>
        <v>1658.6746003479614</v>
      </c>
      <c r="F176" s="21">
        <f>input!G18/SQRT(12*(1+E176*input!N18/(3*input!G18*input!H18)))</f>
        <v>153.30610284199338</v>
      </c>
      <c r="G176" s="577">
        <f>+(input!H18*(input!G18)^2)/6</f>
        <v>2400000</v>
      </c>
      <c r="H176" s="21">
        <f>IF(input!F18=1,0,(H110*1.25+K110*1.25+L110*1.5+1.5*N110)/G176*10^6)</f>
        <v>7.4547120043034294</v>
      </c>
      <c r="I176" s="483">
        <f t="shared" si="7"/>
        <v>1948.4888225658669</v>
      </c>
      <c r="J176" s="483">
        <f>1*F176*SQRT(Es/input!BI18)</f>
        <v>3603.937848274611</v>
      </c>
      <c r="K176" s="21">
        <f>IF(D176="Positive",IF(B110&lt;=IF(B176=0,0,1.2*J176*SQRT(1*1*input!BI18/ABS(B176))),H176,H176*MAX(0.85/(1-ABS(B176)/I176),1)),H176)</f>
        <v>7.4547120043034294</v>
      </c>
      <c r="L176" s="483">
        <f>0.6*input!BI18</f>
        <v>228</v>
      </c>
      <c r="M176" s="484" t="str">
        <f>IF(ABS(K176)&lt;=0.6*input!BI18,"OK","NG")</f>
        <v>OK</v>
      </c>
      <c r="N176" s="607">
        <f>IF(K176=0,"Inf",0.6*input!BI18/ABS(K176))</f>
        <v>30.584682529436545</v>
      </c>
      <c r="Q176" s="559"/>
      <c r="R176" s="73"/>
      <c r="S176" s="559"/>
      <c r="T176" s="73"/>
      <c r="U176" s="73"/>
      <c r="V176" s="73"/>
      <c r="W176" s="73"/>
      <c r="X176" s="73"/>
      <c r="Y176" s="73"/>
      <c r="Z176" s="73"/>
      <c r="AA176" s="73"/>
      <c r="AC176" s="73"/>
      <c r="AD176" s="73"/>
      <c r="AF176" s="7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</row>
    <row r="177" spans="1:45" ht="15" customHeight="1">
      <c r="A177" s="482" t="str">
        <f t="shared" si="6"/>
        <v>109i</v>
      </c>
      <c r="B177" s="21">
        <f>+Stress!D848</f>
        <v>-242.60238370632408</v>
      </c>
      <c r="C177" s="21">
        <f>Stress!E848</f>
        <v>171.84029396799869</v>
      </c>
      <c r="D177" s="987" t="str">
        <f t="shared" si="8"/>
        <v>Positive</v>
      </c>
      <c r="E177" s="483">
        <f>IF(B177&lt;=0,(input!CL19-input!H19),(input!CM19-input!K19))/COS(ATAN(input!BP19))</f>
        <v>1658.6746003479614</v>
      </c>
      <c r="F177" s="21">
        <f>input!G19/SQRT(12*(1+E177*input!N19/(3*input!G19*input!H19)))</f>
        <v>153.30610284199338</v>
      </c>
      <c r="G177" s="577">
        <f>+(input!H19*(input!G19)^2)/6</f>
        <v>2400000</v>
      </c>
      <c r="H177" s="21">
        <f>IF(input!F19=1,0,(H111*1.25+K111*1.25+L111*1.5+1.5*N111)/G177*10^6)</f>
        <v>7.4547120043034294</v>
      </c>
      <c r="I177" s="483">
        <f t="shared" si="7"/>
        <v>1948.4888225658669</v>
      </c>
      <c r="J177" s="483">
        <f>1*F177*SQRT(Es/input!BI19)</f>
        <v>3603.937848274611</v>
      </c>
      <c r="K177" s="21">
        <f>IF(D177="Positive",IF(B111&lt;=IF(B177=0,0,1.2*J177*SQRT(1*1*input!BI19/ABS(B177))),H177,H177*MAX(0.85/(1-ABS(B177)/I177),1)),H177)</f>
        <v>7.4547120043034294</v>
      </c>
      <c r="L177" s="483">
        <f>0.6*input!BI19</f>
        <v>228</v>
      </c>
      <c r="M177" s="484" t="str">
        <f>IF(ABS(K177)&lt;=0.6*input!BI19,"OK","NG")</f>
        <v>OK</v>
      </c>
      <c r="N177" s="607">
        <f>IF(K177=0,"Inf",0.6*input!BI19/ABS(K177))</f>
        <v>30.584682529436545</v>
      </c>
      <c r="Q177" s="559"/>
      <c r="R177" s="73"/>
      <c r="S177" s="559"/>
      <c r="T177" s="73"/>
      <c r="U177" s="73"/>
      <c r="V177" s="73"/>
      <c r="W177" s="73"/>
      <c r="X177" s="73"/>
      <c r="Y177" s="73"/>
      <c r="Z177" s="73"/>
      <c r="AA177" s="73"/>
      <c r="AC177" s="73"/>
      <c r="AD177" s="73"/>
      <c r="AF177" s="7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</row>
    <row r="178" spans="1:45" ht="15" customHeight="1">
      <c r="A178" s="482" t="str">
        <f t="shared" si="6"/>
        <v>109j</v>
      </c>
      <c r="B178" s="21">
        <f>+Stress!D849</f>
        <v>-238.75683450119439</v>
      </c>
      <c r="C178" s="21">
        <f>Stress!E849</f>
        <v>169.1164118041786</v>
      </c>
      <c r="D178" s="987" t="str">
        <f t="shared" si="8"/>
        <v>Positive</v>
      </c>
      <c r="E178" s="483">
        <f>IF(B178&lt;=0,(input!CL20-input!H20),(input!CM20-input!K20))/COS(ATAN(input!BP20))</f>
        <v>1658.6746003479614</v>
      </c>
      <c r="F178" s="21">
        <f>input!G20/SQRT(12*(1+E178*input!N20/(3*input!G20*input!H20)))</f>
        <v>153.30610284199338</v>
      </c>
      <c r="G178" s="577">
        <f>+(input!H20*(input!G20)^2)/6</f>
        <v>2400000</v>
      </c>
      <c r="H178" s="21">
        <f>IF(input!F20=1,0,(H112*1.25+K112*1.25+L112*1.5+1.5*N112)/G178*10^6)</f>
        <v>7.4547120043034294</v>
      </c>
      <c r="I178" s="483">
        <f t="shared" si="7"/>
        <v>1948.4888225658669</v>
      </c>
      <c r="J178" s="483">
        <f>1*F178*SQRT(Es/input!BI20)</f>
        <v>3603.937848274611</v>
      </c>
      <c r="K178" s="21">
        <f>IF(D178="Positive",IF(B112&lt;=IF(B178=0,0,1.2*J178*SQRT(1*1*input!BI20/ABS(B178))),H178,H178*MAX(0.85/(1-ABS(B178)/I178),1)),H178)</f>
        <v>7.4547120043034294</v>
      </c>
      <c r="L178" s="483">
        <f>0.6*input!BI20</f>
        <v>228</v>
      </c>
      <c r="M178" s="484" t="str">
        <f>IF(ABS(K178)&lt;=0.6*input!BI20,"OK","NG")</f>
        <v>OK</v>
      </c>
      <c r="N178" s="607">
        <f>IF(K178=0,"Inf",0.6*input!BI20/ABS(K178))</f>
        <v>30.584682529436545</v>
      </c>
      <c r="Q178" s="559"/>
      <c r="R178" s="73"/>
      <c r="S178" s="559"/>
      <c r="T178" s="73"/>
      <c r="U178" s="73"/>
      <c r="V178" s="73"/>
      <c r="W178" s="73"/>
      <c r="X178" s="73"/>
      <c r="Y178" s="73"/>
      <c r="Z178" s="73"/>
      <c r="AA178" s="73"/>
      <c r="AC178" s="73"/>
      <c r="AD178" s="73"/>
      <c r="AF178" s="7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</row>
    <row r="179" spans="1:45" ht="15" customHeight="1">
      <c r="A179" s="482" t="str">
        <f t="shared" si="6"/>
        <v>110i</v>
      </c>
      <c r="B179" s="21">
        <f>+Stress!D850</f>
        <v>-238.75719233321922</v>
      </c>
      <c r="C179" s="21">
        <f>Stress!E850</f>
        <v>169.11666526401444</v>
      </c>
      <c r="D179" s="987" t="str">
        <f t="shared" si="8"/>
        <v>Positive</v>
      </c>
      <c r="E179" s="483">
        <f>IF(B179&lt;=0,(input!CL21-input!H21),(input!CM21-input!K21))/COS(ATAN(input!BP21))</f>
        <v>1658.6746003479614</v>
      </c>
      <c r="F179" s="21">
        <f>input!G21/SQRT(12*(1+E179*input!N21/(3*input!G21*input!H21)))</f>
        <v>153.30610284199338</v>
      </c>
      <c r="G179" s="577">
        <f>+(input!H21*(input!G21)^2)/6</f>
        <v>2400000</v>
      </c>
      <c r="H179" s="21">
        <f>IF(input!F21=1,0,(H113*1.25+K113*1.25+L113*1.5+1.5*N113)/G179*10^6)</f>
        <v>7.4547120043034294</v>
      </c>
      <c r="I179" s="483">
        <f t="shared" si="7"/>
        <v>1948.4888225658669</v>
      </c>
      <c r="J179" s="483">
        <f>1*F179*SQRT(Es/input!BI21)</f>
        <v>3603.937848274611</v>
      </c>
      <c r="K179" s="21">
        <f>IF(D179="Positive",IF(B113&lt;=IF(B179=0,0,1.2*J179*SQRT(1*1*input!BI21/ABS(B179))),H179,H179*MAX(0.85/(1-ABS(B179)/I179),1)),H179)</f>
        <v>7.4547120043034294</v>
      </c>
      <c r="L179" s="483">
        <f>0.6*input!BI21</f>
        <v>228</v>
      </c>
      <c r="M179" s="484" t="str">
        <f>IF(ABS(K179)&lt;=0.6*input!BI21,"OK","NG")</f>
        <v>OK</v>
      </c>
      <c r="N179" s="607">
        <f>IF(K179=0,"Inf",0.6*input!BI21/ABS(K179))</f>
        <v>30.584682529436545</v>
      </c>
      <c r="Q179" s="559"/>
      <c r="R179" s="73"/>
      <c r="S179" s="559"/>
      <c r="T179" s="73"/>
      <c r="U179" s="73"/>
      <c r="V179" s="73"/>
      <c r="W179" s="73"/>
      <c r="X179" s="73"/>
      <c r="Y179" s="73"/>
      <c r="Z179" s="73"/>
      <c r="AA179" s="73"/>
      <c r="AC179" s="73"/>
      <c r="AD179" s="73"/>
      <c r="AF179" s="7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</row>
    <row r="180" spans="1:45" ht="15" customHeight="1">
      <c r="A180" s="482" t="str">
        <f t="shared" si="6"/>
        <v>110j</v>
      </c>
      <c r="B180" s="21">
        <f>+Stress!D851</f>
        <v>-221.93035606179873</v>
      </c>
      <c r="C180" s="21">
        <f>Stress!E851</f>
        <v>157.19786855947524</v>
      </c>
      <c r="D180" s="987" t="str">
        <f t="shared" si="8"/>
        <v>Positive</v>
      </c>
      <c r="E180" s="483">
        <f>IF(B180&lt;=0,(input!CL22-input!H22),(input!CM22-input!K22))/COS(ATAN(input!BP22))</f>
        <v>1658.6746003479614</v>
      </c>
      <c r="F180" s="21">
        <f>input!G22/SQRT(12*(1+E180*input!N22/(3*input!G22*input!H22)))</f>
        <v>153.30610284199338</v>
      </c>
      <c r="G180" s="577">
        <f>+(input!H22*(input!G22)^2)/6</f>
        <v>2400000</v>
      </c>
      <c r="H180" s="21">
        <f>IF(input!F22=1,0,(H114*1.25+K114*1.25+L114*1.5+1.5*N114)/G180*10^6)</f>
        <v>7.4547120043034294</v>
      </c>
      <c r="I180" s="483">
        <f t="shared" si="7"/>
        <v>1948.4888225658669</v>
      </c>
      <c r="J180" s="483">
        <f>1*F180*SQRT(Es/input!BI22)</f>
        <v>3603.937848274611</v>
      </c>
      <c r="K180" s="21">
        <f>IF(D180="Positive",IF(B114&lt;=IF(B180=0,0,1.2*J180*SQRT(1*1*input!BI22/ABS(B180))),H180,H180*MAX(0.85/(1-ABS(B180)/I180),1)),H180)</f>
        <v>7.4547120043034294</v>
      </c>
      <c r="L180" s="483">
        <f>0.6*input!BI22</f>
        <v>228</v>
      </c>
      <c r="M180" s="484" t="str">
        <f>IF(ABS(K180)&lt;=0.6*input!BI22,"OK","NG")</f>
        <v>OK</v>
      </c>
      <c r="N180" s="607">
        <f>IF(K180=0,"Inf",0.6*input!BI22/ABS(K180))</f>
        <v>30.584682529436545</v>
      </c>
      <c r="Q180" s="559"/>
      <c r="R180" s="73"/>
      <c r="S180" s="559"/>
      <c r="T180" s="73"/>
      <c r="U180" s="73"/>
      <c r="V180" s="73"/>
      <c r="W180" s="73"/>
      <c r="X180" s="73"/>
      <c r="Y180" s="73"/>
      <c r="Z180" s="73"/>
      <c r="AA180" s="73"/>
      <c r="AC180" s="73"/>
      <c r="AD180" s="73"/>
      <c r="AF180" s="7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</row>
    <row r="181" spans="1:45" ht="15" customHeight="1">
      <c r="A181" s="482" t="str">
        <f t="shared" si="6"/>
        <v>111i</v>
      </c>
      <c r="B181" s="21">
        <f>+Stress!D852</f>
        <v>-221.93071389382362</v>
      </c>
      <c r="C181" s="21">
        <f>Stress!E852</f>
        <v>157.19812201931106</v>
      </c>
      <c r="D181" s="987" t="str">
        <f t="shared" si="8"/>
        <v>Positive</v>
      </c>
      <c r="E181" s="483">
        <f>IF(B181&lt;=0,(input!CL23-input!H23),(input!CM23-input!K23))/COS(ATAN(input!BP23))</f>
        <v>1658.6746003479614</v>
      </c>
      <c r="F181" s="21">
        <f>input!G23/SQRT(12*(1+E181*input!N23/(3*input!G23*input!H23)))</f>
        <v>153.30610284199338</v>
      </c>
      <c r="G181" s="577">
        <f>+(input!H23*(input!G23)^2)/6</f>
        <v>2400000</v>
      </c>
      <c r="H181" s="21">
        <f>IF(input!F23=1,0,(H115*1.25+K115*1.25+L115*1.5+1.5*N115)/G181*10^6)</f>
        <v>7.4547120043034294</v>
      </c>
      <c r="I181" s="483">
        <f t="shared" si="7"/>
        <v>1948.4888225658669</v>
      </c>
      <c r="J181" s="483">
        <f>1*F181*SQRT(Es/input!BI23)</f>
        <v>3603.937848274611</v>
      </c>
      <c r="K181" s="21">
        <f>IF(D181="Positive",IF(B115&lt;=IF(B181=0,0,1.2*J181*SQRT(1*1*input!BI23/ABS(B181))),H181,H181*MAX(0.85/(1-ABS(B181)/I181),1)),H181)</f>
        <v>7.4547120043034294</v>
      </c>
      <c r="L181" s="483">
        <f>0.6*input!BI23</f>
        <v>228</v>
      </c>
      <c r="M181" s="484" t="str">
        <f>IF(ABS(K181)&lt;=0.6*input!BI23,"OK","NG")</f>
        <v>OK</v>
      </c>
      <c r="N181" s="607">
        <f>IF(K181=0,"Inf",0.6*input!BI23/ABS(K181))</f>
        <v>30.584682529436545</v>
      </c>
      <c r="Q181" s="559"/>
      <c r="R181" s="73"/>
      <c r="S181" s="559"/>
      <c r="T181" s="73"/>
      <c r="U181" s="73"/>
      <c r="V181" s="73"/>
      <c r="W181" s="73"/>
      <c r="X181" s="73"/>
      <c r="Y181" s="73"/>
      <c r="Z181" s="73"/>
      <c r="AA181" s="73"/>
      <c r="AC181" s="73"/>
      <c r="AD181" s="73"/>
      <c r="AF181" s="7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</row>
    <row r="182" spans="1:45" ht="15" customHeight="1">
      <c r="A182" s="482" t="str">
        <f t="shared" si="6"/>
        <v>111j</v>
      </c>
      <c r="B182" s="21">
        <f>+Stress!D853</f>
        <v>-191.89322022815526</v>
      </c>
      <c r="C182" s="21">
        <f>Stress!E853</f>
        <v>135.92194301927847</v>
      </c>
      <c r="D182" s="987" t="str">
        <f t="shared" si="8"/>
        <v>Positive</v>
      </c>
      <c r="E182" s="483">
        <f>IF(B182&lt;=0,(input!CL24-input!H24),(input!CM24-input!K24))/COS(ATAN(input!BP24))</f>
        <v>1658.6746003479614</v>
      </c>
      <c r="F182" s="21">
        <f>input!G24/SQRT(12*(1+E182*input!N24/(3*input!G24*input!H24)))</f>
        <v>153.30610284199338</v>
      </c>
      <c r="G182" s="577">
        <f>+(input!H24*(input!G24)^2)/6</f>
        <v>2400000</v>
      </c>
      <c r="H182" s="21">
        <f>IF(input!F24=1,0,(H116*1.25+K116*1.25+L116*1.5+1.5*N116)/G182*10^6)</f>
        <v>7.4547120043034294</v>
      </c>
      <c r="I182" s="483">
        <f t="shared" si="7"/>
        <v>1948.4888225658669</v>
      </c>
      <c r="J182" s="483">
        <f>1*F182*SQRT(Es/input!BI24)</f>
        <v>3603.937848274611</v>
      </c>
      <c r="K182" s="21">
        <f>IF(D182="Positive",IF(B116&lt;=IF(B182=0,0,1.2*J182*SQRT(1*1*input!BI24/ABS(B182))),H182,H182*MAX(0.85/(1-ABS(B182)/I182),1)),H182)</f>
        <v>7.4547120043034294</v>
      </c>
      <c r="L182" s="483">
        <f>0.6*input!BI24</f>
        <v>228</v>
      </c>
      <c r="M182" s="484" t="str">
        <f>IF(ABS(K182)&lt;=0.6*input!BI24,"OK","NG")</f>
        <v>OK</v>
      </c>
      <c r="N182" s="607">
        <f>IF(K182=0,"Inf",0.6*input!BI24/ABS(K182))</f>
        <v>30.584682529436545</v>
      </c>
      <c r="Q182" s="559"/>
      <c r="R182" s="73"/>
      <c r="S182" s="559"/>
      <c r="T182" s="73"/>
      <c r="U182" s="73"/>
      <c r="V182" s="73"/>
      <c r="W182" s="73"/>
      <c r="X182" s="73"/>
      <c r="Y182" s="73"/>
      <c r="Z182" s="73"/>
      <c r="AA182" s="73"/>
      <c r="AC182" s="73"/>
      <c r="AD182" s="73"/>
      <c r="AF182" s="7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</row>
    <row r="183" spans="1:45" ht="15" customHeight="1">
      <c r="A183" s="482" t="str">
        <f t="shared" si="6"/>
        <v>112i</v>
      </c>
      <c r="B183" s="21">
        <f>+Stress!D854</f>
        <v>-237.24872550950522</v>
      </c>
      <c r="C183" s="21">
        <f>Stress!E854</f>
        <v>165.09188030468215</v>
      </c>
      <c r="D183" s="987" t="str">
        <f t="shared" si="8"/>
        <v>Positive</v>
      </c>
      <c r="E183" s="483">
        <f>IF(B183&lt;=0,(input!CL25-input!H25),(input!CM25-input!K25))/COS(ATAN(input!BP25))</f>
        <v>1668.0583650343299</v>
      </c>
      <c r="F183" s="21">
        <f>input!G25/SQRT(12*(1+E183*input!N25/(3*input!G25*input!H25)))</f>
        <v>123.28532969689617</v>
      </c>
      <c r="G183" s="577">
        <f>+(input!H25*(input!G25)^2)/6</f>
        <v>1500000</v>
      </c>
      <c r="H183" s="21">
        <f>IF(input!F25=1,0,(H117*1.25+K117*1.25+L117*1.5+1.5*N117)/G183*10^6)</f>
        <v>11.693129484663265</v>
      </c>
      <c r="I183" s="483">
        <f t="shared" si="7"/>
        <v>1260.0907783100417</v>
      </c>
      <c r="J183" s="483">
        <f>1*F183*SQRT(Es/input!BI25)</f>
        <v>2898.2059917705542</v>
      </c>
      <c r="K183" s="21">
        <f>IF(D183="Positive",IF(B117&lt;=IF(B183=0,0,1.2*J183*SQRT(1*1*input!BI25/ABS(B183))),H183,H183*MAX(0.85/(1-ABS(B183)/I183),1)),H183)</f>
        <v>12.24455320734682</v>
      </c>
      <c r="L183" s="483">
        <f>0.6*input!BI25</f>
        <v>228</v>
      </c>
      <c r="M183" s="484" t="str">
        <f>IF(ABS(K183)&lt;=0.6*input!BI25,"OK","NG")</f>
        <v>OK</v>
      </c>
      <c r="N183" s="607">
        <f>IF(K183=0,"Inf",0.6*input!BI25/ABS(K183))</f>
        <v>18.62052425589513</v>
      </c>
      <c r="Q183" s="559"/>
      <c r="R183" s="73"/>
      <c r="S183" s="559"/>
      <c r="T183" s="73"/>
      <c r="U183" s="73"/>
      <c r="V183" s="73"/>
      <c r="W183" s="73"/>
      <c r="X183" s="73"/>
      <c r="Y183" s="73"/>
      <c r="Z183" s="73"/>
      <c r="AA183" s="73"/>
      <c r="AC183" s="73"/>
      <c r="AD183" s="73"/>
      <c r="AF183" s="7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</row>
    <row r="184" spans="1:45" ht="15" customHeight="1">
      <c r="A184" s="482" t="str">
        <f t="shared" si="6"/>
        <v>112j</v>
      </c>
      <c r="B184" s="21">
        <f>+Stress!D855</f>
        <v>-187.61596722920439</v>
      </c>
      <c r="C184" s="21">
        <f>Stress!E855</f>
        <v>130.55443285746978</v>
      </c>
      <c r="D184" s="987" t="str">
        <f t="shared" si="8"/>
        <v>Positive</v>
      </c>
      <c r="E184" s="483">
        <f>IF(B184&lt;=0,(input!CL26-input!H26),(input!CM26-input!K26))/COS(ATAN(input!BP26))</f>
        <v>1668.0583650343299</v>
      </c>
      <c r="F184" s="21">
        <f>input!G26/SQRT(12*(1+E184*input!N26/(3*input!G26*input!H26)))</f>
        <v>123.28532969689617</v>
      </c>
      <c r="G184" s="577">
        <f>+(input!H26*(input!G26)^2)/6</f>
        <v>1500000</v>
      </c>
      <c r="H184" s="21">
        <f>IF(input!F26=1,0,(H118*1.25+K118*1.25+L118*1.5+1.5*N118)/G184*10^6)</f>
        <v>11.693129484663265</v>
      </c>
      <c r="I184" s="483">
        <f t="shared" si="7"/>
        <v>1260.0907783100417</v>
      </c>
      <c r="J184" s="483">
        <f>1*F184*SQRT(Es/input!BI26)</f>
        <v>2898.2059917705542</v>
      </c>
      <c r="K184" s="21">
        <f>IF(D184="Positive",IF(B118&lt;=IF(B184=0,0,1.2*J184*SQRT(1*1*input!BI26/ABS(B184))),H184,H184*MAX(0.85/(1-ABS(B184)/I184),1)),H184)</f>
        <v>11.693129484663265</v>
      </c>
      <c r="L184" s="483">
        <f>0.6*input!BI26</f>
        <v>228</v>
      </c>
      <c r="M184" s="484" t="str">
        <f>IF(ABS(K184)&lt;=0.6*input!BI26,"OK","NG")</f>
        <v>OK</v>
      </c>
      <c r="N184" s="607">
        <f>IF(K184=0,"Inf",0.6*input!BI26/ABS(K184))</f>
        <v>19.49862954130845</v>
      </c>
      <c r="Q184" s="559"/>
      <c r="R184" s="73"/>
      <c r="S184" s="559"/>
      <c r="T184" s="73"/>
      <c r="U184" s="73"/>
      <c r="V184" s="73"/>
      <c r="W184" s="73"/>
      <c r="X184" s="73"/>
      <c r="Y184" s="73"/>
      <c r="Z184" s="73"/>
      <c r="AA184" s="73"/>
      <c r="AC184" s="73"/>
      <c r="AD184" s="73"/>
      <c r="AF184" s="7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</row>
    <row r="185" spans="1:45" ht="15" customHeight="1">
      <c r="A185" s="482" t="str">
        <f t="shared" si="6"/>
        <v>113i</v>
      </c>
      <c r="B185" s="21">
        <f>+Stress!D856</f>
        <v>-209.28930753896856</v>
      </c>
      <c r="C185" s="21">
        <f>Stress!E856</f>
        <v>133.65580501931754</v>
      </c>
      <c r="D185" s="987" t="str">
        <f t="shared" si="8"/>
        <v>Positive</v>
      </c>
      <c r="E185" s="483">
        <f>IF(B185&lt;=0,(input!CL27-input!H27),(input!CM27-input!K27))/COS(ATAN(input!BP27))</f>
        <v>1729.9532689015473</v>
      </c>
      <c r="F185" s="21">
        <f>input!G27/SQRT(12*(1+E185*input!N27/(3*input!G27*input!H27)))</f>
        <v>119.40062158433742</v>
      </c>
      <c r="G185" s="577">
        <f>+(input!H27*(input!G27)^2)/6</f>
        <v>1250000</v>
      </c>
      <c r="H185" s="21">
        <f>IF(input!F27=1,0,(H119*1.25+K119*1.25+L119*1.5+1.5*N119)/G185*10^6)</f>
        <v>13.970427256595917</v>
      </c>
      <c r="I185" s="483">
        <f t="shared" si="7"/>
        <v>1181.9312264889415</v>
      </c>
      <c r="J185" s="483">
        <f>1*F185*SQRT(Es/input!BI27)</f>
        <v>2806.8838177878301</v>
      </c>
      <c r="K185" s="21">
        <f>IF(D185="Positive",IF(B119&lt;=IF(B185=0,0,1.2*J185*SQRT(1*1*input!BI27/ABS(B185))),H185,H185*MAX(0.85/(1-ABS(B185)/I185),1)),H185)</f>
        <v>14.430050067984372</v>
      </c>
      <c r="L185" s="483">
        <f>0.6*input!BI27</f>
        <v>228</v>
      </c>
      <c r="M185" s="484" t="str">
        <f>IF(ABS(K185)&lt;=0.6*input!BI27,"OK","NG")</f>
        <v>OK</v>
      </c>
      <c r="N185" s="607">
        <f>IF(K185=0,"Inf",0.6*input!BI27/ABS(K185))</f>
        <v>15.800360977669682</v>
      </c>
      <c r="Q185" s="559"/>
      <c r="R185" s="73"/>
      <c r="S185" s="559"/>
      <c r="T185" s="73"/>
      <c r="U185" s="73"/>
      <c r="V185" s="73"/>
      <c r="W185" s="73"/>
      <c r="X185" s="73"/>
      <c r="Y185" s="73"/>
      <c r="Z185" s="73"/>
      <c r="AA185" s="73"/>
      <c r="AC185" s="73"/>
      <c r="AD185" s="73"/>
      <c r="AF185" s="7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</row>
    <row r="186" spans="1:45" ht="15" customHeight="1">
      <c r="A186" s="482" t="str">
        <f t="shared" si="6"/>
        <v>113j</v>
      </c>
      <c r="B186" s="21">
        <f>+Stress!D857</f>
        <v>-135.67287699051366</v>
      </c>
      <c r="C186" s="21">
        <f>Stress!E857</f>
        <v>86.64306746811512</v>
      </c>
      <c r="D186" s="987" t="str">
        <f t="shared" si="8"/>
        <v>Positive</v>
      </c>
      <c r="E186" s="483">
        <f>IF(B186&lt;=0,(input!CL28-input!H28),(input!CM28-input!K28))/COS(ATAN(input!BP28))</f>
        <v>1729.9532689015473</v>
      </c>
      <c r="F186" s="21">
        <f>input!G28/SQRT(12*(1+E186*input!N28/(3*input!G28*input!H28)))</f>
        <v>119.40062158433742</v>
      </c>
      <c r="G186" s="577">
        <f>+(input!H28*(input!G28)^2)/6</f>
        <v>1250000</v>
      </c>
      <c r="H186" s="21">
        <f>IF(input!F28=1,0,(H120*1.25+K120*1.25+L120*1.5+1.5*N120)/G186*10^6)</f>
        <v>13.970427256595917</v>
      </c>
      <c r="I186" s="483">
        <f t="shared" si="7"/>
        <v>1181.9312264889415</v>
      </c>
      <c r="J186" s="483">
        <f>1*F186*SQRT(Es/input!BI28)</f>
        <v>2806.8838177878301</v>
      </c>
      <c r="K186" s="21">
        <f>IF(D186="Positive",IF(B120&lt;=IF(B186=0,0,1.2*J186*SQRT(1*1*input!BI28/ABS(B186))),H186,H186*MAX(0.85/(1-ABS(B186)/I186),1)),H186)</f>
        <v>13.970427256595917</v>
      </c>
      <c r="L186" s="483">
        <f>0.6*input!BI28</f>
        <v>228</v>
      </c>
      <c r="M186" s="484" t="str">
        <f>IF(ABS(K186)&lt;=0.6*input!BI28,"OK","NG")</f>
        <v>OK</v>
      </c>
      <c r="N186" s="607">
        <f>IF(K186=0,"Inf",0.6*input!BI28/ABS(K186))</f>
        <v>16.320188052398571</v>
      </c>
      <c r="Q186" s="559"/>
      <c r="R186" s="73"/>
      <c r="S186" s="559"/>
      <c r="T186" s="73"/>
      <c r="U186" s="73"/>
      <c r="V186" s="73"/>
      <c r="W186" s="73"/>
      <c r="X186" s="73"/>
      <c r="Y186" s="73"/>
      <c r="Z186" s="73"/>
      <c r="AA186" s="73"/>
      <c r="AC186" s="73"/>
      <c r="AD186" s="73"/>
      <c r="AF186" s="7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</row>
    <row r="187" spans="1:45" ht="15" customHeight="1">
      <c r="A187" s="482" t="str">
        <f t="shared" si="6"/>
        <v>114i</v>
      </c>
      <c r="B187" s="21">
        <f>+Stress!D858</f>
        <v>-135.67327179871401</v>
      </c>
      <c r="C187" s="21">
        <f>Stress!E858</f>
        <v>86.643319599523409</v>
      </c>
      <c r="D187" s="987" t="str">
        <f t="shared" si="8"/>
        <v>Positive</v>
      </c>
      <c r="E187" s="483">
        <f>IF(B187&lt;=0,(input!CL29-input!H29),(input!CM29-input!K29))/COS(ATAN(input!BP29))</f>
        <v>1729.9532689015473</v>
      </c>
      <c r="F187" s="21">
        <f>input!G29/SQRT(12*(1+E187*input!N29/(3*input!G29*input!H29)))</f>
        <v>119.40062158433742</v>
      </c>
      <c r="G187" s="577">
        <f>+(input!H29*(input!G29)^2)/6</f>
        <v>1250000</v>
      </c>
      <c r="H187" s="21">
        <f>IF(input!F29=1,0,(H121*1.25+K121*1.25+L121*1.5+1.5*N121)/G187*10^6)</f>
        <v>13.970427256595917</v>
      </c>
      <c r="I187" s="483">
        <f t="shared" si="7"/>
        <v>1181.9312264889415</v>
      </c>
      <c r="J187" s="483">
        <f>1*F187*SQRT(Es/input!BI29)</f>
        <v>2806.8838177878301</v>
      </c>
      <c r="K187" s="21">
        <f>IF(D187="Positive",IF(B121&lt;=IF(B187=0,0,1.2*J187*SQRT(1*1*input!BI29/ABS(B187))),H187,H187*MAX(0.85/(1-ABS(B187)/I187),1)),H187)</f>
        <v>13.970427256595917</v>
      </c>
      <c r="L187" s="483">
        <f>0.6*input!BI29</f>
        <v>228</v>
      </c>
      <c r="M187" s="484" t="str">
        <f>IF(ABS(K187)&lt;=0.6*input!BI29,"OK","NG")</f>
        <v>OK</v>
      </c>
      <c r="N187" s="607">
        <f>IF(K187=0,"Inf",0.6*input!BI29/ABS(K187))</f>
        <v>16.320188052398571</v>
      </c>
      <c r="Q187" s="559"/>
      <c r="R187" s="73"/>
      <c r="S187" s="559"/>
      <c r="T187" s="73"/>
      <c r="U187" s="73"/>
      <c r="V187" s="73"/>
      <c r="W187" s="73"/>
      <c r="X187" s="73"/>
      <c r="Y187" s="73"/>
      <c r="Z187" s="73"/>
      <c r="AA187" s="73"/>
      <c r="AC187" s="73"/>
      <c r="AD187" s="73"/>
      <c r="AF187" s="7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</row>
    <row r="188" spans="1:45" ht="15" customHeight="1">
      <c r="A188" s="482" t="str">
        <f t="shared" si="6"/>
        <v>114j</v>
      </c>
      <c r="B188" s="21">
        <f>+Stress!D859</f>
        <v>-48.667019837267347</v>
      </c>
      <c r="C188" s="21">
        <f>Stress!E859</f>
        <v>31.079608369529026</v>
      </c>
      <c r="D188" s="987" t="str">
        <f t="shared" si="8"/>
        <v>Positive</v>
      </c>
      <c r="E188" s="483">
        <f>IF(B188&lt;=0,(input!CL30-input!H30),(input!CM30-input!K30))/COS(ATAN(input!BP30))</f>
        <v>1729.9532689015473</v>
      </c>
      <c r="F188" s="21">
        <f>input!G30/SQRT(12*(1+E188*input!N30/(3*input!G30*input!H30)))</f>
        <v>119.40062158433742</v>
      </c>
      <c r="G188" s="577">
        <f>+(input!H30*(input!G30)^2)/6</f>
        <v>1250000</v>
      </c>
      <c r="H188" s="21">
        <f>IF(input!F30=1,0,(H122*1.25+K122*1.25+L122*1.5+1.5*N122)/G188*10^6)</f>
        <v>13.970427256595917</v>
      </c>
      <c r="I188" s="483">
        <f t="shared" si="7"/>
        <v>1181.9312264889415</v>
      </c>
      <c r="J188" s="483">
        <f>1*F188*SQRT(Es/input!BI30)</f>
        <v>2806.8838177878301</v>
      </c>
      <c r="K188" s="21">
        <f>IF(D188="Positive",IF(B122&lt;=IF(B188=0,0,1.2*J188*SQRT(1*1*input!BI30/ABS(B188))),H188,H188*MAX(0.85/(1-ABS(B188)/I188),1)),H188)</f>
        <v>13.970427256595917</v>
      </c>
      <c r="L188" s="483">
        <f>0.6*input!BI30</f>
        <v>228</v>
      </c>
      <c r="M188" s="484" t="str">
        <f>IF(ABS(K188)&lt;=0.6*input!BI30,"OK","NG")</f>
        <v>OK</v>
      </c>
      <c r="N188" s="607">
        <f>IF(K188=0,"Inf",0.6*input!BI30/ABS(K188))</f>
        <v>16.320188052398571</v>
      </c>
      <c r="Q188" s="559"/>
      <c r="R188" s="73"/>
      <c r="S188" s="559"/>
      <c r="T188" s="73"/>
      <c r="U188" s="73"/>
      <c r="V188" s="73"/>
      <c r="W188" s="73"/>
      <c r="X188" s="73"/>
      <c r="Y188" s="73"/>
      <c r="Z188" s="73"/>
      <c r="AA188" s="73"/>
      <c r="AC188" s="73"/>
      <c r="AD188" s="73"/>
      <c r="AF188" s="7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</row>
    <row r="189" spans="1:45" ht="15" customHeight="1">
      <c r="A189" s="482" t="str">
        <f t="shared" si="6"/>
        <v>115i</v>
      </c>
      <c r="B189" s="21">
        <f>+Stress!D860</f>
        <v>-61.587966040607078</v>
      </c>
      <c r="C189" s="21">
        <f>Stress!E860</f>
        <v>46.780264316365532</v>
      </c>
      <c r="D189" s="987" t="str">
        <f t="shared" si="8"/>
        <v>Positive</v>
      </c>
      <c r="E189" s="483">
        <f>IF(B189&lt;=0,(input!CL31-input!H31),(input!CM31-input!K31))/COS(ATAN(input!BP31))</f>
        <v>1604.421838304846</v>
      </c>
      <c r="F189" s="21">
        <f>input!G31/SQRT(12*(1+E189*input!N31/(3*input!G31*input!H31)))</f>
        <v>114.70450591236785</v>
      </c>
      <c r="G189" s="577">
        <f>+(input!H31*(input!G31)^2)/6</f>
        <v>916666.66666666663</v>
      </c>
      <c r="H189" s="21">
        <f>IF(input!F31=1,0,(H123*1.25+K123*1.25+L123*1.5+1.5*N123)/G189*10^6)</f>
        <v>18.560515151039887</v>
      </c>
      <c r="I189" s="483">
        <f t="shared" si="7"/>
        <v>1090.7870882517218</v>
      </c>
      <c r="J189" s="483">
        <f>1*F189*SQRT(Es/input!BI31)</f>
        <v>2696.4869797211149</v>
      </c>
      <c r="K189" s="21">
        <f>IF(D189="Positive",IF(B123&lt;=IF(B189=0,0,1.2*J189*SQRT(1*1*input!BI31/ABS(B189))),H189,H189*MAX(0.85/(1-ABS(B189)/I189),1)),H189)</f>
        <v>18.560515151039887</v>
      </c>
      <c r="L189" s="483">
        <f>0.6*input!BI31</f>
        <v>228</v>
      </c>
      <c r="M189" s="484" t="str">
        <f>IF(ABS(K189)&lt;=0.6*input!BI31,"OK","NG")</f>
        <v>OK</v>
      </c>
      <c r="N189" s="607">
        <f>IF(K189=0,"Inf",0.6*input!BI31/ABS(K189))</f>
        <v>12.284141800192755</v>
      </c>
      <c r="Q189" s="463"/>
      <c r="R189" s="73"/>
      <c r="S189" s="463"/>
      <c r="T189" s="73"/>
      <c r="U189" s="73"/>
      <c r="V189" s="73"/>
      <c r="W189" s="73"/>
      <c r="X189" s="73"/>
      <c r="Y189" s="73"/>
      <c r="Z189" s="73"/>
      <c r="AA189" s="73"/>
      <c r="AC189" s="73"/>
      <c r="AD189" s="73"/>
      <c r="AF189" s="7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</row>
    <row r="190" spans="1:45" ht="15" customHeight="1">
      <c r="A190" s="482" t="str">
        <f t="shared" si="6"/>
        <v>115j</v>
      </c>
      <c r="B190" s="21">
        <f>+Stress!D861</f>
        <v>71.060453080146601</v>
      </c>
      <c r="C190" s="21">
        <f>Stress!E861</f>
        <v>-53.975264832389023</v>
      </c>
      <c r="D190" s="987" t="str">
        <f t="shared" si="8"/>
        <v>Negative</v>
      </c>
      <c r="E190" s="483">
        <f>IF(B190&lt;=0,(input!CL32-input!H32),(input!CM32-input!K32))/COS(ATAN(input!BP32))</f>
        <v>1217.3683735996465</v>
      </c>
      <c r="F190" s="21">
        <f>input!G32/SQRT(12*(1+E190*input!N32/(3*input!G32*input!H32)))</f>
        <v>120.16955826651002</v>
      </c>
      <c r="G190" s="577">
        <f>+(input!H32*(input!G32)^2)/6</f>
        <v>916666.66666666663</v>
      </c>
      <c r="H190" s="21">
        <f>IF(input!F32=1,0,(H124*1.25+K124*1.25+L124*1.5+1.5*N124)/G190*10^6)</f>
        <v>18.560515151039887</v>
      </c>
      <c r="I190" s="483">
        <f t="shared" si="7"/>
        <v>1197.2034534606985</v>
      </c>
      <c r="J190" s="483">
        <f>1*F190*SQRT(Es/input!BI32)</f>
        <v>2824.96007150791</v>
      </c>
      <c r="K190" s="21">
        <f>IF(D190="Positive",IF(B124&lt;=IF(B190=0,0,1.2*J190*SQRT(1*1*input!BI32/ABS(B190))),H190,H190*MAX(0.85/(1-ABS(B190)/I190),1)),H190)</f>
        <v>18.560515151039887</v>
      </c>
      <c r="L190" s="483">
        <f>0.6*input!BI32</f>
        <v>228</v>
      </c>
      <c r="M190" s="484" t="str">
        <f>IF(ABS(K190)&lt;=0.6*input!BI32,"OK","NG")</f>
        <v>OK</v>
      </c>
      <c r="N190" s="607">
        <f>IF(K190=0,"Inf",0.6*input!BI32/ABS(K190))</f>
        <v>12.284141800192755</v>
      </c>
      <c r="Q190" s="463"/>
      <c r="R190" s="73"/>
      <c r="S190" s="463"/>
      <c r="T190" s="73"/>
      <c r="U190" s="73"/>
      <c r="V190" s="73"/>
      <c r="W190" s="73"/>
      <c r="X190" s="73"/>
      <c r="Y190" s="73"/>
      <c r="Z190" s="73"/>
      <c r="AA190" s="73"/>
      <c r="AC190" s="73"/>
      <c r="AD190" s="73"/>
      <c r="AF190" s="7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</row>
    <row r="191" spans="1:45" ht="15" customHeight="1">
      <c r="A191" s="482" t="str">
        <f t="shared" si="6"/>
        <v>116i</v>
      </c>
      <c r="B191" s="21">
        <f>+Stress!D862</f>
        <v>56.226483276901263</v>
      </c>
      <c r="C191" s="21">
        <f>Stress!E862</f>
        <v>-43.077150483708564</v>
      </c>
      <c r="D191" s="987" t="str">
        <f t="shared" si="8"/>
        <v>Negative</v>
      </c>
      <c r="E191" s="483">
        <f>IF(B191&lt;=0,(input!CL33-input!H33),(input!CM33-input!K33))/COS(ATAN(input!BP33))</f>
        <v>1227.8493993934862</v>
      </c>
      <c r="F191" s="21">
        <f>input!G33/SQRT(12*(1+E191*input!N33/(3*input!G33*input!H33)))</f>
        <v>151.05158959968642</v>
      </c>
      <c r="G191" s="577">
        <f>+(input!H33*(input!G33)^2)/6</f>
        <v>1560000</v>
      </c>
      <c r="H191" s="21">
        <f>IF(input!F33=1,0,(H125*1.25+K125*1.25+L125*1.5+1.5*N125)/G191*10^6)</f>
        <v>11.052509463353175</v>
      </c>
      <c r="I191" s="483">
        <f t="shared" si="7"/>
        <v>1891.6014199905912</v>
      </c>
      <c r="J191" s="483">
        <f>1*F191*SQRT(Es/input!BI33)</f>
        <v>3550.9384865221268</v>
      </c>
      <c r="K191" s="21">
        <f>IF(D191="Positive",IF(B125&lt;=IF(B191=0,0,1.2*J191*SQRT(1*1*input!BI33/ABS(B191))),H191,H191*MAX(0.85/(1-ABS(B191)/I191),1)),H191)</f>
        <v>11.052509463353175</v>
      </c>
      <c r="L191" s="483">
        <f>0.6*input!BI33</f>
        <v>228</v>
      </c>
      <c r="M191" s="484" t="str">
        <f>IF(ABS(K191)&lt;=0.6*input!BI33,"OK","NG")</f>
        <v>OK</v>
      </c>
      <c r="N191" s="607">
        <f>IF(K191=0,"Inf",0.6*input!BI33/ABS(K191))</f>
        <v>20.628799346970027</v>
      </c>
      <c r="Q191" s="463"/>
      <c r="R191" s="73"/>
      <c r="S191" s="463"/>
      <c r="T191" s="73"/>
      <c r="U191" s="73"/>
      <c r="V191" s="73"/>
      <c r="W191" s="73"/>
      <c r="X191" s="73"/>
      <c r="Y191" s="73"/>
      <c r="Z191" s="73"/>
      <c r="AA191" s="73"/>
      <c r="AC191" s="73"/>
      <c r="AD191" s="73"/>
      <c r="AF191" s="7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</row>
    <row r="192" spans="1:45" ht="15" customHeight="1">
      <c r="A192" s="482" t="str">
        <f t="shared" si="6"/>
        <v>116j</v>
      </c>
      <c r="B192" s="21">
        <f>+Stress!D863</f>
        <v>173.91449085073006</v>
      </c>
      <c r="C192" s="21">
        <f>Stress!E863</f>
        <v>-133.24220646664884</v>
      </c>
      <c r="D192" s="987" t="str">
        <f t="shared" si="8"/>
        <v>Negative</v>
      </c>
      <c r="E192" s="483">
        <f>IF(B192&lt;=0,(input!CL34-input!H34),(input!CM34-input!K34))/COS(ATAN(input!BP34))</f>
        <v>1227.8493993934862</v>
      </c>
      <c r="F192" s="21">
        <f>input!G34/SQRT(12*(1+E192*input!N34/(3*input!G34*input!H34)))</f>
        <v>151.05158959968642</v>
      </c>
      <c r="G192" s="577">
        <f>+(input!H34*(input!G34)^2)/6</f>
        <v>1560000</v>
      </c>
      <c r="H192" s="21">
        <f>IF(input!F34=1,0,(H126*1.25+K126*1.25+L126*1.5+1.5*N126)/G192*10^6)</f>
        <v>11.052509463353175</v>
      </c>
      <c r="I192" s="483">
        <f t="shared" si="7"/>
        <v>1891.6014199905912</v>
      </c>
      <c r="J192" s="483">
        <f>1*F192*SQRT(Es/input!BI34)</f>
        <v>3550.9384865221268</v>
      </c>
      <c r="K192" s="21">
        <f>IF(D192="Positive",IF(B126&lt;=IF(B192=0,0,1.2*J192*SQRT(1*1*input!BI34/ABS(B192))),H192,H192*MAX(0.85/(1-ABS(B192)/I192),1)),H192)</f>
        <v>11.052509463353175</v>
      </c>
      <c r="L192" s="483">
        <f>0.6*input!BI34</f>
        <v>228</v>
      </c>
      <c r="M192" s="484" t="str">
        <f>IF(ABS(K192)&lt;=0.6*input!BI34,"OK","NG")</f>
        <v>OK</v>
      </c>
      <c r="N192" s="607">
        <f>IF(K192=0,"Inf",0.6*input!BI34/ABS(K192))</f>
        <v>20.628799346970027</v>
      </c>
      <c r="Q192" s="463"/>
      <c r="R192" s="73"/>
      <c r="S192" s="463"/>
      <c r="T192" s="73"/>
      <c r="U192" s="73"/>
      <c r="V192" s="73"/>
      <c r="W192" s="73"/>
      <c r="X192" s="73"/>
      <c r="Y192" s="73"/>
      <c r="Z192" s="73"/>
      <c r="AA192" s="73"/>
      <c r="AC192" s="73"/>
      <c r="AD192" s="73"/>
      <c r="AF192" s="7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</row>
    <row r="193" spans="1:45" ht="15" customHeight="1">
      <c r="A193" s="482" t="str">
        <f t="shared" ref="A193:A222" si="9">A127</f>
        <v>117i</v>
      </c>
      <c r="B193" s="21">
        <f>+Stress!D864</f>
        <v>105.59054156003751</v>
      </c>
      <c r="C193" s="21">
        <f>Stress!E864</f>
        <v>-69.371399894815028</v>
      </c>
      <c r="D193" s="987" t="str">
        <f t="shared" si="8"/>
        <v>Negative</v>
      </c>
      <c r="E193" s="483">
        <f>IF(B193&lt;=0,(input!CL35-input!H35),(input!CM35-input!K35))/COS(ATAN(input!BP35))</f>
        <v>1469.4790407090206</v>
      </c>
      <c r="F193" s="21">
        <f>input!G35/SQRT(12*(1+E193*input!N35/(3*input!G35*input!H35)))</f>
        <v>210.45977980994181</v>
      </c>
      <c r="G193" s="577">
        <f>+(input!H35*(input!G35)^2)/6</f>
        <v>3840000</v>
      </c>
      <c r="H193" s="21">
        <f>IF(input!F35=1,0,(H127*1.25+K127*1.25+L127*1.5+1.5*N127)/G193*10^6)</f>
        <v>5.1913526639174741</v>
      </c>
      <c r="I193" s="483">
        <f t="shared" ref="I193:I222" si="10">1*1*PI()^2*Es/((B127/F193)^2)</f>
        <v>3672.1232967592737</v>
      </c>
      <c r="J193" s="483">
        <f>1*F193*SQRT(Es/input!BI35)</f>
        <v>4947.5131905109474</v>
      </c>
      <c r="K193" s="21">
        <f>IF(D193="Positive",IF(B127&lt;=IF(B193=0,0,1.2*J193*SQRT(1*1*input!BI35/ABS(B193))),H193,H193*MAX(0.85/(1-ABS(B193)/I193),1)),H193)</f>
        <v>5.1913526639174741</v>
      </c>
      <c r="L193" s="483">
        <f>0.6*input!BI35</f>
        <v>228</v>
      </c>
      <c r="M193" s="484" t="str">
        <f>IF(ABS(K193)&lt;=0.6*input!BI35,"OK","NG")</f>
        <v>OK</v>
      </c>
      <c r="N193" s="607">
        <f>IF(K193=0,"Inf",0.6*input!BI35/ABS(K193))</f>
        <v>43.919189228794892</v>
      </c>
      <c r="Q193" s="463"/>
      <c r="R193" s="73"/>
      <c r="S193" s="463"/>
      <c r="T193" s="73"/>
      <c r="U193" s="73"/>
      <c r="V193" s="73"/>
      <c r="W193" s="73"/>
      <c r="X193" s="73"/>
      <c r="Y193" s="73"/>
      <c r="Z193" s="73"/>
      <c r="AA193" s="73"/>
      <c r="AC193" s="73"/>
      <c r="AD193" s="73"/>
      <c r="AF193" s="7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</row>
    <row r="194" spans="1:45" ht="15" customHeight="1">
      <c r="A194" s="482" t="str">
        <f t="shared" si="9"/>
        <v>117j</v>
      </c>
      <c r="B194" s="21">
        <f>+Stress!D865</f>
        <v>190.11897531074629</v>
      </c>
      <c r="C194" s="21">
        <f>Stress!E865</f>
        <v>-126.69312784059801</v>
      </c>
      <c r="D194" s="987" t="str">
        <f t="shared" si="8"/>
        <v>Negative</v>
      </c>
      <c r="E194" s="483">
        <f>IF(B194&lt;=0,(input!CL36-input!H36),(input!CM36-input!K36))/COS(ATAN(input!BP36))</f>
        <v>1469.4790407090206</v>
      </c>
      <c r="F194" s="21">
        <f>input!G36/SQRT(12*(1+E194*input!N36/(3*input!G36*input!H36)))</f>
        <v>210.45977980994181</v>
      </c>
      <c r="G194" s="577">
        <f>+(input!H36*(input!G36)^2)/6</f>
        <v>3840000</v>
      </c>
      <c r="H194" s="21">
        <f>IF(input!F36=1,0,(H128*1.25+K128*1.25+L128*1.5+1.5*N128)/G194*10^6)</f>
        <v>5.1913526639174741</v>
      </c>
      <c r="I194" s="483">
        <f t="shared" si="10"/>
        <v>3672.1232967592737</v>
      </c>
      <c r="J194" s="483">
        <f>1*F194*SQRT(Es/input!BI36)</f>
        <v>4947.5131905109474</v>
      </c>
      <c r="K194" s="21">
        <f>IF(D194="Positive",IF(B128&lt;=IF(B194=0,0,1.2*J194*SQRT(1*1*input!BI36/ABS(B194))),H194,H194*MAX(0.85/(1-ABS(B194)/I194),1)),H194)</f>
        <v>5.1913526639174741</v>
      </c>
      <c r="L194" s="483">
        <f>0.6*input!BI36</f>
        <v>228</v>
      </c>
      <c r="M194" s="484" t="str">
        <f>IF(ABS(K194)&lt;=0.6*input!BI36,"OK","NG")</f>
        <v>OK</v>
      </c>
      <c r="N194" s="607">
        <f>IF(K194=0,"Inf",0.6*input!BI36/ABS(K194))</f>
        <v>43.919189228794892</v>
      </c>
      <c r="Q194" s="463"/>
      <c r="R194" s="73"/>
      <c r="S194" s="463"/>
      <c r="T194" s="73"/>
      <c r="U194" s="73"/>
      <c r="V194" s="73"/>
      <c r="W194" s="73"/>
      <c r="X194" s="73"/>
      <c r="Y194" s="73"/>
      <c r="Z194" s="73"/>
      <c r="AA194" s="73"/>
      <c r="AC194" s="73"/>
      <c r="AD194" s="73"/>
      <c r="AF194" s="7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</row>
    <row r="195" spans="1:45" ht="15" customHeight="1">
      <c r="A195" s="482" t="str">
        <f t="shared" si="9"/>
        <v>118i</v>
      </c>
      <c r="B195" s="21">
        <f>+Stress!D866</f>
        <v>101.41676271675635</v>
      </c>
      <c r="C195" s="21">
        <f>Stress!E866</f>
        <v>-97.76463379416235</v>
      </c>
      <c r="D195" s="987" t="str">
        <f t="shared" si="8"/>
        <v>Negative</v>
      </c>
      <c r="E195" s="483">
        <f>IF(B195&lt;=0,(input!CL37-input!H37),(input!CM37-input!K37))/COS(ATAN(input!BP37))</f>
        <v>1895.553858535126</v>
      </c>
      <c r="F195" s="21">
        <f>input!G37/SQRT(12*(1+E195*input!N37/(3*input!G37*input!H37)))</f>
        <v>806.95477525969454</v>
      </c>
      <c r="G195" s="577">
        <f>+(input!H37*(input!G37)^2)/6</f>
        <v>56066666.666666664</v>
      </c>
      <c r="H195" s="21">
        <f>IF(input!F37=1,0,(H129*1.25+K129*1.25+L129*1.5+1.5*N129)/G195*10^6)</f>
        <v>0</v>
      </c>
      <c r="I195" s="483">
        <f t="shared" si="10"/>
        <v>53985.536702272941</v>
      </c>
      <c r="J195" s="483">
        <f>1*F195*SQRT(Es/input!BI37)</f>
        <v>18969.987511858737</v>
      </c>
      <c r="K195" s="21">
        <f>IF(D195="Positive",IF(B129&lt;=IF(B195=0,0,1.2*J195*SQRT(1*1*input!BI37/ABS(B195))),H195,H195*MAX(0.85/(1-ABS(B195)/I195),1)),H195)</f>
        <v>0</v>
      </c>
      <c r="L195" s="483">
        <f>0.6*input!BI37</f>
        <v>228</v>
      </c>
      <c r="M195" s="484" t="str">
        <f>IF(ABS(K195)&lt;=0.6*input!BI37,"OK","NG")</f>
        <v>OK</v>
      </c>
      <c r="N195" s="607" t="str">
        <f>IF(K195=0,"Inf",0.6*input!BI37/ABS(K195))</f>
        <v>Inf</v>
      </c>
      <c r="Q195" s="463"/>
      <c r="R195" s="73"/>
      <c r="S195" s="463"/>
      <c r="T195" s="73"/>
      <c r="U195" s="73"/>
      <c r="V195" s="73"/>
      <c r="W195" s="73"/>
      <c r="X195" s="73"/>
      <c r="Y195" s="73"/>
      <c r="Z195" s="73"/>
      <c r="AA195" s="73"/>
      <c r="AC195" s="73"/>
      <c r="AD195" s="73"/>
      <c r="AF195" s="7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</row>
    <row r="196" spans="1:45" ht="15" customHeight="1">
      <c r="A196" s="482" t="str">
        <f t="shared" si="9"/>
        <v>118j</v>
      </c>
      <c r="B196" s="21">
        <f>+Stress!D867</f>
        <v>136.77731617845615</v>
      </c>
      <c r="C196" s="21">
        <f>Stress!E867</f>
        <v>-133.22269493720955</v>
      </c>
      <c r="D196" s="987" t="str">
        <f t="shared" si="8"/>
        <v>Negative</v>
      </c>
      <c r="E196" s="483">
        <f>IF(B196&lt;=0,(input!CL38-input!H38),(input!CM38-input!K38))/COS(ATAN(input!BP38))</f>
        <v>1895.553858535126</v>
      </c>
      <c r="F196" s="21">
        <f>input!G38/SQRT(12*(1+E196*input!N38/(3*input!G38*input!H38)))</f>
        <v>806.95477525969454</v>
      </c>
      <c r="G196" s="577">
        <f>+(input!H38*(input!G38)^2)/6</f>
        <v>56066666.666666664</v>
      </c>
      <c r="H196" s="21">
        <f>IF(input!F38=1,0,(H130*1.25+K130*1.25+L130*1.5+1.5*N130)/G196*10^6)</f>
        <v>0</v>
      </c>
      <c r="I196" s="483">
        <f t="shared" si="10"/>
        <v>53985.536702272941</v>
      </c>
      <c r="J196" s="483">
        <f>1*F196*SQRT(Es/input!BI38)</f>
        <v>18969.987511858737</v>
      </c>
      <c r="K196" s="21">
        <f>IF(D196="Positive",IF(B130&lt;=IF(B196=0,0,1.2*J196*SQRT(1*1*input!BI38/ABS(B196))),H196,H196*MAX(0.85/(1-ABS(B196)/I196),1)),H196)</f>
        <v>0</v>
      </c>
      <c r="L196" s="483">
        <f>0.6*input!BI38</f>
        <v>228</v>
      </c>
      <c r="M196" s="484" t="str">
        <f>IF(ABS(K196)&lt;=0.6*input!BI38,"OK","NG")</f>
        <v>OK</v>
      </c>
      <c r="N196" s="607" t="str">
        <f>IF(K196=0,"Inf",0.6*input!BI38/ABS(K196))</f>
        <v>Inf</v>
      </c>
      <c r="Q196" s="463"/>
      <c r="R196" s="73"/>
      <c r="S196" s="463"/>
      <c r="T196" s="73"/>
      <c r="U196" s="73"/>
      <c r="V196" s="73"/>
      <c r="W196" s="73"/>
      <c r="X196" s="73"/>
      <c r="Y196" s="73"/>
      <c r="Z196" s="73"/>
      <c r="AA196" s="73"/>
      <c r="AC196" s="73"/>
      <c r="AD196" s="73"/>
      <c r="AF196" s="7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</row>
    <row r="197" spans="1:45" ht="15" customHeight="1">
      <c r="A197" s="482" t="str">
        <f t="shared" si="9"/>
        <v>119i</v>
      </c>
      <c r="B197" s="21">
        <f>+Stress!D868</f>
        <v>132.53453097774104</v>
      </c>
      <c r="C197" s="21">
        <f>Stress!E868</f>
        <v>-125.99156677886987</v>
      </c>
      <c r="D197" s="987" t="str">
        <f t="shared" si="8"/>
        <v>Negative</v>
      </c>
      <c r="E197" s="483">
        <f>IF(B197&lt;=0,(input!CL39-input!H39),(input!CM39-input!K39))/COS(ATAN(input!BP39))</f>
        <v>1956.3816153315704</v>
      </c>
      <c r="F197" s="21">
        <f>input!G39/SQRT(12*(1+E197*input!N39/(3*input!G39*input!H39)))</f>
        <v>806.03894790282448</v>
      </c>
      <c r="G197" s="577">
        <f>+(input!H39*(input!G39)^2)/6</f>
        <v>56066666.666666664</v>
      </c>
      <c r="H197" s="21">
        <f>IF(input!F39=1,0,(H131*1.25+K131*1.25+L131*1.5+1.5*N131)/G197*10^6)</f>
        <v>0</v>
      </c>
      <c r="I197" s="483">
        <f t="shared" si="10"/>
        <v>53863.067942135756</v>
      </c>
      <c r="J197" s="483">
        <f>1*F197*SQRT(Es/input!BI39)</f>
        <v>18948.458134927729</v>
      </c>
      <c r="K197" s="21">
        <f>IF(D197="Positive",IF(B131&lt;=IF(B197=0,0,1.2*J197*SQRT(1*1*input!BI39/ABS(B197))),H197,H197*MAX(0.85/(1-ABS(B197)/I197),1)),H197)</f>
        <v>0</v>
      </c>
      <c r="L197" s="483">
        <f>0.6*input!BI39</f>
        <v>228</v>
      </c>
      <c r="M197" s="484" t="str">
        <f>IF(ABS(K197)&lt;=0.6*input!BI39,"OK","NG")</f>
        <v>OK</v>
      </c>
      <c r="N197" s="607" t="str">
        <f>IF(K197=0,"Inf",0.6*input!BI39/ABS(K197))</f>
        <v>Inf</v>
      </c>
      <c r="Q197" s="463"/>
      <c r="R197" s="73"/>
      <c r="S197" s="463"/>
      <c r="T197" s="73"/>
      <c r="U197" s="73"/>
      <c r="V197" s="73"/>
      <c r="W197" s="73"/>
      <c r="X197" s="73"/>
      <c r="Y197" s="73"/>
      <c r="Z197" s="73"/>
      <c r="AA197" s="73"/>
      <c r="AC197" s="73"/>
      <c r="AD197" s="73"/>
      <c r="AF197" s="7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</row>
    <row r="198" spans="1:45" ht="15" customHeight="1">
      <c r="A198" s="482" t="str">
        <f t="shared" si="9"/>
        <v>119j</v>
      </c>
      <c r="B198" s="21">
        <f>+Stress!D869</f>
        <v>148.26948555692721</v>
      </c>
      <c r="C198" s="21">
        <f>Stress!E869</f>
        <v>-141.64342527974492</v>
      </c>
      <c r="D198" s="987" t="str">
        <f t="shared" si="8"/>
        <v>Negative</v>
      </c>
      <c r="E198" s="483">
        <f>IF(B198&lt;=0,(input!CL40-input!H40),(input!CM40-input!K40))/COS(ATAN(input!BP40))</f>
        <v>1956.3816153315704</v>
      </c>
      <c r="F198" s="21">
        <f>input!G40/SQRT(12*(1+E198*input!N40/(3*input!G40*input!H40)))</f>
        <v>806.03894790282448</v>
      </c>
      <c r="G198" s="577">
        <f>+(input!H40*(input!G40)^2)/6</f>
        <v>56066666.666666664</v>
      </c>
      <c r="H198" s="21">
        <f>IF(input!F40=1,0,(H132*1.25+K132*1.25+L132*1.5+1.5*N132)/G198*10^6)</f>
        <v>0</v>
      </c>
      <c r="I198" s="483">
        <f t="shared" si="10"/>
        <v>53863.067942135756</v>
      </c>
      <c r="J198" s="483">
        <f>1*F198*SQRT(Es/input!BI40)</f>
        <v>18948.458134927729</v>
      </c>
      <c r="K198" s="21">
        <f>IF(D198="Positive",IF(B132&lt;=IF(B198=0,0,1.2*J198*SQRT(1*1*input!BI40/ABS(B198))),H198,H198*MAX(0.85/(1-ABS(B198)/I198),1)),H198)</f>
        <v>0</v>
      </c>
      <c r="L198" s="483">
        <f>0.6*input!BI40</f>
        <v>228</v>
      </c>
      <c r="M198" s="484" t="str">
        <f>IF(ABS(K198)&lt;=0.6*input!BI40,"OK","NG")</f>
        <v>OK</v>
      </c>
      <c r="N198" s="607" t="str">
        <f>IF(K198=0,"Inf",0.6*input!BI40/ABS(K198))</f>
        <v>Inf</v>
      </c>
      <c r="Q198" s="463"/>
      <c r="R198" s="73"/>
      <c r="S198" s="463"/>
      <c r="T198" s="73"/>
      <c r="U198" s="73"/>
      <c r="V198" s="73"/>
      <c r="W198" s="73"/>
      <c r="X198" s="73"/>
      <c r="Y198" s="73"/>
      <c r="Z198" s="73"/>
      <c r="AA198" s="73"/>
      <c r="AC198" s="73"/>
      <c r="AD198" s="73"/>
      <c r="AF198" s="7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</row>
    <row r="199" spans="1:45" ht="15" customHeight="1">
      <c r="A199" s="482" t="str">
        <f t="shared" si="9"/>
        <v>120i</v>
      </c>
      <c r="B199" s="21">
        <f>+Stress!D870</f>
        <v>148.26960795280615</v>
      </c>
      <c r="C199" s="21">
        <f>Stress!E870</f>
        <v>-141.64350793631337</v>
      </c>
      <c r="D199" s="987" t="str">
        <f t="shared" si="8"/>
        <v>Negative</v>
      </c>
      <c r="E199" s="483">
        <f>IF(B199&lt;=0,(input!CL41-input!H41),(input!CM41-input!K41))/COS(ATAN(input!BP41))</f>
        <v>1956.3816153315704</v>
      </c>
      <c r="F199" s="21">
        <f>input!G41/SQRT(12*(1+E199*input!N41/(3*input!G41*input!H41)))</f>
        <v>806.03894790282448</v>
      </c>
      <c r="G199" s="577">
        <f>+(input!H41*(input!G41)^2)/6</f>
        <v>56066666.666666664</v>
      </c>
      <c r="H199" s="21">
        <f>IF(input!F41=1,0,(H133*1.25+K133*1.25+L133*1.5+1.5*N133)/G199*10^6)</f>
        <v>0</v>
      </c>
      <c r="I199" s="483">
        <f t="shared" si="10"/>
        <v>53863.067942135756</v>
      </c>
      <c r="J199" s="483">
        <f>1*F199*SQRT(Es/input!BI41)</f>
        <v>18948.458134927729</v>
      </c>
      <c r="K199" s="21">
        <f>IF(D199="Positive",IF(B133&lt;=IF(B199=0,0,1.2*J199*SQRT(1*1*input!BI41/ABS(B199))),H199,H199*MAX(0.85/(1-ABS(B199)/I199),1)),H199)</f>
        <v>0</v>
      </c>
      <c r="L199" s="483">
        <f>0.6*input!BI41</f>
        <v>228</v>
      </c>
      <c r="M199" s="484" t="str">
        <f>IF(ABS(K199)&lt;=0.6*input!BI41,"OK","NG")</f>
        <v>OK</v>
      </c>
      <c r="N199" s="607" t="str">
        <f>IF(K199=0,"Inf",0.6*input!BI41/ABS(K199))</f>
        <v>Inf</v>
      </c>
      <c r="Q199" s="463"/>
      <c r="R199" s="73"/>
      <c r="S199" s="463"/>
      <c r="T199" s="73"/>
      <c r="U199" s="73"/>
      <c r="V199" s="73"/>
      <c r="W199" s="73"/>
      <c r="X199" s="73"/>
      <c r="Y199" s="73"/>
      <c r="Z199" s="73"/>
      <c r="AA199" s="73"/>
      <c r="AC199" s="73"/>
      <c r="AD199" s="73"/>
      <c r="AF199" s="7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</row>
    <row r="200" spans="1:45" ht="15" customHeight="1">
      <c r="A200" s="482" t="str">
        <f t="shared" si="9"/>
        <v>120j</v>
      </c>
      <c r="B200" s="21">
        <f>+Stress!D871</f>
        <v>135.88633655415651</v>
      </c>
      <c r="C200" s="21">
        <f>Stress!E871</f>
        <v>-129.35699623484572</v>
      </c>
      <c r="D200" s="987" t="str">
        <f t="shared" si="8"/>
        <v>Negative</v>
      </c>
      <c r="E200" s="483">
        <f>IF(B200&lt;=0,(input!CL42-input!H42),(input!CM42-input!K42))/COS(ATAN(input!BP42))</f>
        <v>1956.3816153315704</v>
      </c>
      <c r="F200" s="21">
        <f>input!G42/SQRT(12*(1+E200*input!N42/(3*input!G42*input!H42)))</f>
        <v>806.03894790282448</v>
      </c>
      <c r="G200" s="577">
        <f>+(input!H42*(input!G42)^2)/6</f>
        <v>56066666.666666664</v>
      </c>
      <c r="H200" s="21">
        <f>IF(input!F42=1,0,(H134*1.25+K134*1.25+L134*1.5+1.5*N134)/G200*10^6)</f>
        <v>0</v>
      </c>
      <c r="I200" s="483">
        <f t="shared" si="10"/>
        <v>53863.067942135756</v>
      </c>
      <c r="J200" s="483">
        <f>1*F200*SQRT(Es/input!BI42)</f>
        <v>18948.458134927729</v>
      </c>
      <c r="K200" s="21">
        <f>IF(D200="Positive",IF(B134&lt;=IF(B200=0,0,1.2*J200*SQRT(1*1*input!BI42/ABS(B200))),H200,H200*MAX(0.85/(1-ABS(B200)/I200),1)),H200)</f>
        <v>0</v>
      </c>
      <c r="L200" s="483">
        <f>0.6*input!BI42</f>
        <v>228</v>
      </c>
      <c r="M200" s="484" t="str">
        <f>IF(ABS(K200)&lt;=0.6*input!BI42,"OK","NG")</f>
        <v>OK</v>
      </c>
      <c r="N200" s="607" t="str">
        <f>IF(K200=0,"Inf",0.6*input!BI42/ABS(K200))</f>
        <v>Inf</v>
      </c>
      <c r="Q200" s="463"/>
      <c r="R200" s="73"/>
      <c r="S200" s="463"/>
      <c r="T200" s="73"/>
      <c r="U200" s="73"/>
      <c r="V200" s="73"/>
      <c r="W200" s="73"/>
      <c r="X200" s="73"/>
      <c r="Y200" s="73"/>
      <c r="Z200" s="73"/>
      <c r="AA200" s="73"/>
      <c r="AC200" s="73"/>
      <c r="AD200" s="73"/>
      <c r="AF200" s="7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</row>
    <row r="201" spans="1:45" ht="15" customHeight="1">
      <c r="A201" s="482" t="str">
        <f t="shared" si="9"/>
        <v>121i</v>
      </c>
      <c r="B201" s="21">
        <f>+Stress!D872</f>
        <v>140.23644996885517</v>
      </c>
      <c r="C201" s="21">
        <f>Stress!E872</f>
        <v>-136.76807524343602</v>
      </c>
      <c r="D201" s="987" t="str">
        <f t="shared" si="8"/>
        <v>Negative</v>
      </c>
      <c r="E201" s="483">
        <f>IF(B201&lt;=0,(input!CL43-input!H43),(input!CM43-input!K43))/COS(ATAN(input!BP43))</f>
        <v>1895.553858535126</v>
      </c>
      <c r="F201" s="21">
        <f>input!G43/SQRT(12*(1+E201*input!N43/(3*input!G43*input!H43)))</f>
        <v>806.95477525969454</v>
      </c>
      <c r="G201" s="577">
        <f>+(input!H43*(input!G43)^2)/6</f>
        <v>56066666.666666664</v>
      </c>
      <c r="H201" s="21">
        <f>IF(input!F43=1,0,(H135*1.25+K135*1.25+L135*1.5+1.5*N135)/G201*10^6)</f>
        <v>0</v>
      </c>
      <c r="I201" s="483">
        <f t="shared" si="10"/>
        <v>53985.536702272941</v>
      </c>
      <c r="J201" s="483">
        <f>1*F201*SQRT(Es/input!BI43)</f>
        <v>18969.987511858737</v>
      </c>
      <c r="K201" s="21">
        <f>IF(D201="Positive",IF(B135&lt;=IF(B201=0,0,1.2*J201*SQRT(1*1*input!BI43/ABS(B201))),H201,H201*MAX(0.85/(1-ABS(B201)/I201),1)),H201)</f>
        <v>0</v>
      </c>
      <c r="L201" s="483">
        <f>0.6*input!BI43</f>
        <v>228</v>
      </c>
      <c r="M201" s="484" t="str">
        <f>IF(ABS(K201)&lt;=0.6*input!BI43,"OK","NG")</f>
        <v>OK</v>
      </c>
      <c r="N201" s="607" t="str">
        <f>IF(K201=0,"Inf",0.6*input!BI43/ABS(K201))</f>
        <v>Inf</v>
      </c>
      <c r="Q201" s="463"/>
      <c r="R201" s="73"/>
      <c r="S201" s="463"/>
      <c r="T201" s="73"/>
      <c r="U201" s="73"/>
      <c r="V201" s="73"/>
      <c r="W201" s="73"/>
      <c r="X201" s="73"/>
      <c r="Y201" s="73"/>
      <c r="Z201" s="73"/>
      <c r="AA201" s="73"/>
      <c r="AC201" s="73"/>
      <c r="AD201" s="73"/>
      <c r="AF201" s="7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</row>
    <row r="202" spans="1:45" ht="15" customHeight="1">
      <c r="A202" s="482" t="str">
        <f t="shared" si="9"/>
        <v>121j</v>
      </c>
      <c r="B202" s="21">
        <f>+Stress!D873</f>
        <v>112.94627367341826</v>
      </c>
      <c r="C202" s="21">
        <f>Stress!E873</f>
        <v>-109.57994496527135</v>
      </c>
      <c r="D202" s="987" t="str">
        <f t="shared" si="8"/>
        <v>Negative</v>
      </c>
      <c r="E202" s="483">
        <f>IF(B202&lt;=0,(input!CL44-input!H44),(input!CM44-input!K44))/COS(ATAN(input!BP44))</f>
        <v>1895.553858535126</v>
      </c>
      <c r="F202" s="21">
        <f>input!G44/SQRT(12*(1+E202*input!N44/(3*input!G44*input!H44)))</f>
        <v>806.95477525969454</v>
      </c>
      <c r="G202" s="577">
        <f>+(input!H44*(input!G44)^2)/6</f>
        <v>56066666.666666664</v>
      </c>
      <c r="H202" s="21">
        <f>IF(input!F44=1,0,(H136*1.25+K136*1.25+L136*1.5+1.5*N136)/G202*10^6)</f>
        <v>0</v>
      </c>
      <c r="I202" s="483">
        <f t="shared" si="10"/>
        <v>53985.536702272941</v>
      </c>
      <c r="J202" s="483">
        <f>1*F202*SQRT(Es/input!BI44)</f>
        <v>18969.987511858737</v>
      </c>
      <c r="K202" s="21">
        <f>IF(D202="Positive",IF(B136&lt;=IF(B202=0,0,1.2*J202*SQRT(1*1*input!BI44/ABS(B202))),H202,H202*MAX(0.85/(1-ABS(B202)/I202),1)),H202)</f>
        <v>0</v>
      </c>
      <c r="L202" s="483">
        <f>0.6*input!BI44</f>
        <v>228</v>
      </c>
      <c r="M202" s="484" t="str">
        <f>IF(ABS(K202)&lt;=0.6*input!BI44,"OK","NG")</f>
        <v>OK</v>
      </c>
      <c r="N202" s="607" t="str">
        <f>IF(K202=0,"Inf",0.6*input!BI44/ABS(K202))</f>
        <v>Inf</v>
      </c>
      <c r="Q202" s="463"/>
      <c r="R202" s="73"/>
      <c r="S202" s="463"/>
      <c r="T202" s="73"/>
      <c r="U202" s="73"/>
      <c r="V202" s="73"/>
      <c r="W202" s="73"/>
      <c r="X202" s="73"/>
      <c r="Y202" s="73"/>
      <c r="Z202" s="73"/>
      <c r="AA202" s="73"/>
      <c r="AC202" s="73"/>
      <c r="AD202" s="73"/>
      <c r="AF202" s="73"/>
      <c r="AG202" s="143"/>
      <c r="AH202" s="143"/>
      <c r="AI202" s="14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</row>
    <row r="203" spans="1:45" ht="15" customHeight="1">
      <c r="A203" s="482" t="str">
        <f t="shared" si="9"/>
        <v>122i</v>
      </c>
      <c r="B203" s="21">
        <f>+Stress!D874</f>
        <v>195.35240037707553</v>
      </c>
      <c r="C203" s="21">
        <f>Stress!E874</f>
        <v>-135.3665913393416</v>
      </c>
      <c r="D203" s="987" t="str">
        <f t="shared" si="8"/>
        <v>Negative</v>
      </c>
      <c r="E203" s="483">
        <f>IF(B203&lt;=0,(input!CL45-input!H45),(input!CM45-input!K45))/COS(ATAN(input!BP45))</f>
        <v>1489.6584460106824</v>
      </c>
      <c r="F203" s="21">
        <f>input!G45/SQRT(12*(1+E203*input!N45/(3*input!G45*input!H45)))</f>
        <v>212.04062063679714</v>
      </c>
      <c r="G203" s="577">
        <f>+(input!H45*(input!G45)^2)/6</f>
        <v>4266666.666666667</v>
      </c>
      <c r="H203" s="21">
        <f>IF(input!F45=1,0,(H137*1.25+K137*1.25+L137*1.5+1.5*N137)/G203*10^6)</f>
        <v>4.7028155802039491</v>
      </c>
      <c r="I203" s="483">
        <f t="shared" si="10"/>
        <v>3727.4958181845232</v>
      </c>
      <c r="J203" s="483">
        <f>1*F203*SQRT(Es/input!BI45)</f>
        <v>4984.6757820998391</v>
      </c>
      <c r="K203" s="21">
        <f>IF(D203="Positive",IF(B137&lt;=IF(B203=0,0,1.2*J203*SQRT(1*1*input!BI45/ABS(B203))),H203,H203*MAX(0.85/(1-ABS(B203)/I203),1)),H203)</f>
        <v>4.7028155802039491</v>
      </c>
      <c r="L203" s="483">
        <f>0.6*input!BI45</f>
        <v>228</v>
      </c>
      <c r="M203" s="484" t="str">
        <f>IF(ABS(K203)&lt;=0.6*input!BI45,"OK","NG")</f>
        <v>OK</v>
      </c>
      <c r="N203" s="607">
        <f>IF(K203=0,"Inf",0.6*input!BI45/ABS(K203))</f>
        <v>48.481594932138975</v>
      </c>
      <c r="Q203" s="463"/>
      <c r="R203" s="73"/>
      <c r="S203" s="463"/>
      <c r="T203" s="73"/>
      <c r="U203" s="73"/>
      <c r="V203" s="73"/>
      <c r="W203" s="73"/>
      <c r="X203" s="73"/>
      <c r="Y203" s="73"/>
      <c r="Z203" s="73"/>
      <c r="AA203" s="73"/>
      <c r="AC203" s="73"/>
      <c r="AD203" s="73"/>
      <c r="AF203" s="73"/>
      <c r="AG203" s="143"/>
      <c r="AH203" s="143"/>
      <c r="AI203" s="14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</row>
    <row r="204" spans="1:45" ht="15" customHeight="1">
      <c r="A204" s="482" t="str">
        <f t="shared" si="9"/>
        <v>122j</v>
      </c>
      <c r="B204" s="21">
        <f>+Stress!D875</f>
        <v>137.36490277605083</v>
      </c>
      <c r="C204" s="21">
        <f>Stress!E875</f>
        <v>-95.212095715053394</v>
      </c>
      <c r="D204" s="987" t="str">
        <f t="shared" si="8"/>
        <v>Negative</v>
      </c>
      <c r="E204" s="483">
        <f>IF(B204&lt;=0,(input!CL46-input!H46),(input!CM46-input!K46))/COS(ATAN(input!BP46))</f>
        <v>1489.6584460106824</v>
      </c>
      <c r="F204" s="21">
        <f>input!G46/SQRT(12*(1+E204*input!N46/(3*input!G46*input!H46)))</f>
        <v>212.04062063679714</v>
      </c>
      <c r="G204" s="577">
        <f>+(input!H46*(input!G46)^2)/6</f>
        <v>4266666.666666667</v>
      </c>
      <c r="H204" s="21">
        <f>IF(input!F46=1,0,(H138*1.25+K138*1.25+L138*1.5+1.5*N138)/G204*10^6)</f>
        <v>4.7028155802039491</v>
      </c>
      <c r="I204" s="483">
        <f t="shared" si="10"/>
        <v>3727.4958181845232</v>
      </c>
      <c r="J204" s="483">
        <f>1*F204*SQRT(Es/input!BI46)</f>
        <v>4984.6757820998391</v>
      </c>
      <c r="K204" s="21">
        <f>IF(D204="Positive",IF(B138&lt;=IF(B204=0,0,1.2*J204*SQRT(1*1*input!BI46/ABS(B204))),H204,H204*MAX(0.85/(1-ABS(B204)/I204),1)),H204)</f>
        <v>4.7028155802039491</v>
      </c>
      <c r="L204" s="483">
        <f>0.6*input!BI46</f>
        <v>228</v>
      </c>
      <c r="M204" s="484" t="str">
        <f>IF(ABS(K204)&lt;=0.6*input!BI46,"OK","NG")</f>
        <v>OK</v>
      </c>
      <c r="N204" s="607">
        <f>IF(K204=0,"Inf",0.6*input!BI46/ABS(K204))</f>
        <v>48.481594932138975</v>
      </c>
      <c r="Q204" s="463"/>
      <c r="R204" s="73"/>
      <c r="S204" s="463"/>
      <c r="T204" s="73"/>
      <c r="U204" s="73"/>
      <c r="V204" s="73"/>
      <c r="W204" s="73"/>
      <c r="X204" s="73"/>
      <c r="Y204" s="73"/>
      <c r="Z204" s="73"/>
      <c r="AA204" s="73"/>
      <c r="AC204" s="73"/>
      <c r="AD204" s="73"/>
      <c r="AF204" s="73"/>
      <c r="AG204" s="143"/>
      <c r="AH204" s="143"/>
      <c r="AI204" s="14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</row>
    <row r="205" spans="1:45" ht="15" customHeight="1">
      <c r="A205" s="482" t="str">
        <f t="shared" si="9"/>
        <v>123i</v>
      </c>
      <c r="B205" s="21">
        <f>+Stress!D876</f>
        <v>181.5717713727631</v>
      </c>
      <c r="C205" s="21">
        <f>Stress!E876</f>
        <v>-153.30009082338759</v>
      </c>
      <c r="D205" s="987" t="str">
        <f t="shared" si="8"/>
        <v>Negative</v>
      </c>
      <c r="E205" s="483">
        <f>IF(B205&lt;=0,(input!CL47-input!H47),(input!CM47-input!K47))/COS(ATAN(input!BP47))</f>
        <v>1300.2854794246994</v>
      </c>
      <c r="F205" s="21">
        <f>input!G47/SQRT(12*(1+E205*input!N47/(3*input!G47*input!H47)))</f>
        <v>157.02410645423384</v>
      </c>
      <c r="G205" s="577">
        <f>+(input!H47*(input!G47)^2)/6</f>
        <v>2400000</v>
      </c>
      <c r="H205" s="21">
        <f>IF(input!F47=1,0,(H139*1.25+K139*1.25+L139*1.5+1.5*N139)/G205*10^6)</f>
        <v>7.3353315951441704</v>
      </c>
      <c r="I205" s="483">
        <f t="shared" si="10"/>
        <v>2044.1449716598077</v>
      </c>
      <c r="J205" s="483">
        <f>1*F205*SQRT(Es/input!BI47)</f>
        <v>3691.3411133095683</v>
      </c>
      <c r="K205" s="21">
        <f>IF(D205="Positive",IF(B139&lt;=IF(B205=0,0,1.2*J205*SQRT(1*1*input!BI47/ABS(B205))),H205,H205*MAX(0.85/(1-ABS(B205)/I205),1)),H205)</f>
        <v>7.3353315951441704</v>
      </c>
      <c r="L205" s="483">
        <f>0.6*input!BI47</f>
        <v>228</v>
      </c>
      <c r="M205" s="484" t="str">
        <f>IF(ABS(K205)&lt;=0.6*input!BI47,"OK","NG")</f>
        <v>OK</v>
      </c>
      <c r="N205" s="607">
        <f>IF(K205=0,"Inf",0.6*input!BI47/ABS(K205))</f>
        <v>31.082439429313737</v>
      </c>
      <c r="Q205" s="463"/>
      <c r="R205" s="73"/>
      <c r="S205" s="463"/>
      <c r="T205" s="73"/>
      <c r="U205" s="73"/>
      <c r="V205" s="73"/>
      <c r="W205" s="73"/>
      <c r="X205" s="73"/>
      <c r="Y205" s="73"/>
      <c r="Z205" s="73"/>
      <c r="AA205" s="73"/>
      <c r="AC205" s="73"/>
      <c r="AD205" s="73"/>
      <c r="AF205" s="73"/>
      <c r="AG205" s="143"/>
      <c r="AH205" s="143"/>
      <c r="AI205" s="14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</row>
    <row r="206" spans="1:45" ht="15" customHeight="1">
      <c r="A206" s="482" t="str">
        <f t="shared" si="9"/>
        <v>123j</v>
      </c>
      <c r="B206" s="21">
        <f>+Stress!D877</f>
        <v>120.68945206524526</v>
      </c>
      <c r="C206" s="21">
        <f>Stress!E877</f>
        <v>-101.89746910076326</v>
      </c>
      <c r="D206" s="987" t="str">
        <f t="shared" si="8"/>
        <v>Negative</v>
      </c>
      <c r="E206" s="483">
        <f>IF(B206&lt;=0,(input!CL48-input!H48),(input!CM48-input!K48))/COS(ATAN(input!BP48))</f>
        <v>1300.2854794246994</v>
      </c>
      <c r="F206" s="21">
        <f>input!G48/SQRT(12*(1+E206*input!N48/(3*input!G48*input!H48)))</f>
        <v>157.02410645423384</v>
      </c>
      <c r="G206" s="577">
        <f>+(input!H48*(input!G48)^2)/6</f>
        <v>2400000</v>
      </c>
      <c r="H206" s="21">
        <f>IF(input!F48=1,0,(H140*1.25+K140*1.25+L140*1.5+1.5*N140)/G206*10^6)</f>
        <v>7.3353315951441704</v>
      </c>
      <c r="I206" s="483">
        <f t="shared" si="10"/>
        <v>2044.1449716598077</v>
      </c>
      <c r="J206" s="483">
        <f>1*F206*SQRT(Es/input!BI48)</f>
        <v>3691.3411133095683</v>
      </c>
      <c r="K206" s="21">
        <f>IF(D206="Positive",IF(B140&lt;=IF(B206=0,0,1.2*J206*SQRT(1*1*input!BI48/ABS(B206))),H206,H206*MAX(0.85/(1-ABS(B206)/I206),1)),H206)</f>
        <v>7.3353315951441704</v>
      </c>
      <c r="L206" s="483">
        <f>0.6*input!BI48</f>
        <v>228</v>
      </c>
      <c r="M206" s="484" t="str">
        <f>IF(ABS(K206)&lt;=0.6*input!BI48,"OK","NG")</f>
        <v>OK</v>
      </c>
      <c r="N206" s="607">
        <f>IF(K206=0,"Inf",0.6*input!BI48/ABS(K206))</f>
        <v>31.082439429313737</v>
      </c>
      <c r="Q206" s="463"/>
      <c r="R206" s="73"/>
      <c r="S206" s="463"/>
      <c r="T206" s="73"/>
      <c r="U206" s="73"/>
      <c r="V206" s="73"/>
      <c r="W206" s="73"/>
      <c r="X206" s="73"/>
      <c r="Y206" s="73"/>
      <c r="Z206" s="73"/>
      <c r="AA206" s="73"/>
      <c r="AC206" s="73"/>
      <c r="AD206" s="73"/>
      <c r="AF206" s="73"/>
      <c r="AG206" s="143"/>
      <c r="AH206" s="143"/>
      <c r="AI206" s="14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</row>
    <row r="207" spans="1:45" ht="15" customHeight="1">
      <c r="A207" s="482" t="str">
        <f t="shared" si="9"/>
        <v>124i</v>
      </c>
      <c r="B207" s="21">
        <f>+Stress!D878</f>
        <v>182.00878918606219</v>
      </c>
      <c r="C207" s="21">
        <f>Stress!E878</f>
        <v>-128.24113402576765</v>
      </c>
      <c r="D207" s="987" t="str">
        <f t="shared" si="8"/>
        <v>Negative</v>
      </c>
      <c r="E207" s="483">
        <f>IF(B207&lt;=0,(input!CL49-input!H49),(input!CM49-input!K49))/COS(ATAN(input!BP49))</f>
        <v>1163.0223311833704</v>
      </c>
      <c r="F207" s="21">
        <f>input!G49/SQRT(12*(1+E207*input!N49/(3*input!G49*input!H49)))</f>
        <v>123.86625272120141</v>
      </c>
      <c r="G207" s="577">
        <f>+(input!H49*(input!G49)^2)/6</f>
        <v>1083333.3333333333</v>
      </c>
      <c r="H207" s="21">
        <f>IF(input!F49=1,0,(H141*1.25+K141*1.25+L141*1.5+1.5*N141)/G207*10^6)</f>
        <v>15.889507411456828</v>
      </c>
      <c r="I207" s="483">
        <f t="shared" si="10"/>
        <v>1271.9939039180733</v>
      </c>
      <c r="J207" s="483">
        <f>1*F207*SQRT(Es/input!BI49)</f>
        <v>2911.8623983676589</v>
      </c>
      <c r="K207" s="21">
        <f>IF(D207="Positive",IF(B141&lt;=IF(B207=0,0,1.2*J207*SQRT(1*1*input!BI49/ABS(B207))),H207,H207*MAX(0.85/(1-ABS(B207)/I207),1)),H207)</f>
        <v>15.889507411456828</v>
      </c>
      <c r="L207" s="483">
        <f>0.6*input!BI49</f>
        <v>228</v>
      </c>
      <c r="M207" s="484" t="str">
        <f>IF(ABS(K207)&lt;=0.6*input!BI49,"OK","NG")</f>
        <v>OK</v>
      </c>
      <c r="N207" s="607">
        <f>IF(K207=0,"Inf",0.6*input!BI49/ABS(K207))</f>
        <v>14.349091768295153</v>
      </c>
      <c r="Q207" s="463"/>
      <c r="R207" s="73"/>
      <c r="S207" s="463"/>
      <c r="T207" s="73"/>
      <c r="U207" s="73"/>
      <c r="V207" s="73"/>
      <c r="W207" s="73"/>
      <c r="X207" s="73"/>
      <c r="Y207" s="73"/>
      <c r="Z207" s="73"/>
      <c r="AA207" s="73"/>
      <c r="AC207" s="73"/>
      <c r="AD207" s="73"/>
      <c r="AF207" s="73"/>
      <c r="AG207" s="143"/>
      <c r="AH207" s="143"/>
      <c r="AI207" s="14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</row>
    <row r="208" spans="1:45" ht="15" customHeight="1">
      <c r="A208" s="482" t="str">
        <f t="shared" si="9"/>
        <v>124j</v>
      </c>
      <c r="B208" s="21">
        <f>+Stress!D879</f>
        <v>105.10838141560447</v>
      </c>
      <c r="C208" s="21">
        <f>Stress!E879</f>
        <v>-74.058061089405044</v>
      </c>
      <c r="D208" s="987" t="str">
        <f t="shared" si="8"/>
        <v>Negative</v>
      </c>
      <c r="E208" s="483">
        <f>IF(B208&lt;=0,(input!CL50-input!H50),(input!CM50-input!K50))/COS(ATAN(input!BP50))</f>
        <v>1163.0223311833704</v>
      </c>
      <c r="F208" s="21">
        <f>input!G50/SQRT(12*(1+E208*input!N50/(3*input!G50*input!H50)))</f>
        <v>123.86625272120141</v>
      </c>
      <c r="G208" s="577">
        <f>+(input!H50*(input!G50)^2)/6</f>
        <v>1083333.3333333333</v>
      </c>
      <c r="H208" s="21">
        <f>IF(input!F50=1,0,(H142*1.25+K142*1.25+L142*1.5+1.5*N142)/G208*10^6)</f>
        <v>15.889507411456828</v>
      </c>
      <c r="I208" s="483">
        <f t="shared" si="10"/>
        <v>1271.9939039180733</v>
      </c>
      <c r="J208" s="483">
        <f>1*F208*SQRT(Es/input!BI50)</f>
        <v>2911.8623983676589</v>
      </c>
      <c r="K208" s="21">
        <f>IF(D208="Positive",IF(B142&lt;=IF(B208=0,0,1.2*J208*SQRT(1*1*input!BI50/ABS(B208))),H208,H208*MAX(0.85/(1-ABS(B208)/I208),1)),H208)</f>
        <v>15.889507411456828</v>
      </c>
      <c r="L208" s="483">
        <f>0.6*input!BI50</f>
        <v>228</v>
      </c>
      <c r="M208" s="484" t="str">
        <f>IF(ABS(K208)&lt;=0.6*input!BI50,"OK","NG")</f>
        <v>OK</v>
      </c>
      <c r="N208" s="607">
        <f>IF(K208=0,"Inf",0.6*input!BI50/ABS(K208))</f>
        <v>14.349091768295153</v>
      </c>
      <c r="Q208" s="463"/>
      <c r="R208" s="73"/>
      <c r="S208" s="463"/>
      <c r="T208" s="73"/>
      <c r="U208" s="73"/>
      <c r="V208" s="73"/>
      <c r="W208" s="73"/>
      <c r="X208" s="73"/>
      <c r="Y208" s="73"/>
      <c r="Z208" s="73"/>
      <c r="AA208" s="73"/>
      <c r="AC208" s="73"/>
      <c r="AD208" s="73"/>
      <c r="AF208" s="73"/>
      <c r="AG208" s="143"/>
      <c r="AH208" s="143"/>
      <c r="AI208" s="14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</row>
    <row r="209" spans="1:45" ht="15" customHeight="1">
      <c r="A209" s="971" t="str">
        <f t="shared" si="9"/>
        <v>125i</v>
      </c>
      <c r="B209" s="976">
        <f>+Stress!D880</f>
        <v>118.80735870848579</v>
      </c>
      <c r="C209" s="976">
        <f>Stress!E880</f>
        <v>-90.242298949241828</v>
      </c>
      <c r="D209" s="988" t="str">
        <f t="shared" si="8"/>
        <v>Negative</v>
      </c>
      <c r="E209" s="929">
        <f>IF(B209&lt;=0,(input!CL51-input!H51),(input!CM51-input!K51))/COS(ATAN(input!BP51))</f>
        <v>1217.3683735996465</v>
      </c>
      <c r="F209" s="976">
        <f>input!G51/SQRT(12*(1+E209*input!N51/(3*input!G51*input!H51)))</f>
        <v>120.16955826651002</v>
      </c>
      <c r="G209" s="989">
        <f>+(input!H51*(input!G51)^2)/6</f>
        <v>916666.66666666663</v>
      </c>
      <c r="H209" s="976">
        <f>IF(input!F51=1,0,(H143*1.25+K143*1.25+L143*1.5+1.5*N143)/G209*10^6)</f>
        <v>18.560515151039887</v>
      </c>
      <c r="I209" s="929">
        <f t="shared" si="10"/>
        <v>1197.2034534606985</v>
      </c>
      <c r="J209" s="483">
        <f>1*F209*SQRT(Es/input!BI51)</f>
        <v>2824.96007150791</v>
      </c>
      <c r="K209" s="21">
        <f>IF(D209="Positive",IF(B143&lt;=IF(B209=0,0,1.2*J209*SQRT(1*1*input!BI51/ABS(B209))),H209,H209*MAX(0.85/(1-ABS(B209)/I209),1)),H209)</f>
        <v>18.560515151039887</v>
      </c>
      <c r="L209" s="483">
        <f>0.6*input!BI51</f>
        <v>228</v>
      </c>
      <c r="M209" s="484" t="str">
        <f>IF(ABS(K209)&lt;=0.6*input!BI51,"OK","NG")</f>
        <v>OK</v>
      </c>
      <c r="N209" s="607">
        <f>IF(K209=0,"Inf",0.6*input!BI51/ABS(K209))</f>
        <v>12.284141800192755</v>
      </c>
      <c r="Q209" s="463"/>
      <c r="R209" s="73"/>
      <c r="S209" s="463"/>
      <c r="T209" s="73"/>
      <c r="U209" s="73"/>
      <c r="V209" s="73"/>
      <c r="W209" s="73"/>
      <c r="X209" s="73"/>
      <c r="Y209" s="73"/>
      <c r="Z209" s="73"/>
      <c r="AA209" s="73"/>
      <c r="AC209" s="73"/>
      <c r="AD209" s="73"/>
      <c r="AF209" s="73"/>
      <c r="AG209" s="143"/>
      <c r="AH209" s="143"/>
      <c r="AI209" s="14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</row>
    <row r="210" spans="1:45" ht="15" customHeight="1">
      <c r="A210" s="979" t="str">
        <f t="shared" si="9"/>
        <v>125j</v>
      </c>
      <c r="B210" s="984">
        <f>+Stress!D881</f>
        <v>54.732700876711668</v>
      </c>
      <c r="C210" s="984">
        <f>Stress!E881</f>
        <v>-41.573222471301882</v>
      </c>
      <c r="D210" s="991" t="str">
        <f t="shared" si="8"/>
        <v>Negative</v>
      </c>
      <c r="E210" s="931">
        <f>IF(B210&lt;=0,(input!CL52-input!H52),(input!CM52-input!K52))/COS(ATAN(input!BP52))</f>
        <v>1217.3683735996465</v>
      </c>
      <c r="F210" s="984">
        <f>input!G52/SQRT(12*(1+E210*input!N52/(3*input!G52*input!H52)))</f>
        <v>120.16955826651002</v>
      </c>
      <c r="G210" s="992">
        <f>+(input!H52*(input!G52)^2)/6</f>
        <v>916666.66666666663</v>
      </c>
      <c r="H210" s="984">
        <f>IF(input!F52=1,0,(H144*1.25+K144*1.25+L144*1.5+1.5*N144)/G210*10^6)</f>
        <v>18.560515151039887</v>
      </c>
      <c r="I210" s="931">
        <f t="shared" si="10"/>
        <v>1197.2034534606985</v>
      </c>
      <c r="J210" s="483">
        <f>1*F210*SQRT(Es/input!BI52)</f>
        <v>2824.96007150791</v>
      </c>
      <c r="K210" s="21">
        <f>IF(D210="Positive",IF(B144&lt;=IF(B210=0,0,1.2*J210*SQRT(1*1*input!BI52/ABS(B210))),H210,H210*MAX(0.85/(1-ABS(B210)/I210),1)),H210)</f>
        <v>18.560515151039887</v>
      </c>
      <c r="L210" s="483">
        <f>0.6*input!BI52</f>
        <v>228</v>
      </c>
      <c r="M210" s="484" t="str">
        <f>IF(ABS(K210)&lt;=0.6*input!BI52,"OK","NG")</f>
        <v>OK</v>
      </c>
      <c r="N210" s="607">
        <f>IF(K210=0,"Inf",0.6*input!BI52/ABS(K210))</f>
        <v>12.284141800192755</v>
      </c>
      <c r="Q210" s="463"/>
      <c r="R210" s="73"/>
      <c r="S210" s="463"/>
      <c r="T210" s="73"/>
      <c r="U210" s="73"/>
      <c r="V210" s="73"/>
      <c r="W210" s="73"/>
      <c r="X210" s="73"/>
      <c r="Y210" s="73"/>
      <c r="Z210" s="73"/>
      <c r="AA210" s="73"/>
      <c r="AC210" s="73"/>
      <c r="AD210" s="73"/>
      <c r="AF210" s="7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</row>
    <row r="211" spans="1:45" ht="15" customHeight="1">
      <c r="A211" s="482" t="str">
        <f t="shared" si="9"/>
        <v>126i</v>
      </c>
      <c r="B211" s="21">
        <f>+Stress!D882</f>
        <v>54.732700876711668</v>
      </c>
      <c r="C211" s="21">
        <f>Stress!E882</f>
        <v>-41.573222471301882</v>
      </c>
      <c r="D211" s="987" t="str">
        <f t="shared" si="8"/>
        <v>Negative</v>
      </c>
      <c r="E211" s="483">
        <f>IF(B211&lt;=0,(input!CL53-input!H53),(input!CM53-input!K53))/COS(ATAN(input!BP53))</f>
        <v>1217.3683735996465</v>
      </c>
      <c r="F211" s="21">
        <f>input!G53/SQRT(12*(1+E211*input!N53/(3*input!G53*input!H53)))</f>
        <v>120.16955826651002</v>
      </c>
      <c r="G211" s="577">
        <f>+(input!H53*(input!G53)^2)/6</f>
        <v>916666.66666666663</v>
      </c>
      <c r="H211" s="21">
        <f>IF(input!F53=1,0,(H145*1.25+K145*1.25+L145*1.5+1.5*N145)/G211*10^6)</f>
        <v>18.560515151039887</v>
      </c>
      <c r="I211" s="483">
        <f t="shared" si="10"/>
        <v>1197.2034534606985</v>
      </c>
      <c r="J211" s="483">
        <f>1*F211*SQRT(Es/input!BI53)</f>
        <v>2824.96007150791</v>
      </c>
      <c r="K211" s="21">
        <f>IF(D211="Positive",IF(B145&lt;=IF(B211=0,0,1.2*J211*SQRT(1*1*input!BI53/ABS(B211))),H211,H211*MAX(0.85/(1-ABS(B211)/I211),1)),H211)</f>
        <v>18.560515151039887</v>
      </c>
      <c r="L211" s="483">
        <f>0.6*input!BI53</f>
        <v>228</v>
      </c>
      <c r="M211" s="484" t="str">
        <f>IF(ABS(K211)&lt;=0.6*input!BI53,"OK","NG")</f>
        <v>OK</v>
      </c>
      <c r="N211" s="607">
        <f>IF(K211=0,"Inf",0.6*input!BI53/ABS(K211))</f>
        <v>12.284141800192755</v>
      </c>
      <c r="Q211" s="463"/>
      <c r="R211" s="73"/>
      <c r="S211" s="463"/>
      <c r="T211" s="73"/>
      <c r="U211" s="73"/>
      <c r="V211" s="73"/>
      <c r="W211" s="73"/>
      <c r="X211" s="73"/>
      <c r="Y211" s="73"/>
      <c r="Z211" s="73"/>
      <c r="AA211" s="73"/>
      <c r="AC211" s="73"/>
      <c r="AD211" s="73"/>
      <c r="AF211" s="7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</row>
    <row r="212" spans="1:45" ht="15" customHeight="1">
      <c r="A212" s="482" t="str">
        <f t="shared" si="9"/>
        <v>126j</v>
      </c>
      <c r="B212" s="21">
        <f>+Stress!D883</f>
        <v>6.3753641260380745</v>
      </c>
      <c r="C212" s="21">
        <f>Stress!E883</f>
        <v>-4.8425242478781501</v>
      </c>
      <c r="D212" s="987" t="str">
        <f t="shared" si="8"/>
        <v>Negative</v>
      </c>
      <c r="E212" s="483">
        <f>IF(B212&lt;=0,(input!CL54-input!H54),(input!CM54-input!K54))/COS(ATAN(input!BP54))</f>
        <v>1217.3683735996465</v>
      </c>
      <c r="F212" s="21">
        <f>input!G54/SQRT(12*(1+E212*input!N54/(3*input!G54*input!H54)))</f>
        <v>120.16955826651002</v>
      </c>
      <c r="G212" s="577">
        <f>+(input!H54*(input!G54)^2)/6</f>
        <v>916666.66666666663</v>
      </c>
      <c r="H212" s="21">
        <f>IF(input!F54=1,0,(H146*1.25+K146*1.25+L146*1.5+1.5*N146)/G212*10^6)</f>
        <v>18.560515151039887</v>
      </c>
      <c r="I212" s="483">
        <f t="shared" si="10"/>
        <v>1197.2034534606985</v>
      </c>
      <c r="J212" s="483">
        <f>1*F212*SQRT(Es/input!BI54)</f>
        <v>2824.96007150791</v>
      </c>
      <c r="K212" s="21">
        <f>IF(D212="Positive",IF(B146&lt;=IF(B212=0,0,1.2*J212*SQRT(1*1*input!BI54/ABS(B212))),H212,H212*MAX(0.85/(1-ABS(B212)/I212),1)),H212)</f>
        <v>18.560515151039887</v>
      </c>
      <c r="L212" s="483">
        <f>0.6*input!BI54</f>
        <v>228</v>
      </c>
      <c r="M212" s="484" t="str">
        <f>IF(ABS(K212)&lt;=0.6*input!BI54,"OK","NG")</f>
        <v>OK</v>
      </c>
      <c r="N212" s="607">
        <f>IF(K212=0,"Inf",0.6*input!BI54/ABS(K212))</f>
        <v>12.284141800192755</v>
      </c>
      <c r="Q212" s="463"/>
      <c r="R212" s="73"/>
      <c r="S212" s="463"/>
      <c r="T212" s="73"/>
      <c r="U212" s="73"/>
      <c r="V212" s="73"/>
      <c r="W212" s="73"/>
      <c r="X212" s="73"/>
      <c r="Y212" s="73"/>
      <c r="Z212" s="73"/>
      <c r="AA212" s="73"/>
      <c r="AC212" s="73"/>
      <c r="AD212" s="73"/>
      <c r="AF212" s="73"/>
      <c r="AG212" s="143"/>
      <c r="AH212" s="143"/>
      <c r="AI212" s="143"/>
      <c r="AJ212" s="143"/>
      <c r="AK212" s="143"/>
      <c r="AL212" s="143"/>
      <c r="AM212" s="143"/>
      <c r="AN212" s="143"/>
      <c r="AO212" s="143"/>
      <c r="AP212" s="143"/>
      <c r="AQ212" s="143"/>
      <c r="AR212" s="143"/>
      <c r="AS212" s="143"/>
    </row>
    <row r="213" spans="1:45" ht="15" customHeight="1">
      <c r="A213" s="482" t="str">
        <f t="shared" si="9"/>
        <v>127i</v>
      </c>
      <c r="B213" s="21">
        <f>+Stress!D884</f>
        <v>6.833395799993057</v>
      </c>
      <c r="C213" s="21">
        <f>Stress!E884</f>
        <v>-6.5311181896425641</v>
      </c>
      <c r="D213" s="987" t="str">
        <f t="shared" si="8"/>
        <v>Negative</v>
      </c>
      <c r="E213" s="483">
        <f>IF(B213&lt;=0,(input!CL55-input!H55),(input!CM55-input!K55))/COS(ATAN(input!BP55))</f>
        <v>1384.665572725839</v>
      </c>
      <c r="F213" s="21">
        <f>input!G55/SQRT(12*(1+E213*input!N55/(3*input!G55*input!H55)))</f>
        <v>117.71329980442997</v>
      </c>
      <c r="G213" s="577">
        <f>+(input!H55*(input!G55)^2)/6</f>
        <v>916666.66666666663</v>
      </c>
      <c r="H213" s="21">
        <f>IF(input!F55=1,0,(H147*1.25+K147*1.25+L147*1.5+1.5*N147)/G213*10^6)</f>
        <v>18.344194128312612</v>
      </c>
      <c r="I213" s="483">
        <f t="shared" si="10"/>
        <v>1148.7621028785918</v>
      </c>
      <c r="J213" s="483">
        <f>1*F213*SQRT(Es/input!BI55)</f>
        <v>2767.218059464471</v>
      </c>
      <c r="K213" s="21">
        <f>IF(D213="Positive",IF(B147&lt;=IF(B213=0,0,1.2*J213*SQRT(1*1*input!BI55/ABS(B213))),H213,H213*MAX(0.85/(1-ABS(B213)/I213),1)),H213)</f>
        <v>18.344194128312612</v>
      </c>
      <c r="L213" s="483">
        <f>0.6*input!BI55</f>
        <v>228</v>
      </c>
      <c r="M213" s="484" t="str">
        <f>IF(ABS(K213)&lt;=0.6*input!BI55,"OK","NG")</f>
        <v>OK</v>
      </c>
      <c r="N213" s="607">
        <f>IF(K213=0,"Inf",0.6*input!BI55/ABS(K213))</f>
        <v>12.429000609413663</v>
      </c>
      <c r="Q213" s="463"/>
      <c r="R213" s="73"/>
      <c r="S213" s="463"/>
      <c r="T213" s="73"/>
      <c r="U213" s="73"/>
      <c r="V213" s="73"/>
      <c r="W213" s="73"/>
      <c r="X213" s="73"/>
      <c r="Y213" s="73"/>
      <c r="Z213" s="73"/>
      <c r="AA213" s="73"/>
      <c r="AC213" s="73"/>
      <c r="AD213" s="73"/>
      <c r="AF213" s="73"/>
      <c r="AG213" s="143"/>
      <c r="AH213" s="143"/>
      <c r="AI213" s="143"/>
      <c r="AJ213" s="143"/>
      <c r="AK213" s="143"/>
      <c r="AL213" s="143"/>
      <c r="AM213" s="143"/>
      <c r="AN213" s="143"/>
      <c r="AO213" s="143"/>
      <c r="AP213" s="143"/>
      <c r="AQ213" s="143"/>
      <c r="AR213" s="143"/>
      <c r="AS213" s="143"/>
    </row>
    <row r="214" spans="1:45" ht="15" customHeight="1">
      <c r="A214" s="482" t="str">
        <f t="shared" si="9"/>
        <v>127j</v>
      </c>
      <c r="B214" s="21">
        <f>+Stress!D885</f>
        <v>-22.047176849028361</v>
      </c>
      <c r="C214" s="21">
        <f>Stress!E885</f>
        <v>21.071912408337575</v>
      </c>
      <c r="D214" s="987" t="str">
        <f t="shared" si="8"/>
        <v>Positive</v>
      </c>
      <c r="E214" s="483">
        <f>IF(B214&lt;=0,(input!CL56-input!H56),(input!CM56-input!K56))/COS(ATAN(input!BP56))</f>
        <v>1437.1246391786535</v>
      </c>
      <c r="F214" s="21">
        <f>input!G56/SQRT(12*(1+E214*input!N56/(3*input!G56*input!H56)))</f>
        <v>116.97358054634682</v>
      </c>
      <c r="G214" s="577">
        <f>+(input!H56*(input!G56)^2)/6</f>
        <v>916666.66666666663</v>
      </c>
      <c r="H214" s="21">
        <f>IF(input!F56=1,0,(H148*1.25+K148*1.25+L148*1.5+1.5*N148)/G214*10^6)</f>
        <v>18.344194128312612</v>
      </c>
      <c r="I214" s="483">
        <f t="shared" si="10"/>
        <v>1134.369651569762</v>
      </c>
      <c r="J214" s="483">
        <f>1*F214*SQRT(Es/input!BI56)</f>
        <v>2749.828652377063</v>
      </c>
      <c r="K214" s="21">
        <f>IF(D214="Positive",IF(B148&lt;=IF(B214=0,0,1.2*J214*SQRT(1*1*input!BI56/ABS(B214))),H214,H214*MAX(0.85/(1-ABS(B214)/I214),1)),H214)</f>
        <v>18.344194128312612</v>
      </c>
      <c r="L214" s="483">
        <f>0.6*input!BI56</f>
        <v>228</v>
      </c>
      <c r="M214" s="484" t="str">
        <f>IF(ABS(K214)&lt;=0.6*input!BI56,"OK","NG")</f>
        <v>OK</v>
      </c>
      <c r="N214" s="607">
        <f>IF(K214=0,"Inf",0.6*input!BI56/ABS(K214))</f>
        <v>12.429000609413663</v>
      </c>
      <c r="Q214" s="463"/>
      <c r="R214" s="73"/>
      <c r="S214" s="463"/>
      <c r="T214" s="73"/>
      <c r="U214" s="73"/>
      <c r="V214" s="73"/>
      <c r="W214" s="73"/>
      <c r="X214" s="73"/>
      <c r="Y214" s="73"/>
      <c r="Z214" s="73"/>
      <c r="AA214" s="73"/>
      <c r="AC214" s="73"/>
      <c r="AD214" s="73"/>
      <c r="AF214" s="73"/>
      <c r="AG214" s="143"/>
      <c r="AH214" s="143"/>
      <c r="AI214" s="143"/>
      <c r="AJ214" s="143"/>
      <c r="AK214" s="143"/>
      <c r="AL214" s="143"/>
      <c r="AM214" s="143"/>
      <c r="AN214" s="143"/>
      <c r="AO214" s="143"/>
      <c r="AP214" s="143"/>
      <c r="AQ214" s="143"/>
      <c r="AR214" s="143"/>
      <c r="AS214" s="143"/>
    </row>
    <row r="215" spans="1:45" ht="15" customHeight="1">
      <c r="A215" s="482" t="str">
        <f t="shared" si="9"/>
        <v>128i</v>
      </c>
      <c r="B215" s="21">
        <f>+Stress!D886</f>
        <v>-22.047176849028361</v>
      </c>
      <c r="C215" s="21">
        <f>Stress!E886</f>
        <v>21.587072413656848</v>
      </c>
      <c r="D215" s="987" t="str">
        <f t="shared" si="8"/>
        <v>Positive</v>
      </c>
      <c r="E215" s="483">
        <f>IF(B215&lt;=0,(input!CL57-input!H57),(input!CM57-input!K57))/COS(ATAN(input!BP57))</f>
        <v>1437.1246391786535</v>
      </c>
      <c r="F215" s="21">
        <f>input!G57/SQRT(12*(1+E215*input!N57/(3*input!G57*input!H57)))</f>
        <v>116.97358054634682</v>
      </c>
      <c r="G215" s="577">
        <f>+(input!H57*(input!G57)^2)/6</f>
        <v>916666.66666666663</v>
      </c>
      <c r="H215" s="21">
        <f>IF(input!F57=1,0,(H149*1.25+K149*1.25+L149*1.5+1.5*N149)/G215*10^6)</f>
        <v>18.344194128312612</v>
      </c>
      <c r="I215" s="483">
        <f t="shared" si="10"/>
        <v>1134.369651569762</v>
      </c>
      <c r="J215" s="483">
        <f>1*F215*SQRT(Es/input!BI57)</f>
        <v>2749.828652377063</v>
      </c>
      <c r="K215" s="21">
        <f>IF(D215="Positive",IF(B149&lt;=IF(B215=0,0,1.2*J215*SQRT(1*1*input!BI57/ABS(B215))),H215,H215*MAX(0.85/(1-ABS(B215)/I215),1)),H215)</f>
        <v>18.344194128312612</v>
      </c>
      <c r="L215" s="483">
        <f>0.6*input!BI57</f>
        <v>228</v>
      </c>
      <c r="M215" s="484" t="str">
        <f>IF(ABS(K215)&lt;=0.6*input!BI57,"OK","NG")</f>
        <v>OK</v>
      </c>
      <c r="N215" s="607">
        <f>IF(K215=0,"Inf",0.6*input!BI57/ABS(K215))</f>
        <v>12.429000609413663</v>
      </c>
      <c r="Q215" s="463"/>
      <c r="R215" s="73"/>
      <c r="S215" s="463"/>
      <c r="T215" s="73"/>
      <c r="U215" s="73"/>
      <c r="V215" s="73"/>
      <c r="W215" s="73"/>
      <c r="X215" s="73"/>
      <c r="Y215" s="73"/>
      <c r="Z215" s="73"/>
      <c r="AA215" s="73"/>
      <c r="AC215" s="73"/>
      <c r="AD215" s="73"/>
      <c r="AF215" s="73"/>
      <c r="AG215" s="143"/>
      <c r="AH215" s="143"/>
      <c r="AI215" s="143"/>
      <c r="AJ215" s="143"/>
      <c r="AK215" s="143"/>
      <c r="AL215" s="143"/>
      <c r="AM215" s="143"/>
      <c r="AN215" s="143"/>
      <c r="AO215" s="143"/>
      <c r="AP215" s="143"/>
      <c r="AQ215" s="143"/>
      <c r="AR215" s="143"/>
      <c r="AS215" s="143"/>
    </row>
    <row r="216" spans="1:45" ht="15" customHeight="1">
      <c r="A216" s="482" t="str">
        <f t="shared" si="9"/>
        <v>128j</v>
      </c>
      <c r="B216" s="21">
        <f>+Stress!D887</f>
        <v>-34.662470817440934</v>
      </c>
      <c r="C216" s="21">
        <f>Stress!E887</f>
        <v>33.129164514950688</v>
      </c>
      <c r="D216" s="987" t="str">
        <f t="shared" si="8"/>
        <v>Positive</v>
      </c>
      <c r="E216" s="483">
        <f>IF(B216&lt;=0,(input!CL58-input!H58),(input!CM58-input!K58))/COS(ATAN(input!BP58))</f>
        <v>1437.1246391786535</v>
      </c>
      <c r="F216" s="21">
        <f>input!G58/SQRT(12*(1+E216*input!N58/(3*input!G58*input!H58)))</f>
        <v>116.97358054634682</v>
      </c>
      <c r="G216" s="577">
        <f>+(input!H58*(input!G58)^2)/6</f>
        <v>916666.66666666663</v>
      </c>
      <c r="H216" s="21">
        <f>IF(input!F58=1,0,(H150*1.25+K150*1.25+L150*1.5+1.5*N150)/G216*10^6)</f>
        <v>18.344194128312612</v>
      </c>
      <c r="I216" s="483">
        <f t="shared" si="10"/>
        <v>1134.369651569762</v>
      </c>
      <c r="J216" s="483">
        <f>1*F216*SQRT(Es/input!BI58)</f>
        <v>2749.828652377063</v>
      </c>
      <c r="K216" s="21">
        <f>IF(D216="Positive",IF(B150&lt;=IF(B216=0,0,1.2*J216*SQRT(1*1*input!BI58/ABS(B216))),H216,H216*MAX(0.85/(1-ABS(B216)/I216),1)),H216)</f>
        <v>18.344194128312612</v>
      </c>
      <c r="L216" s="483">
        <f>0.6*input!BI58</f>
        <v>228</v>
      </c>
      <c r="M216" s="484" t="str">
        <f>IF(ABS(K216)&lt;=0.6*input!BI58,"OK","NG")</f>
        <v>OK</v>
      </c>
      <c r="N216" s="607">
        <f>IF(K216=0,"Inf",0.6*input!BI58/ABS(K216))</f>
        <v>12.429000609413663</v>
      </c>
      <c r="Q216" s="463"/>
      <c r="R216" s="73"/>
      <c r="S216" s="463"/>
      <c r="T216" s="73"/>
      <c r="U216" s="73"/>
      <c r="V216" s="73"/>
      <c r="W216" s="73"/>
      <c r="X216" s="73"/>
      <c r="Y216" s="73"/>
      <c r="Z216" s="73"/>
      <c r="AA216" s="73"/>
      <c r="AC216" s="73"/>
      <c r="AD216" s="73"/>
      <c r="AF216" s="7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</row>
    <row r="217" spans="1:45" ht="15" customHeight="1">
      <c r="A217" s="482" t="str">
        <f t="shared" si="9"/>
        <v>129i</v>
      </c>
      <c r="B217" s="21">
        <f>+Stress!D888</f>
        <v>-34.66260469796444</v>
      </c>
      <c r="C217" s="21">
        <f>Stress!E888</f>
        <v>33.129292473223245</v>
      </c>
      <c r="D217" s="987" t="str">
        <f t="shared" si="8"/>
        <v>Positive</v>
      </c>
      <c r="E217" s="483">
        <f>IF(B217&lt;=0,(input!CL59-input!H59),(input!CM59-input!K59))/COS(ATAN(input!BP59))</f>
        <v>1437.1246391786535</v>
      </c>
      <c r="F217" s="21">
        <f>input!G59/SQRT(12*(1+E217*input!N59/(3*input!G59*input!H59)))</f>
        <v>116.97358054634682</v>
      </c>
      <c r="G217" s="577">
        <f>+(input!H59*(input!G59)^2)/6</f>
        <v>916666.66666666663</v>
      </c>
      <c r="H217" s="21">
        <f>IF(input!F59=1,0,(H151*1.25+K151*1.25+L151*1.5+1.5*N151)/G217*10^6)</f>
        <v>18.344194128312612</v>
      </c>
      <c r="I217" s="483">
        <f t="shared" si="10"/>
        <v>1134.369651569762</v>
      </c>
      <c r="J217" s="483">
        <f>1*F217*SQRT(Es/input!BI59)</f>
        <v>2749.828652377063</v>
      </c>
      <c r="K217" s="21">
        <f>IF(D217="Positive",IF(B151&lt;=IF(B217=0,0,1.2*J217*SQRT(1*1*input!BI59/ABS(B217))),H217,H217*MAX(0.85/(1-ABS(B217)/I217),1)),H217)</f>
        <v>18.344194128312612</v>
      </c>
      <c r="L217" s="483">
        <f>0.6*input!BI59</f>
        <v>228</v>
      </c>
      <c r="M217" s="484" t="str">
        <f>IF(ABS(K217)&lt;=0.6*input!BI59,"OK","NG")</f>
        <v>OK</v>
      </c>
      <c r="N217" s="607">
        <f>IF(K217=0,"Inf",0.6*input!BI59/ABS(K217))</f>
        <v>12.429000609413663</v>
      </c>
      <c r="Q217" s="463"/>
      <c r="R217" s="73"/>
      <c r="S217" s="463"/>
      <c r="T217" s="73"/>
      <c r="U217" s="73"/>
      <c r="V217" s="73"/>
      <c r="W217" s="73"/>
      <c r="X217" s="73"/>
      <c r="Y217" s="73"/>
      <c r="Z217" s="73"/>
      <c r="AA217" s="73"/>
      <c r="AC217" s="73"/>
      <c r="AD217" s="73"/>
      <c r="AF217" s="7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</row>
    <row r="218" spans="1:45" ht="15" customHeight="1">
      <c r="A218" s="482" t="str">
        <f t="shared" si="9"/>
        <v>129j</v>
      </c>
      <c r="B218" s="21">
        <f>+Stress!D889</f>
        <v>-17.594980040016605</v>
      </c>
      <c r="C218" s="21">
        <f>Stress!E889</f>
        <v>16.816660054414978</v>
      </c>
      <c r="D218" s="987" t="str">
        <f t="shared" si="8"/>
        <v>Positive</v>
      </c>
      <c r="E218" s="483">
        <f>IF(B218&lt;=0,(input!CL60-input!H60),(input!CM60-input!K60))/COS(ATAN(input!BP60))</f>
        <v>1437.1246391786535</v>
      </c>
      <c r="F218" s="21">
        <f>input!G60/SQRT(12*(1+E218*input!N60/(3*input!G60*input!H60)))</f>
        <v>116.97358054634682</v>
      </c>
      <c r="G218" s="577">
        <f>+(input!H60*(input!G60)^2)/6</f>
        <v>916666.66666666663</v>
      </c>
      <c r="H218" s="21">
        <f>IF(input!F60=1,0,(H152*1.25+K152*1.25+L152*1.5+1.5*N152)/G218*10^6)</f>
        <v>18.344194128312612</v>
      </c>
      <c r="I218" s="483">
        <f t="shared" si="10"/>
        <v>1134.369651569762</v>
      </c>
      <c r="J218" s="483">
        <f>1*F218*SQRT(Es/input!BI60)</f>
        <v>2749.828652377063</v>
      </c>
      <c r="K218" s="21">
        <f>IF(D218="Positive",IF(B152&lt;=IF(B218=0,0,1.2*J218*SQRT(1*1*input!BI60/ABS(B218))),H218,H218*MAX(0.85/(1-ABS(B218)/I218),1)),H218)</f>
        <v>18.344194128312612</v>
      </c>
      <c r="L218" s="483">
        <f>0.6*input!BI60</f>
        <v>228</v>
      </c>
      <c r="M218" s="484" t="str">
        <f>IF(ABS(K218)&lt;=0.6*input!BI60,"OK","NG")</f>
        <v>OK</v>
      </c>
      <c r="N218" s="607">
        <f>IF(K218=0,"Inf",0.6*input!BI60/ABS(K218))</f>
        <v>12.429000609413663</v>
      </c>
      <c r="Q218" s="463"/>
      <c r="R218" s="73"/>
      <c r="S218" s="463"/>
      <c r="T218" s="73"/>
      <c r="U218" s="73"/>
      <c r="V218" s="73"/>
      <c r="W218" s="73"/>
      <c r="X218" s="73"/>
      <c r="Y218" s="73"/>
      <c r="Z218" s="73"/>
      <c r="AA218" s="73"/>
      <c r="AC218" s="73"/>
      <c r="AD218" s="73"/>
      <c r="AF218" s="73"/>
      <c r="AG218" s="143"/>
      <c r="AH218" s="143"/>
      <c r="AI218" s="143"/>
      <c r="AJ218" s="143"/>
      <c r="AK218" s="143"/>
      <c r="AL218" s="143"/>
      <c r="AM218" s="143"/>
      <c r="AN218" s="143"/>
      <c r="AO218" s="143"/>
      <c r="AP218" s="143"/>
      <c r="AQ218" s="143"/>
      <c r="AR218" s="143"/>
      <c r="AS218" s="143"/>
    </row>
    <row r="219" spans="1:45" ht="15" customHeight="1">
      <c r="A219" s="482" t="str">
        <f t="shared" si="9"/>
        <v>130i</v>
      </c>
      <c r="B219" s="21">
        <f>+Stress!D890</f>
        <v>-19.436278645970077</v>
      </c>
      <c r="C219" s="21">
        <f>Stress!E890</f>
        <v>18.545202789830768</v>
      </c>
      <c r="D219" s="987" t="str">
        <f t="shared" si="8"/>
        <v>Positive</v>
      </c>
      <c r="E219" s="483">
        <f>IF(B219&lt;=0,(input!CL61-input!H61),(input!CM61-input!K61))/COS(ATAN(input!BP61))</f>
        <v>1335.1848720982116</v>
      </c>
      <c r="F219" s="21">
        <f>input!G61/SQRT(12*(1+E219*input!N61/(3*input!G61*input!H61)))</f>
        <v>118.42403942909736</v>
      </c>
      <c r="G219" s="577">
        <f>+(input!H61*(input!G61)^2)/6</f>
        <v>916666.66666666663</v>
      </c>
      <c r="H219" s="21">
        <f>IF(input!F61=1,0,(H153*1.25+K153*1.25+L153*1.5+1.5*N153)/G219*10^6)</f>
        <v>18.47186305521582</v>
      </c>
      <c r="I219" s="483">
        <f t="shared" si="10"/>
        <v>1162.6761742081733</v>
      </c>
      <c r="J219" s="483">
        <f>1*F219*SQRT(Es/input!BI61)</f>
        <v>2783.9262099302573</v>
      </c>
      <c r="K219" s="21">
        <f>IF(D219="Positive",IF(B153&lt;=IF(B219=0,0,1.2*J219*SQRT(1*1*input!BI61/ABS(B219))),H219,H219*MAX(0.85/(1-ABS(B219)/I219),1)),H219)</f>
        <v>18.47186305521582</v>
      </c>
      <c r="L219" s="483">
        <f>0.6*input!BI61</f>
        <v>228</v>
      </c>
      <c r="M219" s="484" t="str">
        <f>IF(ABS(K219)&lt;=0.6*input!BI61,"OK","NG")</f>
        <v>OK</v>
      </c>
      <c r="N219" s="607">
        <f>IF(K219=0,"Inf",0.6*input!BI61/ABS(K219))</f>
        <v>12.34309713743902</v>
      </c>
      <c r="Q219" s="463"/>
      <c r="R219" s="73"/>
      <c r="S219" s="463"/>
      <c r="T219" s="73"/>
      <c r="U219" s="73"/>
      <c r="V219" s="73"/>
      <c r="W219" s="73"/>
      <c r="X219" s="73"/>
      <c r="Y219" s="73"/>
      <c r="Z219" s="73"/>
      <c r="AA219" s="73"/>
      <c r="AC219" s="73"/>
      <c r="AD219" s="73"/>
      <c r="AF219" s="73"/>
      <c r="AG219" s="143"/>
      <c r="AH219" s="143"/>
      <c r="AI219" s="143"/>
      <c r="AJ219" s="143"/>
      <c r="AK219" s="143"/>
      <c r="AL219" s="143"/>
      <c r="AM219" s="143"/>
      <c r="AN219" s="143"/>
      <c r="AO219" s="143"/>
      <c r="AP219" s="143"/>
      <c r="AQ219" s="143"/>
      <c r="AR219" s="143"/>
      <c r="AS219" s="143"/>
    </row>
    <row r="220" spans="1:45" ht="15" customHeight="1">
      <c r="A220" s="482" t="str">
        <f t="shared" si="9"/>
        <v>130j</v>
      </c>
      <c r="B220" s="21">
        <f>+Stress!D891</f>
        <v>0.15794638417561513</v>
      </c>
      <c r="C220" s="21">
        <f>Stress!E891</f>
        <v>-0.15070517241553488</v>
      </c>
      <c r="D220" s="987" t="str">
        <f t="shared" si="8"/>
        <v>Negative</v>
      </c>
      <c r="E220" s="483">
        <f>IF(B220&lt;=0,(input!CL62-input!H62),(input!CM62-input!K62))/COS(ATAN(input!BP62))</f>
        <v>1285.0488960988171</v>
      </c>
      <c r="F220" s="21">
        <f>input!G62/SQRT(12*(1+E220*input!N62/(3*input!G62*input!H62)))</f>
        <v>119.15748476175295</v>
      </c>
      <c r="G220" s="577">
        <f>+(input!H62*(input!G62)^2)/6</f>
        <v>916666.66666666663</v>
      </c>
      <c r="H220" s="21">
        <f>IF(input!F62=1,0,(H154*1.25+K154*1.25+L154*1.5+1.5*N154)/G220*10^6)</f>
        <v>18.47186305521582</v>
      </c>
      <c r="I220" s="483">
        <f t="shared" si="10"/>
        <v>1177.1225678619223</v>
      </c>
      <c r="J220" s="483">
        <f>1*F220*SQRT(Es/input!BI62)</f>
        <v>2801.1681288427885</v>
      </c>
      <c r="K220" s="21">
        <f>IF(D220="Positive",IF(B154&lt;=IF(B220=0,0,1.2*J220*SQRT(1*1*input!BI62/ABS(B220))),H220,H220*MAX(0.85/(1-ABS(B220)/I220),1)),H220)</f>
        <v>18.47186305521582</v>
      </c>
      <c r="L220" s="483">
        <f>0.6*input!BI62</f>
        <v>228</v>
      </c>
      <c r="M220" s="484" t="str">
        <f>IF(ABS(K220)&lt;=0.6*input!BI62,"OK","NG")</f>
        <v>OK</v>
      </c>
      <c r="N220" s="607">
        <f>IF(K220=0,"Inf",0.6*input!BI62/ABS(K220))</f>
        <v>12.34309713743902</v>
      </c>
      <c r="Q220" s="463"/>
      <c r="R220" s="73"/>
      <c r="S220" s="463"/>
      <c r="T220" s="73"/>
      <c r="U220" s="73"/>
      <c r="V220" s="73"/>
      <c r="W220" s="73"/>
      <c r="X220" s="73"/>
      <c r="Y220" s="73"/>
      <c r="Z220" s="73"/>
      <c r="AA220" s="73"/>
      <c r="AC220" s="73"/>
      <c r="AD220" s="73"/>
      <c r="AF220" s="73"/>
      <c r="AG220" s="143"/>
      <c r="AH220" s="143"/>
      <c r="AI220" s="143"/>
      <c r="AJ220" s="143"/>
      <c r="AK220" s="143"/>
      <c r="AL220" s="143"/>
      <c r="AM220" s="143"/>
      <c r="AN220" s="143"/>
      <c r="AO220" s="143"/>
      <c r="AP220" s="143"/>
      <c r="AQ220" s="143"/>
      <c r="AR220" s="143"/>
      <c r="AS220" s="143"/>
    </row>
    <row r="221" spans="1:45" ht="15" customHeight="1">
      <c r="A221" s="482" t="str">
        <f t="shared" si="9"/>
        <v>131i</v>
      </c>
      <c r="B221" s="21">
        <f>+Stress!D892</f>
        <v>0.15853794366690957</v>
      </c>
      <c r="C221" s="21">
        <f>Stress!E892</f>
        <v>-0.15126961126353314</v>
      </c>
      <c r="D221" s="987" t="str">
        <f t="shared" si="8"/>
        <v>Negative</v>
      </c>
      <c r="E221" s="483">
        <f>IF(B221&lt;=0,(input!CL63-input!H63),(input!CM63-input!K63))/COS(ATAN(input!BP63))</f>
        <v>1285.0488960988171</v>
      </c>
      <c r="F221" s="21">
        <f>input!G63/SQRT(12*(1+E221*input!N63/(3*input!G63*input!H63)))</f>
        <v>119.15748476175295</v>
      </c>
      <c r="G221" s="577">
        <f>+(input!H63*(input!G63)^2)/6</f>
        <v>916666.66666666663</v>
      </c>
      <c r="H221" s="21">
        <f>IF(input!F63=1,0,(H155*1.25+K155*1.25+L155*1.5+1.5*N155)/G221*10^6)</f>
        <v>18.47186305521582</v>
      </c>
      <c r="I221" s="483">
        <f t="shared" si="10"/>
        <v>1177.1225678619223</v>
      </c>
      <c r="J221" s="483">
        <f>1*F221*SQRT(Es/input!BI63)</f>
        <v>2801.1681288427885</v>
      </c>
      <c r="K221" s="21">
        <f>IF(D221="Positive",IF(B155&lt;=IF(B221=0,0,1.2*J221*SQRT(1*1*input!BI63/ABS(B221))),H221,H221*MAX(0.85/(1-ABS(B221)/I221),1)),H221)</f>
        <v>18.47186305521582</v>
      </c>
      <c r="L221" s="483">
        <f>0.6*input!BI63</f>
        <v>228</v>
      </c>
      <c r="M221" s="484" t="str">
        <f>IF(ABS(K221)&lt;=0.6*input!BI63,"OK","NG")</f>
        <v>OK</v>
      </c>
      <c r="N221" s="607">
        <f>IF(K221=0,"Inf",0.6*input!BI63/ABS(K221))</f>
        <v>12.34309713743902</v>
      </c>
      <c r="Q221" s="463"/>
      <c r="R221" s="73"/>
      <c r="S221" s="463"/>
      <c r="T221" s="73"/>
      <c r="U221" s="73"/>
      <c r="V221" s="73"/>
      <c r="W221" s="73"/>
      <c r="X221" s="73"/>
      <c r="Y221" s="73"/>
      <c r="Z221" s="73"/>
      <c r="AA221" s="73"/>
      <c r="AC221" s="73"/>
      <c r="AD221" s="73"/>
      <c r="AF221" s="73"/>
      <c r="AG221" s="143"/>
      <c r="AH221" s="143"/>
      <c r="AI221" s="143"/>
      <c r="AJ221" s="143"/>
      <c r="AK221" s="143"/>
      <c r="AL221" s="143"/>
      <c r="AM221" s="143"/>
      <c r="AN221" s="143"/>
      <c r="AO221" s="143"/>
      <c r="AP221" s="143"/>
      <c r="AQ221" s="143"/>
      <c r="AR221" s="143"/>
      <c r="AS221" s="143"/>
    </row>
    <row r="222" spans="1:45" ht="15" customHeight="1">
      <c r="A222" s="482" t="str">
        <f t="shared" si="9"/>
        <v>131j</v>
      </c>
      <c r="B222" s="21">
        <f>+Stress!D893</f>
        <v>0</v>
      </c>
      <c r="C222" s="21">
        <f>Stress!E893</f>
        <v>0</v>
      </c>
      <c r="D222" s="987" t="str">
        <f t="shared" si="8"/>
        <v>Positive</v>
      </c>
      <c r="E222" s="483">
        <f>IF(B222&lt;=0,(input!CL64-input!H64),(input!CM64-input!K64))/COS(ATAN(input!BP64))</f>
        <v>1335.1848720982116</v>
      </c>
      <c r="F222" s="21">
        <f>input!G64/SQRT(12*(1+E222*input!N64/(3*input!G64*input!H64)))</f>
        <v>118.42403942909736</v>
      </c>
      <c r="G222" s="577">
        <f>+(input!H64*(input!G64)^2)/6</f>
        <v>916666.66666666663</v>
      </c>
      <c r="H222" s="21">
        <f>IF(input!F64=1,0,(H156*1.25+K156*1.25+L156*1.5+1.5*N156)/G222*10^6)</f>
        <v>18.47186305521582</v>
      </c>
      <c r="I222" s="483">
        <f t="shared" si="10"/>
        <v>1162.6761742081733</v>
      </c>
      <c r="J222" s="483">
        <f>1*F222*SQRT(Es/input!BI64)</f>
        <v>2783.9262099302573</v>
      </c>
      <c r="K222" s="21">
        <f>IF(D222="Positive",IF(B156&lt;=IF(B222=0,0,1.2*J222*SQRT(1*1*input!BI64/ABS(B222))),H222,H222*MAX(0.85/(1-ABS(B222)/I222),1)),H222)</f>
        <v>18.47186305521582</v>
      </c>
      <c r="L222" s="483">
        <f>0.6*input!BI64</f>
        <v>228</v>
      </c>
      <c r="M222" s="484" t="str">
        <f>IF(ABS(K222)&lt;=0.6*input!BI64,"OK","NG")</f>
        <v>OK</v>
      </c>
      <c r="N222" s="607">
        <f>IF(K222=0,"Inf",0.6*input!BI64/ABS(K222))</f>
        <v>12.34309713743902</v>
      </c>
      <c r="Q222" s="463"/>
      <c r="R222" s="73"/>
      <c r="S222" s="463"/>
      <c r="T222" s="73"/>
      <c r="U222" s="73"/>
      <c r="V222" s="73"/>
      <c r="W222" s="73"/>
      <c r="X222" s="73"/>
      <c r="Y222" s="73"/>
      <c r="Z222" s="73"/>
      <c r="AA222" s="73"/>
      <c r="AC222" s="73"/>
      <c r="AD222" s="73"/>
      <c r="AF222" s="73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43"/>
      <c r="AS222" s="143"/>
    </row>
    <row r="223" spans="1:45" ht="15" customHeight="1">
      <c r="A223" s="170"/>
      <c r="B223" s="170"/>
      <c r="C223" s="170"/>
      <c r="D223" s="170"/>
      <c r="E223" s="170"/>
      <c r="F223" s="170"/>
      <c r="G223" s="170"/>
      <c r="H223" s="170"/>
      <c r="I223" s="170"/>
      <c r="J223" s="170"/>
      <c r="K223" s="170"/>
      <c r="L223" s="201"/>
      <c r="M223" s="170"/>
      <c r="N223" s="170"/>
      <c r="O223" s="170"/>
      <c r="P223" s="170"/>
      <c r="Q223" s="170"/>
      <c r="R223" s="170"/>
      <c r="S223" s="170"/>
      <c r="T223" s="170"/>
      <c r="U223" s="170"/>
      <c r="V223" s="170"/>
      <c r="W223" s="170"/>
      <c r="X223" s="170"/>
      <c r="Y223" s="201"/>
      <c r="Z223" s="170"/>
      <c r="AA223" s="170"/>
      <c r="AJ223" s="505"/>
      <c r="AM223" s="76"/>
    </row>
    <row r="224" spans="1:45" ht="15" customHeight="1">
      <c r="A224" s="170"/>
      <c r="B224" s="170"/>
      <c r="C224" s="170"/>
      <c r="D224" s="170"/>
      <c r="E224" s="170"/>
      <c r="F224" s="170"/>
      <c r="G224" s="170"/>
      <c r="H224" s="170"/>
      <c r="I224" s="170"/>
      <c r="J224" s="170"/>
      <c r="K224" s="170"/>
      <c r="L224" s="189"/>
      <c r="M224" s="170"/>
      <c r="N224" s="170"/>
      <c r="O224" s="170"/>
      <c r="P224" s="170"/>
      <c r="Q224" s="170"/>
      <c r="R224" s="170"/>
      <c r="S224" s="170"/>
      <c r="T224" s="170"/>
      <c r="U224" s="170"/>
      <c r="V224" s="170"/>
      <c r="W224" s="170"/>
      <c r="X224" s="170"/>
      <c r="Y224" s="189"/>
      <c r="Z224" s="170"/>
      <c r="AA224" s="170"/>
      <c r="AJ224" s="505"/>
      <c r="AM224" s="76"/>
    </row>
    <row r="225" spans="1:45" ht="15" customHeight="1">
      <c r="A225" s="207" t="s">
        <v>390</v>
      </c>
      <c r="B225" s="97"/>
      <c r="C225" s="61"/>
      <c r="D225" s="170"/>
      <c r="E225" s="124"/>
      <c r="F225" s="170"/>
      <c r="G225" s="170"/>
      <c r="H225" s="170"/>
      <c r="I225" s="170"/>
      <c r="J225" s="170"/>
      <c r="K225" s="170"/>
      <c r="L225" s="189"/>
      <c r="M225" s="170"/>
      <c r="N225" s="170"/>
      <c r="O225" s="170"/>
      <c r="P225" s="170"/>
      <c r="Q225" s="170"/>
      <c r="R225" s="170"/>
      <c r="S225" s="170"/>
      <c r="T225" s="170"/>
      <c r="U225" s="170"/>
      <c r="V225" s="170"/>
      <c r="W225" s="170"/>
      <c r="X225" s="170"/>
      <c r="Y225" s="189"/>
      <c r="Z225" s="170"/>
      <c r="AA225" s="170"/>
      <c r="AJ225" s="505"/>
      <c r="AM225" s="76"/>
    </row>
    <row r="226" spans="1:45" ht="15" customHeight="1" thickBot="1">
      <c r="A226" s="207"/>
      <c r="B226" s="97"/>
      <c r="C226" s="170"/>
      <c r="D226" s="124"/>
      <c r="E226" s="170"/>
      <c r="F226" s="170"/>
      <c r="G226" s="170"/>
      <c r="H226" s="170"/>
      <c r="I226" s="170"/>
      <c r="J226" s="170"/>
      <c r="K226" s="359"/>
      <c r="L226" s="143"/>
      <c r="M226" s="170"/>
      <c r="N226" s="170"/>
      <c r="O226" s="170"/>
      <c r="P226" s="170"/>
      <c r="Q226" s="170"/>
      <c r="R226" s="170"/>
      <c r="S226" s="170"/>
      <c r="T226" s="170"/>
      <c r="U226" s="170"/>
      <c r="V226" s="170"/>
      <c r="W226" s="170"/>
      <c r="X226" s="170"/>
      <c r="Y226" s="359"/>
      <c r="Z226" s="170"/>
      <c r="AA226" s="170"/>
      <c r="AJ226" s="505"/>
      <c r="AM226" s="76"/>
    </row>
    <row r="227" spans="1:45" ht="15" customHeight="1">
      <c r="A227" s="207"/>
      <c r="B227" s="384"/>
      <c r="C227" s="383"/>
      <c r="D227" s="584" t="s">
        <v>794</v>
      </c>
      <c r="E227" s="383"/>
      <c r="F227" s="367"/>
      <c r="G227" s="367"/>
      <c r="H227" s="367"/>
      <c r="I227" s="367"/>
      <c r="J227" s="383"/>
      <c r="K227" s="584" t="s">
        <v>954</v>
      </c>
      <c r="L227" s="383"/>
      <c r="M227" s="367"/>
      <c r="N227" s="385"/>
      <c r="AD227" s="73"/>
      <c r="AF227" s="73"/>
    </row>
    <row r="228" spans="1:45" ht="15" customHeight="1">
      <c r="A228" s="207"/>
      <c r="B228" s="579" t="s">
        <v>950</v>
      </c>
      <c r="C228" s="115"/>
      <c r="D228" s="585" t="s">
        <v>171</v>
      </c>
      <c r="E228" s="170"/>
      <c r="F228" s="368"/>
      <c r="G228" s="368"/>
      <c r="H228" s="368"/>
      <c r="I228" s="178" t="s">
        <v>162</v>
      </c>
      <c r="J228" s="122"/>
      <c r="K228" s="585"/>
      <c r="L228" s="170"/>
      <c r="M228" s="170"/>
      <c r="N228" s="370"/>
      <c r="AD228" s="73"/>
      <c r="AF228" s="73"/>
    </row>
    <row r="229" spans="1:45" ht="15" customHeight="1">
      <c r="A229" s="207"/>
      <c r="B229" s="579"/>
      <c r="C229" s="115"/>
      <c r="D229" s="585" t="s">
        <v>172</v>
      </c>
      <c r="E229" s="170"/>
      <c r="F229" s="80"/>
      <c r="G229" s="80"/>
      <c r="H229" s="80"/>
      <c r="I229" s="178" t="s">
        <v>163</v>
      </c>
      <c r="J229" s="122"/>
      <c r="K229" s="585" t="s">
        <v>176</v>
      </c>
      <c r="L229" s="170"/>
      <c r="M229" s="170"/>
      <c r="N229" s="370" t="s">
        <v>167</v>
      </c>
      <c r="AD229" s="73"/>
      <c r="AF229" s="73"/>
    </row>
    <row r="230" spans="1:45" ht="15" customHeight="1">
      <c r="A230" s="207"/>
      <c r="B230" s="580"/>
      <c r="C230" s="104"/>
      <c r="D230" s="589" t="s">
        <v>952</v>
      </c>
      <c r="E230" s="118"/>
      <c r="F230" s="379" t="s">
        <v>953</v>
      </c>
      <c r="G230" s="378"/>
      <c r="H230" s="118"/>
      <c r="I230" s="381" t="s">
        <v>164</v>
      </c>
      <c r="J230" s="380"/>
      <c r="K230" s="586"/>
      <c r="L230" s="118"/>
      <c r="M230" s="378"/>
      <c r="N230" s="382"/>
      <c r="AD230" s="73"/>
      <c r="AF230" s="73"/>
    </row>
    <row r="231" spans="1:45" ht="15" customHeight="1">
      <c r="A231" s="207"/>
      <c r="B231" s="579" t="s">
        <v>951</v>
      </c>
      <c r="C231" s="115"/>
      <c r="D231" s="585" t="s">
        <v>174</v>
      </c>
      <c r="E231" s="170"/>
      <c r="F231" s="555"/>
      <c r="G231" s="555"/>
      <c r="H231" s="170"/>
      <c r="I231" s="178" t="s">
        <v>165</v>
      </c>
      <c r="J231" s="122"/>
      <c r="K231" s="587" t="s">
        <v>175</v>
      </c>
      <c r="L231" s="170"/>
      <c r="M231" s="170"/>
      <c r="N231" s="370" t="s">
        <v>168</v>
      </c>
      <c r="AD231" s="73"/>
      <c r="AF231" s="73"/>
    </row>
    <row r="232" spans="1:45" ht="15" customHeight="1" thickBot="1">
      <c r="A232" s="207"/>
      <c r="B232" s="581"/>
      <c r="C232" s="582"/>
      <c r="D232" s="590" t="s">
        <v>173</v>
      </c>
      <c r="E232" s="321"/>
      <c r="F232" s="371" t="s">
        <v>953</v>
      </c>
      <c r="G232" s="369"/>
      <c r="H232" s="321"/>
      <c r="I232" s="542" t="s">
        <v>166</v>
      </c>
      <c r="J232" s="369"/>
      <c r="K232" s="588"/>
      <c r="L232" s="321"/>
      <c r="M232" s="369"/>
      <c r="N232" s="583"/>
      <c r="Z232" s="170"/>
      <c r="AA232" s="170"/>
      <c r="AJ232" s="505"/>
      <c r="AM232" s="76"/>
    </row>
    <row r="233" spans="1:45" ht="15" customHeight="1">
      <c r="A233" s="207"/>
      <c r="B233" s="97"/>
      <c r="C233" s="170"/>
      <c r="D233" s="124"/>
      <c r="E233" s="170"/>
      <c r="F233" s="170"/>
      <c r="G233" s="170"/>
      <c r="H233" s="170"/>
      <c r="I233" s="170"/>
      <c r="J233" s="170"/>
      <c r="K233" s="359"/>
      <c r="L233" s="143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359"/>
      <c r="Z233" s="170"/>
      <c r="AA233" s="170"/>
      <c r="AJ233" s="505"/>
      <c r="AM233" s="76"/>
    </row>
    <row r="234" spans="1:45" ht="15" customHeight="1">
      <c r="A234" s="134"/>
      <c r="B234" s="96" t="s">
        <v>420</v>
      </c>
      <c r="C234" s="170"/>
      <c r="D234" s="170"/>
      <c r="E234" s="170"/>
      <c r="F234" s="170"/>
      <c r="G234" s="170"/>
      <c r="H234" s="170"/>
      <c r="I234" s="170"/>
      <c r="J234" s="170"/>
      <c r="K234" s="170"/>
      <c r="L234" s="189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89"/>
      <c r="Z234" s="170"/>
      <c r="AA234" s="170"/>
      <c r="AJ234" s="505"/>
      <c r="AM234" s="76"/>
    </row>
    <row r="235" spans="1:45" ht="15" customHeight="1">
      <c r="A235" s="134"/>
      <c r="B235" s="170"/>
      <c r="C235" s="1862" t="s">
        <v>392</v>
      </c>
      <c r="D235" s="1940" t="s">
        <v>955</v>
      </c>
      <c r="E235" s="1940"/>
      <c r="F235" s="1944" t="s">
        <v>391</v>
      </c>
      <c r="G235" s="548" t="s">
        <v>956</v>
      </c>
      <c r="I235" s="170"/>
      <c r="N235" s="170"/>
      <c r="O235" s="170"/>
      <c r="P235" s="170"/>
      <c r="Q235" s="170"/>
      <c r="R235" s="170"/>
      <c r="S235" s="170"/>
      <c r="T235" s="170"/>
      <c r="U235" s="189"/>
      <c r="V235" s="170"/>
      <c r="W235" s="170"/>
      <c r="Y235" s="143"/>
      <c r="Z235" s="463"/>
      <c r="AB235" s="463"/>
      <c r="AC235" s="73"/>
      <c r="AD235" s="73"/>
      <c r="AF235" s="505"/>
      <c r="AI235" s="76"/>
      <c r="AR235" s="143"/>
      <c r="AS235" s="143"/>
    </row>
    <row r="236" spans="1:45" ht="15" customHeight="1">
      <c r="A236" s="170"/>
      <c r="B236" s="170"/>
      <c r="C236" s="1862"/>
      <c r="D236" s="1936" t="s">
        <v>393</v>
      </c>
      <c r="E236" s="1936"/>
      <c r="F236" s="1862"/>
      <c r="G236" s="552" t="s">
        <v>394</v>
      </c>
      <c r="I236" s="170"/>
      <c r="N236" s="170"/>
      <c r="O236" s="170"/>
      <c r="P236" s="170"/>
      <c r="Q236" s="170"/>
      <c r="R236" s="170"/>
      <c r="S236" s="170"/>
      <c r="T236" s="170"/>
      <c r="U236" s="189"/>
      <c r="V236" s="170"/>
      <c r="W236" s="170"/>
      <c r="Y236" s="143"/>
      <c r="Z236" s="463"/>
      <c r="AB236" s="463"/>
      <c r="AC236" s="73"/>
      <c r="AD236" s="73"/>
      <c r="AF236" s="505"/>
      <c r="AI236" s="76"/>
      <c r="AR236" s="143"/>
      <c r="AS236" s="143"/>
    </row>
    <row r="237" spans="1:45" ht="15" customHeight="1">
      <c r="B237" s="591" t="s">
        <v>1676</v>
      </c>
      <c r="C237" s="170" t="s">
        <v>1677</v>
      </c>
      <c r="D237" s="170"/>
      <c r="E237" s="170"/>
      <c r="F237" s="100"/>
      <c r="G237" s="170"/>
      <c r="H237" s="170"/>
      <c r="I237" s="170"/>
      <c r="J237" s="170"/>
      <c r="K237" s="170"/>
      <c r="L237" s="189"/>
      <c r="M237" s="170"/>
      <c r="N237" s="170"/>
      <c r="O237" s="170"/>
      <c r="P237" s="170"/>
      <c r="Q237" s="170"/>
      <c r="R237" s="170"/>
      <c r="S237" s="170"/>
      <c r="T237" s="170"/>
      <c r="U237" s="170"/>
      <c r="V237" s="170"/>
      <c r="W237" s="170"/>
      <c r="X237" s="170"/>
      <c r="Y237" s="189"/>
      <c r="Z237" s="170"/>
      <c r="AA237" s="170"/>
      <c r="AJ237" s="505"/>
      <c r="AM237" s="76"/>
    </row>
    <row r="238" spans="1:45" ht="15" customHeight="1">
      <c r="B238" s="134"/>
      <c r="C238" s="170"/>
      <c r="D238" s="170"/>
      <c r="E238" s="170"/>
      <c r="F238" s="100"/>
      <c r="G238" s="170"/>
      <c r="H238" s="170"/>
      <c r="I238" s="170"/>
      <c r="J238" s="170"/>
      <c r="K238" s="170"/>
      <c r="L238" s="361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70"/>
      <c r="X238" s="170"/>
      <c r="Y238" s="361"/>
      <c r="Z238" s="170"/>
      <c r="AA238" s="170"/>
      <c r="AJ238" s="505"/>
      <c r="AM238" s="76"/>
    </row>
    <row r="239" spans="1:45" ht="15" customHeight="1">
      <c r="A239" s="134"/>
      <c r="B239" s="89" t="s">
        <v>1676</v>
      </c>
      <c r="C239" s="191" t="s">
        <v>396</v>
      </c>
      <c r="D239" s="170"/>
      <c r="E239" s="147"/>
      <c r="F239" s="170"/>
      <c r="G239" s="170"/>
      <c r="H239" s="170"/>
      <c r="I239" s="170"/>
      <c r="J239" s="136"/>
      <c r="K239" s="362"/>
      <c r="L239" s="143"/>
      <c r="N239" s="52"/>
      <c r="O239" s="137" t="s">
        <v>722</v>
      </c>
      <c r="P239" s="170"/>
      <c r="Q239" s="170"/>
      <c r="R239" s="170"/>
      <c r="S239" s="170"/>
      <c r="T239" s="170"/>
      <c r="U239" s="170"/>
      <c r="V239" s="170"/>
      <c r="W239" s="170"/>
      <c r="X239" s="170"/>
      <c r="Y239" s="201"/>
      <c r="Z239" s="170"/>
      <c r="AA239" s="170"/>
      <c r="AJ239" s="505"/>
      <c r="AM239" s="76"/>
    </row>
    <row r="240" spans="1:45" ht="15" customHeight="1">
      <c r="B240" s="134"/>
      <c r="C240" s="148" t="s">
        <v>134</v>
      </c>
      <c r="D240" s="141"/>
      <c r="E240" s="141"/>
      <c r="F240" s="141"/>
      <c r="G240" s="141"/>
      <c r="H240" s="148" t="s">
        <v>236</v>
      </c>
      <c r="I240" s="141"/>
      <c r="J240" s="141"/>
      <c r="K240" s="237"/>
      <c r="O240" s="170"/>
      <c r="P240" s="170"/>
      <c r="Q240" s="170"/>
      <c r="R240" s="170"/>
      <c r="T240" s="170"/>
      <c r="U240" s="361"/>
      <c r="V240" s="170"/>
      <c r="Y240" s="143"/>
      <c r="Z240" s="249"/>
      <c r="AB240" s="463"/>
      <c r="AD240" s="73"/>
      <c r="AE240" s="463"/>
      <c r="AF240" s="73"/>
    </row>
    <row r="241" spans="1:32" ht="15" customHeight="1">
      <c r="B241" s="134"/>
      <c r="C241" s="170" t="s">
        <v>690</v>
      </c>
      <c r="D241" s="170"/>
      <c r="F241" s="170"/>
      <c r="G241" s="170"/>
      <c r="H241" s="142">
        <v>1</v>
      </c>
      <c r="K241" s="52"/>
      <c r="O241" s="170"/>
      <c r="P241" s="170"/>
      <c r="Q241" s="170"/>
      <c r="R241" s="170"/>
      <c r="T241" s="170"/>
      <c r="U241" s="361"/>
      <c r="V241" s="170"/>
      <c r="Y241" s="143"/>
      <c r="Z241" s="249"/>
      <c r="AB241" s="463"/>
      <c r="AD241" s="73"/>
      <c r="AE241" s="463"/>
      <c r="AF241" s="73"/>
    </row>
    <row r="242" spans="1:32" ht="15" customHeight="1">
      <c r="B242" s="134"/>
      <c r="C242" s="145" t="s">
        <v>136</v>
      </c>
      <c r="D242" s="145"/>
      <c r="E242" s="145"/>
      <c r="F242" s="145"/>
      <c r="G242" s="145"/>
      <c r="H242" s="149" t="s">
        <v>1678</v>
      </c>
      <c r="I242" s="145"/>
      <c r="J242" s="145"/>
      <c r="K242" s="238"/>
      <c r="O242" s="170"/>
      <c r="P242" s="170"/>
      <c r="Q242" s="170"/>
      <c r="R242" s="170"/>
      <c r="T242" s="170"/>
      <c r="U242" s="361"/>
      <c r="V242" s="170"/>
      <c r="Y242" s="143"/>
      <c r="Z242" s="249"/>
      <c r="AB242" s="463"/>
      <c r="AD242" s="73"/>
      <c r="AE242" s="463"/>
      <c r="AF242" s="73"/>
    </row>
    <row r="243" spans="1:32" ht="15" customHeight="1">
      <c r="C243" s="170" t="s">
        <v>1679</v>
      </c>
      <c r="D243" s="120"/>
      <c r="L243" s="143"/>
      <c r="T243" s="170"/>
      <c r="U243" s="361"/>
      <c r="V243" s="170"/>
      <c r="Y243" s="143"/>
      <c r="Z243" s="249"/>
      <c r="AB243" s="463"/>
      <c r="AD243" s="73"/>
      <c r="AE243" s="463"/>
      <c r="AF243" s="73"/>
    </row>
    <row r="244" spans="1:32" ht="15" customHeight="1">
      <c r="A244" s="73"/>
      <c r="B244" s="76"/>
      <c r="C244" s="363" t="s">
        <v>683</v>
      </c>
      <c r="D244" s="120"/>
      <c r="E244" s="120"/>
      <c r="G244" s="4"/>
      <c r="H244" s="4"/>
      <c r="I244" s="4"/>
      <c r="L244" s="362"/>
      <c r="O244" s="52"/>
      <c r="P244" s="170"/>
      <c r="Q244" s="170"/>
      <c r="R244" s="170"/>
      <c r="T244" s="170"/>
      <c r="U244" s="361"/>
      <c r="V244" s="170"/>
      <c r="Y244" s="143"/>
      <c r="Z244" s="249"/>
      <c r="AB244" s="463"/>
      <c r="AD244" s="73"/>
      <c r="AE244" s="463"/>
      <c r="AF244" s="73"/>
    </row>
    <row r="245" spans="1:32" ht="15" customHeight="1">
      <c r="A245" s="73"/>
      <c r="C245" s="170" t="s">
        <v>1680</v>
      </c>
      <c r="D245" s="120"/>
      <c r="H245" s="4"/>
      <c r="I245" s="4"/>
      <c r="L245" s="362"/>
      <c r="O245" s="52"/>
      <c r="Q245" s="170"/>
      <c r="R245" s="170"/>
      <c r="T245" s="170"/>
      <c r="U245" s="361"/>
      <c r="V245" s="170"/>
      <c r="Y245" s="143"/>
      <c r="Z245" s="249"/>
      <c r="AB245" s="463"/>
      <c r="AD245" s="73"/>
      <c r="AE245" s="463"/>
      <c r="AF245" s="73"/>
    </row>
    <row r="246" spans="1:32" ht="15" customHeight="1">
      <c r="A246" s="73"/>
      <c r="C246" s="170" t="s">
        <v>122</v>
      </c>
      <c r="D246" s="120"/>
      <c r="H246" s="4"/>
      <c r="I246" s="4"/>
      <c r="L246" s="362"/>
      <c r="Q246" s="170"/>
      <c r="R246" s="170"/>
      <c r="T246" s="170"/>
      <c r="U246" s="361"/>
      <c r="V246" s="170"/>
      <c r="Y246" s="143"/>
      <c r="Z246" s="249"/>
      <c r="AB246" s="463"/>
      <c r="AD246" s="73"/>
      <c r="AE246" s="463"/>
      <c r="AF246" s="73"/>
    </row>
    <row r="247" spans="1:32" ht="15" customHeight="1">
      <c r="A247" s="73"/>
      <c r="C247" s="170" t="s">
        <v>1160</v>
      </c>
      <c r="D247" s="120"/>
      <c r="H247" s="4"/>
      <c r="I247" s="4"/>
      <c r="L247" s="362"/>
      <c r="Q247" s="170"/>
      <c r="R247" s="170"/>
      <c r="T247" s="170"/>
      <c r="U247" s="361"/>
      <c r="V247" s="170"/>
      <c r="Y247" s="143"/>
      <c r="Z247" s="249"/>
      <c r="AB247" s="463"/>
      <c r="AD247" s="73"/>
      <c r="AE247" s="463"/>
      <c r="AF247" s="73"/>
    </row>
    <row r="248" spans="1:32" ht="15" customHeight="1">
      <c r="A248" s="170"/>
      <c r="C248" s="170"/>
      <c r="D248" s="170"/>
      <c r="E248" s="170"/>
      <c r="F248" s="222"/>
      <c r="G248" s="170"/>
      <c r="H248" s="222"/>
      <c r="I248" s="170"/>
      <c r="J248" s="222"/>
      <c r="K248" s="170"/>
      <c r="L248" s="222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222"/>
      <c r="Z248" s="170"/>
      <c r="AA248" s="170"/>
    </row>
    <row r="249" spans="1:32" ht="15" customHeight="1">
      <c r="A249" s="134"/>
      <c r="B249" s="97" t="s">
        <v>421</v>
      </c>
      <c r="C249" s="61"/>
      <c r="D249" s="170"/>
      <c r="E249" s="170"/>
      <c r="F249" s="189"/>
      <c r="G249" s="170"/>
      <c r="H249" s="189"/>
      <c r="I249" s="170"/>
      <c r="J249" s="189"/>
      <c r="K249" s="170"/>
      <c r="L249" s="189"/>
      <c r="M249" s="170"/>
      <c r="N249" s="170"/>
      <c r="O249" s="170"/>
      <c r="P249" s="170"/>
      <c r="Q249" s="170"/>
      <c r="R249" s="170"/>
      <c r="S249" s="170"/>
      <c r="T249" s="170"/>
      <c r="U249" s="170"/>
      <c r="V249" s="170"/>
      <c r="W249" s="170"/>
      <c r="X249" s="170"/>
      <c r="Y249" s="189"/>
      <c r="Z249" s="170"/>
      <c r="AA249" s="108"/>
    </row>
    <row r="250" spans="1:32" ht="15" customHeight="1">
      <c r="A250" s="88"/>
      <c r="B250" s="97"/>
      <c r="C250" s="61"/>
      <c r="D250" s="170"/>
      <c r="E250" s="170"/>
      <c r="F250" s="189"/>
      <c r="G250" s="170"/>
      <c r="H250" s="189"/>
      <c r="I250" s="170"/>
      <c r="J250" s="189"/>
      <c r="K250" s="170"/>
      <c r="L250" s="189"/>
      <c r="M250" s="170"/>
      <c r="N250" s="170"/>
      <c r="O250" s="170"/>
      <c r="P250" s="170"/>
      <c r="Q250" s="170"/>
      <c r="R250" s="170"/>
      <c r="S250" s="170"/>
      <c r="T250" s="170"/>
      <c r="U250" s="170"/>
      <c r="V250" s="170"/>
      <c r="W250" s="170"/>
      <c r="X250" s="170"/>
      <c r="Y250" s="189"/>
      <c r="AD250" s="73"/>
      <c r="AF250" s="73"/>
    </row>
    <row r="251" spans="1:32" ht="15" customHeight="1">
      <c r="A251" s="134"/>
      <c r="C251" s="148" t="s">
        <v>134</v>
      </c>
      <c r="D251" s="148"/>
      <c r="E251" s="148"/>
      <c r="F251" s="148"/>
      <c r="G251" s="148"/>
      <c r="H251" s="148" t="s">
        <v>237</v>
      </c>
      <c r="I251" s="148"/>
      <c r="J251" s="148"/>
      <c r="K251" s="148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89"/>
      <c r="AD251" s="73"/>
      <c r="AF251" s="73"/>
    </row>
    <row r="252" spans="1:32" ht="15" customHeight="1">
      <c r="A252" s="134"/>
      <c r="C252" s="146" t="s">
        <v>398</v>
      </c>
      <c r="D252" s="146"/>
      <c r="E252" s="146"/>
      <c r="F252" s="146"/>
      <c r="G252" s="146"/>
      <c r="H252" s="151" t="s">
        <v>238</v>
      </c>
      <c r="I252" s="146"/>
      <c r="J252" s="146"/>
      <c r="K252" s="146"/>
      <c r="L252" s="170"/>
      <c r="M252" s="170"/>
      <c r="N252" s="170"/>
      <c r="O252" s="137" t="s">
        <v>958</v>
      </c>
      <c r="P252" s="170"/>
      <c r="Q252" s="170"/>
      <c r="R252" s="170"/>
      <c r="S252" s="170"/>
      <c r="T252" s="170"/>
      <c r="U252" s="170"/>
      <c r="V252" s="170"/>
      <c r="W252" s="170"/>
      <c r="X252" s="170"/>
      <c r="Y252" s="189"/>
      <c r="AD252" s="73"/>
      <c r="AF252" s="73"/>
    </row>
    <row r="253" spans="1:32" ht="15" customHeight="1">
      <c r="A253" s="134"/>
      <c r="C253" s="170"/>
      <c r="D253" s="170"/>
      <c r="E253" s="170"/>
      <c r="F253" s="170"/>
      <c r="G253" s="170"/>
      <c r="H253" s="170"/>
      <c r="I253" s="89"/>
      <c r="J253" s="147"/>
      <c r="K253" s="170"/>
      <c r="L253" s="170"/>
      <c r="M253" s="170"/>
      <c r="N253" s="170"/>
      <c r="P253" s="170"/>
      <c r="Q253" s="170"/>
      <c r="R253" s="170"/>
      <c r="S253" s="170"/>
      <c r="T253" s="170"/>
      <c r="U253" s="170"/>
      <c r="V253" s="170"/>
      <c r="W253" s="170"/>
      <c r="X253" s="170"/>
      <c r="Y253" s="189"/>
      <c r="AD253" s="73"/>
      <c r="AF253" s="73"/>
    </row>
    <row r="254" spans="1:32" ht="15" customHeight="1">
      <c r="A254" s="170"/>
      <c r="C254" s="170" t="s">
        <v>399</v>
      </c>
      <c r="D254" s="170"/>
      <c r="E254" s="170"/>
      <c r="F254" s="170"/>
      <c r="G254" s="170"/>
      <c r="H254" s="170"/>
      <c r="I254" s="136"/>
      <c r="J254" s="147"/>
      <c r="K254" s="170"/>
      <c r="L254" s="170"/>
      <c r="M254" s="170"/>
      <c r="N254" s="170"/>
      <c r="O254" s="137" t="s">
        <v>957</v>
      </c>
      <c r="P254" s="170"/>
      <c r="Q254" s="170"/>
      <c r="R254" s="170"/>
      <c r="S254" s="170"/>
      <c r="T254" s="170"/>
      <c r="U254" s="170"/>
      <c r="V254" s="170"/>
      <c r="W254" s="170"/>
      <c r="X254" s="170"/>
      <c r="Y254" s="189"/>
      <c r="AD254" s="73"/>
      <c r="AF254" s="73"/>
    </row>
    <row r="255" spans="1:32" ht="15" customHeight="1">
      <c r="A255" s="134"/>
      <c r="C255" s="145"/>
      <c r="D255" s="145"/>
      <c r="E255" s="145"/>
      <c r="F255" s="145"/>
      <c r="G255" s="145"/>
      <c r="H255" s="145"/>
      <c r="I255" s="145"/>
      <c r="J255" s="98"/>
      <c r="K255" s="145"/>
      <c r="L255" s="170"/>
      <c r="M255" s="170"/>
      <c r="N255" s="170"/>
      <c r="O255" s="170"/>
      <c r="P255" s="170"/>
      <c r="Q255" s="170"/>
      <c r="R255" s="170"/>
      <c r="S255" s="170"/>
      <c r="T255" s="170"/>
      <c r="U255" s="170"/>
      <c r="V255" s="170"/>
      <c r="W255" s="170"/>
      <c r="X255" s="170"/>
      <c r="Y255" s="189"/>
      <c r="Z255" s="170"/>
      <c r="AD255" s="73"/>
      <c r="AF255" s="73"/>
    </row>
    <row r="256" spans="1:32" ht="15" customHeight="1">
      <c r="A256" s="170"/>
      <c r="B256" s="170"/>
      <c r="C256" s="170"/>
      <c r="D256" s="170"/>
      <c r="E256" s="170"/>
      <c r="F256" s="189"/>
      <c r="G256" s="170"/>
      <c r="H256" s="189"/>
      <c r="I256" s="170"/>
      <c r="J256" s="189"/>
      <c r="K256" s="170"/>
      <c r="L256" s="189"/>
      <c r="M256" s="170"/>
      <c r="N256" s="170"/>
      <c r="O256" s="170"/>
      <c r="P256" s="170"/>
      <c r="Q256" s="170"/>
      <c r="R256" s="170"/>
      <c r="S256" s="170"/>
      <c r="T256" s="170"/>
      <c r="U256" s="170"/>
      <c r="V256" s="170"/>
      <c r="W256" s="170"/>
      <c r="X256" s="170"/>
      <c r="Y256" s="189"/>
      <c r="Z256" s="170"/>
      <c r="AD256" s="73"/>
      <c r="AF256" s="73"/>
    </row>
    <row r="257" spans="1:45" ht="15" customHeight="1">
      <c r="B257" s="89" t="s">
        <v>1676</v>
      </c>
      <c r="C257" s="143" t="s">
        <v>960</v>
      </c>
      <c r="D257" s="136"/>
      <c r="E257" s="147"/>
      <c r="F257" s="136"/>
      <c r="G257" s="136"/>
      <c r="H257" s="136"/>
      <c r="I257" s="170"/>
      <c r="J257" s="170"/>
      <c r="K257" s="189"/>
      <c r="L257" s="170"/>
      <c r="M257" s="189"/>
      <c r="N257" s="170"/>
      <c r="O257" s="137" t="s">
        <v>959</v>
      </c>
      <c r="P257" s="170"/>
      <c r="Q257" s="170"/>
      <c r="R257" s="170"/>
      <c r="S257" s="170"/>
      <c r="T257" s="170"/>
      <c r="U257" s="170"/>
      <c r="V257" s="170"/>
      <c r="W257" s="170"/>
      <c r="X257" s="170"/>
      <c r="Y257" s="189"/>
      <c r="Z257" s="170"/>
      <c r="AD257" s="73"/>
      <c r="AF257" s="73"/>
    </row>
    <row r="258" spans="1:45" ht="15" customHeight="1">
      <c r="B258" s="170"/>
      <c r="C258" s="148" t="s">
        <v>134</v>
      </c>
      <c r="D258" s="141"/>
      <c r="E258" s="141"/>
      <c r="F258" s="141"/>
      <c r="G258" s="141"/>
      <c r="H258" s="148" t="s">
        <v>240</v>
      </c>
      <c r="I258" s="141"/>
      <c r="J258" s="141"/>
      <c r="K258" s="141"/>
      <c r="L258" s="170"/>
      <c r="M258" s="170"/>
      <c r="N258" s="170"/>
      <c r="O258" s="170"/>
      <c r="P258" s="170"/>
      <c r="Q258" s="170"/>
      <c r="R258" s="170"/>
      <c r="W258" s="170"/>
      <c r="X258" s="170"/>
      <c r="Y258" s="189"/>
      <c r="Z258" s="170"/>
      <c r="AA258" s="170"/>
      <c r="AD258" s="73"/>
      <c r="AF258" s="73"/>
    </row>
    <row r="259" spans="1:45" ht="15" customHeight="1">
      <c r="B259" s="170"/>
      <c r="C259" s="146" t="s">
        <v>241</v>
      </c>
      <c r="D259" s="146"/>
      <c r="E259" s="146"/>
      <c r="F259" s="146"/>
      <c r="G259" s="146"/>
      <c r="H259" s="151" t="s">
        <v>242</v>
      </c>
      <c r="I259" s="146"/>
      <c r="J259" s="146"/>
      <c r="K259" s="146"/>
      <c r="L259" s="170"/>
      <c r="M259" s="170"/>
      <c r="N259" s="170"/>
      <c r="O259" s="170"/>
      <c r="P259" s="170"/>
      <c r="Q259" s="170"/>
      <c r="R259" s="170"/>
      <c r="W259" s="170"/>
      <c r="X259" s="170"/>
      <c r="Y259" s="189"/>
      <c r="Z259" s="170"/>
      <c r="AA259" s="170"/>
      <c r="AD259" s="73"/>
      <c r="AF259" s="73"/>
    </row>
    <row r="260" spans="1:45" ht="15" customHeight="1">
      <c r="B260" s="170"/>
      <c r="C260" s="1937" t="s">
        <v>136</v>
      </c>
      <c r="D260" s="1937"/>
      <c r="E260" s="1937"/>
      <c r="F260" s="99"/>
      <c r="G260" s="99"/>
      <c r="H260" s="99"/>
      <c r="I260" s="99"/>
      <c r="J260" s="90"/>
      <c r="K260" s="99"/>
      <c r="L260" s="170"/>
      <c r="M260" s="170"/>
      <c r="N260" s="170"/>
      <c r="O260" s="170"/>
      <c r="P260" s="170"/>
      <c r="Q260" s="170"/>
      <c r="R260" s="170"/>
      <c r="W260" s="170"/>
      <c r="X260" s="170"/>
      <c r="Y260" s="189"/>
      <c r="Z260" s="170"/>
      <c r="AA260" s="170"/>
    </row>
    <row r="261" spans="1:45" ht="15" customHeight="1">
      <c r="B261" s="170"/>
      <c r="C261" s="1939"/>
      <c r="D261" s="1939"/>
      <c r="E261" s="1939"/>
      <c r="F261" s="145"/>
      <c r="G261" s="145"/>
      <c r="H261" s="145"/>
      <c r="I261" s="145"/>
      <c r="J261" s="98"/>
      <c r="K261" s="145"/>
      <c r="L261" s="170"/>
      <c r="M261" s="170"/>
      <c r="N261" s="170"/>
      <c r="O261" s="170"/>
      <c r="P261" s="170"/>
      <c r="Q261" s="170"/>
      <c r="R261" s="170"/>
      <c r="W261" s="170"/>
      <c r="Y261" s="189"/>
      <c r="Z261" s="170"/>
      <c r="AA261" s="170"/>
      <c r="AF261" s="73"/>
    </row>
    <row r="262" spans="1:45" ht="15" customHeight="1">
      <c r="B262" s="170"/>
      <c r="C262" s="363"/>
      <c r="D262" s="143" t="s">
        <v>239</v>
      </c>
      <c r="E262" s="170"/>
      <c r="F262" s="170"/>
      <c r="G262" s="170"/>
      <c r="H262" s="170"/>
      <c r="I262" s="170"/>
      <c r="J262" s="147"/>
      <c r="K262" s="170"/>
      <c r="L262" s="170"/>
      <c r="M262" s="170"/>
      <c r="N262" s="170"/>
      <c r="O262" s="170"/>
      <c r="P262" s="170"/>
      <c r="Q262" s="170"/>
      <c r="R262" s="170"/>
      <c r="S262" s="170"/>
      <c r="T262" s="170"/>
      <c r="U262" s="170"/>
      <c r="V262" s="170"/>
      <c r="W262" s="170"/>
      <c r="X262" s="170"/>
      <c r="Y262" s="361"/>
      <c r="Z262" s="170"/>
      <c r="AA262" s="170"/>
      <c r="AF262" s="73"/>
    </row>
    <row r="263" spans="1:45" ht="15" customHeight="1">
      <c r="B263" s="170"/>
      <c r="C263" s="363"/>
      <c r="D263" s="170" t="s">
        <v>2276</v>
      </c>
      <c r="E263" s="170"/>
      <c r="F263" s="170"/>
      <c r="G263" s="170"/>
      <c r="H263" s="170"/>
      <c r="I263" s="147"/>
      <c r="J263" s="170"/>
      <c r="K263" s="170"/>
      <c r="L263" s="143"/>
      <c r="M263" s="592"/>
      <c r="N263" s="170"/>
      <c r="O263" s="170"/>
      <c r="P263" s="170"/>
      <c r="Q263" s="170"/>
      <c r="R263" s="170"/>
      <c r="S263" s="170"/>
      <c r="T263" s="170"/>
      <c r="U263" s="170"/>
      <c r="V263" s="170"/>
      <c r="W263" s="170"/>
      <c r="X263" s="361"/>
      <c r="Y263" s="170"/>
      <c r="Z263" s="170"/>
      <c r="AA263" s="73"/>
      <c r="AB263" s="143"/>
      <c r="AC263" s="463"/>
      <c r="AD263" s="73"/>
      <c r="AF263" s="73"/>
      <c r="AS263" s="143"/>
    </row>
    <row r="264" spans="1:45" ht="15" customHeight="1">
      <c r="B264" s="170"/>
      <c r="C264" s="363"/>
      <c r="D264" s="170" t="s">
        <v>1681</v>
      </c>
      <c r="E264" s="170"/>
      <c r="F264" s="170"/>
      <c r="G264" s="170"/>
      <c r="H264" s="170"/>
      <c r="I264" s="170"/>
      <c r="J264" s="147"/>
      <c r="K264" s="170"/>
      <c r="L264" s="170"/>
      <c r="M264" s="170"/>
      <c r="N264" s="170"/>
      <c r="O264" s="170"/>
      <c r="P264" s="170"/>
      <c r="Q264" s="170"/>
      <c r="R264" s="170"/>
      <c r="S264" s="170"/>
      <c r="T264" s="170"/>
      <c r="U264" s="170"/>
      <c r="V264" s="170"/>
      <c r="W264" s="170"/>
      <c r="X264" s="170"/>
      <c r="Y264" s="361"/>
      <c r="Z264" s="170"/>
      <c r="AA264" s="170"/>
      <c r="AF264" s="73"/>
    </row>
    <row r="265" spans="1:45" ht="15" customHeight="1">
      <c r="B265" s="170"/>
      <c r="C265" s="363"/>
      <c r="D265" s="170" t="s">
        <v>1682</v>
      </c>
      <c r="E265" s="170"/>
      <c r="F265" s="170"/>
      <c r="G265" s="170"/>
      <c r="H265" s="170"/>
      <c r="I265" s="170"/>
      <c r="J265" s="147"/>
      <c r="K265" s="170"/>
      <c r="L265" s="170"/>
      <c r="M265" s="170"/>
      <c r="N265" s="170"/>
      <c r="O265" s="170"/>
      <c r="P265" s="170"/>
      <c r="Q265" s="170"/>
      <c r="R265" s="170"/>
      <c r="S265" s="170"/>
      <c r="T265" s="170"/>
      <c r="U265" s="170"/>
      <c r="V265" s="170"/>
      <c r="W265" s="170"/>
      <c r="X265" s="170"/>
      <c r="Y265" s="361"/>
      <c r="Z265" s="170"/>
      <c r="AA265" s="170"/>
      <c r="AF265" s="73"/>
    </row>
    <row r="266" spans="1:45" ht="15" customHeight="1">
      <c r="B266" s="170"/>
      <c r="C266" s="363"/>
      <c r="D266" s="170" t="s">
        <v>1683</v>
      </c>
      <c r="E266" s="363"/>
      <c r="F266" s="170"/>
      <c r="G266" s="170"/>
      <c r="H266" s="170"/>
      <c r="I266" s="170"/>
      <c r="J266" s="147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361"/>
      <c r="Z266" s="170"/>
      <c r="AA266" s="170"/>
      <c r="AF266" s="73"/>
    </row>
    <row r="267" spans="1:45" ht="15" customHeight="1">
      <c r="A267" s="170"/>
      <c r="B267" s="170"/>
      <c r="C267" s="170"/>
      <c r="D267" s="170"/>
      <c r="E267" s="170"/>
      <c r="F267" s="189"/>
      <c r="G267" s="170"/>
      <c r="H267" s="189"/>
      <c r="I267" s="170"/>
      <c r="J267" s="189"/>
      <c r="K267" s="170"/>
      <c r="L267" s="189"/>
      <c r="M267" s="170"/>
      <c r="N267" s="170"/>
      <c r="O267" s="170"/>
      <c r="P267" s="170"/>
      <c r="Q267" s="170"/>
      <c r="R267" s="170"/>
      <c r="S267" s="170"/>
      <c r="T267" s="170"/>
      <c r="U267" s="170"/>
      <c r="V267" s="170"/>
      <c r="W267" s="170"/>
      <c r="X267" s="170"/>
      <c r="Y267" s="189"/>
      <c r="Z267" s="170"/>
      <c r="AA267" s="170"/>
      <c r="AF267" s="73"/>
    </row>
    <row r="268" spans="1:45" ht="15" customHeight="1">
      <c r="B268" s="89" t="s">
        <v>1676</v>
      </c>
      <c r="C268" s="143" t="s">
        <v>961</v>
      </c>
      <c r="D268" s="136"/>
      <c r="E268" s="147"/>
      <c r="F268" s="136"/>
      <c r="G268" s="136"/>
      <c r="H268" s="136"/>
      <c r="I268" s="170"/>
      <c r="J268" s="170"/>
      <c r="K268" s="189"/>
      <c r="L268" s="170"/>
      <c r="M268" s="189"/>
      <c r="N268" s="170"/>
      <c r="O268" s="137" t="s">
        <v>919</v>
      </c>
      <c r="P268" s="170"/>
      <c r="Q268" s="170"/>
      <c r="R268" s="170"/>
      <c r="S268" s="170"/>
      <c r="T268" s="170"/>
      <c r="U268" s="170"/>
      <c r="V268" s="170"/>
      <c r="W268" s="170"/>
      <c r="X268" s="170"/>
      <c r="Y268" s="189"/>
      <c r="Z268" s="170"/>
      <c r="AF268" s="73"/>
    </row>
    <row r="269" spans="1:45" ht="15" customHeight="1">
      <c r="B269" s="170"/>
      <c r="C269" s="148" t="s">
        <v>134</v>
      </c>
      <c r="D269" s="141"/>
      <c r="E269" s="141"/>
      <c r="F269" s="141"/>
      <c r="G269" s="141"/>
      <c r="H269" s="148" t="s">
        <v>1605</v>
      </c>
      <c r="I269" s="141"/>
      <c r="J269" s="141"/>
      <c r="K269" s="141"/>
      <c r="L269" s="170"/>
      <c r="M269" s="170"/>
      <c r="N269" s="170"/>
      <c r="O269" s="170"/>
      <c r="P269" s="170"/>
      <c r="Q269" s="170"/>
      <c r="R269" s="170"/>
      <c r="V269" s="170"/>
      <c r="W269" s="170"/>
      <c r="X269" s="170"/>
      <c r="Y269" s="189"/>
      <c r="Z269" s="170"/>
      <c r="AA269" s="170"/>
      <c r="AF269" s="73"/>
    </row>
    <row r="270" spans="1:45" ht="15" customHeight="1">
      <c r="B270" s="170"/>
      <c r="C270" s="146" t="s">
        <v>243</v>
      </c>
      <c r="D270" s="146"/>
      <c r="E270" s="146"/>
      <c r="F270" s="146"/>
      <c r="G270" s="146"/>
      <c r="H270" s="151" t="s">
        <v>242</v>
      </c>
      <c r="I270" s="146"/>
      <c r="J270" s="146"/>
      <c r="K270" s="146"/>
      <c r="L270" s="170"/>
      <c r="M270" s="170"/>
      <c r="N270" s="170"/>
      <c r="O270" s="170"/>
      <c r="P270" s="170"/>
      <c r="Q270" s="170"/>
      <c r="R270" s="170"/>
      <c r="V270" s="170"/>
      <c r="W270" s="170"/>
      <c r="X270" s="170"/>
      <c r="Y270" s="189"/>
      <c r="Z270" s="170"/>
      <c r="AA270" s="170"/>
      <c r="AF270" s="73"/>
    </row>
    <row r="271" spans="1:45" ht="15" customHeight="1">
      <c r="B271" s="170"/>
      <c r="C271" s="1937" t="s">
        <v>244</v>
      </c>
      <c r="D271" s="1937"/>
      <c r="E271" s="1937"/>
      <c r="F271" s="99"/>
      <c r="G271" s="99"/>
      <c r="H271" s="99"/>
      <c r="I271" s="99"/>
      <c r="J271" s="99"/>
      <c r="K271" s="99"/>
      <c r="L271" s="170"/>
      <c r="M271" s="170"/>
      <c r="N271" s="170"/>
      <c r="O271" s="170"/>
      <c r="P271" s="170"/>
      <c r="Q271" s="170"/>
      <c r="R271" s="170"/>
      <c r="V271" s="170"/>
      <c r="W271" s="170"/>
      <c r="X271" s="170"/>
      <c r="Y271" s="189"/>
      <c r="Z271" s="170"/>
      <c r="AA271" s="170"/>
      <c r="AF271" s="73"/>
    </row>
    <row r="272" spans="1:45" ht="15" customHeight="1">
      <c r="B272" s="170"/>
      <c r="C272" s="1930"/>
      <c r="D272" s="1930"/>
      <c r="E272" s="1930"/>
      <c r="F272" s="118"/>
      <c r="G272" s="118"/>
      <c r="H272" s="118"/>
      <c r="I272" s="118"/>
      <c r="J272" s="118"/>
      <c r="K272" s="118"/>
      <c r="L272" s="170"/>
      <c r="M272" s="170"/>
      <c r="N272" s="170"/>
      <c r="O272" s="170"/>
      <c r="P272" s="170"/>
      <c r="Q272" s="170"/>
      <c r="R272" s="170"/>
      <c r="T272" s="170"/>
      <c r="U272" s="170"/>
      <c r="V272" s="170"/>
      <c r="W272" s="170"/>
      <c r="X272" s="170"/>
      <c r="Y272" s="189"/>
      <c r="Z272" s="170"/>
      <c r="AA272" s="170"/>
      <c r="AF272" s="73"/>
    </row>
    <row r="273" spans="1:32" ht="15" customHeight="1">
      <c r="B273" s="170"/>
      <c r="C273" s="145" t="s">
        <v>245</v>
      </c>
      <c r="D273" s="145"/>
      <c r="E273" s="145"/>
      <c r="F273" s="145"/>
      <c r="G273" s="145"/>
      <c r="H273" s="149" t="s">
        <v>1684</v>
      </c>
      <c r="I273" s="145"/>
      <c r="J273" s="145"/>
      <c r="K273" s="145"/>
      <c r="L273" s="170"/>
      <c r="M273" s="170"/>
      <c r="N273" s="170"/>
      <c r="O273" s="170"/>
      <c r="P273" s="170"/>
      <c r="Q273" s="170"/>
      <c r="R273" s="170"/>
      <c r="S273" s="170"/>
      <c r="T273" s="170"/>
      <c r="U273" s="170"/>
      <c r="V273" s="170"/>
      <c r="W273" s="170"/>
      <c r="X273" s="170"/>
      <c r="Y273" s="189"/>
      <c r="Z273" s="170"/>
      <c r="AA273" s="170"/>
      <c r="AF273" s="73"/>
    </row>
    <row r="274" spans="1:32" ht="15" customHeight="1">
      <c r="B274" s="170"/>
      <c r="C274" s="170"/>
      <c r="D274" s="170" t="s">
        <v>246</v>
      </c>
      <c r="E274" s="170"/>
      <c r="F274" s="170"/>
      <c r="G274" s="189"/>
      <c r="H274" s="170"/>
      <c r="I274" s="189"/>
      <c r="J274" s="170"/>
      <c r="K274" s="189"/>
      <c r="L274" s="170"/>
      <c r="M274" s="189"/>
      <c r="N274" s="170"/>
      <c r="O274" s="170"/>
      <c r="P274" s="170"/>
      <c r="Q274" s="170"/>
      <c r="R274" s="170"/>
      <c r="S274" s="170"/>
      <c r="T274" s="170"/>
      <c r="U274" s="170"/>
      <c r="V274" s="170"/>
      <c r="W274" s="170"/>
      <c r="X274" s="170"/>
      <c r="Y274" s="189"/>
      <c r="Z274" s="170"/>
      <c r="AA274" s="170"/>
      <c r="AF274" s="73"/>
    </row>
    <row r="275" spans="1:32" ht="15" customHeight="1">
      <c r="B275" s="170"/>
      <c r="C275" s="170"/>
      <c r="D275" s="170" t="s">
        <v>1685</v>
      </c>
      <c r="E275" s="170"/>
      <c r="F275" s="170"/>
      <c r="G275" s="361"/>
      <c r="H275" s="170"/>
      <c r="I275" s="361"/>
      <c r="J275" s="170"/>
      <c r="K275" s="361"/>
      <c r="L275" s="170"/>
      <c r="M275" s="361"/>
      <c r="N275" s="170"/>
      <c r="O275" s="170"/>
      <c r="P275" s="170"/>
      <c r="Q275" s="170"/>
      <c r="R275" s="170"/>
      <c r="S275" s="170"/>
      <c r="T275" s="170"/>
      <c r="U275" s="170"/>
      <c r="V275" s="170"/>
      <c r="W275" s="170"/>
      <c r="X275" s="170"/>
      <c r="Y275" s="361"/>
      <c r="Z275" s="170"/>
      <c r="AA275" s="170"/>
      <c r="AF275" s="73"/>
    </row>
    <row r="276" spans="1:32" ht="15" customHeight="1">
      <c r="B276" s="170"/>
      <c r="C276" s="170"/>
      <c r="D276" s="170" t="s">
        <v>1686</v>
      </c>
      <c r="E276" s="170"/>
      <c r="F276" s="170"/>
      <c r="G276" s="361"/>
      <c r="H276" s="170"/>
      <c r="I276" s="361"/>
      <c r="J276" s="170"/>
      <c r="K276" s="361"/>
      <c r="L276" s="170"/>
      <c r="M276" s="361"/>
      <c r="N276" s="170"/>
      <c r="O276" s="170"/>
      <c r="P276" s="170"/>
      <c r="Q276" s="170"/>
      <c r="R276" s="170"/>
      <c r="S276" s="170"/>
      <c r="T276" s="170"/>
      <c r="U276" s="170"/>
      <c r="V276" s="170"/>
      <c r="W276" s="170"/>
      <c r="X276" s="170"/>
      <c r="Y276" s="361"/>
      <c r="Z276" s="170"/>
      <c r="AA276" s="170"/>
      <c r="AF276" s="73"/>
    </row>
    <row r="277" spans="1:32" ht="15" customHeight="1">
      <c r="B277" s="170"/>
      <c r="C277" s="170"/>
      <c r="D277" s="170"/>
      <c r="E277" s="170"/>
      <c r="F277" s="170"/>
      <c r="G277" s="361"/>
      <c r="H277" s="170"/>
      <c r="I277" s="361"/>
      <c r="J277" s="170"/>
      <c r="K277" s="361"/>
      <c r="L277" s="170"/>
      <c r="M277" s="361"/>
      <c r="N277" s="170"/>
      <c r="O277" s="170"/>
      <c r="P277" s="170"/>
      <c r="Q277" s="170"/>
      <c r="R277" s="170"/>
      <c r="S277" s="170"/>
      <c r="T277" s="170"/>
      <c r="U277" s="170"/>
      <c r="V277" s="170"/>
      <c r="W277" s="170"/>
      <c r="X277" s="170"/>
      <c r="Y277" s="361"/>
      <c r="Z277" s="170"/>
      <c r="AA277" s="170"/>
      <c r="AF277" s="73"/>
    </row>
    <row r="278" spans="1:32" ht="15" customHeight="1">
      <c r="B278" s="89" t="s">
        <v>1676</v>
      </c>
      <c r="C278" s="143" t="s">
        <v>247</v>
      </c>
      <c r="D278" s="136"/>
      <c r="E278" s="147"/>
      <c r="F278" s="136"/>
      <c r="G278" s="136"/>
      <c r="H278" s="136"/>
      <c r="I278" s="170"/>
      <c r="J278" s="170"/>
      <c r="K278" s="189"/>
      <c r="L278" s="170"/>
      <c r="M278" s="189"/>
      <c r="N278" s="170"/>
      <c r="O278" s="137" t="s">
        <v>725</v>
      </c>
      <c r="P278" s="170"/>
      <c r="Q278" s="170"/>
      <c r="R278" s="170"/>
      <c r="S278" s="170"/>
      <c r="T278" s="170"/>
      <c r="U278" s="170"/>
      <c r="V278" s="170"/>
      <c r="W278" s="170"/>
      <c r="X278" s="170"/>
      <c r="Y278" s="189"/>
      <c r="Z278" s="170"/>
      <c r="AF278" s="73"/>
    </row>
    <row r="279" spans="1:32" ht="15" customHeight="1">
      <c r="B279" s="170"/>
      <c r="C279" s="148" t="s">
        <v>134</v>
      </c>
      <c r="D279" s="141"/>
      <c r="E279" s="141"/>
      <c r="F279" s="141"/>
      <c r="G279" s="141"/>
      <c r="H279" s="148" t="s">
        <v>248</v>
      </c>
      <c r="I279" s="141"/>
      <c r="J279" s="141"/>
      <c r="K279" s="141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89"/>
      <c r="Z279" s="170"/>
      <c r="AA279" s="170"/>
      <c r="AF279" s="73"/>
    </row>
    <row r="280" spans="1:32" ht="15" customHeight="1">
      <c r="B280" s="170"/>
      <c r="C280" s="146" t="s">
        <v>1687</v>
      </c>
      <c r="D280" s="146"/>
      <c r="E280" s="146"/>
      <c r="F280" s="146"/>
      <c r="G280" s="146"/>
      <c r="H280" s="151" t="s">
        <v>1688</v>
      </c>
      <c r="I280" s="146"/>
      <c r="J280" s="146"/>
      <c r="K280" s="146"/>
      <c r="L280" s="170"/>
      <c r="M280" s="170"/>
      <c r="N280" s="170"/>
      <c r="O280" s="170"/>
      <c r="P280" s="170"/>
      <c r="Q280" s="170"/>
      <c r="R280" s="170"/>
      <c r="S280" s="170"/>
      <c r="T280" s="170"/>
      <c r="U280" s="170"/>
      <c r="V280" s="170"/>
      <c r="W280" s="170"/>
      <c r="X280" s="170"/>
      <c r="Y280" s="189"/>
      <c r="Z280" s="170"/>
      <c r="AA280" s="170"/>
      <c r="AF280" s="73"/>
    </row>
    <row r="281" spans="1:32" ht="15" customHeight="1">
      <c r="B281" s="170"/>
      <c r="C281" s="1937" t="s">
        <v>1689</v>
      </c>
      <c r="D281" s="1937"/>
      <c r="E281" s="1937"/>
      <c r="F281" s="170"/>
      <c r="G281" s="170"/>
      <c r="H281" s="170"/>
      <c r="I281" s="170"/>
      <c r="J281" s="170"/>
      <c r="K281" s="170"/>
      <c r="L281" s="170"/>
      <c r="M281" s="170"/>
      <c r="N281" s="170"/>
      <c r="O281" s="170"/>
      <c r="P281" s="170"/>
      <c r="Q281" s="170"/>
      <c r="R281" s="170"/>
      <c r="S281" s="170"/>
      <c r="T281" s="170"/>
      <c r="U281" s="170"/>
      <c r="V281" s="170"/>
      <c r="W281" s="170"/>
      <c r="X281" s="170"/>
      <c r="Y281" s="189"/>
      <c r="Z281" s="170"/>
      <c r="AA281" s="170"/>
      <c r="AF281" s="73"/>
    </row>
    <row r="282" spans="1:32" ht="15" customHeight="1">
      <c r="B282" s="170"/>
      <c r="C282" s="1930"/>
      <c r="D282" s="1930"/>
      <c r="E282" s="1930"/>
      <c r="F282" s="170"/>
      <c r="G282" s="170"/>
      <c r="H282" s="170"/>
      <c r="I282" s="170"/>
      <c r="J282" s="170"/>
      <c r="K282" s="170"/>
      <c r="L282" s="170"/>
      <c r="M282" s="170"/>
      <c r="N282" s="170"/>
      <c r="O282" s="170"/>
      <c r="P282" s="170"/>
      <c r="Q282" s="170"/>
      <c r="R282" s="170"/>
      <c r="S282" s="170"/>
      <c r="T282" s="170"/>
      <c r="U282" s="170"/>
      <c r="V282" s="170"/>
      <c r="W282" s="170"/>
      <c r="X282" s="170"/>
      <c r="Y282" s="189"/>
      <c r="Z282" s="170"/>
      <c r="AA282" s="170"/>
    </row>
    <row r="283" spans="1:32" ht="15" customHeight="1">
      <c r="B283" s="170"/>
      <c r="C283" s="667" t="s">
        <v>1756</v>
      </c>
      <c r="D283" s="91"/>
      <c r="E283" s="91"/>
      <c r="F283" s="91"/>
      <c r="G283" s="91"/>
      <c r="H283" s="92" t="s">
        <v>1690</v>
      </c>
      <c r="I283" s="91"/>
      <c r="J283" s="91"/>
      <c r="K283" s="91"/>
      <c r="L283" s="170"/>
      <c r="M283" s="170"/>
      <c r="N283" s="170"/>
      <c r="O283" s="170"/>
      <c r="P283" s="170"/>
      <c r="Q283" s="170"/>
      <c r="R283" s="170"/>
      <c r="S283" s="170"/>
      <c r="T283" s="170"/>
      <c r="U283" s="170"/>
      <c r="V283" s="170"/>
      <c r="W283" s="170"/>
      <c r="X283" s="170"/>
      <c r="Y283" s="189"/>
      <c r="Z283" s="170"/>
      <c r="AA283" s="170"/>
    </row>
    <row r="284" spans="1:32" ht="15" customHeight="1">
      <c r="A284" s="170"/>
      <c r="B284" s="170"/>
      <c r="C284" s="170"/>
      <c r="D284" s="170"/>
      <c r="E284" s="170"/>
      <c r="F284" s="189"/>
      <c r="G284" s="170"/>
      <c r="H284" s="189"/>
      <c r="I284" s="170"/>
      <c r="J284" s="170"/>
      <c r="K284" s="170"/>
      <c r="L284" s="189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89"/>
      <c r="Z284" s="170"/>
      <c r="AA284" s="170"/>
    </row>
    <row r="285" spans="1:32" ht="15" customHeight="1">
      <c r="A285" s="170"/>
      <c r="B285" s="170"/>
      <c r="C285" s="170"/>
      <c r="D285" s="170"/>
      <c r="E285" s="170"/>
      <c r="F285" s="189"/>
      <c r="G285" s="170"/>
      <c r="H285" s="189"/>
      <c r="I285" s="170"/>
      <c r="J285" s="189"/>
      <c r="K285" s="170"/>
      <c r="L285" s="189"/>
      <c r="M285" s="170"/>
      <c r="N285" s="170"/>
      <c r="O285" s="170"/>
      <c r="P285" s="170"/>
      <c r="Q285" s="170"/>
      <c r="R285" s="170"/>
      <c r="S285" s="170"/>
      <c r="T285" s="170"/>
      <c r="U285" s="170"/>
      <c r="V285" s="170"/>
      <c r="W285" s="170"/>
      <c r="X285" s="170"/>
      <c r="Y285" s="189"/>
      <c r="Z285" s="170"/>
      <c r="AA285" s="170"/>
    </row>
    <row r="286" spans="1:32" ht="15" customHeight="1">
      <c r="A286" s="170"/>
      <c r="B286" s="170"/>
      <c r="C286" s="170"/>
      <c r="D286" s="170"/>
      <c r="E286" s="170"/>
      <c r="F286" s="189"/>
      <c r="G286" s="170"/>
      <c r="H286" s="189"/>
      <c r="I286" s="170"/>
      <c r="J286" s="189"/>
      <c r="K286" s="170"/>
      <c r="L286" s="189"/>
      <c r="M286" s="170"/>
      <c r="N286" s="170"/>
      <c r="O286" s="170"/>
      <c r="P286" s="170"/>
      <c r="Q286" s="170"/>
      <c r="R286" s="170"/>
      <c r="S286" s="170"/>
      <c r="T286" s="170"/>
      <c r="U286" s="170"/>
      <c r="V286" s="170"/>
      <c r="W286" s="170"/>
      <c r="X286" s="170"/>
      <c r="Y286" s="189"/>
      <c r="Z286" s="170"/>
      <c r="AA286" s="170"/>
    </row>
    <row r="287" spans="1:32" ht="15" customHeight="1">
      <c r="A287" s="134"/>
      <c r="F287" s="189"/>
      <c r="G287" s="170"/>
      <c r="H287" s="189"/>
      <c r="I287" s="170"/>
      <c r="J287" s="189"/>
      <c r="K287" s="170"/>
      <c r="L287" s="189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89"/>
      <c r="Z287" s="170"/>
      <c r="AA287" s="170"/>
    </row>
    <row r="288" spans="1:32" ht="15" customHeight="1">
      <c r="A288" s="134"/>
      <c r="F288" s="189"/>
      <c r="G288" s="170"/>
      <c r="H288" s="189"/>
      <c r="I288" s="170"/>
      <c r="J288" s="189"/>
      <c r="K288" s="170"/>
      <c r="L288" s="189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89"/>
      <c r="Z288" s="170"/>
      <c r="AA288" s="170"/>
    </row>
    <row r="289" spans="1:27" ht="15" customHeight="1">
      <c r="A289" s="134"/>
      <c r="H289" s="203"/>
      <c r="I289" s="170"/>
      <c r="J289" s="203"/>
      <c r="K289" s="170"/>
      <c r="L289" s="203"/>
      <c r="M289" s="170"/>
      <c r="N289" s="170"/>
      <c r="O289" s="170"/>
      <c r="P289" s="170"/>
      <c r="Q289" s="170"/>
      <c r="R289" s="170"/>
      <c r="S289" s="170"/>
      <c r="T289" s="170"/>
      <c r="U289" s="170"/>
      <c r="V289" s="170"/>
      <c r="W289" s="170"/>
      <c r="X289" s="170"/>
      <c r="Y289" s="203"/>
      <c r="Z289" s="170"/>
      <c r="AA289" s="170"/>
    </row>
    <row r="290" spans="1:27" ht="15" customHeight="1">
      <c r="A290" s="134"/>
      <c r="H290" s="203"/>
      <c r="I290" s="170"/>
      <c r="J290" s="203"/>
      <c r="K290" s="170"/>
      <c r="L290" s="203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203"/>
      <c r="Z290" s="170"/>
      <c r="AA290" s="170"/>
    </row>
    <row r="291" spans="1:27" ht="15" customHeight="1">
      <c r="A291" s="134"/>
      <c r="G291" s="170"/>
      <c r="H291" s="203"/>
      <c r="I291" s="170"/>
      <c r="J291" s="203"/>
      <c r="K291" s="170"/>
      <c r="L291" s="203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203"/>
      <c r="Z291" s="170"/>
      <c r="AA291" s="170"/>
    </row>
    <row r="292" spans="1:27" ht="15" customHeight="1">
      <c r="A292" s="134"/>
      <c r="C292" s="170" t="s">
        <v>400</v>
      </c>
      <c r="D292" s="124" t="s">
        <v>404</v>
      </c>
      <c r="E292" s="170" t="s">
        <v>402</v>
      </c>
      <c r="G292" s="170"/>
      <c r="H292" s="203"/>
      <c r="I292" s="170"/>
      <c r="J292" s="203"/>
      <c r="K292" s="170"/>
      <c r="L292" s="203"/>
      <c r="M292" s="170"/>
      <c r="N292" s="170"/>
      <c r="O292" s="170"/>
      <c r="P292" s="170"/>
      <c r="Q292" s="170"/>
      <c r="R292" s="170"/>
      <c r="S292" s="170"/>
      <c r="T292" s="170"/>
      <c r="U292" s="170"/>
      <c r="V292" s="170"/>
      <c r="W292" s="170"/>
      <c r="X292" s="170"/>
      <c r="Y292" s="203"/>
      <c r="Z292" s="170"/>
      <c r="AA292" s="170"/>
    </row>
    <row r="293" spans="1:27" ht="15" customHeight="1">
      <c r="A293" s="134"/>
      <c r="C293" s="170" t="s">
        <v>401</v>
      </c>
      <c r="D293" s="124" t="s">
        <v>404</v>
      </c>
      <c r="E293" s="170" t="s">
        <v>403</v>
      </c>
      <c r="G293" s="170"/>
      <c r="H293" s="203"/>
      <c r="I293" s="170"/>
      <c r="J293" s="203"/>
      <c r="K293" s="170"/>
      <c r="L293" s="203"/>
      <c r="M293" s="170"/>
      <c r="N293" s="170"/>
      <c r="O293" s="170"/>
      <c r="P293" s="170"/>
      <c r="Q293" s="170"/>
      <c r="R293" s="170"/>
      <c r="S293" s="170"/>
      <c r="T293" s="170"/>
      <c r="U293" s="170"/>
      <c r="V293" s="170"/>
      <c r="W293" s="170"/>
      <c r="X293" s="170"/>
      <c r="Y293" s="203"/>
      <c r="Z293" s="170"/>
      <c r="AA293" s="170"/>
    </row>
    <row r="294" spans="1:27" ht="15" customHeight="1">
      <c r="A294" s="134"/>
      <c r="C294" s="170" t="s">
        <v>405</v>
      </c>
      <c r="D294" s="124" t="s">
        <v>404</v>
      </c>
      <c r="E294" s="170" t="s">
        <v>406</v>
      </c>
      <c r="F294" s="170"/>
      <c r="G294" s="170"/>
      <c r="H294" s="203"/>
      <c r="I294" s="170"/>
      <c r="J294" s="203"/>
      <c r="K294" s="170"/>
      <c r="L294" s="203"/>
      <c r="M294" s="170"/>
      <c r="N294" s="170"/>
      <c r="O294" s="170"/>
      <c r="P294" s="170"/>
      <c r="Q294" s="170"/>
      <c r="R294" s="170"/>
      <c r="S294" s="170"/>
      <c r="T294" s="170"/>
      <c r="U294" s="170"/>
      <c r="V294" s="170"/>
      <c r="W294" s="170"/>
      <c r="X294" s="170"/>
      <c r="Y294" s="203"/>
      <c r="Z294" s="170"/>
      <c r="AA294" s="170"/>
    </row>
    <row r="295" spans="1:27" ht="15" customHeight="1">
      <c r="A295" s="134"/>
      <c r="C295" s="170"/>
      <c r="D295" s="170" t="s">
        <v>407</v>
      </c>
      <c r="F295" s="170"/>
      <c r="G295" s="170"/>
      <c r="H295" s="361"/>
      <c r="I295" s="170"/>
      <c r="J295" s="361"/>
      <c r="K295" s="170"/>
      <c r="L295" s="361"/>
      <c r="M295" s="170"/>
      <c r="N295" s="170"/>
      <c r="O295" s="170"/>
      <c r="P295" s="170"/>
      <c r="Q295" s="170"/>
      <c r="R295" s="170"/>
      <c r="S295" s="170"/>
      <c r="T295" s="170"/>
      <c r="U295" s="170"/>
      <c r="V295" s="170"/>
      <c r="W295" s="170"/>
      <c r="X295" s="170"/>
      <c r="Y295" s="361"/>
      <c r="Z295" s="170"/>
      <c r="AA295" s="170"/>
    </row>
    <row r="296" spans="1:27" ht="15" customHeight="1">
      <c r="A296" s="134"/>
      <c r="G296" s="170"/>
      <c r="H296" s="361"/>
      <c r="I296" s="170"/>
      <c r="J296" s="361"/>
      <c r="K296" s="170"/>
      <c r="L296" s="361"/>
      <c r="M296" s="170"/>
      <c r="N296" s="170"/>
      <c r="O296" s="170"/>
      <c r="P296" s="170"/>
      <c r="Q296" s="170"/>
      <c r="R296" s="170"/>
      <c r="S296" s="170"/>
      <c r="T296" s="170"/>
      <c r="U296" s="170"/>
      <c r="V296" s="170"/>
      <c r="W296" s="170"/>
      <c r="X296" s="170"/>
      <c r="Y296" s="361"/>
      <c r="Z296" s="170"/>
      <c r="AA296" s="170"/>
    </row>
    <row r="297" spans="1:27" ht="15" customHeight="1">
      <c r="A297" s="134"/>
      <c r="B297" s="89" t="s">
        <v>1676</v>
      </c>
      <c r="C297" s="143" t="s">
        <v>249</v>
      </c>
      <c r="D297" s="136"/>
      <c r="E297" s="147"/>
      <c r="F297" s="136"/>
      <c r="G297" s="136"/>
      <c r="H297" s="136"/>
      <c r="I297" s="170"/>
      <c r="J297" s="170"/>
      <c r="K297" s="170"/>
      <c r="L297" s="170"/>
      <c r="M297" s="189"/>
      <c r="N297" s="170"/>
      <c r="O297" s="137" t="s">
        <v>725</v>
      </c>
      <c r="P297" s="170"/>
      <c r="Q297" s="170"/>
      <c r="R297" s="170"/>
      <c r="S297" s="170"/>
      <c r="T297" s="170"/>
      <c r="U297" s="170"/>
      <c r="V297" s="170"/>
      <c r="W297" s="170"/>
      <c r="X297" s="170"/>
      <c r="Y297" s="203"/>
      <c r="Z297" s="170"/>
    </row>
    <row r="298" spans="1:27" ht="15" customHeight="1">
      <c r="B298" s="170"/>
      <c r="C298" s="148" t="s">
        <v>134</v>
      </c>
      <c r="D298" s="141"/>
      <c r="E298" s="148"/>
      <c r="F298" s="148"/>
      <c r="G298" s="141"/>
      <c r="H298" s="148" t="s">
        <v>250</v>
      </c>
      <c r="I298" s="141"/>
      <c r="J298" s="141"/>
      <c r="K298" s="141"/>
      <c r="L298" s="170"/>
      <c r="M298" s="170"/>
      <c r="N298" s="170"/>
      <c r="O298" s="170"/>
      <c r="P298" s="170"/>
      <c r="Q298" s="170"/>
      <c r="R298" s="170"/>
      <c r="S298" s="170"/>
      <c r="T298" s="170"/>
      <c r="U298" s="170"/>
      <c r="V298" s="170"/>
      <c r="W298" s="170"/>
      <c r="X298" s="170"/>
      <c r="Y298" s="203"/>
      <c r="Z298" s="170"/>
      <c r="AA298" s="170"/>
    </row>
    <row r="299" spans="1:27" ht="15" customHeight="1">
      <c r="B299" s="134"/>
      <c r="C299" s="93" t="s">
        <v>1691</v>
      </c>
      <c r="D299" s="93"/>
      <c r="E299" s="93"/>
      <c r="F299" s="93"/>
      <c r="G299" s="93"/>
      <c r="H299" s="94" t="s">
        <v>251</v>
      </c>
      <c r="I299" s="93"/>
      <c r="J299" s="93"/>
      <c r="K299" s="93"/>
      <c r="L299" s="170"/>
      <c r="M299" s="170"/>
      <c r="N299" s="170"/>
      <c r="O299" s="170"/>
      <c r="P299" s="170"/>
      <c r="Q299" s="170"/>
      <c r="R299" s="170"/>
      <c r="S299" s="170"/>
      <c r="T299" s="170"/>
      <c r="U299" s="170"/>
      <c r="V299" s="170"/>
      <c r="W299" s="170"/>
      <c r="X299" s="170"/>
      <c r="Y299" s="203"/>
      <c r="Z299" s="170"/>
      <c r="AA299" s="170"/>
    </row>
    <row r="300" spans="1:27" ht="15" customHeight="1">
      <c r="B300" s="170"/>
      <c r="C300" s="110" t="s">
        <v>1692</v>
      </c>
      <c r="D300" s="110"/>
      <c r="E300" s="111"/>
      <c r="F300" s="110"/>
      <c r="G300" s="110"/>
      <c r="H300" s="110" t="s">
        <v>1693</v>
      </c>
      <c r="I300" s="110"/>
      <c r="J300" s="110"/>
      <c r="K300" s="110"/>
      <c r="L300" s="170"/>
      <c r="M300" s="170"/>
      <c r="N300" s="170"/>
      <c r="O300" s="170"/>
      <c r="P300" s="170"/>
      <c r="Q300" s="170"/>
      <c r="R300" s="170"/>
      <c r="S300" s="170"/>
      <c r="T300" s="170"/>
      <c r="U300" s="170"/>
      <c r="V300" s="170"/>
      <c r="W300" s="170"/>
      <c r="X300" s="170"/>
      <c r="Y300" s="203"/>
      <c r="Z300" s="170"/>
      <c r="AA300" s="170"/>
    </row>
    <row r="301" spans="1:27" ht="15" customHeight="1">
      <c r="B301" s="170"/>
      <c r="C301" s="145" t="s">
        <v>1694</v>
      </c>
      <c r="D301" s="145"/>
      <c r="E301" s="149"/>
      <c r="F301" s="145"/>
      <c r="G301" s="145"/>
      <c r="H301" s="145" t="s">
        <v>1695</v>
      </c>
      <c r="I301" s="145"/>
      <c r="J301" s="145"/>
      <c r="K301" s="145"/>
      <c r="L301" s="170"/>
      <c r="M301" s="170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203"/>
      <c r="Z301" s="170"/>
      <c r="AA301" s="170"/>
    </row>
    <row r="302" spans="1:27" ht="15" customHeight="1">
      <c r="L302" s="143"/>
      <c r="Q302" s="170"/>
      <c r="R302" s="170"/>
      <c r="S302" s="170"/>
      <c r="T302" s="170"/>
      <c r="U302" s="170"/>
      <c r="V302" s="170"/>
      <c r="W302" s="170"/>
      <c r="X302" s="170"/>
      <c r="Y302" s="203"/>
      <c r="Z302" s="170"/>
      <c r="AA302" s="170"/>
    </row>
    <row r="303" spans="1:27" ht="15" customHeight="1">
      <c r="B303" s="89" t="s">
        <v>1676</v>
      </c>
      <c r="C303" s="145" t="s">
        <v>2143</v>
      </c>
      <c r="D303" s="145"/>
      <c r="E303" s="145"/>
      <c r="F303" s="145"/>
      <c r="G303" s="145"/>
      <c r="H303" s="145"/>
      <c r="I303" s="145"/>
      <c r="J303" s="145"/>
      <c r="K303" s="145"/>
      <c r="L303" s="145"/>
      <c r="M303" s="192"/>
      <c r="N303" s="145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203"/>
      <c r="Z303" s="170"/>
      <c r="AA303" s="170"/>
    </row>
    <row r="304" spans="1:27" ht="15" customHeight="1">
      <c r="B304" s="170"/>
      <c r="C304" s="148" t="s">
        <v>134</v>
      </c>
      <c r="D304" s="148"/>
      <c r="E304" s="141"/>
      <c r="F304" s="141"/>
      <c r="G304" s="148" t="s">
        <v>129</v>
      </c>
      <c r="H304" s="141"/>
      <c r="I304" s="141"/>
      <c r="J304" s="141"/>
      <c r="K304" s="148" t="s">
        <v>252</v>
      </c>
      <c r="L304" s="141"/>
      <c r="M304" s="141"/>
      <c r="N304" s="141"/>
      <c r="O304" s="539"/>
      <c r="P304" s="539"/>
      <c r="Q304" s="539"/>
      <c r="R304" s="539"/>
      <c r="S304" s="539"/>
      <c r="T304" s="539"/>
      <c r="U304" s="539"/>
      <c r="V304" s="539"/>
      <c r="W304" s="539"/>
      <c r="X304" s="539"/>
      <c r="Y304" s="203"/>
      <c r="Z304" s="170"/>
      <c r="AA304" s="170"/>
    </row>
    <row r="305" spans="1:45" ht="15" customHeight="1">
      <c r="B305" s="170"/>
      <c r="C305" s="146" t="s">
        <v>253</v>
      </c>
      <c r="D305" s="146"/>
      <c r="E305" s="146"/>
      <c r="F305" s="146"/>
      <c r="G305" s="113">
        <v>4</v>
      </c>
      <c r="H305" s="146"/>
      <c r="I305" s="146"/>
      <c r="J305" s="146"/>
      <c r="K305" s="553">
        <v>5.34</v>
      </c>
      <c r="L305" s="146"/>
      <c r="M305" s="146"/>
      <c r="N305" s="146"/>
      <c r="O305" s="539"/>
      <c r="P305" s="539"/>
      <c r="Q305" s="539"/>
      <c r="R305" s="539"/>
      <c r="S305" s="539"/>
      <c r="T305" s="539"/>
      <c r="U305" s="539"/>
      <c r="V305" s="539"/>
      <c r="W305" s="539"/>
      <c r="X305" s="539"/>
      <c r="Y305" s="203"/>
      <c r="Z305" s="170"/>
      <c r="AA305" s="170"/>
    </row>
    <row r="306" spans="1:45" ht="15" customHeight="1">
      <c r="B306" s="170"/>
      <c r="C306" s="170"/>
      <c r="D306" s="115"/>
      <c r="E306" s="170" t="s">
        <v>214</v>
      </c>
      <c r="F306" s="170"/>
      <c r="G306" s="170" t="s">
        <v>1696</v>
      </c>
      <c r="H306" s="170"/>
      <c r="I306" s="170"/>
      <c r="J306" s="170"/>
      <c r="K306" s="170"/>
      <c r="L306" s="170"/>
      <c r="M306" s="170"/>
      <c r="N306" s="170"/>
      <c r="O306" s="539"/>
      <c r="P306" s="539"/>
      <c r="Q306" s="539"/>
      <c r="R306" s="539"/>
      <c r="S306" s="539"/>
      <c r="T306" s="539"/>
      <c r="U306" s="539"/>
      <c r="V306" s="539"/>
      <c r="W306" s="539"/>
      <c r="X306" s="539"/>
      <c r="Y306" s="203"/>
      <c r="Z306" s="170"/>
      <c r="AA306" s="170"/>
    </row>
    <row r="307" spans="1:45" ht="15" customHeight="1">
      <c r="B307" s="170"/>
      <c r="C307" s="115" t="s">
        <v>255</v>
      </c>
      <c r="D307" s="115"/>
      <c r="E307" s="170"/>
      <c r="F307" s="170"/>
      <c r="G307" s="170"/>
      <c r="H307" s="170"/>
      <c r="I307" s="170"/>
      <c r="J307" s="170"/>
      <c r="K307" s="170"/>
      <c r="L307" s="170"/>
      <c r="M307" s="170"/>
      <c r="N307" s="170"/>
      <c r="O307" s="539"/>
      <c r="P307" s="539"/>
      <c r="Q307" s="539"/>
      <c r="R307" s="539"/>
      <c r="S307" s="539"/>
      <c r="T307" s="539"/>
      <c r="U307" s="539"/>
      <c r="V307" s="539"/>
      <c r="W307" s="539"/>
      <c r="X307" s="539"/>
      <c r="Y307" s="203"/>
      <c r="Z307" s="170"/>
      <c r="AA307" s="170"/>
    </row>
    <row r="308" spans="1:45" ht="15" customHeight="1">
      <c r="B308" s="134"/>
      <c r="C308" s="115"/>
      <c r="D308" s="115"/>
      <c r="E308" s="170" t="s">
        <v>256</v>
      </c>
      <c r="F308" s="170"/>
      <c r="G308" s="170" t="s">
        <v>1697</v>
      </c>
      <c r="H308" s="170"/>
      <c r="I308" s="170"/>
      <c r="J308" s="170"/>
      <c r="K308" s="170"/>
      <c r="L308" s="170"/>
      <c r="M308" s="170"/>
      <c r="N308" s="170"/>
      <c r="O308" s="539"/>
      <c r="P308" s="539"/>
      <c r="Q308" s="539"/>
      <c r="R308" s="539"/>
      <c r="S308" s="539"/>
      <c r="T308" s="539"/>
      <c r="U308" s="539"/>
      <c r="V308" s="539"/>
      <c r="W308" s="539"/>
      <c r="X308" s="539"/>
      <c r="Y308" s="203"/>
      <c r="Z308" s="170"/>
      <c r="AA308" s="170"/>
    </row>
    <row r="309" spans="1:45" ht="15" customHeight="1">
      <c r="B309" s="170"/>
      <c r="C309" s="112"/>
      <c r="D309" s="112"/>
      <c r="E309" s="145"/>
      <c r="F309" s="145"/>
      <c r="G309" s="145"/>
      <c r="H309" s="145"/>
      <c r="I309" s="145"/>
      <c r="J309" s="145"/>
      <c r="K309" s="145"/>
      <c r="L309" s="145"/>
      <c r="M309" s="145"/>
      <c r="N309" s="145"/>
      <c r="O309" s="539"/>
      <c r="P309" s="539"/>
      <c r="Q309" s="539"/>
      <c r="R309" s="539"/>
      <c r="S309" s="539"/>
      <c r="T309" s="539"/>
      <c r="U309" s="539"/>
      <c r="V309" s="539"/>
      <c r="W309" s="539"/>
      <c r="X309" s="539"/>
      <c r="Y309" s="203"/>
      <c r="Z309" s="170"/>
      <c r="AA309" s="170"/>
    </row>
    <row r="310" spans="1:45" ht="15" customHeight="1">
      <c r="A310" s="170"/>
      <c r="C310" s="115" t="s">
        <v>1163</v>
      </c>
      <c r="D310" s="170"/>
      <c r="E310" s="170"/>
      <c r="F310" s="170"/>
      <c r="G310" s="100"/>
      <c r="H310" s="170"/>
      <c r="I310" s="170"/>
      <c r="K310" s="170"/>
      <c r="L310" s="189"/>
      <c r="M310" s="170"/>
      <c r="N310" s="170"/>
      <c r="O310" s="170"/>
      <c r="P310" s="539"/>
      <c r="Q310" s="539"/>
      <c r="R310" s="539"/>
      <c r="S310" s="539"/>
      <c r="T310" s="539"/>
      <c r="U310" s="539"/>
      <c r="V310" s="539"/>
      <c r="W310" s="539"/>
      <c r="X310" s="539"/>
      <c r="Y310" s="203"/>
      <c r="Z310" s="170"/>
      <c r="AA310" s="170"/>
    </row>
    <row r="311" spans="1:45" ht="15" customHeight="1">
      <c r="A311" s="170"/>
      <c r="C311" s="191" t="s">
        <v>1162</v>
      </c>
      <c r="D311" s="170"/>
      <c r="E311" s="170"/>
      <c r="F311" s="170"/>
      <c r="G311" s="100"/>
      <c r="H311" s="170"/>
      <c r="I311" s="170"/>
      <c r="J311" s="170"/>
      <c r="K311" s="170"/>
      <c r="L311" s="189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203"/>
      <c r="Z311" s="170"/>
      <c r="AA311" s="170"/>
    </row>
    <row r="312" spans="1:45" ht="15" customHeight="1">
      <c r="A312" s="170"/>
      <c r="B312" s="205"/>
      <c r="C312" s="170"/>
      <c r="D312" s="170"/>
      <c r="E312" s="170"/>
      <c r="F312" s="170"/>
      <c r="G312" s="100"/>
      <c r="H312" s="170"/>
      <c r="I312" s="170"/>
      <c r="J312" s="170"/>
      <c r="K312" s="170"/>
      <c r="L312" s="203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203"/>
      <c r="Z312" s="170"/>
      <c r="AA312" s="170"/>
    </row>
    <row r="313" spans="1:45" ht="15" customHeight="1" thickBot="1">
      <c r="A313" s="468" t="s">
        <v>1623</v>
      </c>
      <c r="G313" s="4"/>
      <c r="H313" s="4"/>
      <c r="I313" s="4"/>
      <c r="L313" s="362"/>
      <c r="O313" s="52"/>
      <c r="U313" s="249"/>
      <c r="W313" s="362"/>
      <c r="Y313" s="362"/>
      <c r="AB313" s="463"/>
      <c r="AD313" s="73"/>
      <c r="AF313" s="73"/>
    </row>
    <row r="314" spans="1:45" ht="15" customHeight="1">
      <c r="A314" s="540" t="s">
        <v>340</v>
      </c>
      <c r="B314" s="1918" t="s">
        <v>700</v>
      </c>
      <c r="C314" s="1911"/>
      <c r="D314" s="1911"/>
      <c r="E314" s="1911"/>
      <c r="F314" s="1919"/>
      <c r="G314" s="1918" t="s">
        <v>1884</v>
      </c>
      <c r="H314" s="1911"/>
      <c r="I314" s="1911"/>
      <c r="J314" s="1919"/>
      <c r="K314" s="1918" t="s">
        <v>701</v>
      </c>
      <c r="L314" s="1919"/>
      <c r="M314" s="547" t="s">
        <v>359</v>
      </c>
      <c r="N314" s="547" t="s">
        <v>360</v>
      </c>
      <c r="O314" s="545" t="s">
        <v>395</v>
      </c>
      <c r="AA314" s="73"/>
      <c r="AC314" s="73"/>
      <c r="AD314" s="73"/>
      <c r="AF314" s="73"/>
      <c r="AG314" s="143"/>
      <c r="AH314" s="143"/>
      <c r="AI314" s="143"/>
      <c r="AJ314" s="143"/>
      <c r="AK314" s="143"/>
      <c r="AL314" s="143"/>
      <c r="AM314" s="143"/>
      <c r="AN314" s="143"/>
      <c r="AO314" s="143"/>
      <c r="AP314" s="143"/>
      <c r="AQ314" s="143"/>
      <c r="AR314" s="143"/>
      <c r="AS314" s="143"/>
    </row>
    <row r="315" spans="1:45" ht="15" customHeight="1">
      <c r="A315" s="541"/>
      <c r="B315" s="554" t="s">
        <v>697</v>
      </c>
      <c r="C315" s="554" t="s">
        <v>698</v>
      </c>
      <c r="D315" s="554" t="s">
        <v>699</v>
      </c>
      <c r="E315" s="554" t="s">
        <v>1620</v>
      </c>
      <c r="F315" s="554" t="s">
        <v>684</v>
      </c>
      <c r="G315" s="749" t="s">
        <v>1638</v>
      </c>
      <c r="H315" s="749" t="s">
        <v>1639</v>
      </c>
      <c r="I315" s="749" t="s">
        <v>1606</v>
      </c>
      <c r="J315" s="749" t="s">
        <v>685</v>
      </c>
      <c r="K315" s="554" t="s">
        <v>686</v>
      </c>
      <c r="L315" s="793" t="s">
        <v>687</v>
      </c>
      <c r="M315" s="551"/>
      <c r="N315" s="551"/>
      <c r="O315" s="546"/>
      <c r="S315" s="190"/>
      <c r="U315" s="73"/>
      <c r="V315" s="73"/>
      <c r="W315" s="73"/>
      <c r="X315" s="73"/>
      <c r="Y315" s="73"/>
      <c r="Z315" s="73"/>
      <c r="AB315" s="143"/>
      <c r="AD315" s="143"/>
      <c r="AE315" s="143"/>
      <c r="AF315" s="143"/>
      <c r="AG315" s="143"/>
      <c r="AH315" s="143"/>
      <c r="AI315" s="143"/>
      <c r="AJ315" s="143"/>
      <c r="AK315" s="143"/>
      <c r="AL315" s="143"/>
      <c r="AM315" s="143"/>
      <c r="AN315" s="143"/>
      <c r="AO315" s="143"/>
      <c r="AP315" s="143"/>
      <c r="AQ315" s="143"/>
      <c r="AR315" s="143"/>
      <c r="AS315" s="143"/>
    </row>
    <row r="316" spans="1:45" ht="15" customHeight="1">
      <c r="A316" s="593" t="str">
        <f t="shared" ref="A316:A347" si="11">A95</f>
        <v>101i</v>
      </c>
      <c r="B316" s="594">
        <f>IF(D161="Positive",input!CL3,input!CT3)</f>
        <v>1390.9238462846163</v>
      </c>
      <c r="C316" s="594">
        <f>IF(D161="Positive",input!CM3,input!CU3)</f>
        <v>1243.0761537153837</v>
      </c>
      <c r="D316" s="594">
        <f>input!H3</f>
        <v>22</v>
      </c>
      <c r="E316" s="594">
        <f>input!K3</f>
        <v>12</v>
      </c>
      <c r="F316" s="594">
        <f>MAX(B316-D316,C316-E316)</f>
        <v>1368.9238462846163</v>
      </c>
      <c r="G316" s="765">
        <f>input!F3</f>
        <v>2</v>
      </c>
      <c r="H316" s="765">
        <f>input!G3</f>
        <v>500</v>
      </c>
      <c r="I316" s="765">
        <f>input!J3</f>
        <v>1940</v>
      </c>
      <c r="J316" s="820">
        <f>IF(B316-D316&gt;=C316-E316,G316*H316*D316,I316*E316)</f>
        <v>22000</v>
      </c>
      <c r="K316" s="595">
        <f>MAX(ABS(Stress!F832),ABS(Stress!G832),input!BI3)</f>
        <v>380</v>
      </c>
      <c r="L316" s="595">
        <f>MIN(input!BK3/K316,1)</f>
        <v>0.93421052631578949</v>
      </c>
      <c r="M316" s="595">
        <f>input!N3</f>
        <v>12</v>
      </c>
      <c r="N316" s="595">
        <f t="shared" ref="N316:N347" si="12">2*F316*M316/J316</f>
        <v>1.4933714686741268</v>
      </c>
      <c r="O316" s="597">
        <f>IF(input!BK3&gt;=input!BI3,1,(12+N316*(3*L316-L316^3))/(12+2*N316))</f>
        <v>0.99873449260718117</v>
      </c>
      <c r="S316" s="190"/>
      <c r="U316" s="73"/>
      <c r="V316" s="73"/>
      <c r="W316" s="73"/>
      <c r="X316" s="73"/>
      <c r="Y316" s="73"/>
      <c r="Z316" s="73"/>
      <c r="AB316" s="143"/>
      <c r="AD316" s="143"/>
      <c r="AE316" s="143"/>
      <c r="AF316" s="143"/>
      <c r="AG316" s="143"/>
      <c r="AH316" s="143"/>
      <c r="AI316" s="143"/>
      <c r="AJ316" s="143"/>
      <c r="AK316" s="143"/>
      <c r="AL316" s="143"/>
      <c r="AM316" s="143"/>
      <c r="AN316" s="143"/>
      <c r="AO316" s="143"/>
      <c r="AP316" s="143"/>
      <c r="AQ316" s="143"/>
      <c r="AR316" s="143"/>
      <c r="AS316" s="143"/>
    </row>
    <row r="317" spans="1:45" ht="15" customHeight="1">
      <c r="A317" s="593" t="str">
        <f t="shared" si="11"/>
        <v>101j</v>
      </c>
      <c r="B317" s="594">
        <f>IF(D162="Positive",input!CL4,input!CT4)</f>
        <v>1390.9238462846163</v>
      </c>
      <c r="C317" s="594">
        <f>IF(D162="Positive",input!CM4,input!CU4)</f>
        <v>1243.0761537153837</v>
      </c>
      <c r="D317" s="594">
        <f>input!H4</f>
        <v>22</v>
      </c>
      <c r="E317" s="594">
        <f>input!K4</f>
        <v>12</v>
      </c>
      <c r="F317" s="594">
        <f t="shared" ref="F317:F347" si="13">MAX(B317-D317,C317-E317)</f>
        <v>1368.9238462846163</v>
      </c>
      <c r="G317" s="765">
        <f>input!F4</f>
        <v>2</v>
      </c>
      <c r="H317" s="765">
        <f>input!G4</f>
        <v>500</v>
      </c>
      <c r="I317" s="765">
        <f>input!J4</f>
        <v>1940</v>
      </c>
      <c r="J317" s="820">
        <f t="shared" ref="J317:J377" si="14">IF(B317-D317&gt;=C317-E317,G317*H317*D317,I317*E317)</f>
        <v>22000</v>
      </c>
      <c r="K317" s="595">
        <f>MAX(ABS(Stress!F833),ABS(Stress!G833),input!BI4)</f>
        <v>380</v>
      </c>
      <c r="L317" s="595">
        <f>MIN(input!BK4/K317,1)</f>
        <v>0.93421052631578949</v>
      </c>
      <c r="M317" s="595">
        <f>input!N4</f>
        <v>12</v>
      </c>
      <c r="N317" s="595">
        <f t="shared" si="12"/>
        <v>1.4933714686741268</v>
      </c>
      <c r="O317" s="597">
        <f>IF(input!BK4&gt;=input!BI4,1,(12+N317*(3*L317-L317^3))/(12+2*N317))</f>
        <v>0.99873449260718117</v>
      </c>
      <c r="S317" s="190"/>
      <c r="U317" s="73"/>
      <c r="V317" s="73"/>
      <c r="W317" s="73"/>
      <c r="X317" s="73"/>
      <c r="Y317" s="73"/>
      <c r="Z317" s="73"/>
      <c r="AB317" s="143"/>
      <c r="AD317" s="143"/>
      <c r="AE317" s="143"/>
      <c r="AF317" s="143"/>
      <c r="AG317" s="143"/>
      <c r="AH317" s="143"/>
      <c r="AI317" s="143"/>
      <c r="AJ317" s="143"/>
      <c r="AK317" s="143"/>
      <c r="AL317" s="143"/>
      <c r="AM317" s="143"/>
      <c r="AN317" s="143"/>
      <c r="AO317" s="143"/>
      <c r="AP317" s="143"/>
      <c r="AQ317" s="143"/>
      <c r="AR317" s="143"/>
      <c r="AS317" s="143"/>
    </row>
    <row r="318" spans="1:45" ht="15" customHeight="1">
      <c r="A318" s="593" t="str">
        <f t="shared" si="11"/>
        <v>102i</v>
      </c>
      <c r="B318" s="594">
        <f>IF(D163="Positive",input!CL5,input!CT5)</f>
        <v>1390.9238462846163</v>
      </c>
      <c r="C318" s="594">
        <f>IF(D163="Positive",input!CM5,input!CU5)</f>
        <v>1243.0761537153837</v>
      </c>
      <c r="D318" s="594">
        <f>input!H5</f>
        <v>22</v>
      </c>
      <c r="E318" s="594">
        <f>input!K5</f>
        <v>12</v>
      </c>
      <c r="F318" s="594">
        <f t="shared" si="13"/>
        <v>1368.9238462846163</v>
      </c>
      <c r="G318" s="765">
        <f>input!F5</f>
        <v>2</v>
      </c>
      <c r="H318" s="765">
        <f>input!G5</f>
        <v>500</v>
      </c>
      <c r="I318" s="765">
        <f>input!J5</f>
        <v>1940</v>
      </c>
      <c r="J318" s="820">
        <f t="shared" si="14"/>
        <v>22000</v>
      </c>
      <c r="K318" s="595">
        <f>MAX(ABS(Stress!F834),ABS(Stress!G834),input!BI5)</f>
        <v>380</v>
      </c>
      <c r="L318" s="595">
        <f>MIN(input!BK5/K318,1)</f>
        <v>0.93421052631578949</v>
      </c>
      <c r="M318" s="595">
        <f>input!N5</f>
        <v>12</v>
      </c>
      <c r="N318" s="595">
        <f t="shared" si="12"/>
        <v>1.4933714686741268</v>
      </c>
      <c r="O318" s="597">
        <f>IF(input!BK5&gt;=input!BI5,1,(12+N318*(3*L318-L318^3))/(12+2*N318))</f>
        <v>0.99873449260718117</v>
      </c>
      <c r="S318" s="190"/>
      <c r="U318" s="73"/>
      <c r="V318" s="73"/>
      <c r="W318" s="73"/>
      <c r="X318" s="73"/>
      <c r="Y318" s="73"/>
      <c r="Z318" s="73"/>
      <c r="AB318" s="143"/>
      <c r="AD318" s="143"/>
      <c r="AE318" s="143"/>
      <c r="AF318" s="143"/>
      <c r="AG318" s="143"/>
      <c r="AH318" s="143"/>
      <c r="AI318" s="143"/>
      <c r="AJ318" s="143"/>
      <c r="AK318" s="143"/>
      <c r="AL318" s="143"/>
      <c r="AM318" s="143"/>
      <c r="AN318" s="143"/>
      <c r="AO318" s="143"/>
      <c r="AP318" s="143"/>
      <c r="AQ318" s="143"/>
      <c r="AR318" s="143"/>
      <c r="AS318" s="143"/>
    </row>
    <row r="319" spans="1:45" ht="15" customHeight="1">
      <c r="A319" s="593" t="str">
        <f t="shared" si="11"/>
        <v>102j</v>
      </c>
      <c r="B319" s="594">
        <f>IF(D164="Positive",input!CL6,input!CT6)</f>
        <v>1390.9238462846163</v>
      </c>
      <c r="C319" s="594">
        <f>IF(D164="Positive",input!CM6,input!CU6)</f>
        <v>1243.0761537153837</v>
      </c>
      <c r="D319" s="594">
        <f>input!H6</f>
        <v>22</v>
      </c>
      <c r="E319" s="594">
        <f>input!K6</f>
        <v>12</v>
      </c>
      <c r="F319" s="594">
        <f t="shared" si="13"/>
        <v>1368.9238462846163</v>
      </c>
      <c r="G319" s="765">
        <f>input!F6</f>
        <v>2</v>
      </c>
      <c r="H319" s="765">
        <f>input!G6</f>
        <v>500</v>
      </c>
      <c r="I319" s="765">
        <f>input!J6</f>
        <v>1940</v>
      </c>
      <c r="J319" s="820">
        <f t="shared" si="14"/>
        <v>22000</v>
      </c>
      <c r="K319" s="595">
        <f>MAX(ABS(Stress!F835),ABS(Stress!G835),input!BI6)</f>
        <v>380</v>
      </c>
      <c r="L319" s="595">
        <f>MIN(input!BK6/K319,1)</f>
        <v>0.93421052631578949</v>
      </c>
      <c r="M319" s="595">
        <f>input!N6</f>
        <v>12</v>
      </c>
      <c r="N319" s="595">
        <f t="shared" si="12"/>
        <v>1.4933714686741268</v>
      </c>
      <c r="O319" s="597">
        <f>IF(input!BK6&gt;=input!BI6,1,(12+N319*(3*L319-L319^3))/(12+2*N319))</f>
        <v>0.99873449260718117</v>
      </c>
      <c r="S319" s="190"/>
      <c r="U319" s="73"/>
      <c r="V319" s="73"/>
      <c r="W319" s="73"/>
      <c r="X319" s="73"/>
      <c r="Y319" s="73"/>
      <c r="Z319" s="73"/>
      <c r="AB319" s="143"/>
      <c r="AD319" s="143"/>
      <c r="AE319" s="143"/>
      <c r="AF319" s="143"/>
      <c r="AG319" s="143"/>
      <c r="AH319" s="143"/>
      <c r="AI319" s="143"/>
      <c r="AJ319" s="143"/>
      <c r="AK319" s="143"/>
      <c r="AL319" s="143"/>
      <c r="AM319" s="143"/>
      <c r="AN319" s="143"/>
      <c r="AO319" s="143"/>
      <c r="AP319" s="143"/>
      <c r="AQ319" s="143"/>
      <c r="AR319" s="143"/>
      <c r="AS319" s="143"/>
    </row>
    <row r="320" spans="1:45" ht="15" customHeight="1">
      <c r="A320" s="593" t="str">
        <f t="shared" si="11"/>
        <v>103i</v>
      </c>
      <c r="B320" s="594">
        <f>IF(D165="Positive",input!CL7,input!CT7)</f>
        <v>1528.071930954698</v>
      </c>
      <c r="C320" s="594">
        <f>IF(D165="Positive",input!CM7,input!CU7)</f>
        <v>1319.928069045302</v>
      </c>
      <c r="D320" s="594">
        <f>input!H7</f>
        <v>30</v>
      </c>
      <c r="E320" s="594">
        <f>input!K7</f>
        <v>18</v>
      </c>
      <c r="F320" s="594">
        <f t="shared" si="13"/>
        <v>1498.071930954698</v>
      </c>
      <c r="G320" s="765">
        <f>input!F7</f>
        <v>2</v>
      </c>
      <c r="H320" s="765">
        <f>input!G7</f>
        <v>500</v>
      </c>
      <c r="I320" s="765">
        <f>input!J7</f>
        <v>1940</v>
      </c>
      <c r="J320" s="820">
        <f t="shared" si="14"/>
        <v>30000</v>
      </c>
      <c r="K320" s="595">
        <f>MAX(ABS(Stress!F836),ABS(Stress!G836),input!BI7)</f>
        <v>380</v>
      </c>
      <c r="L320" s="595">
        <f>MIN(input!BK7/K320,1)</f>
        <v>0.93421052631578949</v>
      </c>
      <c r="M320" s="595">
        <f>input!N7</f>
        <v>12</v>
      </c>
      <c r="N320" s="595">
        <f t="shared" si="12"/>
        <v>1.1984575447637582</v>
      </c>
      <c r="O320" s="597">
        <f>IF(input!BK7&gt;=input!BI7,1,(12+N320*(3*L320-L320^3))/(12+2*N320))</f>
        <v>0.9989427996325303</v>
      </c>
      <c r="S320" s="190"/>
      <c r="U320" s="73"/>
      <c r="V320" s="73"/>
      <c r="W320" s="73"/>
      <c r="X320" s="73"/>
      <c r="Y320" s="73"/>
      <c r="Z320" s="73"/>
      <c r="AB320" s="143"/>
      <c r="AD320" s="143"/>
      <c r="AE320" s="143"/>
      <c r="AF320" s="143"/>
      <c r="AG320" s="143"/>
      <c r="AH320" s="143"/>
      <c r="AI320" s="143"/>
      <c r="AJ320" s="143"/>
      <c r="AK320" s="143"/>
      <c r="AL320" s="143"/>
      <c r="AM320" s="143"/>
      <c r="AN320" s="143"/>
      <c r="AO320" s="143"/>
      <c r="AP320" s="143"/>
      <c r="AQ320" s="143"/>
      <c r="AR320" s="143"/>
      <c r="AS320" s="143"/>
    </row>
    <row r="321" spans="1:45" ht="15" customHeight="1">
      <c r="A321" s="593" t="str">
        <f t="shared" si="11"/>
        <v>103j</v>
      </c>
      <c r="B321" s="594">
        <f>IF(D166="Positive",input!CL8,input!CT8)</f>
        <v>1528.071930954698</v>
      </c>
      <c r="C321" s="594">
        <f>IF(D166="Positive",input!CM8,input!CU8)</f>
        <v>1319.928069045302</v>
      </c>
      <c r="D321" s="594">
        <f>input!H8</f>
        <v>30</v>
      </c>
      <c r="E321" s="594">
        <f>input!K8</f>
        <v>18</v>
      </c>
      <c r="F321" s="594">
        <f t="shared" si="13"/>
        <v>1498.071930954698</v>
      </c>
      <c r="G321" s="765">
        <f>input!F8</f>
        <v>2</v>
      </c>
      <c r="H321" s="765">
        <f>input!G8</f>
        <v>500</v>
      </c>
      <c r="I321" s="765">
        <f>input!J8</f>
        <v>1940</v>
      </c>
      <c r="J321" s="820">
        <f t="shared" si="14"/>
        <v>30000</v>
      </c>
      <c r="K321" s="595">
        <f>MAX(ABS(Stress!F837),ABS(Stress!G837),input!BI8)</f>
        <v>380</v>
      </c>
      <c r="L321" s="595">
        <f>MIN(input!BK8/K321,1)</f>
        <v>0.93421052631578949</v>
      </c>
      <c r="M321" s="595">
        <f>input!N8</f>
        <v>12</v>
      </c>
      <c r="N321" s="595">
        <f t="shared" si="12"/>
        <v>1.1984575447637582</v>
      </c>
      <c r="O321" s="597">
        <f>IF(input!BK8&gt;=input!BI8,1,(12+N321*(3*L321-L321^3))/(12+2*N321))</f>
        <v>0.9989427996325303</v>
      </c>
      <c r="S321" s="190"/>
      <c r="U321" s="73"/>
      <c r="V321" s="73"/>
      <c r="W321" s="73"/>
      <c r="X321" s="73"/>
      <c r="Y321" s="73"/>
      <c r="Z321" s="73"/>
      <c r="AB321" s="143"/>
      <c r="AD321" s="143"/>
      <c r="AE321" s="143"/>
      <c r="AF321" s="143"/>
      <c r="AG321" s="143"/>
      <c r="AH321" s="143"/>
      <c r="AI321" s="143"/>
      <c r="AJ321" s="143"/>
      <c r="AK321" s="143"/>
      <c r="AL321" s="143"/>
      <c r="AM321" s="143"/>
      <c r="AN321" s="143"/>
      <c r="AO321" s="143"/>
      <c r="AP321" s="143"/>
      <c r="AQ321" s="143"/>
      <c r="AR321" s="143"/>
      <c r="AS321" s="143"/>
    </row>
    <row r="322" spans="1:45" ht="15" customHeight="1">
      <c r="A322" s="593" t="str">
        <f t="shared" si="11"/>
        <v>104i</v>
      </c>
      <c r="B322" s="594">
        <f>IF(D167="Positive",input!CL9,input!CT9)</f>
        <v>1528.071930954698</v>
      </c>
      <c r="C322" s="594">
        <f>IF(D167="Positive",input!CM9,input!CU9)</f>
        <v>1319.928069045302</v>
      </c>
      <c r="D322" s="594">
        <f>input!H9</f>
        <v>30</v>
      </c>
      <c r="E322" s="594">
        <f>input!K9</f>
        <v>18</v>
      </c>
      <c r="F322" s="594">
        <f t="shared" si="13"/>
        <v>1498.071930954698</v>
      </c>
      <c r="G322" s="765">
        <f>input!F9</f>
        <v>2</v>
      </c>
      <c r="H322" s="765">
        <f>input!G9</f>
        <v>500</v>
      </c>
      <c r="I322" s="765">
        <f>input!J9</f>
        <v>1940</v>
      </c>
      <c r="J322" s="820">
        <f t="shared" si="14"/>
        <v>30000</v>
      </c>
      <c r="K322" s="595">
        <f>MAX(ABS(Stress!F838),ABS(Stress!G838),input!BI9)</f>
        <v>380</v>
      </c>
      <c r="L322" s="595">
        <f>MIN(input!BK9/K322,1)</f>
        <v>0.93421052631578949</v>
      </c>
      <c r="M322" s="595">
        <f>input!N9</f>
        <v>12</v>
      </c>
      <c r="N322" s="595">
        <f t="shared" si="12"/>
        <v>1.1984575447637582</v>
      </c>
      <c r="O322" s="597">
        <f>IF(input!BK9&gt;=input!BI9,1,(12+N322*(3*L322-L322^3))/(12+2*N322))</f>
        <v>0.9989427996325303</v>
      </c>
      <c r="S322" s="190"/>
      <c r="U322" s="73"/>
      <c r="V322" s="73"/>
      <c r="W322" s="73"/>
      <c r="X322" s="73"/>
      <c r="Y322" s="73"/>
      <c r="Z322" s="73"/>
      <c r="AB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  <c r="AS322" s="143"/>
    </row>
    <row r="323" spans="1:45" ht="15" customHeight="1">
      <c r="A323" s="593" t="str">
        <f t="shared" si="11"/>
        <v>104j</v>
      </c>
      <c r="B323" s="594">
        <f>IF(D168="Positive",input!CL10,input!CT10)</f>
        <v>1528.071930954698</v>
      </c>
      <c r="C323" s="594">
        <f>IF(D168="Positive",input!CM10,input!CU10)</f>
        <v>1319.928069045302</v>
      </c>
      <c r="D323" s="594">
        <f>input!H10</f>
        <v>30</v>
      </c>
      <c r="E323" s="594">
        <f>input!K10</f>
        <v>18</v>
      </c>
      <c r="F323" s="594">
        <f t="shared" si="13"/>
        <v>1498.071930954698</v>
      </c>
      <c r="G323" s="765">
        <f>input!F10</f>
        <v>2</v>
      </c>
      <c r="H323" s="765">
        <f>input!G10</f>
        <v>500</v>
      </c>
      <c r="I323" s="765">
        <f>input!J10</f>
        <v>1940</v>
      </c>
      <c r="J323" s="820">
        <f t="shared" si="14"/>
        <v>30000</v>
      </c>
      <c r="K323" s="595">
        <f>MAX(ABS(Stress!F839),ABS(Stress!G839),input!BI10)</f>
        <v>380</v>
      </c>
      <c r="L323" s="595">
        <f>MIN(input!BK10/K323,1)</f>
        <v>0.93421052631578949</v>
      </c>
      <c r="M323" s="595">
        <f>input!N10</f>
        <v>12</v>
      </c>
      <c r="N323" s="595">
        <f t="shared" si="12"/>
        <v>1.1984575447637582</v>
      </c>
      <c r="O323" s="597">
        <f>IF(input!BK10&gt;=input!BI10,1,(12+N323*(3*L323-L323^3))/(12+2*N323))</f>
        <v>0.9989427996325303</v>
      </c>
      <c r="S323" s="190"/>
      <c r="U323" s="73"/>
      <c r="V323" s="73"/>
      <c r="W323" s="73"/>
      <c r="X323" s="73"/>
      <c r="Y323" s="73"/>
      <c r="Z323" s="73"/>
      <c r="AB323" s="143"/>
      <c r="AD323" s="143"/>
      <c r="AE323" s="143"/>
      <c r="AF323" s="143"/>
      <c r="AG323" s="143"/>
      <c r="AH323" s="143"/>
      <c r="AI323" s="143"/>
      <c r="AJ323" s="143"/>
      <c r="AK323" s="143"/>
      <c r="AL323" s="143"/>
      <c r="AM323" s="143"/>
      <c r="AN323" s="143"/>
      <c r="AO323" s="143"/>
      <c r="AP323" s="143"/>
      <c r="AQ323" s="143"/>
      <c r="AR323" s="143"/>
      <c r="AS323" s="143"/>
    </row>
    <row r="324" spans="1:45" ht="15" customHeight="1">
      <c r="A324" s="593" t="str">
        <f t="shared" si="11"/>
        <v>105i</v>
      </c>
      <c r="B324" s="594">
        <f>IF(D169="Positive",input!CL11,input!CT11)</f>
        <v>1699.8831645586633</v>
      </c>
      <c r="C324" s="594">
        <f>IF(D169="Positive",input!CM11,input!CU11)</f>
        <v>1172.1168354413367</v>
      </c>
      <c r="D324" s="594">
        <f>input!H11</f>
        <v>38</v>
      </c>
      <c r="E324" s="594">
        <f>input!K11</f>
        <v>34</v>
      </c>
      <c r="F324" s="594">
        <f t="shared" si="13"/>
        <v>1661.8831645586633</v>
      </c>
      <c r="G324" s="765">
        <f>input!F11</f>
        <v>2</v>
      </c>
      <c r="H324" s="765">
        <f>input!G11</f>
        <v>500</v>
      </c>
      <c r="I324" s="765">
        <f>input!J11</f>
        <v>1940</v>
      </c>
      <c r="J324" s="820">
        <f t="shared" si="14"/>
        <v>38000</v>
      </c>
      <c r="K324" s="595">
        <f>MAX(ABS(Stress!F840),ABS(Stress!G840),input!BI11)</f>
        <v>380</v>
      </c>
      <c r="L324" s="595">
        <f>MIN(input!BK11/K324,1)</f>
        <v>0.93421052631578949</v>
      </c>
      <c r="M324" s="595">
        <f>input!N11</f>
        <v>12</v>
      </c>
      <c r="N324" s="595">
        <f t="shared" si="12"/>
        <v>1.049610419721261</v>
      </c>
      <c r="O324" s="597">
        <f>IF(input!BK11&gt;=input!BI11,1,(12+N324*(3*L324-L324^3))/(12+2*N324))</f>
        <v>0.9990545531586984</v>
      </c>
      <c r="S324" s="190"/>
      <c r="U324" s="73"/>
      <c r="V324" s="73"/>
      <c r="W324" s="73"/>
      <c r="X324" s="73"/>
      <c r="Y324" s="73"/>
      <c r="Z324" s="73"/>
      <c r="AB324" s="143"/>
      <c r="AD324" s="143"/>
      <c r="AE324" s="143"/>
      <c r="AF324" s="143"/>
      <c r="AG324" s="143"/>
      <c r="AH324" s="143"/>
      <c r="AI324" s="143"/>
      <c r="AJ324" s="143"/>
      <c r="AK324" s="143"/>
      <c r="AL324" s="143"/>
      <c r="AM324" s="143"/>
      <c r="AN324" s="143"/>
      <c r="AO324" s="143"/>
      <c r="AP324" s="143"/>
      <c r="AQ324" s="143"/>
      <c r="AR324" s="143"/>
      <c r="AS324" s="143"/>
    </row>
    <row r="325" spans="1:45" ht="15" customHeight="1">
      <c r="A325" s="593" t="str">
        <f t="shared" si="11"/>
        <v>105j</v>
      </c>
      <c r="B325" s="594">
        <f>IF(D170="Positive",input!CL12,input!CT12)</f>
        <v>1699.8831645586633</v>
      </c>
      <c r="C325" s="594">
        <f>IF(D170="Positive",input!CM12,input!CU12)</f>
        <v>1172.1168354413367</v>
      </c>
      <c r="D325" s="594">
        <f>input!H12</f>
        <v>38</v>
      </c>
      <c r="E325" s="594">
        <f>input!K12</f>
        <v>34</v>
      </c>
      <c r="F325" s="594">
        <f t="shared" si="13"/>
        <v>1661.8831645586633</v>
      </c>
      <c r="G325" s="765">
        <f>input!F12</f>
        <v>2</v>
      </c>
      <c r="H325" s="765">
        <f>input!G12</f>
        <v>500</v>
      </c>
      <c r="I325" s="765">
        <f>input!J12</f>
        <v>1940</v>
      </c>
      <c r="J325" s="820">
        <f t="shared" si="14"/>
        <v>38000</v>
      </c>
      <c r="K325" s="595">
        <f>MAX(ABS(Stress!F841),ABS(Stress!G841),input!BI12)</f>
        <v>380</v>
      </c>
      <c r="L325" s="595">
        <f>MIN(input!BK12/K325,1)</f>
        <v>0.93421052631578949</v>
      </c>
      <c r="M325" s="595">
        <f>input!N12</f>
        <v>12</v>
      </c>
      <c r="N325" s="595">
        <f t="shared" si="12"/>
        <v>1.049610419721261</v>
      </c>
      <c r="O325" s="597">
        <f>IF(input!BK12&gt;=input!BI12,1,(12+N325*(3*L325-L325^3))/(12+2*N325))</f>
        <v>0.9990545531586984</v>
      </c>
      <c r="S325" s="190"/>
      <c r="U325" s="73"/>
      <c r="V325" s="73"/>
      <c r="W325" s="73"/>
      <c r="X325" s="73"/>
      <c r="Y325" s="73"/>
      <c r="Z325" s="73"/>
      <c r="AB325" s="143"/>
      <c r="AD325" s="143"/>
      <c r="AE325" s="143"/>
      <c r="AF325" s="143"/>
      <c r="AG325" s="143"/>
      <c r="AH325" s="143"/>
      <c r="AI325" s="143"/>
      <c r="AJ325" s="143"/>
      <c r="AK325" s="143"/>
      <c r="AL325" s="143"/>
      <c r="AM325" s="143"/>
      <c r="AN325" s="143"/>
      <c r="AO325" s="143"/>
      <c r="AP325" s="143"/>
      <c r="AQ325" s="143"/>
      <c r="AR325" s="143"/>
      <c r="AS325" s="143"/>
    </row>
    <row r="326" spans="1:45" ht="15" customHeight="1">
      <c r="A326" s="593" t="str">
        <f t="shared" si="11"/>
        <v>106i</v>
      </c>
      <c r="B326" s="594">
        <f>IF(D171="Positive",input!CL13,input!CT13)</f>
        <v>1699.8831645586633</v>
      </c>
      <c r="C326" s="594">
        <f>IF(D171="Positive",input!CM13,input!CU13)</f>
        <v>1172.1168354413367</v>
      </c>
      <c r="D326" s="594">
        <f>input!H13</f>
        <v>38</v>
      </c>
      <c r="E326" s="594">
        <f>input!K13</f>
        <v>34</v>
      </c>
      <c r="F326" s="594">
        <f t="shared" si="13"/>
        <v>1661.8831645586633</v>
      </c>
      <c r="G326" s="765">
        <f>input!F13</f>
        <v>2</v>
      </c>
      <c r="H326" s="765">
        <f>input!G13</f>
        <v>500</v>
      </c>
      <c r="I326" s="765">
        <f>input!J13</f>
        <v>1940</v>
      </c>
      <c r="J326" s="820">
        <f t="shared" si="14"/>
        <v>38000</v>
      </c>
      <c r="K326" s="595">
        <f>MAX(ABS(Stress!F842),ABS(Stress!G842),input!BI13)</f>
        <v>380</v>
      </c>
      <c r="L326" s="595">
        <f>MIN(input!BK13/K326,1)</f>
        <v>0.93421052631578949</v>
      </c>
      <c r="M326" s="595">
        <f>input!N13</f>
        <v>12</v>
      </c>
      <c r="N326" s="595">
        <f t="shared" si="12"/>
        <v>1.049610419721261</v>
      </c>
      <c r="O326" s="597">
        <f>IF(input!BK13&gt;=input!BI13,1,(12+N326*(3*L326-L326^3))/(12+2*N326))</f>
        <v>0.9990545531586984</v>
      </c>
      <c r="S326" s="190"/>
      <c r="U326" s="73"/>
      <c r="V326" s="73"/>
      <c r="W326" s="73"/>
      <c r="X326" s="73"/>
      <c r="Y326" s="73"/>
      <c r="Z326" s="73"/>
      <c r="AB326" s="143"/>
      <c r="AD326" s="143"/>
      <c r="AE326" s="143"/>
      <c r="AF326" s="143"/>
      <c r="AG326" s="143"/>
      <c r="AH326" s="143"/>
      <c r="AI326" s="143"/>
      <c r="AJ326" s="143"/>
      <c r="AK326" s="143"/>
      <c r="AL326" s="143"/>
      <c r="AM326" s="143"/>
      <c r="AN326" s="143"/>
      <c r="AO326" s="143"/>
      <c r="AP326" s="143"/>
      <c r="AQ326" s="143"/>
      <c r="AR326" s="143"/>
      <c r="AS326" s="143"/>
    </row>
    <row r="327" spans="1:45" ht="15" customHeight="1">
      <c r="A327" s="593" t="str">
        <f t="shared" si="11"/>
        <v>106j</v>
      </c>
      <c r="B327" s="594">
        <f>IF(D172="Positive",input!CL14,input!CT14)</f>
        <v>1699.8831645586633</v>
      </c>
      <c r="C327" s="594">
        <f>IF(D172="Positive",input!CM14,input!CU14)</f>
        <v>1172.1168354413367</v>
      </c>
      <c r="D327" s="594">
        <f>input!H14</f>
        <v>38</v>
      </c>
      <c r="E327" s="594">
        <f>input!K14</f>
        <v>34</v>
      </c>
      <c r="F327" s="594">
        <f t="shared" si="13"/>
        <v>1661.8831645586633</v>
      </c>
      <c r="G327" s="765">
        <f>input!F14</f>
        <v>2</v>
      </c>
      <c r="H327" s="765">
        <f>input!G14</f>
        <v>500</v>
      </c>
      <c r="I327" s="765">
        <f>input!J14</f>
        <v>1940</v>
      </c>
      <c r="J327" s="820">
        <f t="shared" si="14"/>
        <v>38000</v>
      </c>
      <c r="K327" s="595">
        <f>MAX(ABS(Stress!F843),ABS(Stress!G843),input!BI14)</f>
        <v>380</v>
      </c>
      <c r="L327" s="595">
        <f>MIN(input!BK14/K327,1)</f>
        <v>0.93421052631578949</v>
      </c>
      <c r="M327" s="595">
        <f>input!N14</f>
        <v>12</v>
      </c>
      <c r="N327" s="595">
        <f t="shared" si="12"/>
        <v>1.049610419721261</v>
      </c>
      <c r="O327" s="597">
        <f>IF(input!BK14&gt;=input!BI14,1,(12+N327*(3*L327-L327^3))/(12+2*N327))</f>
        <v>0.9990545531586984</v>
      </c>
      <c r="S327" s="190"/>
      <c r="U327" s="73"/>
      <c r="V327" s="73"/>
      <c r="W327" s="73"/>
      <c r="X327" s="73"/>
      <c r="Y327" s="73"/>
      <c r="Z327" s="73"/>
      <c r="AB327" s="143"/>
      <c r="AD327" s="143"/>
      <c r="AE327" s="143"/>
      <c r="AF327" s="143"/>
      <c r="AG327" s="143"/>
      <c r="AH327" s="143"/>
      <c r="AI327" s="143"/>
      <c r="AJ327" s="143"/>
      <c r="AK327" s="143"/>
      <c r="AL327" s="143"/>
      <c r="AM327" s="143"/>
      <c r="AN327" s="143"/>
      <c r="AO327" s="143"/>
      <c r="AP327" s="143"/>
      <c r="AQ327" s="143"/>
      <c r="AR327" s="143"/>
      <c r="AS327" s="143"/>
    </row>
    <row r="328" spans="1:45" ht="15" customHeight="1">
      <c r="A328" s="593" t="str">
        <f t="shared" si="11"/>
        <v>107i</v>
      </c>
      <c r="B328" s="594">
        <f>IF(D173="Positive",input!CL15,input!CT15)</f>
        <v>1685.8661105921663</v>
      </c>
      <c r="C328" s="594">
        <f>IF(D173="Positive",input!CM15,input!CU15)</f>
        <v>1194.1338894078337</v>
      </c>
      <c r="D328" s="594">
        <f>input!H15</f>
        <v>40</v>
      </c>
      <c r="E328" s="594">
        <f>input!K15</f>
        <v>40</v>
      </c>
      <c r="F328" s="594">
        <f t="shared" si="13"/>
        <v>1645.8661105921663</v>
      </c>
      <c r="G328" s="765">
        <f>input!F15</f>
        <v>2</v>
      </c>
      <c r="H328" s="765">
        <f>input!G15</f>
        <v>600</v>
      </c>
      <c r="I328" s="765">
        <f>input!J15</f>
        <v>1940</v>
      </c>
      <c r="J328" s="820">
        <f t="shared" si="14"/>
        <v>48000</v>
      </c>
      <c r="K328" s="595">
        <f>MAX(ABS(Stress!F844),ABS(Stress!G844),input!BI15)</f>
        <v>380</v>
      </c>
      <c r="L328" s="595">
        <f>MIN(input!BK15/K328,1)</f>
        <v>0.93421052631578949</v>
      </c>
      <c r="M328" s="595">
        <f>input!N15</f>
        <v>12</v>
      </c>
      <c r="N328" s="595">
        <f t="shared" si="12"/>
        <v>0.82293305529608307</v>
      </c>
      <c r="O328" s="597">
        <f>IF(input!BK15&gt;=input!BI15,1,(12+N328*(3*L328-L328^3))/(12+2*N328))</f>
        <v>0.99923410806496615</v>
      </c>
      <c r="S328" s="190"/>
      <c r="U328" s="73"/>
      <c r="V328" s="73"/>
      <c r="W328" s="73"/>
      <c r="X328" s="73"/>
      <c r="Y328" s="73"/>
      <c r="Z328" s="73"/>
      <c r="AB328" s="143"/>
      <c r="AD328" s="143"/>
      <c r="AE328" s="143"/>
      <c r="AF328" s="143"/>
      <c r="AG328" s="143"/>
      <c r="AH328" s="143"/>
      <c r="AI328" s="143"/>
      <c r="AJ328" s="143"/>
      <c r="AK328" s="143"/>
      <c r="AL328" s="143"/>
      <c r="AM328" s="143"/>
      <c r="AN328" s="143"/>
      <c r="AO328" s="143"/>
      <c r="AP328" s="143"/>
      <c r="AQ328" s="143"/>
      <c r="AR328" s="143"/>
      <c r="AS328" s="143"/>
    </row>
    <row r="329" spans="1:45" ht="15" customHeight="1">
      <c r="A329" s="593" t="str">
        <f t="shared" si="11"/>
        <v>107j</v>
      </c>
      <c r="B329" s="594">
        <f>IF(D174="Positive",input!CL16,input!CT16)</f>
        <v>1685.8661105921663</v>
      </c>
      <c r="C329" s="594">
        <f>IF(D174="Positive",input!CM16,input!CU16)</f>
        <v>1194.1338894078337</v>
      </c>
      <c r="D329" s="594">
        <f>input!H16</f>
        <v>40</v>
      </c>
      <c r="E329" s="594">
        <f>input!K16</f>
        <v>40</v>
      </c>
      <c r="F329" s="594">
        <f t="shared" si="13"/>
        <v>1645.8661105921663</v>
      </c>
      <c r="G329" s="765">
        <f>input!F16</f>
        <v>2</v>
      </c>
      <c r="H329" s="765">
        <f>input!G16</f>
        <v>600</v>
      </c>
      <c r="I329" s="765">
        <f>input!J16</f>
        <v>1940</v>
      </c>
      <c r="J329" s="820">
        <f t="shared" si="14"/>
        <v>48000</v>
      </c>
      <c r="K329" s="595">
        <f>MAX(ABS(Stress!F845),ABS(Stress!G845),input!BI16)</f>
        <v>380</v>
      </c>
      <c r="L329" s="595">
        <f>MIN(input!BK16/K329,1)</f>
        <v>0.93421052631578949</v>
      </c>
      <c r="M329" s="595">
        <f>input!N16</f>
        <v>12</v>
      </c>
      <c r="N329" s="595">
        <f t="shared" si="12"/>
        <v>0.82293305529608307</v>
      </c>
      <c r="O329" s="597">
        <f>IF(input!BK16&gt;=input!BI16,1,(12+N329*(3*L329-L329^3))/(12+2*N329))</f>
        <v>0.99923410806496615</v>
      </c>
      <c r="S329" s="190"/>
      <c r="U329" s="73"/>
      <c r="V329" s="73"/>
      <c r="W329" s="73"/>
      <c r="X329" s="73"/>
      <c r="Y329" s="73"/>
      <c r="Z329" s="73"/>
      <c r="AB329" s="143"/>
      <c r="AD329" s="143"/>
      <c r="AE329" s="143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  <c r="AS329" s="143"/>
    </row>
    <row r="330" spans="1:45" ht="15" customHeight="1">
      <c r="A330" s="593" t="str">
        <f t="shared" si="11"/>
        <v>108i</v>
      </c>
      <c r="B330" s="594">
        <f>IF(D175="Positive",input!CL17,input!CT17)</f>
        <v>1685.8661105921663</v>
      </c>
      <c r="C330" s="594">
        <f>IF(D175="Positive",input!CM17,input!CU17)</f>
        <v>1194.1338894078337</v>
      </c>
      <c r="D330" s="594">
        <f>input!H17</f>
        <v>40</v>
      </c>
      <c r="E330" s="594">
        <f>input!K17</f>
        <v>40</v>
      </c>
      <c r="F330" s="594">
        <f t="shared" si="13"/>
        <v>1645.8661105921663</v>
      </c>
      <c r="G330" s="765">
        <f>input!F17</f>
        <v>2</v>
      </c>
      <c r="H330" s="765">
        <f>input!G17</f>
        <v>600</v>
      </c>
      <c r="I330" s="765">
        <f>input!J17</f>
        <v>1940</v>
      </c>
      <c r="J330" s="820">
        <f t="shared" si="14"/>
        <v>48000</v>
      </c>
      <c r="K330" s="595">
        <f>MAX(ABS(Stress!F846),ABS(Stress!G846),input!BI17)</f>
        <v>380</v>
      </c>
      <c r="L330" s="595">
        <f>MIN(input!BK17/K330,1)</f>
        <v>0.93421052631578949</v>
      </c>
      <c r="M330" s="595">
        <f>input!N17</f>
        <v>12</v>
      </c>
      <c r="N330" s="595">
        <f t="shared" si="12"/>
        <v>0.82293305529608307</v>
      </c>
      <c r="O330" s="597">
        <f>IF(input!BK17&gt;=input!BI17,1,(12+N330*(3*L330-L330^3))/(12+2*N330))</f>
        <v>0.99923410806496615</v>
      </c>
      <c r="S330" s="190"/>
      <c r="U330" s="73"/>
      <c r="V330" s="73"/>
      <c r="W330" s="73"/>
      <c r="X330" s="73"/>
      <c r="Y330" s="73"/>
      <c r="Z330" s="73"/>
      <c r="AB330" s="143"/>
      <c r="AD330" s="143"/>
      <c r="AE330" s="143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  <c r="AS330" s="143"/>
    </row>
    <row r="331" spans="1:45" ht="15" customHeight="1">
      <c r="A331" s="593" t="str">
        <f t="shared" si="11"/>
        <v>108j</v>
      </c>
      <c r="B331" s="594">
        <f>IF(D176="Positive",input!CL18,input!CT18)</f>
        <v>1685.8661105921663</v>
      </c>
      <c r="C331" s="594">
        <f>IF(D176="Positive",input!CM18,input!CU18)</f>
        <v>1194.1338894078337</v>
      </c>
      <c r="D331" s="594">
        <f>input!H18</f>
        <v>40</v>
      </c>
      <c r="E331" s="594">
        <f>input!K18</f>
        <v>40</v>
      </c>
      <c r="F331" s="594">
        <f t="shared" si="13"/>
        <v>1645.8661105921663</v>
      </c>
      <c r="G331" s="765">
        <f>input!F18</f>
        <v>2</v>
      </c>
      <c r="H331" s="765">
        <f>input!G18</f>
        <v>600</v>
      </c>
      <c r="I331" s="765">
        <f>input!J18</f>
        <v>1940</v>
      </c>
      <c r="J331" s="820">
        <f t="shared" si="14"/>
        <v>48000</v>
      </c>
      <c r="K331" s="595">
        <f>MAX(ABS(Stress!F847),ABS(Stress!G847),input!BI18)</f>
        <v>380</v>
      </c>
      <c r="L331" s="595">
        <f>MIN(input!BK18/K331,1)</f>
        <v>0.93421052631578949</v>
      </c>
      <c r="M331" s="595">
        <f>input!N18</f>
        <v>12</v>
      </c>
      <c r="N331" s="595">
        <f t="shared" si="12"/>
        <v>0.82293305529608307</v>
      </c>
      <c r="O331" s="597">
        <f>IF(input!BK18&gt;=input!BI18,1,(12+N331*(3*L331-L331^3))/(12+2*N331))</f>
        <v>0.99923410806496615</v>
      </c>
      <c r="S331" s="190"/>
      <c r="U331" s="73"/>
      <c r="V331" s="73"/>
      <c r="W331" s="73"/>
      <c r="X331" s="73"/>
      <c r="Y331" s="73"/>
      <c r="Z331" s="73"/>
      <c r="AB331" s="143"/>
      <c r="AD331" s="143"/>
      <c r="AE331" s="143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  <c r="AS331" s="143"/>
    </row>
    <row r="332" spans="1:45" ht="15" customHeight="1">
      <c r="A332" s="593" t="str">
        <f t="shared" si="11"/>
        <v>109i</v>
      </c>
      <c r="B332" s="594">
        <f>IF(D177="Positive",input!CL19,input!CT19)</f>
        <v>1685.8661105921663</v>
      </c>
      <c r="C332" s="594">
        <f>IF(D177="Positive",input!CM19,input!CU19)</f>
        <v>1194.1338894078337</v>
      </c>
      <c r="D332" s="594">
        <f>input!H19</f>
        <v>40</v>
      </c>
      <c r="E332" s="594">
        <f>input!K19</f>
        <v>40</v>
      </c>
      <c r="F332" s="594">
        <f t="shared" si="13"/>
        <v>1645.8661105921663</v>
      </c>
      <c r="G332" s="765">
        <f>input!F19</f>
        <v>2</v>
      </c>
      <c r="H332" s="765">
        <f>input!G19</f>
        <v>600</v>
      </c>
      <c r="I332" s="765">
        <f>input!J19</f>
        <v>1940</v>
      </c>
      <c r="J332" s="820">
        <f t="shared" si="14"/>
        <v>48000</v>
      </c>
      <c r="K332" s="595">
        <f>MAX(ABS(Stress!F848),ABS(Stress!G848),input!BI19)</f>
        <v>380</v>
      </c>
      <c r="L332" s="595">
        <f>MIN(input!BK19/K332,1)</f>
        <v>0.93421052631578949</v>
      </c>
      <c r="M332" s="595">
        <f>input!N19</f>
        <v>12</v>
      </c>
      <c r="N332" s="595">
        <f t="shared" si="12"/>
        <v>0.82293305529608307</v>
      </c>
      <c r="O332" s="597">
        <f>IF(input!BK19&gt;=input!BI19,1,(12+N332*(3*L332-L332^3))/(12+2*N332))</f>
        <v>0.99923410806496615</v>
      </c>
      <c r="S332" s="190"/>
      <c r="U332" s="73"/>
      <c r="V332" s="73"/>
      <c r="W332" s="73"/>
      <c r="X332" s="73"/>
      <c r="Y332" s="73"/>
      <c r="Z332" s="73"/>
      <c r="AB332" s="143"/>
      <c r="AD332" s="143"/>
      <c r="AE332" s="143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  <c r="AS332" s="143"/>
    </row>
    <row r="333" spans="1:45" ht="15" customHeight="1">
      <c r="A333" s="593" t="str">
        <f t="shared" si="11"/>
        <v>109j</v>
      </c>
      <c r="B333" s="594">
        <f>IF(D178="Positive",input!CL20,input!CT20)</f>
        <v>1685.8661105921663</v>
      </c>
      <c r="C333" s="594">
        <f>IF(D178="Positive",input!CM20,input!CU20)</f>
        <v>1194.1338894078337</v>
      </c>
      <c r="D333" s="594">
        <f>input!H20</f>
        <v>40</v>
      </c>
      <c r="E333" s="594">
        <f>input!K20</f>
        <v>40</v>
      </c>
      <c r="F333" s="594">
        <f t="shared" si="13"/>
        <v>1645.8661105921663</v>
      </c>
      <c r="G333" s="765">
        <f>input!F20</f>
        <v>2</v>
      </c>
      <c r="H333" s="765">
        <f>input!G20</f>
        <v>600</v>
      </c>
      <c r="I333" s="765">
        <f>input!J20</f>
        <v>1940</v>
      </c>
      <c r="J333" s="820">
        <f t="shared" si="14"/>
        <v>48000</v>
      </c>
      <c r="K333" s="595">
        <f>MAX(ABS(Stress!F849),ABS(Stress!G849),input!BI20)</f>
        <v>380</v>
      </c>
      <c r="L333" s="595">
        <f>MIN(input!BK20/K333,1)</f>
        <v>0.93421052631578949</v>
      </c>
      <c r="M333" s="595">
        <f>input!N20</f>
        <v>12</v>
      </c>
      <c r="N333" s="595">
        <f t="shared" si="12"/>
        <v>0.82293305529608307</v>
      </c>
      <c r="O333" s="597">
        <f>IF(input!BK20&gt;=input!BI20,1,(12+N333*(3*L333-L333^3))/(12+2*N333))</f>
        <v>0.99923410806496615</v>
      </c>
      <c r="S333" s="190"/>
      <c r="U333" s="73"/>
      <c r="V333" s="73"/>
      <c r="W333" s="73"/>
      <c r="X333" s="73"/>
      <c r="Y333" s="73"/>
      <c r="Z333" s="73"/>
      <c r="AB333" s="143"/>
      <c r="AD333" s="143"/>
      <c r="AE333" s="143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  <c r="AS333" s="143"/>
    </row>
    <row r="334" spans="1:45" ht="15" customHeight="1">
      <c r="A334" s="593" t="str">
        <f t="shared" si="11"/>
        <v>110i</v>
      </c>
      <c r="B334" s="594">
        <f>IF(D179="Positive",input!CL21,input!CT21)</f>
        <v>1685.8661105921663</v>
      </c>
      <c r="C334" s="594">
        <f>IF(D179="Positive",input!CM21,input!CU21)</f>
        <v>1194.1338894078337</v>
      </c>
      <c r="D334" s="594">
        <f>input!H21</f>
        <v>40</v>
      </c>
      <c r="E334" s="594">
        <f>input!K21</f>
        <v>40</v>
      </c>
      <c r="F334" s="594">
        <f t="shared" si="13"/>
        <v>1645.8661105921663</v>
      </c>
      <c r="G334" s="765">
        <f>input!F21</f>
        <v>2</v>
      </c>
      <c r="H334" s="765">
        <f>input!G21</f>
        <v>600</v>
      </c>
      <c r="I334" s="765">
        <f>input!J21</f>
        <v>1940</v>
      </c>
      <c r="J334" s="820">
        <f t="shared" si="14"/>
        <v>48000</v>
      </c>
      <c r="K334" s="595">
        <f>MAX(ABS(Stress!F850),ABS(Stress!G850),input!BI21)</f>
        <v>380</v>
      </c>
      <c r="L334" s="595">
        <f>MIN(input!BK21/K334,1)</f>
        <v>0.93421052631578949</v>
      </c>
      <c r="M334" s="595">
        <f>input!N21</f>
        <v>12</v>
      </c>
      <c r="N334" s="595">
        <f t="shared" si="12"/>
        <v>0.82293305529608307</v>
      </c>
      <c r="O334" s="597">
        <f>IF(input!BK21&gt;=input!BI21,1,(12+N334*(3*L334-L334^3))/(12+2*N334))</f>
        <v>0.99923410806496615</v>
      </c>
      <c r="S334" s="190"/>
      <c r="U334" s="73"/>
      <c r="V334" s="73"/>
      <c r="W334" s="73"/>
      <c r="X334" s="73"/>
      <c r="Y334" s="73"/>
      <c r="Z334" s="73"/>
      <c r="AB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43"/>
      <c r="AS334" s="143"/>
    </row>
    <row r="335" spans="1:45" ht="15" customHeight="1">
      <c r="A335" s="593" t="str">
        <f t="shared" si="11"/>
        <v>110j</v>
      </c>
      <c r="B335" s="594">
        <f>IF(D180="Positive",input!CL22,input!CT22)</f>
        <v>1685.8661105921663</v>
      </c>
      <c r="C335" s="594">
        <f>IF(D180="Positive",input!CM22,input!CU22)</f>
        <v>1194.1338894078337</v>
      </c>
      <c r="D335" s="594">
        <f>input!H22</f>
        <v>40</v>
      </c>
      <c r="E335" s="594">
        <f>input!K22</f>
        <v>40</v>
      </c>
      <c r="F335" s="594">
        <f t="shared" si="13"/>
        <v>1645.8661105921663</v>
      </c>
      <c r="G335" s="765">
        <f>input!F22</f>
        <v>2</v>
      </c>
      <c r="H335" s="765">
        <f>input!G22</f>
        <v>600</v>
      </c>
      <c r="I335" s="765">
        <f>input!J22</f>
        <v>1940</v>
      </c>
      <c r="J335" s="820">
        <f t="shared" si="14"/>
        <v>48000</v>
      </c>
      <c r="K335" s="595">
        <f>MAX(ABS(Stress!F851),ABS(Stress!G851),input!BI22)</f>
        <v>380</v>
      </c>
      <c r="L335" s="595">
        <f>MIN(input!BK22/K335,1)</f>
        <v>0.93421052631578949</v>
      </c>
      <c r="M335" s="595">
        <f>input!N22</f>
        <v>12</v>
      </c>
      <c r="N335" s="595">
        <f t="shared" si="12"/>
        <v>0.82293305529608307</v>
      </c>
      <c r="O335" s="597">
        <f>IF(input!BK22&gt;=input!BI22,1,(12+N335*(3*L335-L335^3))/(12+2*N335))</f>
        <v>0.99923410806496615</v>
      </c>
      <c r="S335" s="190"/>
      <c r="U335" s="73"/>
      <c r="V335" s="73"/>
      <c r="W335" s="73"/>
      <c r="X335" s="73"/>
      <c r="Y335" s="73"/>
      <c r="Z335" s="73"/>
      <c r="AB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  <c r="AS335" s="143"/>
    </row>
    <row r="336" spans="1:45" ht="15" customHeight="1">
      <c r="A336" s="593" t="str">
        <f t="shared" si="11"/>
        <v>111i</v>
      </c>
      <c r="B336" s="594">
        <f>IF(D181="Positive",input!CL23,input!CT23)</f>
        <v>1685.8661105921663</v>
      </c>
      <c r="C336" s="594">
        <f>IF(D181="Positive",input!CM23,input!CU23)</f>
        <v>1194.1338894078337</v>
      </c>
      <c r="D336" s="594">
        <f>input!H23</f>
        <v>40</v>
      </c>
      <c r="E336" s="594">
        <f>input!K23</f>
        <v>40</v>
      </c>
      <c r="F336" s="594">
        <f t="shared" si="13"/>
        <v>1645.8661105921663</v>
      </c>
      <c r="G336" s="765">
        <f>input!F23</f>
        <v>2</v>
      </c>
      <c r="H336" s="765">
        <f>input!G23</f>
        <v>600</v>
      </c>
      <c r="I336" s="765">
        <f>input!J23</f>
        <v>1940</v>
      </c>
      <c r="J336" s="820">
        <f t="shared" si="14"/>
        <v>48000</v>
      </c>
      <c r="K336" s="595">
        <f>MAX(ABS(Stress!F852),ABS(Stress!G852),input!BI23)</f>
        <v>380</v>
      </c>
      <c r="L336" s="595">
        <f>MIN(input!BK23/K336,1)</f>
        <v>0.93421052631578949</v>
      </c>
      <c r="M336" s="595">
        <f>input!N23</f>
        <v>12</v>
      </c>
      <c r="N336" s="595">
        <f t="shared" si="12"/>
        <v>0.82293305529608307</v>
      </c>
      <c r="O336" s="597">
        <f>IF(input!BK23&gt;=input!BI23,1,(12+N336*(3*L336-L336^3))/(12+2*N336))</f>
        <v>0.99923410806496615</v>
      </c>
      <c r="S336" s="190"/>
      <c r="U336" s="73"/>
      <c r="V336" s="73"/>
      <c r="W336" s="73"/>
      <c r="X336" s="73"/>
      <c r="Y336" s="73"/>
      <c r="Z336" s="73"/>
      <c r="AB336" s="143"/>
      <c r="AD336" s="143"/>
      <c r="AE336" s="143"/>
      <c r="AF336" s="143"/>
      <c r="AG336" s="143"/>
      <c r="AH336" s="143"/>
      <c r="AI336" s="143"/>
      <c r="AJ336" s="143"/>
      <c r="AK336" s="143"/>
      <c r="AL336" s="143"/>
      <c r="AM336" s="143"/>
      <c r="AN336" s="143"/>
      <c r="AO336" s="143"/>
      <c r="AP336" s="143"/>
      <c r="AQ336" s="143"/>
      <c r="AR336" s="143"/>
      <c r="AS336" s="143"/>
    </row>
    <row r="337" spans="1:45" ht="15" customHeight="1">
      <c r="A337" s="593" t="str">
        <f t="shared" si="11"/>
        <v>111j</v>
      </c>
      <c r="B337" s="594">
        <f>IF(D182="Positive",input!CL24,input!CT24)</f>
        <v>1685.8661105921663</v>
      </c>
      <c r="C337" s="594">
        <f>IF(D182="Positive",input!CM24,input!CU24)</f>
        <v>1194.1338894078337</v>
      </c>
      <c r="D337" s="594">
        <f>input!H24</f>
        <v>40</v>
      </c>
      <c r="E337" s="594">
        <f>input!K24</f>
        <v>40</v>
      </c>
      <c r="F337" s="594">
        <f t="shared" si="13"/>
        <v>1645.8661105921663</v>
      </c>
      <c r="G337" s="765">
        <f>input!F24</f>
        <v>2</v>
      </c>
      <c r="H337" s="765">
        <f>input!G24</f>
        <v>600</v>
      </c>
      <c r="I337" s="765">
        <f>input!J24</f>
        <v>1940</v>
      </c>
      <c r="J337" s="820">
        <f t="shared" si="14"/>
        <v>48000</v>
      </c>
      <c r="K337" s="595">
        <f>MAX(ABS(Stress!F853),ABS(Stress!G853),input!BI24)</f>
        <v>380</v>
      </c>
      <c r="L337" s="595">
        <f>MIN(input!BK24/K337,1)</f>
        <v>0.93421052631578949</v>
      </c>
      <c r="M337" s="595">
        <f>input!N24</f>
        <v>12</v>
      </c>
      <c r="N337" s="595">
        <f t="shared" si="12"/>
        <v>0.82293305529608307</v>
      </c>
      <c r="O337" s="597">
        <f>IF(input!BK24&gt;=input!BI24,1,(12+N337*(3*L337-L337^3))/(12+2*N337))</f>
        <v>0.99923410806496615</v>
      </c>
      <c r="S337" s="190"/>
      <c r="U337" s="73"/>
      <c r="V337" s="73"/>
      <c r="W337" s="73"/>
      <c r="X337" s="73"/>
      <c r="Y337" s="73"/>
      <c r="Z337" s="73"/>
      <c r="AB337" s="143"/>
      <c r="AD337" s="143"/>
      <c r="AE337" s="143"/>
      <c r="AF337" s="143"/>
      <c r="AG337" s="143"/>
      <c r="AH337" s="143"/>
      <c r="AI337" s="143"/>
      <c r="AJ337" s="143"/>
      <c r="AK337" s="143"/>
      <c r="AL337" s="143"/>
      <c r="AM337" s="143"/>
      <c r="AN337" s="143"/>
      <c r="AO337" s="143"/>
      <c r="AP337" s="143"/>
      <c r="AQ337" s="143"/>
      <c r="AR337" s="143"/>
      <c r="AS337" s="143"/>
    </row>
    <row r="338" spans="1:45" ht="15" customHeight="1">
      <c r="A338" s="593" t="str">
        <f t="shared" si="11"/>
        <v>112i</v>
      </c>
      <c r="B338" s="594">
        <f>IF(D183="Positive",input!CL25,input!CT25)</f>
        <v>1691.1774126907367</v>
      </c>
      <c r="C338" s="594">
        <f>IF(D183="Positive",input!CM25,input!CU25)</f>
        <v>1176.8225873092633</v>
      </c>
      <c r="D338" s="594">
        <f>input!H25</f>
        <v>36</v>
      </c>
      <c r="E338" s="594">
        <f>input!K25</f>
        <v>32</v>
      </c>
      <c r="F338" s="594">
        <f t="shared" si="13"/>
        <v>1655.1774126907367</v>
      </c>
      <c r="G338" s="765">
        <f>input!F25</f>
        <v>2</v>
      </c>
      <c r="H338" s="765">
        <f>input!G25</f>
        <v>500</v>
      </c>
      <c r="I338" s="765">
        <f>input!J25</f>
        <v>1940</v>
      </c>
      <c r="J338" s="820">
        <f t="shared" si="14"/>
        <v>36000</v>
      </c>
      <c r="K338" s="595">
        <f>MAX(ABS(Stress!F854),ABS(Stress!G854),input!BI25)</f>
        <v>380</v>
      </c>
      <c r="L338" s="595">
        <f>MIN(input!BK25/K338,1)</f>
        <v>0.93421052631578949</v>
      </c>
      <c r="M338" s="595">
        <f>input!N25</f>
        <v>12</v>
      </c>
      <c r="N338" s="595">
        <f t="shared" si="12"/>
        <v>1.1034516084604911</v>
      </c>
      <c r="O338" s="597">
        <f>IF(input!BK25&gt;=input!BI25,1,(12+N338*(3*L338-L338^3))/(12+2*N338))</f>
        <v>0.99901358886738312</v>
      </c>
      <c r="S338" s="190"/>
      <c r="U338" s="73"/>
      <c r="V338" s="73"/>
      <c r="W338" s="73"/>
      <c r="X338" s="73"/>
      <c r="Y338" s="73"/>
      <c r="Z338" s="73"/>
      <c r="AB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43"/>
    </row>
    <row r="339" spans="1:45" ht="15" customHeight="1">
      <c r="A339" s="593" t="str">
        <f t="shared" si="11"/>
        <v>112j</v>
      </c>
      <c r="B339" s="594">
        <f>IF(D184="Positive",input!CL26,input!CT26)</f>
        <v>1691.1774126907367</v>
      </c>
      <c r="C339" s="594">
        <f>IF(D184="Positive",input!CM26,input!CU26)</f>
        <v>1176.8225873092633</v>
      </c>
      <c r="D339" s="594">
        <f>input!H26</f>
        <v>36</v>
      </c>
      <c r="E339" s="594">
        <f>input!K26</f>
        <v>32</v>
      </c>
      <c r="F339" s="594">
        <f t="shared" si="13"/>
        <v>1655.1774126907367</v>
      </c>
      <c r="G339" s="765">
        <f>input!F26</f>
        <v>2</v>
      </c>
      <c r="H339" s="765">
        <f>input!G26</f>
        <v>500</v>
      </c>
      <c r="I339" s="765">
        <f>input!J26</f>
        <v>1940</v>
      </c>
      <c r="J339" s="820">
        <f t="shared" si="14"/>
        <v>36000</v>
      </c>
      <c r="K339" s="595">
        <f>MAX(ABS(Stress!F855),ABS(Stress!G855),input!BI26)</f>
        <v>380</v>
      </c>
      <c r="L339" s="595">
        <f>MIN(input!BK26/K339,1)</f>
        <v>0.93421052631578949</v>
      </c>
      <c r="M339" s="595">
        <f>input!N26</f>
        <v>12</v>
      </c>
      <c r="N339" s="595">
        <f t="shared" si="12"/>
        <v>1.1034516084604911</v>
      </c>
      <c r="O339" s="597">
        <f>IF(input!BK26&gt;=input!BI26,1,(12+N339*(3*L339-L339^3))/(12+2*N339))</f>
        <v>0.99901358886738312</v>
      </c>
      <c r="S339" s="190"/>
      <c r="U339" s="73"/>
      <c r="V339" s="73"/>
      <c r="W339" s="73"/>
      <c r="X339" s="73"/>
      <c r="Y339" s="73"/>
      <c r="Z339" s="73"/>
      <c r="AB339" s="143"/>
      <c r="AD339" s="143"/>
      <c r="AE339" s="143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  <c r="AS339" s="143"/>
    </row>
    <row r="340" spans="1:45" ht="15" customHeight="1">
      <c r="A340" s="593" t="str">
        <f t="shared" si="11"/>
        <v>113i</v>
      </c>
      <c r="B340" s="594">
        <f>IF(D185="Positive",input!CL27,input!CT27)</f>
        <v>1746.5943564794959</v>
      </c>
      <c r="C340" s="594">
        <f>IF(D185="Positive",input!CM27,input!CU27)</f>
        <v>1115.4056435205041</v>
      </c>
      <c r="D340" s="594">
        <f>input!H27</f>
        <v>30</v>
      </c>
      <c r="E340" s="594">
        <f>input!K27</f>
        <v>32</v>
      </c>
      <c r="F340" s="594">
        <f t="shared" si="13"/>
        <v>1716.5943564794959</v>
      </c>
      <c r="G340" s="765">
        <f>input!F27</f>
        <v>2</v>
      </c>
      <c r="H340" s="765">
        <f>input!G27</f>
        <v>500</v>
      </c>
      <c r="I340" s="765">
        <f>input!J27</f>
        <v>1940</v>
      </c>
      <c r="J340" s="820">
        <f t="shared" si="14"/>
        <v>30000</v>
      </c>
      <c r="K340" s="595">
        <f>MAX(ABS(Stress!F856),ABS(Stress!G856),input!BI27)</f>
        <v>380</v>
      </c>
      <c r="L340" s="595">
        <f>MIN(input!BK27/K340,1)</f>
        <v>0.93421052631578949</v>
      </c>
      <c r="M340" s="595">
        <f>input!N27</f>
        <v>12</v>
      </c>
      <c r="N340" s="595">
        <f t="shared" si="12"/>
        <v>1.3732754851835967</v>
      </c>
      <c r="O340" s="597">
        <f>IF(input!BK27&gt;=input!BI27,1,(12+N340*(3*L340-L340^3))/(12+2*N340))</f>
        <v>0.99881730896173537</v>
      </c>
      <c r="S340" s="190"/>
      <c r="U340" s="73"/>
      <c r="V340" s="73"/>
      <c r="W340" s="73"/>
      <c r="X340" s="73"/>
      <c r="Y340" s="73"/>
      <c r="Z340" s="73"/>
      <c r="AB340" s="143"/>
      <c r="AD340" s="143"/>
      <c r="AE340" s="143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  <c r="AS340" s="143"/>
    </row>
    <row r="341" spans="1:45" ht="15" customHeight="1">
      <c r="A341" s="593" t="str">
        <f t="shared" si="11"/>
        <v>113j</v>
      </c>
      <c r="B341" s="594">
        <f>IF(D186="Positive",input!CL28,input!CT28)</f>
        <v>1746.5943564794959</v>
      </c>
      <c r="C341" s="594">
        <f>IF(D186="Positive",input!CM28,input!CU28)</f>
        <v>1115.4056435205041</v>
      </c>
      <c r="D341" s="594">
        <f>input!H28</f>
        <v>30</v>
      </c>
      <c r="E341" s="594">
        <f>input!K28</f>
        <v>32</v>
      </c>
      <c r="F341" s="594">
        <f t="shared" si="13"/>
        <v>1716.5943564794959</v>
      </c>
      <c r="G341" s="765">
        <f>input!F28</f>
        <v>2</v>
      </c>
      <c r="H341" s="765">
        <f>input!G28</f>
        <v>500</v>
      </c>
      <c r="I341" s="765">
        <f>input!J28</f>
        <v>1940</v>
      </c>
      <c r="J341" s="820">
        <f t="shared" si="14"/>
        <v>30000</v>
      </c>
      <c r="K341" s="595">
        <f>MAX(ABS(Stress!F857),ABS(Stress!G857),input!BI28)</f>
        <v>380</v>
      </c>
      <c r="L341" s="595">
        <f>MIN(input!BK28/K341,1)</f>
        <v>0.93421052631578949</v>
      </c>
      <c r="M341" s="595">
        <f>input!N28</f>
        <v>12</v>
      </c>
      <c r="N341" s="595">
        <f t="shared" si="12"/>
        <v>1.3732754851835967</v>
      </c>
      <c r="O341" s="597">
        <f>IF(input!BK28&gt;=input!BI28,1,(12+N341*(3*L341-L341^3))/(12+2*N341))</f>
        <v>0.99881730896173537</v>
      </c>
      <c r="S341" s="190"/>
      <c r="U341" s="73"/>
      <c r="V341" s="73"/>
      <c r="W341" s="73"/>
      <c r="X341" s="73"/>
      <c r="Y341" s="73"/>
      <c r="Z341" s="73"/>
      <c r="AB341" s="143"/>
      <c r="AD341" s="143"/>
      <c r="AE341" s="143"/>
      <c r="AF341" s="143"/>
      <c r="AG341" s="143"/>
      <c r="AH341" s="143"/>
      <c r="AI341" s="143"/>
      <c r="AJ341" s="143"/>
      <c r="AK341" s="143"/>
      <c r="AL341" s="143"/>
      <c r="AM341" s="143"/>
      <c r="AN341" s="143"/>
      <c r="AO341" s="143"/>
      <c r="AP341" s="143"/>
      <c r="AQ341" s="143"/>
      <c r="AR341" s="143"/>
      <c r="AS341" s="143"/>
    </row>
    <row r="342" spans="1:45" ht="15" customHeight="1">
      <c r="A342" s="593" t="str">
        <f t="shared" si="11"/>
        <v>114i</v>
      </c>
      <c r="B342" s="594">
        <f>IF(D187="Positive",input!CL29,input!CT29)</f>
        <v>1746.5943564794959</v>
      </c>
      <c r="C342" s="594">
        <f>IF(D187="Positive",input!CM29,input!CU29)</f>
        <v>1115.4056435205041</v>
      </c>
      <c r="D342" s="594">
        <f>input!H29</f>
        <v>30</v>
      </c>
      <c r="E342" s="594">
        <f>input!K29</f>
        <v>32</v>
      </c>
      <c r="F342" s="594">
        <f t="shared" si="13"/>
        <v>1716.5943564794959</v>
      </c>
      <c r="G342" s="765">
        <f>input!F29</f>
        <v>2</v>
      </c>
      <c r="H342" s="765">
        <f>input!G29</f>
        <v>500</v>
      </c>
      <c r="I342" s="765">
        <f>input!J29</f>
        <v>1940</v>
      </c>
      <c r="J342" s="820">
        <f t="shared" si="14"/>
        <v>30000</v>
      </c>
      <c r="K342" s="595">
        <f>MAX(ABS(Stress!F858),ABS(Stress!G858),input!BI29)</f>
        <v>380</v>
      </c>
      <c r="L342" s="595">
        <f>MIN(input!BK29/K342,1)</f>
        <v>0.93421052631578949</v>
      </c>
      <c r="M342" s="595">
        <f>input!N29</f>
        <v>12</v>
      </c>
      <c r="N342" s="595">
        <f t="shared" si="12"/>
        <v>1.3732754851835967</v>
      </c>
      <c r="O342" s="597">
        <f>IF(input!BK29&gt;=input!BI29,1,(12+N342*(3*L342-L342^3))/(12+2*N342))</f>
        <v>0.99881730896173537</v>
      </c>
      <c r="S342" s="190"/>
      <c r="U342" s="73"/>
      <c r="V342" s="73"/>
      <c r="W342" s="73"/>
      <c r="X342" s="73"/>
      <c r="Y342" s="73"/>
      <c r="Z342" s="73"/>
      <c r="AB342" s="143"/>
      <c r="AD342" s="143"/>
      <c r="AE342" s="143"/>
      <c r="AF342" s="143"/>
      <c r="AG342" s="143"/>
      <c r="AH342" s="143"/>
      <c r="AI342" s="143"/>
      <c r="AJ342" s="143"/>
      <c r="AK342" s="143"/>
      <c r="AL342" s="143"/>
      <c r="AM342" s="143"/>
      <c r="AN342" s="143"/>
      <c r="AO342" s="143"/>
      <c r="AP342" s="143"/>
      <c r="AQ342" s="143"/>
      <c r="AR342" s="143"/>
      <c r="AS342" s="143"/>
    </row>
    <row r="343" spans="1:45" ht="15" customHeight="1">
      <c r="A343" s="593" t="str">
        <f t="shared" si="11"/>
        <v>114j</v>
      </c>
      <c r="B343" s="594">
        <f>IF(D188="Positive",input!CL30,input!CT30)</f>
        <v>1746.5943564794959</v>
      </c>
      <c r="C343" s="594">
        <f>IF(D188="Positive",input!CM30,input!CU30)</f>
        <v>1115.4056435205041</v>
      </c>
      <c r="D343" s="594">
        <f>input!H30</f>
        <v>30</v>
      </c>
      <c r="E343" s="594">
        <f>input!K30</f>
        <v>32</v>
      </c>
      <c r="F343" s="594">
        <f t="shared" si="13"/>
        <v>1716.5943564794959</v>
      </c>
      <c r="G343" s="765">
        <f>input!F30</f>
        <v>2</v>
      </c>
      <c r="H343" s="765">
        <f>input!G30</f>
        <v>500</v>
      </c>
      <c r="I343" s="765">
        <f>input!J30</f>
        <v>1940</v>
      </c>
      <c r="J343" s="820">
        <f t="shared" si="14"/>
        <v>30000</v>
      </c>
      <c r="K343" s="595">
        <f>MAX(ABS(Stress!F859),ABS(Stress!G859),input!BI30)</f>
        <v>380</v>
      </c>
      <c r="L343" s="595">
        <f>MIN(input!BK30/K343,1)</f>
        <v>0.93421052631578949</v>
      </c>
      <c r="M343" s="595">
        <f>input!N30</f>
        <v>12</v>
      </c>
      <c r="N343" s="595">
        <f t="shared" si="12"/>
        <v>1.3732754851835967</v>
      </c>
      <c r="O343" s="597">
        <f>IF(input!BK30&gt;=input!BI30,1,(12+N343*(3*L343-L343^3))/(12+2*N343))</f>
        <v>0.99881730896173537</v>
      </c>
      <c r="S343" s="190"/>
      <c r="U343" s="73"/>
      <c r="V343" s="73"/>
      <c r="W343" s="73"/>
      <c r="X343" s="73"/>
      <c r="Y343" s="73"/>
      <c r="Z343" s="73"/>
      <c r="AB343" s="143"/>
      <c r="AD343" s="143"/>
      <c r="AE343" s="143"/>
      <c r="AF343" s="143"/>
      <c r="AG343" s="143"/>
      <c r="AH343" s="143"/>
      <c r="AI343" s="143"/>
      <c r="AJ343" s="143"/>
      <c r="AK343" s="143"/>
      <c r="AL343" s="143"/>
      <c r="AM343" s="143"/>
      <c r="AN343" s="143"/>
      <c r="AO343" s="143"/>
      <c r="AP343" s="143"/>
      <c r="AQ343" s="143"/>
      <c r="AR343" s="143"/>
      <c r="AS343" s="143"/>
    </row>
    <row r="344" spans="1:45" ht="15" customHeight="1">
      <c r="A344" s="593" t="str">
        <f t="shared" si="11"/>
        <v>115i</v>
      </c>
      <c r="B344" s="594">
        <f>IF(D189="Positive",input!CL31,input!CT31)</f>
        <v>1614.0322950661719</v>
      </c>
      <c r="C344" s="594">
        <f>IF(D189="Positive",input!CM31,input!CU31)</f>
        <v>1225.9677049338281</v>
      </c>
      <c r="D344" s="594">
        <f>input!H31</f>
        <v>22</v>
      </c>
      <c r="E344" s="594">
        <f>input!K31</f>
        <v>18</v>
      </c>
      <c r="F344" s="594">
        <f t="shared" si="13"/>
        <v>1592.0322950661719</v>
      </c>
      <c r="G344" s="765">
        <f>input!F31</f>
        <v>2</v>
      </c>
      <c r="H344" s="765">
        <f>input!G31</f>
        <v>500</v>
      </c>
      <c r="I344" s="765">
        <f>input!J31</f>
        <v>1940</v>
      </c>
      <c r="J344" s="820">
        <f t="shared" si="14"/>
        <v>22000</v>
      </c>
      <c r="K344" s="595">
        <f>MAX(ABS(Stress!F860),ABS(Stress!G860),input!BI31)</f>
        <v>380</v>
      </c>
      <c r="L344" s="595">
        <f>MIN(input!BK31/K344,1)</f>
        <v>0.93421052631578949</v>
      </c>
      <c r="M344" s="595">
        <f>input!N31</f>
        <v>12</v>
      </c>
      <c r="N344" s="595">
        <f t="shared" si="12"/>
        <v>1.736762503708551</v>
      </c>
      <c r="O344" s="597">
        <f>IF(input!BK31&gt;=input!BI31,1,(12+N344*(3*L344-L344^3))/(12+2*N344))</f>
        <v>0.99857453923542161</v>
      </c>
      <c r="S344" s="190"/>
      <c r="U344" s="73"/>
      <c r="V344" s="73"/>
      <c r="W344" s="73"/>
      <c r="X344" s="73"/>
      <c r="Y344" s="73"/>
      <c r="Z344" s="73"/>
      <c r="AB344" s="143"/>
      <c r="AD344" s="143"/>
      <c r="AE344" s="143"/>
      <c r="AF344" s="143"/>
      <c r="AG344" s="143"/>
      <c r="AH344" s="143"/>
      <c r="AI344" s="143"/>
      <c r="AJ344" s="143"/>
      <c r="AK344" s="143"/>
      <c r="AL344" s="143"/>
      <c r="AM344" s="143"/>
      <c r="AN344" s="143"/>
      <c r="AO344" s="143"/>
      <c r="AP344" s="143"/>
      <c r="AQ344" s="143"/>
      <c r="AR344" s="143"/>
      <c r="AS344" s="143"/>
    </row>
    <row r="345" spans="1:45" ht="15" customHeight="1">
      <c r="A345" s="593" t="str">
        <f t="shared" si="11"/>
        <v>115j</v>
      </c>
      <c r="B345" s="594">
        <f>IF(D190="Positive",input!CL32,input!CT32)</f>
        <v>1614.0322950661719</v>
      </c>
      <c r="C345" s="594">
        <f>IF(D190="Positive",input!CM32,input!CU32)</f>
        <v>1225.9677049338281</v>
      </c>
      <c r="D345" s="594">
        <f>input!H32</f>
        <v>22</v>
      </c>
      <c r="E345" s="594">
        <f>input!K32</f>
        <v>18</v>
      </c>
      <c r="F345" s="594">
        <f t="shared" si="13"/>
        <v>1592.0322950661719</v>
      </c>
      <c r="G345" s="765">
        <f>input!F32</f>
        <v>2</v>
      </c>
      <c r="H345" s="765">
        <f>input!G32</f>
        <v>500</v>
      </c>
      <c r="I345" s="765">
        <f>input!J32</f>
        <v>1940</v>
      </c>
      <c r="J345" s="820">
        <f t="shared" si="14"/>
        <v>22000</v>
      </c>
      <c r="K345" s="595">
        <f>MAX(ABS(Stress!F861),ABS(Stress!G861),input!BI32)</f>
        <v>380</v>
      </c>
      <c r="L345" s="595">
        <f>MIN(input!BK32/K345,1)</f>
        <v>0.93421052631578949</v>
      </c>
      <c r="M345" s="595">
        <f>input!N32</f>
        <v>12</v>
      </c>
      <c r="N345" s="595">
        <f t="shared" si="12"/>
        <v>1.736762503708551</v>
      </c>
      <c r="O345" s="597">
        <f>IF(input!BK32&gt;=input!BI32,1,(12+N345*(3*L345-L345^3))/(12+2*N345))</f>
        <v>0.99857453923542161</v>
      </c>
      <c r="S345" s="190"/>
      <c r="U345" s="73"/>
      <c r="V345" s="73"/>
      <c r="W345" s="73"/>
      <c r="X345" s="73"/>
      <c r="Y345" s="73"/>
      <c r="Z345" s="73"/>
      <c r="AB345" s="143"/>
      <c r="AD345" s="143"/>
      <c r="AE345" s="143"/>
      <c r="AF345" s="143"/>
      <c r="AG345" s="143"/>
      <c r="AH345" s="143"/>
      <c r="AI345" s="143"/>
      <c r="AJ345" s="143"/>
      <c r="AK345" s="143"/>
      <c r="AL345" s="143"/>
      <c r="AM345" s="143"/>
      <c r="AN345" s="143"/>
      <c r="AO345" s="143"/>
      <c r="AP345" s="143"/>
      <c r="AQ345" s="143"/>
      <c r="AR345" s="143"/>
      <c r="AS345" s="143"/>
    </row>
    <row r="346" spans="1:45" ht="15" customHeight="1">
      <c r="A346" s="593" t="str">
        <f t="shared" si="11"/>
        <v>116i</v>
      </c>
      <c r="B346" s="594">
        <f>IF(D191="Positive",input!CL33,input!CT33)</f>
        <v>1621.6188875146788</v>
      </c>
      <c r="C346" s="594">
        <f>IF(D191="Positive",input!CM33,input!CU33)</f>
        <v>1242.3811124853212</v>
      </c>
      <c r="D346" s="594">
        <f>input!H33</f>
        <v>26</v>
      </c>
      <c r="E346" s="594">
        <f>input!K33</f>
        <v>24</v>
      </c>
      <c r="F346" s="594">
        <f t="shared" si="13"/>
        <v>1595.6188875146788</v>
      </c>
      <c r="G346" s="765">
        <f>input!F33</f>
        <v>2</v>
      </c>
      <c r="H346" s="765">
        <f>input!G33</f>
        <v>600</v>
      </c>
      <c r="I346" s="765">
        <f>input!J33</f>
        <v>1937</v>
      </c>
      <c r="J346" s="820">
        <f t="shared" si="14"/>
        <v>31200</v>
      </c>
      <c r="K346" s="595">
        <f>MAX(ABS(Stress!F862),ABS(Stress!G862),input!BI33)</f>
        <v>380</v>
      </c>
      <c r="L346" s="595">
        <f>MIN(input!BK33/K346,1)</f>
        <v>0.93421052631578949</v>
      </c>
      <c r="M346" s="595">
        <f>input!N33</f>
        <v>12</v>
      </c>
      <c r="N346" s="595">
        <f t="shared" si="12"/>
        <v>1.2273991442420606</v>
      </c>
      <c r="O346" s="597">
        <f>IF(input!BK33&gt;=input!BI33,1,(12+N346*(3*L346-L346^3))/(12+2*N346))</f>
        <v>0.99892160497560634</v>
      </c>
      <c r="S346" s="190"/>
      <c r="U346" s="73"/>
      <c r="V346" s="73"/>
      <c r="W346" s="73"/>
      <c r="X346" s="73"/>
      <c r="Y346" s="73"/>
      <c r="Z346" s="73"/>
      <c r="AB346" s="143"/>
      <c r="AD346" s="143"/>
      <c r="AE346" s="143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  <c r="AS346" s="143"/>
    </row>
    <row r="347" spans="1:45" ht="15" customHeight="1">
      <c r="A347" s="593" t="str">
        <f t="shared" si="11"/>
        <v>116j</v>
      </c>
      <c r="B347" s="594">
        <f>IF(D192="Positive",input!CL34,input!CT34)</f>
        <v>1621.6188875146788</v>
      </c>
      <c r="C347" s="594">
        <f>IF(D192="Positive",input!CM34,input!CU34)</f>
        <v>1242.3811124853212</v>
      </c>
      <c r="D347" s="594">
        <f>input!H34</f>
        <v>26</v>
      </c>
      <c r="E347" s="594">
        <f>input!K34</f>
        <v>24</v>
      </c>
      <c r="F347" s="594">
        <f t="shared" si="13"/>
        <v>1595.6188875146788</v>
      </c>
      <c r="G347" s="765">
        <f>input!F34</f>
        <v>2</v>
      </c>
      <c r="H347" s="765">
        <f>input!G34</f>
        <v>600</v>
      </c>
      <c r="I347" s="765">
        <f>input!J34</f>
        <v>1937</v>
      </c>
      <c r="J347" s="820">
        <f t="shared" si="14"/>
        <v>31200</v>
      </c>
      <c r="K347" s="595">
        <f>MAX(ABS(Stress!F863),ABS(Stress!G863),input!BI34)</f>
        <v>380</v>
      </c>
      <c r="L347" s="595">
        <f>MIN(input!BK34/K347,1)</f>
        <v>0.93421052631578949</v>
      </c>
      <c r="M347" s="595">
        <f>input!N34</f>
        <v>12</v>
      </c>
      <c r="N347" s="595">
        <f t="shared" si="12"/>
        <v>1.2273991442420606</v>
      </c>
      <c r="O347" s="597">
        <f>IF(input!BK34&gt;=input!BI34,1,(12+N347*(3*L347-L347^3))/(12+2*N347))</f>
        <v>0.99892160497560634</v>
      </c>
      <c r="S347" s="190"/>
      <c r="U347" s="73"/>
      <c r="V347" s="73"/>
      <c r="W347" s="73"/>
      <c r="X347" s="73"/>
      <c r="Y347" s="73"/>
      <c r="Z347" s="73"/>
      <c r="AB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  <c r="AS347" s="143"/>
    </row>
    <row r="348" spans="1:45" ht="15" customHeight="1">
      <c r="A348" s="593" t="str">
        <f t="shared" ref="A348:A377" si="15">A127</f>
        <v>117i</v>
      </c>
      <c r="B348" s="594">
        <f>IF(D193="Positive",input!CL35,input!CT35)</f>
        <v>1967.839733911336</v>
      </c>
      <c r="C348" s="594">
        <f>IF(D193="Positive",input!CM35,input!CU35)</f>
        <v>1020.160266088664</v>
      </c>
      <c r="D348" s="594">
        <f>input!H35</f>
        <v>36</v>
      </c>
      <c r="E348" s="594">
        <f>input!K35</f>
        <v>28</v>
      </c>
      <c r="F348" s="594">
        <f t="shared" ref="F348:F377" si="16">MAX(B348-D348,C348-E348)</f>
        <v>1931.839733911336</v>
      </c>
      <c r="G348" s="765">
        <f>input!F35</f>
        <v>2</v>
      </c>
      <c r="H348" s="765">
        <f>input!G35</f>
        <v>800</v>
      </c>
      <c r="I348" s="765">
        <f>input!J35</f>
        <v>1909</v>
      </c>
      <c r="J348" s="820">
        <f t="shared" si="14"/>
        <v>57600</v>
      </c>
      <c r="K348" s="595">
        <f>MAX(ABS(Stress!F864),ABS(Stress!G864),input!BI35)</f>
        <v>380</v>
      </c>
      <c r="L348" s="595">
        <f>MIN(input!BK35/K348,1)</f>
        <v>0.93421052631578949</v>
      </c>
      <c r="M348" s="595">
        <f>input!N35</f>
        <v>12</v>
      </c>
      <c r="N348" s="595">
        <f t="shared" ref="N348:N377" si="17">2*F348*M348/J348</f>
        <v>0.80493322246305665</v>
      </c>
      <c r="O348" s="597">
        <f>IF(input!BK35&gt;=input!BI35,1,(12+N348*(3*L348-L348^3))/(12+2*N348))</f>
        <v>0.99924887868898471</v>
      </c>
      <c r="S348" s="190"/>
      <c r="U348" s="73"/>
      <c r="V348" s="73"/>
      <c r="W348" s="73"/>
      <c r="X348" s="73"/>
      <c r="Y348" s="73"/>
      <c r="Z348" s="73"/>
      <c r="AB348" s="143"/>
      <c r="AD348" s="14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  <c r="AR348" s="143"/>
      <c r="AS348" s="143"/>
    </row>
    <row r="349" spans="1:45" ht="15" customHeight="1">
      <c r="A349" s="593" t="str">
        <f t="shared" si="15"/>
        <v>117j</v>
      </c>
      <c r="B349" s="594">
        <f>IF(D194="Positive",input!CL36,input!CT36)</f>
        <v>1967.839733911336</v>
      </c>
      <c r="C349" s="594">
        <f>IF(D194="Positive",input!CM36,input!CU36)</f>
        <v>1020.160266088664</v>
      </c>
      <c r="D349" s="594">
        <f>input!H36</f>
        <v>36</v>
      </c>
      <c r="E349" s="594">
        <f>input!K36</f>
        <v>28</v>
      </c>
      <c r="F349" s="594">
        <f t="shared" si="16"/>
        <v>1931.839733911336</v>
      </c>
      <c r="G349" s="765">
        <f>input!F36</f>
        <v>2</v>
      </c>
      <c r="H349" s="765">
        <f>input!G36</f>
        <v>800</v>
      </c>
      <c r="I349" s="765">
        <f>input!J36</f>
        <v>1909</v>
      </c>
      <c r="J349" s="820">
        <f t="shared" si="14"/>
        <v>57600</v>
      </c>
      <c r="K349" s="595">
        <f>MAX(ABS(Stress!F865),ABS(Stress!G865),input!BI36)</f>
        <v>380</v>
      </c>
      <c r="L349" s="595">
        <f>MIN(input!BK36/K349,1)</f>
        <v>0.93421052631578949</v>
      </c>
      <c r="M349" s="595">
        <f>input!N36</f>
        <v>12</v>
      </c>
      <c r="N349" s="595">
        <f t="shared" si="17"/>
        <v>0.80493322246305665</v>
      </c>
      <c r="O349" s="597">
        <f>IF(input!BK36&gt;=input!BI36,1,(12+N349*(3*L349-L349^3))/(12+2*N349))</f>
        <v>0.99924887868898471</v>
      </c>
      <c r="S349" s="190"/>
      <c r="U349" s="73"/>
      <c r="V349" s="73"/>
      <c r="W349" s="73"/>
      <c r="X349" s="73"/>
      <c r="Y349" s="73"/>
      <c r="Z349" s="73"/>
      <c r="AB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  <c r="AR349" s="143"/>
      <c r="AS349" s="143"/>
    </row>
    <row r="350" spans="1:45" ht="15" customHeight="1">
      <c r="A350" s="593" t="str">
        <f t="shared" si="15"/>
        <v>118i</v>
      </c>
      <c r="B350" s="594">
        <f>IF(D195="Positive",input!CL37,input!CT37)</f>
        <v>1853.8394275253072</v>
      </c>
      <c r="C350" s="594">
        <f>IF(D195="Positive",input!CM37,input!CU37)</f>
        <v>1319.1605724746928</v>
      </c>
      <c r="D350" s="594">
        <f>input!H37</f>
        <v>40</v>
      </c>
      <c r="E350" s="594">
        <f>input!K37</f>
        <v>30</v>
      </c>
      <c r="F350" s="594">
        <f t="shared" si="16"/>
        <v>1813.8394275253072</v>
      </c>
      <c r="G350" s="765">
        <f>input!F37</f>
        <v>1</v>
      </c>
      <c r="H350" s="765">
        <f>input!G37</f>
        <v>2900</v>
      </c>
      <c r="I350" s="765">
        <f>input!J37</f>
        <v>1864</v>
      </c>
      <c r="J350" s="820">
        <f t="shared" si="14"/>
        <v>116000</v>
      </c>
      <c r="K350" s="595">
        <f>MAX(ABS(Stress!F866),ABS(Stress!G866),input!BI37)</f>
        <v>380</v>
      </c>
      <c r="L350" s="595">
        <f>MIN(input!BK37/K350,1)</f>
        <v>0.93421052631578949</v>
      </c>
      <c r="M350" s="595">
        <f>input!N37</f>
        <v>14</v>
      </c>
      <c r="N350" s="595">
        <f t="shared" si="17"/>
        <v>0.43782331009231557</v>
      </c>
      <c r="O350" s="597">
        <f>IF(input!BK37&gt;=input!BI37,1,(12+N350*(3*L350-L350^3))/(12+2*N350))</f>
        <v>0.99956814900334012</v>
      </c>
      <c r="S350" s="190"/>
      <c r="U350" s="73"/>
      <c r="V350" s="73"/>
      <c r="W350" s="73"/>
      <c r="X350" s="73"/>
      <c r="Y350" s="73"/>
      <c r="Z350" s="73"/>
      <c r="AB350" s="143"/>
      <c r="AD350" s="143"/>
      <c r="AE350" s="143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  <c r="AR350" s="143"/>
      <c r="AS350" s="143"/>
    </row>
    <row r="351" spans="1:45" ht="15" customHeight="1">
      <c r="A351" s="593" t="str">
        <f t="shared" si="15"/>
        <v>118j</v>
      </c>
      <c r="B351" s="594">
        <f>IF(D196="Positive",input!CL38,input!CT38)</f>
        <v>1853.8394275253072</v>
      </c>
      <c r="C351" s="594">
        <f>IF(D196="Positive",input!CM38,input!CU38)</f>
        <v>1319.1605724746928</v>
      </c>
      <c r="D351" s="594">
        <f>input!H38</f>
        <v>40</v>
      </c>
      <c r="E351" s="594">
        <f>input!K38</f>
        <v>30</v>
      </c>
      <c r="F351" s="594">
        <f t="shared" si="16"/>
        <v>1813.8394275253072</v>
      </c>
      <c r="G351" s="765">
        <f>input!F38</f>
        <v>1</v>
      </c>
      <c r="H351" s="765">
        <f>input!G38</f>
        <v>2900</v>
      </c>
      <c r="I351" s="765">
        <f>input!J38</f>
        <v>1864</v>
      </c>
      <c r="J351" s="820">
        <f t="shared" si="14"/>
        <v>116000</v>
      </c>
      <c r="K351" s="595">
        <f>MAX(ABS(Stress!F867),ABS(Stress!G867),input!BI38)</f>
        <v>380</v>
      </c>
      <c r="L351" s="595">
        <f>MIN(input!BK38/K351,1)</f>
        <v>0.93421052631578949</v>
      </c>
      <c r="M351" s="595">
        <f>input!N38</f>
        <v>14</v>
      </c>
      <c r="N351" s="595">
        <f t="shared" si="17"/>
        <v>0.43782331009231557</v>
      </c>
      <c r="O351" s="597">
        <f>IF(input!BK38&gt;=input!BI38,1,(12+N351*(3*L351-L351^3))/(12+2*N351))</f>
        <v>0.99956814900334012</v>
      </c>
      <c r="S351" s="190"/>
      <c r="U351" s="73"/>
      <c r="V351" s="73"/>
      <c r="W351" s="73"/>
      <c r="X351" s="73"/>
      <c r="Y351" s="73"/>
      <c r="Z351" s="73"/>
      <c r="AB351" s="143"/>
      <c r="AD351" s="143"/>
      <c r="AE351" s="143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  <c r="AR351" s="143"/>
      <c r="AS351" s="143"/>
    </row>
    <row r="352" spans="1:45" ht="15" customHeight="1">
      <c r="A352" s="593" t="str">
        <f t="shared" si="15"/>
        <v>119i</v>
      </c>
      <c r="B352" s="594">
        <f>IF(D197="Positive",input!CL39,input!CT39)</f>
        <v>1951.8641657020185</v>
      </c>
      <c r="C352" s="594">
        <f>IF(D197="Positive",input!CM39,input!CU39)</f>
        <v>1318.1358342979815</v>
      </c>
      <c r="D352" s="594">
        <f>input!H39</f>
        <v>40</v>
      </c>
      <c r="E352" s="594">
        <f>input!K39</f>
        <v>30</v>
      </c>
      <c r="F352" s="594">
        <f t="shared" si="16"/>
        <v>1911.8641657020185</v>
      </c>
      <c r="G352" s="765">
        <f>input!F39</f>
        <v>1</v>
      </c>
      <c r="H352" s="765">
        <f>input!G39</f>
        <v>2900</v>
      </c>
      <c r="I352" s="765">
        <f>input!J39</f>
        <v>1840</v>
      </c>
      <c r="J352" s="820">
        <f t="shared" si="14"/>
        <v>116000</v>
      </c>
      <c r="K352" s="595">
        <f>MAX(ABS(Stress!F868),ABS(Stress!G868),input!BI39)</f>
        <v>380</v>
      </c>
      <c r="L352" s="595">
        <f>MIN(input!BK39/K352,1)</f>
        <v>0.93421052631578949</v>
      </c>
      <c r="M352" s="595">
        <f>input!N39</f>
        <v>14</v>
      </c>
      <c r="N352" s="595">
        <f t="shared" si="17"/>
        <v>0.46148445379014241</v>
      </c>
      <c r="O352" s="597">
        <f>IF(input!BK39&gt;=input!BI39,1,(12+N352*(3*L352-L352^3))/(12+2*N352))</f>
        <v>0.99954647746573022</v>
      </c>
      <c r="S352" s="190"/>
      <c r="U352" s="73"/>
      <c r="V352" s="73"/>
      <c r="W352" s="73"/>
      <c r="X352" s="73"/>
      <c r="Y352" s="73"/>
      <c r="Z352" s="73"/>
      <c r="AB352" s="143"/>
      <c r="AD352" s="143"/>
      <c r="AE352" s="143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  <c r="AR352" s="143"/>
      <c r="AS352" s="143"/>
    </row>
    <row r="353" spans="1:45" ht="15" customHeight="1">
      <c r="A353" s="593" t="str">
        <f t="shared" si="15"/>
        <v>119j</v>
      </c>
      <c r="B353" s="594">
        <f>IF(D198="Positive",input!CL40,input!CT40)</f>
        <v>1951.8641657020185</v>
      </c>
      <c r="C353" s="594">
        <f>IF(D198="Positive",input!CM40,input!CU40)</f>
        <v>1318.1358342979815</v>
      </c>
      <c r="D353" s="594">
        <f>input!H40</f>
        <v>40</v>
      </c>
      <c r="E353" s="594">
        <f>input!K40</f>
        <v>30</v>
      </c>
      <c r="F353" s="594">
        <f t="shared" si="16"/>
        <v>1911.8641657020185</v>
      </c>
      <c r="G353" s="765">
        <f>input!F40</f>
        <v>1</v>
      </c>
      <c r="H353" s="765">
        <f>input!G40</f>
        <v>2900</v>
      </c>
      <c r="I353" s="765">
        <f>input!J40</f>
        <v>1840</v>
      </c>
      <c r="J353" s="820">
        <f t="shared" si="14"/>
        <v>116000</v>
      </c>
      <c r="K353" s="595">
        <f>MAX(ABS(Stress!F869),ABS(Stress!G869),input!BI40)</f>
        <v>380</v>
      </c>
      <c r="L353" s="595">
        <f>MIN(input!BK40/K353,1)</f>
        <v>0.93421052631578949</v>
      </c>
      <c r="M353" s="595">
        <f>input!N40</f>
        <v>14</v>
      </c>
      <c r="N353" s="595">
        <f t="shared" si="17"/>
        <v>0.46148445379014241</v>
      </c>
      <c r="O353" s="597">
        <f>IF(input!BK40&gt;=input!BI40,1,(12+N353*(3*L353-L353^3))/(12+2*N353))</f>
        <v>0.99954647746573022</v>
      </c>
      <c r="S353" s="190"/>
      <c r="U353" s="73"/>
      <c r="V353" s="73"/>
      <c r="W353" s="73"/>
      <c r="X353" s="73"/>
      <c r="Y353" s="73"/>
      <c r="Z353" s="73"/>
      <c r="AB353" s="143"/>
      <c r="AD353" s="143"/>
      <c r="AE353" s="143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  <c r="AR353" s="143"/>
      <c r="AS353" s="143"/>
    </row>
    <row r="354" spans="1:45" ht="15" customHeight="1">
      <c r="A354" s="593" t="str">
        <f t="shared" si="15"/>
        <v>120i</v>
      </c>
      <c r="B354" s="594">
        <f>IF(D199="Positive",input!CL41,input!CT41)</f>
        <v>1951.8641657020185</v>
      </c>
      <c r="C354" s="594">
        <f>IF(D199="Positive",input!CM41,input!CU41)</f>
        <v>1318.1358342979815</v>
      </c>
      <c r="D354" s="594">
        <f>input!H41</f>
        <v>40</v>
      </c>
      <c r="E354" s="594">
        <f>input!K41</f>
        <v>30</v>
      </c>
      <c r="F354" s="594">
        <f t="shared" si="16"/>
        <v>1911.8641657020185</v>
      </c>
      <c r="G354" s="765">
        <f>input!F41</f>
        <v>1</v>
      </c>
      <c r="H354" s="765">
        <f>input!G41</f>
        <v>2900</v>
      </c>
      <c r="I354" s="765">
        <f>input!J41</f>
        <v>1840</v>
      </c>
      <c r="J354" s="820">
        <f t="shared" si="14"/>
        <v>116000</v>
      </c>
      <c r="K354" s="595">
        <f>MAX(ABS(Stress!F870),ABS(Stress!G870),input!BI41)</f>
        <v>380</v>
      </c>
      <c r="L354" s="595">
        <f>MIN(input!BK41/K354,1)</f>
        <v>0.93421052631578949</v>
      </c>
      <c r="M354" s="595">
        <f>input!N41</f>
        <v>14</v>
      </c>
      <c r="N354" s="595">
        <f t="shared" si="17"/>
        <v>0.46148445379014241</v>
      </c>
      <c r="O354" s="597">
        <f>IF(input!BK41&gt;=input!BI41,1,(12+N354*(3*L354-L354^3))/(12+2*N354))</f>
        <v>0.99954647746573022</v>
      </c>
      <c r="S354" s="190"/>
      <c r="U354" s="73"/>
      <c r="V354" s="73"/>
      <c r="W354" s="73"/>
      <c r="X354" s="73"/>
      <c r="Y354" s="73"/>
      <c r="Z354" s="73"/>
      <c r="AB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  <c r="AS354" s="143"/>
    </row>
    <row r="355" spans="1:45" ht="15" customHeight="1">
      <c r="A355" s="593" t="str">
        <f t="shared" si="15"/>
        <v>120j</v>
      </c>
      <c r="B355" s="594">
        <f>IF(D200="Positive",input!CL42,input!CT42)</f>
        <v>1951.8641657020185</v>
      </c>
      <c r="C355" s="594">
        <f>IF(D200="Positive",input!CM42,input!CU42)</f>
        <v>1318.1358342979815</v>
      </c>
      <c r="D355" s="594">
        <f>input!H42</f>
        <v>40</v>
      </c>
      <c r="E355" s="594">
        <f>input!K42</f>
        <v>30</v>
      </c>
      <c r="F355" s="594">
        <f t="shared" si="16"/>
        <v>1911.8641657020185</v>
      </c>
      <c r="G355" s="765">
        <f>input!F42</f>
        <v>1</v>
      </c>
      <c r="H355" s="765">
        <f>input!G42</f>
        <v>2900</v>
      </c>
      <c r="I355" s="765">
        <f>input!J42</f>
        <v>1840</v>
      </c>
      <c r="J355" s="820">
        <f t="shared" si="14"/>
        <v>116000</v>
      </c>
      <c r="K355" s="595">
        <f>MAX(ABS(Stress!F871),ABS(Stress!G871),input!BI42)</f>
        <v>380</v>
      </c>
      <c r="L355" s="595">
        <f>MIN(input!BK42/K355,1)</f>
        <v>0.93421052631578949</v>
      </c>
      <c r="M355" s="595">
        <f>input!N42</f>
        <v>14</v>
      </c>
      <c r="N355" s="595">
        <f t="shared" si="17"/>
        <v>0.46148445379014241</v>
      </c>
      <c r="O355" s="597">
        <f>IF(input!BK42&gt;=input!BI42,1,(12+N355*(3*L355-L355^3))/(12+2*N355))</f>
        <v>0.99954647746573022</v>
      </c>
      <c r="S355" s="190"/>
      <c r="U355" s="73"/>
      <c r="V355" s="73"/>
      <c r="W355" s="73"/>
      <c r="X355" s="73"/>
      <c r="Y355" s="73"/>
      <c r="Z355" s="73"/>
      <c r="AB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  <c r="AR355" s="143"/>
      <c r="AS355" s="143"/>
    </row>
    <row r="356" spans="1:45" ht="15" customHeight="1">
      <c r="A356" s="593" t="str">
        <f t="shared" si="15"/>
        <v>121i</v>
      </c>
      <c r="B356" s="594">
        <f>IF(D201="Positive",input!CL43,input!CT43)</f>
        <v>1853.8394275253072</v>
      </c>
      <c r="C356" s="594">
        <f>IF(D201="Positive",input!CM43,input!CU43)</f>
        <v>1319.1605724746928</v>
      </c>
      <c r="D356" s="594">
        <f>input!H43</f>
        <v>40</v>
      </c>
      <c r="E356" s="594">
        <f>input!K43</f>
        <v>30</v>
      </c>
      <c r="F356" s="594">
        <f t="shared" si="16"/>
        <v>1813.8394275253072</v>
      </c>
      <c r="G356" s="765">
        <f>input!F43</f>
        <v>1</v>
      </c>
      <c r="H356" s="765">
        <f>input!G43</f>
        <v>2900</v>
      </c>
      <c r="I356" s="765">
        <f>input!J43</f>
        <v>1864</v>
      </c>
      <c r="J356" s="820">
        <f t="shared" si="14"/>
        <v>116000</v>
      </c>
      <c r="K356" s="595">
        <f>MAX(ABS(Stress!F872),ABS(Stress!G872),input!BI43)</f>
        <v>380</v>
      </c>
      <c r="L356" s="595">
        <f>MIN(input!BK43/K356,1)</f>
        <v>0.93421052631578949</v>
      </c>
      <c r="M356" s="595">
        <f>input!N43</f>
        <v>14</v>
      </c>
      <c r="N356" s="595">
        <f t="shared" si="17"/>
        <v>0.43782331009231557</v>
      </c>
      <c r="O356" s="597">
        <f>IF(input!BK43&gt;=input!BI43,1,(12+N356*(3*L356-L356^3))/(12+2*N356))</f>
        <v>0.99956814900334012</v>
      </c>
      <c r="S356" s="190"/>
      <c r="U356" s="73"/>
      <c r="V356" s="73"/>
      <c r="W356" s="73"/>
      <c r="X356" s="73"/>
      <c r="Y356" s="73"/>
      <c r="Z356" s="73"/>
      <c r="AB356" s="143"/>
      <c r="AD356" s="143"/>
      <c r="AE356" s="143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  <c r="AR356" s="143"/>
      <c r="AS356" s="143"/>
    </row>
    <row r="357" spans="1:45" ht="15" customHeight="1">
      <c r="A357" s="593" t="str">
        <f t="shared" si="15"/>
        <v>121j</v>
      </c>
      <c r="B357" s="594">
        <f>IF(D202="Positive",input!CL44,input!CT44)</f>
        <v>1853.8394275253072</v>
      </c>
      <c r="C357" s="594">
        <f>IF(D202="Positive",input!CM44,input!CU44)</f>
        <v>1319.1605724746928</v>
      </c>
      <c r="D357" s="594">
        <f>input!H44</f>
        <v>40</v>
      </c>
      <c r="E357" s="594">
        <f>input!K44</f>
        <v>30</v>
      </c>
      <c r="F357" s="594">
        <f t="shared" si="16"/>
        <v>1813.8394275253072</v>
      </c>
      <c r="G357" s="765">
        <f>input!F44</f>
        <v>1</v>
      </c>
      <c r="H357" s="765">
        <f>input!G44</f>
        <v>2900</v>
      </c>
      <c r="I357" s="765">
        <f>input!J44</f>
        <v>1864</v>
      </c>
      <c r="J357" s="820">
        <f t="shared" si="14"/>
        <v>116000</v>
      </c>
      <c r="K357" s="595">
        <f>MAX(ABS(Stress!F873),ABS(Stress!G873),input!BI44)</f>
        <v>380</v>
      </c>
      <c r="L357" s="595">
        <f>MIN(input!BK44/K357,1)</f>
        <v>0.93421052631578949</v>
      </c>
      <c r="M357" s="595">
        <f>input!N44</f>
        <v>14</v>
      </c>
      <c r="N357" s="595">
        <f t="shared" si="17"/>
        <v>0.43782331009231557</v>
      </c>
      <c r="O357" s="597">
        <f>IF(input!BK44&gt;=input!BI44,1,(12+N357*(3*L357-L357^3))/(12+2*N357))</f>
        <v>0.99956814900334012</v>
      </c>
      <c r="S357" s="190"/>
      <c r="U357" s="73"/>
      <c r="V357" s="73"/>
      <c r="W357" s="73"/>
      <c r="X357" s="73"/>
      <c r="Y357" s="73"/>
      <c r="Z357" s="73"/>
      <c r="AB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AM357" s="143"/>
      <c r="AN357" s="143"/>
      <c r="AO357" s="143"/>
      <c r="AP357" s="143"/>
      <c r="AQ357" s="143"/>
      <c r="AR357" s="143"/>
      <c r="AS357" s="143"/>
    </row>
    <row r="358" spans="1:45" ht="15" customHeight="1">
      <c r="A358" s="593" t="str">
        <f t="shared" si="15"/>
        <v>122i</v>
      </c>
      <c r="B358" s="594">
        <f>IF(D203="Positive",input!CL45,input!CT45)</f>
        <v>1943.2017301416934</v>
      </c>
      <c r="C358" s="594">
        <f>IF(D203="Positive",input!CM45,input!CU45)</f>
        <v>1050.7982698583066</v>
      </c>
      <c r="D358" s="594">
        <f>input!H45</f>
        <v>40</v>
      </c>
      <c r="E358" s="594">
        <f>input!K45</f>
        <v>30</v>
      </c>
      <c r="F358" s="594">
        <f t="shared" si="16"/>
        <v>1903.2017301416934</v>
      </c>
      <c r="G358" s="765">
        <f>input!F45</f>
        <v>2</v>
      </c>
      <c r="H358" s="765">
        <f>input!G45</f>
        <v>800</v>
      </c>
      <c r="I358" s="765">
        <f>input!J45</f>
        <v>1909</v>
      </c>
      <c r="J358" s="820">
        <f t="shared" si="14"/>
        <v>64000</v>
      </c>
      <c r="K358" s="595">
        <f>MAX(ABS(Stress!F874),ABS(Stress!G874),input!BI45)</f>
        <v>380</v>
      </c>
      <c r="L358" s="595">
        <f>MIN(input!BK45/K358,1)</f>
        <v>0.93421052631578949</v>
      </c>
      <c r="M358" s="595">
        <f>input!N45</f>
        <v>12</v>
      </c>
      <c r="N358" s="595">
        <f t="shared" si="17"/>
        <v>0.713700648803135</v>
      </c>
      <c r="O358" s="597">
        <f>IF(input!BK45&gt;=input!BI45,1,(12+N358*(3*L358-L358^3))/(12+2*N358))</f>
        <v>0.9993249620054625</v>
      </c>
      <c r="S358" s="190"/>
      <c r="U358" s="73"/>
      <c r="V358" s="73"/>
      <c r="W358" s="73"/>
      <c r="X358" s="73"/>
      <c r="Y358" s="73"/>
      <c r="Z358" s="73"/>
      <c r="AB358" s="143"/>
      <c r="AD358" s="143"/>
      <c r="AE358" s="143"/>
      <c r="AF358" s="143"/>
      <c r="AG358" s="143"/>
      <c r="AH358" s="143"/>
      <c r="AI358" s="143"/>
      <c r="AJ358" s="143"/>
      <c r="AK358" s="143"/>
      <c r="AL358" s="143"/>
      <c r="AM358" s="143"/>
      <c r="AN358" s="143"/>
      <c r="AO358" s="143"/>
      <c r="AP358" s="143"/>
      <c r="AQ358" s="143"/>
      <c r="AR358" s="143"/>
      <c r="AS358" s="143"/>
    </row>
    <row r="359" spans="1:45" ht="15" customHeight="1">
      <c r="A359" s="593" t="str">
        <f t="shared" si="15"/>
        <v>122j</v>
      </c>
      <c r="B359" s="594">
        <f>IF(D204="Positive",input!CL46,input!CT46)</f>
        <v>1943.2017301416934</v>
      </c>
      <c r="C359" s="594">
        <f>IF(D204="Positive",input!CM46,input!CU46)</f>
        <v>1050.7982698583066</v>
      </c>
      <c r="D359" s="594">
        <f>input!H46</f>
        <v>40</v>
      </c>
      <c r="E359" s="594">
        <f>input!K46</f>
        <v>30</v>
      </c>
      <c r="F359" s="594">
        <f t="shared" si="16"/>
        <v>1903.2017301416934</v>
      </c>
      <c r="G359" s="765">
        <f>input!F46</f>
        <v>2</v>
      </c>
      <c r="H359" s="765">
        <f>input!G46</f>
        <v>800</v>
      </c>
      <c r="I359" s="765">
        <f>input!J46</f>
        <v>1909</v>
      </c>
      <c r="J359" s="820">
        <f t="shared" si="14"/>
        <v>64000</v>
      </c>
      <c r="K359" s="595">
        <f>MAX(ABS(Stress!F875),ABS(Stress!G875),input!BI46)</f>
        <v>380</v>
      </c>
      <c r="L359" s="595">
        <f>MIN(input!BK46/K359,1)</f>
        <v>0.93421052631578949</v>
      </c>
      <c r="M359" s="595">
        <f>input!N46</f>
        <v>12</v>
      </c>
      <c r="N359" s="595">
        <f t="shared" si="17"/>
        <v>0.713700648803135</v>
      </c>
      <c r="O359" s="597">
        <f>IF(input!BK46&gt;=input!BI46,1,(12+N359*(3*L359-L359^3))/(12+2*N359))</f>
        <v>0.9993249620054625</v>
      </c>
      <c r="S359" s="190"/>
      <c r="U359" s="73"/>
      <c r="V359" s="73"/>
      <c r="W359" s="73"/>
      <c r="X359" s="73"/>
      <c r="Y359" s="73"/>
      <c r="Z359" s="73"/>
      <c r="AB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</row>
    <row r="360" spans="1:45" ht="15" customHeight="1">
      <c r="A360" s="593" t="str">
        <f t="shared" si="15"/>
        <v>123i</v>
      </c>
      <c r="B360" s="594">
        <f>IF(D205="Positive",input!CL47,input!CT47)</f>
        <v>1563.7413821658145</v>
      </c>
      <c r="C360" s="594">
        <f>IF(D205="Positive",input!CM47,input!CU47)</f>
        <v>1320.2586178341855</v>
      </c>
      <c r="D360" s="594">
        <f>input!H47</f>
        <v>40</v>
      </c>
      <c r="E360" s="594">
        <f>input!K47</f>
        <v>30</v>
      </c>
      <c r="F360" s="594">
        <f t="shared" si="16"/>
        <v>1523.7413821658145</v>
      </c>
      <c r="G360" s="765">
        <f>input!F47</f>
        <v>2</v>
      </c>
      <c r="H360" s="765">
        <f>input!G47</f>
        <v>600</v>
      </c>
      <c r="I360" s="765">
        <f>input!J47</f>
        <v>1937</v>
      </c>
      <c r="J360" s="820">
        <f t="shared" si="14"/>
        <v>48000</v>
      </c>
      <c r="K360" s="595">
        <f>MAX(ABS(Stress!F876),ABS(Stress!G876),input!BI47)</f>
        <v>380</v>
      </c>
      <c r="L360" s="595">
        <f>MIN(input!BK47/K360,1)</f>
        <v>0.93421052631578949</v>
      </c>
      <c r="M360" s="595">
        <f>input!N47</f>
        <v>12</v>
      </c>
      <c r="N360" s="595">
        <f t="shared" si="17"/>
        <v>0.76187069108290717</v>
      </c>
      <c r="O360" s="597">
        <f>IF(input!BK47&gt;=input!BI47,1,(12+N360*(3*L360-L360^3))/(12+2*N360))</f>
        <v>0.99928453481665824</v>
      </c>
      <c r="S360" s="190"/>
      <c r="U360" s="73"/>
      <c r="V360" s="73"/>
      <c r="W360" s="73"/>
      <c r="X360" s="73"/>
      <c r="Y360" s="73"/>
      <c r="Z360" s="73"/>
      <c r="AB360" s="143"/>
      <c r="AD360" s="143"/>
      <c r="AE360" s="143"/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</row>
    <row r="361" spans="1:45" ht="15" customHeight="1">
      <c r="A361" s="593" t="str">
        <f t="shared" si="15"/>
        <v>123j</v>
      </c>
      <c r="B361" s="594">
        <f>IF(D206="Positive",input!CL48,input!CT48)</f>
        <v>1563.7413821658145</v>
      </c>
      <c r="C361" s="594">
        <f>IF(D206="Positive",input!CM48,input!CU48)</f>
        <v>1320.2586178341855</v>
      </c>
      <c r="D361" s="594">
        <f>input!H48</f>
        <v>40</v>
      </c>
      <c r="E361" s="594">
        <f>input!K48</f>
        <v>30</v>
      </c>
      <c r="F361" s="594">
        <f t="shared" si="16"/>
        <v>1523.7413821658145</v>
      </c>
      <c r="G361" s="765">
        <f>input!F48</f>
        <v>2</v>
      </c>
      <c r="H361" s="765">
        <f>input!G48</f>
        <v>600</v>
      </c>
      <c r="I361" s="765">
        <f>input!J48</f>
        <v>1937</v>
      </c>
      <c r="J361" s="820">
        <f t="shared" si="14"/>
        <v>48000</v>
      </c>
      <c r="K361" s="595">
        <f>MAX(ABS(Stress!F877),ABS(Stress!G877),input!BI48)</f>
        <v>380</v>
      </c>
      <c r="L361" s="595">
        <f>MIN(input!BK48/K361,1)</f>
        <v>0.93421052631578949</v>
      </c>
      <c r="M361" s="595">
        <f>input!N48</f>
        <v>12</v>
      </c>
      <c r="N361" s="595">
        <f t="shared" si="17"/>
        <v>0.76187069108290717</v>
      </c>
      <c r="O361" s="597">
        <f>IF(input!BK48&gt;=input!BI48,1,(12+N361*(3*L361-L361^3))/(12+2*N361))</f>
        <v>0.99928453481665824</v>
      </c>
      <c r="S361" s="190"/>
      <c r="U361" s="73"/>
      <c r="V361" s="73"/>
      <c r="W361" s="73"/>
      <c r="X361" s="73"/>
      <c r="Y361" s="73"/>
      <c r="Z361" s="73"/>
      <c r="AB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</row>
    <row r="362" spans="1:45" ht="15" customHeight="1">
      <c r="A362" s="593" t="str">
        <f t="shared" si="15"/>
        <v>124i</v>
      </c>
      <c r="B362" s="594">
        <f>IF(D207="Positive",input!CL49,input!CT49)</f>
        <v>1671.9586706427854</v>
      </c>
      <c r="C362" s="594">
        <f>IF(D207="Positive",input!CM49,input!CU49)</f>
        <v>1178.0413293572146</v>
      </c>
      <c r="D362" s="594">
        <f>input!H49</f>
        <v>26</v>
      </c>
      <c r="E362" s="594">
        <f>input!K49</f>
        <v>24</v>
      </c>
      <c r="F362" s="594">
        <f t="shared" si="16"/>
        <v>1645.9586706427854</v>
      </c>
      <c r="G362" s="765">
        <f>input!F49</f>
        <v>2</v>
      </c>
      <c r="H362" s="765">
        <f>input!G49</f>
        <v>500</v>
      </c>
      <c r="I362" s="765">
        <f>input!J49</f>
        <v>1940</v>
      </c>
      <c r="J362" s="820">
        <f t="shared" si="14"/>
        <v>26000</v>
      </c>
      <c r="K362" s="595">
        <f>MAX(ABS(Stress!F878),ABS(Stress!G878),input!BI49)</f>
        <v>380</v>
      </c>
      <c r="L362" s="595">
        <f>MIN(input!BK49/K362,1)</f>
        <v>0.93421052631578949</v>
      </c>
      <c r="M362" s="595">
        <f>input!N49</f>
        <v>12</v>
      </c>
      <c r="N362" s="595">
        <f t="shared" si="17"/>
        <v>1.519346465208725</v>
      </c>
      <c r="O362" s="597">
        <f>IF(input!BK49&gt;=input!BI49,1,(12+N362*(3*L362-L362^3))/(12+2*N362))</f>
        <v>0.99871692860471428</v>
      </c>
      <c r="S362" s="190"/>
      <c r="U362" s="73"/>
      <c r="V362" s="73"/>
      <c r="W362" s="73"/>
      <c r="X362" s="73"/>
      <c r="Y362" s="73"/>
      <c r="Z362" s="73"/>
      <c r="AB362" s="143"/>
      <c r="AD362" s="143"/>
      <c r="AE362" s="143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  <c r="AR362" s="143"/>
      <c r="AS362" s="143"/>
    </row>
    <row r="363" spans="1:45" ht="15" customHeight="1">
      <c r="A363" s="593" t="str">
        <f t="shared" si="15"/>
        <v>124j</v>
      </c>
      <c r="B363" s="594">
        <f>IF(D208="Positive",input!CL50,input!CT50)</f>
        <v>1671.9586706427854</v>
      </c>
      <c r="C363" s="594">
        <f>IF(D208="Positive",input!CM50,input!CU50)</f>
        <v>1178.0413293572146</v>
      </c>
      <c r="D363" s="594">
        <f>input!H50</f>
        <v>26</v>
      </c>
      <c r="E363" s="594">
        <f>input!K50</f>
        <v>24</v>
      </c>
      <c r="F363" s="594">
        <f t="shared" si="16"/>
        <v>1645.9586706427854</v>
      </c>
      <c r="G363" s="765">
        <f>input!F50</f>
        <v>2</v>
      </c>
      <c r="H363" s="765">
        <f>input!G50</f>
        <v>500</v>
      </c>
      <c r="I363" s="765">
        <f>input!J50</f>
        <v>1940</v>
      </c>
      <c r="J363" s="820">
        <f t="shared" si="14"/>
        <v>26000</v>
      </c>
      <c r="K363" s="595">
        <f>MAX(ABS(Stress!F879),ABS(Stress!G879),input!BI50)</f>
        <v>380</v>
      </c>
      <c r="L363" s="595">
        <f>MIN(input!BK50/K363,1)</f>
        <v>0.93421052631578949</v>
      </c>
      <c r="M363" s="595">
        <f>input!N50</f>
        <v>12</v>
      </c>
      <c r="N363" s="595">
        <f t="shared" si="17"/>
        <v>1.519346465208725</v>
      </c>
      <c r="O363" s="597">
        <f>IF(input!BK50&gt;=input!BI50,1,(12+N363*(3*L363-L363^3))/(12+2*N363))</f>
        <v>0.99871692860471428</v>
      </c>
      <c r="S363" s="190"/>
      <c r="U363" s="73"/>
      <c r="V363" s="73"/>
      <c r="W363" s="73"/>
      <c r="X363" s="73"/>
      <c r="Y363" s="73"/>
      <c r="Z363" s="73"/>
      <c r="AB363" s="143"/>
      <c r="AD363" s="143"/>
      <c r="AE363" s="143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  <c r="AR363" s="143"/>
      <c r="AS363" s="143"/>
    </row>
    <row r="364" spans="1:45" ht="15" customHeight="1">
      <c r="A364" s="994" t="str">
        <f t="shared" si="15"/>
        <v>125i</v>
      </c>
      <c r="B364" s="995">
        <f>IF(D209="Positive",input!CL51,input!CT51)</f>
        <v>1614.0322950661719</v>
      </c>
      <c r="C364" s="995">
        <f>IF(D209="Positive",input!CM51,input!CU51)</f>
        <v>1225.9677049338281</v>
      </c>
      <c r="D364" s="995">
        <f>input!H51</f>
        <v>22</v>
      </c>
      <c r="E364" s="995">
        <f>input!K51</f>
        <v>18</v>
      </c>
      <c r="F364" s="995">
        <f t="shared" si="16"/>
        <v>1592.0322950661719</v>
      </c>
      <c r="G364" s="996">
        <f>input!F51</f>
        <v>2</v>
      </c>
      <c r="H364" s="996">
        <f>input!G51</f>
        <v>500</v>
      </c>
      <c r="I364" s="996">
        <f>input!J51</f>
        <v>1940</v>
      </c>
      <c r="J364" s="997">
        <f t="shared" si="14"/>
        <v>22000</v>
      </c>
      <c r="K364" s="595">
        <f>MAX(ABS(Stress!F880),ABS(Stress!G880),input!BI51)</f>
        <v>380</v>
      </c>
      <c r="L364" s="595">
        <f>MIN(input!BK51/K364,1)</f>
        <v>0.93421052631578949</v>
      </c>
      <c r="M364" s="998">
        <f>input!N51</f>
        <v>12</v>
      </c>
      <c r="N364" s="998">
        <f t="shared" si="17"/>
        <v>1.736762503708551</v>
      </c>
      <c r="O364" s="597">
        <f>IF(input!BK51&gt;=input!BI51,1,(12+N364*(3*L364-L364^3))/(12+2*N364))</f>
        <v>0.99857453923542161</v>
      </c>
      <c r="S364" s="190"/>
      <c r="U364" s="73"/>
      <c r="V364" s="73"/>
      <c r="W364" s="73"/>
      <c r="X364" s="73"/>
      <c r="Y364" s="73"/>
      <c r="Z364" s="73"/>
      <c r="AB364" s="143"/>
      <c r="AD364" s="143"/>
      <c r="AE364" s="143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  <c r="AR364" s="143"/>
      <c r="AS364" s="143"/>
    </row>
    <row r="365" spans="1:45" ht="15" customHeight="1">
      <c r="A365" s="1000" t="str">
        <f t="shared" si="15"/>
        <v>125j</v>
      </c>
      <c r="B365" s="1001">
        <f>IF(D210="Positive",input!CL52,input!CT52)</f>
        <v>1614.0322950661719</v>
      </c>
      <c r="C365" s="1001">
        <f>IF(D210="Positive",input!CM52,input!CU52)</f>
        <v>1225.9677049338281</v>
      </c>
      <c r="D365" s="1001">
        <f>input!H52</f>
        <v>22</v>
      </c>
      <c r="E365" s="1001">
        <f>input!K52</f>
        <v>18</v>
      </c>
      <c r="F365" s="1001">
        <f t="shared" si="16"/>
        <v>1592.0322950661719</v>
      </c>
      <c r="G365" s="1002">
        <f>input!F52</f>
        <v>2</v>
      </c>
      <c r="H365" s="1002">
        <f>input!G52</f>
        <v>500</v>
      </c>
      <c r="I365" s="1002">
        <f>input!J52</f>
        <v>1940</v>
      </c>
      <c r="J365" s="1003">
        <f t="shared" si="14"/>
        <v>22000</v>
      </c>
      <c r="K365" s="595">
        <f>MAX(ABS(Stress!F881),ABS(Stress!G881),input!BI52)</f>
        <v>380</v>
      </c>
      <c r="L365" s="595">
        <f>MIN(input!BK52/K365,1)</f>
        <v>0.93421052631578949</v>
      </c>
      <c r="M365" s="1004">
        <f>input!N52</f>
        <v>12</v>
      </c>
      <c r="N365" s="1004">
        <f t="shared" si="17"/>
        <v>1.736762503708551</v>
      </c>
      <c r="O365" s="597">
        <f>IF(input!BK52&gt;=input!BI52,1,(12+N365*(3*L365-L365^3))/(12+2*N365))</f>
        <v>0.99857453923542161</v>
      </c>
      <c r="S365" s="190"/>
      <c r="U365" s="73"/>
      <c r="V365" s="73"/>
      <c r="W365" s="73"/>
      <c r="X365" s="73"/>
      <c r="Y365" s="73"/>
      <c r="Z365" s="73"/>
      <c r="AB365" s="143"/>
      <c r="AD365" s="143"/>
      <c r="AE365" s="143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  <c r="AR365" s="143"/>
      <c r="AS365" s="143"/>
    </row>
    <row r="366" spans="1:45" ht="15" customHeight="1">
      <c r="A366" s="593" t="str">
        <f t="shared" si="15"/>
        <v>126i</v>
      </c>
      <c r="B366" s="594">
        <f>IF(D211="Positive",input!CL53,input!CT53)</f>
        <v>1614.0322950661719</v>
      </c>
      <c r="C366" s="594">
        <f>IF(D211="Positive",input!CM53,input!CU53)</f>
        <v>1225.9677049338281</v>
      </c>
      <c r="D366" s="594">
        <f>input!H53</f>
        <v>22</v>
      </c>
      <c r="E366" s="594">
        <f>input!K53</f>
        <v>18</v>
      </c>
      <c r="F366" s="594">
        <f t="shared" si="16"/>
        <v>1592.0322950661719</v>
      </c>
      <c r="G366" s="765">
        <f>input!F53</f>
        <v>2</v>
      </c>
      <c r="H366" s="765">
        <f>input!G53</f>
        <v>500</v>
      </c>
      <c r="I366" s="765">
        <f>input!J53</f>
        <v>1940</v>
      </c>
      <c r="J366" s="820">
        <f t="shared" si="14"/>
        <v>22000</v>
      </c>
      <c r="K366" s="595">
        <f>MAX(ABS(Stress!F882),ABS(Stress!G882),input!BI53)</f>
        <v>380</v>
      </c>
      <c r="L366" s="595">
        <f>MIN(input!BK53/K366,1)</f>
        <v>0.93421052631578949</v>
      </c>
      <c r="M366" s="595">
        <f>input!N53</f>
        <v>12</v>
      </c>
      <c r="N366" s="595">
        <f t="shared" si="17"/>
        <v>1.736762503708551</v>
      </c>
      <c r="O366" s="597">
        <f>IF(input!BK53&gt;=input!BI53,1,(12+N366*(3*L366-L366^3))/(12+2*N366))</f>
        <v>0.99857453923542161</v>
      </c>
      <c r="S366" s="190"/>
      <c r="U366" s="73"/>
      <c r="V366" s="73"/>
      <c r="W366" s="73"/>
      <c r="X366" s="73"/>
      <c r="Y366" s="73"/>
      <c r="Z366" s="73"/>
      <c r="AB366" s="143"/>
      <c r="AD366" s="143"/>
      <c r="AE366" s="143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  <c r="AR366" s="143"/>
      <c r="AS366" s="143"/>
    </row>
    <row r="367" spans="1:45" ht="15" customHeight="1">
      <c r="A367" s="593" t="str">
        <f t="shared" si="15"/>
        <v>126j</v>
      </c>
      <c r="B367" s="594">
        <f>IF(D212="Positive",input!CL54,input!CT54)</f>
        <v>1614.0322950661719</v>
      </c>
      <c r="C367" s="594">
        <f>IF(D212="Positive",input!CM54,input!CU54)</f>
        <v>1225.9677049338281</v>
      </c>
      <c r="D367" s="594">
        <f>input!H54</f>
        <v>22</v>
      </c>
      <c r="E367" s="594">
        <f>input!K54</f>
        <v>18</v>
      </c>
      <c r="F367" s="594">
        <f t="shared" si="16"/>
        <v>1592.0322950661719</v>
      </c>
      <c r="G367" s="765">
        <f>input!F54</f>
        <v>2</v>
      </c>
      <c r="H367" s="765">
        <f>input!G54</f>
        <v>500</v>
      </c>
      <c r="I367" s="765">
        <f>input!J54</f>
        <v>1940</v>
      </c>
      <c r="J367" s="820">
        <f t="shared" si="14"/>
        <v>22000</v>
      </c>
      <c r="K367" s="595">
        <f>MAX(ABS(Stress!F883),ABS(Stress!G883),input!BI54)</f>
        <v>380</v>
      </c>
      <c r="L367" s="595">
        <f>MIN(input!BK54/K367,1)</f>
        <v>0.93421052631578949</v>
      </c>
      <c r="M367" s="595">
        <f>input!N54</f>
        <v>12</v>
      </c>
      <c r="N367" s="595">
        <f t="shared" si="17"/>
        <v>1.736762503708551</v>
      </c>
      <c r="O367" s="597">
        <f>IF(input!BK54&gt;=input!BI54,1,(12+N367*(3*L367-L367^3))/(12+2*N367))</f>
        <v>0.99857453923542161</v>
      </c>
      <c r="S367" s="190"/>
      <c r="U367" s="73"/>
      <c r="V367" s="73"/>
      <c r="W367" s="73"/>
      <c r="X367" s="73"/>
      <c r="Y367" s="73"/>
      <c r="Z367" s="73"/>
      <c r="AB367" s="143"/>
      <c r="AD367" s="143"/>
      <c r="AE367" s="143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  <c r="AR367" s="143"/>
      <c r="AS367" s="143"/>
    </row>
    <row r="368" spans="1:45" ht="15" customHeight="1">
      <c r="A368" s="593" t="str">
        <f t="shared" si="15"/>
        <v>127i</v>
      </c>
      <c r="B368" s="594">
        <f>IF(D213="Positive",input!CL55,input!CT55)</f>
        <v>1448.02698553709</v>
      </c>
      <c r="C368" s="594">
        <f>IF(D213="Positive",input!CM55,input!CU55)</f>
        <v>1383.97301446291</v>
      </c>
      <c r="D368" s="594">
        <f>input!H55</f>
        <v>22</v>
      </c>
      <c r="E368" s="594">
        <f>input!K55</f>
        <v>10</v>
      </c>
      <c r="F368" s="594">
        <f t="shared" si="16"/>
        <v>1426.02698553709</v>
      </c>
      <c r="G368" s="765">
        <f>input!F55</f>
        <v>2</v>
      </c>
      <c r="H368" s="765">
        <f>input!G55</f>
        <v>500</v>
      </c>
      <c r="I368" s="765">
        <f>input!J55</f>
        <v>1940</v>
      </c>
      <c r="J368" s="820">
        <f t="shared" si="14"/>
        <v>22000</v>
      </c>
      <c r="K368" s="595">
        <f>MAX(ABS(Stress!F884),ABS(Stress!G884),input!BI55)</f>
        <v>380</v>
      </c>
      <c r="L368" s="595">
        <f>MIN(input!BK55/K368,1)</f>
        <v>0.93421052631578949</v>
      </c>
      <c r="M368" s="595">
        <f>input!N55</f>
        <v>12</v>
      </c>
      <c r="N368" s="595">
        <f t="shared" si="17"/>
        <v>1.5556658024040984</v>
      </c>
      <c r="O368" s="597">
        <f>IF(input!BK55&gt;=input!BI55,1,(12+N368*(3*L368-L368^3))/(12+2*N368))</f>
        <v>0.99869257235446196</v>
      </c>
      <c r="S368" s="190"/>
      <c r="U368" s="73"/>
      <c r="V368" s="73"/>
      <c r="W368" s="73"/>
      <c r="X368" s="73"/>
      <c r="Y368" s="73"/>
      <c r="Z368" s="73"/>
      <c r="AB368" s="143"/>
      <c r="AD368" s="143"/>
      <c r="AE368" s="143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  <c r="AR368" s="143"/>
      <c r="AS368" s="143"/>
    </row>
    <row r="369" spans="1:45" ht="15" customHeight="1">
      <c r="A369" s="593" t="str">
        <f t="shared" si="15"/>
        <v>127j</v>
      </c>
      <c r="B369" s="594">
        <f>IF(D214="Positive",input!CL56,input!CT56)</f>
        <v>1448.02698553709</v>
      </c>
      <c r="C369" s="594">
        <f>IF(D214="Positive",input!CM56,input!CU56)</f>
        <v>1383.97301446291</v>
      </c>
      <c r="D369" s="594">
        <f>input!H56</f>
        <v>22</v>
      </c>
      <c r="E369" s="594">
        <f>input!K56</f>
        <v>10</v>
      </c>
      <c r="F369" s="594">
        <f t="shared" si="16"/>
        <v>1426.02698553709</v>
      </c>
      <c r="G369" s="765">
        <f>input!F56</f>
        <v>2</v>
      </c>
      <c r="H369" s="765">
        <f>input!G56</f>
        <v>500</v>
      </c>
      <c r="I369" s="765">
        <f>input!J56</f>
        <v>1940</v>
      </c>
      <c r="J369" s="820">
        <f t="shared" si="14"/>
        <v>22000</v>
      </c>
      <c r="K369" s="595">
        <f>MAX(ABS(Stress!F885),ABS(Stress!G885),input!BI56)</f>
        <v>380</v>
      </c>
      <c r="L369" s="595">
        <f>MIN(input!BK56/K369,1)</f>
        <v>0.93421052631578949</v>
      </c>
      <c r="M369" s="595">
        <f>input!N56</f>
        <v>12</v>
      </c>
      <c r="N369" s="595">
        <f t="shared" si="17"/>
        <v>1.5556658024040984</v>
      </c>
      <c r="O369" s="597">
        <f>IF(input!BK56&gt;=input!BI56,1,(12+N369*(3*L369-L369^3))/(12+2*N369))</f>
        <v>0.99869257235446196</v>
      </c>
      <c r="S369" s="190"/>
      <c r="U369" s="73"/>
      <c r="V369" s="73"/>
      <c r="W369" s="73"/>
      <c r="X369" s="73"/>
      <c r="Y369" s="122"/>
      <c r="Z369" s="73"/>
      <c r="AB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  <c r="AS369" s="143"/>
    </row>
    <row r="370" spans="1:45" ht="15" customHeight="1">
      <c r="A370" s="593" t="str">
        <f t="shared" si="15"/>
        <v>128i</v>
      </c>
      <c r="B370" s="594">
        <f>IF(D215="Positive",input!CL57,input!CT57)</f>
        <v>1448.02698553709</v>
      </c>
      <c r="C370" s="594">
        <f>IF(D215="Positive",input!CM57,input!CU57)</f>
        <v>1383.97301446291</v>
      </c>
      <c r="D370" s="594">
        <f>input!H57</f>
        <v>22</v>
      </c>
      <c r="E370" s="594">
        <f>input!K57</f>
        <v>10</v>
      </c>
      <c r="F370" s="594">
        <f t="shared" si="16"/>
        <v>1426.02698553709</v>
      </c>
      <c r="G370" s="765">
        <f>input!F57</f>
        <v>2</v>
      </c>
      <c r="H370" s="765">
        <f>input!G57</f>
        <v>500</v>
      </c>
      <c r="I370" s="765">
        <f>input!J57</f>
        <v>1940</v>
      </c>
      <c r="J370" s="820">
        <f t="shared" si="14"/>
        <v>22000</v>
      </c>
      <c r="K370" s="595">
        <f>MAX(ABS(Stress!F886),ABS(Stress!G886),input!BI57)</f>
        <v>380</v>
      </c>
      <c r="L370" s="595">
        <f>MIN(input!BK57/K370,1)</f>
        <v>0.93421052631578949</v>
      </c>
      <c r="M370" s="595">
        <f>input!N57</f>
        <v>12</v>
      </c>
      <c r="N370" s="595">
        <f t="shared" si="17"/>
        <v>1.5556658024040984</v>
      </c>
      <c r="O370" s="597">
        <f>IF(input!BK57&gt;=input!BI57,1,(12+N370*(3*L370-L370^3))/(12+2*N370))</f>
        <v>0.99869257235446196</v>
      </c>
      <c r="S370" s="190"/>
      <c r="U370" s="73"/>
      <c r="V370" s="73"/>
      <c r="W370" s="73"/>
      <c r="X370" s="73"/>
      <c r="Y370" s="122"/>
      <c r="Z370" s="73"/>
      <c r="AB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R370" s="143"/>
      <c r="AS370" s="143"/>
    </row>
    <row r="371" spans="1:45" ht="15" customHeight="1">
      <c r="A371" s="593" t="str">
        <f t="shared" si="15"/>
        <v>128j</v>
      </c>
      <c r="B371" s="594">
        <f>IF(D216="Positive",input!CL58,input!CT58)</f>
        <v>1448.02698553709</v>
      </c>
      <c r="C371" s="594">
        <f>IF(D216="Positive",input!CM58,input!CU58)</f>
        <v>1383.97301446291</v>
      </c>
      <c r="D371" s="594">
        <f>input!H58</f>
        <v>22</v>
      </c>
      <c r="E371" s="594">
        <f>input!K58</f>
        <v>10</v>
      </c>
      <c r="F371" s="594">
        <f t="shared" si="16"/>
        <v>1426.02698553709</v>
      </c>
      <c r="G371" s="765">
        <f>input!F58</f>
        <v>2</v>
      </c>
      <c r="H371" s="765">
        <f>input!G58</f>
        <v>500</v>
      </c>
      <c r="I371" s="765">
        <f>input!J58</f>
        <v>1940</v>
      </c>
      <c r="J371" s="820">
        <f t="shared" si="14"/>
        <v>22000</v>
      </c>
      <c r="K371" s="595">
        <f>MAX(ABS(Stress!F887),ABS(Stress!G887),input!BI58)</f>
        <v>380</v>
      </c>
      <c r="L371" s="595">
        <f>MIN(input!BK58/K371,1)</f>
        <v>0.93421052631578949</v>
      </c>
      <c r="M371" s="595">
        <f>input!N58</f>
        <v>12</v>
      </c>
      <c r="N371" s="595">
        <f t="shared" si="17"/>
        <v>1.5556658024040984</v>
      </c>
      <c r="O371" s="597">
        <f>IF(input!BK58&gt;=input!BI58,1,(12+N371*(3*L371-L371^3))/(12+2*N371))</f>
        <v>0.99869257235446196</v>
      </c>
      <c r="S371" s="190"/>
      <c r="U371" s="73"/>
      <c r="V371" s="73"/>
      <c r="W371" s="73"/>
      <c r="X371" s="73"/>
      <c r="Y371" s="122"/>
      <c r="Z371" s="73"/>
      <c r="AB371" s="143"/>
      <c r="AD371" s="143"/>
      <c r="AE371" s="143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  <c r="AR371" s="143"/>
      <c r="AS371" s="143"/>
    </row>
    <row r="372" spans="1:45" ht="15" customHeight="1">
      <c r="A372" s="593" t="str">
        <f t="shared" si="15"/>
        <v>129i</v>
      </c>
      <c r="B372" s="594">
        <f>IF(D217="Positive",input!CL59,input!CT59)</f>
        <v>1448.02698553709</v>
      </c>
      <c r="C372" s="594">
        <f>IF(D217="Positive",input!CM59,input!CU59)</f>
        <v>1383.97301446291</v>
      </c>
      <c r="D372" s="594">
        <f>input!H59</f>
        <v>22</v>
      </c>
      <c r="E372" s="594">
        <f>input!K59</f>
        <v>10</v>
      </c>
      <c r="F372" s="594">
        <f t="shared" si="16"/>
        <v>1426.02698553709</v>
      </c>
      <c r="G372" s="765">
        <f>input!F59</f>
        <v>2</v>
      </c>
      <c r="H372" s="765">
        <f>input!G59</f>
        <v>500</v>
      </c>
      <c r="I372" s="765">
        <f>input!J59</f>
        <v>1940</v>
      </c>
      <c r="J372" s="820">
        <f t="shared" si="14"/>
        <v>22000</v>
      </c>
      <c r="K372" s="595">
        <f>MAX(ABS(Stress!F888),ABS(Stress!G888),input!BI59)</f>
        <v>380</v>
      </c>
      <c r="L372" s="595">
        <f>MIN(input!BK59/K372,1)</f>
        <v>0.93421052631578949</v>
      </c>
      <c r="M372" s="595">
        <f>input!N59</f>
        <v>12</v>
      </c>
      <c r="N372" s="595">
        <f t="shared" si="17"/>
        <v>1.5556658024040984</v>
      </c>
      <c r="O372" s="597">
        <f>IF(input!BK59&gt;=input!BI59,1,(12+N372*(3*L372-L372^3))/(12+2*N372))</f>
        <v>0.99869257235446196</v>
      </c>
      <c r="S372" s="190"/>
      <c r="U372" s="73"/>
      <c r="V372" s="73"/>
      <c r="W372" s="73"/>
      <c r="X372" s="73"/>
      <c r="Y372" s="122"/>
      <c r="Z372" s="73"/>
      <c r="AB372" s="143"/>
      <c r="AD372" s="143"/>
      <c r="AE372" s="143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  <c r="AR372" s="143"/>
      <c r="AS372" s="143"/>
    </row>
    <row r="373" spans="1:45" ht="15" customHeight="1">
      <c r="A373" s="593" t="str">
        <f t="shared" si="15"/>
        <v>129j</v>
      </c>
      <c r="B373" s="594">
        <f>IF(D218="Positive",input!CL60,input!CT60)</f>
        <v>1448.02698553709</v>
      </c>
      <c r="C373" s="594">
        <f>IF(D218="Positive",input!CM60,input!CU60)</f>
        <v>1383.97301446291</v>
      </c>
      <c r="D373" s="594">
        <f>input!H60</f>
        <v>22</v>
      </c>
      <c r="E373" s="594">
        <f>input!K60</f>
        <v>10</v>
      </c>
      <c r="F373" s="594">
        <f t="shared" si="16"/>
        <v>1426.02698553709</v>
      </c>
      <c r="G373" s="765">
        <f>input!F60</f>
        <v>2</v>
      </c>
      <c r="H373" s="765">
        <f>input!G60</f>
        <v>500</v>
      </c>
      <c r="I373" s="765">
        <f>input!J60</f>
        <v>1940</v>
      </c>
      <c r="J373" s="820">
        <f t="shared" si="14"/>
        <v>22000</v>
      </c>
      <c r="K373" s="595">
        <f>MAX(ABS(Stress!F889),ABS(Stress!G889),input!BI60)</f>
        <v>380</v>
      </c>
      <c r="L373" s="595">
        <f>MIN(input!BK60/K373,1)</f>
        <v>0.93421052631578949</v>
      </c>
      <c r="M373" s="595">
        <f>input!N60</f>
        <v>12</v>
      </c>
      <c r="N373" s="595">
        <f t="shared" si="17"/>
        <v>1.5556658024040984</v>
      </c>
      <c r="O373" s="597">
        <f>IF(input!BK60&gt;=input!BI60,1,(12+N373*(3*L373-L373^3))/(12+2*N373))</f>
        <v>0.99869257235446196</v>
      </c>
      <c r="S373" s="190"/>
      <c r="U373" s="73"/>
      <c r="V373" s="73"/>
      <c r="W373" s="73"/>
      <c r="X373" s="73"/>
      <c r="Y373" s="122"/>
      <c r="Z373" s="73"/>
      <c r="AB373" s="143"/>
      <c r="AD373" s="143"/>
      <c r="AE373" s="143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  <c r="AR373" s="143"/>
      <c r="AS373" s="143"/>
    </row>
    <row r="374" spans="1:45" ht="15" customHeight="1">
      <c r="A374" s="593" t="str">
        <f t="shared" si="15"/>
        <v>130i</v>
      </c>
      <c r="B374" s="594">
        <f>IF(D219="Positive",input!CL61,input!CT61)</f>
        <v>1346.8744099058233</v>
      </c>
      <c r="C374" s="594">
        <f>IF(D219="Positive",input!CM61,input!CU61)</f>
        <v>1285.1255900941767</v>
      </c>
      <c r="D374" s="594">
        <f>input!H61</f>
        <v>22</v>
      </c>
      <c r="E374" s="594">
        <f>input!K61</f>
        <v>10</v>
      </c>
      <c r="F374" s="594">
        <f t="shared" si="16"/>
        <v>1324.8744099058233</v>
      </c>
      <c r="G374" s="765">
        <f>input!F61</f>
        <v>2</v>
      </c>
      <c r="H374" s="765">
        <f>input!G61</f>
        <v>500</v>
      </c>
      <c r="I374" s="765">
        <f>input!J61</f>
        <v>1940</v>
      </c>
      <c r="J374" s="820">
        <f t="shared" si="14"/>
        <v>22000</v>
      </c>
      <c r="K374" s="595">
        <f>MAX(ABS(Stress!F890),ABS(Stress!G890),input!BI61)</f>
        <v>380</v>
      </c>
      <c r="L374" s="595">
        <f>MIN(input!BK61/K374,1)</f>
        <v>0.93421052631578949</v>
      </c>
      <c r="M374" s="595">
        <f>input!N61</f>
        <v>12</v>
      </c>
      <c r="N374" s="595">
        <f t="shared" si="17"/>
        <v>1.4453175380790801</v>
      </c>
      <c r="O374" s="597">
        <f>IF(input!BK61&gt;=input!BI61,1,(12+N374*(3*L374-L374^3))/(12+2*N374))</f>
        <v>0.99876730922196377</v>
      </c>
      <c r="S374" s="190"/>
      <c r="U374" s="73"/>
      <c r="V374" s="73"/>
      <c r="W374" s="73"/>
      <c r="X374" s="73"/>
      <c r="Y374" s="73"/>
      <c r="Z374" s="73"/>
      <c r="AB374" s="143"/>
      <c r="AD374" s="143"/>
      <c r="AE374" s="143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  <c r="AR374" s="143"/>
      <c r="AS374" s="143"/>
    </row>
    <row r="375" spans="1:45" ht="15" customHeight="1">
      <c r="A375" s="593" t="str">
        <f t="shared" si="15"/>
        <v>130j</v>
      </c>
      <c r="B375" s="594">
        <f>IF(D220="Positive",input!CL62,input!CT62)</f>
        <v>1346.8744099058233</v>
      </c>
      <c r="C375" s="594">
        <f>IF(D220="Positive",input!CM62,input!CU62)</f>
        <v>1285.1255900941767</v>
      </c>
      <c r="D375" s="594">
        <f>input!H62</f>
        <v>22</v>
      </c>
      <c r="E375" s="594">
        <f>input!K62</f>
        <v>10</v>
      </c>
      <c r="F375" s="594">
        <f t="shared" si="16"/>
        <v>1324.8744099058233</v>
      </c>
      <c r="G375" s="765">
        <f>input!F62</f>
        <v>2</v>
      </c>
      <c r="H375" s="765">
        <f>input!G62</f>
        <v>500</v>
      </c>
      <c r="I375" s="765">
        <f>input!J62</f>
        <v>1940</v>
      </c>
      <c r="J375" s="820">
        <f t="shared" si="14"/>
        <v>22000</v>
      </c>
      <c r="K375" s="595">
        <f>MAX(ABS(Stress!F891),ABS(Stress!G891),input!BI62)</f>
        <v>380</v>
      </c>
      <c r="L375" s="595">
        <f>MIN(input!BK62/K375,1)</f>
        <v>0.93421052631578949</v>
      </c>
      <c r="M375" s="595">
        <f>input!N62</f>
        <v>12</v>
      </c>
      <c r="N375" s="595">
        <f t="shared" si="17"/>
        <v>1.4453175380790801</v>
      </c>
      <c r="O375" s="597">
        <f>IF(input!BK62&gt;=input!BI62,1,(12+N375*(3*L375-L375^3))/(12+2*N375))</f>
        <v>0.99876730922196377</v>
      </c>
      <c r="S375" s="190"/>
      <c r="U375" s="73"/>
      <c r="V375" s="73"/>
      <c r="W375" s="73"/>
      <c r="X375" s="73"/>
      <c r="Y375" s="73"/>
      <c r="Z375" s="73"/>
      <c r="AB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  <c r="AS375" s="143"/>
    </row>
    <row r="376" spans="1:45" ht="15" customHeight="1">
      <c r="A376" s="593" t="str">
        <f t="shared" si="15"/>
        <v>131i</v>
      </c>
      <c r="B376" s="594">
        <f>IF(D221="Positive",input!CL63,input!CT63)</f>
        <v>1346.8744099058233</v>
      </c>
      <c r="C376" s="594">
        <f>IF(D221="Positive",input!CM63,input!CU63)</f>
        <v>1285.1255900941767</v>
      </c>
      <c r="D376" s="594">
        <f>input!H63</f>
        <v>22</v>
      </c>
      <c r="E376" s="594">
        <f>input!K63</f>
        <v>10</v>
      </c>
      <c r="F376" s="594">
        <f t="shared" si="16"/>
        <v>1324.8744099058233</v>
      </c>
      <c r="G376" s="765">
        <f>input!F63</f>
        <v>2</v>
      </c>
      <c r="H376" s="765">
        <f>input!G63</f>
        <v>500</v>
      </c>
      <c r="I376" s="765">
        <f>input!J63</f>
        <v>1940</v>
      </c>
      <c r="J376" s="820">
        <f t="shared" si="14"/>
        <v>22000</v>
      </c>
      <c r="K376" s="595">
        <f>MAX(ABS(Stress!F892),ABS(Stress!G892),input!BI63)</f>
        <v>380</v>
      </c>
      <c r="L376" s="595">
        <f>MIN(input!BK63/K376,1)</f>
        <v>0.93421052631578949</v>
      </c>
      <c r="M376" s="595">
        <f>input!N63</f>
        <v>12</v>
      </c>
      <c r="N376" s="595">
        <f t="shared" si="17"/>
        <v>1.4453175380790801</v>
      </c>
      <c r="O376" s="597">
        <f>IF(input!BK63&gt;=input!BI63,1,(12+N376*(3*L376-L376^3))/(12+2*N376))</f>
        <v>0.99876730922196377</v>
      </c>
      <c r="S376" s="190"/>
      <c r="U376" s="73"/>
      <c r="V376" s="73"/>
      <c r="W376" s="73"/>
      <c r="X376" s="73"/>
      <c r="Y376" s="73"/>
      <c r="Z376" s="73"/>
      <c r="AB376" s="143"/>
      <c r="AD376" s="143"/>
      <c r="AE376" s="143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  <c r="AR376" s="143"/>
      <c r="AS376" s="143"/>
    </row>
    <row r="377" spans="1:45" ht="15" customHeight="1">
      <c r="A377" s="593" t="str">
        <f t="shared" si="15"/>
        <v>131j</v>
      </c>
      <c r="B377" s="594">
        <f>IF(D222="Positive",input!CL64,input!CT64)</f>
        <v>1346.8744099058233</v>
      </c>
      <c r="C377" s="594">
        <f>IF(D222="Positive",input!CM64,input!CU64)</f>
        <v>1285.1255900941767</v>
      </c>
      <c r="D377" s="594">
        <f>input!H64</f>
        <v>22</v>
      </c>
      <c r="E377" s="594">
        <f>input!K64</f>
        <v>10</v>
      </c>
      <c r="F377" s="594">
        <f t="shared" si="16"/>
        <v>1324.8744099058233</v>
      </c>
      <c r="G377" s="765">
        <f>input!F64</f>
        <v>2</v>
      </c>
      <c r="H377" s="765">
        <f>input!G64</f>
        <v>500</v>
      </c>
      <c r="I377" s="765">
        <f>input!J64</f>
        <v>1940</v>
      </c>
      <c r="J377" s="820">
        <f t="shared" si="14"/>
        <v>22000</v>
      </c>
      <c r="K377" s="595">
        <f>MAX(ABS(Stress!F893),ABS(Stress!G893),input!BI64)</f>
        <v>380</v>
      </c>
      <c r="L377" s="595">
        <f>MIN(input!BK64/K377,1)</f>
        <v>0.93421052631578949</v>
      </c>
      <c r="M377" s="595">
        <f>input!N64</f>
        <v>12</v>
      </c>
      <c r="N377" s="595">
        <f t="shared" si="17"/>
        <v>1.4453175380790801</v>
      </c>
      <c r="O377" s="597">
        <f>IF(input!BK64&gt;=input!BI64,1,(12+N377*(3*L377-L377^3))/(12+2*N377))</f>
        <v>0.99876730922196377</v>
      </c>
      <c r="S377" s="190"/>
      <c r="U377" s="73"/>
      <c r="V377" s="73"/>
      <c r="W377" s="73"/>
      <c r="X377" s="73"/>
      <c r="Y377" s="73"/>
      <c r="Z377" s="73"/>
      <c r="AB377" s="143"/>
      <c r="AD377" s="143"/>
      <c r="AE377" s="143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  <c r="AR377" s="143"/>
      <c r="AS377" s="143"/>
    </row>
    <row r="378" spans="1:45" ht="15" customHeight="1">
      <c r="B378" s="348"/>
      <c r="C378" s="348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20"/>
      <c r="O378" s="220"/>
      <c r="P378" s="219"/>
      <c r="Q378" s="219"/>
      <c r="R378" s="242"/>
      <c r="S378" s="242"/>
      <c r="T378" s="242"/>
      <c r="U378" s="242"/>
      <c r="V378" s="364"/>
      <c r="W378" s="364"/>
      <c r="X378" s="242"/>
      <c r="Y378" s="242"/>
      <c r="AD378" s="73"/>
      <c r="AF378" s="73"/>
    </row>
    <row r="379" spans="1:45" ht="15" customHeight="1" thickBot="1">
      <c r="A379" s="468" t="s">
        <v>1624</v>
      </c>
    </row>
    <row r="380" spans="1:45" ht="15" customHeight="1">
      <c r="A380" s="549" t="s">
        <v>16</v>
      </c>
      <c r="B380" s="790" t="s">
        <v>693</v>
      </c>
      <c r="C380" s="660" t="s">
        <v>446</v>
      </c>
      <c r="D380" s="1918" t="s">
        <v>963</v>
      </c>
      <c r="E380" s="1911"/>
      <c r="F380" s="1911"/>
      <c r="G380" s="1919"/>
      <c r="H380" s="1918" t="s">
        <v>969</v>
      </c>
      <c r="I380" s="1911"/>
      <c r="J380" s="1911"/>
      <c r="K380" s="1911"/>
      <c r="L380" s="1919"/>
      <c r="M380" s="545" t="s">
        <v>153</v>
      </c>
      <c r="X380" s="73"/>
      <c r="Y380" s="73"/>
      <c r="Z380" s="73"/>
      <c r="AA380" s="73"/>
      <c r="AC380" s="73"/>
      <c r="AD380" s="7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  <c r="AS380" s="143"/>
    </row>
    <row r="381" spans="1:45" ht="15" customHeight="1">
      <c r="A381" s="550"/>
      <c r="B381" s="791" t="s">
        <v>694</v>
      </c>
      <c r="C381" s="662"/>
      <c r="D381" s="543" t="s">
        <v>964</v>
      </c>
      <c r="E381" s="551" t="s">
        <v>965</v>
      </c>
      <c r="F381" s="551" t="s">
        <v>966</v>
      </c>
      <c r="G381" s="551" t="s">
        <v>967</v>
      </c>
      <c r="H381" s="551" t="s">
        <v>970</v>
      </c>
      <c r="I381" s="551" t="s">
        <v>971</v>
      </c>
      <c r="J381" s="551" t="s">
        <v>968</v>
      </c>
      <c r="K381" s="551" t="s">
        <v>972</v>
      </c>
      <c r="L381" s="551" t="s">
        <v>973</v>
      </c>
      <c r="M381" s="546" t="s">
        <v>974</v>
      </c>
      <c r="Y381" s="143"/>
      <c r="AB381" s="143"/>
      <c r="AD381" s="143"/>
      <c r="AE381" s="143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  <c r="AR381" s="143"/>
      <c r="AS381" s="143"/>
    </row>
    <row r="382" spans="1:45" ht="15" customHeight="1">
      <c r="A382" s="482" t="str">
        <f t="shared" ref="A382:A413" si="18">A95</f>
        <v>101i</v>
      </c>
      <c r="B382" s="1016" t="str">
        <f t="shared" ref="B382:B413" si="19">D161</f>
        <v>Negative</v>
      </c>
      <c r="C382" s="794" t="str">
        <f>IF(B382="Positive",IF(input!F3=2,"OF","BF"),"BF")</f>
        <v>BF</v>
      </c>
      <c r="D382" s="21">
        <f>input!G3/2/input!H3</f>
        <v>11.363636363636363</v>
      </c>
      <c r="E382" s="595">
        <f>0.38*SQRT(Es/input!BI3)</f>
        <v>8.9330845736509179</v>
      </c>
      <c r="F382" s="595">
        <f>0.56*SQRT(Es/input!BL3)</f>
        <v>15.73464163457246</v>
      </c>
      <c r="G382" s="598">
        <f>IF(D382&lt;=E382,1*O316*input!BI3,(1-(1-input!BL3/O316/input!BI3)*((D382-E382)/(F382-E382)))*1*O316*input!BI3)</f>
        <v>338.95279763710556</v>
      </c>
      <c r="H382" s="598">
        <f t="shared" ref="H382:H413" si="20">B95</f>
        <v>5000</v>
      </c>
      <c r="I382" s="596">
        <f t="shared" ref="I382:I413" si="21">J161</f>
        <v>2816.705197807451</v>
      </c>
      <c r="J382" s="596">
        <f>+PI()*F161*SQRT(Es/input!BL3)</f>
        <v>10576.506676693334</v>
      </c>
      <c r="K382" s="596">
        <f t="shared" ref="K382:K413" si="22">1*O316*(PI()^2)*Es/(H382/F161)^2</f>
        <v>1188.7107023251599</v>
      </c>
      <c r="L382" s="595">
        <f>IF(H382&lt;=I382,1*O316*input!BI3,IF(H382&lt;=J382,MIN(1*(1-(1-input!BL3/O316/input!BI3)*((H382-I382)/(J382-I382)))*1*O316*input!BI3,1*O316*input!BI3),MIN(K382,1*O316*input!BI3)))</f>
        <v>347.57941422906794</v>
      </c>
      <c r="M382" s="597" t="str">
        <f>IF(C382="BF","BF",MIN(G382:L382))</f>
        <v>BF</v>
      </c>
      <c r="Y382" s="143"/>
      <c r="AB382" s="143"/>
      <c r="AD382" s="143"/>
      <c r="AE382" s="143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  <c r="AR382" s="143"/>
      <c r="AS382" s="143"/>
    </row>
    <row r="383" spans="1:45" ht="15" customHeight="1">
      <c r="A383" s="482" t="str">
        <f t="shared" si="18"/>
        <v>101j</v>
      </c>
      <c r="B383" s="1016" t="str">
        <f t="shared" si="19"/>
        <v>Negative</v>
      </c>
      <c r="C383" s="794" t="str">
        <f>IF(B383="Positive",IF(input!F4=2,"OF","BF"),"BF")</f>
        <v>BF</v>
      </c>
      <c r="D383" s="21">
        <f>input!G4/2/input!H4</f>
        <v>11.363636363636363</v>
      </c>
      <c r="E383" s="595">
        <f>0.38*SQRT(Es/input!BI4)</f>
        <v>8.9330845736509179</v>
      </c>
      <c r="F383" s="595">
        <f>0.56*SQRT(Es/input!BL4)</f>
        <v>15.73464163457246</v>
      </c>
      <c r="G383" s="598">
        <f>IF(D383&lt;=E383,1*O317*input!BI4,(1-(1-input!BL4/O317/input!BI4)*((D383-E383)/(F383-E383)))*1*O317*input!BI4)</f>
        <v>338.95279763710556</v>
      </c>
      <c r="H383" s="598">
        <f t="shared" si="20"/>
        <v>5000</v>
      </c>
      <c r="I383" s="596">
        <f t="shared" si="21"/>
        <v>2816.705197807451</v>
      </c>
      <c r="J383" s="596">
        <f>+PI()*F162*SQRT(Es/input!BL4)</f>
        <v>10576.506676693334</v>
      </c>
      <c r="K383" s="596">
        <f t="shared" si="22"/>
        <v>1188.7107023251599</v>
      </c>
      <c r="L383" s="595">
        <f>IF(H383&lt;=I383,1*O317*input!BI4,IF(H383&lt;=J383,MIN(1*(1-(1-input!BL4/O317/input!BI4)*((H383-I383)/(J383-I383)))*1*O317*input!BI4,1*O317*input!BI4),MIN(K383,1*O317*input!BI4)))</f>
        <v>347.57941422906794</v>
      </c>
      <c r="M383" s="597" t="str">
        <f t="shared" ref="M383:M443" si="23">IF(C383="BF","BF",MIN(G383:L383))</f>
        <v>BF</v>
      </c>
      <c r="Y383" s="143"/>
      <c r="AB383" s="143"/>
      <c r="AD383" s="143"/>
      <c r="AE383" s="143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  <c r="AR383" s="143"/>
      <c r="AS383" s="143"/>
    </row>
    <row r="384" spans="1:45" ht="15" customHeight="1">
      <c r="A384" s="482" t="str">
        <f t="shared" si="18"/>
        <v>102i</v>
      </c>
      <c r="B384" s="1016" t="str">
        <f t="shared" si="19"/>
        <v>Negative</v>
      </c>
      <c r="C384" s="794" t="str">
        <f>IF(B384="Positive",IF(input!F5=2,"OF","BF"),"BF")</f>
        <v>BF</v>
      </c>
      <c r="D384" s="21">
        <f>input!G5/2/input!H5</f>
        <v>11.363636363636363</v>
      </c>
      <c r="E384" s="595">
        <f>0.38*SQRT(Es/input!BI5)</f>
        <v>8.9330845736509179</v>
      </c>
      <c r="F384" s="595">
        <f>0.56*SQRT(Es/input!BL5)</f>
        <v>15.73464163457246</v>
      </c>
      <c r="G384" s="598">
        <f>IF(D384&lt;=E384,1*O318*input!BI5,(1-(1-input!BL5/O318/input!BI5)*((D384-E384)/(F384-E384)))*1*O318*input!BI5)</f>
        <v>338.95279763710556</v>
      </c>
      <c r="H384" s="598">
        <f t="shared" si="20"/>
        <v>5000</v>
      </c>
      <c r="I384" s="596">
        <f t="shared" si="21"/>
        <v>2816.705197807451</v>
      </c>
      <c r="J384" s="596">
        <f>+PI()*F163*SQRT(Es/input!BL5)</f>
        <v>10576.506676693334</v>
      </c>
      <c r="K384" s="596">
        <f t="shared" si="22"/>
        <v>1188.7107023251599</v>
      </c>
      <c r="L384" s="595">
        <f>IF(H384&lt;=I384,1*O318*input!BI5,IF(H384&lt;=J384,MIN(1*(1-(1-input!BL5/O318/input!BI5)*((H384-I384)/(J384-I384)))*1*O318*input!BI5,1*O318*input!BI5),MIN(K384,1*O318*input!BI5)))</f>
        <v>347.57941422906794</v>
      </c>
      <c r="M384" s="597" t="str">
        <f t="shared" si="23"/>
        <v>BF</v>
      </c>
      <c r="Y384" s="143"/>
      <c r="AB384" s="143"/>
      <c r="AD384" s="143"/>
      <c r="AE384" s="143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  <c r="AR384" s="143"/>
      <c r="AS384" s="143"/>
    </row>
    <row r="385" spans="1:45" ht="15" customHeight="1">
      <c r="A385" s="482" t="str">
        <f t="shared" si="18"/>
        <v>102j</v>
      </c>
      <c r="B385" s="1016" t="str">
        <f t="shared" si="19"/>
        <v>Positive</v>
      </c>
      <c r="C385" s="794" t="str">
        <f>IF(B385="Positive",IF(input!F6=2,"OF","BF"),"BF")</f>
        <v>OF</v>
      </c>
      <c r="D385" s="21">
        <f>input!G6/2/input!H6</f>
        <v>11.363636363636363</v>
      </c>
      <c r="E385" s="595">
        <f>0.38*SQRT(Es/input!BI6)</f>
        <v>8.9330845736509179</v>
      </c>
      <c r="F385" s="595">
        <f>0.56*SQRT(Es/input!BL6)</f>
        <v>15.73464163457246</v>
      </c>
      <c r="G385" s="598">
        <f>IF(D385&lt;=E385,1*O319*input!BI6,(1-(1-input!BL6/O319/input!BI6)*((D385-E385)/(F385-E385)))*1*O319*input!BI6)</f>
        <v>338.95279763710556</v>
      </c>
      <c r="H385" s="598">
        <f t="shared" si="20"/>
        <v>5000</v>
      </c>
      <c r="I385" s="596">
        <f t="shared" si="21"/>
        <v>2768.9224166379799</v>
      </c>
      <c r="J385" s="596">
        <f>+PI()*F164*SQRT(Es/input!BL6)</f>
        <v>10397.086088247204</v>
      </c>
      <c r="K385" s="596">
        <f t="shared" si="22"/>
        <v>1148.7220484408065</v>
      </c>
      <c r="L385" s="595">
        <f>IF(H385&lt;=I385,1*O319*input!BI6,IF(H385&lt;=J385,MIN(1*(1-(1-input!BL6/O319/input!BI6)*((H385-I385)/(J385-I385)))*1*O319*input!BI6,1*O319*input!BI6),MIN(K385,1*O319*input!BI6)))</f>
        <v>346.31715371414907</v>
      </c>
      <c r="M385" s="597">
        <f t="shared" si="23"/>
        <v>338.95279763710556</v>
      </c>
      <c r="Y385" s="143"/>
      <c r="AB385" s="143"/>
      <c r="AD385" s="143"/>
      <c r="AE385" s="143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  <c r="AR385" s="143"/>
      <c r="AS385" s="143"/>
    </row>
    <row r="386" spans="1:45" ht="15" customHeight="1">
      <c r="A386" s="482" t="str">
        <f t="shared" si="18"/>
        <v>103i</v>
      </c>
      <c r="B386" s="1016" t="str">
        <f t="shared" si="19"/>
        <v>Positive</v>
      </c>
      <c r="C386" s="794" t="str">
        <f>IF(B386="Positive",IF(input!F7=2,"OF","BF"),"BF")</f>
        <v>OF</v>
      </c>
      <c r="D386" s="21">
        <f>input!G7/2/input!H7</f>
        <v>8.3333333333333339</v>
      </c>
      <c r="E386" s="595">
        <f>0.38*SQRT(Es/input!BI7)</f>
        <v>8.9330845736509179</v>
      </c>
      <c r="F386" s="595">
        <f>0.56*SQRT(Es/input!BL7)</f>
        <v>15.73464163457246</v>
      </c>
      <c r="G386" s="598">
        <f>IF(D386&lt;=E386,1*O320*input!BI7,(1-(1-input!BL7/O320/input!BI7)*((D386-E386)/(F386-E386)))*1*O320*input!BI7)</f>
        <v>379.5982638603615</v>
      </c>
      <c r="H386" s="598">
        <f t="shared" si="20"/>
        <v>5000</v>
      </c>
      <c r="I386" s="596">
        <f t="shared" si="21"/>
        <v>2865.0428933461617</v>
      </c>
      <c r="J386" s="596">
        <f>+PI()*F165*SQRT(Es/input!BL7)</f>
        <v>10758.010924989927</v>
      </c>
      <c r="K386" s="596">
        <f t="shared" si="22"/>
        <v>1230.1164061827174</v>
      </c>
      <c r="L386" s="595">
        <f>IF(H386&lt;=I386,1*O320*input!BI7,IF(H386&lt;=J386,MIN(1*(1-(1-input!BL7/O320/input!BI7)*((H386-I386)/(J386-I386)))*1*O320*input!BI7,1*O320*input!BI7),MIN(K386,1*O320*input!BI7)))</f>
        <v>348.87123953188353</v>
      </c>
      <c r="M386" s="597">
        <f t="shared" si="23"/>
        <v>348.87123953188353</v>
      </c>
      <c r="Y386" s="143"/>
      <c r="AB386" s="143"/>
      <c r="AD386" s="143"/>
      <c r="AE386" s="143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  <c r="AR386" s="143"/>
      <c r="AS386" s="143"/>
    </row>
    <row r="387" spans="1:45" ht="15" customHeight="1">
      <c r="A387" s="482" t="str">
        <f t="shared" si="18"/>
        <v>103j</v>
      </c>
      <c r="B387" s="1016" t="str">
        <f t="shared" si="19"/>
        <v>Positive</v>
      </c>
      <c r="C387" s="794" t="str">
        <f>IF(B387="Positive",IF(input!F8=2,"OF","BF"),"BF")</f>
        <v>OF</v>
      </c>
      <c r="D387" s="21">
        <f>input!G8/2/input!H8</f>
        <v>8.3333333333333339</v>
      </c>
      <c r="E387" s="595">
        <f>0.38*SQRT(Es/input!BI8)</f>
        <v>8.9330845736509179</v>
      </c>
      <c r="F387" s="595">
        <f>0.56*SQRT(Es/input!BL8)</f>
        <v>15.73464163457246</v>
      </c>
      <c r="G387" s="598">
        <f>IF(D387&lt;=E387,1*O321*input!BI8,(1-(1-input!BL8/O321/input!BI8)*((D387-E387)/(F387-E387)))*1*O321*input!BI8)</f>
        <v>379.5982638603615</v>
      </c>
      <c r="H387" s="598">
        <f t="shared" si="20"/>
        <v>5000</v>
      </c>
      <c r="I387" s="596">
        <f t="shared" si="21"/>
        <v>2865.0428933461617</v>
      </c>
      <c r="J387" s="596">
        <f>+PI()*F166*SQRT(Es/input!BL8)</f>
        <v>10758.010924989927</v>
      </c>
      <c r="K387" s="596">
        <f t="shared" si="22"/>
        <v>1230.1164061827174</v>
      </c>
      <c r="L387" s="595">
        <f>IF(H387&lt;=I387,1*O321*input!BI8,IF(H387&lt;=J387,MIN(1*(1-(1-input!BL8/O321/input!BI8)*((H387-I387)/(J387-I387)))*1*O321*input!BI8,1*O321*input!BI8),MIN(K387,1*O321*input!BI8)))</f>
        <v>348.87123953188353</v>
      </c>
      <c r="M387" s="597">
        <f t="shared" si="23"/>
        <v>348.87123953188353</v>
      </c>
      <c r="Y387" s="143"/>
      <c r="AB387" s="143"/>
      <c r="AD387" s="143"/>
      <c r="AE387" s="143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  <c r="AR387" s="143"/>
      <c r="AS387" s="143"/>
    </row>
    <row r="388" spans="1:45" ht="15" customHeight="1">
      <c r="A388" s="482" t="str">
        <f t="shared" si="18"/>
        <v>104i</v>
      </c>
      <c r="B388" s="1016" t="str">
        <f t="shared" si="19"/>
        <v>Positive</v>
      </c>
      <c r="C388" s="794" t="str">
        <f>IF(B388="Positive",IF(input!F9=2,"OF","BF"),"BF")</f>
        <v>OF</v>
      </c>
      <c r="D388" s="21">
        <f>input!G9/2/input!H9</f>
        <v>8.3333333333333339</v>
      </c>
      <c r="E388" s="595">
        <f>0.38*SQRT(Es/input!BI9)</f>
        <v>8.9330845736509179</v>
      </c>
      <c r="F388" s="595">
        <f>0.56*SQRT(Es/input!BL9)</f>
        <v>15.73464163457246</v>
      </c>
      <c r="G388" s="598">
        <f>IF(D388&lt;=E388,1*O322*input!BI9,(1-(1-input!BL9/O322/input!BI9)*((D388-E388)/(F388-E388)))*1*O322*input!BI9)</f>
        <v>379.5982638603615</v>
      </c>
      <c r="H388" s="598">
        <f t="shared" si="20"/>
        <v>5000</v>
      </c>
      <c r="I388" s="596">
        <f t="shared" si="21"/>
        <v>2865.0428933461617</v>
      </c>
      <c r="J388" s="596">
        <f>+PI()*F167*SQRT(Es/input!BL9)</f>
        <v>10758.010924989927</v>
      </c>
      <c r="K388" s="596">
        <f t="shared" si="22"/>
        <v>1230.1164061827174</v>
      </c>
      <c r="L388" s="595">
        <f>IF(H388&lt;=I388,1*O322*input!BI9,IF(H388&lt;=J388,MIN(1*(1-(1-input!BL9/O322/input!BI9)*((H388-I388)/(J388-I388)))*1*O322*input!BI9,1*O322*input!BI9),MIN(K388,1*O322*input!BI9)))</f>
        <v>348.87123953188353</v>
      </c>
      <c r="M388" s="597">
        <f t="shared" si="23"/>
        <v>348.87123953188353</v>
      </c>
      <c r="Y388" s="143"/>
      <c r="AB388" s="143"/>
      <c r="AD388" s="143"/>
      <c r="AE388" s="143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  <c r="AR388" s="143"/>
      <c r="AS388" s="143"/>
    </row>
    <row r="389" spans="1:45" ht="15" customHeight="1">
      <c r="A389" s="482" t="str">
        <f t="shared" si="18"/>
        <v>104j</v>
      </c>
      <c r="B389" s="1016" t="str">
        <f t="shared" si="19"/>
        <v>Positive</v>
      </c>
      <c r="C389" s="794" t="str">
        <f>IF(B389="Positive",IF(input!F10=2,"OF","BF"),"BF")</f>
        <v>OF</v>
      </c>
      <c r="D389" s="21">
        <f>input!G10/2/input!H10</f>
        <v>8.3333333333333339</v>
      </c>
      <c r="E389" s="595">
        <f>0.38*SQRT(Es/input!BI10)</f>
        <v>8.9330845736509179</v>
      </c>
      <c r="F389" s="595">
        <f>0.56*SQRT(Es/input!BL10)</f>
        <v>15.73464163457246</v>
      </c>
      <c r="G389" s="598">
        <f>IF(D389&lt;=E389,1*O323*input!BI10,(1-(1-input!BL10/O323/input!BI10)*((D389-E389)/(F389-E389)))*1*O323*input!BI10)</f>
        <v>379.5982638603615</v>
      </c>
      <c r="H389" s="598">
        <f t="shared" si="20"/>
        <v>5000</v>
      </c>
      <c r="I389" s="596">
        <f t="shared" si="21"/>
        <v>2865.0428933461617</v>
      </c>
      <c r="J389" s="596">
        <f>+PI()*F168*SQRT(Es/input!BL10)</f>
        <v>10758.010924989927</v>
      </c>
      <c r="K389" s="596">
        <f t="shared" si="22"/>
        <v>1230.1164061827174</v>
      </c>
      <c r="L389" s="595">
        <f>IF(H389&lt;=I389,1*O323*input!BI10,IF(H389&lt;=J389,MIN(1*(1-(1-input!BL10/O323/input!BI10)*((H389-I389)/(J389-I389)))*1*O323*input!BI10,1*O323*input!BI10),MIN(K389,1*O323*input!BI10)))</f>
        <v>348.87123953188353</v>
      </c>
      <c r="M389" s="597">
        <f t="shared" si="23"/>
        <v>348.87123953188353</v>
      </c>
      <c r="Y389" s="143"/>
      <c r="AB389" s="143"/>
      <c r="AD389" s="143"/>
      <c r="AE389" s="143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  <c r="AR389" s="143"/>
      <c r="AS389" s="143"/>
    </row>
    <row r="390" spans="1:45" ht="15" customHeight="1">
      <c r="A390" s="482" t="str">
        <f t="shared" si="18"/>
        <v>105i</v>
      </c>
      <c r="B390" s="1016" t="str">
        <f t="shared" si="19"/>
        <v>Positive</v>
      </c>
      <c r="C390" s="794" t="str">
        <f>IF(B390="Positive",IF(input!F11=2,"OF","BF"),"BF")</f>
        <v>OF</v>
      </c>
      <c r="D390" s="21">
        <f>input!G11/2/input!H11</f>
        <v>6.5789473684210522</v>
      </c>
      <c r="E390" s="595">
        <f>0.38*SQRT(Es/input!BI11)</f>
        <v>8.9330845736509179</v>
      </c>
      <c r="F390" s="595">
        <f>0.56*SQRT(Es/input!BL11)</f>
        <v>15.73464163457246</v>
      </c>
      <c r="G390" s="598">
        <f>IF(D390&lt;=E390,1*O324*input!BI11,(1-(1-input!BL11/O324/input!BI11)*((D390-E390)/(F390-E390)))*1*O324*input!BI11)</f>
        <v>379.64073020030537</v>
      </c>
      <c r="H390" s="598">
        <f t="shared" si="20"/>
        <v>5000</v>
      </c>
      <c r="I390" s="596">
        <f t="shared" si="21"/>
        <v>2917.5188973421523</v>
      </c>
      <c r="J390" s="596">
        <f>+PI()*F169*SQRT(Es/input!BL11)</f>
        <v>10955.054196348892</v>
      </c>
      <c r="K390" s="596">
        <f t="shared" si="22"/>
        <v>1275.7333009758945</v>
      </c>
      <c r="L390" s="595">
        <f>IF(H390&lt;=I390,1*O324*input!BI11,IF(H390&lt;=J390,MIN(1*(1-(1-input!BL11/O324/input!BI11)*((H390-I390)/(J390-I390)))*1*O324*input!BI11,1*O324*input!BI11),MIN(K390,1*O324*input!BI11)))</f>
        <v>350.19704325766514</v>
      </c>
      <c r="M390" s="597">
        <f t="shared" si="23"/>
        <v>350.19704325766514</v>
      </c>
      <c r="Y390" s="143"/>
      <c r="AB390" s="143"/>
      <c r="AD390" s="143"/>
      <c r="AE390" s="143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  <c r="AR390" s="143"/>
      <c r="AS390" s="143"/>
    </row>
    <row r="391" spans="1:45" ht="15" customHeight="1">
      <c r="A391" s="482" t="str">
        <f t="shared" si="18"/>
        <v>105j</v>
      </c>
      <c r="B391" s="1016" t="str">
        <f t="shared" si="19"/>
        <v>Positive</v>
      </c>
      <c r="C391" s="794" t="str">
        <f>IF(B391="Positive",IF(input!F12=2,"OF","BF"),"BF")</f>
        <v>OF</v>
      </c>
      <c r="D391" s="21">
        <f>input!G12/2/input!H12</f>
        <v>6.5789473684210522</v>
      </c>
      <c r="E391" s="595">
        <f>0.38*SQRT(Es/input!BI12)</f>
        <v>8.9330845736509179</v>
      </c>
      <c r="F391" s="595">
        <f>0.56*SQRT(Es/input!BL12)</f>
        <v>15.73464163457246</v>
      </c>
      <c r="G391" s="598">
        <f>IF(D391&lt;=E391,1*O325*input!BI12,(1-(1-input!BL12/O325/input!BI12)*((D391-E391)/(F391-E391)))*1*O325*input!BI12)</f>
        <v>379.64073020030537</v>
      </c>
      <c r="H391" s="598">
        <f t="shared" si="20"/>
        <v>5000</v>
      </c>
      <c r="I391" s="596">
        <f t="shared" si="21"/>
        <v>2917.5188973421523</v>
      </c>
      <c r="J391" s="596">
        <f>+PI()*F170*SQRT(Es/input!BL12)</f>
        <v>10955.054196348892</v>
      </c>
      <c r="K391" s="596">
        <f t="shared" si="22"/>
        <v>1275.7333009758945</v>
      </c>
      <c r="L391" s="595">
        <f>IF(H391&lt;=I391,1*O325*input!BI12,IF(H391&lt;=J391,MIN(1*(1-(1-input!BL12/O325/input!BI12)*((H391-I391)/(J391-I391)))*1*O325*input!BI12,1*O325*input!BI12),MIN(K391,1*O325*input!BI12)))</f>
        <v>350.19704325766514</v>
      </c>
      <c r="M391" s="597">
        <f t="shared" si="23"/>
        <v>350.19704325766514</v>
      </c>
      <c r="Y391" s="143"/>
      <c r="AB391" s="143"/>
      <c r="AD391" s="143"/>
      <c r="AE391" s="143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  <c r="AR391" s="143"/>
      <c r="AS391" s="143"/>
    </row>
    <row r="392" spans="1:45" ht="15" customHeight="1">
      <c r="A392" s="482" t="str">
        <f t="shared" si="18"/>
        <v>106i</v>
      </c>
      <c r="B392" s="1016" t="str">
        <f t="shared" si="19"/>
        <v>Positive</v>
      </c>
      <c r="C392" s="794" t="str">
        <f>IF(B392="Positive",IF(input!F13=2,"OF","BF"),"BF")</f>
        <v>OF</v>
      </c>
      <c r="D392" s="21">
        <f>input!G13/2/input!H13</f>
        <v>6.5789473684210522</v>
      </c>
      <c r="E392" s="595">
        <f>0.38*SQRT(Es/input!BI13)</f>
        <v>8.9330845736509179</v>
      </c>
      <c r="F392" s="595">
        <f>0.56*SQRT(Es/input!BL13)</f>
        <v>15.73464163457246</v>
      </c>
      <c r="G392" s="598">
        <f>IF(D392&lt;=E392,1*O326*input!BI13,(1-(1-input!BL13/O326/input!BI13)*((D392-E392)/(F392-E392)))*1*O326*input!BI13)</f>
        <v>379.64073020030537</v>
      </c>
      <c r="H392" s="598">
        <f t="shared" si="20"/>
        <v>5000</v>
      </c>
      <c r="I392" s="596">
        <f t="shared" si="21"/>
        <v>2917.5188973421523</v>
      </c>
      <c r="J392" s="596">
        <f>+PI()*F171*SQRT(Es/input!BL13)</f>
        <v>10955.054196348892</v>
      </c>
      <c r="K392" s="596">
        <f t="shared" si="22"/>
        <v>1275.7333009758945</v>
      </c>
      <c r="L392" s="595">
        <f>IF(H392&lt;=I392,1*O326*input!BI13,IF(H392&lt;=J392,MIN(1*(1-(1-input!BL13/O326/input!BI13)*((H392-I392)/(J392-I392)))*1*O326*input!BI13,1*O326*input!BI13),MIN(K392,1*O326*input!BI13)))</f>
        <v>350.19704325766514</v>
      </c>
      <c r="M392" s="597">
        <f t="shared" si="23"/>
        <v>350.19704325766514</v>
      </c>
      <c r="Y392" s="143"/>
      <c r="AB392" s="143"/>
      <c r="AD392" s="143"/>
      <c r="AE392" s="143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</row>
    <row r="393" spans="1:45" ht="15" customHeight="1">
      <c r="A393" s="482" t="str">
        <f t="shared" si="18"/>
        <v>106j</v>
      </c>
      <c r="B393" s="1016" t="str">
        <f t="shared" si="19"/>
        <v>Positive</v>
      </c>
      <c r="C393" s="794" t="str">
        <f>IF(B393="Positive",IF(input!F14=2,"OF","BF"),"BF")</f>
        <v>OF</v>
      </c>
      <c r="D393" s="21">
        <f>input!G14/2/input!H14</f>
        <v>6.5789473684210522</v>
      </c>
      <c r="E393" s="595">
        <f>0.38*SQRT(Es/input!BI14)</f>
        <v>8.9330845736509179</v>
      </c>
      <c r="F393" s="595">
        <f>0.56*SQRT(Es/input!BL14)</f>
        <v>15.73464163457246</v>
      </c>
      <c r="G393" s="598">
        <f>IF(D393&lt;=E393,1*O327*input!BI14,(1-(1-input!BL14/O327/input!BI14)*((D393-E393)/(F393-E393)))*1*O327*input!BI14)</f>
        <v>379.64073020030537</v>
      </c>
      <c r="H393" s="598">
        <f t="shared" si="20"/>
        <v>5000</v>
      </c>
      <c r="I393" s="596">
        <f t="shared" si="21"/>
        <v>2917.5188973421523</v>
      </c>
      <c r="J393" s="596">
        <f>+PI()*F172*SQRT(Es/input!BL14)</f>
        <v>10955.054196348892</v>
      </c>
      <c r="K393" s="596">
        <f t="shared" si="22"/>
        <v>1275.7333009758945</v>
      </c>
      <c r="L393" s="595">
        <f>IF(H393&lt;=I393,1*O327*input!BI14,IF(H393&lt;=J393,MIN(1*(1-(1-input!BL14/O327/input!BI14)*((H393-I393)/(J393-I393)))*1*O327*input!BI14,1*O327*input!BI14),MIN(K393,1*O327*input!BI14)))</f>
        <v>350.19704325766514</v>
      </c>
      <c r="M393" s="597">
        <f t="shared" si="23"/>
        <v>350.19704325766514</v>
      </c>
      <c r="Y393" s="143"/>
      <c r="AB393" s="143"/>
      <c r="AD393" s="143"/>
      <c r="AE393" s="143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</row>
    <row r="394" spans="1:45" ht="15" customHeight="1">
      <c r="A394" s="482" t="str">
        <f t="shared" si="18"/>
        <v>107i</v>
      </c>
      <c r="B394" s="1016" t="str">
        <f t="shared" si="19"/>
        <v>Positive</v>
      </c>
      <c r="C394" s="794" t="str">
        <f>IF(B394="Positive",IF(input!F15=2,"OF","BF"),"BF")</f>
        <v>OF</v>
      </c>
      <c r="D394" s="21">
        <f>input!G15/2/input!H15</f>
        <v>7.5</v>
      </c>
      <c r="E394" s="595">
        <f>0.38*SQRT(Es/input!BI15)</f>
        <v>8.9330845736509179</v>
      </c>
      <c r="F394" s="595">
        <f>0.56*SQRT(Es/input!BL15)</f>
        <v>15.73464163457246</v>
      </c>
      <c r="G394" s="598">
        <f>IF(D394&lt;=E394,1*O328*input!BI15,(1-(1-input!BL15/O328/input!BI15)*((D394-E394)/(F394-E394)))*1*O328*input!BI15)</f>
        <v>379.70896106468712</v>
      </c>
      <c r="H394" s="598">
        <f t="shared" si="20"/>
        <v>5000</v>
      </c>
      <c r="I394" s="596">
        <f t="shared" si="21"/>
        <v>3603.937848274611</v>
      </c>
      <c r="J394" s="596">
        <f>+PI()*F173*SQRT(Es/input!BL15)</f>
        <v>13532.503417231919</v>
      </c>
      <c r="K394" s="596">
        <f t="shared" si="22"/>
        <v>1946.99649069116</v>
      </c>
      <c r="L394" s="595">
        <f>IF(H394&lt;=I394,1*O328*input!BI15,IF(H394&lt;=J394,MIN(1*(1-(1-input!BL15/O328/input!BI15)*((H394-I394)/(J394-I394)))*1*O328*input!BI15,1*O328*input!BI15),MIN(K394,1*O328*input!BI15)))</f>
        <v>363.72026906765205</v>
      </c>
      <c r="M394" s="597">
        <f t="shared" si="23"/>
        <v>363.72026906765205</v>
      </c>
      <c r="Y394" s="143"/>
      <c r="AB394" s="143"/>
      <c r="AD394" s="143"/>
      <c r="AE394" s="143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</row>
    <row r="395" spans="1:45" ht="15" customHeight="1">
      <c r="A395" s="482" t="str">
        <f t="shared" si="18"/>
        <v>107j</v>
      </c>
      <c r="B395" s="1016" t="str">
        <f t="shared" si="19"/>
        <v>Positive</v>
      </c>
      <c r="C395" s="794" t="str">
        <f>IF(B395="Positive",IF(input!F16=2,"OF","BF"),"BF")</f>
        <v>OF</v>
      </c>
      <c r="D395" s="21">
        <f>input!G16/2/input!H16</f>
        <v>7.5</v>
      </c>
      <c r="E395" s="595">
        <f>0.38*SQRT(Es/input!BI16)</f>
        <v>8.9330845736509179</v>
      </c>
      <c r="F395" s="595">
        <f>0.56*SQRT(Es/input!BL16)</f>
        <v>15.73464163457246</v>
      </c>
      <c r="G395" s="598">
        <f>IF(D395&lt;=E395,1*O329*input!BI16,(1-(1-input!BL16/O329/input!BI16)*((D395-E395)/(F395-E395)))*1*O329*input!BI16)</f>
        <v>379.70896106468712</v>
      </c>
      <c r="H395" s="598">
        <f t="shared" si="20"/>
        <v>5000</v>
      </c>
      <c r="I395" s="596">
        <f t="shared" si="21"/>
        <v>3603.937848274611</v>
      </c>
      <c r="J395" s="596">
        <f>+PI()*F174*SQRT(Es/input!BL16)</f>
        <v>13532.503417231919</v>
      </c>
      <c r="K395" s="596">
        <f t="shared" si="22"/>
        <v>1946.99649069116</v>
      </c>
      <c r="L395" s="595">
        <f>IF(H395&lt;=I395,1*O329*input!BI16,IF(H395&lt;=J395,MIN(1*(1-(1-input!BL16/O329/input!BI16)*((H395-I395)/(J395-I395)))*1*O329*input!BI16,1*O329*input!BI16),MIN(K395,1*O329*input!BI16)))</f>
        <v>363.72026906765205</v>
      </c>
      <c r="M395" s="597">
        <f t="shared" si="23"/>
        <v>363.72026906765205</v>
      </c>
      <c r="Y395" s="143"/>
      <c r="AB395" s="143"/>
      <c r="AD395" s="143"/>
      <c r="AE395" s="143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</row>
    <row r="396" spans="1:45" ht="15" customHeight="1">
      <c r="A396" s="482" t="str">
        <f t="shared" si="18"/>
        <v>108i</v>
      </c>
      <c r="B396" s="1016" t="str">
        <f t="shared" si="19"/>
        <v>Positive</v>
      </c>
      <c r="C396" s="794" t="str">
        <f>IF(B396="Positive",IF(input!F17=2,"OF","BF"),"BF")</f>
        <v>OF</v>
      </c>
      <c r="D396" s="21">
        <f>input!G17/2/input!H17</f>
        <v>7.5</v>
      </c>
      <c r="E396" s="595">
        <f>0.38*SQRT(Es/input!BI17)</f>
        <v>8.9330845736509179</v>
      </c>
      <c r="F396" s="595">
        <f>0.56*SQRT(Es/input!BL17)</f>
        <v>15.73464163457246</v>
      </c>
      <c r="G396" s="598">
        <f>IF(D396&lt;=E396,1*O330*input!BI17,(1-(1-input!BL17/O330/input!BI17)*((D396-E396)/(F396-E396)))*1*O330*input!BI17)</f>
        <v>379.70896106468712</v>
      </c>
      <c r="H396" s="598">
        <f t="shared" si="20"/>
        <v>5000</v>
      </c>
      <c r="I396" s="596">
        <f t="shared" si="21"/>
        <v>3603.937848274611</v>
      </c>
      <c r="J396" s="596">
        <f>+PI()*F175*SQRT(Es/input!BL17)</f>
        <v>13532.503417231919</v>
      </c>
      <c r="K396" s="596">
        <f t="shared" si="22"/>
        <v>1946.99649069116</v>
      </c>
      <c r="L396" s="595">
        <f>IF(H396&lt;=I396,1*O330*input!BI17,IF(H396&lt;=J396,MIN(1*(1-(1-input!BL17/O330/input!BI17)*((H396-I396)/(J396-I396)))*1*O330*input!BI17,1*O330*input!BI17),MIN(K396,1*O330*input!BI17)))</f>
        <v>363.72026906765205</v>
      </c>
      <c r="M396" s="597">
        <f t="shared" si="23"/>
        <v>363.72026906765205</v>
      </c>
      <c r="Y396" s="143"/>
      <c r="AB396" s="143"/>
      <c r="AD396" s="143"/>
      <c r="AE396" s="143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  <c r="AR396" s="143"/>
      <c r="AS396" s="143"/>
    </row>
    <row r="397" spans="1:45" ht="15" customHeight="1">
      <c r="A397" s="482" t="str">
        <f t="shared" si="18"/>
        <v>108j</v>
      </c>
      <c r="B397" s="1016" t="str">
        <f t="shared" si="19"/>
        <v>Positive</v>
      </c>
      <c r="C397" s="794" t="str">
        <f>IF(B397="Positive",IF(input!F18=2,"OF","BF"),"BF")</f>
        <v>OF</v>
      </c>
      <c r="D397" s="21">
        <f>input!G18/2/input!H18</f>
        <v>7.5</v>
      </c>
      <c r="E397" s="595">
        <f>0.38*SQRT(Es/input!BI18)</f>
        <v>8.9330845736509179</v>
      </c>
      <c r="F397" s="595">
        <f>0.56*SQRT(Es/input!BL18)</f>
        <v>15.73464163457246</v>
      </c>
      <c r="G397" s="598">
        <f>IF(D397&lt;=E397,1*O331*input!BI18,(1-(1-input!BL18/O331/input!BI18)*((D397-E397)/(F397-E397)))*1*O331*input!BI18)</f>
        <v>379.70896106468712</v>
      </c>
      <c r="H397" s="598">
        <f t="shared" si="20"/>
        <v>5000</v>
      </c>
      <c r="I397" s="596">
        <f t="shared" si="21"/>
        <v>3603.937848274611</v>
      </c>
      <c r="J397" s="596">
        <f>+PI()*F176*SQRT(Es/input!BL18)</f>
        <v>13532.503417231919</v>
      </c>
      <c r="K397" s="596">
        <f t="shared" si="22"/>
        <v>1946.99649069116</v>
      </c>
      <c r="L397" s="595">
        <f>IF(H397&lt;=I397,1*O331*input!BI18,IF(H397&lt;=J397,MIN(1*(1-(1-input!BL18/O331/input!BI18)*((H397-I397)/(J397-I397)))*1*O331*input!BI18,1*O331*input!BI18),MIN(K397,1*O331*input!BI18)))</f>
        <v>363.72026906765205</v>
      </c>
      <c r="M397" s="597">
        <f t="shared" si="23"/>
        <v>363.72026906765205</v>
      </c>
      <c r="Y397" s="143"/>
      <c r="AB397" s="143"/>
      <c r="AD397" s="143"/>
      <c r="AE397" s="143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  <c r="AS397" s="143"/>
    </row>
    <row r="398" spans="1:45" ht="15" customHeight="1">
      <c r="A398" s="482" t="str">
        <f t="shared" si="18"/>
        <v>109i</v>
      </c>
      <c r="B398" s="1016" t="str">
        <f t="shared" si="19"/>
        <v>Positive</v>
      </c>
      <c r="C398" s="794" t="str">
        <f>IF(B398="Positive",IF(input!F19=2,"OF","BF"),"BF")</f>
        <v>OF</v>
      </c>
      <c r="D398" s="21">
        <f>input!G19/2/input!H19</f>
        <v>7.5</v>
      </c>
      <c r="E398" s="595">
        <f>0.38*SQRT(Es/input!BI19)</f>
        <v>8.9330845736509179</v>
      </c>
      <c r="F398" s="595">
        <f>0.56*SQRT(Es/input!BL19)</f>
        <v>15.73464163457246</v>
      </c>
      <c r="G398" s="598">
        <f>IF(D398&lt;=E398,1*O332*input!BI19,(1-(1-input!BL19/O332/input!BI19)*((D398-E398)/(F398-E398)))*1*O332*input!BI19)</f>
        <v>379.70896106468712</v>
      </c>
      <c r="H398" s="598">
        <f t="shared" si="20"/>
        <v>5000</v>
      </c>
      <c r="I398" s="596">
        <f t="shared" si="21"/>
        <v>3603.937848274611</v>
      </c>
      <c r="J398" s="596">
        <f>+PI()*F177*SQRT(Es/input!BL19)</f>
        <v>13532.503417231919</v>
      </c>
      <c r="K398" s="596">
        <f t="shared" si="22"/>
        <v>1946.99649069116</v>
      </c>
      <c r="L398" s="595">
        <f>IF(H398&lt;=I398,1*O332*input!BI19,IF(H398&lt;=J398,MIN(1*(1-(1-input!BL19/O332/input!BI19)*((H398-I398)/(J398-I398)))*1*O332*input!BI19,1*O332*input!BI19),MIN(K398,1*O332*input!BI19)))</f>
        <v>363.72026906765205</v>
      </c>
      <c r="M398" s="597">
        <f t="shared" si="23"/>
        <v>363.72026906765205</v>
      </c>
      <c r="Y398" s="143"/>
      <c r="AB398" s="143"/>
      <c r="AD398" s="143"/>
      <c r="AE398" s="143"/>
      <c r="AF398" s="143"/>
      <c r="AG398" s="143"/>
      <c r="AH398" s="143"/>
      <c r="AI398" s="143"/>
      <c r="AJ398" s="143"/>
      <c r="AK398" s="143"/>
      <c r="AL398" s="143"/>
      <c r="AM398" s="143"/>
      <c r="AN398" s="143"/>
      <c r="AO398" s="143"/>
      <c r="AP398" s="143"/>
      <c r="AQ398" s="143"/>
      <c r="AR398" s="143"/>
      <c r="AS398" s="143"/>
    </row>
    <row r="399" spans="1:45" ht="15" customHeight="1">
      <c r="A399" s="482" t="str">
        <f t="shared" si="18"/>
        <v>109j</v>
      </c>
      <c r="B399" s="1016" t="str">
        <f t="shared" si="19"/>
        <v>Positive</v>
      </c>
      <c r="C399" s="794" t="str">
        <f>IF(B399="Positive",IF(input!F20=2,"OF","BF"),"BF")</f>
        <v>OF</v>
      </c>
      <c r="D399" s="21">
        <f>input!G20/2/input!H20</f>
        <v>7.5</v>
      </c>
      <c r="E399" s="595">
        <f>0.38*SQRT(Es/input!BI20)</f>
        <v>8.9330845736509179</v>
      </c>
      <c r="F399" s="595">
        <f>0.56*SQRT(Es/input!BL20)</f>
        <v>15.73464163457246</v>
      </c>
      <c r="G399" s="598">
        <f>IF(D399&lt;=E399,1*O333*input!BI20,(1-(1-input!BL20/O333/input!BI20)*((D399-E399)/(F399-E399)))*1*O333*input!BI20)</f>
        <v>379.70896106468712</v>
      </c>
      <c r="H399" s="598">
        <f t="shared" si="20"/>
        <v>5000</v>
      </c>
      <c r="I399" s="596">
        <f t="shared" si="21"/>
        <v>3603.937848274611</v>
      </c>
      <c r="J399" s="596">
        <f>+PI()*F178*SQRT(Es/input!BL20)</f>
        <v>13532.503417231919</v>
      </c>
      <c r="K399" s="596">
        <f t="shared" si="22"/>
        <v>1946.99649069116</v>
      </c>
      <c r="L399" s="595">
        <f>IF(H399&lt;=I399,1*O333*input!BI20,IF(H399&lt;=J399,MIN(1*(1-(1-input!BL20/O333/input!BI20)*((H399-I399)/(J399-I399)))*1*O333*input!BI20,1*O333*input!BI20),MIN(K399,1*O333*input!BI20)))</f>
        <v>363.72026906765205</v>
      </c>
      <c r="M399" s="597">
        <f t="shared" si="23"/>
        <v>363.72026906765205</v>
      </c>
      <c r="Y399" s="143"/>
      <c r="AB399" s="143"/>
      <c r="AD399" s="143"/>
      <c r="AE399" s="143"/>
      <c r="AF399" s="143"/>
      <c r="AG399" s="143"/>
      <c r="AH399" s="143"/>
      <c r="AI399" s="143"/>
      <c r="AJ399" s="143"/>
      <c r="AK399" s="143"/>
      <c r="AL399" s="143"/>
      <c r="AM399" s="143"/>
      <c r="AN399" s="143"/>
      <c r="AO399" s="143"/>
      <c r="AP399" s="143"/>
      <c r="AQ399" s="143"/>
      <c r="AR399" s="143"/>
      <c r="AS399" s="143"/>
    </row>
    <row r="400" spans="1:45" ht="15" customHeight="1">
      <c r="A400" s="482" t="str">
        <f t="shared" si="18"/>
        <v>110i</v>
      </c>
      <c r="B400" s="1016" t="str">
        <f t="shared" si="19"/>
        <v>Positive</v>
      </c>
      <c r="C400" s="794" t="str">
        <f>IF(B400="Positive",IF(input!F21=2,"OF","BF"),"BF")</f>
        <v>OF</v>
      </c>
      <c r="D400" s="21">
        <f>input!G21/2/input!H21</f>
        <v>7.5</v>
      </c>
      <c r="E400" s="595">
        <f>0.38*SQRT(Es/input!BI21)</f>
        <v>8.9330845736509179</v>
      </c>
      <c r="F400" s="595">
        <f>0.56*SQRT(Es/input!BL21)</f>
        <v>15.73464163457246</v>
      </c>
      <c r="G400" s="598">
        <f>IF(D400&lt;=E400,1*O334*input!BI21,(1-(1-input!BL21/O334/input!BI21)*((D400-E400)/(F400-E400)))*1*O334*input!BI21)</f>
        <v>379.70896106468712</v>
      </c>
      <c r="H400" s="598">
        <f t="shared" si="20"/>
        <v>5000</v>
      </c>
      <c r="I400" s="596">
        <f t="shared" si="21"/>
        <v>3603.937848274611</v>
      </c>
      <c r="J400" s="596">
        <f>+PI()*F179*SQRT(Es/input!BL21)</f>
        <v>13532.503417231919</v>
      </c>
      <c r="K400" s="596">
        <f t="shared" si="22"/>
        <v>1946.99649069116</v>
      </c>
      <c r="L400" s="595">
        <f>IF(H400&lt;=I400,1*O334*input!BI21,IF(H400&lt;=J400,MIN(1*(1-(1-input!BL21/O334/input!BI21)*((H400-I400)/(J400-I400)))*1*O334*input!BI21,1*O334*input!BI21),MIN(K400,1*O334*input!BI21)))</f>
        <v>363.72026906765205</v>
      </c>
      <c r="M400" s="597">
        <f t="shared" si="23"/>
        <v>363.72026906765205</v>
      </c>
      <c r="Y400" s="143"/>
      <c r="AB400" s="143"/>
      <c r="AD400" s="143"/>
      <c r="AE400" s="143"/>
      <c r="AF400" s="143"/>
      <c r="AG400" s="143"/>
      <c r="AH400" s="143"/>
      <c r="AI400" s="143"/>
      <c r="AJ400" s="143"/>
      <c r="AK400" s="143"/>
      <c r="AL400" s="143"/>
      <c r="AM400" s="143"/>
      <c r="AN400" s="143"/>
      <c r="AO400" s="143"/>
      <c r="AP400" s="143"/>
      <c r="AQ400" s="143"/>
      <c r="AR400" s="143"/>
      <c r="AS400" s="143"/>
    </row>
    <row r="401" spans="1:45" ht="15" customHeight="1">
      <c r="A401" s="482" t="str">
        <f t="shared" si="18"/>
        <v>110j</v>
      </c>
      <c r="B401" s="1016" t="str">
        <f t="shared" si="19"/>
        <v>Positive</v>
      </c>
      <c r="C401" s="794" t="str">
        <f>IF(B401="Positive",IF(input!F22=2,"OF","BF"),"BF")</f>
        <v>OF</v>
      </c>
      <c r="D401" s="21">
        <f>input!G22/2/input!H22</f>
        <v>7.5</v>
      </c>
      <c r="E401" s="595">
        <f>0.38*SQRT(Es/input!BI22)</f>
        <v>8.9330845736509179</v>
      </c>
      <c r="F401" s="595">
        <f>0.56*SQRT(Es/input!BL22)</f>
        <v>15.73464163457246</v>
      </c>
      <c r="G401" s="598">
        <f>IF(D401&lt;=E401,1*O335*input!BI22,(1-(1-input!BL22/O335/input!BI22)*((D401-E401)/(F401-E401)))*1*O335*input!BI22)</f>
        <v>379.70896106468712</v>
      </c>
      <c r="H401" s="598">
        <f t="shared" si="20"/>
        <v>5000</v>
      </c>
      <c r="I401" s="596">
        <f t="shared" si="21"/>
        <v>3603.937848274611</v>
      </c>
      <c r="J401" s="596">
        <f>+PI()*F180*SQRT(Es/input!BL22)</f>
        <v>13532.503417231919</v>
      </c>
      <c r="K401" s="596">
        <f t="shared" si="22"/>
        <v>1946.99649069116</v>
      </c>
      <c r="L401" s="595">
        <f>IF(H401&lt;=I401,1*O335*input!BI22,IF(H401&lt;=J401,MIN(1*(1-(1-input!BL22/O335/input!BI22)*((H401-I401)/(J401-I401)))*1*O335*input!BI22,1*O335*input!BI22),MIN(K401,1*O335*input!BI22)))</f>
        <v>363.72026906765205</v>
      </c>
      <c r="M401" s="597">
        <f t="shared" si="23"/>
        <v>363.72026906765205</v>
      </c>
      <c r="Y401" s="143"/>
      <c r="AB401" s="143"/>
      <c r="AD401" s="143"/>
      <c r="AE401" s="143"/>
      <c r="AF401" s="143"/>
      <c r="AG401" s="143"/>
      <c r="AH401" s="143"/>
      <c r="AI401" s="143"/>
      <c r="AJ401" s="143"/>
      <c r="AK401" s="143"/>
      <c r="AL401" s="143"/>
      <c r="AM401" s="143"/>
      <c r="AN401" s="143"/>
      <c r="AO401" s="143"/>
      <c r="AP401" s="143"/>
      <c r="AQ401" s="143"/>
      <c r="AR401" s="143"/>
      <c r="AS401" s="143"/>
    </row>
    <row r="402" spans="1:45" ht="15" customHeight="1">
      <c r="A402" s="482" t="str">
        <f t="shared" si="18"/>
        <v>111i</v>
      </c>
      <c r="B402" s="1016" t="str">
        <f t="shared" si="19"/>
        <v>Positive</v>
      </c>
      <c r="C402" s="794" t="str">
        <f>IF(B402="Positive",IF(input!F23=2,"OF","BF"),"BF")</f>
        <v>OF</v>
      </c>
      <c r="D402" s="21">
        <f>input!G23/2/input!H23</f>
        <v>7.5</v>
      </c>
      <c r="E402" s="595">
        <f>0.38*SQRT(Es/input!BI23)</f>
        <v>8.9330845736509179</v>
      </c>
      <c r="F402" s="595">
        <f>0.56*SQRT(Es/input!BL23)</f>
        <v>15.73464163457246</v>
      </c>
      <c r="G402" s="598">
        <f>IF(D402&lt;=E402,1*O336*input!BI23,(1-(1-input!BL23/O336/input!BI23)*((D402-E402)/(F402-E402)))*1*O336*input!BI23)</f>
        <v>379.70896106468712</v>
      </c>
      <c r="H402" s="598">
        <f t="shared" si="20"/>
        <v>5000</v>
      </c>
      <c r="I402" s="596">
        <f t="shared" si="21"/>
        <v>3603.937848274611</v>
      </c>
      <c r="J402" s="596">
        <f>+PI()*F181*SQRT(Es/input!BL23)</f>
        <v>13532.503417231919</v>
      </c>
      <c r="K402" s="596">
        <f t="shared" si="22"/>
        <v>1946.99649069116</v>
      </c>
      <c r="L402" s="595">
        <f>IF(H402&lt;=I402,1*O336*input!BI23,IF(H402&lt;=J402,MIN(1*(1-(1-input!BL23/O336/input!BI23)*((H402-I402)/(J402-I402)))*1*O336*input!BI23,1*O336*input!BI23),MIN(K402,1*O336*input!BI23)))</f>
        <v>363.72026906765205</v>
      </c>
      <c r="M402" s="597">
        <f t="shared" si="23"/>
        <v>363.72026906765205</v>
      </c>
      <c r="Y402" s="143"/>
      <c r="AB402" s="143"/>
      <c r="AD402" s="143"/>
      <c r="AE402" s="143"/>
      <c r="AF402" s="143"/>
      <c r="AG402" s="143"/>
      <c r="AH402" s="143"/>
      <c r="AI402" s="143"/>
      <c r="AJ402" s="143"/>
      <c r="AK402" s="143"/>
      <c r="AL402" s="143"/>
      <c r="AM402" s="143"/>
      <c r="AN402" s="143"/>
      <c r="AO402" s="143"/>
      <c r="AP402" s="143"/>
      <c r="AQ402" s="143"/>
      <c r="AR402" s="143"/>
      <c r="AS402" s="143"/>
    </row>
    <row r="403" spans="1:45" ht="15" customHeight="1">
      <c r="A403" s="482" t="str">
        <f t="shared" si="18"/>
        <v>111j</v>
      </c>
      <c r="B403" s="1016" t="str">
        <f t="shared" si="19"/>
        <v>Positive</v>
      </c>
      <c r="C403" s="794" t="str">
        <f>IF(B403="Positive",IF(input!F24=2,"OF","BF"),"BF")</f>
        <v>OF</v>
      </c>
      <c r="D403" s="21">
        <f>input!G24/2/input!H24</f>
        <v>7.5</v>
      </c>
      <c r="E403" s="595">
        <f>0.38*SQRT(Es/input!BI24)</f>
        <v>8.9330845736509179</v>
      </c>
      <c r="F403" s="595">
        <f>0.56*SQRT(Es/input!BL24)</f>
        <v>15.73464163457246</v>
      </c>
      <c r="G403" s="598">
        <f>IF(D403&lt;=E403,1*O337*input!BI24,(1-(1-input!BL24/O337/input!BI24)*((D403-E403)/(F403-E403)))*1*O337*input!BI24)</f>
        <v>379.70896106468712</v>
      </c>
      <c r="H403" s="598">
        <f t="shared" si="20"/>
        <v>5000</v>
      </c>
      <c r="I403" s="596">
        <f t="shared" si="21"/>
        <v>3603.937848274611</v>
      </c>
      <c r="J403" s="596">
        <f>+PI()*F182*SQRT(Es/input!BL24)</f>
        <v>13532.503417231919</v>
      </c>
      <c r="K403" s="596">
        <f t="shared" si="22"/>
        <v>1946.99649069116</v>
      </c>
      <c r="L403" s="595">
        <f>IF(H403&lt;=I403,1*O337*input!BI24,IF(H403&lt;=J403,MIN(1*(1-(1-input!BL24/O337/input!BI24)*((H403-I403)/(J403-I403)))*1*O337*input!BI24,1*O337*input!BI24),MIN(K403,1*O337*input!BI24)))</f>
        <v>363.72026906765205</v>
      </c>
      <c r="M403" s="597">
        <f t="shared" si="23"/>
        <v>363.72026906765205</v>
      </c>
      <c r="Y403" s="143"/>
      <c r="AB403" s="143"/>
      <c r="AD403" s="143"/>
      <c r="AE403" s="143"/>
      <c r="AF403" s="143"/>
      <c r="AG403" s="143"/>
      <c r="AH403" s="143"/>
      <c r="AI403" s="143"/>
      <c r="AJ403" s="143"/>
      <c r="AK403" s="143"/>
      <c r="AL403" s="143"/>
      <c r="AM403" s="143"/>
      <c r="AN403" s="143"/>
      <c r="AO403" s="143"/>
      <c r="AP403" s="143"/>
      <c r="AQ403" s="143"/>
      <c r="AR403" s="143"/>
      <c r="AS403" s="143"/>
    </row>
    <row r="404" spans="1:45" ht="15" customHeight="1">
      <c r="A404" s="482" t="str">
        <f t="shared" si="18"/>
        <v>112i</v>
      </c>
      <c r="B404" s="1016" t="str">
        <f t="shared" si="19"/>
        <v>Positive</v>
      </c>
      <c r="C404" s="794" t="str">
        <f>IF(B404="Positive",IF(input!F25=2,"OF","BF"),"BF")</f>
        <v>OF</v>
      </c>
      <c r="D404" s="21">
        <f>input!G25/2/input!H25</f>
        <v>6.9444444444444446</v>
      </c>
      <c r="E404" s="595">
        <f>0.38*SQRT(Es/input!BI25)</f>
        <v>8.9330845736509179</v>
      </c>
      <c r="F404" s="595">
        <f>0.56*SQRT(Es/input!BL25)</f>
        <v>15.73464163457246</v>
      </c>
      <c r="G404" s="598">
        <f>IF(D404&lt;=E404,1*O338*input!BI25,(1-(1-input!BL25/O338/input!BI25)*((D404-E404)/(F404-E404)))*1*O338*input!BI25)</f>
        <v>379.62516376960559</v>
      </c>
      <c r="H404" s="598">
        <f t="shared" si="20"/>
        <v>5000</v>
      </c>
      <c r="I404" s="596">
        <f t="shared" si="21"/>
        <v>2898.2059917705542</v>
      </c>
      <c r="J404" s="596">
        <f>+PI()*F183*SQRT(Es/input!BL25)</f>
        <v>10882.535753565688</v>
      </c>
      <c r="K404" s="596">
        <f t="shared" si="22"/>
        <v>1258.8478107382089</v>
      </c>
      <c r="L404" s="595">
        <f>IF(H404&lt;=I404,1*O338*input!BI25,IF(H404&lt;=J404,MIN(1*(1-(1-input!BL25/O338/input!BI25)*((H404-I404)/(J404-I404)))*1*O338*input!BI25,1*O338*input!BI25),MIN(K404,1*O338*input!BI25)))</f>
        <v>349.71448929599109</v>
      </c>
      <c r="M404" s="597">
        <f t="shared" si="23"/>
        <v>349.71448929599109</v>
      </c>
      <c r="Y404" s="143"/>
      <c r="AB404" s="143"/>
      <c r="AD404" s="143"/>
      <c r="AE404" s="143"/>
      <c r="AF404" s="143"/>
      <c r="AG404" s="143"/>
      <c r="AH404" s="143"/>
      <c r="AI404" s="143"/>
      <c r="AJ404" s="143"/>
      <c r="AK404" s="143"/>
      <c r="AL404" s="143"/>
      <c r="AM404" s="143"/>
      <c r="AN404" s="143"/>
      <c r="AO404" s="143"/>
      <c r="AP404" s="143"/>
      <c r="AQ404" s="143"/>
      <c r="AR404" s="143"/>
      <c r="AS404" s="143"/>
    </row>
    <row r="405" spans="1:45" ht="15" customHeight="1">
      <c r="A405" s="482" t="str">
        <f t="shared" si="18"/>
        <v>112j</v>
      </c>
      <c r="B405" s="1016" t="str">
        <f t="shared" si="19"/>
        <v>Positive</v>
      </c>
      <c r="C405" s="794" t="str">
        <f>IF(B405="Positive",IF(input!F26=2,"OF","BF"),"BF")</f>
        <v>OF</v>
      </c>
      <c r="D405" s="21">
        <f>input!G26/2/input!H26</f>
        <v>6.9444444444444446</v>
      </c>
      <c r="E405" s="595">
        <f>0.38*SQRT(Es/input!BI26)</f>
        <v>8.9330845736509179</v>
      </c>
      <c r="F405" s="595">
        <f>0.56*SQRT(Es/input!BL26)</f>
        <v>15.73464163457246</v>
      </c>
      <c r="G405" s="598">
        <f>IF(D405&lt;=E405,1*O339*input!BI26,(1-(1-input!BL26/O339/input!BI26)*((D405-E405)/(F405-E405)))*1*O339*input!BI26)</f>
        <v>379.62516376960559</v>
      </c>
      <c r="H405" s="598">
        <f t="shared" si="20"/>
        <v>5000</v>
      </c>
      <c r="I405" s="596">
        <f t="shared" si="21"/>
        <v>2898.2059917705542</v>
      </c>
      <c r="J405" s="596">
        <f>+PI()*F184*SQRT(Es/input!BL26)</f>
        <v>10882.535753565688</v>
      </c>
      <c r="K405" s="596">
        <f t="shared" si="22"/>
        <v>1258.8478107382089</v>
      </c>
      <c r="L405" s="595">
        <f>IF(H405&lt;=I405,1*O339*input!BI26,IF(H405&lt;=J405,MIN(1*(1-(1-input!BL26/O339/input!BI26)*((H405-I405)/(J405-I405)))*1*O339*input!BI26,1*O339*input!BI26),MIN(K405,1*O339*input!BI26)))</f>
        <v>349.71448929599109</v>
      </c>
      <c r="M405" s="597">
        <f t="shared" si="23"/>
        <v>349.71448929599109</v>
      </c>
      <c r="Y405" s="143"/>
      <c r="AB405" s="143"/>
      <c r="AD405" s="143"/>
      <c r="AE405" s="143"/>
      <c r="AF405" s="143"/>
      <c r="AG405" s="143"/>
      <c r="AH405" s="143"/>
      <c r="AI405" s="143"/>
      <c r="AJ405" s="143"/>
      <c r="AK405" s="143"/>
      <c r="AL405" s="143"/>
      <c r="AM405" s="143"/>
      <c r="AN405" s="143"/>
      <c r="AO405" s="143"/>
      <c r="AP405" s="143"/>
      <c r="AQ405" s="143"/>
      <c r="AR405" s="143"/>
      <c r="AS405" s="143"/>
    </row>
    <row r="406" spans="1:45" ht="15" customHeight="1">
      <c r="A406" s="482" t="str">
        <f t="shared" si="18"/>
        <v>113i</v>
      </c>
      <c r="B406" s="1016" t="str">
        <f t="shared" si="19"/>
        <v>Positive</v>
      </c>
      <c r="C406" s="794" t="str">
        <f>IF(B406="Positive",IF(input!F27=2,"OF","BF"),"BF")</f>
        <v>OF</v>
      </c>
      <c r="D406" s="21">
        <f>input!G27/2/input!H27</f>
        <v>8.3333333333333339</v>
      </c>
      <c r="E406" s="595">
        <f>0.38*SQRT(Es/input!BI27)</f>
        <v>8.9330845736509179</v>
      </c>
      <c r="F406" s="595">
        <f>0.56*SQRT(Es/input!BL27)</f>
        <v>15.73464163457246</v>
      </c>
      <c r="G406" s="598">
        <f>IF(D406&lt;=E406,1*O340*input!BI27,(1-(1-input!BL27/O340/input!BI27)*((D406-E406)/(F406-E406)))*1*O340*input!BI27)</f>
        <v>379.55057740545942</v>
      </c>
      <c r="H406" s="598">
        <f t="shared" si="20"/>
        <v>5000</v>
      </c>
      <c r="I406" s="596">
        <f t="shared" si="21"/>
        <v>2806.8838177878301</v>
      </c>
      <c r="J406" s="596">
        <f>+PI()*F185*SQRT(Es/input!BL27)</f>
        <v>10539.628166498971</v>
      </c>
      <c r="K406" s="596">
        <f t="shared" si="22"/>
        <v>1180.5333670195278</v>
      </c>
      <c r="L406" s="595">
        <f>IF(H406&lt;=I406,1*O340*input!BI27,IF(H406&lt;=J406,MIN(1*(1-(1-input!BL27/O340/input!BI27)*((H406-I406)/(J406-I406)))*1*O340*input!BI27,1*O340*input!BI27),MIN(K406,1*O340*input!BI27)))</f>
        <v>347.34602006108588</v>
      </c>
      <c r="M406" s="597">
        <f t="shared" si="23"/>
        <v>347.34602006108588</v>
      </c>
      <c r="Y406" s="143"/>
      <c r="AB406" s="143"/>
      <c r="AD406" s="143"/>
      <c r="AE406" s="143"/>
      <c r="AF406" s="143"/>
      <c r="AG406" s="143"/>
      <c r="AH406" s="143"/>
      <c r="AI406" s="143"/>
      <c r="AJ406" s="143"/>
      <c r="AK406" s="143"/>
      <c r="AL406" s="143"/>
      <c r="AM406" s="143"/>
      <c r="AN406" s="143"/>
      <c r="AO406" s="143"/>
      <c r="AP406" s="143"/>
      <c r="AQ406" s="143"/>
      <c r="AR406" s="143"/>
      <c r="AS406" s="143"/>
    </row>
    <row r="407" spans="1:45" ht="15" customHeight="1">
      <c r="A407" s="482" t="str">
        <f t="shared" si="18"/>
        <v>113j</v>
      </c>
      <c r="B407" s="1016" t="str">
        <f t="shared" si="19"/>
        <v>Positive</v>
      </c>
      <c r="C407" s="794" t="str">
        <f>IF(B407="Positive",IF(input!F28=2,"OF","BF"),"BF")</f>
        <v>OF</v>
      </c>
      <c r="D407" s="21">
        <f>input!G28/2/input!H28</f>
        <v>8.3333333333333339</v>
      </c>
      <c r="E407" s="595">
        <f>0.38*SQRT(Es/input!BI28)</f>
        <v>8.9330845736509179</v>
      </c>
      <c r="F407" s="595">
        <f>0.56*SQRT(Es/input!BL28)</f>
        <v>15.73464163457246</v>
      </c>
      <c r="G407" s="598">
        <f>IF(D407&lt;=E407,1*O341*input!BI28,(1-(1-input!BL28/O341/input!BI28)*((D407-E407)/(F407-E407)))*1*O341*input!BI28)</f>
        <v>379.55057740545942</v>
      </c>
      <c r="H407" s="598">
        <f t="shared" si="20"/>
        <v>5000</v>
      </c>
      <c r="I407" s="596">
        <f t="shared" si="21"/>
        <v>2806.8838177878301</v>
      </c>
      <c r="J407" s="596">
        <f>+PI()*F186*SQRT(Es/input!BL28)</f>
        <v>10539.628166498971</v>
      </c>
      <c r="K407" s="596">
        <f t="shared" si="22"/>
        <v>1180.5333670195278</v>
      </c>
      <c r="L407" s="595">
        <f>IF(H407&lt;=I407,1*O341*input!BI28,IF(H407&lt;=J407,MIN(1*(1-(1-input!BL28/O341/input!BI28)*((H407-I407)/(J407-I407)))*1*O341*input!BI28,1*O341*input!BI28),MIN(K407,1*O341*input!BI28)))</f>
        <v>347.34602006108588</v>
      </c>
      <c r="M407" s="597">
        <f t="shared" si="23"/>
        <v>347.34602006108588</v>
      </c>
      <c r="Y407" s="143"/>
      <c r="AB407" s="143"/>
      <c r="AD407" s="143"/>
      <c r="AE407" s="143"/>
      <c r="AF407" s="143"/>
      <c r="AG407" s="143"/>
      <c r="AH407" s="143"/>
      <c r="AI407" s="143"/>
      <c r="AJ407" s="143"/>
      <c r="AK407" s="143"/>
      <c r="AL407" s="143"/>
      <c r="AM407" s="143"/>
      <c r="AN407" s="143"/>
      <c r="AO407" s="143"/>
      <c r="AP407" s="143"/>
      <c r="AQ407" s="143"/>
      <c r="AR407" s="143"/>
      <c r="AS407" s="143"/>
    </row>
    <row r="408" spans="1:45" ht="15" customHeight="1">
      <c r="A408" s="482" t="str">
        <f t="shared" si="18"/>
        <v>114i</v>
      </c>
      <c r="B408" s="1016" t="str">
        <f t="shared" si="19"/>
        <v>Positive</v>
      </c>
      <c r="C408" s="794" t="str">
        <f>IF(B408="Positive",IF(input!F29=2,"OF","BF"),"BF")</f>
        <v>OF</v>
      </c>
      <c r="D408" s="21">
        <f>input!G29/2/input!H29</f>
        <v>8.3333333333333339</v>
      </c>
      <c r="E408" s="595">
        <f>0.38*SQRT(Es/input!BI29)</f>
        <v>8.9330845736509179</v>
      </c>
      <c r="F408" s="595">
        <f>0.56*SQRT(Es/input!BL29)</f>
        <v>15.73464163457246</v>
      </c>
      <c r="G408" s="598">
        <f>IF(D408&lt;=E408,1*O342*input!BI29,(1-(1-input!BL29/O342/input!BI29)*((D408-E408)/(F408-E408)))*1*O342*input!BI29)</f>
        <v>379.55057740545942</v>
      </c>
      <c r="H408" s="598">
        <f t="shared" si="20"/>
        <v>5000</v>
      </c>
      <c r="I408" s="596">
        <f t="shared" si="21"/>
        <v>2806.8838177878301</v>
      </c>
      <c r="J408" s="596">
        <f>+PI()*F187*SQRT(Es/input!BL29)</f>
        <v>10539.628166498971</v>
      </c>
      <c r="K408" s="596">
        <f t="shared" si="22"/>
        <v>1180.5333670195278</v>
      </c>
      <c r="L408" s="595">
        <f>IF(H408&lt;=I408,1*O342*input!BI29,IF(H408&lt;=J408,MIN(1*(1-(1-input!BL29/O342/input!BI29)*((H408-I408)/(J408-I408)))*1*O342*input!BI29,1*O342*input!BI29),MIN(K408,1*O342*input!BI29)))</f>
        <v>347.34602006108588</v>
      </c>
      <c r="M408" s="597">
        <f t="shared" si="23"/>
        <v>347.34602006108588</v>
      </c>
      <c r="X408" s="348"/>
      <c r="Y408" s="122"/>
      <c r="Z408" s="122"/>
      <c r="AA408" s="73"/>
      <c r="AC408" s="73"/>
      <c r="AD408" s="73"/>
      <c r="AE408" s="143"/>
      <c r="AF408" s="143"/>
      <c r="AG408" s="143"/>
      <c r="AH408" s="143"/>
      <c r="AI408" s="143"/>
      <c r="AJ408" s="143"/>
      <c r="AK408" s="143"/>
      <c r="AL408" s="143"/>
      <c r="AM408" s="143"/>
      <c r="AN408" s="143"/>
      <c r="AO408" s="143"/>
      <c r="AP408" s="143"/>
      <c r="AQ408" s="143"/>
      <c r="AR408" s="143"/>
      <c r="AS408" s="143"/>
    </row>
    <row r="409" spans="1:45" ht="15" customHeight="1">
      <c r="A409" s="482" t="str">
        <f t="shared" si="18"/>
        <v>114j</v>
      </c>
      <c r="B409" s="1016" t="str">
        <f t="shared" si="19"/>
        <v>Positive</v>
      </c>
      <c r="C409" s="794" t="str">
        <f>IF(B409="Positive",IF(input!F30=2,"OF","BF"),"BF")</f>
        <v>OF</v>
      </c>
      <c r="D409" s="21">
        <f>input!G30/2/input!H30</f>
        <v>8.3333333333333339</v>
      </c>
      <c r="E409" s="595">
        <f>0.38*SQRT(Es/input!BI30)</f>
        <v>8.9330845736509179</v>
      </c>
      <c r="F409" s="595">
        <f>0.56*SQRT(Es/input!BL30)</f>
        <v>15.73464163457246</v>
      </c>
      <c r="G409" s="598">
        <f>IF(D409&lt;=E409,1*O343*input!BI30,(1-(1-input!BL30/O343/input!BI30)*((D409-E409)/(F409-E409)))*1*O343*input!BI30)</f>
        <v>379.55057740545942</v>
      </c>
      <c r="H409" s="598">
        <f t="shared" si="20"/>
        <v>5000</v>
      </c>
      <c r="I409" s="596">
        <f t="shared" si="21"/>
        <v>2806.8838177878301</v>
      </c>
      <c r="J409" s="596">
        <f>+PI()*F188*SQRT(Es/input!BL30)</f>
        <v>10539.628166498971</v>
      </c>
      <c r="K409" s="596">
        <f t="shared" si="22"/>
        <v>1180.5333670195278</v>
      </c>
      <c r="L409" s="595">
        <f>IF(H409&lt;=I409,1*O343*input!BI30,IF(H409&lt;=J409,MIN(1*(1-(1-input!BL30/O343/input!BI30)*((H409-I409)/(J409-I409)))*1*O343*input!BI30,1*O343*input!BI30),MIN(K409,1*O343*input!BI30)))</f>
        <v>347.34602006108588</v>
      </c>
      <c r="M409" s="597">
        <f t="shared" si="23"/>
        <v>347.34602006108588</v>
      </c>
      <c r="X409" s="348"/>
      <c r="Y409" s="122"/>
      <c r="Z409" s="122"/>
      <c r="AA409" s="73"/>
      <c r="AC409" s="73"/>
      <c r="AD409" s="73"/>
      <c r="AE409" s="143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  <c r="AR409" s="143"/>
      <c r="AS409" s="143"/>
    </row>
    <row r="410" spans="1:45" ht="15" customHeight="1">
      <c r="A410" s="482" t="str">
        <f t="shared" si="18"/>
        <v>115i</v>
      </c>
      <c r="B410" s="1016" t="str">
        <f t="shared" si="19"/>
        <v>Positive</v>
      </c>
      <c r="C410" s="794" t="str">
        <f>IF(B410="Positive",IF(input!F31=2,"OF","BF"),"BF")</f>
        <v>OF</v>
      </c>
      <c r="D410" s="21">
        <f>input!G31/2/input!H31</f>
        <v>11.363636363636363</v>
      </c>
      <c r="E410" s="595">
        <f>0.38*SQRT(Es/input!BI31)</f>
        <v>8.9330845736509179</v>
      </c>
      <c r="F410" s="595">
        <f>0.56*SQRT(Es/input!BL31)</f>
        <v>15.73464163457246</v>
      </c>
      <c r="G410" s="598">
        <f>IF(D410&lt;=E410,1*O344*input!BI31,(1-(1-input!BL31/O344/input!BI31)*((D410-E410)/(F410-E410)))*1*O344*input!BI31)</f>
        <v>338.9137360414407</v>
      </c>
      <c r="H410" s="598">
        <f t="shared" si="20"/>
        <v>5000</v>
      </c>
      <c r="I410" s="596">
        <f t="shared" si="21"/>
        <v>2696.4869797211149</v>
      </c>
      <c r="J410" s="596">
        <f>+PI()*F189*SQRT(Es/input!BL31)</f>
        <v>10125.096714713627</v>
      </c>
      <c r="K410" s="596">
        <f t="shared" si="22"/>
        <v>1089.2322140549104</v>
      </c>
      <c r="L410" s="595">
        <f>IF(H410&lt;=I410,1*O344*input!BI31,IF(H410&lt;=J410,MIN(1*(1-(1-input!BL31/O344/input!BI31)*((H410-I410)/(J410-I410)))*1*O344*input!BI31,1*O344*input!BI31),MIN(K410,1*O344*input!BI31)))</f>
        <v>344.27640823710226</v>
      </c>
      <c r="M410" s="597">
        <f t="shared" si="23"/>
        <v>338.9137360414407</v>
      </c>
      <c r="X410" s="348"/>
      <c r="Y410" s="122"/>
      <c r="Z410" s="122"/>
      <c r="AA410" s="73"/>
      <c r="AC410" s="73"/>
      <c r="AD410" s="73"/>
      <c r="AE410" s="143"/>
      <c r="AF410" s="143"/>
      <c r="AG410" s="143"/>
      <c r="AH410" s="143"/>
      <c r="AI410" s="143"/>
      <c r="AJ410" s="143"/>
      <c r="AK410" s="143"/>
      <c r="AL410" s="143"/>
      <c r="AM410" s="143"/>
      <c r="AN410" s="143"/>
      <c r="AO410" s="143"/>
      <c r="AP410" s="143"/>
      <c r="AQ410" s="143"/>
      <c r="AR410" s="143"/>
      <c r="AS410" s="143"/>
    </row>
    <row r="411" spans="1:45" ht="15" customHeight="1">
      <c r="A411" s="482" t="str">
        <f t="shared" si="18"/>
        <v>115j</v>
      </c>
      <c r="B411" s="1016" t="str">
        <f t="shared" si="19"/>
        <v>Negative</v>
      </c>
      <c r="C411" s="794" t="str">
        <f>IF(B411="Positive",IF(input!F32=2,"OF","BF"),"BF")</f>
        <v>BF</v>
      </c>
      <c r="D411" s="21">
        <f>input!G32/2/input!H32</f>
        <v>11.363636363636363</v>
      </c>
      <c r="E411" s="595">
        <f>0.38*SQRT(Es/input!BI32)</f>
        <v>8.9330845736509179</v>
      </c>
      <c r="F411" s="595">
        <f>0.56*SQRT(Es/input!BL32)</f>
        <v>15.73464163457246</v>
      </c>
      <c r="G411" s="598">
        <f>IF(D411&lt;=E411,1*O345*input!BI32,(1-(1-input!BL32/O345/input!BI32)*((D411-E411)/(F411-E411)))*1*O345*input!BI32)</f>
        <v>338.9137360414407</v>
      </c>
      <c r="H411" s="598">
        <f t="shared" si="20"/>
        <v>5000</v>
      </c>
      <c r="I411" s="596">
        <f t="shared" si="21"/>
        <v>2824.96007150791</v>
      </c>
      <c r="J411" s="596">
        <f>+PI()*F190*SQRT(Es/input!BL32)</f>
        <v>10607.503078757751</v>
      </c>
      <c r="K411" s="596">
        <f t="shared" si="22"/>
        <v>1195.4968869105726</v>
      </c>
      <c r="L411" s="595">
        <f>IF(H411&lt;=I411,1*O345*input!BI32,IF(H411&lt;=J411,MIN(1*(1-(1-input!BL32/O345/input!BI32)*((H411-I411)/(J411-I411)))*1*O345*input!BI32,1*O345*input!BI32),MIN(K411,1*O345*input!BI32)))</f>
        <v>347.74935951498446</v>
      </c>
      <c r="M411" s="597" t="str">
        <f t="shared" si="23"/>
        <v>BF</v>
      </c>
      <c r="X411" s="73"/>
      <c r="Y411" s="73"/>
      <c r="Z411" s="73"/>
      <c r="AA411" s="73"/>
      <c r="AC411" s="73"/>
      <c r="AD411" s="73"/>
      <c r="AE411" s="143"/>
      <c r="AF411" s="143"/>
      <c r="AG411" s="143"/>
      <c r="AH411" s="143"/>
      <c r="AI411" s="143"/>
      <c r="AJ411" s="143"/>
      <c r="AK411" s="143"/>
      <c r="AL411" s="143"/>
      <c r="AM411" s="143"/>
      <c r="AN411" s="143"/>
      <c r="AO411" s="143"/>
      <c r="AP411" s="143"/>
      <c r="AQ411" s="143"/>
      <c r="AR411" s="143"/>
      <c r="AS411" s="143"/>
    </row>
    <row r="412" spans="1:45" ht="15" customHeight="1">
      <c r="A412" s="482" t="str">
        <f t="shared" si="18"/>
        <v>116i</v>
      </c>
      <c r="B412" s="1016" t="str">
        <f t="shared" si="19"/>
        <v>Negative</v>
      </c>
      <c r="C412" s="794" t="str">
        <f>IF(B412="Positive",IF(input!F33=2,"OF","BF"),"BF")</f>
        <v>BF</v>
      </c>
      <c r="D412" s="21">
        <f>input!G33/2/input!H33</f>
        <v>11.538461538461538</v>
      </c>
      <c r="E412" s="595">
        <f>0.38*SQRT(Es/input!BI33)</f>
        <v>8.9330845736509179</v>
      </c>
      <c r="F412" s="595">
        <f>0.56*SQRT(Es/input!BL33)</f>
        <v>15.73464163457246</v>
      </c>
      <c r="G412" s="598">
        <f>IF(D412&lt;=E412,1*O346*input!BI33,(1-(1-input!BL33/O346/input!BI33)*((D412-E412)/(F412-E412)))*1*O346*input!BI33)</f>
        <v>336.0788030721842</v>
      </c>
      <c r="H412" s="598">
        <f t="shared" si="20"/>
        <v>5000</v>
      </c>
      <c r="I412" s="596">
        <f t="shared" si="21"/>
        <v>3550.9384865221268</v>
      </c>
      <c r="J412" s="596">
        <f>+PI()*F191*SQRT(Es/input!BL33)</f>
        <v>13333.494978623587</v>
      </c>
      <c r="K412" s="596">
        <f t="shared" si="22"/>
        <v>1889.5615264311373</v>
      </c>
      <c r="L412" s="595">
        <f>IF(H412&lt;=I412,1*O346*input!BI33,IF(H412&lt;=J412,MIN(1*(1-(1-input!BL33/O346/input!BI33)*((H412-I412)/(J412-I412)))*1*O346*input!BI33,1*O346*input!BI33),MIN(K412,1*O346*input!BI33)))</f>
        <v>362.76442395293077</v>
      </c>
      <c r="M412" s="597" t="str">
        <f t="shared" si="23"/>
        <v>BF</v>
      </c>
      <c r="X412" s="73"/>
      <c r="Y412" s="73"/>
      <c r="Z412" s="73"/>
      <c r="AA412" s="73"/>
      <c r="AC412" s="73"/>
      <c r="AD412" s="73"/>
      <c r="AE412" s="143"/>
      <c r="AF412" s="143"/>
      <c r="AG412" s="143"/>
      <c r="AH412" s="143"/>
      <c r="AI412" s="143"/>
      <c r="AJ412" s="143"/>
      <c r="AK412" s="143"/>
      <c r="AL412" s="143"/>
      <c r="AM412" s="143"/>
      <c r="AN412" s="143"/>
      <c r="AO412" s="143"/>
      <c r="AP412" s="143"/>
      <c r="AQ412" s="143"/>
      <c r="AR412" s="143"/>
      <c r="AS412" s="143"/>
    </row>
    <row r="413" spans="1:45" ht="15" customHeight="1">
      <c r="A413" s="482" t="str">
        <f t="shared" si="18"/>
        <v>116j</v>
      </c>
      <c r="B413" s="1016" t="str">
        <f t="shared" si="19"/>
        <v>Negative</v>
      </c>
      <c r="C413" s="794" t="str">
        <f>IF(B413="Positive",IF(input!F34=2,"OF","BF"),"BF")</f>
        <v>BF</v>
      </c>
      <c r="D413" s="21">
        <f>input!G34/2/input!H34</f>
        <v>11.538461538461538</v>
      </c>
      <c r="E413" s="595">
        <f>0.38*SQRT(Es/input!BI34)</f>
        <v>8.9330845736509179</v>
      </c>
      <c r="F413" s="595">
        <f>0.56*SQRT(Es/input!BL34)</f>
        <v>15.73464163457246</v>
      </c>
      <c r="G413" s="598">
        <f>IF(D413&lt;=E413,1*O347*input!BI34,(1-(1-input!BL34/O347/input!BI34)*((D413-E413)/(F413-E413)))*1*O347*input!BI34)</f>
        <v>336.0788030721842</v>
      </c>
      <c r="H413" s="598">
        <f t="shared" si="20"/>
        <v>5000</v>
      </c>
      <c r="I413" s="596">
        <f t="shared" si="21"/>
        <v>3550.9384865221268</v>
      </c>
      <c r="J413" s="596">
        <f>+PI()*F192*SQRT(Es/input!BL34)</f>
        <v>13333.494978623587</v>
      </c>
      <c r="K413" s="596">
        <f t="shared" si="22"/>
        <v>1889.5615264311373</v>
      </c>
      <c r="L413" s="595">
        <f>IF(H413&lt;=I413,1*O347*input!BI34,IF(H413&lt;=J413,MIN(1*(1-(1-input!BL34/O347/input!BI34)*((H413-I413)/(J413-I413)))*1*O347*input!BI34,1*O347*input!BI34),MIN(K413,1*O347*input!BI34)))</f>
        <v>362.76442395293077</v>
      </c>
      <c r="M413" s="597" t="str">
        <f t="shared" si="23"/>
        <v>BF</v>
      </c>
      <c r="X413" s="73"/>
      <c r="Y413" s="73"/>
      <c r="Z413" s="73"/>
      <c r="AA413" s="73"/>
      <c r="AC413" s="73"/>
      <c r="AD413" s="73"/>
      <c r="AE413" s="143"/>
      <c r="AF413" s="143"/>
      <c r="AG413" s="143"/>
      <c r="AH413" s="143"/>
      <c r="AI413" s="143"/>
      <c r="AJ413" s="143"/>
      <c r="AK413" s="143"/>
      <c r="AL413" s="143"/>
      <c r="AM413" s="143"/>
      <c r="AN413" s="143"/>
      <c r="AO413" s="143"/>
      <c r="AP413" s="143"/>
      <c r="AQ413" s="143"/>
      <c r="AR413" s="143"/>
      <c r="AS413" s="143"/>
    </row>
    <row r="414" spans="1:45" ht="15" customHeight="1">
      <c r="A414" s="482" t="str">
        <f t="shared" ref="A414:A443" si="24">A127</f>
        <v>117i</v>
      </c>
      <c r="B414" s="1016" t="str">
        <f t="shared" ref="B414:B443" si="25">D193</f>
        <v>Negative</v>
      </c>
      <c r="C414" s="794" t="str">
        <f>IF(B414="Positive",IF(input!F35=2,"OF","BF"),"BF")</f>
        <v>BF</v>
      </c>
      <c r="D414" s="21">
        <f>input!G35/2/input!H35</f>
        <v>11.111111111111111</v>
      </c>
      <c r="E414" s="595">
        <f>0.38*SQRT(Es/input!BI35)</f>
        <v>8.9330845736509179</v>
      </c>
      <c r="F414" s="595">
        <f>0.56*SQRT(Es/input!BL35)</f>
        <v>15.73464163457246</v>
      </c>
      <c r="G414" s="598">
        <f>IF(D414&lt;=E414,1*O348*input!BI35,(1-(1-input!BL35/O348/input!BI35)*((D414-E414)/(F414-E414)))*1*O348*input!BI35)</f>
        <v>343.30035912191607</v>
      </c>
      <c r="H414" s="598">
        <f t="shared" ref="H414:H443" si="26">B127</f>
        <v>5000</v>
      </c>
      <c r="I414" s="596">
        <f t="shared" ref="I414:I443" si="27">J193</f>
        <v>4947.5131905109474</v>
      </c>
      <c r="J414" s="596">
        <f>+PI()*F193*SQRT(Es/input!BL35)</f>
        <v>18577.523247090081</v>
      </c>
      <c r="K414" s="596">
        <f t="shared" ref="K414:K443" si="28">1*O348*(PI()^2)*Es/(H414/F193)^2</f>
        <v>3669.3650866944017</v>
      </c>
      <c r="L414" s="595">
        <f>IF(H414&lt;=I414,1*O348*input!BI35,IF(H414&lt;=J414,MIN(1*(1-(1-input!BL35/O348/input!BI35)*((H414-I414)/(J414-I414)))*1*O348*input!BI35,1*O348*input!BI35),MIN(K414,1*O348*input!BI35)))</f>
        <v>379.27667876074401</v>
      </c>
      <c r="M414" s="597" t="str">
        <f t="shared" si="23"/>
        <v>BF</v>
      </c>
      <c r="X414" s="73"/>
      <c r="Y414" s="73"/>
      <c r="Z414" s="73"/>
      <c r="AA414" s="73"/>
      <c r="AC414" s="73"/>
      <c r="AD414" s="73"/>
      <c r="AE414" s="143"/>
      <c r="AF414" s="143"/>
      <c r="AG414" s="143"/>
      <c r="AH414" s="143"/>
      <c r="AI414" s="143"/>
      <c r="AJ414" s="143"/>
      <c r="AK414" s="143"/>
      <c r="AL414" s="143"/>
      <c r="AM414" s="143"/>
      <c r="AN414" s="143"/>
      <c r="AO414" s="143"/>
      <c r="AP414" s="143"/>
      <c r="AQ414" s="143"/>
      <c r="AR414" s="143"/>
      <c r="AS414" s="143"/>
    </row>
    <row r="415" spans="1:45" ht="15" customHeight="1">
      <c r="A415" s="482" t="str">
        <f t="shared" si="24"/>
        <v>117j</v>
      </c>
      <c r="B415" s="1016" t="str">
        <f t="shared" si="25"/>
        <v>Negative</v>
      </c>
      <c r="C415" s="794" t="str">
        <f>IF(B415="Positive",IF(input!F36=2,"OF","BF"),"BF")</f>
        <v>BF</v>
      </c>
      <c r="D415" s="21">
        <f>input!G36/2/input!H36</f>
        <v>11.111111111111111</v>
      </c>
      <c r="E415" s="595">
        <f>0.38*SQRT(Es/input!BI36)</f>
        <v>8.9330845736509179</v>
      </c>
      <c r="F415" s="595">
        <f>0.56*SQRT(Es/input!BL36)</f>
        <v>15.73464163457246</v>
      </c>
      <c r="G415" s="598">
        <f>IF(D415&lt;=E415,1*O349*input!BI36,(1-(1-input!BL36/O349/input!BI36)*((D415-E415)/(F415-E415)))*1*O349*input!BI36)</f>
        <v>343.30035912191607</v>
      </c>
      <c r="H415" s="598">
        <f t="shared" si="26"/>
        <v>5000</v>
      </c>
      <c r="I415" s="596">
        <f t="shared" si="27"/>
        <v>4947.5131905109474</v>
      </c>
      <c r="J415" s="596">
        <f>+PI()*F194*SQRT(Es/input!BL36)</f>
        <v>18577.523247090081</v>
      </c>
      <c r="K415" s="596">
        <f t="shared" si="28"/>
        <v>3669.3650866944017</v>
      </c>
      <c r="L415" s="595">
        <f>IF(H415&lt;=I415,1*O349*input!BI36,IF(H415&lt;=J415,MIN(1*(1-(1-input!BL36/O349/input!BI36)*((H415-I415)/(J415-I415)))*1*O349*input!BI36,1*O349*input!BI36),MIN(K415,1*O349*input!BI36)))</f>
        <v>379.27667876074401</v>
      </c>
      <c r="M415" s="597" t="str">
        <f t="shared" si="23"/>
        <v>BF</v>
      </c>
      <c r="X415" s="73"/>
      <c r="Y415" s="73"/>
      <c r="Z415" s="73"/>
      <c r="AA415" s="73"/>
      <c r="AC415" s="73"/>
      <c r="AD415" s="73"/>
      <c r="AE415" s="143"/>
      <c r="AF415" s="143"/>
      <c r="AG415" s="143"/>
      <c r="AH415" s="143"/>
      <c r="AI415" s="143"/>
      <c r="AJ415" s="143"/>
      <c r="AK415" s="143"/>
      <c r="AL415" s="143"/>
      <c r="AM415" s="143"/>
      <c r="AN415" s="143"/>
      <c r="AO415" s="143"/>
      <c r="AP415" s="143"/>
      <c r="AQ415" s="143"/>
      <c r="AR415" s="143"/>
      <c r="AS415" s="143"/>
    </row>
    <row r="416" spans="1:45" ht="15" customHeight="1">
      <c r="A416" s="482" t="str">
        <f t="shared" si="24"/>
        <v>118i</v>
      </c>
      <c r="B416" s="1016" t="str">
        <f t="shared" si="25"/>
        <v>Negative</v>
      </c>
      <c r="C416" s="794" t="str">
        <f>IF(B416="Positive",IF(input!F37=2,"OF","BF"),"BF")</f>
        <v>BF</v>
      </c>
      <c r="D416" s="21">
        <f>input!G37/2/input!H37</f>
        <v>36.25</v>
      </c>
      <c r="E416" s="595">
        <f>0.38*SQRT(Es/input!BI37)</f>
        <v>8.9330845736509179</v>
      </c>
      <c r="F416" s="595">
        <f>0.56*SQRT(Es/input!BL37)</f>
        <v>15.73464163457246</v>
      </c>
      <c r="G416" s="598">
        <f>IF(D416&lt;=E416,1*O350*input!BI37,(1-(1-input!BL37/O350/input!BI37)*((D416-E416)/(F416-E416)))*1*O350*input!BI37)</f>
        <v>-77.360232534560268</v>
      </c>
      <c r="H416" s="598">
        <f t="shared" si="26"/>
        <v>5000</v>
      </c>
      <c r="I416" s="596">
        <f t="shared" si="27"/>
        <v>18969.987511858737</v>
      </c>
      <c r="J416" s="596">
        <f>+PI()*F195*SQRT(Es/input!BL37)</f>
        <v>71230.812415917782</v>
      </c>
      <c r="K416" s="596">
        <f t="shared" si="28"/>
        <v>53962.222994442847</v>
      </c>
      <c r="L416" s="595">
        <f>IF(H416&lt;=I416,1*O350*input!BI37,IF(H416&lt;=J416,MIN(1*(1-(1-input!BL37/O350/input!BI37)*((H416-I416)/(J416-I416)))*1*O350*input!BI37,1*O350*input!BI37),MIN(K416,1*O350*input!BI37)))</f>
        <v>379.83589662126923</v>
      </c>
      <c r="M416" s="597" t="str">
        <f t="shared" si="23"/>
        <v>BF</v>
      </c>
      <c r="X416" s="73"/>
      <c r="Y416" s="73"/>
      <c r="Z416" s="73"/>
      <c r="AA416" s="73"/>
      <c r="AC416" s="73"/>
      <c r="AD416" s="73"/>
      <c r="AE416" s="143"/>
      <c r="AF416" s="143"/>
      <c r="AG416" s="143"/>
      <c r="AH416" s="143"/>
      <c r="AI416" s="143"/>
      <c r="AJ416" s="143"/>
      <c r="AK416" s="143"/>
      <c r="AL416" s="143"/>
      <c r="AM416" s="143"/>
      <c r="AN416" s="143"/>
      <c r="AO416" s="143"/>
      <c r="AP416" s="143"/>
      <c r="AQ416" s="143"/>
      <c r="AR416" s="143"/>
      <c r="AS416" s="143"/>
    </row>
    <row r="417" spans="1:45" ht="15" customHeight="1">
      <c r="A417" s="482" t="str">
        <f t="shared" si="24"/>
        <v>118j</v>
      </c>
      <c r="B417" s="1016" t="str">
        <f t="shared" si="25"/>
        <v>Negative</v>
      </c>
      <c r="C417" s="794" t="str">
        <f>IF(B417="Positive",IF(input!F38=2,"OF","BF"),"BF")</f>
        <v>BF</v>
      </c>
      <c r="D417" s="21">
        <f>input!G38/2/input!H38</f>
        <v>36.25</v>
      </c>
      <c r="E417" s="595">
        <f>0.38*SQRT(Es/input!BI38)</f>
        <v>8.9330845736509179</v>
      </c>
      <c r="F417" s="595">
        <f>0.56*SQRT(Es/input!BL38)</f>
        <v>15.73464163457246</v>
      </c>
      <c r="G417" s="598">
        <f>IF(D417&lt;=E417,1*O351*input!BI38,(1-(1-input!BL38/O351/input!BI38)*((D417-E417)/(F417-E417)))*1*O351*input!BI38)</f>
        <v>-77.360232534560268</v>
      </c>
      <c r="H417" s="598">
        <f t="shared" si="26"/>
        <v>5000</v>
      </c>
      <c r="I417" s="596">
        <f t="shared" si="27"/>
        <v>18969.987511858737</v>
      </c>
      <c r="J417" s="596">
        <f>+PI()*F196*SQRT(Es/input!BL38)</f>
        <v>71230.812415917782</v>
      </c>
      <c r="K417" s="596">
        <f t="shared" si="28"/>
        <v>53962.222994442847</v>
      </c>
      <c r="L417" s="595">
        <f>IF(H417&lt;=I417,1*O351*input!BI38,IF(H417&lt;=J417,MIN(1*(1-(1-input!BL38/O351/input!BI38)*((H417-I417)/(J417-I417)))*1*O351*input!BI38,1*O351*input!BI38),MIN(K417,1*O351*input!BI38)))</f>
        <v>379.83589662126923</v>
      </c>
      <c r="M417" s="597" t="str">
        <f t="shared" si="23"/>
        <v>BF</v>
      </c>
      <c r="X417" s="73"/>
      <c r="Y417" s="73"/>
      <c r="Z417" s="73"/>
      <c r="AA417" s="73"/>
      <c r="AC417" s="73"/>
      <c r="AD417" s="73"/>
      <c r="AE417" s="143"/>
      <c r="AF417" s="143"/>
      <c r="AG417" s="143"/>
      <c r="AH417" s="143"/>
      <c r="AI417" s="143"/>
      <c r="AJ417" s="143"/>
      <c r="AK417" s="143"/>
      <c r="AL417" s="143"/>
      <c r="AM417" s="143"/>
      <c r="AN417" s="143"/>
      <c r="AO417" s="143"/>
      <c r="AP417" s="143"/>
      <c r="AQ417" s="143"/>
      <c r="AR417" s="143"/>
      <c r="AS417" s="143"/>
    </row>
    <row r="418" spans="1:45" ht="15" customHeight="1">
      <c r="A418" s="482" t="str">
        <f t="shared" si="24"/>
        <v>119i</v>
      </c>
      <c r="B418" s="1016" t="str">
        <f t="shared" si="25"/>
        <v>Negative</v>
      </c>
      <c r="C418" s="794" t="str">
        <f>IF(B418="Positive",IF(input!F39=2,"OF","BF"),"BF")</f>
        <v>BF</v>
      </c>
      <c r="D418" s="21">
        <f>input!G39/2/input!H39</f>
        <v>36.25</v>
      </c>
      <c r="E418" s="595">
        <f>0.38*SQRT(Es/input!BI39)</f>
        <v>8.9330845736509179</v>
      </c>
      <c r="F418" s="595">
        <f>0.56*SQRT(Es/input!BL39)</f>
        <v>15.73464163457246</v>
      </c>
      <c r="G418" s="598">
        <f>IF(D418&lt;=E418,1*O352*input!BI39,(1-(1-input!BL39/O352/input!BI39)*((D418-E418)/(F418-E418)))*1*O352*input!BI39)</f>
        <v>-77.335392963938787</v>
      </c>
      <c r="H418" s="598">
        <f t="shared" si="26"/>
        <v>5000</v>
      </c>
      <c r="I418" s="596">
        <f t="shared" si="27"/>
        <v>18948.458134927729</v>
      </c>
      <c r="J418" s="596">
        <f>+PI()*F197*SQRT(Es/input!BL39)</f>
        <v>71149.971297353768</v>
      </c>
      <c r="K418" s="596">
        <f t="shared" si="28"/>
        <v>53838.639827059102</v>
      </c>
      <c r="L418" s="595">
        <f>IF(H418&lt;=I418,1*O352*input!BI39,IF(H418&lt;=J418,MIN(1*(1-(1-input!BL39/O352/input!BI39)*((H418-I418)/(J418-I418)))*1*O352*input!BI39,1*O352*input!BI39),MIN(K418,1*O352*input!BI39)))</f>
        <v>379.82766143697751</v>
      </c>
      <c r="M418" s="597" t="str">
        <f t="shared" si="23"/>
        <v>BF</v>
      </c>
      <c r="X418" s="73"/>
      <c r="Y418" s="73"/>
      <c r="Z418" s="73"/>
      <c r="AA418" s="73"/>
      <c r="AC418" s="73"/>
      <c r="AD418" s="73"/>
      <c r="AE418" s="143"/>
      <c r="AF418" s="143"/>
      <c r="AG418" s="143"/>
      <c r="AH418" s="143"/>
      <c r="AI418" s="143"/>
      <c r="AJ418" s="143"/>
      <c r="AK418" s="143"/>
      <c r="AL418" s="143"/>
      <c r="AM418" s="143"/>
      <c r="AN418" s="143"/>
      <c r="AO418" s="143"/>
      <c r="AP418" s="143"/>
      <c r="AQ418" s="143"/>
      <c r="AR418" s="143"/>
      <c r="AS418" s="143"/>
    </row>
    <row r="419" spans="1:45" ht="15" customHeight="1">
      <c r="A419" s="482" t="str">
        <f t="shared" si="24"/>
        <v>119j</v>
      </c>
      <c r="B419" s="1016" t="str">
        <f t="shared" si="25"/>
        <v>Negative</v>
      </c>
      <c r="C419" s="794" t="str">
        <f>IF(B419="Positive",IF(input!F40=2,"OF","BF"),"BF")</f>
        <v>BF</v>
      </c>
      <c r="D419" s="21">
        <f>input!G40/2/input!H40</f>
        <v>36.25</v>
      </c>
      <c r="E419" s="595">
        <f>0.38*SQRT(Es/input!BI40)</f>
        <v>8.9330845736509179</v>
      </c>
      <c r="F419" s="595">
        <f>0.56*SQRT(Es/input!BL40)</f>
        <v>15.73464163457246</v>
      </c>
      <c r="G419" s="598">
        <f>IF(D419&lt;=E419,1*O353*input!BI40,(1-(1-input!BL40/O353/input!BI40)*((D419-E419)/(F419-E419)))*1*O353*input!BI40)</f>
        <v>-77.335392963938787</v>
      </c>
      <c r="H419" s="598">
        <f t="shared" si="26"/>
        <v>5000</v>
      </c>
      <c r="I419" s="596">
        <f t="shared" si="27"/>
        <v>18948.458134927729</v>
      </c>
      <c r="J419" s="596">
        <f>+PI()*F198*SQRT(Es/input!BL40)</f>
        <v>71149.971297353768</v>
      </c>
      <c r="K419" s="596">
        <f t="shared" si="28"/>
        <v>53838.639827059102</v>
      </c>
      <c r="L419" s="595">
        <f>IF(H419&lt;=I419,1*O353*input!BI40,IF(H419&lt;=J419,MIN(1*(1-(1-input!BL40/O353/input!BI40)*((H419-I419)/(J419-I419)))*1*O353*input!BI40,1*O353*input!BI40),MIN(K419,1*O353*input!BI40)))</f>
        <v>379.82766143697751</v>
      </c>
      <c r="M419" s="597" t="str">
        <f t="shared" si="23"/>
        <v>BF</v>
      </c>
      <c r="X419" s="73"/>
      <c r="Y419" s="73"/>
      <c r="Z419" s="73"/>
      <c r="AA419" s="73"/>
      <c r="AC419" s="73"/>
      <c r="AD419" s="73"/>
      <c r="AE419" s="143"/>
      <c r="AF419" s="143"/>
      <c r="AG419" s="143"/>
      <c r="AH419" s="143"/>
      <c r="AI419" s="143"/>
      <c r="AJ419" s="143"/>
      <c r="AK419" s="143"/>
      <c r="AL419" s="143"/>
      <c r="AM419" s="143"/>
      <c r="AN419" s="143"/>
      <c r="AO419" s="143"/>
      <c r="AP419" s="143"/>
      <c r="AQ419" s="143"/>
      <c r="AR419" s="143"/>
      <c r="AS419" s="143"/>
    </row>
    <row r="420" spans="1:45" ht="15" customHeight="1">
      <c r="A420" s="482" t="str">
        <f t="shared" si="24"/>
        <v>120i</v>
      </c>
      <c r="B420" s="1016" t="str">
        <f t="shared" si="25"/>
        <v>Negative</v>
      </c>
      <c r="C420" s="794" t="str">
        <f>IF(B420="Positive",IF(input!F41=2,"OF","BF"),"BF")</f>
        <v>BF</v>
      </c>
      <c r="D420" s="21">
        <f>input!G41/2/input!H41</f>
        <v>36.25</v>
      </c>
      <c r="E420" s="595">
        <f>0.38*SQRT(Es/input!BI41)</f>
        <v>8.9330845736509179</v>
      </c>
      <c r="F420" s="595">
        <f>0.56*SQRT(Es/input!BL41)</f>
        <v>15.73464163457246</v>
      </c>
      <c r="G420" s="598">
        <f>IF(D420&lt;=E420,1*O354*input!BI41,(1-(1-input!BL41/O354/input!BI41)*((D420-E420)/(F420-E420)))*1*O354*input!BI41)</f>
        <v>-77.335392963938787</v>
      </c>
      <c r="H420" s="598">
        <f t="shared" si="26"/>
        <v>5000</v>
      </c>
      <c r="I420" s="596">
        <f t="shared" si="27"/>
        <v>18948.458134927729</v>
      </c>
      <c r="J420" s="596">
        <f>+PI()*F199*SQRT(Es/input!BL41)</f>
        <v>71149.971297353768</v>
      </c>
      <c r="K420" s="596">
        <f t="shared" si="28"/>
        <v>53838.639827059102</v>
      </c>
      <c r="L420" s="595">
        <f>IF(H420&lt;=I420,1*O354*input!BI41,IF(H420&lt;=J420,MIN(1*(1-(1-input!BL41/O354/input!BI41)*((H420-I420)/(J420-I420)))*1*O354*input!BI41,1*O354*input!BI41),MIN(K420,1*O354*input!BI41)))</f>
        <v>379.82766143697751</v>
      </c>
      <c r="M420" s="597" t="str">
        <f t="shared" si="23"/>
        <v>BF</v>
      </c>
      <c r="X420" s="73"/>
      <c r="Y420" s="73"/>
      <c r="Z420" s="73"/>
      <c r="AA420" s="73"/>
      <c r="AC420" s="73"/>
      <c r="AD420" s="73"/>
      <c r="AE420" s="143"/>
      <c r="AF420" s="143"/>
      <c r="AG420" s="143"/>
      <c r="AH420" s="143"/>
      <c r="AI420" s="143"/>
      <c r="AJ420" s="143"/>
      <c r="AK420" s="143"/>
      <c r="AL420" s="143"/>
      <c r="AM420" s="143"/>
      <c r="AN420" s="143"/>
      <c r="AO420" s="143"/>
      <c r="AP420" s="143"/>
      <c r="AQ420" s="143"/>
      <c r="AR420" s="143"/>
      <c r="AS420" s="143"/>
    </row>
    <row r="421" spans="1:45" ht="15" customHeight="1">
      <c r="A421" s="482" t="str">
        <f t="shared" si="24"/>
        <v>120j</v>
      </c>
      <c r="B421" s="1016" t="str">
        <f t="shared" si="25"/>
        <v>Negative</v>
      </c>
      <c r="C421" s="794" t="str">
        <f>IF(B421="Positive",IF(input!F42=2,"OF","BF"),"BF")</f>
        <v>BF</v>
      </c>
      <c r="D421" s="21">
        <f>input!G42/2/input!H42</f>
        <v>36.25</v>
      </c>
      <c r="E421" s="595">
        <f>0.38*SQRT(Es/input!BI42)</f>
        <v>8.9330845736509179</v>
      </c>
      <c r="F421" s="595">
        <f>0.56*SQRT(Es/input!BL42)</f>
        <v>15.73464163457246</v>
      </c>
      <c r="G421" s="598">
        <f>IF(D421&lt;=E421,1*O355*input!BI42,(1-(1-input!BL42/O355/input!BI42)*((D421-E421)/(F421-E421)))*1*O355*input!BI42)</f>
        <v>-77.335392963938787</v>
      </c>
      <c r="H421" s="598">
        <f t="shared" si="26"/>
        <v>5000</v>
      </c>
      <c r="I421" s="596">
        <f t="shared" si="27"/>
        <v>18948.458134927729</v>
      </c>
      <c r="J421" s="596">
        <f>+PI()*F200*SQRT(Es/input!BL42)</f>
        <v>71149.971297353768</v>
      </c>
      <c r="K421" s="596">
        <f t="shared" si="28"/>
        <v>53838.639827059102</v>
      </c>
      <c r="L421" s="595">
        <f>IF(H421&lt;=I421,1*O355*input!BI42,IF(H421&lt;=J421,MIN(1*(1-(1-input!BL42/O355/input!BI42)*((H421-I421)/(J421-I421)))*1*O355*input!BI42,1*O355*input!BI42),MIN(K421,1*O355*input!BI42)))</f>
        <v>379.82766143697751</v>
      </c>
      <c r="M421" s="597" t="str">
        <f t="shared" si="23"/>
        <v>BF</v>
      </c>
      <c r="X421" s="73"/>
      <c r="Y421" s="73"/>
      <c r="Z421" s="73"/>
      <c r="AA421" s="73"/>
      <c r="AC421" s="73"/>
      <c r="AD421" s="73"/>
      <c r="AE421" s="143"/>
      <c r="AF421" s="143"/>
      <c r="AG421" s="143"/>
      <c r="AH421" s="143"/>
      <c r="AI421" s="143"/>
      <c r="AJ421" s="143"/>
      <c r="AK421" s="143"/>
      <c r="AL421" s="143"/>
      <c r="AM421" s="143"/>
      <c r="AN421" s="143"/>
      <c r="AO421" s="143"/>
      <c r="AP421" s="143"/>
      <c r="AQ421" s="143"/>
      <c r="AR421" s="143"/>
      <c r="AS421" s="143"/>
    </row>
    <row r="422" spans="1:45" ht="15" customHeight="1">
      <c r="A422" s="482" t="str">
        <f t="shared" si="24"/>
        <v>121i</v>
      </c>
      <c r="B422" s="1016" t="str">
        <f t="shared" si="25"/>
        <v>Negative</v>
      </c>
      <c r="C422" s="794" t="str">
        <f>IF(B422="Positive",IF(input!F43=2,"OF","BF"),"BF")</f>
        <v>BF</v>
      </c>
      <c r="D422" s="21">
        <f>input!G43/2/input!H43</f>
        <v>36.25</v>
      </c>
      <c r="E422" s="595">
        <f>0.38*SQRT(Es/input!BI43)</f>
        <v>8.9330845736509179</v>
      </c>
      <c r="F422" s="595">
        <f>0.56*SQRT(Es/input!BL43)</f>
        <v>15.73464163457246</v>
      </c>
      <c r="G422" s="598">
        <f>IF(D422&lt;=E422,1*O356*input!BI43,(1-(1-input!BL43/O356/input!BI43)*((D422-E422)/(F422-E422)))*1*O356*input!BI43)</f>
        <v>-77.360232534560268</v>
      </c>
      <c r="H422" s="598">
        <f t="shared" si="26"/>
        <v>5000</v>
      </c>
      <c r="I422" s="596">
        <f t="shared" si="27"/>
        <v>18969.987511858737</v>
      </c>
      <c r="J422" s="596">
        <f>+PI()*F201*SQRT(Es/input!BL43)</f>
        <v>71230.812415917782</v>
      </c>
      <c r="K422" s="596">
        <f t="shared" si="28"/>
        <v>53962.222994442847</v>
      </c>
      <c r="L422" s="595">
        <f>IF(H422&lt;=I422,1*O356*input!BI43,IF(H422&lt;=J422,MIN(1*(1-(1-input!BL43/O356/input!BI43)*((H422-I422)/(J422-I422)))*1*O356*input!BI43,1*O356*input!BI43),MIN(K422,1*O356*input!BI43)))</f>
        <v>379.83589662126923</v>
      </c>
      <c r="M422" s="597" t="str">
        <f t="shared" si="23"/>
        <v>BF</v>
      </c>
      <c r="X422" s="73"/>
      <c r="Y422" s="73"/>
      <c r="Z422" s="73"/>
      <c r="AA422" s="73"/>
      <c r="AC422" s="73"/>
      <c r="AD422" s="73"/>
      <c r="AE422" s="143"/>
      <c r="AF422" s="143"/>
      <c r="AG422" s="143"/>
      <c r="AH422" s="143"/>
      <c r="AI422" s="143"/>
      <c r="AJ422" s="143"/>
      <c r="AK422" s="143"/>
      <c r="AL422" s="143"/>
      <c r="AM422" s="143"/>
      <c r="AN422" s="143"/>
      <c r="AO422" s="143"/>
      <c r="AP422" s="143"/>
      <c r="AQ422" s="143"/>
      <c r="AR422" s="143"/>
      <c r="AS422" s="143"/>
    </row>
    <row r="423" spans="1:45" ht="15" customHeight="1">
      <c r="A423" s="482" t="str">
        <f t="shared" si="24"/>
        <v>121j</v>
      </c>
      <c r="B423" s="1016" t="str">
        <f t="shared" si="25"/>
        <v>Negative</v>
      </c>
      <c r="C423" s="794" t="str">
        <f>IF(B423="Positive",IF(input!F44=2,"OF","BF"),"BF")</f>
        <v>BF</v>
      </c>
      <c r="D423" s="21">
        <f>input!G44/2/input!H44</f>
        <v>36.25</v>
      </c>
      <c r="E423" s="595">
        <f>0.38*SQRT(Es/input!BI44)</f>
        <v>8.9330845736509179</v>
      </c>
      <c r="F423" s="595">
        <f>0.56*SQRT(Es/input!BL44)</f>
        <v>15.73464163457246</v>
      </c>
      <c r="G423" s="598">
        <f>IF(D423&lt;=E423,1*O357*input!BI44,(1-(1-input!BL44/O357/input!BI44)*((D423-E423)/(F423-E423)))*1*O357*input!BI44)</f>
        <v>-77.360232534560268</v>
      </c>
      <c r="H423" s="598">
        <f t="shared" si="26"/>
        <v>5000</v>
      </c>
      <c r="I423" s="596">
        <f t="shared" si="27"/>
        <v>18969.987511858737</v>
      </c>
      <c r="J423" s="596">
        <f>+PI()*F202*SQRT(Es/input!BL44)</f>
        <v>71230.812415917782</v>
      </c>
      <c r="K423" s="596">
        <f t="shared" si="28"/>
        <v>53962.222994442847</v>
      </c>
      <c r="L423" s="595">
        <f>IF(H423&lt;=I423,1*O357*input!BI44,IF(H423&lt;=J423,MIN(1*(1-(1-input!BL44/O357/input!BI44)*((H423-I423)/(J423-I423)))*1*O357*input!BI44,1*O357*input!BI44),MIN(K423,1*O357*input!BI44)))</f>
        <v>379.83589662126923</v>
      </c>
      <c r="M423" s="597" t="str">
        <f t="shared" si="23"/>
        <v>BF</v>
      </c>
      <c r="X423" s="73"/>
      <c r="Y423" s="73"/>
      <c r="Z423" s="73"/>
      <c r="AA423" s="73"/>
      <c r="AC423" s="73"/>
      <c r="AD423" s="73"/>
      <c r="AE423" s="143"/>
      <c r="AF423" s="143"/>
      <c r="AG423" s="143"/>
      <c r="AH423" s="143"/>
      <c r="AI423" s="143"/>
      <c r="AJ423" s="143"/>
      <c r="AK423" s="143"/>
      <c r="AL423" s="143"/>
      <c r="AM423" s="143"/>
      <c r="AN423" s="143"/>
      <c r="AO423" s="143"/>
      <c r="AP423" s="143"/>
      <c r="AQ423" s="143"/>
      <c r="AR423" s="143"/>
      <c r="AS423" s="143"/>
    </row>
    <row r="424" spans="1:45" ht="15" customHeight="1">
      <c r="A424" s="482" t="str">
        <f t="shared" si="24"/>
        <v>122i</v>
      </c>
      <c r="B424" s="1016" t="str">
        <f t="shared" si="25"/>
        <v>Negative</v>
      </c>
      <c r="C424" s="794" t="str">
        <f>IF(B424="Positive",IF(input!F45=2,"OF","BF"),"BF")</f>
        <v>BF</v>
      </c>
      <c r="D424" s="21">
        <f>input!G45/2/input!H45</f>
        <v>10</v>
      </c>
      <c r="E424" s="595">
        <f>0.38*SQRT(Es/input!BI45)</f>
        <v>8.9330845736509179</v>
      </c>
      <c r="F424" s="595">
        <f>0.56*SQRT(Es/input!BL45)</f>
        <v>15.73464163457246</v>
      </c>
      <c r="G424" s="598">
        <f>IF(D424&lt;=E424,1*O358*input!BI45,(1-(1-input!BL45/O358/input!BI45)*((D424-E424)/(F424-E424)))*1*O358*input!BI45)</f>
        <v>361.90129467755929</v>
      </c>
      <c r="H424" s="598">
        <f t="shared" si="26"/>
        <v>5000</v>
      </c>
      <c r="I424" s="596">
        <f t="shared" si="27"/>
        <v>4984.6757820998391</v>
      </c>
      <c r="J424" s="596">
        <f>+PI()*F203*SQRT(Es/input!BL45)</f>
        <v>18717.065858212143</v>
      </c>
      <c r="K424" s="596">
        <f t="shared" si="28"/>
        <v>3724.9796168827693</v>
      </c>
      <c r="L424" s="595">
        <f>IF(H424&lt;=I424,1*O358*input!BI45,IF(H424&lt;=J424,MIN(1*(1-(1-input!BL45/O358/input!BI45)*((H424-I424)/(J424-I424)))*1*O358*input!BI45,1*O358*input!BI45),MIN(K424,1*O358*input!BI45)))</f>
        <v>379.61655718705754</v>
      </c>
      <c r="M424" s="597" t="str">
        <f t="shared" si="23"/>
        <v>BF</v>
      </c>
      <c r="X424" s="73"/>
      <c r="Y424" s="73"/>
      <c r="Z424" s="73"/>
      <c r="AA424" s="73"/>
      <c r="AC424" s="73"/>
      <c r="AD424" s="73"/>
      <c r="AE424" s="143"/>
      <c r="AF424" s="143"/>
      <c r="AG424" s="143"/>
      <c r="AH424" s="143"/>
      <c r="AI424" s="143"/>
      <c r="AJ424" s="143"/>
      <c r="AK424" s="143"/>
      <c r="AL424" s="143"/>
      <c r="AM424" s="143"/>
      <c r="AN424" s="143"/>
      <c r="AO424" s="143"/>
      <c r="AP424" s="143"/>
      <c r="AQ424" s="143"/>
      <c r="AR424" s="143"/>
      <c r="AS424" s="143"/>
    </row>
    <row r="425" spans="1:45" ht="15" customHeight="1">
      <c r="A425" s="482" t="str">
        <f t="shared" si="24"/>
        <v>122j</v>
      </c>
      <c r="B425" s="1016" t="str">
        <f t="shared" si="25"/>
        <v>Negative</v>
      </c>
      <c r="C425" s="794" t="str">
        <f>IF(B425="Positive",IF(input!F46=2,"OF","BF"),"BF")</f>
        <v>BF</v>
      </c>
      <c r="D425" s="21">
        <f>input!G46/2/input!H46</f>
        <v>10</v>
      </c>
      <c r="E425" s="595">
        <f>0.38*SQRT(Es/input!BI46)</f>
        <v>8.9330845736509179</v>
      </c>
      <c r="F425" s="595">
        <f>0.56*SQRT(Es/input!BL46)</f>
        <v>15.73464163457246</v>
      </c>
      <c r="G425" s="598">
        <f>IF(D425&lt;=E425,1*O359*input!BI46,(1-(1-input!BL46/O359/input!BI46)*((D425-E425)/(F425-E425)))*1*O359*input!BI46)</f>
        <v>361.90129467755929</v>
      </c>
      <c r="H425" s="598">
        <f t="shared" si="26"/>
        <v>5000</v>
      </c>
      <c r="I425" s="596">
        <f t="shared" si="27"/>
        <v>4984.6757820998391</v>
      </c>
      <c r="J425" s="596">
        <f>+PI()*F204*SQRT(Es/input!BL46)</f>
        <v>18717.065858212143</v>
      </c>
      <c r="K425" s="596">
        <f t="shared" si="28"/>
        <v>3724.9796168827693</v>
      </c>
      <c r="L425" s="595">
        <f>IF(H425&lt;=I425,1*O359*input!BI46,IF(H425&lt;=J425,MIN(1*(1-(1-input!BL46/O359/input!BI46)*((H425-I425)/(J425-I425)))*1*O359*input!BI46,1*O359*input!BI46),MIN(K425,1*O359*input!BI46)))</f>
        <v>379.61655718705754</v>
      </c>
      <c r="M425" s="597" t="str">
        <f t="shared" si="23"/>
        <v>BF</v>
      </c>
      <c r="X425" s="73"/>
      <c r="Y425" s="73"/>
      <c r="Z425" s="73"/>
      <c r="AA425" s="73"/>
      <c r="AC425" s="73"/>
      <c r="AD425" s="73"/>
      <c r="AE425" s="143"/>
      <c r="AF425" s="143"/>
      <c r="AG425" s="143"/>
      <c r="AH425" s="143"/>
      <c r="AI425" s="143"/>
      <c r="AJ425" s="143"/>
      <c r="AK425" s="143"/>
      <c r="AL425" s="143"/>
      <c r="AM425" s="143"/>
      <c r="AN425" s="143"/>
      <c r="AO425" s="143"/>
      <c r="AP425" s="143"/>
      <c r="AQ425" s="143"/>
      <c r="AR425" s="143"/>
      <c r="AS425" s="143"/>
    </row>
    <row r="426" spans="1:45" ht="15" customHeight="1">
      <c r="A426" s="482" t="str">
        <f t="shared" si="24"/>
        <v>123i</v>
      </c>
      <c r="B426" s="1016" t="str">
        <f t="shared" si="25"/>
        <v>Negative</v>
      </c>
      <c r="C426" s="794" t="str">
        <f>IF(B426="Positive",IF(input!F47=2,"OF","BF"),"BF")</f>
        <v>BF</v>
      </c>
      <c r="D426" s="21">
        <f>input!G47/2/input!H47</f>
        <v>7.5</v>
      </c>
      <c r="E426" s="595">
        <f>0.38*SQRT(Es/input!BI47)</f>
        <v>8.9330845736509179</v>
      </c>
      <c r="F426" s="595">
        <f>0.56*SQRT(Es/input!BL47)</f>
        <v>15.73464163457246</v>
      </c>
      <c r="G426" s="598">
        <f>IF(D426&lt;=E426,1*O360*input!BI47,(1-(1-input!BL47/O360/input!BI47)*((D426-E426)/(F426-E426)))*1*O360*input!BI47)</f>
        <v>379.72812323033014</v>
      </c>
      <c r="H426" s="598">
        <f t="shared" si="26"/>
        <v>5000</v>
      </c>
      <c r="I426" s="596">
        <f t="shared" si="27"/>
        <v>3691.3411133095683</v>
      </c>
      <c r="J426" s="596">
        <f>+PI()*F205*SQRT(Es/input!BL47)</f>
        <v>13860.695809153727</v>
      </c>
      <c r="K426" s="596">
        <f t="shared" si="28"/>
        <v>2042.6824571028822</v>
      </c>
      <c r="L426" s="595">
        <f>IF(H426&lt;=I426,1*O360*input!BI47,IF(H426&lt;=J426,MIN(1*(1-(1-input!BL47/O360/input!BI47)*((H426-I426)/(J426-I426)))*1*O360*input!BI47,1*O360*input!BI47),MIN(K426,1*O360*input!BI47)))</f>
        <v>365.09284659937356</v>
      </c>
      <c r="M426" s="597" t="str">
        <f t="shared" si="23"/>
        <v>BF</v>
      </c>
      <c r="X426" s="73"/>
      <c r="Y426" s="73"/>
      <c r="Z426" s="73"/>
      <c r="AA426" s="73"/>
      <c r="AC426" s="73"/>
      <c r="AD426" s="73"/>
      <c r="AE426" s="143"/>
      <c r="AF426" s="143"/>
      <c r="AG426" s="143"/>
      <c r="AH426" s="143"/>
      <c r="AI426" s="143"/>
      <c r="AJ426" s="143"/>
      <c r="AK426" s="143"/>
      <c r="AL426" s="143"/>
      <c r="AM426" s="143"/>
      <c r="AN426" s="143"/>
      <c r="AO426" s="143"/>
      <c r="AP426" s="143"/>
      <c r="AQ426" s="143"/>
      <c r="AR426" s="143"/>
      <c r="AS426" s="143"/>
    </row>
    <row r="427" spans="1:45" ht="15" customHeight="1">
      <c r="A427" s="482" t="str">
        <f t="shared" si="24"/>
        <v>123j</v>
      </c>
      <c r="B427" s="1016" t="str">
        <f t="shared" si="25"/>
        <v>Negative</v>
      </c>
      <c r="C427" s="794" t="str">
        <f>IF(B427="Positive",IF(input!F48=2,"OF","BF"),"BF")</f>
        <v>BF</v>
      </c>
      <c r="D427" s="21">
        <f>input!G48/2/input!H48</f>
        <v>7.5</v>
      </c>
      <c r="E427" s="595">
        <f>0.38*SQRT(Es/input!BI48)</f>
        <v>8.9330845736509179</v>
      </c>
      <c r="F427" s="595">
        <f>0.56*SQRT(Es/input!BL48)</f>
        <v>15.73464163457246</v>
      </c>
      <c r="G427" s="598">
        <f>IF(D427&lt;=E427,1*O361*input!BI48,(1-(1-input!BL48/O361/input!BI48)*((D427-E427)/(F427-E427)))*1*O361*input!BI48)</f>
        <v>379.72812323033014</v>
      </c>
      <c r="H427" s="598">
        <f t="shared" si="26"/>
        <v>5000</v>
      </c>
      <c r="I427" s="596">
        <f t="shared" si="27"/>
        <v>3691.3411133095683</v>
      </c>
      <c r="J427" s="596">
        <f>+PI()*F206*SQRT(Es/input!BL48)</f>
        <v>13860.695809153727</v>
      </c>
      <c r="K427" s="596">
        <f t="shared" si="28"/>
        <v>2042.6824571028822</v>
      </c>
      <c r="L427" s="595">
        <f>IF(H427&lt;=I427,1*O361*input!BI48,IF(H427&lt;=J427,MIN(1*(1-(1-input!BL48/O361/input!BI48)*((H427-I427)/(J427-I427)))*1*O361*input!BI48,1*O361*input!BI48),MIN(K427,1*O361*input!BI48)))</f>
        <v>365.09284659937356</v>
      </c>
      <c r="M427" s="597" t="str">
        <f t="shared" si="23"/>
        <v>BF</v>
      </c>
      <c r="X427" s="73"/>
      <c r="Y427" s="73"/>
      <c r="Z427" s="73"/>
      <c r="AA427" s="73"/>
      <c r="AC427" s="73"/>
      <c r="AD427" s="73"/>
      <c r="AE427" s="143"/>
      <c r="AF427" s="143"/>
      <c r="AG427" s="143"/>
      <c r="AH427" s="143"/>
      <c r="AI427" s="143"/>
      <c r="AJ427" s="143"/>
      <c r="AK427" s="143"/>
      <c r="AL427" s="143"/>
      <c r="AM427" s="143"/>
      <c r="AN427" s="143"/>
      <c r="AO427" s="143"/>
      <c r="AP427" s="143"/>
      <c r="AQ427" s="143"/>
      <c r="AR427" s="143"/>
      <c r="AS427" s="143"/>
    </row>
    <row r="428" spans="1:45" ht="15" customHeight="1">
      <c r="A428" s="482" t="str">
        <f t="shared" si="24"/>
        <v>124i</v>
      </c>
      <c r="B428" s="1016" t="str">
        <f t="shared" si="25"/>
        <v>Negative</v>
      </c>
      <c r="C428" s="794" t="str">
        <f>IF(B428="Positive",IF(input!F49=2,"OF","BF"),"BF")</f>
        <v>BF</v>
      </c>
      <c r="D428" s="21">
        <f>input!G49/2/input!H49</f>
        <v>9.615384615384615</v>
      </c>
      <c r="E428" s="595">
        <f>0.38*SQRT(Es/input!BI49)</f>
        <v>8.9330845736509179</v>
      </c>
      <c r="F428" s="595">
        <f>0.56*SQRT(Es/input!BL49)</f>
        <v>15.73464163457246</v>
      </c>
      <c r="G428" s="598">
        <f>IF(D428&lt;=E428,1*O362*input!BI49,(1-(1-input!BL49/O362/input!BI49)*((D428-E428)/(F428-E428)))*1*O362*input!BI49)</f>
        <v>368.12540237212204</v>
      </c>
      <c r="H428" s="598">
        <f t="shared" si="26"/>
        <v>5000</v>
      </c>
      <c r="I428" s="596">
        <f t="shared" si="27"/>
        <v>2911.8623983676589</v>
      </c>
      <c r="J428" s="596">
        <f>+PI()*F207*SQRT(Es/input!BL49)</f>
        <v>10933.814487196152</v>
      </c>
      <c r="K428" s="596">
        <f t="shared" si="28"/>
        <v>1270.3618449249784</v>
      </c>
      <c r="L428" s="595">
        <f>IF(H428&lt;=I428,1*O362*input!BI49,IF(H428&lt;=J428,MIN(1*(1-(1-input!BL49/O362/input!BI49)*((H428-I428)/(J428-I428)))*1*O362*input!BI49,1*O362*input!BI49),MIN(K428,1*O362*input!BI49)))</f>
        <v>349.96481444680563</v>
      </c>
      <c r="M428" s="597" t="str">
        <f t="shared" si="23"/>
        <v>BF</v>
      </c>
      <c r="X428" s="73"/>
      <c r="Y428" s="73"/>
      <c r="Z428" s="73"/>
      <c r="AA428" s="73"/>
      <c r="AC428" s="73"/>
      <c r="AD428" s="73"/>
      <c r="AE428" s="143"/>
      <c r="AF428" s="143"/>
      <c r="AG428" s="143"/>
      <c r="AH428" s="143"/>
      <c r="AI428" s="143"/>
      <c r="AJ428" s="143"/>
      <c r="AK428" s="143"/>
      <c r="AL428" s="143"/>
      <c r="AM428" s="143"/>
      <c r="AN428" s="143"/>
      <c r="AO428" s="143"/>
      <c r="AP428" s="143"/>
      <c r="AQ428" s="143"/>
      <c r="AR428" s="143"/>
      <c r="AS428" s="143"/>
    </row>
    <row r="429" spans="1:45" ht="15" customHeight="1">
      <c r="A429" s="482" t="str">
        <f t="shared" si="24"/>
        <v>124j</v>
      </c>
      <c r="B429" s="1016" t="str">
        <f t="shared" si="25"/>
        <v>Negative</v>
      </c>
      <c r="C429" s="794" t="str">
        <f>IF(B429="Positive",IF(input!F50=2,"OF","BF"),"BF")</f>
        <v>BF</v>
      </c>
      <c r="D429" s="21">
        <f>input!G50/2/input!H50</f>
        <v>9.615384615384615</v>
      </c>
      <c r="E429" s="595">
        <f>0.38*SQRT(Es/input!BI50)</f>
        <v>8.9330845736509179</v>
      </c>
      <c r="F429" s="595">
        <f>0.56*SQRT(Es/input!BL50)</f>
        <v>15.73464163457246</v>
      </c>
      <c r="G429" s="598">
        <f>IF(D429&lt;=E429,1*O363*input!BI50,(1-(1-input!BL50/O363/input!BI50)*((D429-E429)/(F429-E429)))*1*O363*input!BI50)</f>
        <v>368.12540237212204</v>
      </c>
      <c r="H429" s="598">
        <f t="shared" si="26"/>
        <v>5000</v>
      </c>
      <c r="I429" s="596">
        <f t="shared" si="27"/>
        <v>2911.8623983676589</v>
      </c>
      <c r="J429" s="596">
        <f>+PI()*F208*SQRT(Es/input!BL50)</f>
        <v>10933.814487196152</v>
      </c>
      <c r="K429" s="596">
        <f t="shared" si="28"/>
        <v>1270.3618449249784</v>
      </c>
      <c r="L429" s="595">
        <f>IF(H429&lt;=I429,1*O363*input!BI50,IF(H429&lt;=J429,MIN(1*(1-(1-input!BL50/O363/input!BI50)*((H429-I429)/(J429-I429)))*1*O363*input!BI50,1*O363*input!BI50),MIN(K429,1*O363*input!BI50)))</f>
        <v>349.96481444680563</v>
      </c>
      <c r="M429" s="597" t="str">
        <f t="shared" si="23"/>
        <v>BF</v>
      </c>
      <c r="X429" s="73"/>
      <c r="Y429" s="73"/>
      <c r="Z429" s="73"/>
      <c r="AA429" s="73"/>
      <c r="AC429" s="73"/>
      <c r="AD429" s="73"/>
      <c r="AE429" s="143"/>
      <c r="AF429" s="143"/>
      <c r="AG429" s="143"/>
      <c r="AH429" s="143"/>
      <c r="AI429" s="143"/>
      <c r="AJ429" s="143"/>
      <c r="AK429" s="143"/>
      <c r="AL429" s="143"/>
      <c r="AM429" s="143"/>
      <c r="AN429" s="143"/>
      <c r="AO429" s="143"/>
      <c r="AP429" s="143"/>
      <c r="AQ429" s="143"/>
      <c r="AR429" s="143"/>
      <c r="AS429" s="143"/>
    </row>
    <row r="430" spans="1:45" ht="15" customHeight="1">
      <c r="A430" s="971" t="str">
        <f t="shared" si="24"/>
        <v>125i</v>
      </c>
      <c r="B430" s="1017" t="str">
        <f t="shared" si="25"/>
        <v>Negative</v>
      </c>
      <c r="C430" s="1006" t="str">
        <f>IF(B430="Positive",IF(input!F51=2,"OF","BF"),"BF")</f>
        <v>BF</v>
      </c>
      <c r="D430" s="976">
        <f>input!G51/2/input!H51</f>
        <v>11.363636363636363</v>
      </c>
      <c r="E430" s="595">
        <f>0.38*SQRT(Es/input!BI51)</f>
        <v>8.9330845736509179</v>
      </c>
      <c r="F430" s="595">
        <f>0.56*SQRT(Es/input!BL51)</f>
        <v>15.73464163457246</v>
      </c>
      <c r="G430" s="598">
        <f>IF(D430&lt;=E430,1*O364*input!BI51,(1-(1-input!BL51/O364/input!BI51)*((D430-E430)/(F430-E430)))*1*O364*input!BI51)</f>
        <v>338.9137360414407</v>
      </c>
      <c r="H430" s="1007">
        <f t="shared" si="26"/>
        <v>5000</v>
      </c>
      <c r="I430" s="1008">
        <f t="shared" si="27"/>
        <v>2824.96007150791</v>
      </c>
      <c r="J430" s="596">
        <f>+PI()*F209*SQRT(Es/input!BL51)</f>
        <v>10607.503078757751</v>
      </c>
      <c r="K430" s="596">
        <f t="shared" si="28"/>
        <v>1195.4968869105726</v>
      </c>
      <c r="L430" s="595">
        <f>IF(H430&lt;=I430,1*O364*input!BI51,IF(H430&lt;=J430,MIN(1*(1-(1-input!BL51/O364/input!BI51)*((H430-I430)/(J430-I430)))*1*O364*input!BI51,1*O364*input!BI51),MIN(K430,1*O364*input!BI51)))</f>
        <v>347.74935951498446</v>
      </c>
      <c r="M430" s="597" t="str">
        <f t="shared" si="23"/>
        <v>BF</v>
      </c>
      <c r="X430" s="73"/>
      <c r="Y430" s="73"/>
      <c r="Z430" s="73"/>
      <c r="AA430" s="73"/>
      <c r="AC430" s="73"/>
      <c r="AD430" s="73"/>
      <c r="AE430" s="143"/>
      <c r="AF430" s="143"/>
      <c r="AG430" s="143"/>
      <c r="AH430" s="143"/>
      <c r="AI430" s="143"/>
      <c r="AJ430" s="143"/>
      <c r="AK430" s="143"/>
      <c r="AL430" s="143"/>
      <c r="AM430" s="143"/>
      <c r="AN430" s="143"/>
      <c r="AO430" s="143"/>
      <c r="AP430" s="143"/>
      <c r="AQ430" s="143"/>
      <c r="AR430" s="143"/>
      <c r="AS430" s="143"/>
    </row>
    <row r="431" spans="1:45" ht="15" customHeight="1">
      <c r="A431" s="979" t="str">
        <f t="shared" si="24"/>
        <v>125j</v>
      </c>
      <c r="B431" s="1018" t="str">
        <f t="shared" si="25"/>
        <v>Negative</v>
      </c>
      <c r="C431" s="1009" t="str">
        <f>IF(B431="Positive",IF(input!F52=2,"OF","BF"),"BF")</f>
        <v>BF</v>
      </c>
      <c r="D431" s="984">
        <f>input!G52/2/input!H52</f>
        <v>11.363636363636363</v>
      </c>
      <c r="E431" s="595">
        <f>0.38*SQRT(Es/input!BI52)</f>
        <v>8.9330845736509179</v>
      </c>
      <c r="F431" s="595">
        <f>0.56*SQRT(Es/input!BL52)</f>
        <v>15.73464163457246</v>
      </c>
      <c r="G431" s="598">
        <f>IF(D431&lt;=E431,1*O365*input!BI52,(1-(1-input!BL52/O365/input!BI52)*((D431-E431)/(F431-E431)))*1*O365*input!BI52)</f>
        <v>338.9137360414407</v>
      </c>
      <c r="H431" s="1010">
        <f t="shared" si="26"/>
        <v>5000</v>
      </c>
      <c r="I431" s="1011">
        <f t="shared" si="27"/>
        <v>2824.96007150791</v>
      </c>
      <c r="J431" s="596">
        <f>+PI()*F210*SQRT(Es/input!BL52)</f>
        <v>10607.503078757751</v>
      </c>
      <c r="K431" s="596">
        <f t="shared" si="28"/>
        <v>1195.4968869105726</v>
      </c>
      <c r="L431" s="595">
        <f>IF(H431&lt;=I431,1*O365*input!BI52,IF(H431&lt;=J431,MIN(1*(1-(1-input!BL52/O365/input!BI52)*((H431-I431)/(J431-I431)))*1*O365*input!BI52,1*O365*input!BI52),MIN(K431,1*O365*input!BI52)))</f>
        <v>347.74935951498446</v>
      </c>
      <c r="M431" s="597" t="str">
        <f t="shared" si="23"/>
        <v>BF</v>
      </c>
      <c r="X431" s="73"/>
      <c r="Y431" s="73"/>
      <c r="Z431" s="73"/>
      <c r="AA431" s="73"/>
      <c r="AC431" s="73"/>
      <c r="AD431" s="73"/>
      <c r="AE431" s="143"/>
      <c r="AF431" s="143"/>
      <c r="AG431" s="143"/>
      <c r="AH431" s="143"/>
      <c r="AI431" s="143"/>
      <c r="AJ431" s="143"/>
      <c r="AK431" s="143"/>
      <c r="AL431" s="143"/>
      <c r="AM431" s="143"/>
      <c r="AN431" s="143"/>
      <c r="AO431" s="143"/>
      <c r="AP431" s="143"/>
      <c r="AQ431" s="143"/>
      <c r="AR431" s="143"/>
      <c r="AS431" s="143"/>
    </row>
    <row r="432" spans="1:45" ht="15" customHeight="1">
      <c r="A432" s="482" t="str">
        <f t="shared" si="24"/>
        <v>126i</v>
      </c>
      <c r="B432" s="1016" t="str">
        <f t="shared" si="25"/>
        <v>Negative</v>
      </c>
      <c r="C432" s="794" t="str">
        <f>IF(B432="Positive",IF(input!F53=2,"OF","BF"),"BF")</f>
        <v>BF</v>
      </c>
      <c r="D432" s="21">
        <f>input!G53/2/input!H53</f>
        <v>11.363636363636363</v>
      </c>
      <c r="E432" s="595">
        <f>0.38*SQRT(Es/input!BI53)</f>
        <v>8.9330845736509179</v>
      </c>
      <c r="F432" s="595">
        <f>0.56*SQRT(Es/input!BL53)</f>
        <v>15.73464163457246</v>
      </c>
      <c r="G432" s="598">
        <f>IF(D432&lt;=E432,1*O366*input!BI53,(1-(1-input!BL53/O366/input!BI53)*((D432-E432)/(F432-E432)))*1*O366*input!BI53)</f>
        <v>338.9137360414407</v>
      </c>
      <c r="H432" s="598">
        <f t="shared" si="26"/>
        <v>5000</v>
      </c>
      <c r="I432" s="596">
        <f t="shared" si="27"/>
        <v>2824.96007150791</v>
      </c>
      <c r="J432" s="596">
        <f>+PI()*F211*SQRT(Es/input!BL53)</f>
        <v>10607.503078757751</v>
      </c>
      <c r="K432" s="596">
        <f t="shared" si="28"/>
        <v>1195.4968869105726</v>
      </c>
      <c r="L432" s="595">
        <f>IF(H432&lt;=I432,1*O366*input!BI53,IF(H432&lt;=J432,MIN(1*(1-(1-input!BL53/O366/input!BI53)*((H432-I432)/(J432-I432)))*1*O366*input!BI53,1*O366*input!BI53),MIN(K432,1*O366*input!BI53)))</f>
        <v>347.74935951498446</v>
      </c>
      <c r="M432" s="597" t="str">
        <f t="shared" si="23"/>
        <v>BF</v>
      </c>
      <c r="X432" s="73"/>
      <c r="Y432" s="73"/>
      <c r="Z432" s="73"/>
      <c r="AA432" s="73"/>
      <c r="AC432" s="73"/>
      <c r="AD432" s="73"/>
      <c r="AE432" s="143"/>
      <c r="AF432" s="143"/>
      <c r="AG432" s="143"/>
      <c r="AH432" s="143"/>
      <c r="AI432" s="143"/>
      <c r="AJ432" s="143"/>
      <c r="AK432" s="143"/>
      <c r="AL432" s="143"/>
      <c r="AM432" s="143"/>
      <c r="AN432" s="143"/>
      <c r="AO432" s="143"/>
      <c r="AP432" s="143"/>
      <c r="AQ432" s="143"/>
      <c r="AR432" s="143"/>
      <c r="AS432" s="143"/>
    </row>
    <row r="433" spans="1:45" ht="15" customHeight="1">
      <c r="A433" s="482" t="str">
        <f t="shared" si="24"/>
        <v>126j</v>
      </c>
      <c r="B433" s="1016" t="str">
        <f t="shared" si="25"/>
        <v>Negative</v>
      </c>
      <c r="C433" s="794" t="str">
        <f>IF(B433="Positive",IF(input!F54=2,"OF","BF"),"BF")</f>
        <v>BF</v>
      </c>
      <c r="D433" s="21">
        <f>input!G54/2/input!H54</f>
        <v>11.363636363636363</v>
      </c>
      <c r="E433" s="595">
        <f>0.38*SQRT(Es/input!BI54)</f>
        <v>8.9330845736509179</v>
      </c>
      <c r="F433" s="595">
        <f>0.56*SQRT(Es/input!BL54)</f>
        <v>15.73464163457246</v>
      </c>
      <c r="G433" s="598">
        <f>IF(D433&lt;=E433,1*O367*input!BI54,(1-(1-input!BL54/O367/input!BI54)*((D433-E433)/(F433-E433)))*1*O367*input!BI54)</f>
        <v>338.9137360414407</v>
      </c>
      <c r="H433" s="598">
        <f t="shared" si="26"/>
        <v>5000</v>
      </c>
      <c r="I433" s="596">
        <f t="shared" si="27"/>
        <v>2824.96007150791</v>
      </c>
      <c r="J433" s="596">
        <f>+PI()*F212*SQRT(Es/input!BL54)</f>
        <v>10607.503078757751</v>
      </c>
      <c r="K433" s="596">
        <f t="shared" si="28"/>
        <v>1195.4968869105726</v>
      </c>
      <c r="L433" s="595">
        <f>IF(H433&lt;=I433,1*O367*input!BI54,IF(H433&lt;=J433,MIN(1*(1-(1-input!BL54/O367/input!BI54)*((H433-I433)/(J433-I433)))*1*O367*input!BI54,1*O367*input!BI54),MIN(K433,1*O367*input!BI54)))</f>
        <v>347.74935951498446</v>
      </c>
      <c r="M433" s="597" t="str">
        <f t="shared" si="23"/>
        <v>BF</v>
      </c>
      <c r="X433" s="73"/>
      <c r="Y433" s="73"/>
      <c r="Z433" s="73"/>
      <c r="AA433" s="73"/>
      <c r="AC433" s="73"/>
      <c r="AD433" s="73"/>
      <c r="AE433" s="143"/>
      <c r="AF433" s="143"/>
      <c r="AG433" s="143"/>
      <c r="AH433" s="143"/>
      <c r="AI433" s="143"/>
      <c r="AJ433" s="143"/>
      <c r="AK433" s="143"/>
      <c r="AL433" s="143"/>
      <c r="AM433" s="143"/>
      <c r="AN433" s="143"/>
      <c r="AO433" s="143"/>
      <c r="AP433" s="143"/>
      <c r="AQ433" s="143"/>
      <c r="AR433" s="143"/>
      <c r="AS433" s="143"/>
    </row>
    <row r="434" spans="1:45" ht="15" customHeight="1">
      <c r="A434" s="482" t="str">
        <f t="shared" si="24"/>
        <v>127i</v>
      </c>
      <c r="B434" s="1016" t="str">
        <f t="shared" si="25"/>
        <v>Negative</v>
      </c>
      <c r="C434" s="794" t="str">
        <f>IF(B434="Positive",IF(input!F55=2,"OF","BF"),"BF")</f>
        <v>BF</v>
      </c>
      <c r="D434" s="21">
        <f>input!G55/2/input!H55</f>
        <v>11.363636363636363</v>
      </c>
      <c r="E434" s="595">
        <f>0.38*SQRT(Es/input!BI55)</f>
        <v>8.9330845736509179</v>
      </c>
      <c r="F434" s="595">
        <f>0.56*SQRT(Es/input!BL55)</f>
        <v>15.73464163457246</v>
      </c>
      <c r="G434" s="598">
        <f>IF(D434&lt;=E434,1*O368*input!BI55,(1-(1-input!BL55/O368/input!BI55)*((D434-E434)/(F434-E434)))*1*O368*input!BI55)</f>
        <v>338.94256045395724</v>
      </c>
      <c r="H434" s="598">
        <f t="shared" si="26"/>
        <v>5000</v>
      </c>
      <c r="I434" s="596">
        <f t="shared" si="27"/>
        <v>2767.218059464471</v>
      </c>
      <c r="J434" s="596">
        <f>+PI()*F213*SQRT(Es/input!BL55)</f>
        <v>10390.686360991716</v>
      </c>
      <c r="K434" s="596">
        <f t="shared" si="28"/>
        <v>1147.2601795471421</v>
      </c>
      <c r="L434" s="595">
        <f>IF(H434&lt;=I434,1*O368*input!BI55,IF(H434&lt;=J434,MIN(1*(1-(1-input!BL55/O368/input!BI55)*((H434-I434)/(J434-I434)))*1*O368*input!BI55,1*O368*input!BI55),MIN(K434,1*O368*input!BI55)))</f>
        <v>346.26006099183235</v>
      </c>
      <c r="M434" s="597" t="str">
        <f t="shared" si="23"/>
        <v>BF</v>
      </c>
      <c r="X434" s="73"/>
      <c r="Y434" s="73"/>
      <c r="Z434" s="73"/>
      <c r="AA434" s="73"/>
      <c r="AC434" s="73"/>
      <c r="AD434" s="73"/>
      <c r="AE434" s="143"/>
      <c r="AF434" s="143"/>
      <c r="AG434" s="143"/>
      <c r="AH434" s="143"/>
      <c r="AI434" s="143"/>
      <c r="AJ434" s="143"/>
      <c r="AK434" s="143"/>
      <c r="AL434" s="143"/>
      <c r="AM434" s="143"/>
      <c r="AN434" s="143"/>
      <c r="AO434" s="143"/>
      <c r="AP434" s="143"/>
      <c r="AQ434" s="143"/>
      <c r="AR434" s="143"/>
      <c r="AS434" s="143"/>
    </row>
    <row r="435" spans="1:45" ht="15" customHeight="1">
      <c r="A435" s="482" t="str">
        <f t="shared" si="24"/>
        <v>127j</v>
      </c>
      <c r="B435" s="1016" t="str">
        <f t="shared" si="25"/>
        <v>Positive</v>
      </c>
      <c r="C435" s="794" t="str">
        <f>IF(B435="Positive",IF(input!F56=2,"OF","BF"),"BF")</f>
        <v>OF</v>
      </c>
      <c r="D435" s="21">
        <f>input!G56/2/input!H56</f>
        <v>11.363636363636363</v>
      </c>
      <c r="E435" s="595">
        <f>0.38*SQRT(Es/input!BI56)</f>
        <v>8.9330845736509179</v>
      </c>
      <c r="F435" s="595">
        <f>0.56*SQRT(Es/input!BL56)</f>
        <v>15.73464163457246</v>
      </c>
      <c r="G435" s="598">
        <f>IF(D435&lt;=E435,1*O369*input!BI56,(1-(1-input!BL56/O369/input!BI56)*((D435-E435)/(F435-E435)))*1*O369*input!BI56)</f>
        <v>338.94256045395724</v>
      </c>
      <c r="H435" s="598">
        <f t="shared" si="26"/>
        <v>5000</v>
      </c>
      <c r="I435" s="596">
        <f t="shared" si="27"/>
        <v>2749.828652377063</v>
      </c>
      <c r="J435" s="596">
        <f>+PI()*F214*SQRT(Es/input!BL56)</f>
        <v>10325.390503865143</v>
      </c>
      <c r="K435" s="596">
        <f t="shared" si="28"/>
        <v>1132.8865453270403</v>
      </c>
      <c r="L435" s="595">
        <f>IF(H435&lt;=I435,1*O369*input!BI56,IF(H435&lt;=J435,MIN(1*(1-(1-input!BL56/O369/input!BI56)*((H435-I435)/(J435-I435)))*1*O369*input!BI56,1*O369*input!BI56),MIN(K435,1*O369*input!BI56)))</f>
        <v>345.7892955583273</v>
      </c>
      <c r="M435" s="597">
        <f t="shared" si="23"/>
        <v>338.94256045395724</v>
      </c>
      <c r="X435" s="73"/>
      <c r="Y435" s="73"/>
      <c r="Z435" s="73"/>
      <c r="AA435" s="73"/>
      <c r="AC435" s="73"/>
      <c r="AD435" s="73"/>
      <c r="AE435" s="143"/>
      <c r="AF435" s="143"/>
      <c r="AG435" s="143"/>
      <c r="AH435" s="143"/>
      <c r="AI435" s="143"/>
      <c r="AJ435" s="143"/>
      <c r="AK435" s="143"/>
      <c r="AL435" s="143"/>
      <c r="AM435" s="143"/>
      <c r="AN435" s="143"/>
      <c r="AO435" s="143"/>
      <c r="AP435" s="143"/>
      <c r="AQ435" s="143"/>
      <c r="AR435" s="143"/>
      <c r="AS435" s="143"/>
    </row>
    <row r="436" spans="1:45" ht="15" customHeight="1">
      <c r="A436" s="482" t="str">
        <f t="shared" si="24"/>
        <v>128i</v>
      </c>
      <c r="B436" s="1016" t="str">
        <f t="shared" si="25"/>
        <v>Positive</v>
      </c>
      <c r="C436" s="794" t="str">
        <f>IF(B436="Positive",IF(input!F57=2,"OF","BF"),"BF")</f>
        <v>OF</v>
      </c>
      <c r="D436" s="21">
        <f>input!G57/2/input!H57</f>
        <v>11.363636363636363</v>
      </c>
      <c r="E436" s="595">
        <f>0.38*SQRT(Es/input!BI57)</f>
        <v>8.9330845736509179</v>
      </c>
      <c r="F436" s="595">
        <f>0.56*SQRT(Es/input!BL57)</f>
        <v>15.73464163457246</v>
      </c>
      <c r="G436" s="598">
        <f>IF(D436&lt;=E436,1*O370*input!BI57,(1-(1-input!BL57/O370/input!BI57)*((D436-E436)/(F436-E436)))*1*O370*input!BI57)</f>
        <v>338.94256045395724</v>
      </c>
      <c r="H436" s="598">
        <f t="shared" si="26"/>
        <v>5000</v>
      </c>
      <c r="I436" s="596">
        <f t="shared" si="27"/>
        <v>2749.828652377063</v>
      </c>
      <c r="J436" s="596">
        <f>+PI()*F215*SQRT(Es/input!BL57)</f>
        <v>10325.390503865143</v>
      </c>
      <c r="K436" s="596">
        <f t="shared" si="28"/>
        <v>1132.8865453270403</v>
      </c>
      <c r="L436" s="595">
        <f>IF(H436&lt;=I436,1*O370*input!BI57,IF(H436&lt;=J436,MIN(1*(1-(1-input!BL57/O370/input!BI57)*((H436-I436)/(J436-I436)))*1*O370*input!BI57,1*O370*input!BI57),MIN(K436,1*O370*input!BI57)))</f>
        <v>345.7892955583273</v>
      </c>
      <c r="M436" s="597">
        <f t="shared" si="23"/>
        <v>338.94256045395724</v>
      </c>
      <c r="X436" s="73"/>
      <c r="Y436" s="73"/>
      <c r="Z436" s="73"/>
      <c r="AA436" s="73"/>
      <c r="AC436" s="73"/>
      <c r="AD436" s="73"/>
      <c r="AE436" s="143"/>
      <c r="AF436" s="143"/>
      <c r="AG436" s="143"/>
      <c r="AH436" s="143"/>
      <c r="AI436" s="143"/>
      <c r="AJ436" s="143"/>
      <c r="AK436" s="143"/>
      <c r="AL436" s="143"/>
      <c r="AM436" s="143"/>
      <c r="AN436" s="143"/>
      <c r="AO436" s="143"/>
      <c r="AP436" s="143"/>
      <c r="AQ436" s="143"/>
      <c r="AR436" s="143"/>
      <c r="AS436" s="143"/>
    </row>
    <row r="437" spans="1:45" ht="15" customHeight="1">
      <c r="A437" s="482" t="str">
        <f t="shared" si="24"/>
        <v>128j</v>
      </c>
      <c r="B437" s="1016" t="str">
        <f t="shared" si="25"/>
        <v>Positive</v>
      </c>
      <c r="C437" s="794" t="str">
        <f>IF(B437="Positive",IF(input!F58=2,"OF","BF"),"BF")</f>
        <v>OF</v>
      </c>
      <c r="D437" s="21">
        <f>input!G58/2/input!H58</f>
        <v>11.363636363636363</v>
      </c>
      <c r="E437" s="595">
        <f>0.38*SQRT(Es/input!BI58)</f>
        <v>8.9330845736509179</v>
      </c>
      <c r="F437" s="595">
        <f>0.56*SQRT(Es/input!BL58)</f>
        <v>15.73464163457246</v>
      </c>
      <c r="G437" s="598">
        <f>IF(D437&lt;=E437,1*O371*input!BI58,(1-(1-input!BL58/O371/input!BI58)*((D437-E437)/(F437-E437)))*1*O371*input!BI58)</f>
        <v>338.94256045395724</v>
      </c>
      <c r="H437" s="598">
        <f t="shared" si="26"/>
        <v>5000</v>
      </c>
      <c r="I437" s="596">
        <f t="shared" si="27"/>
        <v>2749.828652377063</v>
      </c>
      <c r="J437" s="596">
        <f>+PI()*F216*SQRT(Es/input!BL58)</f>
        <v>10325.390503865143</v>
      </c>
      <c r="K437" s="596">
        <f t="shared" si="28"/>
        <v>1132.8865453270403</v>
      </c>
      <c r="L437" s="595">
        <f>IF(H437&lt;=I437,1*O371*input!BI58,IF(H437&lt;=J437,MIN(1*(1-(1-input!BL58/O371/input!BI58)*((H437-I437)/(J437-I437)))*1*O371*input!BI58,1*O371*input!BI58),MIN(K437,1*O371*input!BI58)))</f>
        <v>345.7892955583273</v>
      </c>
      <c r="M437" s="597">
        <f t="shared" si="23"/>
        <v>338.94256045395724</v>
      </c>
      <c r="X437" s="73"/>
      <c r="Y437" s="73"/>
      <c r="Z437" s="73"/>
      <c r="AA437" s="73"/>
      <c r="AC437" s="73"/>
      <c r="AD437" s="73"/>
      <c r="AE437" s="143"/>
      <c r="AF437" s="143"/>
      <c r="AG437" s="143"/>
      <c r="AH437" s="143"/>
      <c r="AI437" s="143"/>
      <c r="AJ437" s="143"/>
      <c r="AK437" s="143"/>
      <c r="AL437" s="143"/>
      <c r="AM437" s="143"/>
      <c r="AN437" s="143"/>
      <c r="AO437" s="143"/>
      <c r="AP437" s="143"/>
      <c r="AQ437" s="143"/>
      <c r="AR437" s="143"/>
      <c r="AS437" s="143"/>
    </row>
    <row r="438" spans="1:45" ht="15" customHeight="1">
      <c r="A438" s="482" t="str">
        <f t="shared" si="24"/>
        <v>129i</v>
      </c>
      <c r="B438" s="1016" t="str">
        <f t="shared" si="25"/>
        <v>Positive</v>
      </c>
      <c r="C438" s="794" t="str">
        <f>IF(B438="Positive",IF(input!F59=2,"OF","BF"),"BF")</f>
        <v>OF</v>
      </c>
      <c r="D438" s="21">
        <f>input!G59/2/input!H59</f>
        <v>11.363636363636363</v>
      </c>
      <c r="E438" s="595">
        <f>0.38*SQRT(Es/input!BI59)</f>
        <v>8.9330845736509179</v>
      </c>
      <c r="F438" s="595">
        <f>0.56*SQRT(Es/input!BL59)</f>
        <v>15.73464163457246</v>
      </c>
      <c r="G438" s="598">
        <f>IF(D438&lt;=E438,1*O372*input!BI59,(1-(1-input!BL59/O372/input!BI59)*((D438-E438)/(F438-E438)))*1*O372*input!BI59)</f>
        <v>338.94256045395724</v>
      </c>
      <c r="H438" s="598">
        <f t="shared" si="26"/>
        <v>5000</v>
      </c>
      <c r="I438" s="596">
        <f t="shared" si="27"/>
        <v>2749.828652377063</v>
      </c>
      <c r="J438" s="596">
        <f>+PI()*F217*SQRT(Es/input!BL59)</f>
        <v>10325.390503865143</v>
      </c>
      <c r="K438" s="596">
        <f t="shared" si="28"/>
        <v>1132.8865453270403</v>
      </c>
      <c r="L438" s="595">
        <f>IF(H438&lt;=I438,1*O372*input!BI59,IF(H438&lt;=J438,MIN(1*(1-(1-input!BL59/O372/input!BI59)*((H438-I438)/(J438-I438)))*1*O372*input!BI59,1*O372*input!BI59),MIN(K438,1*O372*input!BI59)))</f>
        <v>345.7892955583273</v>
      </c>
      <c r="M438" s="597">
        <f t="shared" si="23"/>
        <v>338.94256045395724</v>
      </c>
      <c r="X438" s="73"/>
      <c r="Y438" s="73"/>
      <c r="Z438" s="73"/>
      <c r="AA438" s="73"/>
      <c r="AC438" s="73"/>
      <c r="AD438" s="73"/>
      <c r="AE438" s="143"/>
      <c r="AF438" s="143"/>
      <c r="AG438" s="143"/>
      <c r="AH438" s="143"/>
      <c r="AI438" s="143"/>
      <c r="AJ438" s="143"/>
      <c r="AK438" s="143"/>
      <c r="AL438" s="143"/>
      <c r="AM438" s="143"/>
      <c r="AN438" s="143"/>
      <c r="AO438" s="143"/>
      <c r="AP438" s="143"/>
      <c r="AQ438" s="143"/>
      <c r="AR438" s="143"/>
      <c r="AS438" s="143"/>
    </row>
    <row r="439" spans="1:45" ht="15" customHeight="1">
      <c r="A439" s="482" t="str">
        <f t="shared" si="24"/>
        <v>129j</v>
      </c>
      <c r="B439" s="1016" t="str">
        <f t="shared" si="25"/>
        <v>Positive</v>
      </c>
      <c r="C439" s="794" t="str">
        <f>IF(B439="Positive",IF(input!F60=2,"OF","BF"),"BF")</f>
        <v>OF</v>
      </c>
      <c r="D439" s="21">
        <f>input!G60/2/input!H60</f>
        <v>11.363636363636363</v>
      </c>
      <c r="E439" s="595">
        <f>0.38*SQRT(Es/input!BI60)</f>
        <v>8.9330845736509179</v>
      </c>
      <c r="F439" s="595">
        <f>0.56*SQRT(Es/input!BL60)</f>
        <v>15.73464163457246</v>
      </c>
      <c r="G439" s="598">
        <f>IF(D439&lt;=E439,1*O373*input!BI60,(1-(1-input!BL60/O373/input!BI60)*((D439-E439)/(F439-E439)))*1*O373*input!BI60)</f>
        <v>338.94256045395724</v>
      </c>
      <c r="H439" s="598">
        <f t="shared" si="26"/>
        <v>5000</v>
      </c>
      <c r="I439" s="596">
        <f t="shared" si="27"/>
        <v>2749.828652377063</v>
      </c>
      <c r="J439" s="596">
        <f>+PI()*F218*SQRT(Es/input!BL60)</f>
        <v>10325.390503865143</v>
      </c>
      <c r="K439" s="596">
        <f t="shared" si="28"/>
        <v>1132.8865453270403</v>
      </c>
      <c r="L439" s="595">
        <f>IF(H439&lt;=I439,1*O373*input!BI60,IF(H439&lt;=J439,MIN(1*(1-(1-input!BL60/O373/input!BI60)*((H439-I439)/(J439-I439)))*1*O373*input!BI60,1*O373*input!BI60),MIN(K439,1*O373*input!BI60)))</f>
        <v>345.7892955583273</v>
      </c>
      <c r="M439" s="597">
        <f t="shared" si="23"/>
        <v>338.94256045395724</v>
      </c>
      <c r="X439" s="73"/>
      <c r="Y439" s="73"/>
      <c r="Z439" s="73"/>
      <c r="AA439" s="73"/>
      <c r="AC439" s="73"/>
      <c r="AD439" s="73"/>
      <c r="AE439" s="143"/>
      <c r="AF439" s="143"/>
      <c r="AG439" s="143"/>
      <c r="AH439" s="143"/>
      <c r="AI439" s="143"/>
      <c r="AJ439" s="143"/>
      <c r="AK439" s="143"/>
      <c r="AL439" s="143"/>
      <c r="AM439" s="143"/>
      <c r="AN439" s="143"/>
      <c r="AO439" s="143"/>
      <c r="AP439" s="143"/>
      <c r="AQ439" s="143"/>
      <c r="AR439" s="143"/>
      <c r="AS439" s="143"/>
    </row>
    <row r="440" spans="1:45" ht="15" customHeight="1">
      <c r="A440" s="482" t="str">
        <f t="shared" si="24"/>
        <v>130i</v>
      </c>
      <c r="B440" s="1016" t="str">
        <f t="shared" si="25"/>
        <v>Positive</v>
      </c>
      <c r="C440" s="794" t="str">
        <f>IF(B440="Positive",IF(input!F61=2,"OF","BF"),"BF")</f>
        <v>OF</v>
      </c>
      <c r="D440" s="21">
        <f>input!G61/2/input!H61</f>
        <v>11.363636363636363</v>
      </c>
      <c r="E440" s="595">
        <f>0.38*SQRT(Es/input!BI61)</f>
        <v>8.9330845736509179</v>
      </c>
      <c r="F440" s="595">
        <f>0.56*SQRT(Es/input!BL61)</f>
        <v>15.73464163457246</v>
      </c>
      <c r="G440" s="598">
        <f>IF(D440&lt;=E440,1*O374*input!BI61,(1-(1-input!BL61/O374/input!BI61)*((D440-E440)/(F440-E440)))*1*O374*input!BI61)</f>
        <v>338.96081165596377</v>
      </c>
      <c r="H440" s="598">
        <f t="shared" si="26"/>
        <v>5000</v>
      </c>
      <c r="I440" s="596">
        <f t="shared" si="27"/>
        <v>2783.9262099302573</v>
      </c>
      <c r="J440" s="596">
        <f>+PI()*F219*SQRT(Es/input!BL61)</f>
        <v>10453.424153038302</v>
      </c>
      <c r="K440" s="596">
        <f t="shared" si="28"/>
        <v>1161.2429540103844</v>
      </c>
      <c r="L440" s="595">
        <f>IF(H440&lt;=I440,1*O374*input!BI61,IF(H440&lt;=J440,MIN(1*(1-(1-input!BL61/O374/input!BI61)*((H440-I440)/(J440-I440)))*1*O374*input!BI61,1*O374*input!BI61),MIN(K440,1*O374*input!BI61)))</f>
        <v>346.72703734813683</v>
      </c>
      <c r="M440" s="597">
        <f t="shared" si="23"/>
        <v>338.96081165596377</v>
      </c>
      <c r="X440" s="73"/>
      <c r="Y440" s="73"/>
      <c r="Z440" s="73"/>
      <c r="AA440" s="73"/>
      <c r="AC440" s="73"/>
      <c r="AD440" s="73"/>
      <c r="AE440" s="143"/>
      <c r="AF440" s="143"/>
      <c r="AG440" s="143"/>
      <c r="AH440" s="143"/>
      <c r="AI440" s="143"/>
      <c r="AJ440" s="143"/>
      <c r="AK440" s="143"/>
      <c r="AL440" s="143"/>
      <c r="AM440" s="143"/>
      <c r="AN440" s="143"/>
      <c r="AO440" s="143"/>
      <c r="AP440" s="143"/>
      <c r="AQ440" s="143"/>
      <c r="AR440" s="143"/>
      <c r="AS440" s="143"/>
    </row>
    <row r="441" spans="1:45" ht="15" customHeight="1">
      <c r="A441" s="482" t="str">
        <f t="shared" si="24"/>
        <v>130j</v>
      </c>
      <c r="B441" s="1016" t="str">
        <f t="shared" si="25"/>
        <v>Negative</v>
      </c>
      <c r="C441" s="794" t="str">
        <f>IF(B441="Positive",IF(input!F62=2,"OF","BF"),"BF")</f>
        <v>BF</v>
      </c>
      <c r="D441" s="21">
        <f>input!G62/2/input!H62</f>
        <v>11.363636363636363</v>
      </c>
      <c r="E441" s="595">
        <f>0.38*SQRT(Es/input!BI62)</f>
        <v>8.9330845736509179</v>
      </c>
      <c r="F441" s="595">
        <f>0.56*SQRT(Es/input!BL62)</f>
        <v>15.73464163457246</v>
      </c>
      <c r="G441" s="598">
        <f>IF(D441&lt;=E441,1*O375*input!BI62,(1-(1-input!BL62/O375/input!BI62)*((D441-E441)/(F441-E441)))*1*O375*input!BI62)</f>
        <v>338.96081165596377</v>
      </c>
      <c r="H441" s="598">
        <f t="shared" si="26"/>
        <v>5000</v>
      </c>
      <c r="I441" s="596">
        <f t="shared" si="27"/>
        <v>2801.1681288427885</v>
      </c>
      <c r="J441" s="596">
        <f>+PI()*F220*SQRT(Es/input!BL62)</f>
        <v>10518.166203658064</v>
      </c>
      <c r="K441" s="596">
        <f t="shared" si="28"/>
        <v>1175.6715397279008</v>
      </c>
      <c r="L441" s="595">
        <f>IF(H441&lt;=I441,1*O375*input!BI62,IF(H441&lt;=J441,MIN(1*(1-(1-input!BL62/O375/input!BI62)*((H441-I441)/(J441-I441)))*1*O375*input!BI62,1*O375*input!BI62),MIN(K441,1*O375*input!BI62)))</f>
        <v>347.1826189353385</v>
      </c>
      <c r="M441" s="597" t="str">
        <f t="shared" si="23"/>
        <v>BF</v>
      </c>
      <c r="X441" s="73"/>
      <c r="Y441" s="73"/>
      <c r="Z441" s="73"/>
      <c r="AA441" s="73"/>
      <c r="AC441" s="73"/>
      <c r="AD441" s="73"/>
      <c r="AE441" s="143"/>
      <c r="AF441" s="143"/>
      <c r="AG441" s="143"/>
      <c r="AH441" s="143"/>
      <c r="AI441" s="143"/>
      <c r="AJ441" s="143"/>
      <c r="AK441" s="143"/>
      <c r="AL441" s="143"/>
      <c r="AM441" s="143"/>
      <c r="AN441" s="143"/>
      <c r="AO441" s="143"/>
      <c r="AP441" s="143"/>
      <c r="AQ441" s="143"/>
      <c r="AR441" s="143"/>
      <c r="AS441" s="143"/>
    </row>
    <row r="442" spans="1:45" ht="15" customHeight="1">
      <c r="A442" s="482" t="str">
        <f t="shared" si="24"/>
        <v>131i</v>
      </c>
      <c r="B442" s="1016" t="str">
        <f t="shared" si="25"/>
        <v>Negative</v>
      </c>
      <c r="C442" s="794" t="str">
        <f>IF(B442="Positive",IF(input!F63=2,"OF","BF"),"BF")</f>
        <v>BF</v>
      </c>
      <c r="D442" s="21">
        <f>input!G63/2/input!H63</f>
        <v>11.363636363636363</v>
      </c>
      <c r="E442" s="595">
        <f>0.38*SQRT(Es/input!BI63)</f>
        <v>8.9330845736509179</v>
      </c>
      <c r="F442" s="595">
        <f>0.56*SQRT(Es/input!BL63)</f>
        <v>15.73464163457246</v>
      </c>
      <c r="G442" s="598">
        <f>IF(D442&lt;=E442,1*O376*input!BI63,(1-(1-input!BL63/O376/input!BI63)*((D442-E442)/(F442-E442)))*1*O376*input!BI63)</f>
        <v>338.96081165596377</v>
      </c>
      <c r="H442" s="598">
        <f t="shared" si="26"/>
        <v>5000</v>
      </c>
      <c r="I442" s="596">
        <f t="shared" si="27"/>
        <v>2801.1681288427885</v>
      </c>
      <c r="J442" s="596">
        <f>+PI()*F221*SQRT(Es/input!BL63)</f>
        <v>10518.166203658064</v>
      </c>
      <c r="K442" s="596">
        <f t="shared" si="28"/>
        <v>1175.6715397279008</v>
      </c>
      <c r="L442" s="595">
        <f>IF(H442&lt;=I442,1*O376*input!BI63,IF(H442&lt;=J442,MIN(1*(1-(1-input!BL63/O376/input!BI63)*((H442-I442)/(J442-I442)))*1*O376*input!BI63,1*O376*input!BI63),MIN(K442,1*O376*input!BI63)))</f>
        <v>347.1826189353385</v>
      </c>
      <c r="M442" s="597" t="str">
        <f t="shared" si="23"/>
        <v>BF</v>
      </c>
      <c r="X442" s="73"/>
      <c r="Y442" s="73"/>
      <c r="Z442" s="73"/>
      <c r="AA442" s="73"/>
      <c r="AC442" s="73"/>
      <c r="AD442" s="73"/>
      <c r="AE442" s="143"/>
      <c r="AF442" s="143"/>
      <c r="AG442" s="143"/>
      <c r="AH442" s="143"/>
      <c r="AI442" s="143"/>
      <c r="AJ442" s="143"/>
      <c r="AK442" s="143"/>
      <c r="AL442" s="143"/>
      <c r="AM442" s="143"/>
      <c r="AN442" s="143"/>
      <c r="AO442" s="143"/>
      <c r="AP442" s="143"/>
      <c r="AQ442" s="143"/>
      <c r="AR442" s="143"/>
      <c r="AS442" s="143"/>
    </row>
    <row r="443" spans="1:45" ht="15" customHeight="1">
      <c r="A443" s="482" t="str">
        <f t="shared" si="24"/>
        <v>131j</v>
      </c>
      <c r="B443" s="1016" t="str">
        <f t="shared" si="25"/>
        <v>Positive</v>
      </c>
      <c r="C443" s="794" t="str">
        <f>IF(B443="Positive",IF(input!F64=2,"OF","BF"),"BF")</f>
        <v>OF</v>
      </c>
      <c r="D443" s="21">
        <f>input!G64/2/input!H64</f>
        <v>11.363636363636363</v>
      </c>
      <c r="E443" s="595">
        <f>0.38*SQRT(Es/input!BI64)</f>
        <v>8.9330845736509179</v>
      </c>
      <c r="F443" s="595">
        <f>0.56*SQRT(Es/input!BL64)</f>
        <v>15.73464163457246</v>
      </c>
      <c r="G443" s="598">
        <f>IF(D443&lt;=E443,1*O377*input!BI64,(1-(1-input!BL64/O377/input!BI64)*((D443-E443)/(F443-E443)))*1*O377*input!BI64)</f>
        <v>338.96081165596377</v>
      </c>
      <c r="H443" s="598">
        <f t="shared" si="26"/>
        <v>5000</v>
      </c>
      <c r="I443" s="596">
        <f t="shared" si="27"/>
        <v>2783.9262099302573</v>
      </c>
      <c r="J443" s="596">
        <f>+PI()*F222*SQRT(Es/input!BL64)</f>
        <v>10453.424153038302</v>
      </c>
      <c r="K443" s="596">
        <f t="shared" si="28"/>
        <v>1161.2429540103844</v>
      </c>
      <c r="L443" s="595">
        <f>IF(H443&lt;=I443,1*O377*input!BI64,IF(H443&lt;=J443,MIN(1*(1-(1-input!BL64/O377/input!BI64)*((H443-I443)/(J443-I443)))*1*O377*input!BI64,1*O377*input!BI64),MIN(K443,1*O377*input!BI64)))</f>
        <v>346.72703734813683</v>
      </c>
      <c r="M443" s="597">
        <f t="shared" si="23"/>
        <v>338.96081165596377</v>
      </c>
      <c r="X443" s="73"/>
      <c r="Y443" s="73"/>
      <c r="Z443" s="73"/>
      <c r="AA443" s="73"/>
      <c r="AC443" s="73"/>
      <c r="AD443" s="73"/>
      <c r="AE443" s="143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  <c r="AR443" s="143"/>
      <c r="AS443" s="143"/>
    </row>
    <row r="444" spans="1:45" ht="15" customHeight="1">
      <c r="A444" s="53"/>
      <c r="B444" s="121"/>
      <c r="C444" s="123"/>
      <c r="D444" s="55"/>
      <c r="E444" s="121"/>
      <c r="F444" s="121"/>
      <c r="G444" s="120"/>
      <c r="H444" s="119"/>
      <c r="I444" s="121"/>
      <c r="J444" s="123"/>
      <c r="K444" s="123"/>
      <c r="L444" s="123"/>
      <c r="M444" s="123"/>
      <c r="N444" s="55"/>
      <c r="O444" s="55"/>
      <c r="P444" s="56"/>
      <c r="Q444" s="56"/>
      <c r="R444" s="57"/>
    </row>
    <row r="445" spans="1:45" ht="15" customHeight="1">
      <c r="A445" s="348"/>
      <c r="L445" s="143"/>
      <c r="Y445" s="143"/>
      <c r="AD445" s="73"/>
      <c r="AE445" s="463"/>
      <c r="AF445" s="73"/>
    </row>
    <row r="446" spans="1:45" ht="15" customHeight="1" thickBot="1">
      <c r="A446" s="468" t="s">
        <v>1625</v>
      </c>
      <c r="G446" s="4"/>
      <c r="H446" s="4"/>
      <c r="I446" s="4"/>
      <c r="L446" s="362"/>
      <c r="O446" s="52"/>
      <c r="Y446" s="242"/>
      <c r="AA446" s="362"/>
      <c r="AD446" s="73"/>
      <c r="AF446" s="73"/>
    </row>
    <row r="447" spans="1:45" ht="15" customHeight="1">
      <c r="A447" s="562" t="s">
        <v>16</v>
      </c>
      <c r="B447" s="1918" t="s">
        <v>975</v>
      </c>
      <c r="C447" s="1911"/>
      <c r="D447" s="1911"/>
      <c r="E447" s="1911"/>
      <c r="F447" s="1911"/>
      <c r="G447" s="1911"/>
      <c r="H447" s="1919"/>
      <c r="I447" s="1918" t="s">
        <v>838</v>
      </c>
      <c r="J447" s="1911"/>
      <c r="K447" s="1919"/>
      <c r="L447" s="567" t="s">
        <v>2133</v>
      </c>
      <c r="M447" s="571" t="s">
        <v>408</v>
      </c>
      <c r="U447" s="73"/>
      <c r="V447" s="73"/>
      <c r="W447" s="73"/>
      <c r="X447" s="73"/>
      <c r="Y447" s="73"/>
      <c r="Z447" s="73"/>
      <c r="AA447" s="73"/>
      <c r="AC447" s="73"/>
      <c r="AD447" s="73"/>
      <c r="AF447" s="73"/>
      <c r="AH447" s="143"/>
      <c r="AI447" s="143"/>
      <c r="AJ447" s="143"/>
      <c r="AK447" s="143"/>
      <c r="AL447" s="143"/>
      <c r="AM447" s="143"/>
      <c r="AN447" s="143"/>
      <c r="AO447" s="143"/>
      <c r="AP447" s="143"/>
      <c r="AQ447" s="143"/>
      <c r="AR447" s="143"/>
      <c r="AS447" s="143"/>
    </row>
    <row r="448" spans="1:45" ht="15" customHeight="1">
      <c r="A448" s="563"/>
      <c r="B448" s="749" t="s">
        <v>699</v>
      </c>
      <c r="C448" s="749" t="s">
        <v>1606</v>
      </c>
      <c r="D448" s="749" t="s">
        <v>1607</v>
      </c>
      <c r="E448" s="662" t="s">
        <v>1641</v>
      </c>
      <c r="F448" s="749" t="s">
        <v>405</v>
      </c>
      <c r="G448" s="662" t="s">
        <v>414</v>
      </c>
      <c r="H448" s="749" t="s">
        <v>976</v>
      </c>
      <c r="I448" s="572" t="s">
        <v>707</v>
      </c>
      <c r="J448" s="572" t="s">
        <v>9</v>
      </c>
      <c r="K448" s="572" t="s">
        <v>10</v>
      </c>
      <c r="L448" s="564"/>
      <c r="M448" s="568"/>
      <c r="U448" s="73"/>
      <c r="V448" s="73"/>
      <c r="W448" s="73"/>
      <c r="X448" s="73"/>
      <c r="Y448" s="73"/>
      <c r="Z448" s="73"/>
      <c r="AA448" s="73"/>
      <c r="AC448" s="73"/>
      <c r="AD448" s="73"/>
      <c r="AF448" s="73"/>
      <c r="AH448" s="143"/>
      <c r="AI448" s="143"/>
      <c r="AJ448" s="143"/>
      <c r="AK448" s="143"/>
      <c r="AL448" s="143"/>
      <c r="AM448" s="143"/>
      <c r="AN448" s="143"/>
      <c r="AO448" s="143"/>
      <c r="AP448" s="143"/>
      <c r="AQ448" s="143"/>
      <c r="AR448" s="143"/>
      <c r="AS448" s="143"/>
    </row>
    <row r="449" spans="1:45" ht="15" customHeight="1">
      <c r="A449" s="593" t="str">
        <f t="shared" ref="A449:A480" si="29">A95</f>
        <v>101i</v>
      </c>
      <c r="B449" s="594">
        <f>input!H3</f>
        <v>22</v>
      </c>
      <c r="C449" s="594">
        <f>input!J3</f>
        <v>1940</v>
      </c>
      <c r="D449" s="594">
        <f>input!K3</f>
        <v>12</v>
      </c>
      <c r="E449" s="594">
        <f>input!L3</f>
        <v>120</v>
      </c>
      <c r="F449" s="594">
        <f>input!U3</f>
        <v>2350</v>
      </c>
      <c r="G449" s="594">
        <f>input!M3</f>
        <v>2600</v>
      </c>
      <c r="H449" s="818">
        <f>+(F449+C449-2*E449)*(G449+B449/2+D449/2)/2</f>
        <v>5299425</v>
      </c>
      <c r="I449" s="595">
        <f>MST!L4</f>
        <v>0</v>
      </c>
      <c r="J449" s="595">
        <f>MST!M4</f>
        <v>0</v>
      </c>
      <c r="K449" s="595">
        <f>MST!N4</f>
        <v>0</v>
      </c>
      <c r="L449" s="595">
        <f t="shared" ref="L449:L480" si="30">1.25*(I449+J449+K449)/2/H449/IF(D161="Positive",B449,D449)*10^6</f>
        <v>0</v>
      </c>
      <c r="M449" s="597">
        <f>SQRT(1-(L449/input!BI3)^2)</f>
        <v>1</v>
      </c>
      <c r="U449" s="73"/>
      <c r="V449" s="73"/>
      <c r="W449" s="73"/>
      <c r="X449" s="73"/>
      <c r="Y449" s="73"/>
      <c r="Z449" s="73"/>
      <c r="AA449" s="73"/>
      <c r="AC449" s="73"/>
      <c r="AD449" s="73"/>
      <c r="AF449" s="73"/>
      <c r="AH449" s="143"/>
      <c r="AI449" s="143"/>
      <c r="AJ449" s="143"/>
      <c r="AK449" s="143"/>
      <c r="AL449" s="143"/>
      <c r="AM449" s="143"/>
      <c r="AN449" s="143"/>
      <c r="AO449" s="143"/>
      <c r="AP449" s="143"/>
      <c r="AQ449" s="143"/>
      <c r="AR449" s="143"/>
      <c r="AS449" s="143"/>
    </row>
    <row r="450" spans="1:45" ht="15" customHeight="1">
      <c r="A450" s="593" t="str">
        <f t="shared" si="29"/>
        <v>101j</v>
      </c>
      <c r="B450" s="594">
        <f>input!H4</f>
        <v>22</v>
      </c>
      <c r="C450" s="594">
        <f>input!J4</f>
        <v>1940</v>
      </c>
      <c r="D450" s="594">
        <f>input!K4</f>
        <v>12</v>
      </c>
      <c r="E450" s="594">
        <f>input!L4</f>
        <v>120</v>
      </c>
      <c r="F450" s="594">
        <f>input!U4</f>
        <v>2350</v>
      </c>
      <c r="G450" s="594">
        <f>input!M4</f>
        <v>2600</v>
      </c>
      <c r="H450" s="818">
        <f t="shared" ref="H450:H510" si="31">+(F450+C450-2*E450)*(G450+B450/2+D450/2)/2</f>
        <v>5299425</v>
      </c>
      <c r="I450" s="595">
        <f>MST!L5</f>
        <v>0</v>
      </c>
      <c r="J450" s="595">
        <f>MST!M5</f>
        <v>0</v>
      </c>
      <c r="K450" s="595">
        <f>MST!N5</f>
        <v>0.9</v>
      </c>
      <c r="L450" s="595">
        <f t="shared" si="30"/>
        <v>8.8452992541643675E-3</v>
      </c>
      <c r="M450" s="597">
        <f>SQRT(1-(L450/input!BI4)^2)</f>
        <v>0.99999999972908815</v>
      </c>
      <c r="U450" s="73"/>
      <c r="V450" s="73"/>
      <c r="W450" s="73"/>
      <c r="X450" s="73"/>
      <c r="Y450" s="73"/>
      <c r="Z450" s="73"/>
      <c r="AA450" s="73"/>
      <c r="AC450" s="73"/>
      <c r="AD450" s="73"/>
      <c r="AF450" s="73"/>
      <c r="AH450" s="143"/>
      <c r="AI450" s="143"/>
      <c r="AJ450" s="143"/>
      <c r="AK450" s="143"/>
      <c r="AL450" s="143"/>
      <c r="AM450" s="143"/>
      <c r="AN450" s="143"/>
      <c r="AO450" s="143"/>
      <c r="AP450" s="143"/>
      <c r="AQ450" s="143"/>
      <c r="AR450" s="143"/>
      <c r="AS450" s="143"/>
    </row>
    <row r="451" spans="1:45" ht="15" customHeight="1">
      <c r="A451" s="593" t="str">
        <f t="shared" si="29"/>
        <v>102i</v>
      </c>
      <c r="B451" s="594">
        <f>input!H5</f>
        <v>22</v>
      </c>
      <c r="C451" s="594">
        <f>input!J5</f>
        <v>1940</v>
      </c>
      <c r="D451" s="594">
        <f>input!K5</f>
        <v>12</v>
      </c>
      <c r="E451" s="594">
        <f>input!L5</f>
        <v>120</v>
      </c>
      <c r="F451" s="594">
        <f>input!U5</f>
        <v>2350</v>
      </c>
      <c r="G451" s="594">
        <f>input!M5</f>
        <v>2600</v>
      </c>
      <c r="H451" s="818">
        <f t="shared" si="31"/>
        <v>5299425</v>
      </c>
      <c r="I451" s="595">
        <f>MST!L6</f>
        <v>2.91</v>
      </c>
      <c r="J451" s="595">
        <f>MST!M6</f>
        <v>0</v>
      </c>
      <c r="K451" s="595">
        <f>MST!N6</f>
        <v>31.24</v>
      </c>
      <c r="L451" s="595">
        <f t="shared" si="30"/>
        <v>0.33562996614412571</v>
      </c>
      <c r="M451" s="597">
        <f>SQRT(1-(L451/input!BI5)^2)</f>
        <v>0.99999960994634296</v>
      </c>
      <c r="U451" s="73"/>
      <c r="V451" s="73"/>
      <c r="W451" s="73"/>
      <c r="X451" s="73"/>
      <c r="Y451" s="73"/>
      <c r="Z451" s="73"/>
      <c r="AA451" s="73"/>
      <c r="AC451" s="73"/>
      <c r="AD451" s="73"/>
      <c r="AF451" s="73"/>
      <c r="AH451" s="143"/>
      <c r="AI451" s="143"/>
      <c r="AJ451" s="143"/>
      <c r="AK451" s="143"/>
      <c r="AL451" s="143"/>
      <c r="AM451" s="143"/>
      <c r="AN451" s="143"/>
      <c r="AO451" s="143"/>
      <c r="AP451" s="143"/>
      <c r="AQ451" s="143"/>
      <c r="AR451" s="143"/>
      <c r="AS451" s="143"/>
    </row>
    <row r="452" spans="1:45" ht="15" customHeight="1">
      <c r="A452" s="593" t="str">
        <f t="shared" si="29"/>
        <v>102j</v>
      </c>
      <c r="B452" s="594">
        <f>input!H6</f>
        <v>22</v>
      </c>
      <c r="C452" s="594">
        <f>input!J6</f>
        <v>1940</v>
      </c>
      <c r="D452" s="594">
        <f>input!K6</f>
        <v>12</v>
      </c>
      <c r="E452" s="594">
        <f>input!L6</f>
        <v>120</v>
      </c>
      <c r="F452" s="594">
        <f>input!U6</f>
        <v>2350</v>
      </c>
      <c r="G452" s="594">
        <f>input!M6</f>
        <v>2600</v>
      </c>
      <c r="H452" s="818">
        <f t="shared" si="31"/>
        <v>5299425</v>
      </c>
      <c r="I452" s="595">
        <f>MST!L7</f>
        <v>2.91</v>
      </c>
      <c r="J452" s="595">
        <f>MST!M7</f>
        <v>0</v>
      </c>
      <c r="K452" s="595">
        <f>MST!N7</f>
        <v>35.58</v>
      </c>
      <c r="L452" s="595">
        <f t="shared" si="30"/>
        <v>0.20633670805623422</v>
      </c>
      <c r="M452" s="597">
        <f>SQRT(1-(L452/input!BI6)^2)</f>
        <v>0.99999985258019308</v>
      </c>
      <c r="U452" s="73"/>
      <c r="V452" s="73"/>
      <c r="W452" s="73"/>
      <c r="X452" s="73"/>
      <c r="Y452" s="73"/>
      <c r="Z452" s="73"/>
      <c r="AA452" s="73"/>
      <c r="AC452" s="73"/>
      <c r="AD452" s="73"/>
      <c r="AF452" s="73"/>
      <c r="AH452" s="143"/>
      <c r="AI452" s="143"/>
      <c r="AJ452" s="143"/>
      <c r="AK452" s="143"/>
      <c r="AL452" s="143"/>
      <c r="AM452" s="143"/>
      <c r="AN452" s="143"/>
      <c r="AO452" s="143"/>
      <c r="AP452" s="143"/>
      <c r="AQ452" s="143"/>
      <c r="AR452" s="143"/>
      <c r="AS452" s="143"/>
    </row>
    <row r="453" spans="1:45" ht="15" customHeight="1">
      <c r="A453" s="593" t="str">
        <f t="shared" si="29"/>
        <v>103i</v>
      </c>
      <c r="B453" s="594">
        <f>input!H7</f>
        <v>30</v>
      </c>
      <c r="C453" s="594">
        <f>input!J7</f>
        <v>1940</v>
      </c>
      <c r="D453" s="594">
        <f>input!K7</f>
        <v>18</v>
      </c>
      <c r="E453" s="594">
        <f>input!L7</f>
        <v>120</v>
      </c>
      <c r="F453" s="594">
        <f>input!U7</f>
        <v>2400</v>
      </c>
      <c r="G453" s="594">
        <f>input!M7</f>
        <v>2800</v>
      </c>
      <c r="H453" s="818">
        <f t="shared" si="31"/>
        <v>5789200</v>
      </c>
      <c r="I453" s="595">
        <f>MST!L8</f>
        <v>2.91</v>
      </c>
      <c r="J453" s="595">
        <f>MST!M8</f>
        <v>0</v>
      </c>
      <c r="K453" s="595">
        <f>MST!N8</f>
        <v>35.58</v>
      </c>
      <c r="L453" s="595">
        <f t="shared" si="30"/>
        <v>0.13851222966903889</v>
      </c>
      <c r="M453" s="597">
        <f>SQRT(1-(L453/input!BI7)^2)</f>
        <v>0.99999993356773409</v>
      </c>
      <c r="U453" s="73"/>
      <c r="V453" s="73"/>
      <c r="W453" s="73"/>
      <c r="X453" s="73"/>
      <c r="Y453" s="73"/>
      <c r="Z453" s="73"/>
      <c r="AA453" s="73"/>
      <c r="AC453" s="73"/>
      <c r="AD453" s="73"/>
      <c r="AF453" s="73"/>
      <c r="AH453" s="143"/>
      <c r="AI453" s="143"/>
      <c r="AJ453" s="143"/>
      <c r="AK453" s="143"/>
      <c r="AL453" s="143"/>
      <c r="AM453" s="143"/>
      <c r="AN453" s="143"/>
      <c r="AO453" s="143"/>
      <c r="AP453" s="143"/>
      <c r="AQ453" s="143"/>
      <c r="AR453" s="143"/>
      <c r="AS453" s="143"/>
    </row>
    <row r="454" spans="1:45" ht="15" customHeight="1">
      <c r="A454" s="593" t="str">
        <f t="shared" si="29"/>
        <v>103j</v>
      </c>
      <c r="B454" s="594">
        <f>input!H8</f>
        <v>30</v>
      </c>
      <c r="C454" s="594">
        <f>input!J8</f>
        <v>1940</v>
      </c>
      <c r="D454" s="594">
        <f>input!K8</f>
        <v>18</v>
      </c>
      <c r="E454" s="594">
        <f>input!L8</f>
        <v>120</v>
      </c>
      <c r="F454" s="594">
        <f>input!U8</f>
        <v>2400</v>
      </c>
      <c r="G454" s="594">
        <f>input!M8</f>
        <v>2800</v>
      </c>
      <c r="H454" s="818">
        <f t="shared" si="31"/>
        <v>5789200</v>
      </c>
      <c r="I454" s="595">
        <f>MST!L9</f>
        <v>2.91</v>
      </c>
      <c r="J454" s="595">
        <f>MST!M9</f>
        <v>0</v>
      </c>
      <c r="K454" s="595">
        <f>MST!N9</f>
        <v>32.549999999999997</v>
      </c>
      <c r="L454" s="595">
        <f t="shared" si="30"/>
        <v>0.12760830511987836</v>
      </c>
      <c r="M454" s="597">
        <f>SQRT(1-(L454/input!BI8)^2)</f>
        <v>0.99999994361537403</v>
      </c>
      <c r="U454" s="73"/>
      <c r="V454" s="73"/>
      <c r="W454" s="73"/>
      <c r="X454" s="73"/>
      <c r="Y454" s="73"/>
      <c r="Z454" s="73"/>
      <c r="AA454" s="73"/>
      <c r="AC454" s="73"/>
      <c r="AD454" s="73"/>
      <c r="AF454" s="73"/>
      <c r="AH454" s="143"/>
      <c r="AI454" s="143"/>
      <c r="AJ454" s="143"/>
      <c r="AK454" s="143"/>
      <c r="AL454" s="143"/>
      <c r="AM454" s="143"/>
      <c r="AN454" s="143"/>
      <c r="AO454" s="143"/>
      <c r="AP454" s="143"/>
      <c r="AQ454" s="143"/>
      <c r="AR454" s="143"/>
      <c r="AS454" s="143"/>
    </row>
    <row r="455" spans="1:45" ht="15" customHeight="1">
      <c r="A455" s="593" t="str">
        <f t="shared" si="29"/>
        <v>104i</v>
      </c>
      <c r="B455" s="594">
        <f>input!H9</f>
        <v>30</v>
      </c>
      <c r="C455" s="594">
        <f>input!J9</f>
        <v>1940</v>
      </c>
      <c r="D455" s="594">
        <f>input!K9</f>
        <v>18</v>
      </c>
      <c r="E455" s="594">
        <f>input!L9</f>
        <v>120</v>
      </c>
      <c r="F455" s="594">
        <f>input!U9</f>
        <v>2400</v>
      </c>
      <c r="G455" s="594">
        <f>input!M9</f>
        <v>2800</v>
      </c>
      <c r="H455" s="818">
        <f t="shared" si="31"/>
        <v>5789200</v>
      </c>
      <c r="I455" s="595">
        <f>MST!L10</f>
        <v>2.93</v>
      </c>
      <c r="J455" s="595">
        <f>MST!M10</f>
        <v>0</v>
      </c>
      <c r="K455" s="595">
        <f>MST!N10</f>
        <v>20.57</v>
      </c>
      <c r="L455" s="595">
        <f t="shared" si="30"/>
        <v>8.4568391717911501E-2</v>
      </c>
      <c r="M455" s="597">
        <f>SQRT(1-(L455/input!BI9)^2)</f>
        <v>0.99999997523610473</v>
      </c>
      <c r="U455" s="73"/>
      <c r="V455" s="73"/>
      <c r="W455" s="73"/>
      <c r="X455" s="73"/>
      <c r="Y455" s="73"/>
      <c r="Z455" s="73"/>
      <c r="AA455" s="73"/>
      <c r="AC455" s="73"/>
      <c r="AD455" s="73"/>
      <c r="AF455" s="73"/>
      <c r="AH455" s="143"/>
      <c r="AI455" s="143"/>
      <c r="AJ455" s="143"/>
      <c r="AK455" s="143"/>
      <c r="AL455" s="143"/>
      <c r="AM455" s="143"/>
      <c r="AN455" s="143"/>
      <c r="AO455" s="143"/>
      <c r="AP455" s="143"/>
      <c r="AQ455" s="143"/>
      <c r="AR455" s="143"/>
      <c r="AS455" s="143"/>
    </row>
    <row r="456" spans="1:45" ht="15" customHeight="1">
      <c r="A456" s="593" t="str">
        <f t="shared" si="29"/>
        <v>104j</v>
      </c>
      <c r="B456" s="594">
        <f>input!H10</f>
        <v>30</v>
      </c>
      <c r="C456" s="594">
        <f>input!J10</f>
        <v>1940</v>
      </c>
      <c r="D456" s="594">
        <f>input!K10</f>
        <v>18</v>
      </c>
      <c r="E456" s="594">
        <f>input!L10</f>
        <v>120</v>
      </c>
      <c r="F456" s="594">
        <f>input!U10</f>
        <v>2400</v>
      </c>
      <c r="G456" s="594">
        <f>input!M10</f>
        <v>2800</v>
      </c>
      <c r="H456" s="818">
        <f t="shared" si="31"/>
        <v>5789200</v>
      </c>
      <c r="I456" s="595">
        <f>MST!L11</f>
        <v>2.93</v>
      </c>
      <c r="J456" s="595">
        <f>MST!M11</f>
        <v>0</v>
      </c>
      <c r="K456" s="595">
        <f>MST!N11</f>
        <v>16.47</v>
      </c>
      <c r="L456" s="595">
        <f t="shared" si="30"/>
        <v>6.9813906354361008E-2</v>
      </c>
      <c r="M456" s="597">
        <f>SQRT(1-(L456/input!BI10)^2)</f>
        <v>0.99999998312333249</v>
      </c>
      <c r="U456" s="73"/>
      <c r="V456" s="73"/>
      <c r="W456" s="73"/>
      <c r="X456" s="73"/>
      <c r="Y456" s="73"/>
      <c r="Z456" s="73"/>
      <c r="AA456" s="73"/>
      <c r="AC456" s="73"/>
      <c r="AD456" s="73"/>
      <c r="AF456" s="73"/>
      <c r="AH456" s="143"/>
      <c r="AI456" s="143"/>
      <c r="AJ456" s="143"/>
      <c r="AK456" s="143"/>
      <c r="AL456" s="143"/>
      <c r="AM456" s="143"/>
      <c r="AN456" s="143"/>
      <c r="AO456" s="143"/>
      <c r="AP456" s="143"/>
      <c r="AQ456" s="143"/>
      <c r="AR456" s="143"/>
      <c r="AS456" s="143"/>
    </row>
    <row r="457" spans="1:45" ht="15" customHeight="1">
      <c r="A457" s="593" t="str">
        <f t="shared" si="29"/>
        <v>105i</v>
      </c>
      <c r="B457" s="594">
        <f>input!H11</f>
        <v>38</v>
      </c>
      <c r="C457" s="594">
        <f>input!J11</f>
        <v>1940</v>
      </c>
      <c r="D457" s="594">
        <f>input!K11</f>
        <v>34</v>
      </c>
      <c r="E457" s="594">
        <f>input!L11</f>
        <v>120</v>
      </c>
      <c r="F457" s="594">
        <f>input!U11</f>
        <v>2400</v>
      </c>
      <c r="G457" s="594">
        <f>input!M11</f>
        <v>2800</v>
      </c>
      <c r="H457" s="818">
        <f t="shared" si="31"/>
        <v>5813800</v>
      </c>
      <c r="I457" s="595">
        <f>MST!L12</f>
        <v>2.93</v>
      </c>
      <c r="J457" s="595">
        <f>MST!M12</f>
        <v>0</v>
      </c>
      <c r="K457" s="595">
        <f>MST!N12</f>
        <v>16.47</v>
      </c>
      <c r="L457" s="595">
        <f t="shared" si="30"/>
        <v>5.4883027859303907E-2</v>
      </c>
      <c r="M457" s="597">
        <f>SQRT(1-(L457/input!BI11)^2)</f>
        <v>0.99999998957012892</v>
      </c>
      <c r="U457" s="73"/>
      <c r="V457" s="73"/>
      <c r="W457" s="73"/>
      <c r="X457" s="73"/>
      <c r="Y457" s="73"/>
      <c r="Z457" s="73"/>
      <c r="AA457" s="73"/>
      <c r="AC457" s="73"/>
      <c r="AD457" s="73"/>
      <c r="AF457" s="73"/>
      <c r="AH457" s="143"/>
      <c r="AI457" s="143"/>
      <c r="AJ457" s="143"/>
      <c r="AK457" s="143"/>
      <c r="AL457" s="143"/>
      <c r="AM457" s="143"/>
      <c r="AN457" s="143"/>
      <c r="AO457" s="143"/>
      <c r="AP457" s="143"/>
      <c r="AQ457" s="143"/>
      <c r="AR457" s="143"/>
      <c r="AS457" s="143"/>
    </row>
    <row r="458" spans="1:45" ht="15" customHeight="1">
      <c r="A458" s="593" t="str">
        <f t="shared" si="29"/>
        <v>105j</v>
      </c>
      <c r="B458" s="594">
        <f>input!H12</f>
        <v>38</v>
      </c>
      <c r="C458" s="594">
        <f>input!J12</f>
        <v>1940</v>
      </c>
      <c r="D458" s="594">
        <f>input!K12</f>
        <v>34</v>
      </c>
      <c r="E458" s="594">
        <f>input!L12</f>
        <v>120</v>
      </c>
      <c r="F458" s="594">
        <f>input!U12</f>
        <v>2400</v>
      </c>
      <c r="G458" s="594">
        <f>input!M12</f>
        <v>2800</v>
      </c>
      <c r="H458" s="818">
        <f t="shared" si="31"/>
        <v>5813800</v>
      </c>
      <c r="I458" s="595">
        <f>MST!L13</f>
        <v>2.93</v>
      </c>
      <c r="J458" s="595">
        <f>MST!M13</f>
        <v>0</v>
      </c>
      <c r="K458" s="595">
        <f>MST!N13</f>
        <v>12.37</v>
      </c>
      <c r="L458" s="595">
        <f t="shared" si="30"/>
        <v>4.3284037435430404E-2</v>
      </c>
      <c r="M458" s="597">
        <f>SQRT(1-(L458/input!BI12)^2)</f>
        <v>0.99999999351278424</v>
      </c>
      <c r="U458" s="73"/>
      <c r="V458" s="73"/>
      <c r="W458" s="73"/>
      <c r="X458" s="73"/>
      <c r="Y458" s="73"/>
      <c r="Z458" s="73"/>
      <c r="AA458" s="73"/>
      <c r="AC458" s="73"/>
      <c r="AD458" s="73"/>
      <c r="AF458" s="73"/>
      <c r="AH458" s="143"/>
      <c r="AI458" s="143"/>
      <c r="AJ458" s="143"/>
      <c r="AK458" s="143"/>
      <c r="AL458" s="143"/>
      <c r="AM458" s="143"/>
      <c r="AN458" s="143"/>
      <c r="AO458" s="143"/>
      <c r="AP458" s="143"/>
      <c r="AQ458" s="143"/>
      <c r="AR458" s="143"/>
      <c r="AS458" s="143"/>
    </row>
    <row r="459" spans="1:45" ht="15" customHeight="1">
      <c r="A459" s="593" t="str">
        <f t="shared" si="29"/>
        <v>106i</v>
      </c>
      <c r="B459" s="594">
        <f>input!H13</f>
        <v>38</v>
      </c>
      <c r="C459" s="594">
        <f>input!J13</f>
        <v>1940</v>
      </c>
      <c r="D459" s="594">
        <f>input!K13</f>
        <v>34</v>
      </c>
      <c r="E459" s="594">
        <f>input!L13</f>
        <v>120</v>
      </c>
      <c r="F459" s="594">
        <f>input!U13</f>
        <v>2400</v>
      </c>
      <c r="G459" s="594">
        <f>input!M13</f>
        <v>2800</v>
      </c>
      <c r="H459" s="818">
        <f t="shared" si="31"/>
        <v>5813800</v>
      </c>
      <c r="I459" s="595">
        <f>MST!L14</f>
        <v>1</v>
      </c>
      <c r="J459" s="595">
        <f>MST!M14</f>
        <v>0</v>
      </c>
      <c r="K459" s="595">
        <f>MST!N14</f>
        <v>6.68</v>
      </c>
      <c r="L459" s="595">
        <f t="shared" si="30"/>
        <v>2.1726889379353298E-2</v>
      </c>
      <c r="M459" s="597">
        <f>SQRT(1-(L459/input!BI13)^2)</f>
        <v>0.99999999836545106</v>
      </c>
      <c r="U459" s="73"/>
      <c r="V459" s="73"/>
      <c r="W459" s="73"/>
      <c r="X459" s="73"/>
      <c r="Y459" s="73"/>
      <c r="Z459" s="73"/>
      <c r="AA459" s="73"/>
      <c r="AC459" s="73"/>
      <c r="AD459" s="73"/>
      <c r="AF459" s="73"/>
      <c r="AH459" s="143"/>
      <c r="AI459" s="143"/>
      <c r="AJ459" s="143"/>
      <c r="AK459" s="143"/>
      <c r="AL459" s="143"/>
      <c r="AM459" s="143"/>
      <c r="AN459" s="143"/>
      <c r="AO459" s="143"/>
      <c r="AP459" s="143"/>
      <c r="AQ459" s="143"/>
      <c r="AR459" s="143"/>
      <c r="AS459" s="143"/>
    </row>
    <row r="460" spans="1:45" ht="15" customHeight="1">
      <c r="A460" s="593" t="str">
        <f t="shared" si="29"/>
        <v>106j</v>
      </c>
      <c r="B460" s="594">
        <f>input!H14</f>
        <v>38</v>
      </c>
      <c r="C460" s="594">
        <f>input!J14</f>
        <v>1940</v>
      </c>
      <c r="D460" s="594">
        <f>input!K14</f>
        <v>34</v>
      </c>
      <c r="E460" s="594">
        <f>input!L14</f>
        <v>120</v>
      </c>
      <c r="F460" s="594">
        <f>input!U14</f>
        <v>2400</v>
      </c>
      <c r="G460" s="594">
        <f>input!M14</f>
        <v>2800</v>
      </c>
      <c r="H460" s="818">
        <f t="shared" si="31"/>
        <v>5813800</v>
      </c>
      <c r="I460" s="595">
        <f>MST!L15</f>
        <v>1</v>
      </c>
      <c r="J460" s="595">
        <f>MST!M15</f>
        <v>0</v>
      </c>
      <c r="K460" s="595">
        <f>MST!N15</f>
        <v>2.58</v>
      </c>
      <c r="L460" s="595">
        <f t="shared" si="30"/>
        <v>1.0127898955479794E-2</v>
      </c>
      <c r="M460" s="597">
        <f>SQRT(1-(L460/input!BI14)^2)</f>
        <v>0.99999999964482567</v>
      </c>
      <c r="U460" s="73"/>
      <c r="V460" s="73"/>
      <c r="W460" s="73"/>
      <c r="X460" s="73"/>
      <c r="Y460" s="73"/>
      <c r="Z460" s="73"/>
      <c r="AA460" s="73"/>
      <c r="AC460" s="73"/>
      <c r="AD460" s="73"/>
      <c r="AF460" s="73"/>
      <c r="AH460" s="143"/>
      <c r="AI460" s="143"/>
      <c r="AJ460" s="143"/>
      <c r="AK460" s="143"/>
      <c r="AL460" s="143"/>
      <c r="AM460" s="143"/>
      <c r="AN460" s="143"/>
      <c r="AO460" s="143"/>
      <c r="AP460" s="143"/>
      <c r="AQ460" s="143"/>
      <c r="AR460" s="143"/>
      <c r="AS460" s="143"/>
    </row>
    <row r="461" spans="1:45" ht="15" customHeight="1">
      <c r="A461" s="593" t="str">
        <f t="shared" si="29"/>
        <v>107i</v>
      </c>
      <c r="B461" s="594">
        <f>input!H15</f>
        <v>40</v>
      </c>
      <c r="C461" s="594">
        <f>input!J15</f>
        <v>1940</v>
      </c>
      <c r="D461" s="594">
        <f>input!K15</f>
        <v>40</v>
      </c>
      <c r="E461" s="594">
        <f>input!L15</f>
        <v>120</v>
      </c>
      <c r="F461" s="594">
        <f>input!U15</f>
        <v>2400</v>
      </c>
      <c r="G461" s="594">
        <f>input!M15</f>
        <v>2800</v>
      </c>
      <c r="H461" s="818">
        <f t="shared" si="31"/>
        <v>5822000</v>
      </c>
      <c r="I461" s="595">
        <f>MST!L16</f>
        <v>1</v>
      </c>
      <c r="J461" s="595">
        <f>MST!M16</f>
        <v>0</v>
      </c>
      <c r="K461" s="595">
        <f>MST!N16</f>
        <v>2.58</v>
      </c>
      <c r="L461" s="595">
        <f t="shared" si="30"/>
        <v>9.6079525936104415E-3</v>
      </c>
      <c r="M461" s="597">
        <f>SQRT(1-(L461/input!BI15)^2)</f>
        <v>0.99999999968035747</v>
      </c>
      <c r="U461" s="73"/>
      <c r="V461" s="73"/>
      <c r="W461" s="73"/>
      <c r="X461" s="73"/>
      <c r="Y461" s="73"/>
      <c r="Z461" s="73"/>
      <c r="AA461" s="73"/>
      <c r="AC461" s="73"/>
      <c r="AD461" s="73"/>
      <c r="AF461" s="73"/>
      <c r="AH461" s="143"/>
      <c r="AI461" s="143"/>
      <c r="AJ461" s="143"/>
      <c r="AK461" s="143"/>
      <c r="AL461" s="143"/>
      <c r="AM461" s="143"/>
      <c r="AN461" s="143"/>
      <c r="AO461" s="143"/>
      <c r="AP461" s="143"/>
      <c r="AQ461" s="143"/>
      <c r="AR461" s="143"/>
      <c r="AS461" s="143"/>
    </row>
    <row r="462" spans="1:45" ht="15" customHeight="1">
      <c r="A462" s="593" t="str">
        <f t="shared" si="29"/>
        <v>107j</v>
      </c>
      <c r="B462" s="594">
        <f>input!H16</f>
        <v>40</v>
      </c>
      <c r="C462" s="594">
        <f>input!J16</f>
        <v>1940</v>
      </c>
      <c r="D462" s="594">
        <f>input!K16</f>
        <v>40</v>
      </c>
      <c r="E462" s="594">
        <f>input!L16</f>
        <v>120</v>
      </c>
      <c r="F462" s="594">
        <f>input!U16</f>
        <v>2400</v>
      </c>
      <c r="G462" s="594">
        <f>input!M16</f>
        <v>2800</v>
      </c>
      <c r="H462" s="818">
        <f t="shared" si="31"/>
        <v>5822000</v>
      </c>
      <c r="I462" s="595">
        <f>MST!L17</f>
        <v>1</v>
      </c>
      <c r="J462" s="595">
        <f>MST!M17</f>
        <v>0</v>
      </c>
      <c r="K462" s="595">
        <f>MST!N17</f>
        <v>-1.52</v>
      </c>
      <c r="L462" s="595">
        <f t="shared" si="30"/>
        <v>-1.3955685331501204E-3</v>
      </c>
      <c r="M462" s="597">
        <f>SQRT(1-(L462/input!BI16)^2)</f>
        <v>0.99999999999325617</v>
      </c>
      <c r="U462" s="73"/>
      <c r="V462" s="73"/>
      <c r="W462" s="73"/>
      <c r="X462" s="73"/>
      <c r="Y462" s="73"/>
      <c r="Z462" s="73"/>
      <c r="AA462" s="73"/>
      <c r="AC462" s="73"/>
      <c r="AD462" s="73"/>
      <c r="AF462" s="73"/>
      <c r="AH462" s="143"/>
      <c r="AI462" s="143"/>
      <c r="AJ462" s="143"/>
      <c r="AK462" s="143"/>
      <c r="AL462" s="143"/>
      <c r="AM462" s="143"/>
      <c r="AN462" s="143"/>
      <c r="AO462" s="143"/>
      <c r="AP462" s="143"/>
      <c r="AQ462" s="143"/>
      <c r="AR462" s="143"/>
      <c r="AS462" s="143"/>
    </row>
    <row r="463" spans="1:45" ht="15" customHeight="1">
      <c r="A463" s="593" t="str">
        <f t="shared" si="29"/>
        <v>108i</v>
      </c>
      <c r="B463" s="594">
        <f>input!H17</f>
        <v>40</v>
      </c>
      <c r="C463" s="594">
        <f>input!J17</f>
        <v>1940</v>
      </c>
      <c r="D463" s="594">
        <f>input!K17</f>
        <v>40</v>
      </c>
      <c r="E463" s="594">
        <f>input!L17</f>
        <v>120</v>
      </c>
      <c r="F463" s="594">
        <f>input!U17</f>
        <v>2400</v>
      </c>
      <c r="G463" s="594">
        <f>input!M17</f>
        <v>2800</v>
      </c>
      <c r="H463" s="818">
        <f t="shared" si="31"/>
        <v>5822000</v>
      </c>
      <c r="I463" s="595">
        <f>MST!L18</f>
        <v>-2.04</v>
      </c>
      <c r="J463" s="595">
        <f>MST!M18</f>
        <v>0</v>
      </c>
      <c r="K463" s="595">
        <f>MST!N18</f>
        <v>-11.49</v>
      </c>
      <c r="L463" s="595">
        <f t="shared" si="30"/>
        <v>-3.6311619718309859E-2</v>
      </c>
      <c r="M463" s="597">
        <f>SQRT(1-(L463/input!BI17)^2)</f>
        <v>0.99999999543443996</v>
      </c>
      <c r="U463" s="73"/>
      <c r="V463" s="73"/>
      <c r="W463" s="73"/>
      <c r="X463" s="73"/>
      <c r="Y463" s="73"/>
      <c r="Z463" s="73"/>
      <c r="AA463" s="73"/>
      <c r="AC463" s="73"/>
      <c r="AD463" s="73"/>
      <c r="AF463" s="73"/>
      <c r="AH463" s="143"/>
      <c r="AI463" s="143"/>
      <c r="AJ463" s="143"/>
      <c r="AK463" s="143"/>
      <c r="AL463" s="143"/>
      <c r="AM463" s="143"/>
      <c r="AN463" s="143"/>
      <c r="AO463" s="143"/>
      <c r="AP463" s="143"/>
      <c r="AQ463" s="143"/>
      <c r="AR463" s="143"/>
      <c r="AS463" s="143"/>
    </row>
    <row r="464" spans="1:45" ht="15" customHeight="1">
      <c r="A464" s="593" t="str">
        <f t="shared" si="29"/>
        <v>108j</v>
      </c>
      <c r="B464" s="594">
        <f>input!H18</f>
        <v>40</v>
      </c>
      <c r="C464" s="594">
        <f>input!J18</f>
        <v>1940</v>
      </c>
      <c r="D464" s="594">
        <f>input!K18</f>
        <v>40</v>
      </c>
      <c r="E464" s="594">
        <f>input!L18</f>
        <v>120</v>
      </c>
      <c r="F464" s="594">
        <f>input!U18</f>
        <v>2400</v>
      </c>
      <c r="G464" s="594">
        <f>input!M18</f>
        <v>2800</v>
      </c>
      <c r="H464" s="818">
        <f t="shared" si="31"/>
        <v>5822000</v>
      </c>
      <c r="I464" s="595">
        <f>MST!L19</f>
        <v>-2.04</v>
      </c>
      <c r="J464" s="595">
        <f>MST!M19</f>
        <v>0</v>
      </c>
      <c r="K464" s="595">
        <f>MST!N19</f>
        <v>-15.59</v>
      </c>
      <c r="L464" s="595">
        <f t="shared" si="30"/>
        <v>-4.7315140845070415E-2</v>
      </c>
      <c r="M464" s="597">
        <f>SQRT(1-(L464/input!BI18)^2)</f>
        <v>0.99999999224819058</v>
      </c>
      <c r="U464" s="73"/>
      <c r="V464" s="73"/>
      <c r="W464" s="73"/>
      <c r="X464" s="73"/>
      <c r="Y464" s="73"/>
      <c r="Z464" s="73"/>
      <c r="AA464" s="73"/>
      <c r="AC464" s="73"/>
      <c r="AD464" s="73"/>
      <c r="AF464" s="73"/>
      <c r="AH464" s="143"/>
      <c r="AI464" s="143"/>
      <c r="AJ464" s="143"/>
      <c r="AK464" s="143"/>
      <c r="AL464" s="143"/>
      <c r="AM464" s="143"/>
      <c r="AN464" s="143"/>
      <c r="AO464" s="143"/>
      <c r="AP464" s="143"/>
      <c r="AQ464" s="143"/>
      <c r="AR464" s="143"/>
      <c r="AS464" s="143"/>
    </row>
    <row r="465" spans="1:45" ht="15" customHeight="1">
      <c r="A465" s="593" t="str">
        <f t="shared" si="29"/>
        <v>109i</v>
      </c>
      <c r="B465" s="594">
        <f>input!H19</f>
        <v>40</v>
      </c>
      <c r="C465" s="594">
        <f>input!J19</f>
        <v>1940</v>
      </c>
      <c r="D465" s="594">
        <f>input!K19</f>
        <v>40</v>
      </c>
      <c r="E465" s="594">
        <f>input!L19</f>
        <v>120</v>
      </c>
      <c r="F465" s="594">
        <f>input!U19</f>
        <v>2400</v>
      </c>
      <c r="G465" s="594">
        <f>input!M19</f>
        <v>2800</v>
      </c>
      <c r="H465" s="818">
        <f t="shared" si="31"/>
        <v>5822000</v>
      </c>
      <c r="I465" s="595">
        <f>MST!L20</f>
        <v>-2.04</v>
      </c>
      <c r="J465" s="595">
        <f>MST!M20</f>
        <v>0</v>
      </c>
      <c r="K465" s="595">
        <f>MST!N20</f>
        <v>-15.59</v>
      </c>
      <c r="L465" s="595">
        <f t="shared" si="30"/>
        <v>-4.7315140845070415E-2</v>
      </c>
      <c r="M465" s="597">
        <f>SQRT(1-(L465/input!BI19)^2)</f>
        <v>0.99999999224819058</v>
      </c>
      <c r="U465" s="73"/>
      <c r="V465" s="73"/>
      <c r="W465" s="73"/>
      <c r="X465" s="73"/>
      <c r="Y465" s="73"/>
      <c r="Z465" s="73"/>
      <c r="AA465" s="73"/>
      <c r="AC465" s="73"/>
      <c r="AD465" s="73"/>
      <c r="AF465" s="73"/>
      <c r="AH465" s="143"/>
      <c r="AI465" s="143"/>
      <c r="AJ465" s="143"/>
      <c r="AK465" s="143"/>
      <c r="AL465" s="143"/>
      <c r="AM465" s="143"/>
      <c r="AN465" s="143"/>
      <c r="AO465" s="143"/>
      <c r="AP465" s="143"/>
      <c r="AQ465" s="143"/>
      <c r="AR465" s="143"/>
      <c r="AS465" s="143"/>
    </row>
    <row r="466" spans="1:45" ht="15" customHeight="1">
      <c r="A466" s="593" t="str">
        <f t="shared" si="29"/>
        <v>109j</v>
      </c>
      <c r="B466" s="594">
        <f>input!H20</f>
        <v>40</v>
      </c>
      <c r="C466" s="594">
        <f>input!J20</f>
        <v>1940</v>
      </c>
      <c r="D466" s="594">
        <f>input!K20</f>
        <v>40</v>
      </c>
      <c r="E466" s="594">
        <f>input!L20</f>
        <v>120</v>
      </c>
      <c r="F466" s="594">
        <f>input!U20</f>
        <v>2400</v>
      </c>
      <c r="G466" s="594">
        <f>input!M20</f>
        <v>2800</v>
      </c>
      <c r="H466" s="818">
        <f t="shared" si="31"/>
        <v>5822000</v>
      </c>
      <c r="I466" s="595">
        <f>MST!L21</f>
        <v>-2.04</v>
      </c>
      <c r="J466" s="595">
        <f>MST!M21</f>
        <v>0</v>
      </c>
      <c r="K466" s="595">
        <f>MST!N21</f>
        <v>-19.690000000000001</v>
      </c>
      <c r="L466" s="595">
        <f t="shared" si="30"/>
        <v>-5.8318661971830991E-2</v>
      </c>
      <c r="M466" s="597">
        <f>SQRT(1-(L466/input!BI20)^2)</f>
        <v>0.99999998822345448</v>
      </c>
      <c r="U466" s="73"/>
      <c r="V466" s="73"/>
      <c r="W466" s="73"/>
      <c r="X466" s="73"/>
      <c r="Y466" s="73"/>
      <c r="Z466" s="73"/>
      <c r="AA466" s="73"/>
      <c r="AC466" s="73"/>
      <c r="AD466" s="73"/>
      <c r="AF466" s="73"/>
      <c r="AH466" s="143"/>
      <c r="AI466" s="143"/>
      <c r="AJ466" s="143"/>
      <c r="AK466" s="143"/>
      <c r="AL466" s="143"/>
      <c r="AM466" s="143"/>
      <c r="AN466" s="143"/>
      <c r="AO466" s="143"/>
      <c r="AP466" s="143"/>
      <c r="AQ466" s="143"/>
      <c r="AR466" s="143"/>
      <c r="AS466" s="143"/>
    </row>
    <row r="467" spans="1:45" ht="15" customHeight="1">
      <c r="A467" s="593" t="str">
        <f t="shared" si="29"/>
        <v>110i</v>
      </c>
      <c r="B467" s="594">
        <f>input!H21</f>
        <v>40</v>
      </c>
      <c r="C467" s="594">
        <f>input!J21</f>
        <v>1940</v>
      </c>
      <c r="D467" s="594">
        <f>input!K21</f>
        <v>40</v>
      </c>
      <c r="E467" s="594">
        <f>input!L21</f>
        <v>120</v>
      </c>
      <c r="F467" s="594">
        <f>input!U21</f>
        <v>2400</v>
      </c>
      <c r="G467" s="594">
        <f>input!M21</f>
        <v>2800</v>
      </c>
      <c r="H467" s="818">
        <f t="shared" si="31"/>
        <v>5822000</v>
      </c>
      <c r="I467" s="595">
        <f>MST!L22</f>
        <v>0.67</v>
      </c>
      <c r="J467" s="595">
        <f>MST!M22</f>
        <v>0</v>
      </c>
      <c r="K467" s="595">
        <f>MST!N22</f>
        <v>2.94</v>
      </c>
      <c r="L467" s="595">
        <f t="shared" si="30"/>
        <v>9.6884661628306428E-3</v>
      </c>
      <c r="M467" s="597">
        <f>SQRT(1-(L467/input!BI21)^2)</f>
        <v>0.99999999967497788</v>
      </c>
      <c r="U467" s="73"/>
      <c r="V467" s="73"/>
      <c r="W467" s="73"/>
      <c r="X467" s="73"/>
      <c r="Y467" s="73"/>
      <c r="Z467" s="73"/>
      <c r="AA467" s="73"/>
      <c r="AC467" s="73"/>
      <c r="AD467" s="73"/>
      <c r="AF467" s="73"/>
      <c r="AH467" s="143"/>
      <c r="AI467" s="143"/>
      <c r="AJ467" s="143"/>
      <c r="AK467" s="143"/>
      <c r="AL467" s="143"/>
      <c r="AM467" s="143"/>
      <c r="AN467" s="143"/>
      <c r="AO467" s="143"/>
      <c r="AP467" s="143"/>
      <c r="AQ467" s="143"/>
      <c r="AR467" s="143"/>
      <c r="AS467" s="143"/>
    </row>
    <row r="468" spans="1:45" ht="15" customHeight="1">
      <c r="A468" s="593" t="str">
        <f t="shared" si="29"/>
        <v>110j</v>
      </c>
      <c r="B468" s="594">
        <f>input!H22</f>
        <v>40</v>
      </c>
      <c r="C468" s="594">
        <f>input!J22</f>
        <v>1940</v>
      </c>
      <c r="D468" s="594">
        <f>input!K22</f>
        <v>40</v>
      </c>
      <c r="E468" s="594">
        <f>input!L22</f>
        <v>120</v>
      </c>
      <c r="F468" s="594">
        <f>input!U22</f>
        <v>2400</v>
      </c>
      <c r="G468" s="594">
        <f>input!M22</f>
        <v>2800</v>
      </c>
      <c r="H468" s="818">
        <f t="shared" si="31"/>
        <v>5822000</v>
      </c>
      <c r="I468" s="595">
        <f>MST!L23</f>
        <v>0.67</v>
      </c>
      <c r="J468" s="595">
        <f>MST!M23</f>
        <v>0</v>
      </c>
      <c r="K468" s="595">
        <f>MST!N23</f>
        <v>-1.1599999999999999</v>
      </c>
      <c r="L468" s="595">
        <f t="shared" si="30"/>
        <v>-1.3150549639299204E-3</v>
      </c>
      <c r="M468" s="597">
        <f>SQRT(1-(L468/input!BI22)^2)</f>
        <v>0.9999999999940119</v>
      </c>
      <c r="U468" s="73"/>
      <c r="V468" s="73"/>
      <c r="W468" s="73"/>
      <c r="X468" s="73"/>
      <c r="Y468" s="73"/>
      <c r="Z468" s="73"/>
      <c r="AA468" s="73"/>
      <c r="AC468" s="73"/>
      <c r="AD468" s="73"/>
      <c r="AF468" s="73"/>
      <c r="AH468" s="143"/>
      <c r="AI468" s="143"/>
      <c r="AJ468" s="143"/>
      <c r="AK468" s="143"/>
      <c r="AL468" s="143"/>
      <c r="AM468" s="143"/>
      <c r="AN468" s="143"/>
      <c r="AO468" s="143"/>
      <c r="AP468" s="143"/>
      <c r="AQ468" s="143"/>
      <c r="AR468" s="143"/>
      <c r="AS468" s="143"/>
    </row>
    <row r="469" spans="1:45" ht="15" customHeight="1">
      <c r="A469" s="593" t="str">
        <f t="shared" si="29"/>
        <v>111i</v>
      </c>
      <c r="B469" s="594">
        <f>input!H23</f>
        <v>40</v>
      </c>
      <c r="C469" s="594">
        <f>input!J23</f>
        <v>1940</v>
      </c>
      <c r="D469" s="594">
        <f>input!K23</f>
        <v>40</v>
      </c>
      <c r="E469" s="594">
        <f>input!L23</f>
        <v>120</v>
      </c>
      <c r="F469" s="594">
        <f>input!U23</f>
        <v>2400</v>
      </c>
      <c r="G469" s="594">
        <f>input!M23</f>
        <v>2800</v>
      </c>
      <c r="H469" s="818">
        <f t="shared" si="31"/>
        <v>5822000</v>
      </c>
      <c r="I469" s="595">
        <f>MST!L24</f>
        <v>0.19</v>
      </c>
      <c r="J469" s="595">
        <f>MST!M24</f>
        <v>-0.01</v>
      </c>
      <c r="K469" s="595">
        <f>MST!N24</f>
        <v>15.33</v>
      </c>
      <c r="L469" s="595">
        <f t="shared" si="30"/>
        <v>4.1625515286843009E-2</v>
      </c>
      <c r="M469" s="597">
        <f>SQRT(1-(L469/input!BI23)^2)</f>
        <v>0.99999999400040329</v>
      </c>
      <c r="U469" s="73"/>
      <c r="V469" s="73"/>
      <c r="W469" s="73"/>
      <c r="X469" s="73"/>
      <c r="Y469" s="73"/>
      <c r="Z469" s="73"/>
      <c r="AA469" s="73"/>
      <c r="AC469" s="73"/>
      <c r="AD469" s="73"/>
      <c r="AF469" s="73"/>
      <c r="AH469" s="143"/>
      <c r="AI469" s="143"/>
      <c r="AJ469" s="143"/>
      <c r="AK469" s="143"/>
      <c r="AL469" s="143"/>
      <c r="AM469" s="143"/>
      <c r="AN469" s="143"/>
      <c r="AO469" s="143"/>
      <c r="AP469" s="143"/>
      <c r="AQ469" s="143"/>
      <c r="AR469" s="143"/>
      <c r="AS469" s="143"/>
    </row>
    <row r="470" spans="1:45" ht="15" customHeight="1">
      <c r="A470" s="593" t="str">
        <f t="shared" si="29"/>
        <v>111j</v>
      </c>
      <c r="B470" s="594">
        <f>input!H24</f>
        <v>40</v>
      </c>
      <c r="C470" s="594">
        <f>input!J24</f>
        <v>1940</v>
      </c>
      <c r="D470" s="594">
        <f>input!K24</f>
        <v>40</v>
      </c>
      <c r="E470" s="594">
        <f>input!L24</f>
        <v>120</v>
      </c>
      <c r="F470" s="594">
        <f>input!U24</f>
        <v>2400</v>
      </c>
      <c r="G470" s="594">
        <f>input!M24</f>
        <v>2800</v>
      </c>
      <c r="H470" s="818">
        <f t="shared" si="31"/>
        <v>5822000</v>
      </c>
      <c r="I470" s="595">
        <f>MST!L25</f>
        <v>0.19</v>
      </c>
      <c r="J470" s="595">
        <f>MST!M25</f>
        <v>-0.01</v>
      </c>
      <c r="K470" s="595">
        <f>MST!N25</f>
        <v>11.23</v>
      </c>
      <c r="L470" s="595">
        <f t="shared" si="30"/>
        <v>3.0621994160082443E-2</v>
      </c>
      <c r="M470" s="597">
        <f>SQRT(1-(L470/input!BI24)^2)</f>
        <v>0.9999999967530937</v>
      </c>
      <c r="U470" s="73"/>
      <c r="V470" s="73"/>
      <c r="W470" s="73"/>
      <c r="X470" s="73"/>
      <c r="Y470" s="73"/>
      <c r="Z470" s="73"/>
      <c r="AA470" s="73"/>
      <c r="AC470" s="73"/>
      <c r="AD470" s="73"/>
      <c r="AF470" s="73"/>
      <c r="AH470" s="143"/>
      <c r="AI470" s="143"/>
      <c r="AJ470" s="143"/>
      <c r="AK470" s="143"/>
      <c r="AL470" s="143"/>
      <c r="AM470" s="143"/>
      <c r="AN470" s="143"/>
      <c r="AO470" s="143"/>
      <c r="AP470" s="143"/>
      <c r="AQ470" s="143"/>
      <c r="AR470" s="143"/>
      <c r="AS470" s="143"/>
    </row>
    <row r="471" spans="1:45" ht="15" customHeight="1">
      <c r="A471" s="593" t="str">
        <f t="shared" si="29"/>
        <v>112i</v>
      </c>
      <c r="B471" s="594">
        <f>input!H25</f>
        <v>36</v>
      </c>
      <c r="C471" s="594">
        <f>input!J25</f>
        <v>1940</v>
      </c>
      <c r="D471" s="594">
        <f>input!K25</f>
        <v>32</v>
      </c>
      <c r="E471" s="594">
        <f>input!L25</f>
        <v>120</v>
      </c>
      <c r="F471" s="594">
        <f>input!U25</f>
        <v>2400</v>
      </c>
      <c r="G471" s="594">
        <f>input!M25</f>
        <v>2800</v>
      </c>
      <c r="H471" s="818">
        <f t="shared" si="31"/>
        <v>5809700</v>
      </c>
      <c r="I471" s="595">
        <f>MST!L26</f>
        <v>0.19</v>
      </c>
      <c r="J471" s="595">
        <f>MST!M26</f>
        <v>-0.01</v>
      </c>
      <c r="K471" s="595">
        <f>MST!N26</f>
        <v>11.23</v>
      </c>
      <c r="L471" s="595">
        <f t="shared" si="30"/>
        <v>3.4096472757246983E-2</v>
      </c>
      <c r="M471" s="597">
        <f>SQRT(1-(L471/input!BI25)^2)</f>
        <v>0.99999999597448253</v>
      </c>
      <c r="U471" s="73"/>
      <c r="V471" s="73"/>
      <c r="W471" s="73"/>
      <c r="X471" s="73"/>
      <c r="Y471" s="73"/>
      <c r="Z471" s="73"/>
      <c r="AA471" s="73"/>
      <c r="AC471" s="73"/>
      <c r="AD471" s="73"/>
      <c r="AF471" s="73"/>
      <c r="AH471" s="143"/>
      <c r="AI471" s="143"/>
      <c r="AJ471" s="143"/>
      <c r="AK471" s="143"/>
      <c r="AL471" s="143"/>
      <c r="AM471" s="143"/>
      <c r="AN471" s="143"/>
      <c r="AO471" s="143"/>
      <c r="AP471" s="143"/>
      <c r="AQ471" s="143"/>
      <c r="AR471" s="143"/>
      <c r="AS471" s="143"/>
    </row>
    <row r="472" spans="1:45" ht="15" customHeight="1">
      <c r="A472" s="593" t="str">
        <f t="shared" si="29"/>
        <v>112j</v>
      </c>
      <c r="B472" s="594">
        <f>input!H26</f>
        <v>36</v>
      </c>
      <c r="C472" s="594">
        <f>input!J26</f>
        <v>1940</v>
      </c>
      <c r="D472" s="594">
        <f>input!K26</f>
        <v>32</v>
      </c>
      <c r="E472" s="594">
        <f>input!L26</f>
        <v>120</v>
      </c>
      <c r="F472" s="594">
        <f>input!U26</f>
        <v>2400</v>
      </c>
      <c r="G472" s="594">
        <f>input!M26</f>
        <v>2800</v>
      </c>
      <c r="H472" s="818">
        <f t="shared" si="31"/>
        <v>5809700</v>
      </c>
      <c r="I472" s="595">
        <f>MST!L27</f>
        <v>0.19</v>
      </c>
      <c r="J472" s="595">
        <f>MST!M27</f>
        <v>-0.01</v>
      </c>
      <c r="K472" s="595">
        <f>MST!N27</f>
        <v>7.13</v>
      </c>
      <c r="L472" s="595">
        <f t="shared" si="30"/>
        <v>2.1844453624493901E-2</v>
      </c>
      <c r="M472" s="597">
        <f>SQRT(1-(L472/input!BI26)^2)</f>
        <v>0.99999999834771414</v>
      </c>
      <c r="U472" s="73"/>
      <c r="V472" s="73"/>
      <c r="W472" s="73"/>
      <c r="X472" s="73"/>
      <c r="Y472" s="73"/>
      <c r="Z472" s="73"/>
      <c r="AA472" s="73"/>
      <c r="AC472" s="73"/>
      <c r="AD472" s="73"/>
      <c r="AF472" s="73"/>
      <c r="AH472" s="143"/>
      <c r="AI472" s="143"/>
      <c r="AJ472" s="143"/>
      <c r="AK472" s="143"/>
      <c r="AL472" s="143"/>
      <c r="AM472" s="143"/>
      <c r="AN472" s="143"/>
      <c r="AO472" s="143"/>
      <c r="AP472" s="143"/>
      <c r="AQ472" s="143"/>
      <c r="AR472" s="143"/>
      <c r="AS472" s="143"/>
    </row>
    <row r="473" spans="1:45" ht="15" customHeight="1">
      <c r="A473" s="593" t="str">
        <f t="shared" si="29"/>
        <v>113i</v>
      </c>
      <c r="B473" s="594">
        <f>input!H27</f>
        <v>30</v>
      </c>
      <c r="C473" s="594">
        <f>input!J27</f>
        <v>1940</v>
      </c>
      <c r="D473" s="594">
        <f>input!K27</f>
        <v>32</v>
      </c>
      <c r="E473" s="594">
        <f>input!L27</f>
        <v>120</v>
      </c>
      <c r="F473" s="594">
        <f>input!U27</f>
        <v>2400</v>
      </c>
      <c r="G473" s="594">
        <f>input!M27</f>
        <v>2800</v>
      </c>
      <c r="H473" s="818">
        <f t="shared" si="31"/>
        <v>5803550</v>
      </c>
      <c r="I473" s="595">
        <f>MST!L28</f>
        <v>0.69</v>
      </c>
      <c r="J473" s="595">
        <f>MST!M28</f>
        <v>-0.02</v>
      </c>
      <c r="K473" s="595">
        <f>MST!N28</f>
        <v>6.16</v>
      </c>
      <c r="L473" s="595">
        <f t="shared" si="30"/>
        <v>2.4518039246093623E-2</v>
      </c>
      <c r="M473" s="597">
        <f>SQRT(1-(L473/input!BI27)^2)</f>
        <v>0.99999999791851024</v>
      </c>
      <c r="U473" s="73"/>
      <c r="V473" s="73"/>
      <c r="W473" s="73"/>
      <c r="X473" s="73"/>
      <c r="Y473" s="73"/>
      <c r="Z473" s="73"/>
      <c r="AA473" s="73"/>
      <c r="AC473" s="73"/>
      <c r="AD473" s="73"/>
      <c r="AF473" s="73"/>
      <c r="AH473" s="143"/>
      <c r="AI473" s="143"/>
      <c r="AJ473" s="143"/>
      <c r="AK473" s="143"/>
      <c r="AL473" s="143"/>
      <c r="AM473" s="143"/>
      <c r="AN473" s="143"/>
      <c r="AO473" s="143"/>
      <c r="AP473" s="143"/>
      <c r="AQ473" s="143"/>
      <c r="AR473" s="143"/>
      <c r="AS473" s="143"/>
    </row>
    <row r="474" spans="1:45" ht="15" customHeight="1">
      <c r="A474" s="593" t="str">
        <f t="shared" si="29"/>
        <v>113j</v>
      </c>
      <c r="B474" s="594">
        <f>input!H28</f>
        <v>30</v>
      </c>
      <c r="C474" s="594">
        <f>input!J28</f>
        <v>1940</v>
      </c>
      <c r="D474" s="594">
        <f>input!K28</f>
        <v>32</v>
      </c>
      <c r="E474" s="594">
        <f>input!L28</f>
        <v>120</v>
      </c>
      <c r="F474" s="594">
        <f>input!U28</f>
        <v>2400</v>
      </c>
      <c r="G474" s="594">
        <f>input!M28</f>
        <v>2800</v>
      </c>
      <c r="H474" s="818">
        <f t="shared" si="31"/>
        <v>5803550</v>
      </c>
      <c r="I474" s="595">
        <f>MST!L29</f>
        <v>0.69</v>
      </c>
      <c r="J474" s="595">
        <f>MST!M29</f>
        <v>-0.02</v>
      </c>
      <c r="K474" s="595">
        <f>MST!N29</f>
        <v>2.06</v>
      </c>
      <c r="L474" s="595">
        <f t="shared" si="30"/>
        <v>9.8000361847489902E-3</v>
      </c>
      <c r="M474" s="597">
        <f>SQRT(1-(L474/input!BI28)^2)</f>
        <v>0.99999999966744901</v>
      </c>
      <c r="U474" s="73"/>
      <c r="V474" s="73"/>
      <c r="W474" s="73"/>
      <c r="X474" s="73"/>
      <c r="Y474" s="73"/>
      <c r="Z474" s="73"/>
      <c r="AA474" s="73"/>
      <c r="AC474" s="73"/>
      <c r="AD474" s="73"/>
      <c r="AF474" s="73"/>
      <c r="AH474" s="143"/>
      <c r="AI474" s="143"/>
      <c r="AJ474" s="143"/>
      <c r="AK474" s="143"/>
      <c r="AL474" s="143"/>
      <c r="AM474" s="143"/>
      <c r="AN474" s="143"/>
      <c r="AO474" s="143"/>
      <c r="AP474" s="143"/>
      <c r="AQ474" s="143"/>
      <c r="AR474" s="143"/>
      <c r="AS474" s="143"/>
    </row>
    <row r="475" spans="1:45" ht="15" customHeight="1">
      <c r="A475" s="593" t="str">
        <f t="shared" si="29"/>
        <v>114i</v>
      </c>
      <c r="B475" s="594">
        <f>input!H29</f>
        <v>30</v>
      </c>
      <c r="C475" s="594">
        <f>input!J29</f>
        <v>1940</v>
      </c>
      <c r="D475" s="594">
        <f>input!K29</f>
        <v>32</v>
      </c>
      <c r="E475" s="594">
        <f>input!L29</f>
        <v>120</v>
      </c>
      <c r="F475" s="594">
        <f>input!U29</f>
        <v>2400</v>
      </c>
      <c r="G475" s="594">
        <f>input!M29</f>
        <v>2800</v>
      </c>
      <c r="H475" s="818">
        <f t="shared" si="31"/>
        <v>5803550</v>
      </c>
      <c r="I475" s="595">
        <f>MST!L30</f>
        <v>0.69</v>
      </c>
      <c r="J475" s="595">
        <f>MST!M30</f>
        <v>-0.02</v>
      </c>
      <c r="K475" s="595">
        <f>MST!N30</f>
        <v>2.06</v>
      </c>
      <c r="L475" s="595">
        <f t="shared" si="30"/>
        <v>9.8000361847489902E-3</v>
      </c>
      <c r="M475" s="597">
        <f>SQRT(1-(L475/input!BI29)^2)</f>
        <v>0.99999999966744901</v>
      </c>
      <c r="U475" s="73"/>
      <c r="V475" s="73"/>
      <c r="W475" s="73"/>
      <c r="X475" s="73"/>
      <c r="Y475" s="73"/>
      <c r="Z475" s="73"/>
      <c r="AA475" s="73"/>
      <c r="AC475" s="73"/>
      <c r="AD475" s="73"/>
      <c r="AF475" s="73"/>
      <c r="AH475" s="143"/>
      <c r="AI475" s="143"/>
      <c r="AJ475" s="143"/>
      <c r="AK475" s="143"/>
      <c r="AL475" s="143"/>
      <c r="AM475" s="143"/>
      <c r="AN475" s="143"/>
      <c r="AO475" s="143"/>
      <c r="AP475" s="143"/>
      <c r="AQ475" s="143"/>
      <c r="AR475" s="143"/>
      <c r="AS475" s="143"/>
    </row>
    <row r="476" spans="1:45" ht="15" customHeight="1">
      <c r="A476" s="593" t="str">
        <f t="shared" si="29"/>
        <v>114j</v>
      </c>
      <c r="B476" s="594">
        <f>input!H30</f>
        <v>30</v>
      </c>
      <c r="C476" s="594">
        <f>input!J30</f>
        <v>1940</v>
      </c>
      <c r="D476" s="594">
        <f>input!K30</f>
        <v>32</v>
      </c>
      <c r="E476" s="594">
        <f>input!L30</f>
        <v>120</v>
      </c>
      <c r="F476" s="594">
        <f>input!U30</f>
        <v>2400</v>
      </c>
      <c r="G476" s="594">
        <f>input!M30</f>
        <v>2800</v>
      </c>
      <c r="H476" s="818">
        <f t="shared" si="31"/>
        <v>5803550</v>
      </c>
      <c r="I476" s="595">
        <f>MST!L31</f>
        <v>0.69</v>
      </c>
      <c r="J476" s="595">
        <f>MST!M31</f>
        <v>-0.02</v>
      </c>
      <c r="K476" s="595">
        <f>MST!N31</f>
        <v>-2.04</v>
      </c>
      <c r="L476" s="595">
        <f t="shared" si="30"/>
        <v>-4.9179668765956469E-3</v>
      </c>
      <c r="M476" s="597">
        <f>SQRT(1-(L476/input!BI30)^2)</f>
        <v>0.9999999999162521</v>
      </c>
      <c r="U476" s="73"/>
      <c r="V476" s="73"/>
      <c r="W476" s="73"/>
      <c r="X476" s="73"/>
      <c r="Y476" s="73"/>
      <c r="Z476" s="73"/>
      <c r="AA476" s="73"/>
      <c r="AC476" s="73"/>
      <c r="AD476" s="73"/>
      <c r="AF476" s="73"/>
      <c r="AH476" s="143"/>
      <c r="AI476" s="143"/>
      <c r="AJ476" s="143"/>
      <c r="AK476" s="143"/>
      <c r="AL476" s="143"/>
      <c r="AM476" s="143"/>
      <c r="AN476" s="143"/>
      <c r="AO476" s="143"/>
      <c r="AP476" s="143"/>
      <c r="AQ476" s="143"/>
      <c r="AR476" s="143"/>
      <c r="AS476" s="143"/>
    </row>
    <row r="477" spans="1:45" ht="15" customHeight="1">
      <c r="A477" s="593" t="str">
        <f t="shared" si="29"/>
        <v>115i</v>
      </c>
      <c r="B477" s="594">
        <f>input!H31</f>
        <v>22</v>
      </c>
      <c r="C477" s="594">
        <f>input!J31</f>
        <v>1940</v>
      </c>
      <c r="D477" s="594">
        <f>input!K31</f>
        <v>18</v>
      </c>
      <c r="E477" s="594">
        <f>input!L31</f>
        <v>120</v>
      </c>
      <c r="F477" s="594">
        <f>input!U31</f>
        <v>2400</v>
      </c>
      <c r="G477" s="594">
        <f>input!M31</f>
        <v>2800</v>
      </c>
      <c r="H477" s="818">
        <f t="shared" si="31"/>
        <v>5781000</v>
      </c>
      <c r="I477" s="595">
        <f>MST!L32</f>
        <v>0.2</v>
      </c>
      <c r="J477" s="595">
        <f>MST!M32</f>
        <v>-0.05</v>
      </c>
      <c r="K477" s="595">
        <f>MST!N32</f>
        <v>-2.78</v>
      </c>
      <c r="L477" s="595">
        <f t="shared" si="30"/>
        <v>-1.2924391816452014E-2</v>
      </c>
      <c r="M477" s="597">
        <f>SQRT(1-(L477/input!BI31)^2)</f>
        <v>0.999999999421607</v>
      </c>
      <c r="U477" s="73"/>
      <c r="V477" s="73"/>
      <c r="W477" s="73"/>
      <c r="X477" s="73"/>
      <c r="Y477" s="73"/>
      <c r="Z477" s="73"/>
      <c r="AA477" s="73"/>
      <c r="AC477" s="73"/>
      <c r="AD477" s="73"/>
      <c r="AF477" s="73"/>
      <c r="AH477" s="143"/>
      <c r="AI477" s="143"/>
      <c r="AJ477" s="143"/>
      <c r="AK477" s="143"/>
      <c r="AL477" s="143"/>
      <c r="AM477" s="143"/>
      <c r="AN477" s="143"/>
      <c r="AO477" s="143"/>
      <c r="AP477" s="143"/>
      <c r="AQ477" s="143"/>
      <c r="AR477" s="143"/>
      <c r="AS477" s="143"/>
    </row>
    <row r="478" spans="1:45" ht="15" customHeight="1">
      <c r="A478" s="593" t="str">
        <f t="shared" si="29"/>
        <v>115j</v>
      </c>
      <c r="B478" s="594">
        <f>input!H32</f>
        <v>22</v>
      </c>
      <c r="C478" s="594">
        <f>input!J32</f>
        <v>1940</v>
      </c>
      <c r="D478" s="594">
        <f>input!K32</f>
        <v>18</v>
      </c>
      <c r="E478" s="594">
        <f>input!L32</f>
        <v>120</v>
      </c>
      <c r="F478" s="594">
        <f>input!U32</f>
        <v>2400</v>
      </c>
      <c r="G478" s="594">
        <f>input!M32</f>
        <v>2800</v>
      </c>
      <c r="H478" s="818">
        <f t="shared" si="31"/>
        <v>5781000</v>
      </c>
      <c r="I478" s="595">
        <f>MST!L33</f>
        <v>0.2</v>
      </c>
      <c r="J478" s="595">
        <f>MST!M33</f>
        <v>-0.05</v>
      </c>
      <c r="K478" s="595">
        <f>MST!N33</f>
        <v>-6.88</v>
      </c>
      <c r="L478" s="595">
        <f t="shared" si="30"/>
        <v>-4.0422168406081226E-2</v>
      </c>
      <c r="M478" s="597">
        <f>SQRT(1-(L478/input!BI32)^2)</f>
        <v>0.99999999434227249</v>
      </c>
      <c r="U478" s="73"/>
      <c r="V478" s="73"/>
      <c r="W478" s="73"/>
      <c r="X478" s="73"/>
      <c r="Y478" s="73"/>
      <c r="Z478" s="73"/>
      <c r="AA478" s="73"/>
      <c r="AC478" s="73"/>
      <c r="AD478" s="73"/>
      <c r="AF478" s="7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</row>
    <row r="479" spans="1:45" ht="15" customHeight="1">
      <c r="A479" s="593" t="str">
        <f t="shared" si="29"/>
        <v>116i</v>
      </c>
      <c r="B479" s="594">
        <f>input!H33</f>
        <v>26</v>
      </c>
      <c r="C479" s="594">
        <f>input!J33</f>
        <v>1937</v>
      </c>
      <c r="D479" s="594">
        <f>input!K33</f>
        <v>24</v>
      </c>
      <c r="E479" s="594">
        <f>input!L33</f>
        <v>120</v>
      </c>
      <c r="F479" s="594">
        <f>input!U33</f>
        <v>2400</v>
      </c>
      <c r="G479" s="594">
        <f>input!M33</f>
        <v>2814</v>
      </c>
      <c r="H479" s="818">
        <f t="shared" si="31"/>
        <v>5815691.5</v>
      </c>
      <c r="I479" s="595">
        <f>MST!L34</f>
        <v>0.2</v>
      </c>
      <c r="J479" s="595">
        <f>MST!M34</f>
        <v>-0.05</v>
      </c>
      <c r="K479" s="595">
        <f>MST!N34</f>
        <v>-6.88</v>
      </c>
      <c r="L479" s="595">
        <f t="shared" si="30"/>
        <v>-3.013578293598735E-2</v>
      </c>
      <c r="M479" s="597">
        <f>SQRT(1-(L479/input!BI33)^2)</f>
        <v>0.99999999685538288</v>
      </c>
      <c r="U479" s="73"/>
      <c r="V479" s="73"/>
      <c r="W479" s="73"/>
      <c r="X479" s="73"/>
      <c r="Y479" s="73"/>
      <c r="Z479" s="73"/>
      <c r="AA479" s="73"/>
      <c r="AC479" s="73"/>
      <c r="AD479" s="73"/>
      <c r="AF479" s="73"/>
      <c r="AH479" s="143"/>
      <c r="AI479" s="143"/>
      <c r="AJ479" s="143"/>
      <c r="AK479" s="143"/>
      <c r="AL479" s="143"/>
      <c r="AM479" s="143"/>
      <c r="AN479" s="143"/>
      <c r="AO479" s="143"/>
      <c r="AP479" s="143"/>
      <c r="AQ479" s="143"/>
      <c r="AR479" s="143"/>
      <c r="AS479" s="143"/>
    </row>
    <row r="480" spans="1:45" ht="15" customHeight="1">
      <c r="A480" s="593" t="str">
        <f t="shared" si="29"/>
        <v>116j</v>
      </c>
      <c r="B480" s="594">
        <f>input!H34</f>
        <v>26</v>
      </c>
      <c r="C480" s="594">
        <f>input!J34</f>
        <v>1937</v>
      </c>
      <c r="D480" s="594">
        <f>input!K34</f>
        <v>24</v>
      </c>
      <c r="E480" s="594">
        <f>input!L34</f>
        <v>120</v>
      </c>
      <c r="F480" s="594">
        <f>input!U34</f>
        <v>2400</v>
      </c>
      <c r="G480" s="594">
        <f>input!M34</f>
        <v>2814</v>
      </c>
      <c r="H480" s="818">
        <f t="shared" si="31"/>
        <v>5815691.5</v>
      </c>
      <c r="I480" s="595">
        <f>MST!L35</f>
        <v>0.2</v>
      </c>
      <c r="J480" s="595">
        <f>MST!M35</f>
        <v>-0.05</v>
      </c>
      <c r="K480" s="595">
        <f>MST!N35</f>
        <v>-10.98</v>
      </c>
      <c r="L480" s="595">
        <f t="shared" si="30"/>
        <v>-4.8494878038149031E-2</v>
      </c>
      <c r="M480" s="597">
        <f>SQRT(1-(L480/input!BI34)^2)</f>
        <v>0.99999999185681021</v>
      </c>
      <c r="U480" s="73"/>
      <c r="V480" s="73"/>
      <c r="W480" s="73"/>
      <c r="X480" s="73"/>
      <c r="Y480" s="73"/>
      <c r="Z480" s="73"/>
      <c r="AA480" s="73"/>
      <c r="AC480" s="73"/>
      <c r="AD480" s="73"/>
      <c r="AF480" s="73"/>
      <c r="AH480" s="143"/>
      <c r="AI480" s="143"/>
      <c r="AJ480" s="143"/>
      <c r="AK480" s="143"/>
      <c r="AL480" s="143"/>
      <c r="AM480" s="143"/>
      <c r="AN480" s="143"/>
      <c r="AO480" s="143"/>
      <c r="AP480" s="143"/>
      <c r="AQ480" s="143"/>
      <c r="AR480" s="143"/>
      <c r="AS480" s="143"/>
    </row>
    <row r="481" spans="1:45" ht="15" customHeight="1">
      <c r="A481" s="593" t="str">
        <f t="shared" ref="A481:A510" si="32">A127</f>
        <v>117i</v>
      </c>
      <c r="B481" s="594">
        <f>input!H35</f>
        <v>36</v>
      </c>
      <c r="C481" s="594">
        <f>input!J35</f>
        <v>1909</v>
      </c>
      <c r="D481" s="594">
        <f>input!K35</f>
        <v>28</v>
      </c>
      <c r="E481" s="594">
        <f>input!L35</f>
        <v>120</v>
      </c>
      <c r="F481" s="594">
        <f>input!U35</f>
        <v>2400</v>
      </c>
      <c r="G481" s="594">
        <f>input!M35</f>
        <v>2924</v>
      </c>
      <c r="H481" s="818">
        <f t="shared" si="31"/>
        <v>6013982</v>
      </c>
      <c r="I481" s="595">
        <f>MST!L36</f>
        <v>-9.6199999999999992</v>
      </c>
      <c r="J481" s="595">
        <f>MST!M36</f>
        <v>0.23</v>
      </c>
      <c r="K481" s="595">
        <f>MST!N36</f>
        <v>-45.35</v>
      </c>
      <c r="L481" s="595">
        <f t="shared" ref="L481:L510" si="33">1.25*(I481+J481+K481)/2/H481/IF(D193="Positive",B481,D481)*10^6</f>
        <v>-0.2031723739778403</v>
      </c>
      <c r="M481" s="597">
        <f>SQRT(1-(L481/input!BI35)^2)</f>
        <v>0.99999985706711736</v>
      </c>
      <c r="U481" s="73"/>
      <c r="V481" s="73"/>
      <c r="W481" s="73"/>
      <c r="X481" s="73"/>
      <c r="Y481" s="73"/>
      <c r="Z481" s="73"/>
      <c r="AA481" s="73"/>
      <c r="AC481" s="73"/>
      <c r="AD481" s="73"/>
      <c r="AF481" s="73"/>
      <c r="AH481" s="143"/>
      <c r="AI481" s="143"/>
      <c r="AJ481" s="143"/>
      <c r="AK481" s="143"/>
      <c r="AL481" s="143"/>
      <c r="AM481" s="143"/>
      <c r="AN481" s="143"/>
      <c r="AO481" s="143"/>
      <c r="AP481" s="143"/>
      <c r="AQ481" s="143"/>
      <c r="AR481" s="143"/>
      <c r="AS481" s="143"/>
    </row>
    <row r="482" spans="1:45" ht="15" customHeight="1">
      <c r="A482" s="593" t="str">
        <f t="shared" si="32"/>
        <v>117j</v>
      </c>
      <c r="B482" s="594">
        <f>input!H36</f>
        <v>36</v>
      </c>
      <c r="C482" s="594">
        <f>input!J36</f>
        <v>1909</v>
      </c>
      <c r="D482" s="594">
        <f>input!K36</f>
        <v>28</v>
      </c>
      <c r="E482" s="594">
        <f>input!L36</f>
        <v>120</v>
      </c>
      <c r="F482" s="594">
        <f>input!U36</f>
        <v>2400</v>
      </c>
      <c r="G482" s="594">
        <f>input!M36</f>
        <v>2924</v>
      </c>
      <c r="H482" s="818">
        <f t="shared" si="31"/>
        <v>6013982</v>
      </c>
      <c r="I482" s="595">
        <f>MST!L37</f>
        <v>-9.6199999999999992</v>
      </c>
      <c r="J482" s="595">
        <f>MST!M37</f>
        <v>0.23</v>
      </c>
      <c r="K482" s="595">
        <f>MST!N37</f>
        <v>-49.45</v>
      </c>
      <c r="L482" s="595">
        <f t="shared" si="33"/>
        <v>-0.21838988828747033</v>
      </c>
      <c r="M482" s="597">
        <f>SQRT(1-(L482/input!BI36)^2)</f>
        <v>0.99999983485406074</v>
      </c>
      <c r="U482" s="73"/>
      <c r="V482" s="73"/>
      <c r="W482" s="73"/>
      <c r="X482" s="73"/>
      <c r="Y482" s="73"/>
      <c r="Z482" s="73"/>
      <c r="AA482" s="73"/>
      <c r="AC482" s="73"/>
      <c r="AD482" s="73"/>
      <c r="AF482" s="73"/>
      <c r="AH482" s="143"/>
      <c r="AI482" s="143"/>
      <c r="AJ482" s="143"/>
      <c r="AK482" s="143"/>
      <c r="AL482" s="143"/>
      <c r="AM482" s="143"/>
      <c r="AN482" s="143"/>
      <c r="AO482" s="143"/>
      <c r="AP482" s="143"/>
      <c r="AQ482" s="143"/>
      <c r="AR482" s="143"/>
      <c r="AS482" s="143"/>
    </row>
    <row r="483" spans="1:45" ht="15" customHeight="1">
      <c r="A483" s="593" t="str">
        <f t="shared" si="32"/>
        <v>118i</v>
      </c>
      <c r="B483" s="594">
        <f>input!H37</f>
        <v>40</v>
      </c>
      <c r="C483" s="594">
        <f>input!J37</f>
        <v>1864</v>
      </c>
      <c r="D483" s="594">
        <f>input!K37</f>
        <v>30</v>
      </c>
      <c r="E483" s="594">
        <f>input!L37</f>
        <v>120</v>
      </c>
      <c r="F483" s="594">
        <f>input!U37</f>
        <v>2400</v>
      </c>
      <c r="G483" s="594">
        <f>input!M37</f>
        <v>3103</v>
      </c>
      <c r="H483" s="818">
        <f t="shared" si="31"/>
        <v>6313656</v>
      </c>
      <c r="I483" s="595">
        <f>MST!L38</f>
        <v>-9.6199999999999992</v>
      </c>
      <c r="J483" s="595">
        <f>MST!M38</f>
        <v>0.23</v>
      </c>
      <c r="K483" s="595">
        <f>MST!N38</f>
        <v>-49.45</v>
      </c>
      <c r="L483" s="595">
        <f t="shared" si="33"/>
        <v>-0.1941558636285115</v>
      </c>
      <c r="M483" s="597">
        <f>SQRT(1-(L483/input!BI37)^2)</f>
        <v>0.99999986947194652</v>
      </c>
      <c r="U483" s="73"/>
      <c r="V483" s="73"/>
      <c r="W483" s="73"/>
      <c r="X483" s="73"/>
      <c r="Y483" s="73"/>
      <c r="Z483" s="73"/>
      <c r="AA483" s="73"/>
      <c r="AC483" s="73"/>
      <c r="AD483" s="73"/>
      <c r="AF483" s="73"/>
      <c r="AH483" s="143"/>
      <c r="AI483" s="143"/>
      <c r="AJ483" s="143"/>
      <c r="AK483" s="143"/>
      <c r="AL483" s="143"/>
      <c r="AM483" s="143"/>
      <c r="AN483" s="143"/>
      <c r="AO483" s="143"/>
      <c r="AP483" s="143"/>
      <c r="AQ483" s="143"/>
      <c r="AR483" s="143"/>
      <c r="AS483" s="143"/>
    </row>
    <row r="484" spans="1:45" ht="15" customHeight="1">
      <c r="A484" s="593" t="str">
        <f t="shared" si="32"/>
        <v>118j</v>
      </c>
      <c r="B484" s="594">
        <f>input!H38</f>
        <v>40</v>
      </c>
      <c r="C484" s="594">
        <f>input!J38</f>
        <v>1864</v>
      </c>
      <c r="D484" s="594">
        <f>input!K38</f>
        <v>30</v>
      </c>
      <c r="E484" s="594">
        <f>input!L38</f>
        <v>120</v>
      </c>
      <c r="F484" s="594">
        <f>input!U38</f>
        <v>2400</v>
      </c>
      <c r="G484" s="594">
        <f>input!M38</f>
        <v>3103</v>
      </c>
      <c r="H484" s="818">
        <f t="shared" si="31"/>
        <v>6313656</v>
      </c>
      <c r="I484" s="595">
        <f>MST!L39</f>
        <v>-9.6199999999999992</v>
      </c>
      <c r="J484" s="595">
        <f>MST!M39</f>
        <v>0.23</v>
      </c>
      <c r="K484" s="595">
        <f>MST!N39</f>
        <v>-52.32</v>
      </c>
      <c r="L484" s="595">
        <f t="shared" si="33"/>
        <v>-0.20362607655532705</v>
      </c>
      <c r="M484" s="597">
        <f>SQRT(1-(L484/input!BI38)^2)</f>
        <v>0.99999985642804012</v>
      </c>
      <c r="U484" s="73"/>
      <c r="V484" s="73"/>
      <c r="W484" s="73"/>
      <c r="X484" s="73"/>
      <c r="Y484" s="73"/>
      <c r="Z484" s="73"/>
      <c r="AA484" s="73"/>
      <c r="AC484" s="73"/>
      <c r="AD484" s="73"/>
      <c r="AF484" s="73"/>
      <c r="AH484" s="143"/>
      <c r="AI484" s="143"/>
      <c r="AJ484" s="143"/>
      <c r="AK484" s="143"/>
      <c r="AL484" s="143"/>
      <c r="AM484" s="143"/>
      <c r="AN484" s="143"/>
      <c r="AO484" s="143"/>
      <c r="AP484" s="143"/>
      <c r="AQ484" s="143"/>
      <c r="AR484" s="143"/>
      <c r="AS484" s="143"/>
    </row>
    <row r="485" spans="1:45" ht="15" customHeight="1">
      <c r="A485" s="593" t="str">
        <f t="shared" si="32"/>
        <v>119i</v>
      </c>
      <c r="B485" s="594">
        <f>input!H39</f>
        <v>40</v>
      </c>
      <c r="C485" s="594">
        <f>input!J39</f>
        <v>1840</v>
      </c>
      <c r="D485" s="594">
        <f>input!K39</f>
        <v>30</v>
      </c>
      <c r="E485" s="594">
        <f>input!L39</f>
        <v>120</v>
      </c>
      <c r="F485" s="594">
        <f>input!U39</f>
        <v>2400</v>
      </c>
      <c r="G485" s="594">
        <f>input!M39</f>
        <v>3200</v>
      </c>
      <c r="H485" s="818">
        <f t="shared" si="31"/>
        <v>6470000</v>
      </c>
      <c r="I485" s="595">
        <f>MST!L40</f>
        <v>-9.6199999999999992</v>
      </c>
      <c r="J485" s="595">
        <f>MST!M40</f>
        <v>0.23</v>
      </c>
      <c r="K485" s="595">
        <f>MST!N40</f>
        <v>-52.32</v>
      </c>
      <c r="L485" s="595">
        <f t="shared" si="33"/>
        <v>-0.19870556414219473</v>
      </c>
      <c r="M485" s="597">
        <f>SQRT(1-(L485/input!BI39)^2)</f>
        <v>0.99999986328288115</v>
      </c>
      <c r="U485" s="73"/>
      <c r="V485" s="73"/>
      <c r="W485" s="73"/>
      <c r="X485" s="73"/>
      <c r="Y485" s="73"/>
      <c r="Z485" s="73"/>
      <c r="AA485" s="73"/>
      <c r="AC485" s="73"/>
      <c r="AD485" s="73"/>
      <c r="AF485" s="73"/>
      <c r="AH485" s="143"/>
      <c r="AI485" s="143"/>
      <c r="AJ485" s="143"/>
      <c r="AK485" s="143"/>
      <c r="AL485" s="143"/>
      <c r="AM485" s="143"/>
      <c r="AN485" s="143"/>
      <c r="AO485" s="143"/>
      <c r="AP485" s="143"/>
      <c r="AQ485" s="143"/>
      <c r="AR485" s="143"/>
      <c r="AS485" s="143"/>
    </row>
    <row r="486" spans="1:45" ht="15" customHeight="1">
      <c r="A486" s="593" t="str">
        <f t="shared" si="32"/>
        <v>119j</v>
      </c>
      <c r="B486" s="594">
        <f>input!H40</f>
        <v>40</v>
      </c>
      <c r="C486" s="594">
        <f>input!J40</f>
        <v>1840</v>
      </c>
      <c r="D486" s="594">
        <f>input!K40</f>
        <v>30</v>
      </c>
      <c r="E486" s="594">
        <f>input!L40</f>
        <v>120</v>
      </c>
      <c r="F486" s="594">
        <f>input!U40</f>
        <v>2400</v>
      </c>
      <c r="G486" s="594">
        <f>input!M40</f>
        <v>3200</v>
      </c>
      <c r="H486" s="818">
        <f t="shared" si="31"/>
        <v>6470000</v>
      </c>
      <c r="I486" s="595">
        <f>MST!L41</f>
        <v>-9.6199999999999992</v>
      </c>
      <c r="J486" s="595">
        <f>MST!M41</f>
        <v>0.23</v>
      </c>
      <c r="K486" s="595">
        <f>MST!N41</f>
        <v>-53.55</v>
      </c>
      <c r="L486" s="595">
        <f t="shared" si="33"/>
        <v>-0.20266615146831529</v>
      </c>
      <c r="M486" s="597">
        <f>SQRT(1-(L486/input!BI40)^2)</f>
        <v>0.99999985777849076</v>
      </c>
      <c r="U486" s="73"/>
      <c r="V486" s="73"/>
      <c r="W486" s="73"/>
      <c r="X486" s="73"/>
      <c r="Y486" s="73"/>
      <c r="Z486" s="73"/>
      <c r="AA486" s="73"/>
      <c r="AC486" s="73"/>
      <c r="AD486" s="73"/>
      <c r="AF486" s="7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</row>
    <row r="487" spans="1:45" ht="15" customHeight="1">
      <c r="A487" s="593" t="str">
        <f t="shared" si="32"/>
        <v>120i</v>
      </c>
      <c r="B487" s="594">
        <f>input!H41</f>
        <v>40</v>
      </c>
      <c r="C487" s="594">
        <f>input!J41</f>
        <v>1840</v>
      </c>
      <c r="D487" s="594">
        <f>input!K41</f>
        <v>30</v>
      </c>
      <c r="E487" s="594">
        <f>input!L41</f>
        <v>120</v>
      </c>
      <c r="F487" s="594">
        <f>input!U41</f>
        <v>2400</v>
      </c>
      <c r="G487" s="594">
        <f>input!M41</f>
        <v>3200</v>
      </c>
      <c r="H487" s="818">
        <f t="shared" si="31"/>
        <v>6470000</v>
      </c>
      <c r="I487" s="595">
        <f>MST!L42</f>
        <v>7.99</v>
      </c>
      <c r="J487" s="595">
        <f>MST!M42</f>
        <v>-0.22</v>
      </c>
      <c r="K487" s="595">
        <f>MST!N42</f>
        <v>50.57</v>
      </c>
      <c r="L487" s="595">
        <f t="shared" si="33"/>
        <v>0.18785419886656365</v>
      </c>
      <c r="M487" s="597">
        <f>SQRT(1-(L487/input!BI41)^2)</f>
        <v>0.99999987780747168</v>
      </c>
      <c r="U487" s="73"/>
      <c r="V487" s="73"/>
      <c r="W487" s="73"/>
      <c r="X487" s="73"/>
      <c r="Y487" s="73"/>
      <c r="Z487" s="73"/>
      <c r="AA487" s="73"/>
      <c r="AC487" s="73"/>
      <c r="AD487" s="73"/>
      <c r="AF487" s="73"/>
      <c r="AH487" s="143"/>
      <c r="AI487" s="143"/>
      <c r="AJ487" s="143"/>
      <c r="AK487" s="143"/>
      <c r="AL487" s="143"/>
      <c r="AM487" s="143"/>
      <c r="AN487" s="143"/>
      <c r="AO487" s="143"/>
      <c r="AP487" s="143"/>
      <c r="AQ487" s="143"/>
      <c r="AR487" s="143"/>
      <c r="AS487" s="143"/>
    </row>
    <row r="488" spans="1:45" ht="15" customHeight="1">
      <c r="A488" s="593" t="str">
        <f t="shared" si="32"/>
        <v>120j</v>
      </c>
      <c r="B488" s="594">
        <f>input!H42</f>
        <v>40</v>
      </c>
      <c r="C488" s="594">
        <f>input!J42</f>
        <v>1840</v>
      </c>
      <c r="D488" s="594">
        <f>input!K42</f>
        <v>30</v>
      </c>
      <c r="E488" s="594">
        <f>input!L42</f>
        <v>120</v>
      </c>
      <c r="F488" s="594">
        <f>input!U42</f>
        <v>2400</v>
      </c>
      <c r="G488" s="594">
        <f>input!M42</f>
        <v>3200</v>
      </c>
      <c r="H488" s="818">
        <f t="shared" si="31"/>
        <v>6470000</v>
      </c>
      <c r="I488" s="595">
        <f>MST!L43</f>
        <v>7.99</v>
      </c>
      <c r="J488" s="595">
        <f>MST!M43</f>
        <v>-0.22</v>
      </c>
      <c r="K488" s="595">
        <f>MST!N43</f>
        <v>49.34</v>
      </c>
      <c r="L488" s="595">
        <f t="shared" si="33"/>
        <v>0.18389361154044306</v>
      </c>
      <c r="M488" s="597">
        <f>SQRT(1-(L488/input!BI42)^2)</f>
        <v>0.99999988290560127</v>
      </c>
      <c r="U488" s="73"/>
      <c r="V488" s="73"/>
      <c r="W488" s="73"/>
      <c r="X488" s="73"/>
      <c r="Y488" s="73"/>
      <c r="Z488" s="73"/>
      <c r="AA488" s="73"/>
      <c r="AC488" s="73"/>
      <c r="AD488" s="73"/>
      <c r="AF488" s="73"/>
      <c r="AH488" s="143"/>
      <c r="AI488" s="143"/>
      <c r="AJ488" s="143"/>
      <c r="AK488" s="143"/>
      <c r="AL488" s="143"/>
      <c r="AM488" s="143"/>
      <c r="AN488" s="143"/>
      <c r="AO488" s="143"/>
      <c r="AP488" s="143"/>
      <c r="AQ488" s="143"/>
      <c r="AR488" s="143"/>
      <c r="AS488" s="143"/>
    </row>
    <row r="489" spans="1:45" ht="15" customHeight="1">
      <c r="A489" s="593" t="str">
        <f t="shared" si="32"/>
        <v>121i</v>
      </c>
      <c r="B489" s="594">
        <f>input!H43</f>
        <v>40</v>
      </c>
      <c r="C489" s="594">
        <f>input!J43</f>
        <v>1864</v>
      </c>
      <c r="D489" s="594">
        <f>input!K43</f>
        <v>30</v>
      </c>
      <c r="E489" s="594">
        <f>input!L43</f>
        <v>120</v>
      </c>
      <c r="F489" s="594">
        <f>input!U43</f>
        <v>2400</v>
      </c>
      <c r="G489" s="594">
        <f>input!M43</f>
        <v>3103</v>
      </c>
      <c r="H489" s="818">
        <f t="shared" si="31"/>
        <v>6313656</v>
      </c>
      <c r="I489" s="595">
        <f>MST!L44</f>
        <v>7.99</v>
      </c>
      <c r="J489" s="595">
        <f>MST!M44</f>
        <v>-0.22</v>
      </c>
      <c r="K489" s="595">
        <f>MST!N44</f>
        <v>49.34</v>
      </c>
      <c r="L489" s="595">
        <f t="shared" si="33"/>
        <v>0.18844733806635436</v>
      </c>
      <c r="M489" s="597">
        <f>SQRT(1-(L489/input!BI43)^2)</f>
        <v>0.99999987703462112</v>
      </c>
      <c r="U489" s="73"/>
      <c r="V489" s="73"/>
      <c r="W489" s="73"/>
      <c r="X489" s="73"/>
      <c r="Y489" s="73"/>
      <c r="Z489" s="73"/>
      <c r="AA489" s="73"/>
      <c r="AC489" s="73"/>
      <c r="AD489" s="73"/>
      <c r="AF489" s="73"/>
      <c r="AH489" s="143"/>
      <c r="AI489" s="143"/>
      <c r="AJ489" s="143"/>
      <c r="AK489" s="143"/>
      <c r="AL489" s="143"/>
      <c r="AM489" s="143"/>
      <c r="AN489" s="143"/>
      <c r="AO489" s="143"/>
      <c r="AP489" s="143"/>
      <c r="AQ489" s="143"/>
      <c r="AR489" s="143"/>
      <c r="AS489" s="143"/>
    </row>
    <row r="490" spans="1:45" ht="15" customHeight="1">
      <c r="A490" s="593" t="str">
        <f t="shared" si="32"/>
        <v>121j</v>
      </c>
      <c r="B490" s="594">
        <f>input!H44</f>
        <v>40</v>
      </c>
      <c r="C490" s="594">
        <f>input!J44</f>
        <v>1864</v>
      </c>
      <c r="D490" s="594">
        <f>input!K44</f>
        <v>30</v>
      </c>
      <c r="E490" s="594">
        <f>input!L44</f>
        <v>120</v>
      </c>
      <c r="F490" s="594">
        <f>input!U44</f>
        <v>2400</v>
      </c>
      <c r="G490" s="594">
        <f>input!M44</f>
        <v>3103</v>
      </c>
      <c r="H490" s="818">
        <f t="shared" si="31"/>
        <v>6313656</v>
      </c>
      <c r="I490" s="595">
        <f>MST!L45</f>
        <v>7.99</v>
      </c>
      <c r="J490" s="595">
        <f>MST!M45</f>
        <v>-0.22</v>
      </c>
      <c r="K490" s="595">
        <f>MST!N45</f>
        <v>46.47</v>
      </c>
      <c r="L490" s="595">
        <f t="shared" si="33"/>
        <v>0.17897712513953878</v>
      </c>
      <c r="M490" s="597">
        <f>SQRT(1-(L490/input!BI44)^2)</f>
        <v>0.99999988908305715</v>
      </c>
      <c r="U490" s="73"/>
      <c r="V490" s="73"/>
      <c r="W490" s="73"/>
      <c r="X490" s="73"/>
      <c r="Y490" s="73"/>
      <c r="Z490" s="73"/>
      <c r="AA490" s="73"/>
      <c r="AC490" s="73"/>
      <c r="AD490" s="73"/>
      <c r="AF490" s="73"/>
      <c r="AH490" s="143"/>
      <c r="AI490" s="143"/>
      <c r="AJ490" s="143"/>
      <c r="AK490" s="143"/>
      <c r="AL490" s="143"/>
      <c r="AM490" s="143"/>
      <c r="AN490" s="143"/>
      <c r="AO490" s="143"/>
      <c r="AP490" s="143"/>
      <c r="AQ490" s="143"/>
      <c r="AR490" s="143"/>
      <c r="AS490" s="143"/>
    </row>
    <row r="491" spans="1:45" ht="15" customHeight="1">
      <c r="A491" s="593" t="str">
        <f t="shared" si="32"/>
        <v>122i</v>
      </c>
      <c r="B491" s="594">
        <f>input!H45</f>
        <v>40</v>
      </c>
      <c r="C491" s="594">
        <f>input!J45</f>
        <v>1909</v>
      </c>
      <c r="D491" s="594">
        <f>input!K45</f>
        <v>30</v>
      </c>
      <c r="E491" s="594">
        <f>input!L45</f>
        <v>120</v>
      </c>
      <c r="F491" s="594">
        <f>input!U45</f>
        <v>2400</v>
      </c>
      <c r="G491" s="594">
        <f>input!M45</f>
        <v>2924</v>
      </c>
      <c r="H491" s="818">
        <f t="shared" si="31"/>
        <v>6020085.5</v>
      </c>
      <c r="I491" s="595">
        <f>MST!L46</f>
        <v>7.99</v>
      </c>
      <c r="J491" s="595">
        <f>MST!M46</f>
        <v>-0.22</v>
      </c>
      <c r="K491" s="595">
        <f>MST!N46</f>
        <v>46.47</v>
      </c>
      <c r="L491" s="595">
        <f t="shared" si="33"/>
        <v>0.18770497528648056</v>
      </c>
      <c r="M491" s="597">
        <f>SQRT(1-(L491/input!BI45)^2)</f>
        <v>0.9999998780015239</v>
      </c>
      <c r="U491" s="73"/>
      <c r="V491" s="73"/>
      <c r="W491" s="73"/>
      <c r="X491" s="73"/>
      <c r="Y491" s="73"/>
      <c r="Z491" s="73"/>
      <c r="AA491" s="73"/>
      <c r="AC491" s="73"/>
      <c r="AD491" s="73"/>
      <c r="AF491" s="73"/>
      <c r="AH491" s="143"/>
      <c r="AI491" s="143"/>
      <c r="AJ491" s="143"/>
      <c r="AK491" s="143"/>
      <c r="AL491" s="143"/>
      <c r="AM491" s="143"/>
      <c r="AN491" s="143"/>
      <c r="AO491" s="143"/>
      <c r="AP491" s="143"/>
      <c r="AQ491" s="143"/>
      <c r="AR491" s="143"/>
      <c r="AS491" s="143"/>
    </row>
    <row r="492" spans="1:45" ht="15" customHeight="1">
      <c r="A492" s="593" t="str">
        <f t="shared" si="32"/>
        <v>122j</v>
      </c>
      <c r="B492" s="594">
        <f>input!H46</f>
        <v>40</v>
      </c>
      <c r="C492" s="594">
        <f>input!J46</f>
        <v>1909</v>
      </c>
      <c r="D492" s="594">
        <f>input!K46</f>
        <v>30</v>
      </c>
      <c r="E492" s="594">
        <f>input!L46</f>
        <v>120</v>
      </c>
      <c r="F492" s="594">
        <f>input!U46</f>
        <v>2400</v>
      </c>
      <c r="G492" s="594">
        <f>input!M46</f>
        <v>2924</v>
      </c>
      <c r="H492" s="818">
        <f t="shared" si="31"/>
        <v>6020085.5</v>
      </c>
      <c r="I492" s="595">
        <f>MST!L47</f>
        <v>7.99</v>
      </c>
      <c r="J492" s="595">
        <f>MST!M47</f>
        <v>-0.22</v>
      </c>
      <c r="K492" s="595">
        <f>MST!N47</f>
        <v>42.37</v>
      </c>
      <c r="L492" s="595">
        <f t="shared" si="33"/>
        <v>0.17351636174159538</v>
      </c>
      <c r="M492" s="597">
        <f>SQRT(1-(L492/input!BI46)^2)</f>
        <v>0.99999989574816706</v>
      </c>
      <c r="U492" s="73"/>
      <c r="V492" s="73"/>
      <c r="W492" s="73"/>
      <c r="X492" s="73"/>
      <c r="Y492" s="73"/>
      <c r="Z492" s="73"/>
      <c r="AA492" s="73"/>
      <c r="AC492" s="73"/>
      <c r="AD492" s="73"/>
      <c r="AF492" s="7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</row>
    <row r="493" spans="1:45" ht="15" customHeight="1">
      <c r="A493" s="593" t="str">
        <f t="shared" si="32"/>
        <v>123i</v>
      </c>
      <c r="B493" s="594">
        <f>input!H47</f>
        <v>40</v>
      </c>
      <c r="C493" s="594">
        <f>input!J47</f>
        <v>1937</v>
      </c>
      <c r="D493" s="594">
        <f>input!K47</f>
        <v>30</v>
      </c>
      <c r="E493" s="594">
        <f>input!L47</f>
        <v>120</v>
      </c>
      <c r="F493" s="594">
        <f>input!U47</f>
        <v>2400</v>
      </c>
      <c r="G493" s="594">
        <f>input!M47</f>
        <v>2814</v>
      </c>
      <c r="H493" s="818">
        <f t="shared" si="31"/>
        <v>5836176.5</v>
      </c>
      <c r="I493" s="595">
        <f>MST!L48</f>
        <v>2</v>
      </c>
      <c r="J493" s="595">
        <f>MST!M48</f>
        <v>0.05</v>
      </c>
      <c r="K493" s="595">
        <f>MST!N48</f>
        <v>15.96</v>
      </c>
      <c r="L493" s="595">
        <f t="shared" si="33"/>
        <v>6.429009357981777E-2</v>
      </c>
      <c r="M493" s="597">
        <f>SQRT(1-(L493/input!BI47)^2)</f>
        <v>0.99999998568830972</v>
      </c>
      <c r="U493" s="73"/>
      <c r="V493" s="73"/>
      <c r="W493" s="73"/>
      <c r="X493" s="73"/>
      <c r="Y493" s="73"/>
      <c r="Z493" s="73"/>
      <c r="AA493" s="73"/>
      <c r="AC493" s="73"/>
      <c r="AD493" s="73"/>
      <c r="AF493" s="73"/>
      <c r="AH493" s="143"/>
      <c r="AI493" s="143"/>
      <c r="AJ493" s="143"/>
      <c r="AK493" s="143"/>
      <c r="AL493" s="143"/>
      <c r="AM493" s="143"/>
      <c r="AN493" s="143"/>
      <c r="AO493" s="143"/>
      <c r="AP493" s="143"/>
      <c r="AQ493" s="143"/>
      <c r="AR493" s="143"/>
      <c r="AS493" s="143"/>
    </row>
    <row r="494" spans="1:45" ht="15" customHeight="1">
      <c r="A494" s="593" t="str">
        <f t="shared" si="32"/>
        <v>123j</v>
      </c>
      <c r="B494" s="594">
        <f>input!H48</f>
        <v>40</v>
      </c>
      <c r="C494" s="594">
        <f>input!J48</f>
        <v>1937</v>
      </c>
      <c r="D494" s="594">
        <f>input!K48</f>
        <v>30</v>
      </c>
      <c r="E494" s="594">
        <f>input!L48</f>
        <v>120</v>
      </c>
      <c r="F494" s="594">
        <f>input!U48</f>
        <v>2400</v>
      </c>
      <c r="G494" s="594">
        <f>input!M48</f>
        <v>2814</v>
      </c>
      <c r="H494" s="818">
        <f t="shared" si="31"/>
        <v>5836176.5</v>
      </c>
      <c r="I494" s="595">
        <f>MST!L49</f>
        <v>2</v>
      </c>
      <c r="J494" s="595">
        <f>MST!M49</f>
        <v>0.05</v>
      </c>
      <c r="K494" s="595">
        <f>MST!N49</f>
        <v>11.86</v>
      </c>
      <c r="L494" s="595">
        <f t="shared" si="33"/>
        <v>4.9654369888687683E-2</v>
      </c>
      <c r="M494" s="597">
        <f>SQRT(1-(L494/input!BI48)^2)</f>
        <v>0.99999999146275464</v>
      </c>
      <c r="U494" s="73"/>
      <c r="V494" s="73"/>
      <c r="W494" s="73"/>
      <c r="X494" s="73"/>
      <c r="Y494" s="73"/>
      <c r="Z494" s="73"/>
      <c r="AA494" s="73"/>
      <c r="AC494" s="73"/>
      <c r="AD494" s="73"/>
      <c r="AF494" s="73"/>
      <c r="AH494" s="143"/>
      <c r="AI494" s="143"/>
      <c r="AJ494" s="143"/>
      <c r="AK494" s="143"/>
      <c r="AL494" s="143"/>
      <c r="AM494" s="143"/>
      <c r="AN494" s="143"/>
      <c r="AO494" s="143"/>
      <c r="AP494" s="143"/>
      <c r="AQ494" s="143"/>
      <c r="AR494" s="143"/>
      <c r="AS494" s="143"/>
    </row>
    <row r="495" spans="1:45" ht="15" customHeight="1">
      <c r="A495" s="593" t="str">
        <f t="shared" si="32"/>
        <v>124i</v>
      </c>
      <c r="B495" s="594">
        <f>input!H49</f>
        <v>26</v>
      </c>
      <c r="C495" s="594">
        <f>input!J49</f>
        <v>1940</v>
      </c>
      <c r="D495" s="594">
        <f>input!K49</f>
        <v>24</v>
      </c>
      <c r="E495" s="594">
        <f>input!L49</f>
        <v>120</v>
      </c>
      <c r="F495" s="594">
        <f>input!U49</f>
        <v>2400</v>
      </c>
      <c r="G495" s="594">
        <f>input!M49</f>
        <v>2800</v>
      </c>
      <c r="H495" s="818">
        <f t="shared" si="31"/>
        <v>5791250</v>
      </c>
      <c r="I495" s="595">
        <f>MST!L50</f>
        <v>2</v>
      </c>
      <c r="J495" s="595">
        <f>MST!M50</f>
        <v>0.05</v>
      </c>
      <c r="K495" s="595">
        <f>MST!N50</f>
        <v>11.86</v>
      </c>
      <c r="L495" s="595">
        <f t="shared" si="33"/>
        <v>6.2549463990215118E-2</v>
      </c>
      <c r="M495" s="597">
        <f>SQRT(1-(L495/input!BI49)^2)</f>
        <v>0.99999998645278576</v>
      </c>
      <c r="U495" s="73"/>
      <c r="V495" s="73"/>
      <c r="W495" s="73"/>
      <c r="X495" s="73"/>
      <c r="Y495" s="73"/>
      <c r="Z495" s="73"/>
      <c r="AA495" s="73"/>
      <c r="AC495" s="73"/>
      <c r="AD495" s="73"/>
      <c r="AF495" s="73"/>
      <c r="AH495" s="143"/>
      <c r="AI495" s="143"/>
      <c r="AJ495" s="143"/>
      <c r="AK495" s="143"/>
      <c r="AL495" s="143"/>
      <c r="AM495" s="143"/>
      <c r="AN495" s="143"/>
      <c r="AO495" s="143"/>
      <c r="AP495" s="143"/>
      <c r="AQ495" s="143"/>
      <c r="AR495" s="143"/>
      <c r="AS495" s="143"/>
    </row>
    <row r="496" spans="1:45" ht="15" customHeight="1">
      <c r="A496" s="593" t="str">
        <f t="shared" si="32"/>
        <v>124j</v>
      </c>
      <c r="B496" s="594">
        <f>input!H50</f>
        <v>26</v>
      </c>
      <c r="C496" s="594">
        <f>input!J50</f>
        <v>1940</v>
      </c>
      <c r="D496" s="594">
        <f>input!K50</f>
        <v>24</v>
      </c>
      <c r="E496" s="594">
        <f>input!L50</f>
        <v>120</v>
      </c>
      <c r="F496" s="594">
        <f>input!U50</f>
        <v>2400</v>
      </c>
      <c r="G496" s="594">
        <f>input!M50</f>
        <v>2800</v>
      </c>
      <c r="H496" s="818">
        <f t="shared" si="31"/>
        <v>5791250</v>
      </c>
      <c r="I496" s="595">
        <f>MST!L51</f>
        <v>2</v>
      </c>
      <c r="J496" s="595">
        <f>MST!M51</f>
        <v>0.05</v>
      </c>
      <c r="K496" s="595">
        <f>MST!N51</f>
        <v>7.76</v>
      </c>
      <c r="L496" s="595">
        <f t="shared" si="33"/>
        <v>4.4112885819123683E-2</v>
      </c>
      <c r="M496" s="597">
        <f>SQRT(1-(L496/input!BI50)^2)</f>
        <v>0.99999999326195743</v>
      </c>
      <c r="U496" s="73"/>
      <c r="V496" s="73"/>
      <c r="W496" s="73"/>
      <c r="X496" s="73"/>
      <c r="Y496" s="73"/>
      <c r="Z496" s="73"/>
      <c r="AA496" s="73"/>
      <c r="AC496" s="73"/>
      <c r="AD496" s="73"/>
      <c r="AF496" s="73"/>
      <c r="AH496" s="143"/>
      <c r="AI496" s="143"/>
      <c r="AJ496" s="143"/>
      <c r="AK496" s="143"/>
      <c r="AL496" s="143"/>
      <c r="AM496" s="143"/>
      <c r="AN496" s="143"/>
      <c r="AO496" s="143"/>
      <c r="AP496" s="143"/>
      <c r="AQ496" s="143"/>
      <c r="AR496" s="143"/>
      <c r="AS496" s="143"/>
    </row>
    <row r="497" spans="1:45" ht="15" customHeight="1">
      <c r="A497" s="994" t="str">
        <f t="shared" si="32"/>
        <v>125i</v>
      </c>
      <c r="B497" s="995">
        <f>input!H51</f>
        <v>22</v>
      </c>
      <c r="C497" s="995">
        <f>input!J51</f>
        <v>1940</v>
      </c>
      <c r="D497" s="995">
        <f>input!K51</f>
        <v>18</v>
      </c>
      <c r="E497" s="995">
        <f>input!L51</f>
        <v>120</v>
      </c>
      <c r="F497" s="995">
        <f>input!U51</f>
        <v>2400</v>
      </c>
      <c r="G497" s="995">
        <f>input!M51</f>
        <v>2800</v>
      </c>
      <c r="H497" s="1012">
        <f t="shared" si="31"/>
        <v>5781000</v>
      </c>
      <c r="I497" s="998">
        <f>MST!L52</f>
        <v>-0.97</v>
      </c>
      <c r="J497" s="998">
        <f>MST!M52</f>
        <v>0.01</v>
      </c>
      <c r="K497" s="998">
        <f>MST!N52</f>
        <v>1.17</v>
      </c>
      <c r="L497" s="595">
        <f t="shared" si="33"/>
        <v>1.2613158046474078E-3</v>
      </c>
      <c r="M497" s="597">
        <f>SQRT(1-(L497/input!BI51)^2)</f>
        <v>0.9999999999944913</v>
      </c>
      <c r="U497" s="73"/>
      <c r="V497" s="73"/>
      <c r="W497" s="73"/>
      <c r="X497" s="73"/>
      <c r="Y497" s="73"/>
      <c r="Z497" s="73"/>
      <c r="AA497" s="73"/>
      <c r="AC497" s="73"/>
      <c r="AD497" s="73"/>
      <c r="AF497" s="73"/>
      <c r="AH497" s="143"/>
      <c r="AI497" s="14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</row>
    <row r="498" spans="1:45" ht="15" customHeight="1">
      <c r="A498" s="1000" t="str">
        <f t="shared" si="32"/>
        <v>125j</v>
      </c>
      <c r="B498" s="1001">
        <f>input!H52</f>
        <v>22</v>
      </c>
      <c r="C498" s="1001">
        <f>input!J52</f>
        <v>1940</v>
      </c>
      <c r="D498" s="1001">
        <f>input!K52</f>
        <v>18</v>
      </c>
      <c r="E498" s="1001">
        <f>input!L52</f>
        <v>120</v>
      </c>
      <c r="F498" s="1001">
        <f>input!U52</f>
        <v>2400</v>
      </c>
      <c r="G498" s="1001">
        <f>input!M52</f>
        <v>2800</v>
      </c>
      <c r="H498" s="1013">
        <f t="shared" si="31"/>
        <v>5781000</v>
      </c>
      <c r="I498" s="1004">
        <f>MST!L53</f>
        <v>-0.97</v>
      </c>
      <c r="J498" s="1004">
        <f>MST!M53</f>
        <v>0.01</v>
      </c>
      <c r="K498" s="1004">
        <f>MST!N53</f>
        <v>-2.93</v>
      </c>
      <c r="L498" s="595">
        <f t="shared" si="33"/>
        <v>-2.3364373714659131E-2</v>
      </c>
      <c r="M498" s="597">
        <f>SQRT(1-(L498/input!BI52)^2)</f>
        <v>0.99999999810978546</v>
      </c>
      <c r="U498" s="73"/>
      <c r="V498" s="73"/>
      <c r="W498" s="73"/>
      <c r="X498" s="73"/>
      <c r="Y498" s="73"/>
      <c r="Z498" s="73"/>
      <c r="AA498" s="122"/>
      <c r="AB498" s="122"/>
      <c r="AC498" s="122"/>
      <c r="AD498" s="122"/>
      <c r="AE498" s="122"/>
      <c r="AF498" s="122"/>
      <c r="AG498" s="122"/>
      <c r="AH498" s="170"/>
      <c r="AI498" s="170"/>
      <c r="AJ498" s="170"/>
      <c r="AK498" s="143"/>
      <c r="AL498" s="143"/>
      <c r="AM498" s="143"/>
      <c r="AN498" s="143"/>
      <c r="AO498" s="143"/>
      <c r="AP498" s="143"/>
      <c r="AQ498" s="143"/>
      <c r="AR498" s="143"/>
      <c r="AS498" s="143"/>
    </row>
    <row r="499" spans="1:45" ht="15" customHeight="1">
      <c r="A499" s="593" t="str">
        <f t="shared" si="32"/>
        <v>126i</v>
      </c>
      <c r="B499" s="594">
        <f>input!H53</f>
        <v>22</v>
      </c>
      <c r="C499" s="594">
        <f>input!J53</f>
        <v>1940</v>
      </c>
      <c r="D499" s="594">
        <f>input!K53</f>
        <v>18</v>
      </c>
      <c r="E499" s="594">
        <f>input!L53</f>
        <v>120</v>
      </c>
      <c r="F499" s="594">
        <f>input!U53</f>
        <v>2400</v>
      </c>
      <c r="G499" s="594">
        <f>input!M53</f>
        <v>2800</v>
      </c>
      <c r="H499" s="818">
        <f t="shared" si="31"/>
        <v>5781000</v>
      </c>
      <c r="I499" s="595">
        <f>MST!L54</f>
        <v>-0.97</v>
      </c>
      <c r="J499" s="595">
        <f>MST!M54</f>
        <v>0.01</v>
      </c>
      <c r="K499" s="595">
        <f>MST!N54</f>
        <v>-2.93</v>
      </c>
      <c r="L499" s="595">
        <f t="shared" si="33"/>
        <v>-2.3364373714659131E-2</v>
      </c>
      <c r="M499" s="597">
        <f>SQRT(1-(L499/input!BI53)^2)</f>
        <v>0.99999999810978546</v>
      </c>
      <c r="U499" s="73"/>
      <c r="V499" s="73"/>
      <c r="W499" s="73"/>
      <c r="X499" s="73"/>
      <c r="Y499" s="73"/>
      <c r="Z499" s="73"/>
      <c r="AA499" s="73"/>
      <c r="AC499" s="73"/>
      <c r="AD499" s="73"/>
      <c r="AF499" s="73"/>
      <c r="AH499" s="143"/>
      <c r="AI499" s="143"/>
      <c r="AJ499" s="143"/>
      <c r="AK499" s="143"/>
      <c r="AL499" s="143"/>
      <c r="AM499" s="143"/>
      <c r="AN499" s="143"/>
      <c r="AO499" s="143"/>
      <c r="AP499" s="143"/>
      <c r="AQ499" s="143"/>
      <c r="AR499" s="143"/>
      <c r="AS499" s="143"/>
    </row>
    <row r="500" spans="1:45" ht="15" customHeight="1">
      <c r="A500" s="593" t="str">
        <f t="shared" si="32"/>
        <v>126j</v>
      </c>
      <c r="B500" s="594">
        <f>input!H54</f>
        <v>22</v>
      </c>
      <c r="C500" s="594">
        <f>input!J54</f>
        <v>1940</v>
      </c>
      <c r="D500" s="594">
        <f>input!K54</f>
        <v>18</v>
      </c>
      <c r="E500" s="594">
        <f>input!L54</f>
        <v>120</v>
      </c>
      <c r="F500" s="594">
        <f>input!U54</f>
        <v>2400</v>
      </c>
      <c r="G500" s="594">
        <f>input!M54</f>
        <v>2800</v>
      </c>
      <c r="H500" s="818">
        <f t="shared" si="31"/>
        <v>5781000</v>
      </c>
      <c r="I500" s="595">
        <f>MST!L55</f>
        <v>-0.97</v>
      </c>
      <c r="J500" s="595">
        <f>MST!M55</f>
        <v>0.01</v>
      </c>
      <c r="K500" s="595">
        <f>MST!N55</f>
        <v>-7.03</v>
      </c>
      <c r="L500" s="595">
        <f t="shared" si="33"/>
        <v>-4.799006323396568E-2</v>
      </c>
      <c r="M500" s="597">
        <f>SQRT(1-(L500/input!BI54)^2)</f>
        <v>0.99999999202546341</v>
      </c>
      <c r="U500" s="73"/>
      <c r="V500" s="73"/>
      <c r="W500" s="73"/>
      <c r="X500" s="73"/>
      <c r="Y500" s="73"/>
      <c r="Z500" s="73"/>
      <c r="AA500" s="73"/>
      <c r="AC500" s="73"/>
      <c r="AD500" s="73"/>
      <c r="AF500" s="73"/>
      <c r="AH500" s="143"/>
      <c r="AI500" s="143"/>
      <c r="AJ500" s="143"/>
      <c r="AK500" s="143"/>
      <c r="AL500" s="143"/>
      <c r="AM500" s="143"/>
      <c r="AN500" s="143"/>
      <c r="AO500" s="143"/>
      <c r="AP500" s="143"/>
      <c r="AQ500" s="143"/>
      <c r="AR500" s="143"/>
      <c r="AS500" s="143"/>
    </row>
    <row r="501" spans="1:45" ht="15" customHeight="1">
      <c r="A501" s="593" t="str">
        <f t="shared" si="32"/>
        <v>127i</v>
      </c>
      <c r="B501" s="594">
        <f>input!H55</f>
        <v>22</v>
      </c>
      <c r="C501" s="594">
        <f>input!J55</f>
        <v>1940</v>
      </c>
      <c r="D501" s="594">
        <f>input!K55</f>
        <v>10</v>
      </c>
      <c r="E501" s="594">
        <f>input!L55</f>
        <v>120</v>
      </c>
      <c r="F501" s="594">
        <f>input!U55</f>
        <v>2400</v>
      </c>
      <c r="G501" s="594">
        <f>input!M55</f>
        <v>2800</v>
      </c>
      <c r="H501" s="818">
        <f t="shared" si="31"/>
        <v>5772800</v>
      </c>
      <c r="I501" s="595">
        <f>MST!L56</f>
        <v>-1.29</v>
      </c>
      <c r="J501" s="595">
        <f>MST!M56</f>
        <v>0.01</v>
      </c>
      <c r="K501" s="595">
        <f>MST!N56</f>
        <v>-1.08</v>
      </c>
      <c r="L501" s="595">
        <f t="shared" si="33"/>
        <v>-2.5550859201773836E-2</v>
      </c>
      <c r="M501" s="597">
        <f>SQRT(1-(L501/input!BI55)^2)</f>
        <v>0.99999999773945147</v>
      </c>
      <c r="U501" s="73"/>
      <c r="V501" s="73"/>
      <c r="W501" s="73"/>
      <c r="X501" s="73"/>
      <c r="Y501" s="73"/>
      <c r="Z501" s="73"/>
      <c r="AA501" s="73"/>
      <c r="AC501" s="73"/>
      <c r="AD501" s="73"/>
      <c r="AF501" s="73"/>
      <c r="AH501" s="143"/>
      <c r="AI501" s="143"/>
      <c r="AJ501" s="143"/>
      <c r="AK501" s="143"/>
      <c r="AL501" s="143"/>
      <c r="AM501" s="143"/>
      <c r="AN501" s="143"/>
      <c r="AO501" s="143"/>
      <c r="AP501" s="143"/>
      <c r="AQ501" s="143"/>
      <c r="AR501" s="143"/>
      <c r="AS501" s="143"/>
    </row>
    <row r="502" spans="1:45" ht="15" customHeight="1">
      <c r="A502" s="593" t="str">
        <f t="shared" si="32"/>
        <v>127j</v>
      </c>
      <c r="B502" s="594">
        <f>input!H56</f>
        <v>22</v>
      </c>
      <c r="C502" s="594">
        <f>input!J56</f>
        <v>1940</v>
      </c>
      <c r="D502" s="594">
        <f>input!K56</f>
        <v>10</v>
      </c>
      <c r="E502" s="594">
        <f>input!L56</f>
        <v>120</v>
      </c>
      <c r="F502" s="594">
        <f>input!U56</f>
        <v>2400</v>
      </c>
      <c r="G502" s="594">
        <f>input!M56</f>
        <v>2800</v>
      </c>
      <c r="H502" s="818">
        <f t="shared" si="31"/>
        <v>5772800</v>
      </c>
      <c r="I502" s="595">
        <f>MST!L57</f>
        <v>-1.29</v>
      </c>
      <c r="J502" s="595">
        <f>MST!M57</f>
        <v>0.01</v>
      </c>
      <c r="K502" s="595">
        <f>MST!N57</f>
        <v>-5.18</v>
      </c>
      <c r="L502" s="595">
        <f t="shared" si="33"/>
        <v>-3.1790938066921993E-2</v>
      </c>
      <c r="M502" s="597">
        <f>SQRT(1-(L502/input!BI56)^2)</f>
        <v>0.99999999650047178</v>
      </c>
      <c r="U502" s="73"/>
      <c r="V502" s="73"/>
      <c r="W502" s="73"/>
      <c r="X502" s="73"/>
      <c r="Y502" s="73"/>
      <c r="Z502" s="73"/>
      <c r="AA502" s="73"/>
      <c r="AC502" s="73"/>
      <c r="AD502" s="73"/>
      <c r="AF502" s="73"/>
      <c r="AH502" s="143"/>
      <c r="AI502" s="143"/>
      <c r="AJ502" s="143"/>
      <c r="AK502" s="143"/>
      <c r="AL502" s="143"/>
      <c r="AM502" s="143"/>
      <c r="AN502" s="143"/>
      <c r="AO502" s="143"/>
      <c r="AP502" s="143"/>
      <c r="AQ502" s="143"/>
      <c r="AR502" s="143"/>
      <c r="AS502" s="143"/>
    </row>
    <row r="503" spans="1:45" ht="15" customHeight="1">
      <c r="A503" s="593" t="str">
        <f t="shared" si="32"/>
        <v>128i</v>
      </c>
      <c r="B503" s="594">
        <f>input!H57</f>
        <v>22</v>
      </c>
      <c r="C503" s="594">
        <f>input!J57</f>
        <v>1940</v>
      </c>
      <c r="D503" s="594">
        <f>input!K57</f>
        <v>10</v>
      </c>
      <c r="E503" s="594">
        <f>input!L57</f>
        <v>120</v>
      </c>
      <c r="F503" s="594">
        <f>input!U57</f>
        <v>2400</v>
      </c>
      <c r="G503" s="594">
        <f>input!M57</f>
        <v>2800</v>
      </c>
      <c r="H503" s="818">
        <f t="shared" si="31"/>
        <v>5772800</v>
      </c>
      <c r="I503" s="595">
        <f>MST!L58</f>
        <v>-1.29</v>
      </c>
      <c r="J503" s="595">
        <f>MST!M58</f>
        <v>0.01</v>
      </c>
      <c r="K503" s="595">
        <f>MST!N58</f>
        <v>-5.18</v>
      </c>
      <c r="L503" s="595">
        <f t="shared" si="33"/>
        <v>-3.1790938066921993E-2</v>
      </c>
      <c r="M503" s="597">
        <f>SQRT(1-(L503/input!BI57)^2)</f>
        <v>0.99999999650047178</v>
      </c>
      <c r="U503" s="73"/>
      <c r="V503" s="73"/>
      <c r="W503" s="73"/>
      <c r="X503" s="73"/>
      <c r="Y503" s="73"/>
      <c r="Z503" s="73"/>
      <c r="AA503" s="73"/>
      <c r="AC503" s="73"/>
      <c r="AD503" s="73"/>
      <c r="AF503" s="73"/>
      <c r="AH503" s="143"/>
      <c r="AI503" s="143"/>
      <c r="AJ503" s="143"/>
      <c r="AK503" s="143"/>
      <c r="AL503" s="143"/>
      <c r="AM503" s="143"/>
      <c r="AN503" s="143"/>
      <c r="AO503" s="143"/>
      <c r="AP503" s="143"/>
      <c r="AQ503" s="143"/>
      <c r="AR503" s="143"/>
      <c r="AS503" s="143"/>
    </row>
    <row r="504" spans="1:45" ht="15" customHeight="1">
      <c r="A504" s="593" t="str">
        <f t="shared" si="32"/>
        <v>128j</v>
      </c>
      <c r="B504" s="594">
        <f>input!H58</f>
        <v>22</v>
      </c>
      <c r="C504" s="594">
        <f>input!J58</f>
        <v>1940</v>
      </c>
      <c r="D504" s="594">
        <f>input!K58</f>
        <v>10</v>
      </c>
      <c r="E504" s="594">
        <f>input!L58</f>
        <v>120</v>
      </c>
      <c r="F504" s="594">
        <f>input!U58</f>
        <v>2400</v>
      </c>
      <c r="G504" s="594">
        <f>input!M58</f>
        <v>2800</v>
      </c>
      <c r="H504" s="818">
        <f t="shared" si="31"/>
        <v>5772800</v>
      </c>
      <c r="I504" s="595">
        <f>MST!L59</f>
        <v>-1.29</v>
      </c>
      <c r="J504" s="595">
        <f>MST!M59</f>
        <v>0.01</v>
      </c>
      <c r="K504" s="595">
        <f>MST!N59</f>
        <v>-9.2799999999999994</v>
      </c>
      <c r="L504" s="595">
        <f t="shared" si="33"/>
        <v>-5.1967849223946781E-2</v>
      </c>
      <c r="M504" s="597">
        <f>SQRT(1-(L504/input!BI58)^2)</f>
        <v>0.99999999064869338</v>
      </c>
      <c r="U504" s="73"/>
      <c r="V504" s="73"/>
      <c r="W504" s="73"/>
      <c r="X504" s="73"/>
      <c r="Y504" s="73"/>
      <c r="Z504" s="73"/>
      <c r="AA504" s="73"/>
      <c r="AC504" s="73"/>
      <c r="AD504" s="73"/>
      <c r="AF504" s="73"/>
      <c r="AH504" s="143"/>
      <c r="AI504" s="143"/>
      <c r="AJ504" s="143"/>
      <c r="AK504" s="143"/>
      <c r="AL504" s="143"/>
      <c r="AM504" s="143"/>
      <c r="AN504" s="143"/>
      <c r="AO504" s="143"/>
      <c r="AP504" s="143"/>
      <c r="AQ504" s="143"/>
      <c r="AR504" s="143"/>
      <c r="AS504" s="143"/>
    </row>
    <row r="505" spans="1:45" ht="15" customHeight="1">
      <c r="A505" s="593" t="str">
        <f t="shared" si="32"/>
        <v>129i</v>
      </c>
      <c r="B505" s="594">
        <f>input!H59</f>
        <v>22</v>
      </c>
      <c r="C505" s="594">
        <f>input!J59</f>
        <v>1940</v>
      </c>
      <c r="D505" s="594">
        <f>input!K59</f>
        <v>10</v>
      </c>
      <c r="E505" s="594">
        <f>input!L59</f>
        <v>120</v>
      </c>
      <c r="F505" s="594">
        <f>input!U59</f>
        <v>2400</v>
      </c>
      <c r="G505" s="594">
        <f>input!M59</f>
        <v>2800</v>
      </c>
      <c r="H505" s="818">
        <f t="shared" si="31"/>
        <v>5772800</v>
      </c>
      <c r="I505" s="595">
        <f>MST!L60</f>
        <v>-4.93</v>
      </c>
      <c r="J505" s="595">
        <f>MST!M60</f>
        <v>0.01</v>
      </c>
      <c r="K505" s="595">
        <f>MST!N60</f>
        <v>-29.12</v>
      </c>
      <c r="L505" s="595">
        <f t="shared" si="33"/>
        <v>-0.16751757458173755</v>
      </c>
      <c r="M505" s="597">
        <f>SQRT(1-(L505/input!BI59)^2)</f>
        <v>0.99999990283192808</v>
      </c>
      <c r="U505" s="73"/>
      <c r="V505" s="73"/>
      <c r="W505" s="73"/>
      <c r="X505" s="73"/>
      <c r="Y505" s="73"/>
      <c r="Z505" s="73"/>
      <c r="AA505" s="73"/>
      <c r="AC505" s="73"/>
      <c r="AD505" s="73"/>
      <c r="AF505" s="73"/>
      <c r="AH505" s="143"/>
      <c r="AI505" s="143"/>
      <c r="AJ505" s="143"/>
      <c r="AK505" s="143"/>
      <c r="AL505" s="143"/>
      <c r="AM505" s="143"/>
      <c r="AN505" s="143"/>
      <c r="AO505" s="143"/>
      <c r="AP505" s="143"/>
      <c r="AQ505" s="143"/>
      <c r="AR505" s="143"/>
      <c r="AS505" s="143"/>
    </row>
    <row r="506" spans="1:45" ht="15" customHeight="1">
      <c r="A506" s="593" t="str">
        <f t="shared" si="32"/>
        <v>129j</v>
      </c>
      <c r="B506" s="594">
        <f>input!H60</f>
        <v>22</v>
      </c>
      <c r="C506" s="594">
        <f>input!J60</f>
        <v>1940</v>
      </c>
      <c r="D506" s="594">
        <f>input!K60</f>
        <v>10</v>
      </c>
      <c r="E506" s="594">
        <f>input!L60</f>
        <v>120</v>
      </c>
      <c r="F506" s="594">
        <f>input!U60</f>
        <v>2400</v>
      </c>
      <c r="G506" s="594">
        <f>input!M60</f>
        <v>2800</v>
      </c>
      <c r="H506" s="818">
        <f t="shared" si="31"/>
        <v>5772800</v>
      </c>
      <c r="I506" s="595">
        <f>MST!L61</f>
        <v>-4.93</v>
      </c>
      <c r="J506" s="595">
        <f>MST!M61</f>
        <v>0.01</v>
      </c>
      <c r="K506" s="595">
        <f>MST!N61</f>
        <v>-34.42</v>
      </c>
      <c r="L506" s="595">
        <f t="shared" si="33"/>
        <v>-0.1935999231505745</v>
      </c>
      <c r="M506" s="597">
        <f>SQRT(1-(L506/input!BI60)^2)</f>
        <v>0.99999987021837722</v>
      </c>
      <c r="U506" s="73"/>
      <c r="V506" s="73"/>
      <c r="W506" s="73"/>
      <c r="X506" s="73"/>
      <c r="Y506" s="73"/>
      <c r="Z506" s="73"/>
      <c r="AA506" s="73"/>
      <c r="AC506" s="73"/>
      <c r="AD506" s="73"/>
      <c r="AF506" s="73"/>
      <c r="AH506" s="143"/>
      <c r="AI506" s="143"/>
      <c r="AJ506" s="143"/>
      <c r="AK506" s="143"/>
      <c r="AL506" s="143"/>
      <c r="AM506" s="143"/>
      <c r="AN506" s="143"/>
      <c r="AO506" s="143"/>
      <c r="AP506" s="143"/>
      <c r="AQ506" s="143"/>
      <c r="AR506" s="143"/>
      <c r="AS506" s="143"/>
    </row>
    <row r="507" spans="1:45" ht="15" customHeight="1">
      <c r="A507" s="593" t="str">
        <f t="shared" si="32"/>
        <v>130i</v>
      </c>
      <c r="B507" s="594">
        <f>input!H61</f>
        <v>22</v>
      </c>
      <c r="C507" s="594">
        <f>input!J61</f>
        <v>1940</v>
      </c>
      <c r="D507" s="594">
        <f>input!K61</f>
        <v>10</v>
      </c>
      <c r="E507" s="594">
        <f>input!L61</f>
        <v>120</v>
      </c>
      <c r="F507" s="594">
        <f>input!U61</f>
        <v>2350</v>
      </c>
      <c r="G507" s="594">
        <f>input!M61</f>
        <v>2600</v>
      </c>
      <c r="H507" s="818">
        <f t="shared" si="31"/>
        <v>5297400</v>
      </c>
      <c r="I507" s="595">
        <f>MST!L62</f>
        <v>-4.93</v>
      </c>
      <c r="J507" s="595">
        <f>MST!M62</f>
        <v>0.01</v>
      </c>
      <c r="K507" s="595">
        <f>MST!N62</f>
        <v>-34.42</v>
      </c>
      <c r="L507" s="595">
        <f t="shared" si="33"/>
        <v>-0.21097399410345388</v>
      </c>
      <c r="M507" s="597">
        <f>SQRT(1-(L507/input!BI61)^2)</f>
        <v>0.99999984587939883</v>
      </c>
      <c r="U507" s="73"/>
      <c r="V507" s="73"/>
      <c r="W507" s="73"/>
      <c r="X507" s="73"/>
      <c r="Y507" s="73"/>
      <c r="Z507" s="73"/>
      <c r="AA507" s="73"/>
      <c r="AC507" s="73"/>
      <c r="AD507" s="73"/>
      <c r="AF507" s="73"/>
      <c r="AH507" s="143"/>
      <c r="AI507" s="143"/>
      <c r="AJ507" s="143"/>
      <c r="AK507" s="143"/>
      <c r="AL507" s="143"/>
      <c r="AM507" s="143"/>
      <c r="AN507" s="143"/>
      <c r="AO507" s="143"/>
      <c r="AP507" s="143"/>
      <c r="AQ507" s="143"/>
      <c r="AR507" s="143"/>
      <c r="AS507" s="143"/>
    </row>
    <row r="508" spans="1:45" ht="15" customHeight="1">
      <c r="A508" s="593" t="str">
        <f t="shared" si="32"/>
        <v>130j</v>
      </c>
      <c r="B508" s="594">
        <f>input!H62</f>
        <v>22</v>
      </c>
      <c r="C508" s="594">
        <f>input!J62</f>
        <v>1940</v>
      </c>
      <c r="D508" s="594">
        <f>input!K62</f>
        <v>10</v>
      </c>
      <c r="E508" s="594">
        <f>input!L62</f>
        <v>120</v>
      </c>
      <c r="F508" s="594">
        <f>input!U62</f>
        <v>2350</v>
      </c>
      <c r="G508" s="594">
        <f>input!M62</f>
        <v>2600</v>
      </c>
      <c r="H508" s="818">
        <f t="shared" si="31"/>
        <v>5297400</v>
      </c>
      <c r="I508" s="595">
        <f>MST!L63</f>
        <v>-4.93</v>
      </c>
      <c r="J508" s="595">
        <f>MST!M63</f>
        <v>0.01</v>
      </c>
      <c r="K508" s="595">
        <f>MST!N63</f>
        <v>-29.67</v>
      </c>
      <c r="L508" s="595">
        <f t="shared" si="33"/>
        <v>-0.40810114395741304</v>
      </c>
      <c r="M508" s="597">
        <f>SQRT(1-(L508/input!BI62)^2)</f>
        <v>0.99999942331512559</v>
      </c>
      <c r="U508" s="73"/>
      <c r="V508" s="73"/>
      <c r="W508" s="73"/>
      <c r="X508" s="73"/>
      <c r="Y508" s="73"/>
      <c r="Z508" s="73"/>
      <c r="AA508" s="73"/>
      <c r="AC508" s="73"/>
      <c r="AD508" s="73"/>
      <c r="AF508" s="73"/>
      <c r="AH508" s="143"/>
      <c r="AI508" s="143"/>
      <c r="AJ508" s="143"/>
      <c r="AK508" s="143"/>
      <c r="AL508" s="143"/>
      <c r="AM508" s="143"/>
      <c r="AN508" s="143"/>
      <c r="AO508" s="143"/>
      <c r="AP508" s="143"/>
      <c r="AQ508" s="143"/>
      <c r="AR508" s="143"/>
      <c r="AS508" s="143"/>
    </row>
    <row r="509" spans="1:45" ht="15" customHeight="1">
      <c r="A509" s="593" t="str">
        <f t="shared" si="32"/>
        <v>131i</v>
      </c>
      <c r="B509" s="594">
        <f>input!H63</f>
        <v>22</v>
      </c>
      <c r="C509" s="594">
        <f>input!J63</f>
        <v>1940</v>
      </c>
      <c r="D509" s="594">
        <f>input!K63</f>
        <v>10</v>
      </c>
      <c r="E509" s="594">
        <f>input!L63</f>
        <v>120</v>
      </c>
      <c r="F509" s="594">
        <f>input!U63</f>
        <v>2350</v>
      </c>
      <c r="G509" s="594">
        <f>input!M63</f>
        <v>2600</v>
      </c>
      <c r="H509" s="818">
        <f t="shared" si="31"/>
        <v>5297400</v>
      </c>
      <c r="I509" s="595">
        <f>MST!L64</f>
        <v>0</v>
      </c>
      <c r="J509" s="595">
        <f>MST!M64</f>
        <v>0</v>
      </c>
      <c r="K509" s="595">
        <f>MST!N64</f>
        <v>-0.9</v>
      </c>
      <c r="L509" s="595">
        <f t="shared" si="33"/>
        <v>-1.0618416581719333E-2</v>
      </c>
      <c r="M509" s="597">
        <f>SQRT(1-(L509/input!BI63)^2)</f>
        <v>0.99999999960958874</v>
      </c>
      <c r="U509" s="73"/>
      <c r="V509" s="73"/>
      <c r="W509" s="73"/>
      <c r="X509" s="73"/>
      <c r="Y509" s="73"/>
      <c r="Z509" s="73"/>
      <c r="AA509" s="73"/>
      <c r="AC509" s="73"/>
      <c r="AD509" s="73"/>
      <c r="AF509" s="73"/>
      <c r="AH509" s="143"/>
      <c r="AI509" s="143"/>
      <c r="AJ509" s="143"/>
      <c r="AK509" s="143"/>
      <c r="AL509" s="143"/>
      <c r="AM509" s="143"/>
      <c r="AN509" s="143"/>
      <c r="AO509" s="143"/>
      <c r="AP509" s="143"/>
      <c r="AQ509" s="143"/>
      <c r="AR509" s="143"/>
      <c r="AS509" s="143"/>
    </row>
    <row r="510" spans="1:45" ht="15" customHeight="1">
      <c r="A510" s="593" t="str">
        <f t="shared" si="32"/>
        <v>131j</v>
      </c>
      <c r="B510" s="594">
        <f>input!H64</f>
        <v>22</v>
      </c>
      <c r="C510" s="594">
        <f>input!J64</f>
        <v>1940</v>
      </c>
      <c r="D510" s="594">
        <f>input!K64</f>
        <v>10</v>
      </c>
      <c r="E510" s="594">
        <f>input!L64</f>
        <v>120</v>
      </c>
      <c r="F510" s="594">
        <f>input!U64</f>
        <v>2350</v>
      </c>
      <c r="G510" s="594">
        <f>input!M64</f>
        <v>2600</v>
      </c>
      <c r="H510" s="818">
        <f t="shared" si="31"/>
        <v>5297400</v>
      </c>
      <c r="I510" s="595">
        <f>MST!L65</f>
        <v>0</v>
      </c>
      <c r="J510" s="595">
        <f>MST!M65</f>
        <v>0</v>
      </c>
      <c r="K510" s="595">
        <f>MST!N65</f>
        <v>0</v>
      </c>
      <c r="L510" s="595">
        <f t="shared" si="33"/>
        <v>0</v>
      </c>
      <c r="M510" s="597">
        <f>SQRT(1-(L510/input!BI64)^2)</f>
        <v>1</v>
      </c>
      <c r="U510" s="73"/>
      <c r="V510" s="73"/>
      <c r="W510" s="73"/>
      <c r="X510" s="73"/>
      <c r="Y510" s="73"/>
      <c r="Z510" s="73"/>
      <c r="AA510" s="73"/>
      <c r="AC510" s="73"/>
      <c r="AD510" s="73"/>
      <c r="AF510" s="73"/>
      <c r="AH510" s="143"/>
      <c r="AI510" s="143"/>
      <c r="AJ510" s="143"/>
      <c r="AK510" s="143"/>
      <c r="AL510" s="143"/>
      <c r="AM510" s="143"/>
      <c r="AN510" s="143"/>
      <c r="AO510" s="143"/>
      <c r="AP510" s="143"/>
      <c r="AQ510" s="143"/>
      <c r="AR510" s="143"/>
      <c r="AS510" s="143"/>
    </row>
    <row r="511" spans="1:45" ht="15" customHeight="1">
      <c r="A511" s="348"/>
      <c r="B511" s="348"/>
      <c r="C511" s="219"/>
      <c r="D511" s="219"/>
      <c r="E511" s="219"/>
      <c r="F511" s="219"/>
      <c r="G511" s="219"/>
      <c r="H511" s="219"/>
      <c r="I511" s="219"/>
      <c r="J511" s="219"/>
      <c r="K511" s="219"/>
      <c r="L511" s="219"/>
      <c r="M511" s="219"/>
      <c r="N511" s="219"/>
      <c r="O511" s="220"/>
      <c r="P511" s="220"/>
      <c r="Q511" s="242"/>
      <c r="R511" s="242"/>
      <c r="S511" s="242"/>
      <c r="T511" s="242"/>
      <c r="U511" s="242"/>
      <c r="V511" s="242"/>
      <c r="W511" s="364"/>
      <c r="X511" s="364"/>
      <c r="Y511" s="242"/>
      <c r="Z511" s="242"/>
      <c r="AA511" s="242"/>
      <c r="AB511" s="242"/>
      <c r="AD511" s="73"/>
      <c r="AE511" s="463"/>
      <c r="AF511" s="73"/>
    </row>
    <row r="512" spans="1:45" ht="15" customHeight="1">
      <c r="B512" s="348"/>
      <c r="C512" s="348"/>
      <c r="D512" s="242"/>
      <c r="E512" s="242"/>
      <c r="F512" s="242"/>
      <c r="G512" s="242"/>
      <c r="H512" s="242"/>
      <c r="I512" s="242"/>
      <c r="J512" s="364"/>
      <c r="K512" s="364"/>
      <c r="L512" s="364"/>
      <c r="M512" s="364"/>
      <c r="N512" s="364"/>
      <c r="O512" s="364"/>
      <c r="P512" s="364"/>
      <c r="Q512" s="364"/>
      <c r="R512" s="242"/>
      <c r="S512" s="242"/>
      <c r="T512" s="242"/>
      <c r="U512" s="242"/>
      <c r="V512" s="242"/>
      <c r="W512" s="242"/>
      <c r="X512" s="242"/>
      <c r="Y512" s="242"/>
      <c r="AA512" s="362"/>
      <c r="AB512" s="463"/>
      <c r="AD512" s="73"/>
      <c r="AE512" s="463"/>
      <c r="AF512" s="73"/>
    </row>
    <row r="513" spans="1:45" ht="15" customHeight="1" thickBot="1">
      <c r="A513" s="468" t="s">
        <v>1626</v>
      </c>
      <c r="B513" s="121"/>
      <c r="C513" s="242"/>
      <c r="D513" s="55"/>
      <c r="E513" s="121"/>
      <c r="F513" s="121"/>
      <c r="G513" s="120"/>
      <c r="H513" s="119"/>
      <c r="I513" s="121"/>
      <c r="J513" s="242"/>
      <c r="K513" s="242"/>
      <c r="L513" s="242"/>
      <c r="M513" s="242"/>
      <c r="N513" s="55"/>
      <c r="O513" s="55"/>
      <c r="P513" s="56"/>
      <c r="Q513" s="56"/>
      <c r="R513" s="57"/>
      <c r="Y513" s="362"/>
    </row>
    <row r="514" spans="1:45" ht="15" customHeight="1">
      <c r="A514" s="570" t="s">
        <v>16</v>
      </c>
      <c r="B514" s="790" t="s">
        <v>693</v>
      </c>
      <c r="C514" s="1918" t="s">
        <v>3324</v>
      </c>
      <c r="D514" s="1911"/>
      <c r="E514" s="1911"/>
      <c r="F514" s="1911"/>
      <c r="G514" s="1919"/>
      <c r="H514" s="567" t="s">
        <v>977</v>
      </c>
      <c r="I514" s="567" t="s">
        <v>978</v>
      </c>
      <c r="J514" s="567" t="s">
        <v>979</v>
      </c>
      <c r="K514" s="567" t="s">
        <v>2003</v>
      </c>
      <c r="L514" s="565" t="s">
        <v>129</v>
      </c>
      <c r="M514" s="571" t="s">
        <v>410</v>
      </c>
      <c r="S514" s="73"/>
      <c r="U514" s="73"/>
      <c r="V514" s="73"/>
      <c r="W514" s="73"/>
      <c r="Y514" s="143"/>
      <c r="AB514" s="143"/>
      <c r="AD514" s="143"/>
      <c r="AE514" s="143"/>
      <c r="AF514" s="143"/>
      <c r="AG514" s="143"/>
      <c r="AH514" s="143"/>
      <c r="AI514" s="143"/>
      <c r="AJ514" s="143"/>
      <c r="AK514" s="143"/>
      <c r="AL514" s="143"/>
      <c r="AM514" s="143"/>
      <c r="AN514" s="143"/>
      <c r="AO514" s="143"/>
      <c r="AP514" s="143"/>
      <c r="AQ514" s="143"/>
      <c r="AR514" s="143"/>
      <c r="AS514" s="143"/>
    </row>
    <row r="515" spans="1:45" ht="15" customHeight="1">
      <c r="A515" s="569"/>
      <c r="B515" s="791" t="s">
        <v>694</v>
      </c>
      <c r="C515" s="662" t="s">
        <v>1879</v>
      </c>
      <c r="D515" s="662" t="s">
        <v>1880</v>
      </c>
      <c r="E515" s="662" t="s">
        <v>1881</v>
      </c>
      <c r="F515" s="662" t="s">
        <v>1882</v>
      </c>
      <c r="G515" s="662" t="s">
        <v>1883</v>
      </c>
      <c r="H515" s="566"/>
      <c r="I515" s="566"/>
      <c r="J515" s="566"/>
      <c r="K515" s="566"/>
      <c r="L515" s="566"/>
      <c r="M515" s="568"/>
      <c r="S515" s="73"/>
      <c r="U515" s="73"/>
      <c r="V515" s="73"/>
      <c r="W515" s="73"/>
      <c r="Y515" s="143"/>
      <c r="AB515" s="143"/>
      <c r="AD515" s="143"/>
      <c r="AE515" s="143"/>
      <c r="AF515" s="143"/>
      <c r="AG515" s="143"/>
      <c r="AH515" s="143"/>
      <c r="AI515" s="143"/>
      <c r="AJ515" s="143"/>
      <c r="AK515" s="143"/>
      <c r="AL515" s="143"/>
      <c r="AM515" s="143"/>
      <c r="AN515" s="143"/>
      <c r="AO515" s="143"/>
      <c r="AP515" s="143"/>
      <c r="AQ515" s="143"/>
      <c r="AR515" s="143"/>
      <c r="AS515" s="143"/>
    </row>
    <row r="516" spans="1:45" ht="15" customHeight="1">
      <c r="A516" s="482" t="str">
        <f t="shared" ref="A516:A547" si="34">A95</f>
        <v>101i</v>
      </c>
      <c r="B516" s="1016" t="str">
        <f t="shared" ref="B516:B547" si="35">D161</f>
        <v>Negative</v>
      </c>
      <c r="C516" s="573">
        <f>input!AE3</f>
        <v>160</v>
      </c>
      <c r="D516" s="573">
        <f>input!AF3</f>
        <v>16</v>
      </c>
      <c r="E516" s="573">
        <f>input!AH3</f>
        <v>0</v>
      </c>
      <c r="F516" s="573">
        <f>input!AI3</f>
        <v>0</v>
      </c>
      <c r="G516" s="817">
        <f>IF(B516="Positive",1/3*F516*E516^3,1/3*D516*C516^3)</f>
        <v>21845333.333333332</v>
      </c>
      <c r="H516" s="483">
        <f>IF(B516="Positive",IF(E516=0,0,(F449-K516*F516)/(K516+1)),IF(C516=0,0,(C449-2*E449-K516*D516)/(K516+1)))</f>
        <v>556</v>
      </c>
      <c r="I516" s="483">
        <f>IF(B516="Positive",input!H3,input!K3)</f>
        <v>12</v>
      </c>
      <c r="J516" s="483">
        <f>IF(B516="Positive",input!G3,input!J3)</f>
        <v>1940</v>
      </c>
      <c r="K516" s="483">
        <f>IF(B516="Positive",input!AG3,input!AD3)</f>
        <v>2</v>
      </c>
      <c r="L516" s="21">
        <f>IF(H516=0,4,MIN(MAX((IF(K516=1,8,0.894)*G516/H516/I516^3)^(1/3),1),4))</f>
        <v>2.7291404622167161</v>
      </c>
      <c r="M516" s="597">
        <f>IF(H516=0,5.34,MIN((5.34+2.84*(G516/H516/I516^3)^(1/3))/((K516+1)^2),5.34))</f>
        <v>1.4873025121999799</v>
      </c>
      <c r="S516" s="73"/>
      <c r="U516" s="73"/>
      <c r="V516" s="73"/>
      <c r="W516" s="73"/>
      <c r="Y516" s="143"/>
      <c r="AB516" s="143"/>
      <c r="AD516" s="143"/>
      <c r="AE516" s="143"/>
      <c r="AF516" s="143"/>
      <c r="AG516" s="143"/>
      <c r="AH516" s="143"/>
      <c r="AI516" s="143"/>
      <c r="AJ516" s="143"/>
      <c r="AK516" s="143"/>
      <c r="AL516" s="143"/>
      <c r="AM516" s="143"/>
      <c r="AN516" s="143"/>
      <c r="AO516" s="143"/>
      <c r="AP516" s="143"/>
      <c r="AQ516" s="143"/>
      <c r="AR516" s="143"/>
      <c r="AS516" s="143"/>
    </row>
    <row r="517" spans="1:45" ht="15" customHeight="1">
      <c r="A517" s="482" t="str">
        <f t="shared" si="34"/>
        <v>101j</v>
      </c>
      <c r="B517" s="1016" t="str">
        <f t="shared" si="35"/>
        <v>Negative</v>
      </c>
      <c r="C517" s="573">
        <f>input!AE4</f>
        <v>160</v>
      </c>
      <c r="D517" s="573">
        <f>input!AF4</f>
        <v>16</v>
      </c>
      <c r="E517" s="573">
        <f>input!AH4</f>
        <v>0</v>
      </c>
      <c r="F517" s="573">
        <f>input!AI4</f>
        <v>0</v>
      </c>
      <c r="G517" s="817">
        <f t="shared" ref="G517:G577" si="36">IF(B517="Positive",1/3*F517*E517^3,1/3*D517*C517^3)</f>
        <v>21845333.333333332</v>
      </c>
      <c r="H517" s="483">
        <f t="shared" ref="H517:H577" si="37">IF(B517="Positive",IF(E517=0,0,(F450-K517*F517)/(K517+1)),IF(C517=0,0,(C450-2*E450-K517*D517)/(K517+1)))</f>
        <v>556</v>
      </c>
      <c r="I517" s="483">
        <f>IF(B517="Positive",input!H4,input!K4)</f>
        <v>12</v>
      </c>
      <c r="J517" s="483">
        <f>IF(B517="Positive",input!G4,input!J4)</f>
        <v>1940</v>
      </c>
      <c r="K517" s="483">
        <f>IF(B517="Positive",input!AG4,input!AD4)</f>
        <v>2</v>
      </c>
      <c r="L517" s="21">
        <f t="shared" ref="L517:L547" si="38">IF(H517=0,4,MIN(MAX((IF(K517=1,8,0.894)*G517/H517/I517^3)^(1/3),1),4))</f>
        <v>2.7291404622167161</v>
      </c>
      <c r="M517" s="597">
        <f t="shared" ref="M517:M577" si="39">IF(H517=0,5.34,MIN((5.34+2.84*(G517/H517/I517^3)^(1/3))/((K517+1)^2),5.34))</f>
        <v>1.4873025121999799</v>
      </c>
      <c r="S517" s="73"/>
      <c r="U517" s="73"/>
      <c r="V517" s="73"/>
      <c r="W517" s="73"/>
      <c r="Y517" s="143"/>
      <c r="AB517" s="143"/>
      <c r="AD517" s="143"/>
      <c r="AE517" s="143"/>
      <c r="AF517" s="143"/>
      <c r="AG517" s="143"/>
      <c r="AH517" s="143"/>
      <c r="AI517" s="143"/>
      <c r="AJ517" s="143"/>
      <c r="AK517" s="143"/>
      <c r="AL517" s="143"/>
      <c r="AM517" s="143"/>
      <c r="AN517" s="143"/>
      <c r="AO517" s="143"/>
      <c r="AP517" s="143"/>
      <c r="AQ517" s="143"/>
      <c r="AR517" s="143"/>
      <c r="AS517" s="143"/>
    </row>
    <row r="518" spans="1:45" ht="15" customHeight="1">
      <c r="A518" s="482" t="str">
        <f t="shared" si="34"/>
        <v>102i</v>
      </c>
      <c r="B518" s="1016" t="str">
        <f t="shared" si="35"/>
        <v>Negative</v>
      </c>
      <c r="C518" s="573">
        <f>input!AE5</f>
        <v>160</v>
      </c>
      <c r="D518" s="573">
        <f>input!AF5</f>
        <v>16</v>
      </c>
      <c r="E518" s="573">
        <f>input!AH5</f>
        <v>0</v>
      </c>
      <c r="F518" s="573">
        <f>input!AI5</f>
        <v>0</v>
      </c>
      <c r="G518" s="817">
        <f t="shared" si="36"/>
        <v>21845333.333333332</v>
      </c>
      <c r="H518" s="483">
        <f t="shared" si="37"/>
        <v>556</v>
      </c>
      <c r="I518" s="483">
        <f>IF(B518="Positive",input!H5,input!K5)</f>
        <v>12</v>
      </c>
      <c r="J518" s="483">
        <f>IF(B518="Positive",input!G5,input!J5)</f>
        <v>1940</v>
      </c>
      <c r="K518" s="483">
        <f>IF(B518="Positive",input!AG5,input!AD5)</f>
        <v>2</v>
      </c>
      <c r="L518" s="21">
        <f t="shared" si="38"/>
        <v>2.7291404622167161</v>
      </c>
      <c r="M518" s="597">
        <f t="shared" si="39"/>
        <v>1.4873025121999799</v>
      </c>
      <c r="S518" s="73"/>
      <c r="U518" s="73"/>
      <c r="V518" s="73"/>
      <c r="W518" s="73"/>
      <c r="Y518" s="143"/>
      <c r="AB518" s="143"/>
      <c r="AD518" s="143"/>
      <c r="AE518" s="143"/>
      <c r="AF518" s="143"/>
      <c r="AG518" s="143"/>
      <c r="AH518" s="143"/>
      <c r="AI518" s="143"/>
      <c r="AJ518" s="143"/>
      <c r="AK518" s="143"/>
      <c r="AL518" s="143"/>
      <c r="AM518" s="143"/>
      <c r="AN518" s="143"/>
      <c r="AO518" s="143"/>
      <c r="AP518" s="143"/>
      <c r="AQ518" s="143"/>
      <c r="AR518" s="143"/>
      <c r="AS518" s="143"/>
    </row>
    <row r="519" spans="1:45" ht="15" customHeight="1">
      <c r="A519" s="482" t="str">
        <f t="shared" si="34"/>
        <v>102j</v>
      </c>
      <c r="B519" s="1016" t="str">
        <f t="shared" si="35"/>
        <v>Positive</v>
      </c>
      <c r="C519" s="573">
        <f>input!AE6</f>
        <v>160</v>
      </c>
      <c r="D519" s="573">
        <f>input!AF6</f>
        <v>16</v>
      </c>
      <c r="E519" s="573">
        <f>input!AH6</f>
        <v>0</v>
      </c>
      <c r="F519" s="573">
        <f>input!AI6</f>
        <v>0</v>
      </c>
      <c r="G519" s="817">
        <f t="shared" si="36"/>
        <v>0</v>
      </c>
      <c r="H519" s="483">
        <f t="shared" si="37"/>
        <v>0</v>
      </c>
      <c r="I519" s="483">
        <f>IF(B519="Positive",input!H6,input!K6)</f>
        <v>22</v>
      </c>
      <c r="J519" s="483">
        <f>IF(B519="Positive",input!G6,input!J6)</f>
        <v>500</v>
      </c>
      <c r="K519" s="483">
        <f>IF(B519="Positive",input!AG6,input!AD6)</f>
        <v>0</v>
      </c>
      <c r="L519" s="21">
        <f t="shared" si="38"/>
        <v>4</v>
      </c>
      <c r="M519" s="597">
        <f t="shared" si="39"/>
        <v>5.34</v>
      </c>
      <c r="S519" s="73"/>
      <c r="U519" s="73"/>
      <c r="V519" s="73"/>
      <c r="W519" s="73"/>
      <c r="Y519" s="143"/>
      <c r="AB519" s="143"/>
      <c r="AD519" s="143"/>
      <c r="AE519" s="143"/>
      <c r="AF519" s="143"/>
      <c r="AG519" s="143"/>
      <c r="AH519" s="143"/>
      <c r="AI519" s="143"/>
      <c r="AJ519" s="143"/>
      <c r="AK519" s="143"/>
      <c r="AL519" s="143"/>
      <c r="AM519" s="143"/>
      <c r="AN519" s="143"/>
      <c r="AO519" s="143"/>
      <c r="AP519" s="143"/>
      <c r="AQ519" s="143"/>
      <c r="AR519" s="143"/>
      <c r="AS519" s="143"/>
    </row>
    <row r="520" spans="1:45" ht="15" customHeight="1">
      <c r="A520" s="482" t="str">
        <f t="shared" si="34"/>
        <v>103i</v>
      </c>
      <c r="B520" s="1016" t="str">
        <f t="shared" si="35"/>
        <v>Positive</v>
      </c>
      <c r="C520" s="573">
        <f>input!AE7</f>
        <v>160</v>
      </c>
      <c r="D520" s="573">
        <f>input!AF7</f>
        <v>16</v>
      </c>
      <c r="E520" s="573">
        <f>input!AH7</f>
        <v>0</v>
      </c>
      <c r="F520" s="573">
        <f>input!AI7</f>
        <v>0</v>
      </c>
      <c r="G520" s="817">
        <f t="shared" si="36"/>
        <v>0</v>
      </c>
      <c r="H520" s="483">
        <f t="shared" si="37"/>
        <v>0</v>
      </c>
      <c r="I520" s="483">
        <f>IF(B520="Positive",input!H7,input!K7)</f>
        <v>30</v>
      </c>
      <c r="J520" s="483">
        <f>IF(B520="Positive",input!G7,input!J7)</f>
        <v>500</v>
      </c>
      <c r="K520" s="483">
        <f>IF(B520="Positive",input!AG7,input!AD7)</f>
        <v>0</v>
      </c>
      <c r="L520" s="21">
        <f t="shared" si="38"/>
        <v>4</v>
      </c>
      <c r="M520" s="597">
        <f t="shared" si="39"/>
        <v>5.34</v>
      </c>
      <c r="S520" s="73"/>
      <c r="U520" s="73"/>
      <c r="V520" s="73"/>
      <c r="W520" s="73"/>
      <c r="Y520" s="143"/>
      <c r="AB520" s="143"/>
      <c r="AD520" s="143"/>
      <c r="AE520" s="143"/>
      <c r="AF520" s="143"/>
      <c r="AG520" s="143"/>
      <c r="AH520" s="143"/>
      <c r="AI520" s="143"/>
      <c r="AJ520" s="143"/>
      <c r="AK520" s="143"/>
      <c r="AL520" s="143"/>
      <c r="AM520" s="143"/>
      <c r="AN520" s="143"/>
      <c r="AO520" s="143"/>
      <c r="AP520" s="143"/>
      <c r="AQ520" s="143"/>
      <c r="AR520" s="143"/>
      <c r="AS520" s="143"/>
    </row>
    <row r="521" spans="1:45" ht="15" customHeight="1">
      <c r="A521" s="482" t="str">
        <f t="shared" si="34"/>
        <v>103j</v>
      </c>
      <c r="B521" s="1016" t="str">
        <f t="shared" si="35"/>
        <v>Positive</v>
      </c>
      <c r="C521" s="573">
        <f>input!AE8</f>
        <v>160</v>
      </c>
      <c r="D521" s="573">
        <f>input!AF8</f>
        <v>16</v>
      </c>
      <c r="E521" s="573">
        <f>input!AH8</f>
        <v>0</v>
      </c>
      <c r="F521" s="573">
        <f>input!AI8</f>
        <v>0</v>
      </c>
      <c r="G521" s="817">
        <f t="shared" si="36"/>
        <v>0</v>
      </c>
      <c r="H521" s="483">
        <f t="shared" si="37"/>
        <v>0</v>
      </c>
      <c r="I521" s="483">
        <f>IF(B521="Positive",input!H8,input!K8)</f>
        <v>30</v>
      </c>
      <c r="J521" s="483">
        <f>IF(B521="Positive",input!G8,input!J8)</f>
        <v>500</v>
      </c>
      <c r="K521" s="483">
        <f>IF(B521="Positive",input!AG8,input!AD8)</f>
        <v>0</v>
      </c>
      <c r="L521" s="21">
        <f t="shared" si="38"/>
        <v>4</v>
      </c>
      <c r="M521" s="597">
        <f t="shared" si="39"/>
        <v>5.34</v>
      </c>
      <c r="S521" s="73"/>
      <c r="U521" s="73"/>
      <c r="V521" s="73"/>
      <c r="W521" s="73"/>
      <c r="Y521" s="143"/>
      <c r="AB521" s="143"/>
      <c r="AD521" s="143"/>
      <c r="AE521" s="143"/>
      <c r="AF521" s="143"/>
      <c r="AG521" s="143"/>
      <c r="AH521" s="143"/>
      <c r="AI521" s="143"/>
      <c r="AJ521" s="143"/>
      <c r="AK521" s="143"/>
      <c r="AL521" s="143"/>
      <c r="AM521" s="143"/>
      <c r="AN521" s="143"/>
      <c r="AO521" s="143"/>
      <c r="AP521" s="143"/>
      <c r="AQ521" s="143"/>
      <c r="AR521" s="143"/>
      <c r="AS521" s="143"/>
    </row>
    <row r="522" spans="1:45" ht="15" customHeight="1">
      <c r="A522" s="482" t="str">
        <f t="shared" si="34"/>
        <v>104i</v>
      </c>
      <c r="B522" s="1016" t="str">
        <f t="shared" si="35"/>
        <v>Positive</v>
      </c>
      <c r="C522" s="573">
        <f>input!AE9</f>
        <v>160</v>
      </c>
      <c r="D522" s="573">
        <f>input!AF9</f>
        <v>16</v>
      </c>
      <c r="E522" s="573">
        <f>input!AH9</f>
        <v>0</v>
      </c>
      <c r="F522" s="573">
        <f>input!AI9</f>
        <v>0</v>
      </c>
      <c r="G522" s="817">
        <f t="shared" si="36"/>
        <v>0</v>
      </c>
      <c r="H522" s="483">
        <f t="shared" si="37"/>
        <v>0</v>
      </c>
      <c r="I522" s="483">
        <f>IF(B522="Positive",input!H9,input!K9)</f>
        <v>30</v>
      </c>
      <c r="J522" s="483">
        <f>IF(B522="Positive",input!G9,input!J9)</f>
        <v>500</v>
      </c>
      <c r="K522" s="483">
        <f>IF(B522="Positive",input!AG9,input!AD9)</f>
        <v>0</v>
      </c>
      <c r="L522" s="21">
        <f t="shared" si="38"/>
        <v>4</v>
      </c>
      <c r="M522" s="597">
        <f t="shared" si="39"/>
        <v>5.34</v>
      </c>
      <c r="S522" s="73"/>
      <c r="U522" s="73"/>
      <c r="V522" s="73"/>
      <c r="W522" s="73"/>
      <c r="Y522" s="143"/>
      <c r="AB522" s="143"/>
      <c r="AD522" s="143"/>
      <c r="AE522" s="143"/>
      <c r="AF522" s="143"/>
      <c r="AG522" s="143"/>
      <c r="AH522" s="143"/>
      <c r="AI522" s="143"/>
      <c r="AJ522" s="143"/>
      <c r="AK522" s="143"/>
      <c r="AL522" s="143"/>
      <c r="AM522" s="143"/>
      <c r="AN522" s="143"/>
      <c r="AO522" s="143"/>
      <c r="AP522" s="143"/>
      <c r="AQ522" s="143"/>
      <c r="AR522" s="143"/>
      <c r="AS522" s="143"/>
    </row>
    <row r="523" spans="1:45" ht="15" customHeight="1">
      <c r="A523" s="482" t="str">
        <f t="shared" si="34"/>
        <v>104j</v>
      </c>
      <c r="B523" s="1016" t="str">
        <f t="shared" si="35"/>
        <v>Positive</v>
      </c>
      <c r="C523" s="573">
        <f>input!AE10</f>
        <v>160</v>
      </c>
      <c r="D523" s="573">
        <f>input!AF10</f>
        <v>16</v>
      </c>
      <c r="E523" s="573">
        <f>input!AH10</f>
        <v>0</v>
      </c>
      <c r="F523" s="573">
        <f>input!AI10</f>
        <v>0</v>
      </c>
      <c r="G523" s="817">
        <f t="shared" si="36"/>
        <v>0</v>
      </c>
      <c r="H523" s="483">
        <f t="shared" si="37"/>
        <v>0</v>
      </c>
      <c r="I523" s="483">
        <f>IF(B523="Positive",input!H10,input!K10)</f>
        <v>30</v>
      </c>
      <c r="J523" s="483">
        <f>IF(B523="Positive",input!G10,input!J10)</f>
        <v>500</v>
      </c>
      <c r="K523" s="483">
        <f>IF(B523="Positive",input!AG10,input!AD10)</f>
        <v>0</v>
      </c>
      <c r="L523" s="21">
        <f t="shared" si="38"/>
        <v>4</v>
      </c>
      <c r="M523" s="597">
        <f t="shared" si="39"/>
        <v>5.34</v>
      </c>
      <c r="S523" s="73"/>
      <c r="U523" s="73"/>
      <c r="V523" s="73"/>
      <c r="W523" s="73"/>
      <c r="Y523" s="143"/>
      <c r="AB523" s="143"/>
      <c r="AD523" s="143"/>
      <c r="AE523" s="143"/>
      <c r="AF523" s="143"/>
      <c r="AG523" s="143"/>
      <c r="AH523" s="143"/>
      <c r="AI523" s="143"/>
      <c r="AJ523" s="143"/>
      <c r="AK523" s="143"/>
      <c r="AL523" s="143"/>
      <c r="AM523" s="143"/>
      <c r="AN523" s="143"/>
      <c r="AO523" s="143"/>
      <c r="AP523" s="143"/>
      <c r="AQ523" s="143"/>
      <c r="AR523" s="143"/>
      <c r="AS523" s="143"/>
    </row>
    <row r="524" spans="1:45" ht="15" customHeight="1">
      <c r="A524" s="482" t="str">
        <f t="shared" si="34"/>
        <v>105i</v>
      </c>
      <c r="B524" s="1016" t="str">
        <f t="shared" si="35"/>
        <v>Positive</v>
      </c>
      <c r="C524" s="573">
        <f>input!AE11</f>
        <v>160</v>
      </c>
      <c r="D524" s="573">
        <f>input!AF11</f>
        <v>16</v>
      </c>
      <c r="E524" s="573">
        <f>input!AH11</f>
        <v>0</v>
      </c>
      <c r="F524" s="573">
        <f>input!AI11</f>
        <v>0</v>
      </c>
      <c r="G524" s="817">
        <f t="shared" si="36"/>
        <v>0</v>
      </c>
      <c r="H524" s="483">
        <f t="shared" si="37"/>
        <v>0</v>
      </c>
      <c r="I524" s="483">
        <f>IF(B524="Positive",input!H11,input!K11)</f>
        <v>38</v>
      </c>
      <c r="J524" s="483">
        <f>IF(B524="Positive",input!G11,input!J11)</f>
        <v>500</v>
      </c>
      <c r="K524" s="483">
        <f>IF(B524="Positive",input!AG11,input!AD11)</f>
        <v>0</v>
      </c>
      <c r="L524" s="21">
        <f t="shared" si="38"/>
        <v>4</v>
      </c>
      <c r="M524" s="597">
        <f t="shared" si="39"/>
        <v>5.34</v>
      </c>
      <c r="S524" s="73"/>
      <c r="U524" s="73"/>
      <c r="V524" s="73"/>
      <c r="W524" s="73"/>
      <c r="Y524" s="143"/>
      <c r="AB524" s="143"/>
      <c r="AD524" s="143"/>
      <c r="AE524" s="143"/>
      <c r="AF524" s="143"/>
      <c r="AG524" s="143"/>
      <c r="AH524" s="143"/>
      <c r="AI524" s="143"/>
      <c r="AJ524" s="143"/>
      <c r="AK524" s="143"/>
      <c r="AL524" s="143"/>
      <c r="AM524" s="143"/>
      <c r="AN524" s="143"/>
      <c r="AO524" s="143"/>
      <c r="AP524" s="143"/>
      <c r="AQ524" s="143"/>
      <c r="AR524" s="143"/>
      <c r="AS524" s="143"/>
    </row>
    <row r="525" spans="1:45" ht="15" customHeight="1">
      <c r="A525" s="482" t="str">
        <f t="shared" si="34"/>
        <v>105j</v>
      </c>
      <c r="B525" s="1016" t="str">
        <f t="shared" si="35"/>
        <v>Positive</v>
      </c>
      <c r="C525" s="573">
        <f>input!AE12</f>
        <v>160</v>
      </c>
      <c r="D525" s="573">
        <f>input!AF12</f>
        <v>16</v>
      </c>
      <c r="E525" s="573">
        <f>input!AH12</f>
        <v>0</v>
      </c>
      <c r="F525" s="573">
        <f>input!AI12</f>
        <v>0</v>
      </c>
      <c r="G525" s="817">
        <f t="shared" si="36"/>
        <v>0</v>
      </c>
      <c r="H525" s="483">
        <f t="shared" si="37"/>
        <v>0</v>
      </c>
      <c r="I525" s="483">
        <f>IF(B525="Positive",input!H12,input!K12)</f>
        <v>38</v>
      </c>
      <c r="J525" s="483">
        <f>IF(B525="Positive",input!G12,input!J12)</f>
        <v>500</v>
      </c>
      <c r="K525" s="483">
        <f>IF(B525="Positive",input!AG12,input!AD12)</f>
        <v>0</v>
      </c>
      <c r="L525" s="21">
        <f t="shared" si="38"/>
        <v>4</v>
      </c>
      <c r="M525" s="597">
        <f t="shared" si="39"/>
        <v>5.34</v>
      </c>
      <c r="S525" s="73"/>
      <c r="U525" s="122"/>
      <c r="V525" s="122"/>
      <c r="W525" s="122"/>
      <c r="X525" s="170"/>
      <c r="Y525" s="170"/>
      <c r="Z525" s="170"/>
      <c r="AA525" s="170"/>
      <c r="AB525" s="170"/>
      <c r="AC525" s="170"/>
      <c r="AD525" s="170"/>
      <c r="AE525" s="143"/>
      <c r="AF525" s="143"/>
      <c r="AG525" s="143"/>
      <c r="AH525" s="143"/>
      <c r="AI525" s="143"/>
      <c r="AJ525" s="143"/>
      <c r="AK525" s="143"/>
      <c r="AL525" s="143"/>
      <c r="AM525" s="143"/>
      <c r="AN525" s="143"/>
      <c r="AO525" s="143"/>
      <c r="AP525" s="143"/>
      <c r="AQ525" s="143"/>
      <c r="AR525" s="143"/>
      <c r="AS525" s="143"/>
    </row>
    <row r="526" spans="1:45" ht="15" customHeight="1">
      <c r="A526" s="482" t="str">
        <f t="shared" si="34"/>
        <v>106i</v>
      </c>
      <c r="B526" s="1016" t="str">
        <f t="shared" si="35"/>
        <v>Positive</v>
      </c>
      <c r="C526" s="573">
        <f>input!AE13</f>
        <v>160</v>
      </c>
      <c r="D526" s="573">
        <f>input!AF13</f>
        <v>16</v>
      </c>
      <c r="E526" s="573">
        <f>input!AH13</f>
        <v>0</v>
      </c>
      <c r="F526" s="573">
        <f>input!AI13</f>
        <v>0</v>
      </c>
      <c r="G526" s="817">
        <f t="shared" si="36"/>
        <v>0</v>
      </c>
      <c r="H526" s="483">
        <f t="shared" si="37"/>
        <v>0</v>
      </c>
      <c r="I526" s="483">
        <f>IF(B526="Positive",input!H13,input!K13)</f>
        <v>38</v>
      </c>
      <c r="J526" s="483">
        <f>IF(B526="Positive",input!G13,input!J13)</f>
        <v>500</v>
      </c>
      <c r="K526" s="483">
        <f>IF(B526="Positive",input!AG13,input!AD13)</f>
        <v>0</v>
      </c>
      <c r="L526" s="21">
        <f t="shared" si="38"/>
        <v>4</v>
      </c>
      <c r="M526" s="597">
        <f t="shared" si="39"/>
        <v>5.34</v>
      </c>
      <c r="S526" s="73"/>
      <c r="U526" s="73"/>
      <c r="V526" s="73"/>
      <c r="W526" s="73"/>
      <c r="Y526" s="143"/>
      <c r="AB526" s="143"/>
      <c r="AD526" s="143"/>
      <c r="AE526" s="143"/>
      <c r="AF526" s="143"/>
      <c r="AG526" s="143"/>
      <c r="AH526" s="143"/>
      <c r="AI526" s="143"/>
      <c r="AJ526" s="143"/>
      <c r="AK526" s="143"/>
      <c r="AL526" s="143"/>
      <c r="AM526" s="143"/>
      <c r="AN526" s="143"/>
      <c r="AO526" s="143"/>
      <c r="AP526" s="143"/>
      <c r="AQ526" s="143"/>
      <c r="AR526" s="143"/>
      <c r="AS526" s="143"/>
    </row>
    <row r="527" spans="1:45" ht="15" customHeight="1">
      <c r="A527" s="482" t="str">
        <f t="shared" si="34"/>
        <v>106j</v>
      </c>
      <c r="B527" s="1016" t="str">
        <f t="shared" si="35"/>
        <v>Positive</v>
      </c>
      <c r="C527" s="573">
        <f>input!AE14</f>
        <v>160</v>
      </c>
      <c r="D527" s="573">
        <f>input!AF14</f>
        <v>16</v>
      </c>
      <c r="E527" s="573">
        <f>input!AH14</f>
        <v>0</v>
      </c>
      <c r="F527" s="573">
        <f>input!AI14</f>
        <v>0</v>
      </c>
      <c r="G527" s="817">
        <f t="shared" si="36"/>
        <v>0</v>
      </c>
      <c r="H527" s="483">
        <f t="shared" si="37"/>
        <v>0</v>
      </c>
      <c r="I527" s="483">
        <f>IF(B527="Positive",input!H14,input!K14)</f>
        <v>38</v>
      </c>
      <c r="J527" s="483">
        <f>IF(B527="Positive",input!G14,input!J14)</f>
        <v>500</v>
      </c>
      <c r="K527" s="483">
        <f>IF(B527="Positive",input!AG14,input!AD14)</f>
        <v>0</v>
      </c>
      <c r="L527" s="21">
        <f t="shared" si="38"/>
        <v>4</v>
      </c>
      <c r="M527" s="597">
        <f t="shared" si="39"/>
        <v>5.34</v>
      </c>
      <c r="S527" s="73"/>
      <c r="U527" s="73"/>
      <c r="V527" s="73"/>
      <c r="W527" s="73"/>
      <c r="Y527" s="143"/>
      <c r="AB527" s="143"/>
      <c r="AD527" s="143"/>
      <c r="AE527" s="143"/>
      <c r="AF527" s="143"/>
      <c r="AG527" s="143"/>
      <c r="AH527" s="143"/>
      <c r="AI527" s="143"/>
      <c r="AJ527" s="143"/>
      <c r="AK527" s="143"/>
      <c r="AL527" s="143"/>
      <c r="AM527" s="143"/>
      <c r="AN527" s="143"/>
      <c r="AO527" s="143"/>
      <c r="AP527" s="143"/>
      <c r="AQ527" s="143"/>
      <c r="AR527" s="143"/>
      <c r="AS527" s="143"/>
    </row>
    <row r="528" spans="1:45" ht="15" customHeight="1">
      <c r="A528" s="482" t="str">
        <f t="shared" si="34"/>
        <v>107i</v>
      </c>
      <c r="B528" s="1016" t="str">
        <f t="shared" si="35"/>
        <v>Positive</v>
      </c>
      <c r="C528" s="573">
        <f>input!AE15</f>
        <v>160</v>
      </c>
      <c r="D528" s="573">
        <f>input!AF15</f>
        <v>16</v>
      </c>
      <c r="E528" s="573">
        <f>input!AH15</f>
        <v>0</v>
      </c>
      <c r="F528" s="573">
        <f>input!AI15</f>
        <v>0</v>
      </c>
      <c r="G528" s="817">
        <f t="shared" si="36"/>
        <v>0</v>
      </c>
      <c r="H528" s="483">
        <f t="shared" si="37"/>
        <v>0</v>
      </c>
      <c r="I528" s="483">
        <f>IF(B528="Positive",input!H15,input!K15)</f>
        <v>40</v>
      </c>
      <c r="J528" s="483">
        <f>IF(B528="Positive",input!G15,input!J15)</f>
        <v>600</v>
      </c>
      <c r="K528" s="483">
        <f>IF(B528="Positive",input!AG15,input!AD15)</f>
        <v>0</v>
      </c>
      <c r="L528" s="21">
        <f t="shared" si="38"/>
        <v>4</v>
      </c>
      <c r="M528" s="597">
        <f t="shared" si="39"/>
        <v>5.34</v>
      </c>
      <c r="S528" s="73"/>
      <c r="U528" s="73"/>
      <c r="V528" s="73"/>
      <c r="W528" s="73"/>
      <c r="Y528" s="143"/>
      <c r="AB528" s="143"/>
      <c r="AD528" s="143"/>
      <c r="AE528" s="143"/>
      <c r="AF528" s="143"/>
      <c r="AG528" s="143"/>
      <c r="AH528" s="143"/>
      <c r="AI528" s="143"/>
      <c r="AJ528" s="143"/>
      <c r="AK528" s="143"/>
      <c r="AL528" s="143"/>
      <c r="AM528" s="143"/>
      <c r="AN528" s="143"/>
      <c r="AO528" s="143"/>
      <c r="AP528" s="143"/>
      <c r="AQ528" s="143"/>
      <c r="AR528" s="143"/>
      <c r="AS528" s="143"/>
    </row>
    <row r="529" spans="1:45" ht="15" customHeight="1">
      <c r="A529" s="482" t="str">
        <f t="shared" si="34"/>
        <v>107j</v>
      </c>
      <c r="B529" s="1016" t="str">
        <f t="shared" si="35"/>
        <v>Positive</v>
      </c>
      <c r="C529" s="573">
        <f>input!AE16</f>
        <v>160</v>
      </c>
      <c r="D529" s="573">
        <f>input!AF16</f>
        <v>16</v>
      </c>
      <c r="E529" s="573">
        <f>input!AH16</f>
        <v>0</v>
      </c>
      <c r="F529" s="573">
        <f>input!AI16</f>
        <v>0</v>
      </c>
      <c r="G529" s="817">
        <f t="shared" si="36"/>
        <v>0</v>
      </c>
      <c r="H529" s="483">
        <f t="shared" si="37"/>
        <v>0</v>
      </c>
      <c r="I529" s="483">
        <f>IF(B529="Positive",input!H16,input!K16)</f>
        <v>40</v>
      </c>
      <c r="J529" s="483">
        <f>IF(B529="Positive",input!G16,input!J16)</f>
        <v>600</v>
      </c>
      <c r="K529" s="483">
        <f>IF(B529="Positive",input!AG16,input!AD16)</f>
        <v>0</v>
      </c>
      <c r="L529" s="21">
        <f t="shared" si="38"/>
        <v>4</v>
      </c>
      <c r="M529" s="597">
        <f t="shared" si="39"/>
        <v>5.34</v>
      </c>
      <c r="S529" s="73"/>
      <c r="U529" s="73"/>
      <c r="V529" s="73"/>
      <c r="W529" s="73"/>
      <c r="Y529" s="143"/>
      <c r="AB529" s="143"/>
      <c r="AD529" s="143"/>
      <c r="AE529" s="143"/>
      <c r="AF529" s="143"/>
      <c r="AG529" s="143"/>
      <c r="AH529" s="143"/>
      <c r="AI529" s="143"/>
      <c r="AJ529" s="143"/>
      <c r="AK529" s="143"/>
      <c r="AL529" s="143"/>
      <c r="AM529" s="143"/>
      <c r="AN529" s="143"/>
      <c r="AO529" s="143"/>
      <c r="AP529" s="143"/>
      <c r="AQ529" s="143"/>
      <c r="AR529" s="143"/>
      <c r="AS529" s="143"/>
    </row>
    <row r="530" spans="1:45" ht="15" customHeight="1">
      <c r="A530" s="482" t="str">
        <f t="shared" si="34"/>
        <v>108i</v>
      </c>
      <c r="B530" s="1016" t="str">
        <f t="shared" si="35"/>
        <v>Positive</v>
      </c>
      <c r="C530" s="573">
        <f>input!AE17</f>
        <v>160</v>
      </c>
      <c r="D530" s="573">
        <f>input!AF17</f>
        <v>16</v>
      </c>
      <c r="E530" s="573">
        <f>input!AH17</f>
        <v>0</v>
      </c>
      <c r="F530" s="573">
        <f>input!AI17</f>
        <v>0</v>
      </c>
      <c r="G530" s="817">
        <f t="shared" si="36"/>
        <v>0</v>
      </c>
      <c r="H530" s="483">
        <f t="shared" si="37"/>
        <v>0</v>
      </c>
      <c r="I530" s="483">
        <f>IF(B530="Positive",input!H17,input!K17)</f>
        <v>40</v>
      </c>
      <c r="J530" s="483">
        <f>IF(B530="Positive",input!G17,input!J17)</f>
        <v>600</v>
      </c>
      <c r="K530" s="483">
        <f>IF(B530="Positive",input!AG17,input!AD17)</f>
        <v>0</v>
      </c>
      <c r="L530" s="21">
        <f t="shared" si="38"/>
        <v>4</v>
      </c>
      <c r="M530" s="597">
        <f t="shared" si="39"/>
        <v>5.34</v>
      </c>
      <c r="S530" s="73"/>
      <c r="U530" s="73"/>
      <c r="V530" s="73"/>
      <c r="W530" s="73"/>
      <c r="Y530" s="143"/>
      <c r="AB530" s="143"/>
      <c r="AD530" s="143"/>
      <c r="AE530" s="143"/>
      <c r="AF530" s="143"/>
      <c r="AG530" s="143"/>
      <c r="AH530" s="143"/>
      <c r="AI530" s="143"/>
      <c r="AJ530" s="143"/>
      <c r="AK530" s="143"/>
      <c r="AL530" s="143"/>
      <c r="AM530" s="143"/>
      <c r="AN530" s="143"/>
      <c r="AO530" s="143"/>
      <c r="AP530" s="143"/>
      <c r="AQ530" s="143"/>
      <c r="AR530" s="143"/>
      <c r="AS530" s="143"/>
    </row>
    <row r="531" spans="1:45" ht="15" customHeight="1">
      <c r="A531" s="482" t="str">
        <f t="shared" si="34"/>
        <v>108j</v>
      </c>
      <c r="B531" s="1016" t="str">
        <f t="shared" si="35"/>
        <v>Positive</v>
      </c>
      <c r="C531" s="573">
        <f>input!AE18</f>
        <v>160</v>
      </c>
      <c r="D531" s="573">
        <f>input!AF18</f>
        <v>16</v>
      </c>
      <c r="E531" s="573">
        <f>input!AH18</f>
        <v>0</v>
      </c>
      <c r="F531" s="573">
        <f>input!AI18</f>
        <v>0</v>
      </c>
      <c r="G531" s="817">
        <f t="shared" si="36"/>
        <v>0</v>
      </c>
      <c r="H531" s="483">
        <f t="shared" si="37"/>
        <v>0</v>
      </c>
      <c r="I531" s="483">
        <f>IF(B531="Positive",input!H18,input!K18)</f>
        <v>40</v>
      </c>
      <c r="J531" s="483">
        <f>IF(B531="Positive",input!G18,input!J18)</f>
        <v>600</v>
      </c>
      <c r="K531" s="483">
        <f>IF(B531="Positive",input!AG18,input!AD18)</f>
        <v>0</v>
      </c>
      <c r="L531" s="21">
        <f t="shared" si="38"/>
        <v>4</v>
      </c>
      <c r="M531" s="597">
        <f t="shared" si="39"/>
        <v>5.34</v>
      </c>
      <c r="S531" s="73"/>
      <c r="U531" s="73"/>
      <c r="V531" s="73"/>
      <c r="W531" s="73"/>
      <c r="Y531" s="143"/>
      <c r="AB531" s="143"/>
      <c r="AD531" s="143"/>
      <c r="AE531" s="143"/>
      <c r="AF531" s="143"/>
      <c r="AG531" s="143"/>
      <c r="AH531" s="143"/>
      <c r="AI531" s="143"/>
      <c r="AJ531" s="143"/>
      <c r="AK531" s="143"/>
      <c r="AL531" s="143"/>
      <c r="AM531" s="143"/>
      <c r="AN531" s="143"/>
      <c r="AO531" s="143"/>
      <c r="AP531" s="143"/>
      <c r="AQ531" s="143"/>
      <c r="AR531" s="143"/>
      <c r="AS531" s="143"/>
    </row>
    <row r="532" spans="1:45" ht="15" customHeight="1">
      <c r="A532" s="482" t="str">
        <f t="shared" si="34"/>
        <v>109i</v>
      </c>
      <c r="B532" s="1016" t="str">
        <f t="shared" si="35"/>
        <v>Positive</v>
      </c>
      <c r="C532" s="573">
        <f>input!AE19</f>
        <v>160</v>
      </c>
      <c r="D532" s="573">
        <f>input!AF19</f>
        <v>16</v>
      </c>
      <c r="E532" s="573">
        <f>input!AH19</f>
        <v>0</v>
      </c>
      <c r="F532" s="573">
        <f>input!AI19</f>
        <v>0</v>
      </c>
      <c r="G532" s="817">
        <f t="shared" si="36"/>
        <v>0</v>
      </c>
      <c r="H532" s="483">
        <f t="shared" si="37"/>
        <v>0</v>
      </c>
      <c r="I532" s="483">
        <f>IF(B532="Positive",input!H19,input!K19)</f>
        <v>40</v>
      </c>
      <c r="J532" s="483">
        <f>IF(B532="Positive",input!G19,input!J19)</f>
        <v>600</v>
      </c>
      <c r="K532" s="483">
        <f>IF(B532="Positive",input!AG19,input!AD19)</f>
        <v>0</v>
      </c>
      <c r="L532" s="21">
        <f t="shared" si="38"/>
        <v>4</v>
      </c>
      <c r="M532" s="597">
        <f t="shared" si="39"/>
        <v>5.34</v>
      </c>
      <c r="S532" s="73"/>
      <c r="U532" s="73"/>
      <c r="V532" s="73"/>
      <c r="W532" s="73"/>
      <c r="Y532" s="143"/>
      <c r="AB532" s="143"/>
      <c r="AD532" s="143"/>
      <c r="AE532" s="143"/>
      <c r="AF532" s="143"/>
      <c r="AG532" s="143"/>
      <c r="AH532" s="143"/>
      <c r="AI532" s="143"/>
      <c r="AJ532" s="143"/>
      <c r="AK532" s="143"/>
      <c r="AL532" s="143"/>
      <c r="AM532" s="143"/>
      <c r="AN532" s="143"/>
      <c r="AO532" s="143"/>
      <c r="AP532" s="143"/>
      <c r="AQ532" s="143"/>
      <c r="AR532" s="143"/>
      <c r="AS532" s="143"/>
    </row>
    <row r="533" spans="1:45" ht="15" customHeight="1">
      <c r="A533" s="482" t="str">
        <f t="shared" si="34"/>
        <v>109j</v>
      </c>
      <c r="B533" s="1016" t="str">
        <f t="shared" si="35"/>
        <v>Positive</v>
      </c>
      <c r="C533" s="573">
        <f>input!AE20</f>
        <v>160</v>
      </c>
      <c r="D533" s="573">
        <f>input!AF20</f>
        <v>16</v>
      </c>
      <c r="E533" s="573">
        <f>input!AH20</f>
        <v>0</v>
      </c>
      <c r="F533" s="573">
        <f>input!AI20</f>
        <v>0</v>
      </c>
      <c r="G533" s="817">
        <f t="shared" si="36"/>
        <v>0</v>
      </c>
      <c r="H533" s="483">
        <f t="shared" si="37"/>
        <v>0</v>
      </c>
      <c r="I533" s="483">
        <f>IF(B533="Positive",input!H20,input!K20)</f>
        <v>40</v>
      </c>
      <c r="J533" s="483">
        <f>IF(B533="Positive",input!G20,input!J20)</f>
        <v>600</v>
      </c>
      <c r="K533" s="483">
        <f>IF(B533="Positive",input!AG20,input!AD20)</f>
        <v>0</v>
      </c>
      <c r="L533" s="21">
        <f t="shared" si="38"/>
        <v>4</v>
      </c>
      <c r="M533" s="597">
        <f t="shared" si="39"/>
        <v>5.34</v>
      </c>
      <c r="S533" s="73"/>
      <c r="U533" s="73"/>
      <c r="V533" s="73"/>
      <c r="W533" s="73"/>
      <c r="X533" s="73"/>
      <c r="Y533" s="73"/>
      <c r="Z533" s="73"/>
      <c r="AA533" s="73"/>
      <c r="AC533" s="73"/>
      <c r="AD533" s="73"/>
      <c r="AF533" s="73"/>
      <c r="AK533" s="143"/>
      <c r="AL533" s="143"/>
      <c r="AM533" s="143"/>
      <c r="AN533" s="143"/>
      <c r="AO533" s="143"/>
      <c r="AP533" s="143"/>
      <c r="AQ533" s="143"/>
      <c r="AR533" s="143"/>
      <c r="AS533" s="143"/>
    </row>
    <row r="534" spans="1:45" ht="15" customHeight="1">
      <c r="A534" s="482" t="str">
        <f t="shared" si="34"/>
        <v>110i</v>
      </c>
      <c r="B534" s="1016" t="str">
        <f t="shared" si="35"/>
        <v>Positive</v>
      </c>
      <c r="C534" s="573">
        <f>input!AE21</f>
        <v>160</v>
      </c>
      <c r="D534" s="573">
        <f>input!AF21</f>
        <v>16</v>
      </c>
      <c r="E534" s="573">
        <f>input!AH21</f>
        <v>0</v>
      </c>
      <c r="F534" s="573">
        <f>input!AI21</f>
        <v>0</v>
      </c>
      <c r="G534" s="817">
        <f t="shared" si="36"/>
        <v>0</v>
      </c>
      <c r="H534" s="483">
        <f t="shared" si="37"/>
        <v>0</v>
      </c>
      <c r="I534" s="483">
        <f>IF(B534="Positive",input!H21,input!K21)</f>
        <v>40</v>
      </c>
      <c r="J534" s="483">
        <f>IF(B534="Positive",input!G21,input!J21)</f>
        <v>600</v>
      </c>
      <c r="K534" s="483">
        <f>IF(B534="Positive",input!AG21,input!AD21)</f>
        <v>0</v>
      </c>
      <c r="L534" s="21">
        <f t="shared" si="38"/>
        <v>4</v>
      </c>
      <c r="M534" s="597">
        <f t="shared" si="39"/>
        <v>5.34</v>
      </c>
      <c r="S534" s="73"/>
      <c r="U534" s="73"/>
      <c r="V534" s="73"/>
      <c r="W534" s="73"/>
      <c r="X534" s="73"/>
      <c r="Y534" s="73"/>
      <c r="Z534" s="73"/>
      <c r="AA534" s="73"/>
      <c r="AC534" s="73"/>
      <c r="AD534" s="73"/>
      <c r="AF534" s="73"/>
      <c r="AK534" s="143"/>
      <c r="AL534" s="143"/>
      <c r="AM534" s="143"/>
      <c r="AN534" s="143"/>
      <c r="AO534" s="143"/>
      <c r="AP534" s="143"/>
      <c r="AQ534" s="143"/>
      <c r="AR534" s="143"/>
      <c r="AS534" s="143"/>
    </row>
    <row r="535" spans="1:45" ht="15" customHeight="1">
      <c r="A535" s="482" t="str">
        <f t="shared" si="34"/>
        <v>110j</v>
      </c>
      <c r="B535" s="1016" t="str">
        <f t="shared" si="35"/>
        <v>Positive</v>
      </c>
      <c r="C535" s="573">
        <f>input!AE22</f>
        <v>160</v>
      </c>
      <c r="D535" s="573">
        <f>input!AF22</f>
        <v>16</v>
      </c>
      <c r="E535" s="573">
        <f>input!AH22</f>
        <v>0</v>
      </c>
      <c r="F535" s="573">
        <f>input!AI22</f>
        <v>0</v>
      </c>
      <c r="G535" s="817">
        <f t="shared" si="36"/>
        <v>0</v>
      </c>
      <c r="H535" s="483">
        <f t="shared" si="37"/>
        <v>0</v>
      </c>
      <c r="I535" s="483">
        <f>IF(B535="Positive",input!H22,input!K22)</f>
        <v>40</v>
      </c>
      <c r="J535" s="483">
        <f>IF(B535="Positive",input!G22,input!J22)</f>
        <v>600</v>
      </c>
      <c r="K535" s="483">
        <f>IF(B535="Positive",input!AG22,input!AD22)</f>
        <v>0</v>
      </c>
      <c r="L535" s="21">
        <f t="shared" si="38"/>
        <v>4</v>
      </c>
      <c r="M535" s="597">
        <f t="shared" si="39"/>
        <v>5.34</v>
      </c>
      <c r="S535" s="73"/>
      <c r="U535" s="73"/>
      <c r="V535" s="73"/>
      <c r="W535" s="73"/>
      <c r="X535" s="73"/>
      <c r="Y535" s="73"/>
      <c r="Z535" s="73"/>
      <c r="AA535" s="73"/>
      <c r="AC535" s="73"/>
      <c r="AD535" s="73"/>
      <c r="AF535" s="73"/>
      <c r="AK535" s="143"/>
      <c r="AL535" s="143"/>
      <c r="AM535" s="143"/>
      <c r="AN535" s="143"/>
      <c r="AO535" s="143"/>
      <c r="AP535" s="143"/>
      <c r="AQ535" s="143"/>
      <c r="AR535" s="143"/>
      <c r="AS535" s="143"/>
    </row>
    <row r="536" spans="1:45" ht="15" customHeight="1">
      <c r="A536" s="482" t="str">
        <f t="shared" si="34"/>
        <v>111i</v>
      </c>
      <c r="B536" s="1016" t="str">
        <f t="shared" si="35"/>
        <v>Positive</v>
      </c>
      <c r="C536" s="573">
        <f>input!AE23</f>
        <v>160</v>
      </c>
      <c r="D536" s="573">
        <f>input!AF23</f>
        <v>16</v>
      </c>
      <c r="E536" s="573">
        <f>input!AH23</f>
        <v>0</v>
      </c>
      <c r="F536" s="573">
        <f>input!AI23</f>
        <v>0</v>
      </c>
      <c r="G536" s="817">
        <f t="shared" si="36"/>
        <v>0</v>
      </c>
      <c r="H536" s="483">
        <f t="shared" si="37"/>
        <v>0</v>
      </c>
      <c r="I536" s="483">
        <f>IF(B536="Positive",input!H23,input!K23)</f>
        <v>40</v>
      </c>
      <c r="J536" s="483">
        <f>IF(B536="Positive",input!G23,input!J23)</f>
        <v>600</v>
      </c>
      <c r="K536" s="483">
        <f>IF(B536="Positive",input!AG23,input!AD23)</f>
        <v>0</v>
      </c>
      <c r="L536" s="21">
        <f t="shared" si="38"/>
        <v>4</v>
      </c>
      <c r="M536" s="597">
        <f t="shared" si="39"/>
        <v>5.34</v>
      </c>
      <c r="S536" s="73"/>
      <c r="U536" s="73"/>
      <c r="V536" s="73"/>
      <c r="W536" s="73"/>
      <c r="X536" s="73"/>
      <c r="Y536" s="73"/>
      <c r="Z536" s="73"/>
      <c r="AA536" s="73"/>
      <c r="AC536" s="73"/>
      <c r="AD536" s="73"/>
      <c r="AF536" s="73"/>
      <c r="AK536" s="143"/>
      <c r="AL536" s="143"/>
      <c r="AM536" s="143"/>
      <c r="AN536" s="143"/>
      <c r="AO536" s="143"/>
      <c r="AP536" s="143"/>
      <c r="AQ536" s="143"/>
      <c r="AR536" s="143"/>
      <c r="AS536" s="143"/>
    </row>
    <row r="537" spans="1:45" ht="15" customHeight="1">
      <c r="A537" s="482" t="str">
        <f t="shared" si="34"/>
        <v>111j</v>
      </c>
      <c r="B537" s="1016" t="str">
        <f t="shared" si="35"/>
        <v>Positive</v>
      </c>
      <c r="C537" s="573">
        <f>input!AE24</f>
        <v>160</v>
      </c>
      <c r="D537" s="573">
        <f>input!AF24</f>
        <v>16</v>
      </c>
      <c r="E537" s="573">
        <f>input!AH24</f>
        <v>0</v>
      </c>
      <c r="F537" s="573">
        <f>input!AI24</f>
        <v>0</v>
      </c>
      <c r="G537" s="817">
        <f t="shared" si="36"/>
        <v>0</v>
      </c>
      <c r="H537" s="483">
        <f t="shared" si="37"/>
        <v>0</v>
      </c>
      <c r="I537" s="483">
        <f>IF(B537="Positive",input!H24,input!K24)</f>
        <v>40</v>
      </c>
      <c r="J537" s="483">
        <f>IF(B537="Positive",input!G24,input!J24)</f>
        <v>600</v>
      </c>
      <c r="K537" s="483">
        <f>IF(B537="Positive",input!AG24,input!AD24)</f>
        <v>0</v>
      </c>
      <c r="L537" s="21">
        <f t="shared" si="38"/>
        <v>4</v>
      </c>
      <c r="M537" s="597">
        <f t="shared" si="39"/>
        <v>5.34</v>
      </c>
      <c r="S537" s="73"/>
      <c r="U537" s="73"/>
      <c r="V537" s="73"/>
      <c r="W537" s="73"/>
      <c r="X537" s="73"/>
      <c r="Y537" s="73"/>
      <c r="Z537" s="73"/>
      <c r="AA537" s="73"/>
      <c r="AC537" s="73"/>
      <c r="AD537" s="73"/>
      <c r="AF537" s="73"/>
      <c r="AK537" s="143"/>
      <c r="AL537" s="143"/>
      <c r="AM537" s="143"/>
      <c r="AN537" s="143"/>
      <c r="AO537" s="143"/>
      <c r="AP537" s="143"/>
      <c r="AQ537" s="143"/>
      <c r="AR537" s="143"/>
      <c r="AS537" s="143"/>
    </row>
    <row r="538" spans="1:45" ht="15" customHeight="1">
      <c r="A538" s="482" t="str">
        <f t="shared" si="34"/>
        <v>112i</v>
      </c>
      <c r="B538" s="1016" t="str">
        <f t="shared" si="35"/>
        <v>Positive</v>
      </c>
      <c r="C538" s="573">
        <f>input!AE25</f>
        <v>160</v>
      </c>
      <c r="D538" s="573">
        <f>input!AF25</f>
        <v>16</v>
      </c>
      <c r="E538" s="573">
        <f>input!AH25</f>
        <v>0</v>
      </c>
      <c r="F538" s="573">
        <f>input!AI25</f>
        <v>0</v>
      </c>
      <c r="G538" s="817">
        <f t="shared" si="36"/>
        <v>0</v>
      </c>
      <c r="H538" s="483">
        <f t="shared" si="37"/>
        <v>0</v>
      </c>
      <c r="I538" s="483">
        <f>IF(B538="Positive",input!H25,input!K25)</f>
        <v>36</v>
      </c>
      <c r="J538" s="483">
        <f>IF(B538="Positive",input!G25,input!J25)</f>
        <v>500</v>
      </c>
      <c r="K538" s="483">
        <f>IF(B538="Positive",input!AG25,input!AD25)</f>
        <v>0</v>
      </c>
      <c r="L538" s="21">
        <f t="shared" si="38"/>
        <v>4</v>
      </c>
      <c r="M538" s="597">
        <f t="shared" si="39"/>
        <v>5.34</v>
      </c>
      <c r="S538" s="73"/>
      <c r="U538" s="73"/>
      <c r="V538" s="73"/>
      <c r="W538" s="73"/>
      <c r="X538" s="73"/>
      <c r="Y538" s="73"/>
      <c r="Z538" s="73"/>
      <c r="AA538" s="73"/>
      <c r="AC538" s="73"/>
      <c r="AD538" s="73"/>
      <c r="AF538" s="73"/>
      <c r="AK538" s="143"/>
      <c r="AL538" s="143"/>
      <c r="AM538" s="143"/>
      <c r="AN538" s="143"/>
      <c r="AO538" s="143"/>
      <c r="AP538" s="143"/>
      <c r="AQ538" s="143"/>
      <c r="AR538" s="143"/>
      <c r="AS538" s="143"/>
    </row>
    <row r="539" spans="1:45" ht="15" customHeight="1">
      <c r="A539" s="482" t="str">
        <f t="shared" si="34"/>
        <v>112j</v>
      </c>
      <c r="B539" s="1016" t="str">
        <f t="shared" si="35"/>
        <v>Positive</v>
      </c>
      <c r="C539" s="573">
        <f>input!AE26</f>
        <v>160</v>
      </c>
      <c r="D539" s="573">
        <f>input!AF26</f>
        <v>16</v>
      </c>
      <c r="E539" s="573">
        <f>input!AH26</f>
        <v>0</v>
      </c>
      <c r="F539" s="573">
        <f>input!AI26</f>
        <v>0</v>
      </c>
      <c r="G539" s="817">
        <f t="shared" si="36"/>
        <v>0</v>
      </c>
      <c r="H539" s="483">
        <f t="shared" si="37"/>
        <v>0</v>
      </c>
      <c r="I539" s="483">
        <f>IF(B539="Positive",input!H26,input!K26)</f>
        <v>36</v>
      </c>
      <c r="J539" s="483">
        <f>IF(B539="Positive",input!G26,input!J26)</f>
        <v>500</v>
      </c>
      <c r="K539" s="483">
        <f>IF(B539="Positive",input!AG26,input!AD26)</f>
        <v>0</v>
      </c>
      <c r="L539" s="21">
        <f t="shared" si="38"/>
        <v>4</v>
      </c>
      <c r="M539" s="597">
        <f t="shared" si="39"/>
        <v>5.34</v>
      </c>
      <c r="S539" s="73"/>
      <c r="U539" s="73"/>
      <c r="V539" s="73"/>
      <c r="W539" s="73"/>
      <c r="X539" s="73"/>
      <c r="Y539" s="73"/>
      <c r="Z539" s="73"/>
      <c r="AA539" s="73"/>
      <c r="AC539" s="73"/>
      <c r="AD539" s="73"/>
      <c r="AF539" s="73"/>
      <c r="AK539" s="143"/>
      <c r="AL539" s="143"/>
      <c r="AM539" s="143"/>
      <c r="AN539" s="143"/>
      <c r="AO539" s="143"/>
      <c r="AP539" s="143"/>
      <c r="AQ539" s="143"/>
      <c r="AR539" s="143"/>
      <c r="AS539" s="143"/>
    </row>
    <row r="540" spans="1:45" ht="15" customHeight="1">
      <c r="A540" s="482" t="str">
        <f t="shared" si="34"/>
        <v>113i</v>
      </c>
      <c r="B540" s="1016" t="str">
        <f t="shared" si="35"/>
        <v>Positive</v>
      </c>
      <c r="C540" s="573">
        <f>input!AE27</f>
        <v>160</v>
      </c>
      <c r="D540" s="573">
        <f>input!AF27</f>
        <v>16</v>
      </c>
      <c r="E540" s="573">
        <f>input!AH27</f>
        <v>0</v>
      </c>
      <c r="F540" s="573">
        <f>input!AI27</f>
        <v>0</v>
      </c>
      <c r="G540" s="817">
        <f t="shared" si="36"/>
        <v>0</v>
      </c>
      <c r="H540" s="483">
        <f t="shared" si="37"/>
        <v>0</v>
      </c>
      <c r="I540" s="483">
        <f>IF(B540="Positive",input!H27,input!K27)</f>
        <v>30</v>
      </c>
      <c r="J540" s="483">
        <f>IF(B540="Positive",input!G27,input!J27)</f>
        <v>500</v>
      </c>
      <c r="K540" s="483">
        <f>IF(B540="Positive",input!AG27,input!AD27)</f>
        <v>0</v>
      </c>
      <c r="L540" s="21">
        <f t="shared" si="38"/>
        <v>4</v>
      </c>
      <c r="M540" s="597">
        <f t="shared" si="39"/>
        <v>5.34</v>
      </c>
      <c r="S540" s="73"/>
      <c r="U540" s="73"/>
      <c r="V540" s="73"/>
      <c r="W540" s="73"/>
      <c r="X540" s="73"/>
      <c r="Y540" s="73"/>
      <c r="Z540" s="73"/>
      <c r="AA540" s="73"/>
      <c r="AC540" s="73"/>
      <c r="AD540" s="73"/>
      <c r="AF540" s="73"/>
      <c r="AK540" s="143"/>
      <c r="AL540" s="143"/>
      <c r="AM540" s="143"/>
      <c r="AN540" s="143"/>
      <c r="AO540" s="143"/>
      <c r="AP540" s="143"/>
      <c r="AQ540" s="143"/>
      <c r="AR540" s="143"/>
      <c r="AS540" s="143"/>
    </row>
    <row r="541" spans="1:45" ht="15" customHeight="1">
      <c r="A541" s="482" t="str">
        <f t="shared" si="34"/>
        <v>113j</v>
      </c>
      <c r="B541" s="1016" t="str">
        <f t="shared" si="35"/>
        <v>Positive</v>
      </c>
      <c r="C541" s="573">
        <f>input!AE28</f>
        <v>160</v>
      </c>
      <c r="D541" s="573">
        <f>input!AF28</f>
        <v>16</v>
      </c>
      <c r="E541" s="573">
        <f>input!AH28</f>
        <v>0</v>
      </c>
      <c r="F541" s="573">
        <f>input!AI28</f>
        <v>0</v>
      </c>
      <c r="G541" s="817">
        <f t="shared" si="36"/>
        <v>0</v>
      </c>
      <c r="H541" s="483">
        <f t="shared" si="37"/>
        <v>0</v>
      </c>
      <c r="I541" s="483">
        <f>IF(B541="Positive",input!H28,input!K28)</f>
        <v>30</v>
      </c>
      <c r="J541" s="483">
        <f>IF(B541="Positive",input!G28,input!J28)</f>
        <v>500</v>
      </c>
      <c r="K541" s="483">
        <f>IF(B541="Positive",input!AG28,input!AD28)</f>
        <v>0</v>
      </c>
      <c r="L541" s="21">
        <f t="shared" si="38"/>
        <v>4</v>
      </c>
      <c r="M541" s="597">
        <f t="shared" si="39"/>
        <v>5.34</v>
      </c>
      <c r="S541" s="73"/>
      <c r="U541" s="73"/>
      <c r="V541" s="73"/>
      <c r="W541" s="73"/>
      <c r="X541" s="73"/>
      <c r="Y541" s="73"/>
      <c r="Z541" s="73"/>
      <c r="AA541" s="73"/>
      <c r="AC541" s="73"/>
      <c r="AD541" s="73"/>
      <c r="AF541" s="73"/>
      <c r="AK541" s="143"/>
      <c r="AL541" s="143"/>
      <c r="AM541" s="143"/>
      <c r="AN541" s="143"/>
      <c r="AO541" s="143"/>
      <c r="AP541" s="143"/>
      <c r="AQ541" s="143"/>
      <c r="AR541" s="143"/>
      <c r="AS541" s="143"/>
    </row>
    <row r="542" spans="1:45" ht="15" customHeight="1">
      <c r="A542" s="482" t="str">
        <f t="shared" si="34"/>
        <v>114i</v>
      </c>
      <c r="B542" s="1016" t="str">
        <f t="shared" si="35"/>
        <v>Positive</v>
      </c>
      <c r="C542" s="573">
        <f>input!AE29</f>
        <v>160</v>
      </c>
      <c r="D542" s="573">
        <f>input!AF29</f>
        <v>16</v>
      </c>
      <c r="E542" s="573">
        <f>input!AH29</f>
        <v>0</v>
      </c>
      <c r="F542" s="573">
        <f>input!AI29</f>
        <v>0</v>
      </c>
      <c r="G542" s="817">
        <f t="shared" si="36"/>
        <v>0</v>
      </c>
      <c r="H542" s="483">
        <f t="shared" si="37"/>
        <v>0</v>
      </c>
      <c r="I542" s="483">
        <f>IF(B542="Positive",input!H29,input!K29)</f>
        <v>30</v>
      </c>
      <c r="J542" s="483">
        <f>IF(B542="Positive",input!G29,input!J29)</f>
        <v>500</v>
      </c>
      <c r="K542" s="483">
        <f>IF(B542="Positive",input!AG29,input!AD29)</f>
        <v>0</v>
      </c>
      <c r="L542" s="21">
        <f t="shared" si="38"/>
        <v>4</v>
      </c>
      <c r="M542" s="597">
        <f t="shared" si="39"/>
        <v>5.34</v>
      </c>
      <c r="S542" s="73"/>
      <c r="U542" s="73"/>
      <c r="V542" s="73"/>
      <c r="W542" s="73"/>
      <c r="X542" s="73"/>
      <c r="Y542" s="73"/>
      <c r="Z542" s="73"/>
      <c r="AA542" s="73"/>
      <c r="AC542" s="73"/>
      <c r="AD542" s="73"/>
      <c r="AF542" s="73"/>
      <c r="AK542" s="143"/>
      <c r="AL542" s="143"/>
      <c r="AM542" s="143"/>
      <c r="AN542" s="143"/>
      <c r="AO542" s="143"/>
      <c r="AP542" s="143"/>
      <c r="AQ542" s="143"/>
      <c r="AR542" s="143"/>
      <c r="AS542" s="143"/>
    </row>
    <row r="543" spans="1:45" ht="15" customHeight="1">
      <c r="A543" s="482" t="str">
        <f t="shared" si="34"/>
        <v>114j</v>
      </c>
      <c r="B543" s="1016" t="str">
        <f t="shared" si="35"/>
        <v>Positive</v>
      </c>
      <c r="C543" s="573">
        <f>input!AE30</f>
        <v>160</v>
      </c>
      <c r="D543" s="573">
        <f>input!AF30</f>
        <v>16</v>
      </c>
      <c r="E543" s="573">
        <f>input!AH30</f>
        <v>0</v>
      </c>
      <c r="F543" s="573">
        <f>input!AI30</f>
        <v>0</v>
      </c>
      <c r="G543" s="817">
        <f t="shared" si="36"/>
        <v>0</v>
      </c>
      <c r="H543" s="483">
        <f t="shared" si="37"/>
        <v>0</v>
      </c>
      <c r="I543" s="483">
        <f>IF(B543="Positive",input!H30,input!K30)</f>
        <v>30</v>
      </c>
      <c r="J543" s="483">
        <f>IF(B543="Positive",input!G30,input!J30)</f>
        <v>500</v>
      </c>
      <c r="K543" s="483">
        <f>IF(B543="Positive",input!AG30,input!AD30)</f>
        <v>0</v>
      </c>
      <c r="L543" s="21">
        <f t="shared" si="38"/>
        <v>4</v>
      </c>
      <c r="M543" s="597">
        <f t="shared" si="39"/>
        <v>5.34</v>
      </c>
      <c r="S543" s="73"/>
      <c r="U543" s="73"/>
      <c r="V543" s="73"/>
      <c r="W543" s="73"/>
      <c r="X543" s="73"/>
      <c r="Y543" s="73"/>
      <c r="Z543" s="73"/>
      <c r="AA543" s="73"/>
      <c r="AC543" s="73"/>
      <c r="AD543" s="73"/>
      <c r="AF543" s="73"/>
      <c r="AK543" s="143"/>
      <c r="AL543" s="143"/>
      <c r="AM543" s="143"/>
      <c r="AN543" s="143"/>
      <c r="AO543" s="143"/>
      <c r="AP543" s="143"/>
      <c r="AQ543" s="143"/>
      <c r="AR543" s="143"/>
      <c r="AS543" s="143"/>
    </row>
    <row r="544" spans="1:45" ht="15" customHeight="1">
      <c r="A544" s="482" t="str">
        <f t="shared" si="34"/>
        <v>115i</v>
      </c>
      <c r="B544" s="1016" t="str">
        <f t="shared" si="35"/>
        <v>Positive</v>
      </c>
      <c r="C544" s="573">
        <f>input!AE31</f>
        <v>160</v>
      </c>
      <c r="D544" s="573">
        <f>input!AF31</f>
        <v>16</v>
      </c>
      <c r="E544" s="573">
        <f>input!AH31</f>
        <v>0</v>
      </c>
      <c r="F544" s="573">
        <f>input!AI31</f>
        <v>0</v>
      </c>
      <c r="G544" s="817">
        <f t="shared" si="36"/>
        <v>0</v>
      </c>
      <c r="H544" s="483">
        <f t="shared" si="37"/>
        <v>0</v>
      </c>
      <c r="I544" s="483">
        <f>IF(B544="Positive",input!H31,input!K31)</f>
        <v>22</v>
      </c>
      <c r="J544" s="483">
        <f>IF(B544="Positive",input!G31,input!J31)</f>
        <v>500</v>
      </c>
      <c r="K544" s="483">
        <f>IF(B544="Positive",input!AG31,input!AD31)</f>
        <v>0</v>
      </c>
      <c r="L544" s="21">
        <f t="shared" si="38"/>
        <v>4</v>
      </c>
      <c r="M544" s="597">
        <f t="shared" si="39"/>
        <v>5.34</v>
      </c>
      <c r="S544" s="73"/>
      <c r="U544" s="73"/>
      <c r="V544" s="73"/>
      <c r="W544" s="73"/>
      <c r="X544" s="73"/>
      <c r="Y544" s="73"/>
      <c r="Z544" s="73"/>
      <c r="AA544" s="73"/>
      <c r="AC544" s="73"/>
      <c r="AD544" s="73"/>
      <c r="AF544" s="73"/>
      <c r="AK544" s="143"/>
      <c r="AL544" s="143"/>
      <c r="AM544" s="143"/>
      <c r="AN544" s="143"/>
      <c r="AO544" s="143"/>
      <c r="AP544" s="143"/>
      <c r="AQ544" s="143"/>
      <c r="AR544" s="143"/>
      <c r="AS544" s="143"/>
    </row>
    <row r="545" spans="1:45" ht="15" customHeight="1">
      <c r="A545" s="482" t="str">
        <f t="shared" si="34"/>
        <v>115j</v>
      </c>
      <c r="B545" s="1016" t="str">
        <f t="shared" si="35"/>
        <v>Negative</v>
      </c>
      <c r="C545" s="573">
        <f>input!AE32</f>
        <v>160</v>
      </c>
      <c r="D545" s="573">
        <f>input!AF32</f>
        <v>16</v>
      </c>
      <c r="E545" s="573">
        <f>input!AH32</f>
        <v>0</v>
      </c>
      <c r="F545" s="573">
        <f>input!AI32</f>
        <v>0</v>
      </c>
      <c r="G545" s="817">
        <f t="shared" si="36"/>
        <v>21845333.333333332</v>
      </c>
      <c r="H545" s="483">
        <f t="shared" si="37"/>
        <v>556</v>
      </c>
      <c r="I545" s="483">
        <f>IF(B545="Positive",input!H32,input!K32)</f>
        <v>18</v>
      </c>
      <c r="J545" s="483">
        <f>IF(B545="Positive",input!G32,input!J32)</f>
        <v>1940</v>
      </c>
      <c r="K545" s="483">
        <f>IF(B545="Positive",input!AG32,input!AD32)</f>
        <v>2</v>
      </c>
      <c r="L545" s="21">
        <f t="shared" si="38"/>
        <v>1.8194269748111445</v>
      </c>
      <c r="M545" s="597">
        <f t="shared" si="39"/>
        <v>1.1893127859110977</v>
      </c>
      <c r="S545" s="73"/>
      <c r="U545" s="73"/>
      <c r="V545" s="73"/>
      <c r="W545" s="73"/>
      <c r="X545" s="73"/>
      <c r="Y545" s="73"/>
      <c r="Z545" s="73"/>
      <c r="AA545" s="73"/>
      <c r="AC545" s="73"/>
      <c r="AD545" s="73"/>
      <c r="AF545" s="73"/>
      <c r="AK545" s="143"/>
      <c r="AL545" s="143"/>
      <c r="AM545" s="143"/>
      <c r="AN545" s="143"/>
      <c r="AO545" s="143"/>
      <c r="AP545" s="143"/>
      <c r="AQ545" s="143"/>
      <c r="AR545" s="143"/>
      <c r="AS545" s="143"/>
    </row>
    <row r="546" spans="1:45" ht="15" customHeight="1">
      <c r="A546" s="482" t="str">
        <f t="shared" si="34"/>
        <v>116i</v>
      </c>
      <c r="B546" s="1016" t="str">
        <f t="shared" si="35"/>
        <v>Negative</v>
      </c>
      <c r="C546" s="573">
        <f>input!AE33</f>
        <v>160</v>
      </c>
      <c r="D546" s="573">
        <f>input!AF33</f>
        <v>16</v>
      </c>
      <c r="E546" s="573">
        <f>input!AH33</f>
        <v>0</v>
      </c>
      <c r="F546" s="573">
        <f>input!AI33</f>
        <v>0</v>
      </c>
      <c r="G546" s="817">
        <f t="shared" si="36"/>
        <v>21845333.333333332</v>
      </c>
      <c r="H546" s="483">
        <f t="shared" si="37"/>
        <v>555</v>
      </c>
      <c r="I546" s="483">
        <f>IF(B546="Positive",input!H33,input!K33)</f>
        <v>24</v>
      </c>
      <c r="J546" s="483">
        <f>IF(B546="Positive",input!G33,input!J33)</f>
        <v>1937</v>
      </c>
      <c r="K546" s="483">
        <f>IF(B546="Positive",input!AG33,input!AD33)</f>
        <v>2</v>
      </c>
      <c r="L546" s="21">
        <f t="shared" si="38"/>
        <v>1.3653893010716052</v>
      </c>
      <c r="M546" s="597">
        <f t="shared" si="39"/>
        <v>1.0405862209039694</v>
      </c>
      <c r="S546" s="73"/>
      <c r="U546" s="73"/>
      <c r="V546" s="73"/>
      <c r="W546" s="73"/>
      <c r="X546" s="73"/>
      <c r="Y546" s="73"/>
      <c r="Z546" s="73"/>
      <c r="AA546" s="73"/>
      <c r="AC546" s="73"/>
      <c r="AD546" s="73"/>
      <c r="AF546" s="73"/>
      <c r="AK546" s="143"/>
      <c r="AL546" s="143"/>
      <c r="AM546" s="143"/>
      <c r="AN546" s="143"/>
      <c r="AO546" s="143"/>
      <c r="AP546" s="143"/>
      <c r="AQ546" s="143"/>
      <c r="AR546" s="143"/>
      <c r="AS546" s="143"/>
    </row>
    <row r="547" spans="1:45" ht="15" customHeight="1">
      <c r="A547" s="482" t="str">
        <f t="shared" si="34"/>
        <v>116j</v>
      </c>
      <c r="B547" s="1016" t="str">
        <f t="shared" si="35"/>
        <v>Negative</v>
      </c>
      <c r="C547" s="573">
        <f>input!AE34</f>
        <v>160</v>
      </c>
      <c r="D547" s="573">
        <f>input!AF34</f>
        <v>16</v>
      </c>
      <c r="E547" s="573">
        <f>input!AH34</f>
        <v>0</v>
      </c>
      <c r="F547" s="573">
        <f>input!AI34</f>
        <v>0</v>
      </c>
      <c r="G547" s="817">
        <f t="shared" si="36"/>
        <v>21845333.333333332</v>
      </c>
      <c r="H547" s="483">
        <f t="shared" si="37"/>
        <v>555</v>
      </c>
      <c r="I547" s="483">
        <f>IF(B547="Positive",input!H34,input!K34)</f>
        <v>24</v>
      </c>
      <c r="J547" s="483">
        <f>IF(B547="Positive",input!G34,input!J34)</f>
        <v>1937</v>
      </c>
      <c r="K547" s="483">
        <f>IF(B547="Positive",input!AG34,input!AD34)</f>
        <v>2</v>
      </c>
      <c r="L547" s="21">
        <f t="shared" si="38"/>
        <v>1.3653893010716052</v>
      </c>
      <c r="M547" s="597">
        <f t="shared" si="39"/>
        <v>1.0405862209039694</v>
      </c>
      <c r="S547" s="73"/>
      <c r="U547" s="73"/>
      <c r="V547" s="73"/>
      <c r="W547" s="73"/>
      <c r="X547" s="73"/>
      <c r="Y547" s="73"/>
      <c r="Z547" s="73"/>
      <c r="AA547" s="73"/>
      <c r="AC547" s="73"/>
      <c r="AD547" s="73"/>
      <c r="AF547" s="73"/>
      <c r="AK547" s="143"/>
      <c r="AL547" s="143"/>
      <c r="AM547" s="143"/>
      <c r="AN547" s="143"/>
      <c r="AO547" s="143"/>
      <c r="AP547" s="143"/>
      <c r="AQ547" s="143"/>
      <c r="AR547" s="143"/>
      <c r="AS547" s="143"/>
    </row>
    <row r="548" spans="1:45" ht="15" customHeight="1">
      <c r="A548" s="482" t="str">
        <f t="shared" ref="A548:A577" si="40">A127</f>
        <v>117i</v>
      </c>
      <c r="B548" s="1016" t="str">
        <f t="shared" ref="B548:B577" si="41">D193</f>
        <v>Negative</v>
      </c>
      <c r="C548" s="573">
        <f>input!AE35</f>
        <v>160</v>
      </c>
      <c r="D548" s="573">
        <f>input!AF35</f>
        <v>16</v>
      </c>
      <c r="E548" s="573">
        <f>input!AH35</f>
        <v>0</v>
      </c>
      <c r="F548" s="573">
        <f>input!AI35</f>
        <v>0</v>
      </c>
      <c r="G548" s="817">
        <f t="shared" si="36"/>
        <v>21845333.333333332</v>
      </c>
      <c r="H548" s="483">
        <f t="shared" si="37"/>
        <v>545.66666666666663</v>
      </c>
      <c r="I548" s="483">
        <f>IF(B548="Positive",input!H35,input!K35)</f>
        <v>28</v>
      </c>
      <c r="J548" s="483">
        <f>IF(B548="Positive",input!G35,input!J35)</f>
        <v>1909</v>
      </c>
      <c r="K548" s="483">
        <f>IF(B548="Positive",input!AG35,input!AD35)</f>
        <v>2</v>
      </c>
      <c r="L548" s="21">
        <f t="shared" ref="L548:L577" si="42">IF(H548=0,4,MIN(MAX((IF(K548=1,8,0.894)*G548/H548/I548^3)^(1/3),1),4))</f>
        <v>1.17696864176425</v>
      </c>
      <c r="M548" s="597">
        <f t="shared" si="39"/>
        <v>0.97886632615524227</v>
      </c>
      <c r="S548" s="73"/>
      <c r="U548" s="73"/>
      <c r="V548" s="73"/>
      <c r="W548" s="73"/>
      <c r="X548" s="73"/>
      <c r="Y548" s="73"/>
      <c r="Z548" s="73"/>
      <c r="AA548" s="73"/>
      <c r="AC548" s="73"/>
      <c r="AD548" s="73"/>
      <c r="AF548" s="73"/>
      <c r="AK548" s="143"/>
      <c r="AL548" s="143"/>
      <c r="AM548" s="143"/>
      <c r="AN548" s="143"/>
      <c r="AO548" s="143"/>
      <c r="AP548" s="143"/>
      <c r="AQ548" s="143"/>
      <c r="AR548" s="143"/>
      <c r="AS548" s="143"/>
    </row>
    <row r="549" spans="1:45" ht="15" customHeight="1">
      <c r="A549" s="482" t="str">
        <f t="shared" si="40"/>
        <v>117j</v>
      </c>
      <c r="B549" s="1016" t="str">
        <f t="shared" si="41"/>
        <v>Negative</v>
      </c>
      <c r="C549" s="573">
        <f>input!AE36</f>
        <v>160</v>
      </c>
      <c r="D549" s="573">
        <f>input!AF36</f>
        <v>16</v>
      </c>
      <c r="E549" s="573">
        <f>input!AH36</f>
        <v>0</v>
      </c>
      <c r="F549" s="573">
        <f>input!AI36</f>
        <v>0</v>
      </c>
      <c r="G549" s="817">
        <f t="shared" si="36"/>
        <v>21845333.333333332</v>
      </c>
      <c r="H549" s="483">
        <f t="shared" si="37"/>
        <v>545.66666666666663</v>
      </c>
      <c r="I549" s="483">
        <f>IF(B549="Positive",input!H36,input!K36)</f>
        <v>28</v>
      </c>
      <c r="J549" s="483">
        <f>IF(B549="Positive",input!G36,input!J36)</f>
        <v>1909</v>
      </c>
      <c r="K549" s="483">
        <f>IF(B549="Positive",input!AG36,input!AD36)</f>
        <v>2</v>
      </c>
      <c r="L549" s="21">
        <f t="shared" si="42"/>
        <v>1.17696864176425</v>
      </c>
      <c r="M549" s="597">
        <f t="shared" si="39"/>
        <v>0.97886632615524227</v>
      </c>
      <c r="S549" s="73"/>
      <c r="U549" s="73"/>
      <c r="V549" s="73"/>
      <c r="W549" s="73"/>
      <c r="X549" s="73"/>
      <c r="Y549" s="73"/>
      <c r="Z549" s="73"/>
      <c r="AA549" s="73"/>
      <c r="AC549" s="73"/>
      <c r="AD549" s="73"/>
      <c r="AF549" s="73"/>
      <c r="AK549" s="143"/>
      <c r="AL549" s="143"/>
      <c r="AM549" s="143"/>
      <c r="AN549" s="143"/>
      <c r="AO549" s="143"/>
      <c r="AP549" s="143"/>
      <c r="AQ549" s="143"/>
      <c r="AR549" s="143"/>
      <c r="AS549" s="143"/>
    </row>
    <row r="550" spans="1:45" ht="15" customHeight="1">
      <c r="A550" s="482" t="str">
        <f t="shared" si="40"/>
        <v>118i</v>
      </c>
      <c r="B550" s="1016" t="str">
        <f t="shared" si="41"/>
        <v>Negative</v>
      </c>
      <c r="C550" s="573">
        <f>input!AE37</f>
        <v>160</v>
      </c>
      <c r="D550" s="573">
        <f>input!AF37</f>
        <v>16</v>
      </c>
      <c r="E550" s="573">
        <f>input!AH37</f>
        <v>0</v>
      </c>
      <c r="F550" s="573">
        <f>input!AI37</f>
        <v>0</v>
      </c>
      <c r="G550" s="817">
        <f t="shared" si="36"/>
        <v>21845333.333333332</v>
      </c>
      <c r="H550" s="483">
        <f t="shared" si="37"/>
        <v>530.66666666666663</v>
      </c>
      <c r="I550" s="483">
        <f>IF(B550="Positive",input!H37,input!K37)</f>
        <v>30</v>
      </c>
      <c r="J550" s="483">
        <f>IF(B550="Positive",input!G37,input!J37)</f>
        <v>1864</v>
      </c>
      <c r="K550" s="483">
        <f>IF(B550="Positive",input!AG37,input!AD37)</f>
        <v>2</v>
      </c>
      <c r="L550" s="21">
        <f t="shared" si="42"/>
        <v>1.1087582745644511</v>
      </c>
      <c r="M550" s="597">
        <f t="shared" si="39"/>
        <v>0.95652304012801159</v>
      </c>
      <c r="S550" s="73"/>
      <c r="U550" s="73"/>
      <c r="V550" s="73"/>
      <c r="W550" s="73"/>
      <c r="X550" s="73"/>
      <c r="Y550" s="73"/>
      <c r="Z550" s="73"/>
      <c r="AA550" s="73"/>
      <c r="AC550" s="73"/>
      <c r="AD550" s="73"/>
      <c r="AF550" s="73"/>
      <c r="AK550" s="143"/>
      <c r="AL550" s="143"/>
      <c r="AM550" s="143"/>
      <c r="AN550" s="143"/>
      <c r="AO550" s="143"/>
      <c r="AP550" s="143"/>
      <c r="AQ550" s="143"/>
      <c r="AR550" s="143"/>
      <c r="AS550" s="143"/>
    </row>
    <row r="551" spans="1:45" ht="15" customHeight="1">
      <c r="A551" s="482" t="str">
        <f t="shared" si="40"/>
        <v>118j</v>
      </c>
      <c r="B551" s="1016" t="str">
        <f t="shared" si="41"/>
        <v>Negative</v>
      </c>
      <c r="C551" s="573">
        <f>input!AE38</f>
        <v>160</v>
      </c>
      <c r="D551" s="573">
        <f>input!AF38</f>
        <v>16</v>
      </c>
      <c r="E551" s="573">
        <f>input!AH38</f>
        <v>0</v>
      </c>
      <c r="F551" s="573">
        <f>input!AI38</f>
        <v>0</v>
      </c>
      <c r="G551" s="817">
        <f t="shared" si="36"/>
        <v>21845333.333333332</v>
      </c>
      <c r="H551" s="483">
        <f t="shared" si="37"/>
        <v>530.66666666666663</v>
      </c>
      <c r="I551" s="483">
        <f>IF(B551="Positive",input!H38,input!K38)</f>
        <v>30</v>
      </c>
      <c r="J551" s="483">
        <f>IF(B551="Positive",input!G38,input!J38)</f>
        <v>1864</v>
      </c>
      <c r="K551" s="483">
        <f>IF(B551="Positive",input!AG38,input!AD38)</f>
        <v>2</v>
      </c>
      <c r="L551" s="21">
        <f t="shared" si="42"/>
        <v>1.1087582745644511</v>
      </c>
      <c r="M551" s="597">
        <f t="shared" si="39"/>
        <v>0.95652304012801159</v>
      </c>
      <c r="S551" s="73"/>
      <c r="U551" s="73"/>
      <c r="V551" s="73"/>
      <c r="W551" s="73"/>
      <c r="X551" s="73"/>
      <c r="Y551" s="73"/>
      <c r="Z551" s="73"/>
      <c r="AA551" s="73"/>
      <c r="AC551" s="73"/>
      <c r="AD551" s="73"/>
      <c r="AF551" s="73"/>
      <c r="AK551" s="143"/>
      <c r="AL551" s="143"/>
      <c r="AM551" s="143"/>
      <c r="AN551" s="143"/>
      <c r="AO551" s="143"/>
      <c r="AP551" s="143"/>
      <c r="AQ551" s="143"/>
      <c r="AR551" s="143"/>
      <c r="AS551" s="143"/>
    </row>
    <row r="552" spans="1:45" ht="15" customHeight="1">
      <c r="A552" s="482" t="str">
        <f t="shared" si="40"/>
        <v>119i</v>
      </c>
      <c r="B552" s="1016" t="str">
        <f t="shared" si="41"/>
        <v>Negative</v>
      </c>
      <c r="C552" s="573">
        <f>input!AE39</f>
        <v>160</v>
      </c>
      <c r="D552" s="573">
        <f>input!AF39</f>
        <v>16</v>
      </c>
      <c r="E552" s="573">
        <f>input!AH39</f>
        <v>0</v>
      </c>
      <c r="F552" s="573">
        <f>input!AI39</f>
        <v>0</v>
      </c>
      <c r="G552" s="817">
        <f t="shared" si="36"/>
        <v>21845333.333333332</v>
      </c>
      <c r="H552" s="483">
        <f t="shared" si="37"/>
        <v>522.66666666666663</v>
      </c>
      <c r="I552" s="483">
        <f>IF(B552="Positive",input!H39,input!K39)</f>
        <v>30</v>
      </c>
      <c r="J552" s="483">
        <f>IF(B552="Positive",input!G39,input!J39)</f>
        <v>1840</v>
      </c>
      <c r="K552" s="483">
        <f>IF(B552="Positive",input!AG39,input!AD39)</f>
        <v>2</v>
      </c>
      <c r="L552" s="21">
        <f t="shared" si="42"/>
        <v>1.1143865855967701</v>
      </c>
      <c r="M552" s="597">
        <f t="shared" si="39"/>
        <v>0.9583666742910848</v>
      </c>
      <c r="S552" s="73"/>
      <c r="U552" s="73"/>
      <c r="V552" s="73"/>
      <c r="W552" s="73"/>
      <c r="X552" s="73"/>
      <c r="Y552" s="73"/>
      <c r="Z552" s="73"/>
      <c r="AA552" s="73"/>
      <c r="AC552" s="73"/>
      <c r="AD552" s="73"/>
      <c r="AF552" s="73"/>
      <c r="AK552" s="143"/>
      <c r="AL552" s="143"/>
      <c r="AM552" s="143"/>
      <c r="AN552" s="143"/>
      <c r="AO552" s="143"/>
      <c r="AP552" s="143"/>
      <c r="AQ552" s="143"/>
      <c r="AR552" s="143"/>
      <c r="AS552" s="143"/>
    </row>
    <row r="553" spans="1:45" ht="15" customHeight="1">
      <c r="A553" s="482" t="str">
        <f t="shared" si="40"/>
        <v>119j</v>
      </c>
      <c r="B553" s="1016" t="str">
        <f t="shared" si="41"/>
        <v>Negative</v>
      </c>
      <c r="C553" s="573">
        <f>input!AE40</f>
        <v>160</v>
      </c>
      <c r="D553" s="573">
        <f>input!AF40</f>
        <v>16</v>
      </c>
      <c r="E553" s="573">
        <f>input!AH40</f>
        <v>0</v>
      </c>
      <c r="F553" s="573">
        <f>input!AI40</f>
        <v>0</v>
      </c>
      <c r="G553" s="817">
        <f t="shared" si="36"/>
        <v>21845333.333333332</v>
      </c>
      <c r="H553" s="483">
        <f t="shared" si="37"/>
        <v>522.66666666666663</v>
      </c>
      <c r="I553" s="483">
        <f>IF(B553="Positive",input!H40,input!K40)</f>
        <v>30</v>
      </c>
      <c r="J553" s="483">
        <f>IF(B553="Positive",input!G40,input!J40)</f>
        <v>1840</v>
      </c>
      <c r="K553" s="483">
        <f>IF(B553="Positive",input!AG40,input!AD40)</f>
        <v>2</v>
      </c>
      <c r="L553" s="21">
        <f t="shared" si="42"/>
        <v>1.1143865855967701</v>
      </c>
      <c r="M553" s="597">
        <f t="shared" si="39"/>
        <v>0.9583666742910848</v>
      </c>
      <c r="S553" s="73"/>
      <c r="U553" s="73"/>
      <c r="V553" s="73"/>
      <c r="W553" s="73"/>
      <c r="X553" s="73"/>
      <c r="Y553" s="73"/>
      <c r="Z553" s="73"/>
      <c r="AA553" s="73"/>
      <c r="AC553" s="73"/>
      <c r="AD553" s="73"/>
      <c r="AF553" s="73"/>
      <c r="AK553" s="143"/>
      <c r="AL553" s="143"/>
      <c r="AM553" s="143"/>
      <c r="AN553" s="143"/>
      <c r="AO553" s="143"/>
      <c r="AP553" s="143"/>
      <c r="AQ553" s="143"/>
      <c r="AR553" s="143"/>
      <c r="AS553" s="143"/>
    </row>
    <row r="554" spans="1:45" ht="15" customHeight="1">
      <c r="A554" s="482" t="str">
        <f t="shared" si="40"/>
        <v>120i</v>
      </c>
      <c r="B554" s="1016" t="str">
        <f t="shared" si="41"/>
        <v>Negative</v>
      </c>
      <c r="C554" s="573">
        <f>input!AE41</f>
        <v>160</v>
      </c>
      <c r="D554" s="573">
        <f>input!AF41</f>
        <v>16</v>
      </c>
      <c r="E554" s="573">
        <f>input!AH41</f>
        <v>0</v>
      </c>
      <c r="F554" s="573">
        <f>input!AI41</f>
        <v>0</v>
      </c>
      <c r="G554" s="817">
        <f t="shared" si="36"/>
        <v>21845333.333333332</v>
      </c>
      <c r="H554" s="483">
        <f t="shared" si="37"/>
        <v>522.66666666666663</v>
      </c>
      <c r="I554" s="483">
        <f>IF(B554="Positive",input!H41,input!K41)</f>
        <v>30</v>
      </c>
      <c r="J554" s="483">
        <f>IF(B554="Positive",input!G41,input!J41)</f>
        <v>1840</v>
      </c>
      <c r="K554" s="483">
        <f>IF(B554="Positive",input!AG41,input!AD41)</f>
        <v>2</v>
      </c>
      <c r="L554" s="21">
        <f t="shared" si="42"/>
        <v>1.1143865855967701</v>
      </c>
      <c r="M554" s="597">
        <f t="shared" si="39"/>
        <v>0.9583666742910848</v>
      </c>
      <c r="S554" s="73"/>
      <c r="U554" s="73"/>
      <c r="V554" s="73"/>
      <c r="W554" s="73"/>
      <c r="X554" s="73"/>
      <c r="Y554" s="73"/>
      <c r="Z554" s="73"/>
      <c r="AA554" s="73"/>
      <c r="AC554" s="73"/>
      <c r="AD554" s="73"/>
      <c r="AF554" s="73"/>
      <c r="AK554" s="143"/>
      <c r="AL554" s="143"/>
      <c r="AM554" s="143"/>
      <c r="AN554" s="143"/>
      <c r="AO554" s="143"/>
      <c r="AP554" s="143"/>
      <c r="AQ554" s="143"/>
      <c r="AR554" s="143"/>
      <c r="AS554" s="143"/>
    </row>
    <row r="555" spans="1:45" ht="15" customHeight="1">
      <c r="A555" s="482" t="str">
        <f t="shared" si="40"/>
        <v>120j</v>
      </c>
      <c r="B555" s="1016" t="str">
        <f t="shared" si="41"/>
        <v>Negative</v>
      </c>
      <c r="C555" s="573">
        <f>input!AE42</f>
        <v>160</v>
      </c>
      <c r="D555" s="573">
        <f>input!AF42</f>
        <v>16</v>
      </c>
      <c r="E555" s="573">
        <f>input!AH42</f>
        <v>0</v>
      </c>
      <c r="F555" s="573">
        <f>input!AI42</f>
        <v>0</v>
      </c>
      <c r="G555" s="817">
        <f t="shared" si="36"/>
        <v>21845333.333333332</v>
      </c>
      <c r="H555" s="483">
        <f t="shared" si="37"/>
        <v>522.66666666666663</v>
      </c>
      <c r="I555" s="483">
        <f>IF(B555="Positive",input!H42,input!K42)</f>
        <v>30</v>
      </c>
      <c r="J555" s="483">
        <f>IF(B555="Positive",input!G42,input!J42)</f>
        <v>1840</v>
      </c>
      <c r="K555" s="483">
        <f>IF(B555="Positive",input!AG42,input!AD42)</f>
        <v>2</v>
      </c>
      <c r="L555" s="21">
        <f t="shared" si="42"/>
        <v>1.1143865855967701</v>
      </c>
      <c r="M555" s="597">
        <f t="shared" si="39"/>
        <v>0.9583666742910848</v>
      </c>
      <c r="S555" s="73"/>
      <c r="U555" s="73"/>
      <c r="V555" s="73"/>
      <c r="W555" s="73"/>
      <c r="X555" s="73"/>
      <c r="Y555" s="73"/>
      <c r="Z555" s="73"/>
      <c r="AA555" s="73"/>
      <c r="AC555" s="73"/>
      <c r="AD555" s="73"/>
      <c r="AF555" s="73"/>
      <c r="AK555" s="143"/>
      <c r="AL555" s="143"/>
      <c r="AM555" s="143"/>
      <c r="AN555" s="143"/>
      <c r="AO555" s="143"/>
      <c r="AP555" s="143"/>
      <c r="AQ555" s="143"/>
      <c r="AR555" s="143"/>
      <c r="AS555" s="143"/>
    </row>
    <row r="556" spans="1:45" ht="15" customHeight="1">
      <c r="A556" s="482" t="str">
        <f t="shared" si="40"/>
        <v>121i</v>
      </c>
      <c r="B556" s="1016" t="str">
        <f t="shared" si="41"/>
        <v>Negative</v>
      </c>
      <c r="C556" s="573">
        <f>input!AE43</f>
        <v>160</v>
      </c>
      <c r="D556" s="573">
        <f>input!AF43</f>
        <v>16</v>
      </c>
      <c r="E556" s="573">
        <f>input!AH43</f>
        <v>0</v>
      </c>
      <c r="F556" s="573">
        <f>input!AI43</f>
        <v>0</v>
      </c>
      <c r="G556" s="817">
        <f t="shared" si="36"/>
        <v>21845333.333333332</v>
      </c>
      <c r="H556" s="483">
        <f t="shared" si="37"/>
        <v>530.66666666666663</v>
      </c>
      <c r="I556" s="483">
        <f>IF(B556="Positive",input!H43,input!K43)</f>
        <v>30</v>
      </c>
      <c r="J556" s="483">
        <f>IF(B556="Positive",input!G43,input!J43)</f>
        <v>1864</v>
      </c>
      <c r="K556" s="483">
        <f>IF(B556="Positive",input!AG43,input!AD43)</f>
        <v>2</v>
      </c>
      <c r="L556" s="21">
        <f t="shared" si="42"/>
        <v>1.1087582745644511</v>
      </c>
      <c r="M556" s="597">
        <f t="shared" si="39"/>
        <v>0.95652304012801159</v>
      </c>
      <c r="S556" s="73"/>
      <c r="U556" s="73"/>
      <c r="V556" s="73"/>
      <c r="W556" s="73"/>
      <c r="X556" s="73"/>
      <c r="Y556" s="73"/>
      <c r="Z556" s="73"/>
      <c r="AA556" s="73"/>
      <c r="AC556" s="73"/>
      <c r="AD556" s="73"/>
      <c r="AF556" s="73"/>
      <c r="AK556" s="143"/>
      <c r="AL556" s="143"/>
      <c r="AM556" s="143"/>
      <c r="AN556" s="143"/>
      <c r="AO556" s="143"/>
      <c r="AP556" s="143"/>
      <c r="AQ556" s="143"/>
      <c r="AR556" s="143"/>
      <c r="AS556" s="143"/>
    </row>
    <row r="557" spans="1:45" ht="15" customHeight="1">
      <c r="A557" s="482" t="str">
        <f t="shared" si="40"/>
        <v>121j</v>
      </c>
      <c r="B557" s="1016" t="str">
        <f t="shared" si="41"/>
        <v>Negative</v>
      </c>
      <c r="C557" s="573">
        <f>input!AE44</f>
        <v>160</v>
      </c>
      <c r="D557" s="573">
        <f>input!AF44</f>
        <v>16</v>
      </c>
      <c r="E557" s="573">
        <f>input!AH44</f>
        <v>0</v>
      </c>
      <c r="F557" s="573">
        <f>input!AI44</f>
        <v>0</v>
      </c>
      <c r="G557" s="817">
        <f t="shared" si="36"/>
        <v>21845333.333333332</v>
      </c>
      <c r="H557" s="483">
        <f t="shared" si="37"/>
        <v>530.66666666666663</v>
      </c>
      <c r="I557" s="483">
        <f>IF(B557="Positive",input!H44,input!K44)</f>
        <v>30</v>
      </c>
      <c r="J557" s="483">
        <f>IF(B557="Positive",input!G44,input!J44)</f>
        <v>1864</v>
      </c>
      <c r="K557" s="483">
        <f>IF(B557="Positive",input!AG44,input!AD44)</f>
        <v>2</v>
      </c>
      <c r="L557" s="21">
        <f t="shared" si="42"/>
        <v>1.1087582745644511</v>
      </c>
      <c r="M557" s="597">
        <f t="shared" si="39"/>
        <v>0.95652304012801159</v>
      </c>
      <c r="S557" s="73"/>
      <c r="U557" s="73"/>
      <c r="V557" s="73"/>
      <c r="W557" s="73"/>
      <c r="X557" s="73"/>
      <c r="Y557" s="73"/>
      <c r="Z557" s="73"/>
      <c r="AA557" s="73"/>
      <c r="AC557" s="73"/>
      <c r="AD557" s="73"/>
      <c r="AF557" s="73"/>
      <c r="AK557" s="143"/>
      <c r="AL557" s="143"/>
      <c r="AM557" s="143"/>
      <c r="AN557" s="143"/>
      <c r="AO557" s="143"/>
      <c r="AP557" s="143"/>
      <c r="AQ557" s="143"/>
      <c r="AR557" s="143"/>
      <c r="AS557" s="143"/>
    </row>
    <row r="558" spans="1:45" ht="15" customHeight="1">
      <c r="A558" s="482" t="str">
        <f t="shared" si="40"/>
        <v>122i</v>
      </c>
      <c r="B558" s="1016" t="str">
        <f t="shared" si="41"/>
        <v>Negative</v>
      </c>
      <c r="C558" s="573">
        <f>input!AE45</f>
        <v>160</v>
      </c>
      <c r="D558" s="573">
        <f>input!AF45</f>
        <v>16</v>
      </c>
      <c r="E558" s="573">
        <f>input!AH45</f>
        <v>0</v>
      </c>
      <c r="F558" s="573">
        <f>input!AI45</f>
        <v>0</v>
      </c>
      <c r="G558" s="817">
        <f t="shared" si="36"/>
        <v>21845333.333333332</v>
      </c>
      <c r="H558" s="483">
        <f t="shared" si="37"/>
        <v>545.66666666666663</v>
      </c>
      <c r="I558" s="483">
        <f>IF(B558="Positive",input!H45,input!K45)</f>
        <v>30</v>
      </c>
      <c r="J558" s="483">
        <f>IF(B558="Positive",input!G45,input!J45)</f>
        <v>1909</v>
      </c>
      <c r="K558" s="483">
        <f>IF(B558="Positive",input!AG45,input!AD45)</f>
        <v>2</v>
      </c>
      <c r="L558" s="21">
        <f t="shared" si="42"/>
        <v>1.0985040656466334</v>
      </c>
      <c r="M558" s="597">
        <f t="shared" si="39"/>
        <v>0.95316412663378158</v>
      </c>
      <c r="S558" s="73"/>
      <c r="U558" s="73"/>
      <c r="V558" s="73"/>
      <c r="W558" s="73"/>
      <c r="X558" s="73"/>
      <c r="Y558" s="73"/>
      <c r="Z558" s="73"/>
      <c r="AA558" s="73"/>
      <c r="AC558" s="73"/>
      <c r="AD558" s="73"/>
      <c r="AF558" s="73"/>
      <c r="AK558" s="143"/>
      <c r="AL558" s="143"/>
      <c r="AM558" s="143"/>
      <c r="AN558" s="143"/>
      <c r="AO558" s="143"/>
      <c r="AP558" s="143"/>
      <c r="AQ558" s="143"/>
      <c r="AR558" s="143"/>
      <c r="AS558" s="143"/>
    </row>
    <row r="559" spans="1:45" ht="15" customHeight="1">
      <c r="A559" s="482" t="str">
        <f t="shared" si="40"/>
        <v>122j</v>
      </c>
      <c r="B559" s="1016" t="str">
        <f t="shared" si="41"/>
        <v>Negative</v>
      </c>
      <c r="C559" s="573">
        <f>input!AE46</f>
        <v>160</v>
      </c>
      <c r="D559" s="573">
        <f>input!AF46</f>
        <v>16</v>
      </c>
      <c r="E559" s="573">
        <f>input!AH46</f>
        <v>0</v>
      </c>
      <c r="F559" s="573">
        <f>input!AI46</f>
        <v>0</v>
      </c>
      <c r="G559" s="817">
        <f t="shared" si="36"/>
        <v>21845333.333333332</v>
      </c>
      <c r="H559" s="483">
        <f t="shared" si="37"/>
        <v>545.66666666666663</v>
      </c>
      <c r="I559" s="483">
        <f>IF(B559="Positive",input!H46,input!K46)</f>
        <v>30</v>
      </c>
      <c r="J559" s="483">
        <f>IF(B559="Positive",input!G46,input!J46)</f>
        <v>1909</v>
      </c>
      <c r="K559" s="483">
        <f>IF(B559="Positive",input!AG46,input!AD46)</f>
        <v>2</v>
      </c>
      <c r="L559" s="21">
        <f t="shared" si="42"/>
        <v>1.0985040656466334</v>
      </c>
      <c r="M559" s="597">
        <f t="shared" si="39"/>
        <v>0.95316412663378158</v>
      </c>
      <c r="S559" s="73"/>
      <c r="U559" s="73"/>
      <c r="V559" s="73"/>
      <c r="W559" s="73"/>
      <c r="X559" s="73"/>
      <c r="Y559" s="73"/>
      <c r="Z559" s="73"/>
      <c r="AA559" s="73"/>
      <c r="AC559" s="73"/>
      <c r="AD559" s="73"/>
      <c r="AF559" s="73"/>
      <c r="AK559" s="143"/>
      <c r="AL559" s="143"/>
      <c r="AM559" s="143"/>
      <c r="AN559" s="143"/>
      <c r="AO559" s="143"/>
      <c r="AP559" s="143"/>
      <c r="AQ559" s="143"/>
      <c r="AR559" s="143"/>
      <c r="AS559" s="143"/>
    </row>
    <row r="560" spans="1:45" ht="15" customHeight="1">
      <c r="A560" s="482" t="str">
        <f t="shared" si="40"/>
        <v>123i</v>
      </c>
      <c r="B560" s="1016" t="str">
        <f t="shared" si="41"/>
        <v>Negative</v>
      </c>
      <c r="C560" s="573">
        <f>input!AE47</f>
        <v>160</v>
      </c>
      <c r="D560" s="573">
        <f>input!AF47</f>
        <v>16</v>
      </c>
      <c r="E560" s="573">
        <f>input!AH47</f>
        <v>0</v>
      </c>
      <c r="F560" s="573">
        <f>input!AI47</f>
        <v>0</v>
      </c>
      <c r="G560" s="817">
        <f t="shared" si="36"/>
        <v>21845333.333333332</v>
      </c>
      <c r="H560" s="483">
        <f t="shared" si="37"/>
        <v>555</v>
      </c>
      <c r="I560" s="483">
        <f>IF(B560="Positive",input!H47,input!K47)</f>
        <v>30</v>
      </c>
      <c r="J560" s="483">
        <f>IF(B560="Positive",input!G47,input!J47)</f>
        <v>1937</v>
      </c>
      <c r="K560" s="483">
        <f>IF(B560="Positive",input!AG47,input!AD47)</f>
        <v>2</v>
      </c>
      <c r="L560" s="21">
        <f t="shared" si="42"/>
        <v>1.0923114408572843</v>
      </c>
      <c r="M560" s="597">
        <f t="shared" si="39"/>
        <v>0.95113564338984224</v>
      </c>
      <c r="S560" s="73"/>
      <c r="U560" s="73"/>
      <c r="V560" s="73"/>
      <c r="W560" s="73"/>
      <c r="X560" s="73"/>
      <c r="Y560" s="73"/>
      <c r="Z560" s="73"/>
      <c r="AA560" s="73"/>
      <c r="AC560" s="73"/>
      <c r="AD560" s="73"/>
      <c r="AF560" s="73"/>
      <c r="AK560" s="143"/>
      <c r="AL560" s="143"/>
      <c r="AM560" s="143"/>
      <c r="AN560" s="143"/>
      <c r="AO560" s="143"/>
      <c r="AP560" s="143"/>
      <c r="AQ560" s="143"/>
      <c r="AR560" s="143"/>
      <c r="AS560" s="143"/>
    </row>
    <row r="561" spans="1:45" ht="15" customHeight="1">
      <c r="A561" s="482" t="str">
        <f t="shared" si="40"/>
        <v>123j</v>
      </c>
      <c r="B561" s="1016" t="str">
        <f t="shared" si="41"/>
        <v>Negative</v>
      </c>
      <c r="C561" s="573">
        <f>input!AE48</f>
        <v>160</v>
      </c>
      <c r="D561" s="573">
        <f>input!AF48</f>
        <v>16</v>
      </c>
      <c r="E561" s="573">
        <f>input!AH48</f>
        <v>0</v>
      </c>
      <c r="F561" s="573">
        <f>input!AI48</f>
        <v>0</v>
      </c>
      <c r="G561" s="817">
        <f t="shared" si="36"/>
        <v>21845333.333333332</v>
      </c>
      <c r="H561" s="483">
        <f t="shared" si="37"/>
        <v>555</v>
      </c>
      <c r="I561" s="483">
        <f>IF(B561="Positive",input!H48,input!K48)</f>
        <v>30</v>
      </c>
      <c r="J561" s="483">
        <f>IF(B561="Positive",input!G48,input!J48)</f>
        <v>1937</v>
      </c>
      <c r="K561" s="483">
        <f>IF(B561="Positive",input!AG48,input!AD48)</f>
        <v>2</v>
      </c>
      <c r="L561" s="21">
        <f t="shared" si="42"/>
        <v>1.0923114408572843</v>
      </c>
      <c r="M561" s="597">
        <f t="shared" si="39"/>
        <v>0.95113564338984224</v>
      </c>
      <c r="S561" s="73"/>
      <c r="U561" s="73"/>
      <c r="V561" s="73"/>
      <c r="W561" s="73"/>
      <c r="X561" s="73"/>
      <c r="Y561" s="73"/>
      <c r="Z561" s="73"/>
      <c r="AA561" s="73"/>
      <c r="AC561" s="73"/>
      <c r="AD561" s="73"/>
      <c r="AF561" s="73"/>
      <c r="AK561" s="143"/>
      <c r="AL561" s="143"/>
      <c r="AM561" s="143"/>
      <c r="AN561" s="143"/>
      <c r="AO561" s="143"/>
      <c r="AP561" s="143"/>
      <c r="AQ561" s="143"/>
      <c r="AR561" s="143"/>
      <c r="AS561" s="143"/>
    </row>
    <row r="562" spans="1:45" ht="15" customHeight="1">
      <c r="A562" s="482" t="str">
        <f t="shared" si="40"/>
        <v>124i</v>
      </c>
      <c r="B562" s="1016" t="str">
        <f t="shared" si="41"/>
        <v>Negative</v>
      </c>
      <c r="C562" s="573">
        <f>input!AE49</f>
        <v>160</v>
      </c>
      <c r="D562" s="573">
        <f>input!AF49</f>
        <v>16</v>
      </c>
      <c r="E562" s="573">
        <f>input!AH49</f>
        <v>0</v>
      </c>
      <c r="F562" s="573">
        <f>input!AI49</f>
        <v>0</v>
      </c>
      <c r="G562" s="817">
        <f t="shared" si="36"/>
        <v>21845333.333333332</v>
      </c>
      <c r="H562" s="483">
        <f t="shared" si="37"/>
        <v>556</v>
      </c>
      <c r="I562" s="483">
        <f>IF(B562="Positive",input!H49,input!K49)</f>
        <v>24</v>
      </c>
      <c r="J562" s="483">
        <f>IF(B562="Positive",input!G49,input!J49)</f>
        <v>1940</v>
      </c>
      <c r="K562" s="483">
        <f>IF(B562="Positive",input!AG49,input!AD49)</f>
        <v>2</v>
      </c>
      <c r="L562" s="21">
        <f t="shared" si="42"/>
        <v>1.3645702311083583</v>
      </c>
      <c r="M562" s="597">
        <f t="shared" si="39"/>
        <v>1.0403179227666566</v>
      </c>
      <c r="S562" s="73"/>
      <c r="U562" s="73"/>
      <c r="V562" s="73"/>
      <c r="W562" s="73"/>
      <c r="X562" s="73"/>
      <c r="Y562" s="73"/>
      <c r="Z562" s="73"/>
      <c r="AA562" s="73"/>
      <c r="AC562" s="73"/>
      <c r="AD562" s="73"/>
      <c r="AF562" s="73"/>
      <c r="AK562" s="143"/>
      <c r="AL562" s="143"/>
      <c r="AM562" s="143"/>
      <c r="AN562" s="143"/>
      <c r="AO562" s="143"/>
      <c r="AP562" s="143"/>
      <c r="AQ562" s="143"/>
      <c r="AR562" s="143"/>
      <c r="AS562" s="143"/>
    </row>
    <row r="563" spans="1:45" ht="15" customHeight="1">
      <c r="A563" s="482" t="str">
        <f t="shared" si="40"/>
        <v>124j</v>
      </c>
      <c r="B563" s="1016" t="str">
        <f t="shared" si="41"/>
        <v>Negative</v>
      </c>
      <c r="C563" s="573">
        <f>input!AE50</f>
        <v>160</v>
      </c>
      <c r="D563" s="573">
        <f>input!AF50</f>
        <v>16</v>
      </c>
      <c r="E563" s="573">
        <f>input!AH50</f>
        <v>0</v>
      </c>
      <c r="F563" s="573">
        <f>input!AI50</f>
        <v>0</v>
      </c>
      <c r="G563" s="817">
        <f t="shared" si="36"/>
        <v>21845333.333333332</v>
      </c>
      <c r="H563" s="483">
        <f t="shared" si="37"/>
        <v>556</v>
      </c>
      <c r="I563" s="483">
        <f>IF(B563="Positive",input!H50,input!K50)</f>
        <v>24</v>
      </c>
      <c r="J563" s="483">
        <f>IF(B563="Positive",input!G50,input!J50)</f>
        <v>1940</v>
      </c>
      <c r="K563" s="483">
        <f>IF(B563="Positive",input!AG50,input!AD50)</f>
        <v>2</v>
      </c>
      <c r="L563" s="21">
        <f t="shared" si="42"/>
        <v>1.3645702311083583</v>
      </c>
      <c r="M563" s="597">
        <f t="shared" si="39"/>
        <v>1.0403179227666566</v>
      </c>
      <c r="S563" s="73"/>
      <c r="U563" s="73"/>
      <c r="V563" s="73"/>
      <c r="W563" s="73"/>
      <c r="X563" s="73"/>
      <c r="Y563" s="73"/>
      <c r="Z563" s="73"/>
      <c r="AA563" s="73"/>
      <c r="AC563" s="73"/>
      <c r="AD563" s="73"/>
      <c r="AF563" s="73"/>
      <c r="AK563" s="143"/>
      <c r="AL563" s="143"/>
      <c r="AM563" s="143"/>
      <c r="AN563" s="143"/>
      <c r="AO563" s="143"/>
      <c r="AP563" s="143"/>
      <c r="AQ563" s="143"/>
      <c r="AR563" s="143"/>
      <c r="AS563" s="143"/>
    </row>
    <row r="564" spans="1:45" ht="15" customHeight="1">
      <c r="A564" s="971" t="str">
        <f t="shared" si="40"/>
        <v>125i</v>
      </c>
      <c r="B564" s="1017" t="str">
        <f t="shared" si="41"/>
        <v>Negative</v>
      </c>
      <c r="C564" s="973">
        <f>input!AE51</f>
        <v>160</v>
      </c>
      <c r="D564" s="973">
        <f>input!AF51</f>
        <v>16</v>
      </c>
      <c r="E564" s="973">
        <f>input!AH51</f>
        <v>0</v>
      </c>
      <c r="F564" s="973">
        <f>input!AI51</f>
        <v>0</v>
      </c>
      <c r="G564" s="974">
        <f t="shared" si="36"/>
        <v>21845333.333333332</v>
      </c>
      <c r="H564" s="483">
        <f t="shared" si="37"/>
        <v>556</v>
      </c>
      <c r="I564" s="929">
        <f>IF(B564="Positive",input!H51,input!K51)</f>
        <v>18</v>
      </c>
      <c r="J564" s="929">
        <f>IF(B564="Positive",input!G51,input!J51)</f>
        <v>1940</v>
      </c>
      <c r="K564" s="929">
        <f>IF(B564="Positive",input!AG51,input!AD51)</f>
        <v>2</v>
      </c>
      <c r="L564" s="976">
        <f t="shared" si="42"/>
        <v>1.8194269748111445</v>
      </c>
      <c r="M564" s="999">
        <f t="shared" si="39"/>
        <v>1.1893127859110977</v>
      </c>
      <c r="S564" s="73"/>
      <c r="U564" s="73"/>
      <c r="V564" s="73"/>
      <c r="W564" s="73"/>
      <c r="X564" s="73"/>
      <c r="Y564" s="73"/>
      <c r="Z564" s="73"/>
      <c r="AA564" s="73"/>
      <c r="AC564" s="73"/>
      <c r="AD564" s="73"/>
      <c r="AF564" s="73"/>
      <c r="AK564" s="143"/>
      <c r="AL564" s="143"/>
      <c r="AM564" s="143"/>
      <c r="AN564" s="143"/>
      <c r="AO564" s="143"/>
      <c r="AP564" s="143"/>
      <c r="AQ564" s="143"/>
      <c r="AR564" s="143"/>
      <c r="AS564" s="143"/>
    </row>
    <row r="565" spans="1:45" ht="15" customHeight="1">
      <c r="A565" s="979" t="str">
        <f t="shared" si="40"/>
        <v>125j</v>
      </c>
      <c r="B565" s="1018" t="str">
        <f t="shared" si="41"/>
        <v>Negative</v>
      </c>
      <c r="C565" s="981">
        <f>input!AE52</f>
        <v>160</v>
      </c>
      <c r="D565" s="981">
        <f>input!AF52</f>
        <v>16</v>
      </c>
      <c r="E565" s="981">
        <f>input!AH52</f>
        <v>0</v>
      </c>
      <c r="F565" s="981">
        <f>input!AI52</f>
        <v>0</v>
      </c>
      <c r="G565" s="982">
        <f t="shared" si="36"/>
        <v>21845333.333333332</v>
      </c>
      <c r="H565" s="483">
        <f t="shared" si="37"/>
        <v>556</v>
      </c>
      <c r="I565" s="931">
        <f>IF(B565="Positive",input!H52,input!K52)</f>
        <v>18</v>
      </c>
      <c r="J565" s="931">
        <f>IF(B565="Positive",input!G52,input!J52)</f>
        <v>1940</v>
      </c>
      <c r="K565" s="931">
        <f>IF(B565="Positive",input!AG52,input!AD52)</f>
        <v>2</v>
      </c>
      <c r="L565" s="984">
        <f t="shared" si="42"/>
        <v>1.8194269748111445</v>
      </c>
      <c r="M565" s="1005">
        <f t="shared" si="39"/>
        <v>1.1893127859110977</v>
      </c>
      <c r="S565" s="73"/>
      <c r="U565" s="73"/>
      <c r="V565" s="73"/>
      <c r="W565" s="73"/>
      <c r="X565" s="73"/>
      <c r="Y565" s="73"/>
      <c r="Z565" s="73"/>
      <c r="AA565" s="73"/>
      <c r="AC565" s="73"/>
      <c r="AD565" s="73"/>
      <c r="AF565" s="73"/>
      <c r="AK565" s="143"/>
      <c r="AL565" s="143"/>
      <c r="AM565" s="143"/>
      <c r="AN565" s="143"/>
      <c r="AO565" s="143"/>
      <c r="AP565" s="143"/>
      <c r="AQ565" s="143"/>
      <c r="AR565" s="143"/>
      <c r="AS565" s="143"/>
    </row>
    <row r="566" spans="1:45" ht="15" customHeight="1">
      <c r="A566" s="482" t="str">
        <f t="shared" si="40"/>
        <v>126i</v>
      </c>
      <c r="B566" s="1016" t="str">
        <f t="shared" si="41"/>
        <v>Negative</v>
      </c>
      <c r="C566" s="573">
        <f>input!AE53</f>
        <v>160</v>
      </c>
      <c r="D566" s="573">
        <f>input!AF53</f>
        <v>16</v>
      </c>
      <c r="E566" s="573">
        <f>input!AH53</f>
        <v>0</v>
      </c>
      <c r="F566" s="573">
        <f>input!AI53</f>
        <v>0</v>
      </c>
      <c r="G566" s="817">
        <f t="shared" si="36"/>
        <v>21845333.333333332</v>
      </c>
      <c r="H566" s="483">
        <f t="shared" si="37"/>
        <v>556</v>
      </c>
      <c r="I566" s="483">
        <f>IF(B566="Positive",input!H53,input!K53)</f>
        <v>18</v>
      </c>
      <c r="J566" s="483">
        <f>IF(B566="Positive",input!G53,input!J53)</f>
        <v>1940</v>
      </c>
      <c r="K566" s="483">
        <f>IF(B566="Positive",input!AG53,input!AD53)</f>
        <v>2</v>
      </c>
      <c r="L566" s="21">
        <f t="shared" si="42"/>
        <v>1.8194269748111445</v>
      </c>
      <c r="M566" s="597">
        <f t="shared" si="39"/>
        <v>1.1893127859110977</v>
      </c>
      <c r="S566" s="73"/>
      <c r="U566" s="73"/>
      <c r="V566" s="73"/>
      <c r="W566" s="73"/>
      <c r="X566" s="73"/>
      <c r="Y566" s="73"/>
      <c r="Z566" s="73"/>
      <c r="AA566" s="73"/>
      <c r="AC566" s="73"/>
      <c r="AD566" s="73"/>
      <c r="AF566" s="73"/>
      <c r="AK566" s="143"/>
      <c r="AL566" s="143"/>
      <c r="AM566" s="143"/>
      <c r="AN566" s="143"/>
      <c r="AO566" s="143"/>
      <c r="AP566" s="143"/>
      <c r="AQ566" s="143"/>
      <c r="AR566" s="143"/>
      <c r="AS566" s="143"/>
    </row>
    <row r="567" spans="1:45" ht="15" customHeight="1">
      <c r="A567" s="482" t="str">
        <f t="shared" si="40"/>
        <v>126j</v>
      </c>
      <c r="B567" s="1016" t="str">
        <f t="shared" si="41"/>
        <v>Negative</v>
      </c>
      <c r="C567" s="573">
        <f>input!AE54</f>
        <v>160</v>
      </c>
      <c r="D567" s="573">
        <f>input!AF54</f>
        <v>16</v>
      </c>
      <c r="E567" s="573">
        <f>input!AH54</f>
        <v>0</v>
      </c>
      <c r="F567" s="573">
        <f>input!AI54</f>
        <v>0</v>
      </c>
      <c r="G567" s="817">
        <f t="shared" si="36"/>
        <v>21845333.333333332</v>
      </c>
      <c r="H567" s="483">
        <f t="shared" si="37"/>
        <v>556</v>
      </c>
      <c r="I567" s="483">
        <f>IF(B567="Positive",input!H54,input!K54)</f>
        <v>18</v>
      </c>
      <c r="J567" s="483">
        <f>IF(B567="Positive",input!G54,input!J54)</f>
        <v>1940</v>
      </c>
      <c r="K567" s="483">
        <f>IF(B567="Positive",input!AG54,input!AD54)</f>
        <v>2</v>
      </c>
      <c r="L567" s="21">
        <f t="shared" si="42"/>
        <v>1.8194269748111445</v>
      </c>
      <c r="M567" s="597">
        <f t="shared" si="39"/>
        <v>1.1893127859110977</v>
      </c>
      <c r="S567" s="73"/>
      <c r="U567" s="73"/>
      <c r="V567" s="73"/>
      <c r="W567" s="73"/>
      <c r="X567" s="73"/>
      <c r="Y567" s="73"/>
      <c r="Z567" s="73"/>
      <c r="AA567" s="73"/>
      <c r="AC567" s="73"/>
      <c r="AD567" s="73"/>
      <c r="AF567" s="73"/>
      <c r="AK567" s="143"/>
      <c r="AL567" s="143"/>
      <c r="AM567" s="143"/>
      <c r="AN567" s="143"/>
      <c r="AO567" s="143"/>
      <c r="AP567" s="143"/>
      <c r="AQ567" s="143"/>
      <c r="AR567" s="143"/>
      <c r="AS567" s="143"/>
    </row>
    <row r="568" spans="1:45" ht="15" customHeight="1">
      <c r="A568" s="482" t="str">
        <f t="shared" si="40"/>
        <v>127i</v>
      </c>
      <c r="B568" s="1016" t="str">
        <f t="shared" si="41"/>
        <v>Negative</v>
      </c>
      <c r="C568" s="573">
        <f>input!AE55</f>
        <v>160</v>
      </c>
      <c r="D568" s="573">
        <f>input!AF55</f>
        <v>16</v>
      </c>
      <c r="E568" s="573">
        <f>input!AH55</f>
        <v>0</v>
      </c>
      <c r="F568" s="573">
        <f>input!AI55</f>
        <v>0</v>
      </c>
      <c r="G568" s="817">
        <f t="shared" si="36"/>
        <v>21845333.333333332</v>
      </c>
      <c r="H568" s="483">
        <f t="shared" si="37"/>
        <v>556</v>
      </c>
      <c r="I568" s="483">
        <f>IF(B568="Positive",input!H55,input!K55)</f>
        <v>10</v>
      </c>
      <c r="J568" s="483">
        <f>IF(B568="Positive",input!G55,input!J55)</f>
        <v>1940</v>
      </c>
      <c r="K568" s="483">
        <f>IF(B568="Positive",input!AG55,input!AD55)</f>
        <v>2</v>
      </c>
      <c r="L568" s="21">
        <f t="shared" si="42"/>
        <v>3.2749685546600604</v>
      </c>
      <c r="M568" s="597">
        <f t="shared" si="39"/>
        <v>1.6660963479733093</v>
      </c>
      <c r="S568" s="73"/>
      <c r="U568" s="73"/>
      <c r="V568" s="73"/>
      <c r="W568" s="73"/>
      <c r="X568" s="73"/>
      <c r="Y568" s="73"/>
      <c r="Z568" s="73"/>
      <c r="AA568" s="73"/>
      <c r="AC568" s="73"/>
      <c r="AD568" s="73"/>
      <c r="AF568" s="73"/>
      <c r="AK568" s="143"/>
      <c r="AL568" s="143"/>
      <c r="AM568" s="143"/>
      <c r="AN568" s="143"/>
      <c r="AO568" s="143"/>
      <c r="AP568" s="143"/>
      <c r="AQ568" s="143"/>
      <c r="AR568" s="143"/>
      <c r="AS568" s="143"/>
    </row>
    <row r="569" spans="1:45" ht="15" customHeight="1">
      <c r="A569" s="482" t="str">
        <f t="shared" si="40"/>
        <v>127j</v>
      </c>
      <c r="B569" s="1016" t="str">
        <f t="shared" si="41"/>
        <v>Positive</v>
      </c>
      <c r="C569" s="573">
        <f>input!AE56</f>
        <v>160</v>
      </c>
      <c r="D569" s="573">
        <f>input!AF56</f>
        <v>16</v>
      </c>
      <c r="E569" s="573">
        <f>input!AH56</f>
        <v>0</v>
      </c>
      <c r="F569" s="573">
        <f>input!AI56</f>
        <v>0</v>
      </c>
      <c r="G569" s="817">
        <f t="shared" si="36"/>
        <v>0</v>
      </c>
      <c r="H569" s="483">
        <f t="shared" si="37"/>
        <v>0</v>
      </c>
      <c r="I569" s="483">
        <f>IF(B569="Positive",input!H56,input!K56)</f>
        <v>22</v>
      </c>
      <c r="J569" s="483">
        <f>IF(B569="Positive",input!G56,input!J56)</f>
        <v>500</v>
      </c>
      <c r="K569" s="483">
        <f>IF(B569="Positive",input!AG56,input!AD56)</f>
        <v>0</v>
      </c>
      <c r="L569" s="21">
        <f t="shared" si="42"/>
        <v>4</v>
      </c>
      <c r="M569" s="597">
        <f t="shared" si="39"/>
        <v>5.34</v>
      </c>
      <c r="S569" s="73"/>
      <c r="U569" s="73"/>
      <c r="V569" s="73"/>
      <c r="W569" s="73"/>
      <c r="X569" s="73"/>
      <c r="Y569" s="73"/>
      <c r="Z569" s="73"/>
      <c r="AA569" s="73"/>
      <c r="AC569" s="73"/>
      <c r="AD569" s="73"/>
      <c r="AF569" s="73"/>
      <c r="AK569" s="143"/>
      <c r="AL569" s="143"/>
      <c r="AM569" s="143"/>
      <c r="AN569" s="143"/>
      <c r="AO569" s="143"/>
      <c r="AP569" s="143"/>
      <c r="AQ569" s="143"/>
      <c r="AR569" s="143"/>
      <c r="AS569" s="143"/>
    </row>
    <row r="570" spans="1:45" ht="15" customHeight="1">
      <c r="A570" s="482" t="str">
        <f t="shared" si="40"/>
        <v>128i</v>
      </c>
      <c r="B570" s="1016" t="str">
        <f t="shared" si="41"/>
        <v>Positive</v>
      </c>
      <c r="C570" s="573">
        <f>input!AE57</f>
        <v>160</v>
      </c>
      <c r="D570" s="573">
        <f>input!AF57</f>
        <v>16</v>
      </c>
      <c r="E570" s="573">
        <f>input!AH57</f>
        <v>0</v>
      </c>
      <c r="F570" s="573">
        <f>input!AI57</f>
        <v>0</v>
      </c>
      <c r="G570" s="817">
        <f t="shared" si="36"/>
        <v>0</v>
      </c>
      <c r="H570" s="483">
        <f t="shared" si="37"/>
        <v>0</v>
      </c>
      <c r="I570" s="483">
        <f>IF(B570="Positive",input!H57,input!K57)</f>
        <v>22</v>
      </c>
      <c r="J570" s="483">
        <f>IF(B570="Positive",input!G57,input!J57)</f>
        <v>500</v>
      </c>
      <c r="K570" s="483">
        <f>IF(B570="Positive",input!AG57,input!AD57)</f>
        <v>0</v>
      </c>
      <c r="L570" s="21">
        <f t="shared" si="42"/>
        <v>4</v>
      </c>
      <c r="M570" s="597">
        <f t="shared" si="39"/>
        <v>5.34</v>
      </c>
      <c r="S570" s="73"/>
      <c r="U570" s="73"/>
      <c r="V570" s="73"/>
      <c r="W570" s="73"/>
      <c r="X570" s="73"/>
      <c r="Y570" s="73"/>
      <c r="Z570" s="73"/>
      <c r="AA570" s="73"/>
      <c r="AC570" s="73"/>
      <c r="AD570" s="73"/>
      <c r="AF570" s="73"/>
      <c r="AK570" s="143"/>
      <c r="AL570" s="143"/>
      <c r="AM570" s="143"/>
      <c r="AN570" s="143"/>
      <c r="AO570" s="143"/>
      <c r="AP570" s="143"/>
      <c r="AQ570" s="143"/>
      <c r="AR570" s="143"/>
      <c r="AS570" s="143"/>
    </row>
    <row r="571" spans="1:45" ht="15" customHeight="1">
      <c r="A571" s="482" t="str">
        <f t="shared" si="40"/>
        <v>128j</v>
      </c>
      <c r="B571" s="1016" t="str">
        <f t="shared" si="41"/>
        <v>Positive</v>
      </c>
      <c r="C571" s="573">
        <f>input!AE58</f>
        <v>160</v>
      </c>
      <c r="D571" s="573">
        <f>input!AF58</f>
        <v>16</v>
      </c>
      <c r="E571" s="573">
        <f>input!AH58</f>
        <v>0</v>
      </c>
      <c r="F571" s="573">
        <f>input!AI58</f>
        <v>0</v>
      </c>
      <c r="G571" s="817">
        <f t="shared" si="36"/>
        <v>0</v>
      </c>
      <c r="H571" s="483">
        <f t="shared" si="37"/>
        <v>0</v>
      </c>
      <c r="I571" s="483">
        <f>IF(B571="Positive",input!H58,input!K58)</f>
        <v>22</v>
      </c>
      <c r="J571" s="483">
        <f>IF(B571="Positive",input!G58,input!J58)</f>
        <v>500</v>
      </c>
      <c r="K571" s="483">
        <f>IF(B571="Positive",input!AG58,input!AD58)</f>
        <v>0</v>
      </c>
      <c r="L571" s="21">
        <f t="shared" si="42"/>
        <v>4</v>
      </c>
      <c r="M571" s="597">
        <f t="shared" si="39"/>
        <v>5.34</v>
      </c>
      <c r="S571" s="73"/>
      <c r="U571" s="73"/>
      <c r="V571" s="73"/>
      <c r="W571" s="73"/>
      <c r="X571" s="73"/>
      <c r="Y571" s="73"/>
      <c r="Z571" s="73"/>
      <c r="AA571" s="73"/>
      <c r="AC571" s="73"/>
      <c r="AD571" s="73"/>
      <c r="AF571" s="73"/>
      <c r="AK571" s="143"/>
      <c r="AL571" s="143"/>
      <c r="AM571" s="143"/>
      <c r="AN571" s="143"/>
      <c r="AO571" s="143"/>
      <c r="AP571" s="143"/>
      <c r="AQ571" s="143"/>
      <c r="AR571" s="143"/>
      <c r="AS571" s="143"/>
    </row>
    <row r="572" spans="1:45" ht="15" customHeight="1">
      <c r="A572" s="482" t="str">
        <f t="shared" si="40"/>
        <v>129i</v>
      </c>
      <c r="B572" s="1016" t="str">
        <f t="shared" si="41"/>
        <v>Positive</v>
      </c>
      <c r="C572" s="573">
        <f>input!AE59</f>
        <v>160</v>
      </c>
      <c r="D572" s="573">
        <f>input!AF59</f>
        <v>16</v>
      </c>
      <c r="E572" s="573">
        <f>input!AH59</f>
        <v>0</v>
      </c>
      <c r="F572" s="573">
        <f>input!AI59</f>
        <v>0</v>
      </c>
      <c r="G572" s="817">
        <f t="shared" si="36"/>
        <v>0</v>
      </c>
      <c r="H572" s="483">
        <f t="shared" si="37"/>
        <v>0</v>
      </c>
      <c r="I572" s="483">
        <f>IF(B572="Positive",input!H59,input!K59)</f>
        <v>22</v>
      </c>
      <c r="J572" s="483">
        <f>IF(B572="Positive",input!G59,input!J59)</f>
        <v>500</v>
      </c>
      <c r="K572" s="483">
        <f>IF(B572="Positive",input!AG59,input!AD59)</f>
        <v>0</v>
      </c>
      <c r="L572" s="21">
        <f t="shared" si="42"/>
        <v>4</v>
      </c>
      <c r="M572" s="597">
        <f t="shared" si="39"/>
        <v>5.34</v>
      </c>
      <c r="S572" s="73"/>
      <c r="U572" s="73"/>
      <c r="V572" s="73"/>
      <c r="W572" s="73"/>
      <c r="X572" s="73"/>
      <c r="Y572" s="73"/>
      <c r="Z572" s="73"/>
      <c r="AA572" s="73"/>
      <c r="AC572" s="73"/>
      <c r="AD572" s="73"/>
      <c r="AF572" s="73"/>
      <c r="AK572" s="143"/>
      <c r="AL572" s="143"/>
      <c r="AM572" s="143"/>
      <c r="AN572" s="143"/>
      <c r="AO572" s="143"/>
      <c r="AP572" s="143"/>
      <c r="AQ572" s="143"/>
      <c r="AR572" s="143"/>
      <c r="AS572" s="143"/>
    </row>
    <row r="573" spans="1:45" ht="15" customHeight="1">
      <c r="A573" s="482" t="str">
        <f t="shared" si="40"/>
        <v>129j</v>
      </c>
      <c r="B573" s="1016" t="str">
        <f t="shared" si="41"/>
        <v>Positive</v>
      </c>
      <c r="C573" s="573">
        <f>input!AE60</f>
        <v>160</v>
      </c>
      <c r="D573" s="573">
        <f>input!AF60</f>
        <v>16</v>
      </c>
      <c r="E573" s="573">
        <f>input!AH60</f>
        <v>0</v>
      </c>
      <c r="F573" s="573">
        <f>input!AI60</f>
        <v>0</v>
      </c>
      <c r="G573" s="817">
        <f t="shared" si="36"/>
        <v>0</v>
      </c>
      <c r="H573" s="483">
        <f t="shared" si="37"/>
        <v>0</v>
      </c>
      <c r="I573" s="483">
        <f>IF(B573="Positive",input!H60,input!K60)</f>
        <v>22</v>
      </c>
      <c r="J573" s="483">
        <f>IF(B573="Positive",input!G60,input!J60)</f>
        <v>500</v>
      </c>
      <c r="K573" s="483">
        <f>IF(B573="Positive",input!AG60,input!AD60)</f>
        <v>0</v>
      </c>
      <c r="L573" s="21">
        <f t="shared" si="42"/>
        <v>4</v>
      </c>
      <c r="M573" s="597">
        <f t="shared" si="39"/>
        <v>5.34</v>
      </c>
      <c r="S573" s="73"/>
      <c r="U573" s="73"/>
      <c r="V573" s="73"/>
      <c r="W573" s="73"/>
      <c r="X573" s="73"/>
      <c r="Y573" s="73"/>
      <c r="Z573" s="73"/>
      <c r="AA573" s="73"/>
      <c r="AC573" s="73"/>
      <c r="AD573" s="73"/>
      <c r="AF573" s="73"/>
      <c r="AK573" s="143"/>
      <c r="AL573" s="143"/>
      <c r="AM573" s="143"/>
      <c r="AN573" s="143"/>
      <c r="AO573" s="143"/>
      <c r="AP573" s="143"/>
      <c r="AQ573" s="143"/>
      <c r="AR573" s="143"/>
      <c r="AS573" s="143"/>
    </row>
    <row r="574" spans="1:45" ht="15" customHeight="1">
      <c r="A574" s="482" t="str">
        <f t="shared" si="40"/>
        <v>130i</v>
      </c>
      <c r="B574" s="1016" t="str">
        <f t="shared" si="41"/>
        <v>Positive</v>
      </c>
      <c r="C574" s="573">
        <f>input!AE61</f>
        <v>160</v>
      </c>
      <c r="D574" s="573">
        <f>input!AF61</f>
        <v>16</v>
      </c>
      <c r="E574" s="573">
        <f>input!AH61</f>
        <v>0</v>
      </c>
      <c r="F574" s="573">
        <f>input!AI61</f>
        <v>0</v>
      </c>
      <c r="G574" s="817">
        <f t="shared" si="36"/>
        <v>0</v>
      </c>
      <c r="H574" s="483">
        <f t="shared" si="37"/>
        <v>0</v>
      </c>
      <c r="I574" s="483">
        <f>IF(B574="Positive",input!H61,input!K61)</f>
        <v>22</v>
      </c>
      <c r="J574" s="483">
        <f>IF(B574="Positive",input!G61,input!J61)</f>
        <v>500</v>
      </c>
      <c r="K574" s="483">
        <f>IF(B574="Positive",input!AG61,input!AD61)</f>
        <v>0</v>
      </c>
      <c r="L574" s="21">
        <f t="shared" si="42"/>
        <v>4</v>
      </c>
      <c r="M574" s="597">
        <f t="shared" si="39"/>
        <v>5.34</v>
      </c>
      <c r="S574" s="73"/>
      <c r="U574" s="73"/>
      <c r="V574" s="73"/>
      <c r="W574" s="73"/>
      <c r="X574" s="73"/>
      <c r="Y574" s="73"/>
      <c r="Z574" s="73"/>
      <c r="AA574" s="73"/>
      <c r="AC574" s="73"/>
      <c r="AD574" s="73"/>
      <c r="AF574" s="73"/>
      <c r="AK574" s="143"/>
      <c r="AL574" s="143"/>
      <c r="AM574" s="143"/>
      <c r="AN574" s="143"/>
      <c r="AO574" s="143"/>
      <c r="AP574" s="143"/>
      <c r="AQ574" s="143"/>
      <c r="AR574" s="143"/>
      <c r="AS574" s="143"/>
    </row>
    <row r="575" spans="1:45" ht="15" customHeight="1">
      <c r="A575" s="482" t="str">
        <f t="shared" si="40"/>
        <v>130j</v>
      </c>
      <c r="B575" s="1016" t="str">
        <f t="shared" si="41"/>
        <v>Negative</v>
      </c>
      <c r="C575" s="573">
        <f>input!AE62</f>
        <v>160</v>
      </c>
      <c r="D575" s="573">
        <f>input!AF62</f>
        <v>16</v>
      </c>
      <c r="E575" s="573">
        <f>input!AH62</f>
        <v>0</v>
      </c>
      <c r="F575" s="573">
        <f>input!AI62</f>
        <v>0</v>
      </c>
      <c r="G575" s="817">
        <f t="shared" si="36"/>
        <v>21845333.333333332</v>
      </c>
      <c r="H575" s="483">
        <f t="shared" si="37"/>
        <v>556</v>
      </c>
      <c r="I575" s="483">
        <f>IF(B575="Positive",input!H62,input!K62)</f>
        <v>10</v>
      </c>
      <c r="J575" s="483">
        <f>IF(B575="Positive",input!G62,input!J62)</f>
        <v>1940</v>
      </c>
      <c r="K575" s="483">
        <f>IF(B575="Positive",input!AG62,input!AD62)</f>
        <v>2</v>
      </c>
      <c r="L575" s="21">
        <f t="shared" si="42"/>
        <v>3.2749685546600604</v>
      </c>
      <c r="M575" s="597">
        <f t="shared" si="39"/>
        <v>1.6660963479733093</v>
      </c>
      <c r="S575" s="73"/>
      <c r="U575" s="73"/>
      <c r="V575" s="73"/>
      <c r="W575" s="73"/>
      <c r="X575" s="73"/>
      <c r="Y575" s="73"/>
      <c r="Z575" s="73"/>
      <c r="AA575" s="73"/>
      <c r="AC575" s="73"/>
      <c r="AD575" s="73"/>
      <c r="AF575" s="73"/>
      <c r="AK575" s="143"/>
      <c r="AL575" s="143"/>
      <c r="AM575" s="143"/>
      <c r="AN575" s="143"/>
      <c r="AO575" s="143"/>
      <c r="AP575" s="143"/>
      <c r="AQ575" s="143"/>
      <c r="AR575" s="143"/>
      <c r="AS575" s="143"/>
    </row>
    <row r="576" spans="1:45" ht="15" customHeight="1">
      <c r="A576" s="482" t="str">
        <f t="shared" si="40"/>
        <v>131i</v>
      </c>
      <c r="B576" s="1016" t="str">
        <f t="shared" si="41"/>
        <v>Negative</v>
      </c>
      <c r="C576" s="573">
        <f>input!AE63</f>
        <v>160</v>
      </c>
      <c r="D576" s="573">
        <f>input!AF63</f>
        <v>16</v>
      </c>
      <c r="E576" s="573">
        <f>input!AH63</f>
        <v>0</v>
      </c>
      <c r="F576" s="573">
        <f>input!AI63</f>
        <v>0</v>
      </c>
      <c r="G576" s="817">
        <f t="shared" si="36"/>
        <v>21845333.333333332</v>
      </c>
      <c r="H576" s="483">
        <f t="shared" si="37"/>
        <v>556</v>
      </c>
      <c r="I576" s="483">
        <f>IF(B576="Positive",input!H63,input!K63)</f>
        <v>10</v>
      </c>
      <c r="J576" s="483">
        <f>IF(B576="Positive",input!G63,input!J63)</f>
        <v>1940</v>
      </c>
      <c r="K576" s="483">
        <f>IF(B576="Positive",input!AG63,input!AD63)</f>
        <v>2</v>
      </c>
      <c r="L576" s="21">
        <f t="shared" si="42"/>
        <v>3.2749685546600604</v>
      </c>
      <c r="M576" s="597">
        <f t="shared" si="39"/>
        <v>1.6660963479733093</v>
      </c>
      <c r="S576" s="73"/>
      <c r="U576" s="73"/>
      <c r="V576" s="73"/>
      <c r="W576" s="73"/>
      <c r="X576" s="73"/>
      <c r="Y576" s="73"/>
      <c r="Z576" s="73"/>
      <c r="AA576" s="73"/>
      <c r="AC576" s="73"/>
      <c r="AD576" s="73"/>
      <c r="AF576" s="73"/>
      <c r="AK576" s="143"/>
      <c r="AL576" s="143"/>
      <c r="AM576" s="143"/>
      <c r="AN576" s="143"/>
      <c r="AO576" s="143"/>
      <c r="AP576" s="143"/>
      <c r="AQ576" s="143"/>
      <c r="AR576" s="143"/>
      <c r="AS576" s="143"/>
    </row>
    <row r="577" spans="1:45" ht="15" customHeight="1">
      <c r="A577" s="482" t="str">
        <f t="shared" si="40"/>
        <v>131j</v>
      </c>
      <c r="B577" s="1016" t="str">
        <f t="shared" si="41"/>
        <v>Positive</v>
      </c>
      <c r="C577" s="573">
        <f>input!AE64</f>
        <v>160</v>
      </c>
      <c r="D577" s="573">
        <f>input!AF64</f>
        <v>16</v>
      </c>
      <c r="E577" s="573">
        <f>input!AH64</f>
        <v>0</v>
      </c>
      <c r="F577" s="573">
        <f>input!AI64</f>
        <v>0</v>
      </c>
      <c r="G577" s="817">
        <f t="shared" si="36"/>
        <v>0</v>
      </c>
      <c r="H577" s="483">
        <f t="shared" si="37"/>
        <v>0</v>
      </c>
      <c r="I577" s="483">
        <f>IF(B577="Positive",input!H64,input!K64)</f>
        <v>22</v>
      </c>
      <c r="J577" s="483">
        <f>IF(B577="Positive",input!G64,input!J64)</f>
        <v>500</v>
      </c>
      <c r="K577" s="483">
        <f>IF(B577="Positive",input!AG64,input!AD64)</f>
        <v>0</v>
      </c>
      <c r="L577" s="21">
        <f t="shared" si="42"/>
        <v>4</v>
      </c>
      <c r="M577" s="597">
        <f t="shared" si="39"/>
        <v>5.34</v>
      </c>
      <c r="S577" s="73"/>
      <c r="U577" s="73"/>
      <c r="V577" s="73"/>
      <c r="W577" s="73"/>
      <c r="X577" s="73"/>
      <c r="Y577" s="73"/>
      <c r="Z577" s="73"/>
      <c r="AA577" s="73"/>
      <c r="AC577" s="73"/>
      <c r="AD577" s="73"/>
      <c r="AF577" s="73"/>
      <c r="AK577" s="143"/>
      <c r="AL577" s="143"/>
      <c r="AM577" s="143"/>
      <c r="AN577" s="143"/>
      <c r="AO577" s="143"/>
      <c r="AP577" s="143"/>
      <c r="AQ577" s="143"/>
      <c r="AR577" s="143"/>
      <c r="AS577" s="143"/>
    </row>
    <row r="578" spans="1:45" ht="15" customHeight="1">
      <c r="A578" s="348"/>
      <c r="B578" s="219"/>
      <c r="C578" s="242"/>
      <c r="D578" s="242"/>
      <c r="E578" s="220"/>
      <c r="F578" s="348"/>
      <c r="G578" s="242"/>
      <c r="H578" s="242"/>
      <c r="I578" s="242"/>
      <c r="J578" s="348"/>
      <c r="K578" s="348"/>
      <c r="L578" s="348"/>
      <c r="M578" s="348"/>
      <c r="N578" s="348"/>
      <c r="O578" s="348"/>
      <c r="P578" s="242"/>
      <c r="Q578" s="242"/>
      <c r="S578" s="73"/>
      <c r="U578" s="463"/>
      <c r="V578" s="73"/>
      <c r="W578" s="463"/>
      <c r="X578" s="73"/>
      <c r="Y578" s="73"/>
      <c r="Z578" s="73"/>
      <c r="AA578" s="73"/>
      <c r="AC578" s="73"/>
      <c r="AD578" s="73"/>
      <c r="AF578" s="73"/>
      <c r="AK578" s="143"/>
      <c r="AL578" s="143"/>
      <c r="AM578" s="143"/>
      <c r="AN578" s="143"/>
      <c r="AO578" s="143"/>
      <c r="AP578" s="143"/>
      <c r="AQ578" s="143"/>
      <c r="AR578" s="143"/>
      <c r="AS578" s="143"/>
    </row>
    <row r="579" spans="1:45" ht="15" customHeight="1">
      <c r="A579" s="348"/>
      <c r="B579" s="219"/>
      <c r="C579" s="242"/>
      <c r="D579" s="242"/>
      <c r="E579" s="220"/>
      <c r="F579" s="348"/>
      <c r="G579" s="242"/>
      <c r="H579" s="242"/>
      <c r="I579" s="242"/>
      <c r="J579" s="348"/>
      <c r="K579" s="348"/>
      <c r="L579" s="348"/>
      <c r="M579" s="348"/>
      <c r="N579" s="348"/>
      <c r="O579" s="348"/>
      <c r="P579" s="242"/>
      <c r="Q579" s="242"/>
      <c r="S579" s="73"/>
      <c r="U579" s="463"/>
      <c r="V579" s="73"/>
      <c r="W579" s="463"/>
      <c r="X579" s="73"/>
      <c r="Y579" s="73"/>
      <c r="Z579" s="73"/>
      <c r="AA579" s="73"/>
      <c r="AC579" s="73"/>
      <c r="AD579" s="73"/>
      <c r="AF579" s="73"/>
      <c r="AK579" s="143"/>
      <c r="AL579" s="143"/>
      <c r="AM579" s="143"/>
      <c r="AN579" s="143"/>
      <c r="AO579" s="143"/>
      <c r="AP579" s="143"/>
      <c r="AQ579" s="143"/>
      <c r="AR579" s="143"/>
      <c r="AS579" s="143"/>
    </row>
    <row r="580" spans="1:45" ht="15" customHeight="1" thickBot="1">
      <c r="A580" s="468" t="s">
        <v>1627</v>
      </c>
      <c r="B580" s="123"/>
      <c r="C580" s="121"/>
      <c r="D580" s="120"/>
      <c r="E580" s="121"/>
      <c r="F580" s="123"/>
      <c r="G580" s="123"/>
      <c r="H580" s="55"/>
      <c r="I580" s="56"/>
      <c r="L580" s="143"/>
      <c r="P580" s="212"/>
      <c r="S580" s="73"/>
      <c r="U580" s="463"/>
      <c r="V580" s="73"/>
      <c r="W580" s="463"/>
      <c r="X580" s="73"/>
      <c r="Y580" s="73"/>
      <c r="Z580" s="73"/>
      <c r="AA580" s="73"/>
      <c r="AC580" s="73"/>
      <c r="AD580" s="73"/>
      <c r="AF580" s="73"/>
      <c r="AK580" s="143"/>
      <c r="AL580" s="143"/>
      <c r="AM580" s="143"/>
      <c r="AN580" s="143"/>
      <c r="AO580" s="143"/>
      <c r="AP580" s="143"/>
      <c r="AQ580" s="143"/>
      <c r="AR580" s="143"/>
      <c r="AS580" s="143"/>
    </row>
    <row r="581" spans="1:45" ht="15" customHeight="1">
      <c r="A581" s="570" t="s">
        <v>16</v>
      </c>
      <c r="B581" s="790" t="s">
        <v>693</v>
      </c>
      <c r="C581" s="565" t="s">
        <v>446</v>
      </c>
      <c r="D581" s="1918" t="s">
        <v>980</v>
      </c>
      <c r="E581" s="1911"/>
      <c r="F581" s="1911"/>
      <c r="G581" s="1919"/>
      <c r="H581" s="565" t="s">
        <v>116</v>
      </c>
      <c r="I581" s="565" t="s">
        <v>986</v>
      </c>
      <c r="J581" s="665" t="s">
        <v>153</v>
      </c>
      <c r="L581" s="143"/>
      <c r="M581" s="190"/>
      <c r="P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C581" s="73"/>
      <c r="AD581" s="73"/>
      <c r="AF581" s="73"/>
      <c r="AH581" s="143"/>
      <c r="AI581" s="143"/>
      <c r="AJ581" s="143"/>
      <c r="AK581" s="143"/>
      <c r="AL581" s="143"/>
      <c r="AM581" s="143"/>
      <c r="AN581" s="143"/>
      <c r="AO581" s="143"/>
      <c r="AP581" s="143"/>
      <c r="AQ581" s="143"/>
      <c r="AR581" s="143"/>
      <c r="AS581" s="143"/>
    </row>
    <row r="582" spans="1:45" ht="15" customHeight="1">
      <c r="A582" s="569"/>
      <c r="B582" s="791" t="s">
        <v>694</v>
      </c>
      <c r="C582" s="566"/>
      <c r="D582" s="566" t="s">
        <v>981</v>
      </c>
      <c r="E582" s="566" t="s">
        <v>982</v>
      </c>
      <c r="F582" s="566" t="s">
        <v>983</v>
      </c>
      <c r="G582" s="566" t="s">
        <v>984</v>
      </c>
      <c r="H582" s="566"/>
      <c r="I582" s="566"/>
      <c r="J582" s="664" t="s">
        <v>985</v>
      </c>
      <c r="L582" s="143"/>
      <c r="M582" s="190"/>
      <c r="P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C582" s="73"/>
      <c r="AD582" s="73"/>
      <c r="AF582" s="73"/>
      <c r="AH582" s="143"/>
      <c r="AI582" s="143"/>
      <c r="AJ582" s="143"/>
      <c r="AK582" s="143"/>
      <c r="AL582" s="143"/>
      <c r="AM582" s="143"/>
      <c r="AN582" s="143"/>
      <c r="AO582" s="143"/>
      <c r="AP582" s="143"/>
      <c r="AQ582" s="143"/>
      <c r="AR582" s="143"/>
      <c r="AS582" s="143"/>
    </row>
    <row r="583" spans="1:45" ht="15" customHeight="1">
      <c r="A583" s="482" t="str">
        <f t="shared" ref="A583:A614" si="43">A95</f>
        <v>101i</v>
      </c>
      <c r="B583" s="1016" t="str">
        <f t="shared" ref="B583:B614" si="44">D161</f>
        <v>Negative</v>
      </c>
      <c r="C583" s="794" t="str">
        <f t="shared" ref="C583:C614" si="45">C382</f>
        <v>BF</v>
      </c>
      <c r="D583" s="21">
        <f t="shared" ref="D583:D614" si="46">IF(K516=0,J516,H516)/I516</f>
        <v>46.333333333333336</v>
      </c>
      <c r="E583" s="21">
        <f>0.95*SQRT(Es*L516/(M449-0.3)/input!BI3)</f>
        <v>44.096627754618716</v>
      </c>
      <c r="F583" s="21">
        <f>0.57*SQRT(Es*L516/input!BI3/M449)</f>
        <v>22.13633144834553</v>
      </c>
      <c r="G583" s="21">
        <f>IF(D583&lt;=F583,1*O316*M449*input!BI3,IF(D583&lt;=E583,1*O316*input!BI3*(M449-(M449-(M449-0.3)/O316)*((D583-F583)/(E583-F583))),0.9*Es*1*L516/D583/D583))</f>
        <v>240.2705825904784</v>
      </c>
      <c r="H583" s="21">
        <f>IF(D583&lt;=1.12*SQRT(Es*M516/input!BI3),0.58*input!BI3,IF(D583&lt;=1.4*SQRT(Es*M516/input!BI3),0.65*SQRT(input!BI3*Es*M516)/D583,0.9*Es*M516/D583/D583))</f>
        <v>130.94050894116066</v>
      </c>
      <c r="I583" s="21">
        <f>L449</f>
        <v>0</v>
      </c>
      <c r="J583" s="1824">
        <f t="shared" ref="J583:J614" si="47">IF(C583="OF","OF",G583*SQRT(1-(I583/H583)^2))</f>
        <v>240.2705825904784</v>
      </c>
      <c r="L583" s="143"/>
      <c r="M583" s="190"/>
      <c r="P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C583" s="73"/>
      <c r="AD583" s="73"/>
      <c r="AF583" s="73"/>
      <c r="AH583" s="143"/>
      <c r="AI583" s="143"/>
      <c r="AJ583" s="143"/>
      <c r="AK583" s="143"/>
      <c r="AL583" s="143"/>
      <c r="AM583" s="143"/>
      <c r="AN583" s="143"/>
      <c r="AO583" s="143"/>
      <c r="AP583" s="143"/>
      <c r="AQ583" s="143"/>
      <c r="AR583" s="143"/>
      <c r="AS583" s="143"/>
    </row>
    <row r="584" spans="1:45" ht="15" customHeight="1">
      <c r="A584" s="482" t="str">
        <f t="shared" si="43"/>
        <v>101j</v>
      </c>
      <c r="B584" s="1016" t="str">
        <f t="shared" si="44"/>
        <v>Negative</v>
      </c>
      <c r="C584" s="794" t="str">
        <f t="shared" si="45"/>
        <v>BF</v>
      </c>
      <c r="D584" s="21">
        <f t="shared" si="46"/>
        <v>46.333333333333336</v>
      </c>
      <c r="E584" s="21">
        <f>0.95*SQRT(Es*L517/(M450-0.3)/input!BI4)</f>
        <v>44.096627763151794</v>
      </c>
      <c r="F584" s="21">
        <f>0.57*SQRT(Es*L517/input!BI4/M450)</f>
        <v>22.136331451344027</v>
      </c>
      <c r="G584" s="21">
        <f>IF(D584&lt;=F584,1*O317*M450*input!BI4,IF(D584&lt;=E584,1*O317*input!BI4*(M450-(M450-(M450-0.3)/O317)*((D584-F584)/(E584-F584))),0.9*Es*1*L517/D584/D584))</f>
        <v>240.2705825904784</v>
      </c>
      <c r="H584" s="21">
        <f>IF(D584&lt;=1.12*SQRT(Es*M517/input!BI4),0.58*input!BI4,IF(D584&lt;=1.4*SQRT(Es*M517/input!BI4),0.65*SQRT(input!BI4*Es*M517)/D584,0.9*Es*M517/D584/D584))</f>
        <v>130.94050894116066</v>
      </c>
      <c r="I584" s="21">
        <f t="shared" ref="I584:I614" si="48">L450</f>
        <v>8.8452992541643675E-3</v>
      </c>
      <c r="J584" s="1824">
        <f t="shared" si="47"/>
        <v>240.27058204226756</v>
      </c>
      <c r="L584" s="143"/>
      <c r="M584" s="190"/>
      <c r="P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C584" s="73"/>
      <c r="AD584" s="73"/>
      <c r="AF584" s="73"/>
      <c r="AH584" s="143"/>
      <c r="AI584" s="143"/>
      <c r="AJ584" s="143"/>
      <c r="AK584" s="143"/>
      <c r="AL584" s="143"/>
      <c r="AM584" s="143"/>
      <c r="AN584" s="143"/>
      <c r="AO584" s="143"/>
      <c r="AP584" s="143"/>
      <c r="AQ584" s="143"/>
      <c r="AR584" s="143"/>
      <c r="AS584" s="143"/>
    </row>
    <row r="585" spans="1:45" ht="15" customHeight="1">
      <c r="A585" s="482" t="str">
        <f t="shared" si="43"/>
        <v>102i</v>
      </c>
      <c r="B585" s="1016" t="str">
        <f t="shared" si="44"/>
        <v>Negative</v>
      </c>
      <c r="C585" s="794" t="str">
        <f t="shared" si="45"/>
        <v>BF</v>
      </c>
      <c r="D585" s="21">
        <f t="shared" si="46"/>
        <v>46.333333333333336</v>
      </c>
      <c r="E585" s="21">
        <f>0.95*SQRT(Es*L518/(M451-0.3)/input!BI5)</f>
        <v>44.09664004037451</v>
      </c>
      <c r="F585" s="21">
        <f>0.57*SQRT(Es*L518/input!BI5/M451)</f>
        <v>22.13633576552531</v>
      </c>
      <c r="G585" s="21">
        <f>IF(D585&lt;=F585,1*O318*M451*input!BI5,IF(D585&lt;=E585,1*O318*input!BI5*(M451-(M451-(M451-0.3)/O318)*((D585-F585)/(E585-F585))),0.9*Es*1*L518/D585/D585))</f>
        <v>240.2705825904784</v>
      </c>
      <c r="H585" s="21">
        <f>IF(D585&lt;=1.12*SQRT(Es*M518/input!BI5),0.58*input!BI5,IF(D585&lt;=1.4*SQRT(Es*M518/input!BI5),0.65*SQRT(input!BI5*Es*M518)/D585,0.9*Es*M518/D585/D585))</f>
        <v>130.94050894116066</v>
      </c>
      <c r="I585" s="21">
        <f t="shared" si="48"/>
        <v>0.33562996614412571</v>
      </c>
      <c r="J585" s="1824">
        <f t="shared" si="47"/>
        <v>240.26979328570704</v>
      </c>
      <c r="L585" s="143"/>
      <c r="M585" s="190"/>
      <c r="P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C585" s="73"/>
      <c r="AD585" s="73"/>
      <c r="AF585" s="73"/>
      <c r="AH585" s="143"/>
      <c r="AI585" s="143"/>
      <c r="AJ585" s="143"/>
      <c r="AK585" s="143"/>
      <c r="AL585" s="143"/>
      <c r="AM585" s="143"/>
      <c r="AN585" s="143"/>
      <c r="AO585" s="143"/>
      <c r="AP585" s="143"/>
      <c r="AQ585" s="143"/>
      <c r="AR585" s="143"/>
      <c r="AS585" s="143"/>
    </row>
    <row r="586" spans="1:45" ht="15" customHeight="1">
      <c r="A586" s="482" t="str">
        <f t="shared" si="43"/>
        <v>102j</v>
      </c>
      <c r="B586" s="1016" t="str">
        <f t="shared" si="44"/>
        <v>Positive</v>
      </c>
      <c r="C586" s="794" t="str">
        <f t="shared" si="45"/>
        <v>OF</v>
      </c>
      <c r="D586" s="21">
        <f t="shared" si="46"/>
        <v>22.727272727272727</v>
      </c>
      <c r="E586" s="21">
        <f>0.95*SQRT(Es*L519/(M452-0.3)/input!BI6)</f>
        <v>53.385396881631777</v>
      </c>
      <c r="F586" s="21">
        <f>0.57*SQRT(Es*L519/input!BI6/M452)</f>
        <v>26.799255696323375</v>
      </c>
      <c r="G586" s="21">
        <f>IF(D586&lt;=F586,1*O319*M452*input!BI6,IF(D586&lt;=E586,1*O319*input!BI6*(M452-(M452-(M452-0.3)/O319)*((D586-F586)/(E586-F586))),0.9*Es*1*L519/D586/D586))</f>
        <v>379.51905124209537</v>
      </c>
      <c r="H586" s="21">
        <f>IF(D586&lt;=1.12*SQRT(Es*M519/input!BI6),0.58*input!BI6,IF(D586&lt;=1.4*SQRT(Es*M519/input!BI6),0.65*SQRT(input!BI6*Es*M519)/D586,0.9*Es*M519/D586/D586))</f>
        <v>220.39999999999998</v>
      </c>
      <c r="I586" s="21">
        <f t="shared" si="48"/>
        <v>0.20633670805623422</v>
      </c>
      <c r="J586" s="1824" t="str">
        <f t="shared" si="47"/>
        <v>OF</v>
      </c>
      <c r="L586" s="143"/>
      <c r="M586" s="190"/>
      <c r="P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C586" s="73"/>
      <c r="AD586" s="73"/>
      <c r="AF586" s="73"/>
      <c r="AH586" s="143"/>
      <c r="AI586" s="143"/>
      <c r="AJ586" s="143"/>
      <c r="AK586" s="143"/>
      <c r="AL586" s="143"/>
      <c r="AM586" s="143"/>
      <c r="AN586" s="143"/>
      <c r="AO586" s="143"/>
      <c r="AP586" s="143"/>
      <c r="AQ586" s="143"/>
      <c r="AR586" s="143"/>
      <c r="AS586" s="143"/>
    </row>
    <row r="587" spans="1:45" ht="15" customHeight="1">
      <c r="A587" s="482" t="str">
        <f t="shared" si="43"/>
        <v>103i</v>
      </c>
      <c r="B587" s="1016" t="str">
        <f t="shared" si="44"/>
        <v>Positive</v>
      </c>
      <c r="C587" s="794" t="str">
        <f t="shared" si="45"/>
        <v>OF</v>
      </c>
      <c r="D587" s="21">
        <f t="shared" si="46"/>
        <v>16.666666666666668</v>
      </c>
      <c r="E587" s="21">
        <f>0.95*SQRT(Es*L520/(M453-0.3)/input!BI7)</f>
        <v>53.385393793379954</v>
      </c>
      <c r="F587" s="21">
        <f>0.57*SQRT(Es*L520/input!BI7/M453)</f>
        <v>26.799254611120372</v>
      </c>
      <c r="G587" s="21">
        <f>IF(D587&lt;=F587,1*O320*M453*input!BI7,IF(D587&lt;=E587,1*O320*input!BI7*(M453-(M453-(M453-0.3)/O320)*((D587-F587)/(E587-F587))),0.9*Es*1*L520/D587/D587))</f>
        <v>379.59823864278871</v>
      </c>
      <c r="H587" s="21">
        <f>IF(D587&lt;=1.12*SQRT(Es*M520/input!BI7),0.58*input!BI7,IF(D587&lt;=1.4*SQRT(Es*M520/input!BI7),0.65*SQRT(input!BI7*Es*M520)/D587,0.9*Es*M520/D587/D587))</f>
        <v>220.39999999999998</v>
      </c>
      <c r="I587" s="21">
        <f t="shared" si="48"/>
        <v>0.13851222966903889</v>
      </c>
      <c r="J587" s="1824" t="str">
        <f t="shared" si="47"/>
        <v>OF</v>
      </c>
      <c r="L587" s="143"/>
      <c r="M587" s="190"/>
      <c r="P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C587" s="73"/>
      <c r="AD587" s="73"/>
      <c r="AF587" s="73"/>
      <c r="AH587" s="143"/>
      <c r="AI587" s="143"/>
      <c r="AJ587" s="143"/>
      <c r="AK587" s="143"/>
      <c r="AL587" s="143"/>
      <c r="AM587" s="143"/>
      <c r="AN587" s="143"/>
      <c r="AO587" s="143"/>
      <c r="AP587" s="143"/>
      <c r="AQ587" s="143"/>
      <c r="AR587" s="143"/>
      <c r="AS587" s="143"/>
    </row>
    <row r="588" spans="1:45" ht="15" customHeight="1">
      <c r="A588" s="482" t="str">
        <f t="shared" si="43"/>
        <v>103j</v>
      </c>
      <c r="B588" s="1016" t="str">
        <f t="shared" si="44"/>
        <v>Positive</v>
      </c>
      <c r="C588" s="794" t="str">
        <f t="shared" si="45"/>
        <v>OF</v>
      </c>
      <c r="D588" s="21">
        <f t="shared" si="46"/>
        <v>16.666666666666668</v>
      </c>
      <c r="E588" s="21">
        <f>0.95*SQRT(Es*L521/(M454-0.3)/input!BI8)</f>
        <v>53.385393410239047</v>
      </c>
      <c r="F588" s="21">
        <f>0.57*SQRT(Es*L521/input!BI8/M454)</f>
        <v>26.799254476485732</v>
      </c>
      <c r="G588" s="21">
        <f>IF(D588&lt;=F588,1*O321*M454*input!BI8,IF(D588&lt;=E588,1*O321*input!BI8*(M454-(M454-(M454-0.3)/O321)*((D588-F588)/(E588-F588))),0.9*Es*1*L521/D588/D588))</f>
        <v>379.59824245685542</v>
      </c>
      <c r="H588" s="21">
        <f>IF(D588&lt;=1.12*SQRT(Es*M521/input!BI8),0.58*input!BI8,IF(D588&lt;=1.4*SQRT(Es*M521/input!BI8),0.65*SQRT(input!BI8*Es*M521)/D588,0.9*Es*M521/D588/D588))</f>
        <v>220.39999999999998</v>
      </c>
      <c r="I588" s="21">
        <f t="shared" si="48"/>
        <v>0.12760830511987836</v>
      </c>
      <c r="J588" s="1824" t="str">
        <f t="shared" si="47"/>
        <v>OF</v>
      </c>
      <c r="L588" s="143"/>
      <c r="M588" s="190"/>
      <c r="P588" s="73"/>
      <c r="Q588" s="73"/>
      <c r="R588" s="73"/>
      <c r="S588" s="73"/>
      <c r="T588" s="73"/>
      <c r="U588" s="73"/>
      <c r="V588" s="73"/>
      <c r="Y588" s="143"/>
      <c r="AB588" s="143"/>
      <c r="AD588" s="143"/>
      <c r="AE588" s="143"/>
      <c r="AF588" s="143"/>
      <c r="AG588" s="143"/>
      <c r="AH588" s="143"/>
      <c r="AI588" s="143"/>
      <c r="AJ588" s="143"/>
      <c r="AK588" s="143"/>
      <c r="AL588" s="143"/>
      <c r="AM588" s="143"/>
      <c r="AN588" s="143"/>
      <c r="AO588" s="143"/>
      <c r="AP588" s="143"/>
      <c r="AQ588" s="143"/>
      <c r="AR588" s="143"/>
      <c r="AS588" s="143"/>
    </row>
    <row r="589" spans="1:45" ht="15" customHeight="1">
      <c r="A589" s="482" t="str">
        <f t="shared" si="43"/>
        <v>104i</v>
      </c>
      <c r="B589" s="1016" t="str">
        <f t="shared" si="44"/>
        <v>Positive</v>
      </c>
      <c r="C589" s="794" t="str">
        <f t="shared" si="45"/>
        <v>OF</v>
      </c>
      <c r="D589" s="21">
        <f t="shared" si="46"/>
        <v>16.666666666666668</v>
      </c>
      <c r="E589" s="21">
        <f>0.95*SQRT(Es*L522/(M455-0.3)/input!BI9)</f>
        <v>53.385392204463891</v>
      </c>
      <c r="F589" s="21">
        <f>0.57*SQRT(Es*L522/input!BI9/M455)</f>
        <v>26.799254052779713</v>
      </c>
      <c r="G589" s="21">
        <f>IF(D589&lt;=F589,1*O322*M455*input!BI9,IF(D589&lt;=E589,1*O322*input!BI9*(M455-(M455-(M455-0.3)/O322)*((D589-F589)/(E589-F589))),0.9*Es*1*L522/D589/D589))</f>
        <v>379.59825446002986</v>
      </c>
      <c r="H589" s="21">
        <f>IF(D589&lt;=1.12*SQRT(Es*M522/input!BI9),0.58*input!BI9,IF(D589&lt;=1.4*SQRT(Es*M522/input!BI9),0.65*SQRT(input!BI9*Es*M522)/D589,0.9*Es*M522/D589/D589))</f>
        <v>220.39999999999998</v>
      </c>
      <c r="I589" s="21">
        <f t="shared" si="48"/>
        <v>8.4568391717911501E-2</v>
      </c>
      <c r="J589" s="1824" t="str">
        <f t="shared" si="47"/>
        <v>OF</v>
      </c>
      <c r="L589" s="143"/>
      <c r="M589" s="190"/>
      <c r="P589" s="73"/>
      <c r="Q589" s="73"/>
      <c r="R589" s="73"/>
      <c r="S589" s="73"/>
      <c r="T589" s="73"/>
      <c r="U589" s="73"/>
      <c r="V589" s="73"/>
      <c r="Y589" s="143"/>
      <c r="AB589" s="143"/>
      <c r="AD589" s="143"/>
      <c r="AE589" s="143"/>
      <c r="AF589" s="143"/>
      <c r="AG589" s="143"/>
      <c r="AH589" s="143"/>
      <c r="AI589" s="143"/>
      <c r="AJ589" s="143"/>
      <c r="AK589" s="143"/>
      <c r="AL589" s="143"/>
      <c r="AM589" s="143"/>
      <c r="AN589" s="143"/>
      <c r="AO589" s="143"/>
      <c r="AP589" s="143"/>
      <c r="AQ589" s="143"/>
      <c r="AR589" s="143"/>
      <c r="AS589" s="143"/>
    </row>
    <row r="590" spans="1:45" ht="15" customHeight="1">
      <c r="A590" s="482" t="str">
        <f t="shared" si="43"/>
        <v>104j</v>
      </c>
      <c r="B590" s="1016" t="str">
        <f t="shared" si="44"/>
        <v>Positive</v>
      </c>
      <c r="C590" s="794" t="str">
        <f t="shared" si="45"/>
        <v>OF</v>
      </c>
      <c r="D590" s="21">
        <f t="shared" si="46"/>
        <v>16.666666666666668</v>
      </c>
      <c r="E590" s="21">
        <f>0.95*SQRT(Es*L523/(M456-0.3)/input!BI10)</f>
        <v>53.385391903704779</v>
      </c>
      <c r="F590" s="21">
        <f>0.57*SQRT(Es*L523/input!BI10/M456)</f>
        <v>26.799253947093803</v>
      </c>
      <c r="G590" s="21">
        <f>IF(D590&lt;=F590,1*O323*M456*input!BI10,IF(D590&lt;=E590,1*O323*input!BI10*(M456-(M456-(M456-0.3)/O323)*((D590-F590)/(E590-F590))),0.9*Es*1*L523/D590/D590))</f>
        <v>379.59825745400786</v>
      </c>
      <c r="H590" s="21">
        <f>IF(D590&lt;=1.12*SQRT(Es*M523/input!BI10),0.58*input!BI10,IF(D590&lt;=1.4*SQRT(Es*M523/input!BI10),0.65*SQRT(input!BI10*Es*M523)/D590,0.9*Es*M523/D590/D590))</f>
        <v>220.39999999999998</v>
      </c>
      <c r="I590" s="21">
        <f t="shared" si="48"/>
        <v>6.9813906354361008E-2</v>
      </c>
      <c r="J590" s="1824" t="str">
        <f t="shared" si="47"/>
        <v>OF</v>
      </c>
      <c r="L590" s="143"/>
      <c r="M590" s="190"/>
      <c r="P590" s="73"/>
      <c r="Q590" s="122"/>
      <c r="R590" s="73"/>
      <c r="S590" s="73"/>
      <c r="T590" s="73"/>
      <c r="U590" s="73"/>
      <c r="V590" s="73"/>
      <c r="Y590" s="143"/>
      <c r="AB590" s="143"/>
      <c r="AD590" s="143"/>
      <c r="AE590" s="143"/>
      <c r="AF590" s="143"/>
      <c r="AG590" s="143"/>
      <c r="AH590" s="143"/>
      <c r="AI590" s="143"/>
      <c r="AJ590" s="143"/>
      <c r="AK590" s="143"/>
      <c r="AL590" s="143"/>
      <c r="AM590" s="143"/>
      <c r="AN590" s="143"/>
      <c r="AO590" s="143"/>
      <c r="AP590" s="143"/>
      <c r="AQ590" s="143"/>
      <c r="AR590" s="143"/>
      <c r="AS590" s="143"/>
    </row>
    <row r="591" spans="1:45" ht="15" customHeight="1">
      <c r="A591" s="482" t="str">
        <f t="shared" si="43"/>
        <v>105i</v>
      </c>
      <c r="B591" s="1016" t="str">
        <f t="shared" si="44"/>
        <v>Positive</v>
      </c>
      <c r="C591" s="794" t="str">
        <f t="shared" si="45"/>
        <v>OF</v>
      </c>
      <c r="D591" s="21">
        <f t="shared" si="46"/>
        <v>13.157894736842104</v>
      </c>
      <c r="E591" s="21">
        <f>0.95*SQRT(Es*L524/(M457-0.3)/input!BI11)</f>
        <v>53.385391657872802</v>
      </c>
      <c r="F591" s="21">
        <f>0.57*SQRT(Es*L524/input!BI11/M457)</f>
        <v>26.799253860709133</v>
      </c>
      <c r="G591" s="21">
        <f>IF(D591&lt;=F591,1*O324*M457*input!BI11,IF(D591&lt;=E591,1*O324*input!BI11*(M457-(M457-(M457-0.3)/O324)*((D591-F591)/(E591-F591))),0.9*Es*1*L524/D591/D591))</f>
        <v>379.6407262407015</v>
      </c>
      <c r="H591" s="21">
        <f>IF(D591&lt;=1.12*SQRT(Es*M524/input!BI11),0.58*input!BI11,IF(D591&lt;=1.4*SQRT(Es*M524/input!BI11),0.65*SQRT(input!BI11*Es*M524)/D591,0.9*Es*M524/D591/D591))</f>
        <v>220.39999999999998</v>
      </c>
      <c r="I591" s="21">
        <f t="shared" si="48"/>
        <v>5.4883027859303907E-2</v>
      </c>
      <c r="J591" s="1824" t="str">
        <f t="shared" si="47"/>
        <v>OF</v>
      </c>
      <c r="L591" s="143"/>
      <c r="M591" s="190"/>
      <c r="P591" s="73"/>
      <c r="Q591" s="73"/>
      <c r="R591" s="73"/>
      <c r="S591" s="73"/>
      <c r="T591" s="73"/>
      <c r="U591" s="73"/>
      <c r="V591" s="73"/>
      <c r="Y591" s="143"/>
      <c r="AB591" s="143"/>
      <c r="AD591" s="143"/>
      <c r="AE591" s="143"/>
      <c r="AF591" s="143"/>
      <c r="AG591" s="143"/>
      <c r="AH591" s="143"/>
      <c r="AI591" s="143"/>
      <c r="AJ591" s="143"/>
      <c r="AK591" s="143"/>
      <c r="AL591" s="143"/>
      <c r="AM591" s="143"/>
      <c r="AN591" s="143"/>
      <c r="AO591" s="143"/>
      <c r="AP591" s="143"/>
      <c r="AQ591" s="143"/>
      <c r="AR591" s="143"/>
      <c r="AS591" s="143"/>
    </row>
    <row r="592" spans="1:45" ht="15" customHeight="1">
      <c r="A592" s="482" t="str">
        <f t="shared" si="43"/>
        <v>105j</v>
      </c>
      <c r="B592" s="1016" t="str">
        <f t="shared" si="44"/>
        <v>Positive</v>
      </c>
      <c r="C592" s="794" t="str">
        <f t="shared" si="45"/>
        <v>OF</v>
      </c>
      <c r="D592" s="21">
        <f t="shared" si="46"/>
        <v>13.157894736842104</v>
      </c>
      <c r="E592" s="21">
        <f>0.95*SQRT(Es*L525/(M458-0.3)/input!BI12)</f>
        <v>53.385391507529796</v>
      </c>
      <c r="F592" s="21">
        <f>0.57*SQRT(Es*L525/input!BI12/M458)</f>
        <v>26.799253807879023</v>
      </c>
      <c r="G592" s="21">
        <f>IF(D592&lt;=F592,1*O325*M458*input!BI12,IF(D592&lt;=E592,1*O325*input!BI12*(M458-(M458-(M458-0.3)/O325)*((D592-F592)/(E592-F592))),0.9*Es*1*L525/D592/D592))</f>
        <v>379.64072773749405</v>
      </c>
      <c r="H592" s="21">
        <f>IF(D592&lt;=1.12*SQRT(Es*M525/input!BI12),0.58*input!BI12,IF(D592&lt;=1.4*SQRT(Es*M525/input!BI12),0.65*SQRT(input!BI12*Es*M525)/D592,0.9*Es*M525/D592/D592))</f>
        <v>220.39999999999998</v>
      </c>
      <c r="I592" s="21">
        <f t="shared" si="48"/>
        <v>4.3284037435430404E-2</v>
      </c>
      <c r="J592" s="1824" t="str">
        <f t="shared" si="47"/>
        <v>OF</v>
      </c>
      <c r="L592" s="143"/>
      <c r="M592" s="190"/>
      <c r="P592" s="73"/>
      <c r="Q592" s="73"/>
      <c r="R592" s="73"/>
      <c r="S592" s="73"/>
      <c r="T592" s="73"/>
      <c r="U592" s="73"/>
      <c r="V592" s="73"/>
      <c r="Y592" s="143"/>
      <c r="AB592" s="143"/>
      <c r="AD592" s="143"/>
      <c r="AE592" s="143"/>
      <c r="AF592" s="143"/>
      <c r="AG592" s="143"/>
      <c r="AH592" s="143"/>
      <c r="AI592" s="143"/>
      <c r="AJ592" s="143"/>
      <c r="AK592" s="143"/>
      <c r="AL592" s="143"/>
      <c r="AM592" s="143"/>
      <c r="AN592" s="143"/>
      <c r="AO592" s="143"/>
      <c r="AP592" s="143"/>
      <c r="AQ592" s="143"/>
      <c r="AR592" s="143"/>
      <c r="AS592" s="143"/>
    </row>
    <row r="593" spans="1:45" ht="15" customHeight="1">
      <c r="A593" s="482" t="str">
        <f t="shared" si="43"/>
        <v>106i</v>
      </c>
      <c r="B593" s="1016" t="str">
        <f t="shared" si="44"/>
        <v>Positive</v>
      </c>
      <c r="C593" s="794" t="str">
        <f t="shared" si="45"/>
        <v>OF</v>
      </c>
      <c r="D593" s="21">
        <f t="shared" si="46"/>
        <v>13.157894736842104</v>
      </c>
      <c r="E593" s="21">
        <f>0.95*SQRT(Es*L526/(M459-0.3)/input!BI13)</f>
        <v>53.385391322485866</v>
      </c>
      <c r="F593" s="21">
        <f>0.57*SQRT(Es*L526/input!BI13/M459)</f>
        <v>26.799253742855093</v>
      </c>
      <c r="G593" s="21">
        <f>IF(D593&lt;=F593,1*O326*M459*input!BI13,IF(D593&lt;=E593,1*O326*input!BI13*(M459-(M459-(M459-0.3)/O326)*((D593-F593)/(E593-F593))),0.9*Es*1*L526/D593/D593))</f>
        <v>379.64072957976407</v>
      </c>
      <c r="H593" s="21">
        <f>IF(D593&lt;=1.12*SQRT(Es*M526/input!BI13),0.58*input!BI13,IF(D593&lt;=1.4*SQRT(Es*M526/input!BI13),0.65*SQRT(input!BI13*Es*M526)/D593,0.9*Es*M526/D593/D593))</f>
        <v>220.39999999999998</v>
      </c>
      <c r="I593" s="21">
        <f t="shared" si="48"/>
        <v>2.1726889379353298E-2</v>
      </c>
      <c r="J593" s="1824" t="str">
        <f t="shared" si="47"/>
        <v>OF</v>
      </c>
      <c r="L593" s="143"/>
      <c r="M593" s="190"/>
      <c r="P593" s="73"/>
      <c r="Q593" s="73"/>
      <c r="R593" s="73"/>
      <c r="S593" s="73"/>
      <c r="T593" s="73"/>
      <c r="U593" s="73"/>
      <c r="V593" s="73"/>
      <c r="Y593" s="143"/>
      <c r="AB593" s="143"/>
      <c r="AD593" s="143"/>
      <c r="AE593" s="143"/>
      <c r="AF593" s="143"/>
      <c r="AG593" s="143"/>
      <c r="AH593" s="143"/>
      <c r="AI593" s="143"/>
      <c r="AJ593" s="143"/>
      <c r="AK593" s="143"/>
      <c r="AL593" s="143"/>
      <c r="AM593" s="143"/>
      <c r="AN593" s="143"/>
      <c r="AO593" s="143"/>
      <c r="AP593" s="143"/>
      <c r="AQ593" s="143"/>
      <c r="AR593" s="143"/>
      <c r="AS593" s="143"/>
    </row>
    <row r="594" spans="1:45" ht="15" customHeight="1">
      <c r="A594" s="482" t="str">
        <f t="shared" si="43"/>
        <v>106j</v>
      </c>
      <c r="B594" s="1016" t="str">
        <f t="shared" si="44"/>
        <v>Positive</v>
      </c>
      <c r="C594" s="794" t="str">
        <f t="shared" si="45"/>
        <v>OF</v>
      </c>
      <c r="D594" s="21">
        <f t="shared" si="46"/>
        <v>13.157894736842104</v>
      </c>
      <c r="E594" s="21">
        <f>0.95*SQRT(Es*L527/(M460-0.3)/input!BI14)</f>
        <v>53.385391273700208</v>
      </c>
      <c r="F594" s="21">
        <f>0.57*SQRT(Es*L527/input!BI14/M460)</f>
        <v>26.799253725711957</v>
      </c>
      <c r="G594" s="21">
        <f>IF(D594&lt;=F594,1*O327*M460*input!BI14,IF(D594&lt;=E594,1*O327*input!BI14*(M460-(M460-(M460-0.3)/O327)*((D594-F594)/(E594-F594))),0.9*Es*1*L527/D594/D594))</f>
        <v>379.64073006546676</v>
      </c>
      <c r="H594" s="21">
        <f>IF(D594&lt;=1.12*SQRT(Es*M527/input!BI14),0.58*input!BI14,IF(D594&lt;=1.4*SQRT(Es*M527/input!BI14),0.65*SQRT(input!BI14*Es*M527)/D594,0.9*Es*M527/D594/D594))</f>
        <v>220.39999999999998</v>
      </c>
      <c r="I594" s="21">
        <f t="shared" si="48"/>
        <v>1.0127898955479794E-2</v>
      </c>
      <c r="J594" s="1824" t="str">
        <f t="shared" si="47"/>
        <v>OF</v>
      </c>
      <c r="L594" s="143"/>
      <c r="M594" s="190"/>
      <c r="P594" s="73"/>
      <c r="Q594" s="73"/>
      <c r="R594" s="73"/>
      <c r="S594" s="73"/>
      <c r="T594" s="73"/>
      <c r="U594" s="73"/>
      <c r="V594" s="73"/>
      <c r="Y594" s="143"/>
      <c r="AB594" s="143"/>
      <c r="AD594" s="143"/>
      <c r="AE594" s="143"/>
      <c r="AF594" s="143"/>
      <c r="AG594" s="143"/>
      <c r="AH594" s="143"/>
      <c r="AI594" s="143"/>
      <c r="AJ594" s="143"/>
      <c r="AK594" s="143"/>
      <c r="AL594" s="143"/>
      <c r="AM594" s="143"/>
      <c r="AN594" s="143"/>
      <c r="AO594" s="143"/>
      <c r="AP594" s="143"/>
      <c r="AQ594" s="143"/>
      <c r="AR594" s="143"/>
      <c r="AS594" s="143"/>
    </row>
    <row r="595" spans="1:45" ht="15" customHeight="1">
      <c r="A595" s="482" t="str">
        <f t="shared" si="43"/>
        <v>107i</v>
      </c>
      <c r="B595" s="1016" t="str">
        <f t="shared" si="44"/>
        <v>Positive</v>
      </c>
      <c r="C595" s="794" t="str">
        <f t="shared" si="45"/>
        <v>OF</v>
      </c>
      <c r="D595" s="21">
        <f t="shared" si="46"/>
        <v>15</v>
      </c>
      <c r="E595" s="21">
        <f>0.95*SQRT(Es*L528/(M461-0.3)/input!BI15)</f>
        <v>53.385391272345295</v>
      </c>
      <c r="F595" s="21">
        <f>0.57*SQRT(Es*L528/input!BI15/M461)</f>
        <v>26.799253725235843</v>
      </c>
      <c r="G595" s="21">
        <f>IF(D595&lt;=F595,1*O328*M461*input!BI15,IF(D595&lt;=E595,1*O328*input!BI15*(M461-(M461-(M461-0.3)/O328)*((D595-F595)/(E595-F595))),0.9*Es*1*L528/D595/D595))</f>
        <v>379.70896094331601</v>
      </c>
      <c r="H595" s="21">
        <f>IF(D595&lt;=1.12*SQRT(Es*M528/input!BI15),0.58*input!BI15,IF(D595&lt;=1.4*SQRT(Es*M528/input!BI15),0.65*SQRT(input!BI15*Es*M528)/D595,0.9*Es*M528/D595/D595))</f>
        <v>220.39999999999998</v>
      </c>
      <c r="I595" s="21">
        <f t="shared" si="48"/>
        <v>9.6079525936104415E-3</v>
      </c>
      <c r="J595" s="1824" t="str">
        <f t="shared" si="47"/>
        <v>OF</v>
      </c>
      <c r="L595" s="143"/>
      <c r="M595" s="190"/>
      <c r="P595" s="73"/>
      <c r="Q595" s="73"/>
      <c r="R595" s="73"/>
      <c r="S595" s="73"/>
      <c r="T595" s="73"/>
      <c r="U595" s="73"/>
      <c r="V595" s="73"/>
      <c r="Y595" s="143"/>
      <c r="AB595" s="143"/>
      <c r="AD595" s="143"/>
      <c r="AE595" s="143"/>
      <c r="AF595" s="143"/>
      <c r="AG595" s="143"/>
      <c r="AH595" s="143"/>
      <c r="AI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</row>
    <row r="596" spans="1:45" ht="15" customHeight="1">
      <c r="A596" s="482" t="str">
        <f t="shared" si="43"/>
        <v>107j</v>
      </c>
      <c r="B596" s="1016" t="str">
        <f t="shared" si="44"/>
        <v>Positive</v>
      </c>
      <c r="C596" s="794" t="str">
        <f t="shared" si="45"/>
        <v>OF</v>
      </c>
      <c r="D596" s="21">
        <f t="shared" si="46"/>
        <v>15</v>
      </c>
      <c r="E596" s="21">
        <f>0.95*SQRT(Es*L529/(M462-0.3)/input!BI16)</f>
        <v>53.385391260413712</v>
      </c>
      <c r="F596" s="21">
        <f>0.57*SQRT(Es*L529/input!BI16/M462)</f>
        <v>26.799253721043115</v>
      </c>
      <c r="G596" s="21">
        <f>IF(D596&lt;=F596,1*O329*M462*input!BI16,IF(D596&lt;=E596,1*O329*input!BI16*(M462-(M462-(M462-0.3)/O329)*((D596-F596)/(E596-F596))),0.9*Es*1*L529/D596/D596))</f>
        <v>379.70896106212649</v>
      </c>
      <c r="H596" s="21">
        <f>IF(D596&lt;=1.12*SQRT(Es*M529/input!BI16),0.58*input!BI16,IF(D596&lt;=1.4*SQRT(Es*M529/input!BI16),0.65*SQRT(input!BI16*Es*M529)/D596,0.9*Es*M529/D596/D596))</f>
        <v>220.39999999999998</v>
      </c>
      <c r="I596" s="21">
        <f t="shared" si="48"/>
        <v>-1.3955685331501204E-3</v>
      </c>
      <c r="J596" s="1824" t="str">
        <f t="shared" si="47"/>
        <v>OF</v>
      </c>
      <c r="L596" s="143"/>
      <c r="M596" s="190"/>
      <c r="P596" s="73"/>
      <c r="Q596" s="73"/>
      <c r="R596" s="73"/>
      <c r="S596" s="73"/>
      <c r="T596" s="73"/>
      <c r="U596" s="73"/>
      <c r="V596" s="73"/>
      <c r="Y596" s="143"/>
      <c r="AB596" s="143"/>
      <c r="AD596" s="143"/>
      <c r="AE596" s="143"/>
      <c r="AF596" s="143"/>
      <c r="AG596" s="143"/>
      <c r="AH596" s="143"/>
      <c r="AI596" s="143"/>
      <c r="AJ596" s="143"/>
      <c r="AK596" s="143"/>
      <c r="AL596" s="143"/>
      <c r="AM596" s="143"/>
      <c r="AN596" s="143"/>
      <c r="AO596" s="143"/>
      <c r="AP596" s="143"/>
      <c r="AQ596" s="143"/>
      <c r="AR596" s="143"/>
      <c r="AS596" s="143"/>
    </row>
    <row r="597" spans="1:45" ht="15" customHeight="1">
      <c r="A597" s="482" t="str">
        <f t="shared" si="43"/>
        <v>108i</v>
      </c>
      <c r="B597" s="1016" t="str">
        <f t="shared" si="44"/>
        <v>Positive</v>
      </c>
      <c r="C597" s="794" t="str">
        <f t="shared" si="45"/>
        <v>OF</v>
      </c>
      <c r="D597" s="21">
        <f t="shared" si="46"/>
        <v>15</v>
      </c>
      <c r="E597" s="21">
        <f>0.95*SQRT(Es*L530/(M463-0.3)/input!BI17)</f>
        <v>53.385391434252412</v>
      </c>
      <c r="F597" s="21">
        <f>0.57*SQRT(Es*L530/input!BI17/M463)</f>
        <v>26.799253782129554</v>
      </c>
      <c r="G597" s="21">
        <f>IF(D597&lt;=F597,1*O330*M463*input!BI17,IF(D597&lt;=E597,1*O330*input!BI17*(M463-(M463-(M463-0.3)/O330)*((D597-F597)/(E597-F597))),0.9*Es*1*L530/D597/D597))</f>
        <v>379.70895933110307</v>
      </c>
      <c r="H597" s="21">
        <f>IF(D597&lt;=1.12*SQRT(Es*M530/input!BI17),0.58*input!BI17,IF(D597&lt;=1.4*SQRT(Es*M530/input!BI17),0.65*SQRT(input!BI17*Es*M530)/D597,0.9*Es*M530/D597/D597))</f>
        <v>220.39999999999998</v>
      </c>
      <c r="I597" s="21">
        <f t="shared" si="48"/>
        <v>-3.6311619718309859E-2</v>
      </c>
      <c r="J597" s="1824" t="str">
        <f t="shared" si="47"/>
        <v>OF</v>
      </c>
      <c r="L597" s="143"/>
      <c r="M597" s="190"/>
      <c r="P597" s="73"/>
      <c r="Q597" s="73"/>
      <c r="R597" s="73"/>
      <c r="S597" s="122"/>
      <c r="T597" s="73"/>
      <c r="U597" s="73"/>
      <c r="V597" s="73"/>
      <c r="Y597" s="143"/>
      <c r="AB597" s="143"/>
      <c r="AD597" s="143"/>
      <c r="AE597" s="143"/>
      <c r="AF597" s="143"/>
      <c r="AG597" s="143"/>
      <c r="AH597" s="143"/>
      <c r="AI597" s="143"/>
      <c r="AJ597" s="143"/>
      <c r="AK597" s="143"/>
      <c r="AL597" s="143"/>
      <c r="AM597" s="143"/>
      <c r="AN597" s="143"/>
      <c r="AO597" s="143"/>
      <c r="AP597" s="143"/>
      <c r="AQ597" s="143"/>
      <c r="AR597" s="143"/>
      <c r="AS597" s="143"/>
    </row>
    <row r="598" spans="1:45" ht="15" customHeight="1">
      <c r="A598" s="482" t="str">
        <f t="shared" si="43"/>
        <v>108j</v>
      </c>
      <c r="B598" s="1016" t="str">
        <f t="shared" si="44"/>
        <v>Positive</v>
      </c>
      <c r="C598" s="794" t="str">
        <f t="shared" si="45"/>
        <v>OF</v>
      </c>
      <c r="D598" s="21">
        <f t="shared" si="46"/>
        <v>15</v>
      </c>
      <c r="E598" s="21">
        <f>0.95*SQRT(Es*L531/(M464-0.3)/input!BI18)</f>
        <v>53.385391555751823</v>
      </c>
      <c r="F598" s="21">
        <f>0.57*SQRT(Es*L531/input!BI18/M464)</f>
        <v>26.799253824824103</v>
      </c>
      <c r="G598" s="21">
        <f>IF(D598&lt;=F598,1*O331*M464*input!BI18,IF(D598&lt;=E598,1*O331*input!BI18*(M464-(M464-(M464-0.3)/O331)*((D598-F598)/(E598-F598))),0.9*Es*1*L531/D598/D598))</f>
        <v>379.70895812125565</v>
      </c>
      <c r="H598" s="21">
        <f>IF(D598&lt;=1.12*SQRT(Es*M531/input!BI18),0.58*input!BI18,IF(D598&lt;=1.4*SQRT(Es*M531/input!BI18),0.65*SQRT(input!BI18*Es*M531)/D598,0.9*Es*M531/D598/D598))</f>
        <v>220.39999999999998</v>
      </c>
      <c r="I598" s="21">
        <f t="shared" si="48"/>
        <v>-4.7315140845070415E-2</v>
      </c>
      <c r="J598" s="1824" t="str">
        <f t="shared" si="47"/>
        <v>OF</v>
      </c>
      <c r="L598" s="143"/>
      <c r="M598" s="190"/>
      <c r="P598" s="73"/>
      <c r="Q598" s="73"/>
      <c r="R598" s="73"/>
      <c r="S598" s="122"/>
      <c r="T598" s="73"/>
      <c r="U598" s="73"/>
      <c r="V598" s="73"/>
      <c r="Y598" s="143"/>
      <c r="AB598" s="143"/>
      <c r="AD598" s="143"/>
      <c r="AE598" s="143"/>
      <c r="AF598" s="143"/>
      <c r="AG598" s="143"/>
      <c r="AH598" s="143"/>
      <c r="AI598" s="143"/>
      <c r="AJ598" s="143"/>
      <c r="AK598" s="143"/>
      <c r="AL598" s="143"/>
      <c r="AM598" s="143"/>
      <c r="AN598" s="143"/>
      <c r="AO598" s="143"/>
      <c r="AP598" s="143"/>
      <c r="AQ598" s="143"/>
      <c r="AR598" s="143"/>
      <c r="AS598" s="143"/>
    </row>
    <row r="599" spans="1:45" ht="15" customHeight="1">
      <c r="A599" s="482" t="str">
        <f t="shared" si="43"/>
        <v>109i</v>
      </c>
      <c r="B599" s="1016" t="str">
        <f t="shared" si="44"/>
        <v>Positive</v>
      </c>
      <c r="C599" s="794" t="str">
        <f t="shared" si="45"/>
        <v>OF</v>
      </c>
      <c r="D599" s="21">
        <f t="shared" si="46"/>
        <v>15</v>
      </c>
      <c r="E599" s="21">
        <f>0.95*SQRT(Es*L532/(M465-0.3)/input!BI19)</f>
        <v>53.385391555751823</v>
      </c>
      <c r="F599" s="21">
        <f>0.57*SQRT(Es*L532/input!BI19/M465)</f>
        <v>26.799253824824103</v>
      </c>
      <c r="G599" s="21">
        <f>IF(D599&lt;=F599,1*O332*M465*input!BI19,IF(D599&lt;=E599,1*O332*input!BI19*(M465-(M465-(M465-0.3)/O332)*((D599-F599)/(E599-F599))),0.9*Es*1*L532/D599/D599))</f>
        <v>379.70895812125565</v>
      </c>
      <c r="H599" s="21">
        <f>IF(D599&lt;=1.12*SQRT(Es*M532/input!BI19),0.58*input!BI19,IF(D599&lt;=1.4*SQRT(Es*M532/input!BI19),0.65*SQRT(input!BI19*Es*M532)/D599,0.9*Es*M532/D599/D599))</f>
        <v>220.39999999999998</v>
      </c>
      <c r="I599" s="21">
        <f t="shared" si="48"/>
        <v>-4.7315140845070415E-2</v>
      </c>
      <c r="J599" s="1824" t="str">
        <f t="shared" si="47"/>
        <v>OF</v>
      </c>
      <c r="L599" s="143"/>
      <c r="M599" s="190"/>
      <c r="P599" s="73"/>
      <c r="Q599" s="73"/>
      <c r="R599" s="73"/>
      <c r="S599" s="122"/>
      <c r="T599" s="73"/>
      <c r="U599" s="73"/>
      <c r="V599" s="73"/>
      <c r="Y599" s="143"/>
      <c r="AB599" s="143"/>
      <c r="AD599" s="143"/>
      <c r="AE599" s="143"/>
      <c r="AF599" s="143"/>
      <c r="AG599" s="143"/>
      <c r="AH599" s="143"/>
      <c r="AI599" s="143"/>
      <c r="AJ599" s="143"/>
      <c r="AK599" s="143"/>
      <c r="AL599" s="143"/>
      <c r="AM599" s="143"/>
      <c r="AN599" s="143"/>
      <c r="AO599" s="143"/>
      <c r="AP599" s="143"/>
      <c r="AQ599" s="143"/>
      <c r="AR599" s="143"/>
      <c r="AS599" s="143"/>
    </row>
    <row r="600" spans="1:45" ht="15" customHeight="1">
      <c r="A600" s="482" t="str">
        <f t="shared" si="43"/>
        <v>109j</v>
      </c>
      <c r="B600" s="1016" t="str">
        <f t="shared" si="44"/>
        <v>Positive</v>
      </c>
      <c r="C600" s="794" t="str">
        <f t="shared" si="45"/>
        <v>OF</v>
      </c>
      <c r="D600" s="21">
        <f t="shared" si="46"/>
        <v>15</v>
      </c>
      <c r="E600" s="21">
        <f>0.95*SQRT(Es*L533/(M466-0.3)/input!BI20)</f>
        <v>53.38539170922477</v>
      </c>
      <c r="F600" s="21">
        <f>0.57*SQRT(Es*L533/input!BI20/M466)</f>
        <v>26.799253878754069</v>
      </c>
      <c r="G600" s="21">
        <f>IF(D600&lt;=F600,1*O333*M466*input!BI20,IF(D600&lt;=E600,1*O333*input!BI20*(M466-(M466-(M466-0.3)/O333)*((D600-F600)/(E600-F600))),0.9*Es*1*L533/D600/D600))</f>
        <v>379.70895659302727</v>
      </c>
      <c r="H600" s="21">
        <f>IF(D600&lt;=1.12*SQRT(Es*M533/input!BI20),0.58*input!BI20,IF(D600&lt;=1.4*SQRT(Es*M533/input!BI20),0.65*SQRT(input!BI20*Es*M533)/D600,0.9*Es*M533/D600/D600))</f>
        <v>220.39999999999998</v>
      </c>
      <c r="I600" s="21">
        <f t="shared" si="48"/>
        <v>-5.8318661971830991E-2</v>
      </c>
      <c r="J600" s="1824" t="str">
        <f t="shared" si="47"/>
        <v>OF</v>
      </c>
      <c r="L600" s="143"/>
      <c r="M600" s="190"/>
      <c r="P600" s="73"/>
      <c r="Q600" s="73"/>
      <c r="R600" s="73"/>
      <c r="S600" s="122"/>
      <c r="T600" s="73"/>
      <c r="U600" s="73"/>
      <c r="V600" s="73"/>
      <c r="Y600" s="143"/>
      <c r="AB600" s="143"/>
      <c r="AD600" s="143"/>
      <c r="AE600" s="143"/>
      <c r="AF600" s="143"/>
      <c r="AG600" s="143"/>
      <c r="AH600" s="143"/>
      <c r="AI600" s="143"/>
      <c r="AJ600" s="143"/>
      <c r="AK600" s="143"/>
      <c r="AL600" s="143"/>
      <c r="AM600" s="143"/>
      <c r="AN600" s="143"/>
      <c r="AO600" s="143"/>
      <c r="AP600" s="143"/>
      <c r="AQ600" s="143"/>
      <c r="AR600" s="143"/>
      <c r="AS600" s="143"/>
    </row>
    <row r="601" spans="1:45" ht="15" customHeight="1">
      <c r="A601" s="482" t="str">
        <f t="shared" si="43"/>
        <v>110i</v>
      </c>
      <c r="B601" s="1016" t="str">
        <f t="shared" si="44"/>
        <v>Positive</v>
      </c>
      <c r="C601" s="794" t="str">
        <f t="shared" si="45"/>
        <v>OF</v>
      </c>
      <c r="D601" s="21">
        <f t="shared" si="46"/>
        <v>15</v>
      </c>
      <c r="E601" s="21">
        <f>0.95*SQRT(Es*L534/(M467-0.3)/input!BI21)</f>
        <v>53.385391272550436</v>
      </c>
      <c r="F601" s="21">
        <f>0.57*SQRT(Es*L534/input!BI21/M467)</f>
        <v>26.799253725307928</v>
      </c>
      <c r="G601" s="21">
        <f>IF(D601&lt;=F601,1*O334*M467*input!BI21,IF(D601&lt;=E601,1*O334*input!BI21*(M467-(M467-(M467-0.3)/O334)*((D601-F601)/(E601-F601))),0.9*Es*1*L534/D601/D601))</f>
        <v>379.70896094127335</v>
      </c>
      <c r="H601" s="21">
        <f>IF(D601&lt;=1.12*SQRT(Es*M534/input!BI21),0.58*input!BI21,IF(D601&lt;=1.4*SQRT(Es*M534/input!BI21),0.65*SQRT(input!BI21*Es*M534)/D601,0.9*Es*M534/D601/D601))</f>
        <v>220.39999999999998</v>
      </c>
      <c r="I601" s="21">
        <f t="shared" si="48"/>
        <v>9.6884661628306428E-3</v>
      </c>
      <c r="J601" s="1824" t="str">
        <f t="shared" si="47"/>
        <v>OF</v>
      </c>
      <c r="L601" s="143"/>
      <c r="M601" s="190"/>
      <c r="P601" s="73"/>
      <c r="Q601" s="73"/>
      <c r="R601" s="73"/>
      <c r="S601" s="122"/>
      <c r="T601" s="73"/>
      <c r="U601" s="73"/>
      <c r="V601" s="73"/>
      <c r="Y601" s="143"/>
      <c r="AB601" s="143"/>
      <c r="AD601" s="143"/>
      <c r="AE601" s="143"/>
      <c r="AF601" s="143"/>
      <c r="AG601" s="143"/>
      <c r="AH601" s="143"/>
      <c r="AI601" s="143"/>
      <c r="AJ601" s="143"/>
      <c r="AK601" s="143"/>
      <c r="AL601" s="143"/>
      <c r="AM601" s="143"/>
      <c r="AN601" s="143"/>
      <c r="AO601" s="143"/>
      <c r="AP601" s="143"/>
      <c r="AQ601" s="143"/>
      <c r="AR601" s="143"/>
      <c r="AS601" s="143"/>
    </row>
    <row r="602" spans="1:45" ht="15" customHeight="1">
      <c r="A602" s="482" t="str">
        <f t="shared" si="43"/>
        <v>110j</v>
      </c>
      <c r="B602" s="1016" t="str">
        <f t="shared" si="44"/>
        <v>Positive</v>
      </c>
      <c r="C602" s="794" t="str">
        <f t="shared" si="45"/>
        <v>OF</v>
      </c>
      <c r="D602" s="21">
        <f t="shared" si="46"/>
        <v>15</v>
      </c>
      <c r="E602" s="21">
        <f>0.95*SQRT(Es*L535/(M468-0.3)/input!BI22)</f>
        <v>53.3853912603849</v>
      </c>
      <c r="F602" s="21">
        <f>0.57*SQRT(Es*L535/input!BI22/M468)</f>
        <v>26.799253721032986</v>
      </c>
      <c r="G602" s="21">
        <f>IF(D602&lt;=F602,1*O335*M468*input!BI22,IF(D602&lt;=E602,1*O335*input!BI22*(M468-(M468-(M468-0.3)/O335)*((D602-F602)/(E602-F602))),0.9*Es*1*L535/D602/D602))</f>
        <v>379.70896106241338</v>
      </c>
      <c r="H602" s="21">
        <f>IF(D602&lt;=1.12*SQRT(Es*M535/input!BI22),0.58*input!BI22,IF(D602&lt;=1.4*SQRT(Es*M535/input!BI22),0.65*SQRT(input!BI22*Es*M535)/D602,0.9*Es*M535/D602/D602))</f>
        <v>220.39999999999998</v>
      </c>
      <c r="I602" s="21">
        <f t="shared" si="48"/>
        <v>-1.3150549639299204E-3</v>
      </c>
      <c r="J602" s="1824" t="str">
        <f t="shared" si="47"/>
        <v>OF</v>
      </c>
      <c r="L602" s="143"/>
      <c r="M602" s="190"/>
      <c r="P602" s="73"/>
      <c r="Q602" s="73"/>
      <c r="R602" s="73"/>
      <c r="S602" s="73"/>
      <c r="T602" s="73"/>
      <c r="U602" s="73"/>
      <c r="V602" s="73"/>
      <c r="Y602" s="143"/>
      <c r="AB602" s="143"/>
      <c r="AD602" s="143"/>
      <c r="AE602" s="143"/>
      <c r="AF602" s="143"/>
      <c r="AG602" s="143"/>
      <c r="AH602" s="143"/>
      <c r="AI602" s="143"/>
      <c r="AJ602" s="143"/>
      <c r="AK602" s="143"/>
      <c r="AL602" s="143"/>
      <c r="AM602" s="143"/>
      <c r="AN602" s="143"/>
      <c r="AO602" s="143"/>
      <c r="AP602" s="143"/>
      <c r="AQ602" s="143"/>
      <c r="AR602" s="143"/>
      <c r="AS602" s="143"/>
    </row>
    <row r="603" spans="1:45" ht="15" customHeight="1">
      <c r="A603" s="482" t="str">
        <f t="shared" si="43"/>
        <v>111i</v>
      </c>
      <c r="B603" s="1016" t="str">
        <f t="shared" si="44"/>
        <v>Positive</v>
      </c>
      <c r="C603" s="794" t="str">
        <f t="shared" si="45"/>
        <v>OF</v>
      </c>
      <c r="D603" s="21">
        <f t="shared" si="46"/>
        <v>15</v>
      </c>
      <c r="E603" s="21">
        <f>0.95*SQRT(Es*L536/(M469-0.3)/input!BI23)</f>
        <v>53.38539148893571</v>
      </c>
      <c r="F603" s="21">
        <f>0.57*SQRT(Es*L536/input!BI23/M469)</f>
        <v>26.79925380134511</v>
      </c>
      <c r="G603" s="21">
        <f>IF(D603&lt;=F603,1*O336*M469*input!BI23,IF(D603&lt;=E603,1*O336*input!BI23*(M469-(M469-(M469-0.3)/O336)*((D603-F603)/(E603-F603))),0.9*Es*1*L536/D603/D603))</f>
        <v>379.70895878658649</v>
      </c>
      <c r="H603" s="21">
        <f>IF(D603&lt;=1.12*SQRT(Es*M536/input!BI23),0.58*input!BI23,IF(D603&lt;=1.4*SQRT(Es*M536/input!BI23),0.65*SQRT(input!BI23*Es*M536)/D603,0.9*Es*M536/D603/D603))</f>
        <v>220.39999999999998</v>
      </c>
      <c r="I603" s="21">
        <f t="shared" si="48"/>
        <v>4.1625515286843009E-2</v>
      </c>
      <c r="J603" s="1824" t="str">
        <f t="shared" si="47"/>
        <v>OF</v>
      </c>
      <c r="L603" s="143"/>
      <c r="M603" s="190"/>
      <c r="P603" s="73"/>
      <c r="Q603" s="73"/>
      <c r="R603" s="73"/>
      <c r="S603" s="73"/>
      <c r="T603" s="73"/>
      <c r="U603" s="73"/>
      <c r="V603" s="73"/>
      <c r="Y603" s="143"/>
      <c r="AB603" s="143"/>
      <c r="AD603" s="143"/>
      <c r="AE603" s="143"/>
      <c r="AF603" s="143"/>
      <c r="AG603" s="143"/>
      <c r="AH603" s="143"/>
      <c r="AI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</row>
    <row r="604" spans="1:45" ht="15" customHeight="1">
      <c r="A604" s="482" t="str">
        <f t="shared" si="43"/>
        <v>111j</v>
      </c>
      <c r="B604" s="1016" t="str">
        <f t="shared" si="44"/>
        <v>Positive</v>
      </c>
      <c r="C604" s="794" t="str">
        <f t="shared" si="45"/>
        <v>OF</v>
      </c>
      <c r="D604" s="21">
        <f t="shared" si="46"/>
        <v>15</v>
      </c>
      <c r="E604" s="21">
        <f>0.95*SQRT(Es*L537/(M470-0.3)/input!BI24)</f>
        <v>53.385391383968958</v>
      </c>
      <c r="F604" s="21">
        <f>0.57*SQRT(Es*L537/input!BI24/M470)</f>
        <v>26.799253764460083</v>
      </c>
      <c r="G604" s="21">
        <f>IF(D604&lt;=F604,1*O337*M470*input!BI24,IF(D604&lt;=E604,1*O337*input!BI24*(M470-(M470-(M470-0.3)/O337)*((D604-F604)/(E604-F604))),0.9*Es*1*L537/D604/D604))</f>
        <v>379.7089598318077</v>
      </c>
      <c r="H604" s="21">
        <f>IF(D604&lt;=1.12*SQRT(Es*M537/input!BI24),0.58*input!BI24,IF(D604&lt;=1.4*SQRT(Es*M537/input!BI24),0.65*SQRT(input!BI24*Es*M537)/D604,0.9*Es*M537/D604/D604))</f>
        <v>220.39999999999998</v>
      </c>
      <c r="I604" s="21">
        <f t="shared" si="48"/>
        <v>3.0621994160082443E-2</v>
      </c>
      <c r="J604" s="1824" t="str">
        <f t="shared" si="47"/>
        <v>OF</v>
      </c>
      <c r="L604" s="143"/>
      <c r="M604" s="190"/>
      <c r="P604" s="73"/>
      <c r="Q604" s="73"/>
      <c r="R604" s="73"/>
      <c r="S604" s="73"/>
      <c r="T604" s="73"/>
      <c r="U604" s="73"/>
      <c r="V604" s="73"/>
      <c r="Y604" s="143"/>
      <c r="AB604" s="143"/>
      <c r="AD604" s="143"/>
      <c r="AE604" s="143"/>
      <c r="AF604" s="143"/>
      <c r="AG604" s="143"/>
      <c r="AH604" s="143"/>
      <c r="AI604" s="143"/>
      <c r="AJ604" s="143"/>
      <c r="AK604" s="143"/>
      <c r="AL604" s="143"/>
      <c r="AM604" s="143"/>
      <c r="AN604" s="143"/>
      <c r="AO604" s="143"/>
      <c r="AP604" s="143"/>
      <c r="AQ604" s="143"/>
      <c r="AR604" s="143"/>
      <c r="AS604" s="143"/>
    </row>
    <row r="605" spans="1:45" ht="15" customHeight="1">
      <c r="A605" s="482" t="str">
        <f t="shared" si="43"/>
        <v>112i</v>
      </c>
      <c r="B605" s="1016" t="str">
        <f t="shared" si="44"/>
        <v>Positive</v>
      </c>
      <c r="C605" s="794" t="str">
        <f t="shared" si="45"/>
        <v>OF</v>
      </c>
      <c r="D605" s="21">
        <f t="shared" si="46"/>
        <v>13.888888888888889</v>
      </c>
      <c r="E605" s="21">
        <f>0.95*SQRT(Es*L538/(M471-0.3)/input!BI25)</f>
        <v>53.385391413659285</v>
      </c>
      <c r="F605" s="21">
        <f>0.57*SQRT(Es*L538/input!BI25/M471)</f>
        <v>26.799253774893184</v>
      </c>
      <c r="G605" s="21">
        <f>IF(D605&lt;=F605,1*O338*M471*input!BI25,IF(D605&lt;=E605,1*O338*input!BI25*(M471-(M471-(M471-0.3)/O338)*((D605-F605)/(E605-F605))),0.9*Es*1*L538/D605/D605))</f>
        <v>379.62516224141785</v>
      </c>
      <c r="H605" s="21">
        <f>IF(D605&lt;=1.12*SQRT(Es*M538/input!BI25),0.58*input!BI25,IF(D605&lt;=1.4*SQRT(Es*M538/input!BI25),0.65*SQRT(input!BI25*Es*M538)/D605,0.9*Es*M538/D605/D605))</f>
        <v>220.39999999999998</v>
      </c>
      <c r="I605" s="21">
        <f t="shared" si="48"/>
        <v>3.4096472757246983E-2</v>
      </c>
      <c r="J605" s="1824" t="str">
        <f t="shared" si="47"/>
        <v>OF</v>
      </c>
      <c r="L605" s="143"/>
      <c r="M605" s="190"/>
      <c r="P605" s="73"/>
      <c r="Q605" s="73"/>
      <c r="R605" s="73"/>
      <c r="S605" s="73"/>
      <c r="T605" s="73"/>
      <c r="U605" s="73"/>
      <c r="V605" s="73"/>
      <c r="Y605" s="143"/>
      <c r="AB605" s="143"/>
      <c r="AD605" s="143"/>
      <c r="AE605" s="143"/>
      <c r="AF605" s="143"/>
      <c r="AG605" s="143"/>
      <c r="AH605" s="143"/>
      <c r="AI605" s="143"/>
      <c r="AJ605" s="143"/>
      <c r="AK605" s="143"/>
      <c r="AL605" s="143"/>
      <c r="AM605" s="143"/>
      <c r="AN605" s="143"/>
      <c r="AO605" s="143"/>
      <c r="AP605" s="143"/>
      <c r="AQ605" s="143"/>
      <c r="AR605" s="143"/>
      <c r="AS605" s="143"/>
    </row>
    <row r="606" spans="1:45" ht="15" customHeight="1">
      <c r="A606" s="482" t="str">
        <f t="shared" si="43"/>
        <v>112j</v>
      </c>
      <c r="B606" s="1016" t="str">
        <f t="shared" si="44"/>
        <v>Positive</v>
      </c>
      <c r="C606" s="794" t="str">
        <f t="shared" si="45"/>
        <v>OF</v>
      </c>
      <c r="D606" s="21">
        <f t="shared" si="46"/>
        <v>13.888888888888889</v>
      </c>
      <c r="E606" s="21">
        <f>0.95*SQRT(Es*L539/(M472-0.3)/input!BI26)</f>
        <v>53.385391323162217</v>
      </c>
      <c r="F606" s="21">
        <f>0.57*SQRT(Es*L539/input!BI26/M472)</f>
        <v>26.799253743092766</v>
      </c>
      <c r="G606" s="21">
        <f>IF(D606&lt;=F606,1*O339*M472*input!BI26,IF(D606&lt;=E606,1*O339*input!BI26*(M472-(M472-(M472-0.3)/O339)*((D606-F606)/(E606-F606))),0.9*Es*1*L539/D606/D606))</f>
        <v>379.62516314235626</v>
      </c>
      <c r="H606" s="21">
        <f>IF(D606&lt;=1.12*SQRT(Es*M539/input!BI26),0.58*input!BI26,IF(D606&lt;=1.4*SQRT(Es*M539/input!BI26),0.65*SQRT(input!BI26*Es*M539)/D606,0.9*Es*M539/D606/D606))</f>
        <v>220.39999999999998</v>
      </c>
      <c r="I606" s="21">
        <f t="shared" si="48"/>
        <v>2.1844453624493901E-2</v>
      </c>
      <c r="J606" s="1824" t="str">
        <f t="shared" si="47"/>
        <v>OF</v>
      </c>
      <c r="L606" s="143"/>
      <c r="M606" s="190"/>
      <c r="P606" s="73"/>
      <c r="Q606" s="73"/>
      <c r="R606" s="73"/>
      <c r="S606" s="73"/>
      <c r="T606" s="73"/>
      <c r="U606" s="73"/>
      <c r="V606" s="73"/>
      <c r="Y606" s="143"/>
      <c r="AB606" s="143"/>
      <c r="AD606" s="143"/>
      <c r="AE606" s="143"/>
      <c r="AF606" s="143"/>
      <c r="AG606" s="143"/>
      <c r="AH606" s="143"/>
      <c r="AI606" s="143"/>
      <c r="AJ606" s="143"/>
      <c r="AK606" s="143"/>
      <c r="AL606" s="143"/>
      <c r="AM606" s="143"/>
      <c r="AN606" s="143"/>
      <c r="AO606" s="143"/>
      <c r="AP606" s="143"/>
      <c r="AQ606" s="143"/>
      <c r="AR606" s="143"/>
      <c r="AS606" s="143"/>
    </row>
    <row r="607" spans="1:45" ht="15" customHeight="1">
      <c r="A607" s="482" t="str">
        <f t="shared" si="43"/>
        <v>113i</v>
      </c>
      <c r="B607" s="1016" t="str">
        <f t="shared" si="44"/>
        <v>Positive</v>
      </c>
      <c r="C607" s="794" t="str">
        <f t="shared" si="45"/>
        <v>OF</v>
      </c>
      <c r="D607" s="21">
        <f t="shared" si="46"/>
        <v>16.666666666666668</v>
      </c>
      <c r="E607" s="21">
        <f>0.95*SQRT(Es*L540/(M473-0.3)/input!BI27)</f>
        <v>53.385391339528795</v>
      </c>
      <c r="F607" s="21">
        <f>0.57*SQRT(Es*L540/input!BI27/M473)</f>
        <v>26.799253748843935</v>
      </c>
      <c r="G607" s="21">
        <f>IF(D607&lt;=F607,1*O340*M473*input!BI27,IF(D607&lt;=E607,1*O340*input!BI27*(M473-(M473-(M473-0.3)/O340)*((D607-F607)/(E607-F607))),0.9*Es*1*L540/D607/D607))</f>
        <v>379.55057661542884</v>
      </c>
      <c r="H607" s="21">
        <f>IF(D607&lt;=1.12*SQRT(Es*M540/input!BI27),0.58*input!BI27,IF(D607&lt;=1.4*SQRT(Es*M540/input!BI27),0.65*SQRT(input!BI27*Es*M540)/D607,0.9*Es*M540/D607/D607))</f>
        <v>220.39999999999998</v>
      </c>
      <c r="I607" s="21">
        <f t="shared" si="48"/>
        <v>2.4518039246093623E-2</v>
      </c>
      <c r="J607" s="1824" t="str">
        <f t="shared" si="47"/>
        <v>OF</v>
      </c>
      <c r="L607" s="143"/>
      <c r="M607" s="190"/>
      <c r="P607" s="73"/>
      <c r="Q607" s="73"/>
      <c r="R607" s="73"/>
      <c r="S607" s="73"/>
      <c r="T607" s="73"/>
      <c r="U607" s="73"/>
      <c r="V607" s="73"/>
      <c r="Y607" s="143"/>
      <c r="AB607" s="143"/>
      <c r="AD607" s="143"/>
      <c r="AE607" s="143"/>
      <c r="AF607" s="143"/>
      <c r="AG607" s="143"/>
      <c r="AH607" s="143"/>
      <c r="AI607" s="143"/>
      <c r="AJ607" s="143"/>
      <c r="AK607" s="143"/>
      <c r="AL607" s="143"/>
      <c r="AM607" s="143"/>
      <c r="AN607" s="143"/>
      <c r="AO607" s="143"/>
      <c r="AP607" s="143"/>
      <c r="AQ607" s="143"/>
      <c r="AR607" s="143"/>
      <c r="AS607" s="143"/>
    </row>
    <row r="608" spans="1:45" ht="15" customHeight="1">
      <c r="A608" s="482" t="str">
        <f t="shared" si="43"/>
        <v>113j</v>
      </c>
      <c r="B608" s="1016" t="str">
        <f t="shared" si="44"/>
        <v>Positive</v>
      </c>
      <c r="C608" s="794" t="str">
        <f t="shared" si="45"/>
        <v>OF</v>
      </c>
      <c r="D608" s="21">
        <f t="shared" si="46"/>
        <v>16.666666666666668</v>
      </c>
      <c r="E608" s="21">
        <f>0.95*SQRT(Es*L541/(M474-0.3)/input!BI28)</f>
        <v>53.385391272837516</v>
      </c>
      <c r="F608" s="21">
        <f>0.57*SQRT(Es*L541/input!BI28/M474)</f>
        <v>26.799253725408811</v>
      </c>
      <c r="G608" s="21">
        <f>IF(D608&lt;=F608,1*O341*M474*input!BI28,IF(D608&lt;=E608,1*O341*input!BI28*(M474-(M474-(M474-0.3)/O341)*((D608-F608)/(E608-F608))),0.9*Es*1*L541/D608/D608))</f>
        <v>379.55057727923952</v>
      </c>
      <c r="H608" s="21">
        <f>IF(D608&lt;=1.12*SQRT(Es*M541/input!BI28),0.58*input!BI28,IF(D608&lt;=1.4*SQRT(Es*M541/input!BI28),0.65*SQRT(input!BI28*Es*M541)/D608,0.9*Es*M541/D608/D608))</f>
        <v>220.39999999999998</v>
      </c>
      <c r="I608" s="21">
        <f t="shared" si="48"/>
        <v>9.8000361847489902E-3</v>
      </c>
      <c r="J608" s="1824" t="str">
        <f t="shared" si="47"/>
        <v>OF</v>
      </c>
      <c r="L608" s="143"/>
      <c r="M608" s="190"/>
      <c r="P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C608" s="73"/>
      <c r="AD608" s="73"/>
      <c r="AF608" s="73"/>
      <c r="AH608" s="143"/>
      <c r="AI608" s="143"/>
      <c r="AJ608" s="143"/>
      <c r="AK608" s="143"/>
      <c r="AL608" s="143"/>
      <c r="AM608" s="143"/>
      <c r="AN608" s="143"/>
      <c r="AO608" s="143"/>
      <c r="AP608" s="143"/>
      <c r="AQ608" s="143"/>
      <c r="AR608" s="143"/>
      <c r="AS608" s="143"/>
    </row>
    <row r="609" spans="1:45" ht="15" customHeight="1">
      <c r="A609" s="482" t="str">
        <f t="shared" si="43"/>
        <v>114i</v>
      </c>
      <c r="B609" s="1016" t="str">
        <f t="shared" si="44"/>
        <v>Positive</v>
      </c>
      <c r="C609" s="794" t="str">
        <f t="shared" si="45"/>
        <v>OF</v>
      </c>
      <c r="D609" s="21">
        <f t="shared" si="46"/>
        <v>16.666666666666668</v>
      </c>
      <c r="E609" s="21">
        <f>0.95*SQRT(Es*L542/(M475-0.3)/input!BI29)</f>
        <v>53.385391272837516</v>
      </c>
      <c r="F609" s="21">
        <f>0.57*SQRT(Es*L542/input!BI29/M475)</f>
        <v>26.799253725408811</v>
      </c>
      <c r="G609" s="21">
        <f>IF(D609&lt;=F609,1*O342*M475*input!BI29,IF(D609&lt;=E609,1*O342*input!BI29*(M475-(M475-(M475-0.3)/O342)*((D609-F609)/(E609-F609))),0.9*Es*1*L542/D609/D609))</f>
        <v>379.55057727923952</v>
      </c>
      <c r="H609" s="21">
        <f>IF(D609&lt;=1.12*SQRT(Es*M542/input!BI29),0.58*input!BI29,IF(D609&lt;=1.4*SQRT(Es*M542/input!BI29),0.65*SQRT(input!BI29*Es*M542)/D609,0.9*Es*M542/D609/D609))</f>
        <v>220.39999999999998</v>
      </c>
      <c r="I609" s="21">
        <f t="shared" si="48"/>
        <v>9.8000361847489902E-3</v>
      </c>
      <c r="J609" s="1824" t="str">
        <f t="shared" si="47"/>
        <v>OF</v>
      </c>
      <c r="L609" s="143"/>
      <c r="M609" s="190"/>
      <c r="P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C609" s="73"/>
      <c r="AD609" s="73"/>
      <c r="AF609" s="73"/>
      <c r="AH609" s="143"/>
      <c r="AI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</row>
    <row r="610" spans="1:45" ht="15" customHeight="1">
      <c r="A610" s="482" t="str">
        <f t="shared" si="43"/>
        <v>114j</v>
      </c>
      <c r="B610" s="1016" t="str">
        <f t="shared" si="44"/>
        <v>Positive</v>
      </c>
      <c r="C610" s="794" t="str">
        <f t="shared" si="45"/>
        <v>OF</v>
      </c>
      <c r="D610" s="21">
        <f t="shared" si="46"/>
        <v>16.666666666666668</v>
      </c>
      <c r="E610" s="21">
        <f>0.95*SQRT(Es*L543/(M476-0.3)/input!BI30)</f>
        <v>53.385391263350066</v>
      </c>
      <c r="F610" s="21">
        <f>0.57*SQRT(Es*L543/input!BI30/M476)</f>
        <v>26.79925372207494</v>
      </c>
      <c r="G610" s="21">
        <f>IF(D610&lt;=F610,1*O343*M476*input!BI30,IF(D610&lt;=E610,1*O343*input!BI30*(M476-(M476-(M476-0.3)/O343)*((D610-F610)/(E610-F610))),0.9*Es*1*L543/D610/D610))</f>
        <v>379.55057737367287</v>
      </c>
      <c r="H610" s="21">
        <f>IF(D610&lt;=1.12*SQRT(Es*M543/input!BI30),0.58*input!BI30,IF(D610&lt;=1.4*SQRT(Es*M543/input!BI30),0.65*SQRT(input!BI30*Es*M543)/D610,0.9*Es*M543/D610/D610))</f>
        <v>220.39999999999998</v>
      </c>
      <c r="I610" s="21">
        <f t="shared" si="48"/>
        <v>-4.9179668765956469E-3</v>
      </c>
      <c r="J610" s="1824" t="str">
        <f t="shared" si="47"/>
        <v>OF</v>
      </c>
      <c r="L610" s="143"/>
      <c r="M610" s="190"/>
      <c r="P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C610" s="73"/>
      <c r="AD610" s="73"/>
      <c r="AF610" s="73"/>
      <c r="AH610" s="143"/>
      <c r="AI610" s="143"/>
      <c r="AJ610" s="143"/>
      <c r="AK610" s="143"/>
      <c r="AL610" s="143"/>
      <c r="AM610" s="143"/>
      <c r="AN610" s="143"/>
      <c r="AO610" s="143"/>
      <c r="AP610" s="143"/>
      <c r="AQ610" s="143"/>
      <c r="AR610" s="143"/>
      <c r="AS610" s="143"/>
    </row>
    <row r="611" spans="1:45" ht="15" customHeight="1">
      <c r="A611" s="482" t="str">
        <f t="shared" si="43"/>
        <v>115i</v>
      </c>
      <c r="B611" s="1016" t="str">
        <f t="shared" si="44"/>
        <v>Positive</v>
      </c>
      <c r="C611" s="794" t="str">
        <f t="shared" si="45"/>
        <v>OF</v>
      </c>
      <c r="D611" s="21">
        <f t="shared" si="46"/>
        <v>22.727272727272727</v>
      </c>
      <c r="E611" s="21">
        <f>0.95*SQRT(Es*L544/(M477-0.3)/input!BI31)</f>
        <v>53.385391282212076</v>
      </c>
      <c r="F611" s="21">
        <f>0.57*SQRT(Es*L544/input!BI31/M477)</f>
        <v>26.799253728703004</v>
      </c>
      <c r="G611" s="21">
        <f>IF(D611&lt;=F611,1*O344*M477*input!BI31,IF(D611&lt;=E611,1*O344*input!BI31*(M477-(M477-(M477-0.3)/O344)*((D611-F611)/(E611-F611))),0.9*Es*1*L544/D611/D611))</f>
        <v>379.45832468998418</v>
      </c>
      <c r="H611" s="21">
        <f>IF(D611&lt;=1.12*SQRT(Es*M544/input!BI31),0.58*input!BI31,IF(D611&lt;=1.4*SQRT(Es*M544/input!BI31),0.65*SQRT(input!BI31*Es*M544)/D611,0.9*Es*M544/D611/D611))</f>
        <v>220.39999999999998</v>
      </c>
      <c r="I611" s="21">
        <f t="shared" si="48"/>
        <v>-1.2924391816452014E-2</v>
      </c>
      <c r="J611" s="1824" t="str">
        <f t="shared" si="47"/>
        <v>OF</v>
      </c>
      <c r="L611" s="143"/>
      <c r="M611" s="190"/>
      <c r="P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C611" s="73"/>
      <c r="AD611" s="73"/>
      <c r="AF611" s="73"/>
      <c r="AH611" s="143"/>
      <c r="AI611" s="143"/>
      <c r="AJ611" s="143"/>
      <c r="AK611" s="143"/>
      <c r="AL611" s="143"/>
      <c r="AM611" s="143"/>
      <c r="AN611" s="143"/>
      <c r="AO611" s="143"/>
      <c r="AP611" s="143"/>
      <c r="AQ611" s="143"/>
      <c r="AR611" s="143"/>
      <c r="AS611" s="143"/>
    </row>
    <row r="612" spans="1:45" ht="15" customHeight="1">
      <c r="A612" s="482" t="str">
        <f t="shared" si="43"/>
        <v>115j</v>
      </c>
      <c r="B612" s="1016" t="str">
        <f t="shared" si="44"/>
        <v>Negative</v>
      </c>
      <c r="C612" s="794" t="str">
        <f t="shared" si="45"/>
        <v>BF</v>
      </c>
      <c r="D612" s="21">
        <f t="shared" si="46"/>
        <v>30.888888888888889</v>
      </c>
      <c r="E612" s="21">
        <f>0.95*SQRT(Es*L545/(M478-0.3)/input!BI32)</f>
        <v>36.004745937592453</v>
      </c>
      <c r="F612" s="21">
        <f>0.57*SQRT(Es*L545/input!BI32/M478)</f>
        <v>18.074238992986583</v>
      </c>
      <c r="G612" s="21">
        <f>IF(D612&lt;=F612,1*O345*M478*input!BI32,IF(D612&lt;=E612,1*O345*input!BI32*(M478-(M478-(M478-0.3)/O345)*((D612-F612)/(E612-F612))),0.9*Es*1*L545/D612/D612))</f>
        <v>298.37145131933954</v>
      </c>
      <c r="H612" s="21">
        <f>IF(D612&lt;=1.12*SQRT(Es*M545/input!BI32),0.58*input!BI32,IF(D612&lt;=1.4*SQRT(Es*M545/input!BI32),0.65*SQRT(input!BI32*Es*M545)/D612,0.9*Es*M545/D612/D612))</f>
        <v>205.00316201919566</v>
      </c>
      <c r="I612" s="21">
        <f t="shared" si="48"/>
        <v>-4.0422168406081226E-2</v>
      </c>
      <c r="J612" s="1824">
        <f t="shared" si="47"/>
        <v>298.37144551910745</v>
      </c>
      <c r="L612" s="143"/>
      <c r="M612" s="190"/>
      <c r="P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C612" s="73"/>
      <c r="AD612" s="73"/>
      <c r="AF612" s="73"/>
      <c r="AH612" s="143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</row>
    <row r="613" spans="1:45" ht="15" customHeight="1">
      <c r="A613" s="482" t="str">
        <f t="shared" si="43"/>
        <v>116i</v>
      </c>
      <c r="B613" s="1016" t="str">
        <f t="shared" si="44"/>
        <v>Negative</v>
      </c>
      <c r="C613" s="794" t="str">
        <f t="shared" si="45"/>
        <v>BF</v>
      </c>
      <c r="D613" s="21">
        <f t="shared" si="46"/>
        <v>23.125</v>
      </c>
      <c r="E613" s="21">
        <f>0.95*SQRT(Es*L546/(M479-0.3)/input!BI33)</f>
        <v>31.190381231780687</v>
      </c>
      <c r="F613" s="21">
        <f>0.57*SQRT(Es*L546/input!BI33/M479)</f>
        <v>15.657447102843022</v>
      </c>
      <c r="G613" s="21">
        <f>IF(D613&lt;=F613,1*O346*M479*input!BI33,IF(D613&lt;=E613,1*O346*input!BI33*(M479-(M479-(M479-0.3)/O346)*((D613-F613)/(E613-F613))),0.9*Es*1*L546/D613/D613))</f>
        <v>324.98102192484015</v>
      </c>
      <c r="H613" s="21">
        <f>IF(D613&lt;=1.12*SQRT(Es*M546/input!BI33),0.58*input!BI33,IF(D613&lt;=1.4*SQRT(Es*M546/input!BI33),0.65*SQRT(input!BI33*Es*M546)/D613,0.9*Es*M546/D613/D613))</f>
        <v>220.39999999999998</v>
      </c>
      <c r="I613" s="21">
        <f t="shared" si="48"/>
        <v>-3.013578293598735E-2</v>
      </c>
      <c r="J613" s="1824">
        <f t="shared" si="47"/>
        <v>324.98101888696596</v>
      </c>
      <c r="L613" s="143"/>
      <c r="M613" s="190"/>
      <c r="P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C613" s="73"/>
      <c r="AD613" s="73"/>
      <c r="AF613" s="73"/>
      <c r="AH613" s="143"/>
      <c r="AI613" s="143"/>
      <c r="AJ613" s="143"/>
      <c r="AK613" s="143"/>
      <c r="AL613" s="143"/>
      <c r="AM613" s="143"/>
      <c r="AN613" s="143"/>
      <c r="AO613" s="143"/>
      <c r="AP613" s="143"/>
      <c r="AQ613" s="143"/>
      <c r="AR613" s="143"/>
      <c r="AS613" s="143"/>
    </row>
    <row r="614" spans="1:45" ht="15" customHeight="1">
      <c r="A614" s="482" t="str">
        <f t="shared" si="43"/>
        <v>116j</v>
      </c>
      <c r="B614" s="1016" t="str">
        <f t="shared" si="44"/>
        <v>Negative</v>
      </c>
      <c r="C614" s="794" t="str">
        <f t="shared" si="45"/>
        <v>BF</v>
      </c>
      <c r="D614" s="21">
        <f t="shared" si="46"/>
        <v>23.125</v>
      </c>
      <c r="E614" s="21">
        <f>0.95*SQRT(Es*L547/(M480-0.3)/input!BI34)</f>
        <v>31.190381343143105</v>
      </c>
      <c r="F614" s="21">
        <f>0.57*SQRT(Es*L547/input!BI34/M480)</f>
        <v>15.657447141975465</v>
      </c>
      <c r="G614" s="21">
        <f>IF(D614&lt;=F614,1*O347*M480*input!BI34,IF(D614&lt;=E614,1*O347*input!BI34*(M480-(M480-(M480-0.3)/O347)*((D614-F614)/(E614-F614))),0.9*Es*1*L547/D614/D614))</f>
        <v>324.98102056655546</v>
      </c>
      <c r="H614" s="21">
        <f>IF(D614&lt;=1.12*SQRT(Es*M547/input!BI34),0.58*input!BI34,IF(D614&lt;=1.4*SQRT(Es*M547/input!BI34),0.65*SQRT(input!BI34*Es*M547)/D614,0.9*Es*M547/D614/D614))</f>
        <v>220.39999999999998</v>
      </c>
      <c r="I614" s="21">
        <f t="shared" si="48"/>
        <v>-4.8494878038149031E-2</v>
      </c>
      <c r="J614" s="1824">
        <f t="shared" si="47"/>
        <v>324.98101269978332</v>
      </c>
      <c r="L614" s="143"/>
      <c r="M614" s="190"/>
      <c r="P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C614" s="73"/>
      <c r="AD614" s="73"/>
      <c r="AF614" s="73"/>
      <c r="AH614" s="143"/>
      <c r="AI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</row>
    <row r="615" spans="1:45" ht="15" customHeight="1">
      <c r="A615" s="482" t="str">
        <f t="shared" ref="A615:A644" si="49">A127</f>
        <v>117i</v>
      </c>
      <c r="B615" s="1016" t="str">
        <f t="shared" ref="B615:B644" si="50">D193</f>
        <v>Negative</v>
      </c>
      <c r="C615" s="794" t="str">
        <f t="shared" ref="C615:C644" si="51">C414</f>
        <v>BF</v>
      </c>
      <c r="D615" s="21">
        <f t="shared" ref="D615:D644" si="52">IF(K548=0,J548,H548)/I548</f>
        <v>19.488095238095237</v>
      </c>
      <c r="E615" s="21">
        <f>0.95*SQRT(Es*L548/(M481-0.3)/input!BI35)</f>
        <v>28.958424136831873</v>
      </c>
      <c r="F615" s="21">
        <f>0.57*SQRT(Es*L548/input!BI35/M481)</f>
        <v>14.537013098777434</v>
      </c>
      <c r="G615" s="21">
        <f>IF(D615&lt;=F615,1*O348*M481*input!BI35,IF(D615&lt;=E615,1*O348*input!BI35*(M481-(M481-(M481-0.3)/O348)*((D615-F615)/(E615-F615))),0.9*Es*1*L548/D615/D615))</f>
        <v>340.67463687727002</v>
      </c>
      <c r="H615" s="21">
        <f>IF(D615&lt;=1.12*SQRT(Es*M548/input!BI35),0.58*input!BI35,IF(D615&lt;=1.4*SQRT(Es*M548/input!BI35),0.65*SQRT(input!BI35*Es*M548)/D615,0.9*Es*M548/D615/D615))</f>
        <v>220.39999999999998</v>
      </c>
      <c r="I615" s="21">
        <f t="shared" ref="I615:I644" si="53">L481</f>
        <v>-0.2031723739778403</v>
      </c>
      <c r="J615" s="1824">
        <f t="shared" ref="J615:J644" si="54">IF(C615="OF","OF",G615*SQRT(1-(I615/H615)^2))</f>
        <v>340.67449212811795</v>
      </c>
      <c r="L615" s="143"/>
      <c r="M615" s="190"/>
      <c r="P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C615" s="73"/>
      <c r="AD615" s="73"/>
      <c r="AF615" s="73"/>
      <c r="AH615" s="143"/>
      <c r="AI615" s="143"/>
      <c r="AJ615" s="143"/>
      <c r="AK615" s="143"/>
      <c r="AL615" s="143"/>
      <c r="AM615" s="143"/>
      <c r="AN615" s="143"/>
      <c r="AO615" s="143"/>
      <c r="AP615" s="143"/>
      <c r="AQ615" s="143"/>
      <c r="AR615" s="143"/>
      <c r="AS615" s="143"/>
    </row>
    <row r="616" spans="1:45" ht="15" customHeight="1">
      <c r="A616" s="482" t="str">
        <f t="shared" si="49"/>
        <v>117j</v>
      </c>
      <c r="B616" s="1016" t="str">
        <f t="shared" si="50"/>
        <v>Negative</v>
      </c>
      <c r="C616" s="794" t="str">
        <f t="shared" si="51"/>
        <v>BF</v>
      </c>
      <c r="D616" s="21">
        <f t="shared" si="52"/>
        <v>19.488095238095237</v>
      </c>
      <c r="E616" s="21">
        <f>0.95*SQRT(Es*L549/(M482-0.3)/input!BI36)</f>
        <v>28.958424596299913</v>
      </c>
      <c r="F616" s="21">
        <f>0.57*SQRT(Es*L549/input!BI36/M482)</f>
        <v>14.537013260233209</v>
      </c>
      <c r="G616" s="21">
        <f>IF(D616&lt;=F616,1*O349*M482*input!BI36,IF(D616&lt;=E616,1*O349*input!BI36*(M482-(M482-(M482-0.3)/O349)*((D616-F616)/(E616-F616))),0.9*Es*1*L549/D616/D616))</f>
        <v>340.67463052031275</v>
      </c>
      <c r="H616" s="21">
        <f>IF(D616&lt;=1.12*SQRT(Es*M549/input!BI36),0.58*input!BI36,IF(D616&lt;=1.4*SQRT(Es*M549/input!BI36),0.65*SQRT(input!BI36*Es*M549)/D616,0.9*Es*M549/D616/D616))</f>
        <v>220.39999999999998</v>
      </c>
      <c r="I616" s="21">
        <f t="shared" si="53"/>
        <v>-0.21838988828747033</v>
      </c>
      <c r="J616" s="1824">
        <f t="shared" si="54"/>
        <v>340.67446327583895</v>
      </c>
      <c r="L616" s="143"/>
      <c r="M616" s="190"/>
      <c r="P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C616" s="73"/>
      <c r="AD616" s="73"/>
      <c r="AF616" s="73"/>
      <c r="AH616" s="143"/>
      <c r="AI616" s="143"/>
      <c r="AJ616" s="143"/>
      <c r="AK616" s="143"/>
      <c r="AL616" s="143"/>
      <c r="AM616" s="143"/>
      <c r="AN616" s="143"/>
      <c r="AO616" s="143"/>
      <c r="AP616" s="143"/>
      <c r="AQ616" s="143"/>
      <c r="AR616" s="143"/>
      <c r="AS616" s="143"/>
    </row>
    <row r="617" spans="1:45" ht="15" customHeight="1">
      <c r="A617" s="482" t="str">
        <f t="shared" si="49"/>
        <v>118i</v>
      </c>
      <c r="B617" s="1016" t="str">
        <f t="shared" si="50"/>
        <v>Negative</v>
      </c>
      <c r="C617" s="794" t="str">
        <f t="shared" si="51"/>
        <v>BF</v>
      </c>
      <c r="D617" s="21">
        <f t="shared" si="52"/>
        <v>17.688888888888886</v>
      </c>
      <c r="E617" s="21">
        <f>0.95*SQRT(Es*L550/(M483-0.3)/input!BI37)</f>
        <v>28.106768187317741</v>
      </c>
      <c r="F617" s="21">
        <f>0.57*SQRT(Es*L550/input!BI37/M483)</f>
        <v>14.109485255786456</v>
      </c>
      <c r="G617" s="21">
        <f>IF(D617&lt;=F617,1*O350*M483*input!BI37,IF(D617&lt;=E617,1*O350*input!BI37*(M483-(M483-(M483-0.3)/O350)*((D617-F617)/(E617-F617))),0.9*Es*1*L550/D617/D617))</f>
        <v>350.72558157026157</v>
      </c>
      <c r="H617" s="21">
        <f>IF(D617&lt;=1.12*SQRT(Es*M550/input!BI37),0.58*input!BI37,IF(D617&lt;=1.4*SQRT(Es*M550/input!BI37),0.65*SQRT(input!BI37*Es*M550)/D617,0.9*Es*M550/D617/D617))</f>
        <v>220.39999999999998</v>
      </c>
      <c r="I617" s="21">
        <f t="shared" si="53"/>
        <v>-0.1941558636285115</v>
      </c>
      <c r="J617" s="1824">
        <f t="shared" si="54"/>
        <v>350.72544548365823</v>
      </c>
      <c r="L617" s="143"/>
      <c r="M617" s="190"/>
      <c r="P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C617" s="73"/>
      <c r="AD617" s="73"/>
      <c r="AF617" s="73"/>
      <c r="AH617" s="143"/>
      <c r="AI617" s="143"/>
      <c r="AJ617" s="143"/>
      <c r="AK617" s="143"/>
      <c r="AL617" s="143"/>
      <c r="AM617" s="143"/>
      <c r="AN617" s="143"/>
      <c r="AO617" s="143"/>
      <c r="AP617" s="143"/>
      <c r="AQ617" s="143"/>
      <c r="AR617" s="143"/>
      <c r="AS617" s="143"/>
    </row>
    <row r="618" spans="1:45" ht="15" customHeight="1">
      <c r="A618" s="482" t="str">
        <f t="shared" si="49"/>
        <v>118j</v>
      </c>
      <c r="B618" s="1016" t="str">
        <f t="shared" si="50"/>
        <v>Negative</v>
      </c>
      <c r="C618" s="794" t="str">
        <f t="shared" si="51"/>
        <v>BF</v>
      </c>
      <c r="D618" s="21">
        <f t="shared" si="52"/>
        <v>17.688888888888886</v>
      </c>
      <c r="E618" s="21">
        <f>0.95*SQRT(Es*L551/(M484-0.3)/input!BI38)</f>
        <v>28.106768449190685</v>
      </c>
      <c r="F618" s="21">
        <f>0.57*SQRT(Es*L551/input!BI38/M484)</f>
        <v>14.109485347807871</v>
      </c>
      <c r="G618" s="21">
        <f>IF(D618&lt;=F618,1*O351*M484*input!BI38,IF(D618&lt;=E618,1*O351*input!BI38*(M484-(M484-(M484-0.3)/O351)*((D618-F618)/(E618-F618))),0.9*Es*1*L551/D618/D618))</f>
        <v>350.72557771679573</v>
      </c>
      <c r="H618" s="21">
        <f>IF(D618&lt;=1.12*SQRT(Es*M551/input!BI38),0.58*input!BI38,IF(D618&lt;=1.4*SQRT(Es*M551/input!BI38),0.65*SQRT(input!BI38*Es*M551)/D618,0.9*Es*M551/D618/D618))</f>
        <v>220.39999999999998</v>
      </c>
      <c r="I618" s="21">
        <f t="shared" si="53"/>
        <v>-0.20362607655532705</v>
      </c>
      <c r="J618" s="1824">
        <f t="shared" si="54"/>
        <v>350.72542803080961</v>
      </c>
      <c r="L618" s="143"/>
      <c r="M618" s="190"/>
      <c r="P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C618" s="73"/>
      <c r="AD618" s="73"/>
      <c r="AF618" s="73"/>
      <c r="AH618" s="143"/>
      <c r="AI618" s="143"/>
      <c r="AJ618" s="143"/>
      <c r="AK618" s="143"/>
      <c r="AL618" s="143"/>
      <c r="AM618" s="143"/>
      <c r="AN618" s="143"/>
      <c r="AO618" s="143"/>
      <c r="AP618" s="143"/>
      <c r="AQ618" s="143"/>
      <c r="AR618" s="143"/>
      <c r="AS618" s="143"/>
    </row>
    <row r="619" spans="1:45" ht="15" customHeight="1">
      <c r="A619" s="482" t="str">
        <f t="shared" si="49"/>
        <v>119i</v>
      </c>
      <c r="B619" s="1016" t="str">
        <f t="shared" si="50"/>
        <v>Negative</v>
      </c>
      <c r="C619" s="794" t="str">
        <f t="shared" si="51"/>
        <v>BF</v>
      </c>
      <c r="D619" s="21">
        <f t="shared" si="52"/>
        <v>17.422222222222221</v>
      </c>
      <c r="E619" s="21">
        <f>0.95*SQRT(Es*L552/(M485-0.3)/input!BI39)</f>
        <v>28.178016206150673</v>
      </c>
      <c r="F619" s="21">
        <f>0.57*SQRT(Es*L552/input!BI39/M485)</f>
        <v>14.145251457622585</v>
      </c>
      <c r="G619" s="21">
        <f>IF(D619&lt;=F619,1*O352*M485*input!BI39,IF(D619&lt;=E619,1*O352*input!BI39*(M485-(M485-(M485-0.3)/O352)*((D619-F619)/(E619-F619))),0.9*Es*1*L552/D619/D619))</f>
        <v>353.24625326830534</v>
      </c>
      <c r="H619" s="21">
        <f>IF(D619&lt;=1.12*SQRT(Es*M552/input!BI39),0.58*input!BI39,IF(D619&lt;=1.4*SQRT(Es*M552/input!BI39),0.65*SQRT(input!BI39*Es*M552)/D619,0.9*Es*M552/D619/D619))</f>
        <v>220.39999999999998</v>
      </c>
      <c r="I619" s="21">
        <f t="shared" si="53"/>
        <v>-0.19870556414219473</v>
      </c>
      <c r="J619" s="1824">
        <f t="shared" si="54"/>
        <v>353.24610970464153</v>
      </c>
      <c r="L619" s="143"/>
      <c r="M619" s="190"/>
      <c r="P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C619" s="73"/>
      <c r="AD619" s="73"/>
      <c r="AF619" s="73"/>
      <c r="AH619" s="143"/>
      <c r="AI619" s="143"/>
      <c r="AJ619" s="143"/>
      <c r="AK619" s="143"/>
      <c r="AL619" s="143"/>
      <c r="AM619" s="143"/>
      <c r="AN619" s="143"/>
      <c r="AO619" s="143"/>
      <c r="AP619" s="143"/>
      <c r="AQ619" s="143"/>
      <c r="AR619" s="143"/>
      <c r="AS619" s="143"/>
    </row>
    <row r="620" spans="1:45" ht="15" customHeight="1">
      <c r="A620" s="482" t="str">
        <f t="shared" si="49"/>
        <v>119j</v>
      </c>
      <c r="B620" s="1016" t="str">
        <f t="shared" si="50"/>
        <v>Negative</v>
      </c>
      <c r="C620" s="794" t="str">
        <f t="shared" si="51"/>
        <v>BF</v>
      </c>
      <c r="D620" s="21">
        <f t="shared" si="52"/>
        <v>17.422222222222221</v>
      </c>
      <c r="E620" s="21">
        <f>0.95*SQRT(Es*L553/(M486-0.3)/input!BI40)</f>
        <v>28.178016316938415</v>
      </c>
      <c r="F620" s="21">
        <f>0.57*SQRT(Es*L553/input!BI40/M486)</f>
        <v>14.145251496553083</v>
      </c>
      <c r="G620" s="21">
        <f>IF(D620&lt;=F620,1*O353*M486*input!BI40,IF(D620&lt;=E620,1*O353*input!BI40*(M486-(M486-(M486-0.3)/O353)*((D620-F620)/(E620-F620))),0.9*Es*1*L553/D620/D620))</f>
        <v>353.24625162926577</v>
      </c>
      <c r="H620" s="21">
        <f>IF(D620&lt;=1.12*SQRT(Es*M553/input!BI40),0.58*input!BI40,IF(D620&lt;=1.4*SQRT(Es*M553/input!BI40),0.65*SQRT(input!BI40*Es*M553)/D620,0.9*Es*M553/D620/D620))</f>
        <v>220.39999999999998</v>
      </c>
      <c r="I620" s="21">
        <f t="shared" si="53"/>
        <v>-0.20266615146831529</v>
      </c>
      <c r="J620" s="1824">
        <f t="shared" si="54"/>
        <v>353.24610228556156</v>
      </c>
      <c r="L620" s="143"/>
      <c r="M620" s="190"/>
      <c r="P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C620" s="73"/>
      <c r="AD620" s="73"/>
      <c r="AF620" s="73"/>
      <c r="AH620" s="143"/>
      <c r="AI620" s="143"/>
      <c r="AJ620" s="143"/>
      <c r="AK620" s="143"/>
      <c r="AL620" s="143"/>
      <c r="AM620" s="143"/>
      <c r="AN620" s="143"/>
      <c r="AO620" s="143"/>
      <c r="AP620" s="143"/>
      <c r="AQ620" s="143"/>
      <c r="AR620" s="143"/>
      <c r="AS620" s="143"/>
    </row>
    <row r="621" spans="1:45" ht="15" customHeight="1">
      <c r="A621" s="482" t="str">
        <f t="shared" si="49"/>
        <v>120i</v>
      </c>
      <c r="B621" s="1016" t="str">
        <f t="shared" si="50"/>
        <v>Negative</v>
      </c>
      <c r="C621" s="794" t="str">
        <f t="shared" si="51"/>
        <v>BF</v>
      </c>
      <c r="D621" s="21">
        <f t="shared" si="52"/>
        <v>17.422222222222221</v>
      </c>
      <c r="E621" s="21">
        <f>0.95*SQRT(Es*L554/(M487-0.3)/input!BI41)</f>
        <v>28.178015913811947</v>
      </c>
      <c r="F621" s="21">
        <f>0.57*SQRT(Es*L554/input!BI41/M487)</f>
        <v>14.14525135489558</v>
      </c>
      <c r="G621" s="21">
        <f>IF(D621&lt;=F621,1*O354*M487*input!BI41,IF(D621&lt;=E621,1*O354*input!BI41*(M487-(M487-(M487-0.3)/O354)*((D621-F621)/(E621-F621))),0.9*Es*1*L554/D621/D621))</f>
        <v>353.24625759328529</v>
      </c>
      <c r="H621" s="21">
        <f>IF(D621&lt;=1.12*SQRT(Es*M554/input!BI41),0.58*input!BI41,IF(D621&lt;=1.4*SQRT(Es*M554/input!BI41),0.65*SQRT(input!BI41*Es*M554)/D621,0.9*Es*M554/D621/D621))</f>
        <v>220.39999999999998</v>
      </c>
      <c r="I621" s="21">
        <f t="shared" si="53"/>
        <v>0.18785419886656365</v>
      </c>
      <c r="J621" s="1824">
        <f t="shared" si="54"/>
        <v>353.2461292815774</v>
      </c>
      <c r="L621" s="143"/>
      <c r="M621" s="190"/>
      <c r="P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C621" s="73"/>
      <c r="AD621" s="73"/>
      <c r="AF621" s="73"/>
      <c r="AH621" s="143"/>
      <c r="AI621" s="143"/>
      <c r="AJ621" s="143"/>
      <c r="AK621" s="143"/>
      <c r="AL621" s="143"/>
      <c r="AM621" s="143"/>
      <c r="AN621" s="143"/>
      <c r="AO621" s="143"/>
      <c r="AP621" s="143"/>
      <c r="AQ621" s="143"/>
      <c r="AR621" s="143"/>
      <c r="AS621" s="143"/>
    </row>
    <row r="622" spans="1:45" ht="15" customHeight="1">
      <c r="A622" s="482" t="str">
        <f t="shared" si="49"/>
        <v>120j</v>
      </c>
      <c r="B622" s="1016" t="str">
        <f t="shared" si="50"/>
        <v>Negative</v>
      </c>
      <c r="C622" s="794" t="str">
        <f t="shared" si="51"/>
        <v>BF</v>
      </c>
      <c r="D622" s="21">
        <f t="shared" si="52"/>
        <v>17.422222222222221</v>
      </c>
      <c r="E622" s="21">
        <f>0.95*SQRT(Es*L555/(M488-0.3)/input!BI42)</f>
        <v>28.178015811201085</v>
      </c>
      <c r="F622" s="21">
        <f>0.57*SQRT(Es*L555/input!BI42/M488)</f>
        <v>14.145251318838413</v>
      </c>
      <c r="G622" s="21">
        <f>IF(D622&lt;=F622,1*O355*M488*input!BI42,IF(D622&lt;=E622,1*O355*input!BI42*(M488-(M488-(M488-0.3)/O355)*((D622-F622)/(E622-F622))),0.9*Es*1*L555/D622/D622))</f>
        <v>353.24625911135274</v>
      </c>
      <c r="H622" s="21">
        <f>IF(D622&lt;=1.12*SQRT(Es*M555/input!BI42),0.58*input!BI42,IF(D622&lt;=1.4*SQRT(Es*M555/input!BI42),0.65*SQRT(input!BI42*Es*M555)/D622,0.9*Es*M555/D622/D622))</f>
        <v>220.39999999999998</v>
      </c>
      <c r="I622" s="21">
        <f t="shared" si="53"/>
        <v>0.18389361154044306</v>
      </c>
      <c r="J622" s="1824">
        <f t="shared" si="54"/>
        <v>353.24613615307965</v>
      </c>
      <c r="L622" s="143"/>
      <c r="M622" s="190"/>
      <c r="P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C622" s="73"/>
      <c r="AD622" s="73"/>
      <c r="AF622" s="73"/>
      <c r="AH622" s="143"/>
      <c r="AI622" s="143"/>
      <c r="AJ622" s="143"/>
      <c r="AK622" s="143"/>
      <c r="AL622" s="143"/>
      <c r="AM622" s="143"/>
      <c r="AN622" s="143"/>
      <c r="AO622" s="143"/>
      <c r="AP622" s="143"/>
      <c r="AQ622" s="143"/>
      <c r="AR622" s="143"/>
      <c r="AS622" s="143"/>
    </row>
    <row r="623" spans="1:45" ht="15" customHeight="1">
      <c r="A623" s="482" t="str">
        <f t="shared" si="49"/>
        <v>121i</v>
      </c>
      <c r="B623" s="1016" t="str">
        <f t="shared" si="50"/>
        <v>Negative</v>
      </c>
      <c r="C623" s="794" t="str">
        <f t="shared" si="51"/>
        <v>BF</v>
      </c>
      <c r="D623" s="21">
        <f t="shared" si="52"/>
        <v>17.688888888888886</v>
      </c>
      <c r="E623" s="21">
        <f>0.95*SQRT(Es*L556/(M489-0.3)/input!BI43)</f>
        <v>28.106768035487462</v>
      </c>
      <c r="F623" s="21">
        <f>0.57*SQRT(Es*L556/input!BI43/M489)</f>
        <v>14.109485202433726</v>
      </c>
      <c r="G623" s="21">
        <f>IF(D623&lt;=F623,1*O356*M489*input!BI43,IF(D623&lt;=E623,1*O356*input!BI43*(M489-(M489-(M489-0.3)/O356)*((D623-F623)/(E623-F623))),0.9*Es*1*L556/D623/D623))</f>
        <v>350.72558380444718</v>
      </c>
      <c r="H623" s="21">
        <f>IF(D623&lt;=1.12*SQRT(Es*M556/input!BI43),0.58*input!BI43,IF(D623&lt;=1.4*SQRT(Es*M556/input!BI43),0.65*SQRT(input!BI43*Es*M556)/D623,0.9*Es*M556/D623/D623))</f>
        <v>220.39999999999998</v>
      </c>
      <c r="I623" s="21">
        <f t="shared" si="53"/>
        <v>0.18844733806635436</v>
      </c>
      <c r="J623" s="1824">
        <f t="shared" si="54"/>
        <v>350.72545560257589</v>
      </c>
      <c r="L623" s="143"/>
      <c r="M623" s="190"/>
      <c r="P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C623" s="73"/>
      <c r="AD623" s="73"/>
      <c r="AF623" s="73"/>
      <c r="AH623" s="143"/>
      <c r="AI623" s="143"/>
      <c r="AJ623" s="143"/>
      <c r="AK623" s="143"/>
      <c r="AL623" s="143"/>
      <c r="AM623" s="143"/>
      <c r="AN623" s="143"/>
      <c r="AO623" s="143"/>
      <c r="AP623" s="143"/>
      <c r="AQ623" s="143"/>
      <c r="AR623" s="143"/>
      <c r="AS623" s="143"/>
    </row>
    <row r="624" spans="1:45" ht="15" customHeight="1">
      <c r="A624" s="482" t="str">
        <f t="shared" si="49"/>
        <v>121j</v>
      </c>
      <c r="B624" s="1016" t="str">
        <f t="shared" si="50"/>
        <v>Negative</v>
      </c>
      <c r="C624" s="794" t="str">
        <f t="shared" si="51"/>
        <v>BF</v>
      </c>
      <c r="D624" s="21">
        <f t="shared" si="52"/>
        <v>17.688888888888886</v>
      </c>
      <c r="E624" s="21">
        <f>0.95*SQRT(Es*L557/(M490-0.3)/input!BI44)</f>
        <v>28.106767793599854</v>
      </c>
      <c r="F624" s="21">
        <f>0.57*SQRT(Es*L557/input!BI44/M490)</f>
        <v>14.109485117435103</v>
      </c>
      <c r="G624" s="21">
        <f>IF(D624&lt;=F624,1*O357*M490*input!BI44,IF(D624&lt;=E624,1*O357*input!BI44*(M490-(M490-(M490-0.3)/O357)*((D624-F624)/(E624-F624))),0.9*Es*1*L557/D624/D624))</f>
        <v>350.72558736382842</v>
      </c>
      <c r="H624" s="21">
        <f>IF(D624&lt;=1.12*SQRT(Es*M557/input!BI44),0.58*input!BI44,IF(D624&lt;=1.4*SQRT(Es*M557/input!BI44),0.65*SQRT(input!BI44*Es*M557)/D624,0.9*Es*M557/D624/D624))</f>
        <v>220.39999999999998</v>
      </c>
      <c r="I624" s="21">
        <f t="shared" si="53"/>
        <v>0.17897712513953878</v>
      </c>
      <c r="J624" s="1824">
        <f t="shared" si="54"/>
        <v>350.72547172347709</v>
      </c>
      <c r="L624" s="143"/>
      <c r="M624" s="190"/>
      <c r="P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C624" s="73"/>
      <c r="AD624" s="73"/>
      <c r="AF624" s="73"/>
      <c r="AH624" s="143"/>
      <c r="AI624" s="143"/>
      <c r="AJ624" s="143"/>
      <c r="AK624" s="143"/>
      <c r="AL624" s="143"/>
      <c r="AM624" s="143"/>
      <c r="AN624" s="143"/>
      <c r="AO624" s="143"/>
      <c r="AP624" s="143"/>
      <c r="AQ624" s="143"/>
      <c r="AR624" s="143"/>
      <c r="AS624" s="143"/>
    </row>
    <row r="625" spans="1:45" ht="15" customHeight="1">
      <c r="A625" s="482" t="str">
        <f t="shared" si="49"/>
        <v>122i</v>
      </c>
      <c r="B625" s="1016" t="str">
        <f t="shared" si="50"/>
        <v>Negative</v>
      </c>
      <c r="C625" s="794" t="str">
        <f t="shared" si="51"/>
        <v>BF</v>
      </c>
      <c r="D625" s="21">
        <f t="shared" si="52"/>
        <v>18.188888888888886</v>
      </c>
      <c r="E625" s="21">
        <f>0.95*SQRT(Es*L558/(M491-0.3)/input!BI45)</f>
        <v>27.97649519118168</v>
      </c>
      <c r="F625" s="21">
        <f>0.57*SQRT(Es*L558/input!BI45/M491)</f>
        <v>14.044088758242621</v>
      </c>
      <c r="G625" s="21">
        <f>IF(D625&lt;=F625,1*O358*M491*input!BI45,IF(D625&lt;=E625,1*O358*input!BI45*(M491-(M491-(M491-0.3)/O358)*((D625-F625)/(E625-F625))),0.9*Es*1*L558/D625/D625))</f>
        <v>345.90549341914931</v>
      </c>
      <c r="H625" s="21">
        <f>IF(D625&lt;=1.12*SQRT(Es*M558/input!BI45),0.58*input!BI45,IF(D625&lt;=1.4*SQRT(Es*M558/input!BI45),0.65*SQRT(input!BI45*Es*M558)/D625,0.9*Es*M558/D625/D625))</f>
        <v>220.39999999999998</v>
      </c>
      <c r="I625" s="21">
        <f t="shared" si="53"/>
        <v>0.18770497528648056</v>
      </c>
      <c r="J625" s="1824">
        <f t="shared" si="54"/>
        <v>345.9053679734057</v>
      </c>
      <c r="L625" s="143"/>
      <c r="M625" s="190"/>
      <c r="P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C625" s="73"/>
      <c r="AD625" s="73"/>
      <c r="AF625" s="73"/>
      <c r="AH625" s="143"/>
      <c r="AI625" s="143"/>
      <c r="AJ625" s="143"/>
      <c r="AK625" s="143"/>
      <c r="AL625" s="143"/>
      <c r="AM625" s="143"/>
      <c r="AN625" s="143"/>
      <c r="AO625" s="143"/>
      <c r="AP625" s="143"/>
      <c r="AQ625" s="143"/>
      <c r="AR625" s="143"/>
      <c r="AS625" s="143"/>
    </row>
    <row r="626" spans="1:45" ht="15" customHeight="1">
      <c r="A626" s="482" t="str">
        <f t="shared" si="49"/>
        <v>122j</v>
      </c>
      <c r="B626" s="1016" t="str">
        <f t="shared" si="50"/>
        <v>Negative</v>
      </c>
      <c r="C626" s="794" t="str">
        <f t="shared" si="51"/>
        <v>BF</v>
      </c>
      <c r="D626" s="21">
        <f t="shared" si="52"/>
        <v>18.188888888888886</v>
      </c>
      <c r="E626" s="21">
        <f>0.95*SQRT(Es*L559/(M492-0.3)/input!BI46)</f>
        <v>27.976494836546713</v>
      </c>
      <c r="F626" s="21">
        <f>0.57*SQRT(Es*L559/input!BI46/M492)</f>
        <v>14.044088633624892</v>
      </c>
      <c r="G626" s="21">
        <f>IF(D626&lt;=F626,1*O359*M492*input!BI46,IF(D626&lt;=E626,1*O359*input!BI46*(M492-(M492-(M492-0.3)/O359)*((D626-F626)/(E626-F626))),0.9*Es*1*L559/D626/D626))</f>
        <v>345.90549858365461</v>
      </c>
      <c r="H626" s="21">
        <f>IF(D626&lt;=1.12*SQRT(Es*M559/input!BI46),0.58*input!BI46,IF(D626&lt;=1.4*SQRT(Es*M559/input!BI46),0.65*SQRT(input!BI46*Es*M559)/D626,0.9*Es*M559/D626/D626))</f>
        <v>220.39999999999998</v>
      </c>
      <c r="I626" s="21">
        <f t="shared" si="53"/>
        <v>0.17351636174159538</v>
      </c>
      <c r="J626" s="1824">
        <f t="shared" si="54"/>
        <v>345.90539138601497</v>
      </c>
      <c r="L626" s="143"/>
      <c r="M626" s="190"/>
      <c r="P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C626" s="73"/>
      <c r="AD626" s="73"/>
      <c r="AF626" s="73"/>
      <c r="AH626" s="143"/>
      <c r="AI626" s="143"/>
      <c r="AJ626" s="143"/>
      <c r="AK626" s="143"/>
      <c r="AL626" s="143"/>
      <c r="AM626" s="143"/>
      <c r="AN626" s="143"/>
      <c r="AO626" s="143"/>
      <c r="AP626" s="143"/>
      <c r="AQ626" s="143"/>
      <c r="AR626" s="143"/>
      <c r="AS626" s="143"/>
    </row>
    <row r="627" spans="1:45" ht="15" customHeight="1">
      <c r="A627" s="482" t="str">
        <f t="shared" si="49"/>
        <v>123i</v>
      </c>
      <c r="B627" s="1016" t="str">
        <f t="shared" si="50"/>
        <v>Negative</v>
      </c>
      <c r="C627" s="794" t="str">
        <f t="shared" si="51"/>
        <v>BF</v>
      </c>
      <c r="D627" s="21">
        <f t="shared" si="52"/>
        <v>18.5</v>
      </c>
      <c r="E627" s="21">
        <f>0.95*SQRT(Es*L560/(M493-0.3)/input!BI47)</f>
        <v>27.897525293882179</v>
      </c>
      <c r="F627" s="21">
        <f>0.57*SQRT(Es*L560/input!BI47/M493)</f>
        <v>14.004446508619996</v>
      </c>
      <c r="G627" s="21">
        <f>IF(D627&lt;=F627,1*O360*M493*input!BI47,IF(D627&lt;=E627,1*O360*input!BI47*(M493-(M493-(M493-0.3)/O360)*((D627-F627)/(E627-F627))),0.9*Es*1*L560/D627/D627))</f>
        <v>342.92771743987964</v>
      </c>
      <c r="H627" s="21">
        <f>IF(D627&lt;=1.12*SQRT(Es*M560/input!BI47),0.58*input!BI47,IF(D627&lt;=1.4*SQRT(Es*M560/input!BI47),0.65*SQRT(input!BI47*Es*M560)/D627,0.9*Es*M560/D627/D627))</f>
        <v>220.39999999999998</v>
      </c>
      <c r="I627" s="21">
        <f t="shared" si="53"/>
        <v>6.429009357981777E-2</v>
      </c>
      <c r="J627" s="1824">
        <f t="shared" si="54"/>
        <v>342.92770285047607</v>
      </c>
      <c r="L627" s="143"/>
      <c r="M627" s="190"/>
      <c r="P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C627" s="73"/>
      <c r="AD627" s="73"/>
      <c r="AF627" s="73"/>
      <c r="AH627" s="143"/>
      <c r="AI627" s="143"/>
      <c r="AJ627" s="143"/>
      <c r="AK627" s="143"/>
      <c r="AL627" s="143"/>
      <c r="AM627" s="143"/>
      <c r="AN627" s="143"/>
      <c r="AO627" s="143"/>
      <c r="AP627" s="143"/>
      <c r="AQ627" s="143"/>
      <c r="AR627" s="143"/>
      <c r="AS627" s="143"/>
    </row>
    <row r="628" spans="1:45" ht="15" customHeight="1">
      <c r="A628" s="482" t="str">
        <f t="shared" si="49"/>
        <v>123j</v>
      </c>
      <c r="B628" s="1016" t="str">
        <f t="shared" si="50"/>
        <v>Negative</v>
      </c>
      <c r="C628" s="794" t="str">
        <f t="shared" si="51"/>
        <v>BF</v>
      </c>
      <c r="D628" s="21">
        <f t="shared" si="52"/>
        <v>18.5</v>
      </c>
      <c r="E628" s="21">
        <f>0.95*SQRT(Es*L561/(M494-0.3)/input!BI48)</f>
        <v>27.897525178815947</v>
      </c>
      <c r="F628" s="21">
        <f>0.57*SQRT(Es*L561/input!BI48/M494)</f>
        <v>14.004446468186044</v>
      </c>
      <c r="G628" s="21">
        <f>IF(D628&lt;=F628,1*O361*M494*input!BI48,IF(D628&lt;=E628,1*O361*input!BI48*(M494-(M494-(M494-0.3)/O361)*((D628-F628)/(E628-F628))),0.9*Es*1*L561/D628/D628))</f>
        <v>342.92771910442804</v>
      </c>
      <c r="H628" s="21">
        <f>IF(D628&lt;=1.12*SQRT(Es*M561/input!BI48),0.58*input!BI48,IF(D628&lt;=1.4*SQRT(Es*M561/input!BI48),0.65*SQRT(input!BI48*Es*M561)/D628,0.9*Es*M561/D628/D628))</f>
        <v>220.39999999999998</v>
      </c>
      <c r="I628" s="21">
        <f t="shared" si="53"/>
        <v>4.9654369888687683E-2</v>
      </c>
      <c r="J628" s="1824">
        <f t="shared" si="54"/>
        <v>342.92771040152047</v>
      </c>
      <c r="L628" s="143"/>
      <c r="M628" s="190"/>
      <c r="P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C628" s="73"/>
      <c r="AD628" s="73"/>
      <c r="AF628" s="73"/>
      <c r="AH628" s="143"/>
      <c r="AI628" s="143"/>
      <c r="AJ628" s="143"/>
      <c r="AK628" s="143"/>
      <c r="AL628" s="143"/>
      <c r="AM628" s="143"/>
      <c r="AN628" s="143"/>
      <c r="AO628" s="143"/>
      <c r="AP628" s="143"/>
      <c r="AQ628" s="143"/>
      <c r="AR628" s="143"/>
      <c r="AS628" s="143"/>
    </row>
    <row r="629" spans="1:45" ht="15" customHeight="1">
      <c r="A629" s="482" t="str">
        <f t="shared" si="49"/>
        <v>124i</v>
      </c>
      <c r="B629" s="1016" t="str">
        <f t="shared" si="50"/>
        <v>Negative</v>
      </c>
      <c r="C629" s="794" t="str">
        <f t="shared" si="51"/>
        <v>BF</v>
      </c>
      <c r="D629" s="21">
        <f t="shared" si="52"/>
        <v>23.166666666666668</v>
      </c>
      <c r="E629" s="21">
        <f>0.95*SQRT(Es*L562/(M495-0.3)/input!BI49)</f>
        <v>31.181024814475553</v>
      </c>
      <c r="F629" s="21">
        <f>0.57*SQRT(Es*L562/input!BI49/M495)</f>
        <v>15.652750183743734</v>
      </c>
      <c r="G629" s="21">
        <f>IF(D629&lt;=F629,1*O362*M495*input!BI49,IF(D629&lt;=E629,1*O362*input!BI49*(M495-(M495-(M495-0.3)/O362)*((D629-F629)/(E629-F629))),0.9*Es*1*L562/D629/D629))</f>
        <v>324.58533758550846</v>
      </c>
      <c r="H629" s="21">
        <f>IF(D629&lt;=1.12*SQRT(Es*M562/input!BI49),0.58*input!BI49,IF(D629&lt;=1.4*SQRT(Es*M562/input!BI49),0.65*SQRT(input!BI49*Es*M562)/D629,0.9*Es*M562/D629/D629))</f>
        <v>220.39999999999998</v>
      </c>
      <c r="I629" s="21">
        <f t="shared" si="53"/>
        <v>6.2549463990215118E-2</v>
      </c>
      <c r="J629" s="1824">
        <f t="shared" si="54"/>
        <v>324.58532451408411</v>
      </c>
      <c r="L629" s="143"/>
      <c r="M629" s="190"/>
      <c r="P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C629" s="73"/>
      <c r="AD629" s="73"/>
      <c r="AF629" s="73"/>
      <c r="AH629" s="143"/>
      <c r="AI629" s="143"/>
      <c r="AJ629" s="143"/>
      <c r="AK629" s="143"/>
      <c r="AL629" s="143"/>
      <c r="AM629" s="143"/>
      <c r="AN629" s="143"/>
      <c r="AO629" s="143"/>
      <c r="AP629" s="143"/>
      <c r="AQ629" s="143"/>
      <c r="AR629" s="143"/>
      <c r="AS629" s="143"/>
    </row>
    <row r="630" spans="1:45" ht="15" customHeight="1">
      <c r="A630" s="482" t="str">
        <f t="shared" si="49"/>
        <v>124j</v>
      </c>
      <c r="B630" s="1016" t="str">
        <f t="shared" si="50"/>
        <v>Negative</v>
      </c>
      <c r="C630" s="794" t="str">
        <f t="shared" si="51"/>
        <v>BF</v>
      </c>
      <c r="D630" s="21">
        <f t="shared" si="52"/>
        <v>23.166666666666668</v>
      </c>
      <c r="E630" s="21">
        <f>0.95*SQRT(Es*L563/(M496-0.3)/input!BI50)</f>
        <v>31.18102466282059</v>
      </c>
      <c r="F630" s="21">
        <f>0.57*SQRT(Es*L563/input!BI50/M496)</f>
        <v>15.652750130452604</v>
      </c>
      <c r="G630" s="21">
        <f>IF(D630&lt;=F630,1*O363*M496*input!BI50,IF(D630&lt;=E630,1*O363*input!BI50*(M496-(M496-(M496-0.3)/O363)*((D630-F630)/(E630-F630))),0.9*Es*1*L563/D630/D630))</f>
        <v>324.58533943378393</v>
      </c>
      <c r="H630" s="21">
        <f>IF(D630&lt;=1.12*SQRT(Es*M563/input!BI50),0.58*input!BI50,IF(D630&lt;=1.4*SQRT(Es*M563/input!BI50),0.65*SQRT(input!BI50*Es*M563)/D630,0.9*Es*M563/D630/D630))</f>
        <v>220.39999999999998</v>
      </c>
      <c r="I630" s="21">
        <f t="shared" si="53"/>
        <v>4.4112885819123683E-2</v>
      </c>
      <c r="J630" s="1824">
        <f t="shared" si="54"/>
        <v>324.58533293238725</v>
      </c>
      <c r="L630" s="143"/>
      <c r="M630" s="190"/>
      <c r="P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C630" s="73"/>
      <c r="AD630" s="73"/>
      <c r="AF630" s="73"/>
      <c r="AH630" s="143"/>
      <c r="AI630" s="143"/>
      <c r="AJ630" s="143"/>
      <c r="AK630" s="143"/>
      <c r="AL630" s="143"/>
      <c r="AM630" s="143"/>
      <c r="AN630" s="143"/>
      <c r="AO630" s="143"/>
      <c r="AP630" s="143"/>
      <c r="AQ630" s="143"/>
      <c r="AR630" s="143"/>
      <c r="AS630" s="143"/>
    </row>
    <row r="631" spans="1:45" ht="15" customHeight="1">
      <c r="A631" s="971" t="str">
        <f t="shared" si="49"/>
        <v>125i</v>
      </c>
      <c r="B631" s="1017" t="str">
        <f t="shared" si="50"/>
        <v>Negative</v>
      </c>
      <c r="C631" s="1006" t="str">
        <f t="shared" si="51"/>
        <v>BF</v>
      </c>
      <c r="D631" s="976">
        <f t="shared" si="52"/>
        <v>30.888888888888889</v>
      </c>
      <c r="E631" s="21">
        <f>0.95*SQRT(Es*L564/(M497-0.3)/input!BI51)</f>
        <v>36.00474579223053</v>
      </c>
      <c r="F631" s="21">
        <f>0.57*SQRT(Es*L564/input!BI51/M497)</f>
        <v>18.074238941906806</v>
      </c>
      <c r="G631" s="21">
        <f>IF(D631&lt;=F631,1*O364*M497*input!BI51,IF(D631&lt;=E631,1*O364*input!BI51*(M497-(M497-(M497-0.3)/O364)*((D631-F631)/(E631-F631))),0.9*Es*1*L564/D631/D631))</f>
        <v>298.37145271672239</v>
      </c>
      <c r="H631" s="21">
        <f>IF(D631&lt;=1.12*SQRT(Es*M564/input!BI51),0.58*input!BI51,IF(D631&lt;=1.4*SQRT(Es*M564/input!BI51),0.65*SQRT(input!BI51*Es*M564)/D631,0.9*Es*M564/D631/D631))</f>
        <v>205.00316201919566</v>
      </c>
      <c r="I631" s="976">
        <f t="shared" si="53"/>
        <v>1.2613158046474078E-3</v>
      </c>
      <c r="J631" s="1825">
        <f t="shared" si="54"/>
        <v>298.37145271107494</v>
      </c>
      <c r="L631" s="143"/>
      <c r="M631" s="190"/>
      <c r="P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C631" s="73"/>
      <c r="AD631" s="73"/>
      <c r="AF631" s="73"/>
      <c r="AH631" s="143"/>
      <c r="AI631" s="143"/>
      <c r="AJ631" s="143"/>
      <c r="AK631" s="143"/>
      <c r="AL631" s="143"/>
      <c r="AM631" s="143"/>
      <c r="AN631" s="143"/>
      <c r="AO631" s="143"/>
      <c r="AP631" s="143"/>
      <c r="AQ631" s="143"/>
      <c r="AR631" s="143"/>
      <c r="AS631" s="143"/>
    </row>
    <row r="632" spans="1:45" ht="15" customHeight="1">
      <c r="A632" s="979" t="str">
        <f t="shared" si="49"/>
        <v>125j</v>
      </c>
      <c r="B632" s="1018" t="str">
        <f t="shared" si="50"/>
        <v>Negative</v>
      </c>
      <c r="C632" s="1009" t="str">
        <f t="shared" si="51"/>
        <v>BF</v>
      </c>
      <c r="D632" s="984">
        <f t="shared" si="52"/>
        <v>30.888888888888889</v>
      </c>
      <c r="E632" s="21">
        <f>0.95*SQRT(Es*L565/(M498-0.3)/input!BI52)</f>
        <v>36.004745840700778</v>
      </c>
      <c r="F632" s="21">
        <f>0.57*SQRT(Es*L565/input!BI52/M498)</f>
        <v>18.074238958939119</v>
      </c>
      <c r="G632" s="21">
        <f>IF(D632&lt;=F632,1*O365*M498*input!BI52,IF(D632&lt;=E632,1*O365*input!BI52*(M498-(M498-(M498-0.3)/O365)*((D632-F632)/(E632-F632))),0.9*Es*1*L565/D632/D632))</f>
        <v>298.37145225077165</v>
      </c>
      <c r="H632" s="21">
        <f>IF(D632&lt;=1.12*SQRT(Es*M565/input!BI52),0.58*input!BI52,IF(D632&lt;=1.4*SQRT(Es*M565/input!BI52),0.65*SQRT(input!BI52*Es*M565)/D632,0.9*Es*M565/D632/D632))</f>
        <v>205.00316201919566</v>
      </c>
      <c r="I632" s="984">
        <f t="shared" si="53"/>
        <v>-2.3364373714659131E-2</v>
      </c>
      <c r="J632" s="1826">
        <f t="shared" si="54"/>
        <v>298.37145031294716</v>
      </c>
      <c r="L632" s="143"/>
      <c r="M632" s="190"/>
      <c r="P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C632" s="73"/>
      <c r="AD632" s="73"/>
      <c r="AF632" s="73"/>
      <c r="AH632" s="143"/>
      <c r="AI632" s="143"/>
      <c r="AJ632" s="143"/>
      <c r="AK632" s="143"/>
      <c r="AL632" s="143"/>
      <c r="AM632" s="143"/>
      <c r="AN632" s="143"/>
      <c r="AO632" s="143"/>
      <c r="AP632" s="143"/>
      <c r="AQ632" s="143"/>
      <c r="AR632" s="143"/>
      <c r="AS632" s="143"/>
    </row>
    <row r="633" spans="1:45" ht="15" customHeight="1">
      <c r="A633" s="482" t="str">
        <f t="shared" si="49"/>
        <v>126i</v>
      </c>
      <c r="B633" s="1016" t="str">
        <f t="shared" si="50"/>
        <v>Negative</v>
      </c>
      <c r="C633" s="794" t="str">
        <f t="shared" si="51"/>
        <v>BF</v>
      </c>
      <c r="D633" s="21">
        <f t="shared" si="52"/>
        <v>30.888888888888889</v>
      </c>
      <c r="E633" s="21">
        <f>0.95*SQRT(Es*L566/(M499-0.3)/input!BI53)</f>
        <v>36.004745840700778</v>
      </c>
      <c r="F633" s="21">
        <f>0.57*SQRT(Es*L566/input!BI53/M499)</f>
        <v>18.074238958939119</v>
      </c>
      <c r="G633" s="21">
        <f>IF(D633&lt;=F633,1*O366*M499*input!BI53,IF(D633&lt;=E633,1*O366*input!BI53*(M499-(M499-(M499-0.3)/O366)*((D633-F633)/(E633-F633))),0.9*Es*1*L566/D633/D633))</f>
        <v>298.37145225077165</v>
      </c>
      <c r="H633" s="21">
        <f>IF(D633&lt;=1.12*SQRT(Es*M566/input!BI53),0.58*input!BI53,IF(D633&lt;=1.4*SQRT(Es*M566/input!BI53),0.65*SQRT(input!BI53*Es*M566)/D633,0.9*Es*M566/D633/D633))</f>
        <v>205.00316201919566</v>
      </c>
      <c r="I633" s="21">
        <f t="shared" si="53"/>
        <v>-2.3364373714659131E-2</v>
      </c>
      <c r="J633" s="1824">
        <f t="shared" si="54"/>
        <v>298.37145031294716</v>
      </c>
      <c r="L633" s="143"/>
      <c r="M633" s="190"/>
      <c r="P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C633" s="73"/>
      <c r="AD633" s="73"/>
      <c r="AF633" s="73"/>
      <c r="AH633" s="143"/>
      <c r="AI633" s="143"/>
      <c r="AJ633" s="143"/>
      <c r="AK633" s="143"/>
      <c r="AL633" s="143"/>
      <c r="AM633" s="143"/>
      <c r="AN633" s="143"/>
      <c r="AO633" s="143"/>
      <c r="AP633" s="143"/>
      <c r="AQ633" s="143"/>
      <c r="AR633" s="143"/>
      <c r="AS633" s="143"/>
    </row>
    <row r="634" spans="1:45" ht="15" customHeight="1">
      <c r="A634" s="482" t="str">
        <f t="shared" si="49"/>
        <v>126j</v>
      </c>
      <c r="B634" s="1016" t="str">
        <f t="shared" si="50"/>
        <v>Negative</v>
      </c>
      <c r="C634" s="794" t="str">
        <f t="shared" si="51"/>
        <v>BF</v>
      </c>
      <c r="D634" s="21">
        <f t="shared" si="52"/>
        <v>30.888888888888889</v>
      </c>
      <c r="E634" s="21">
        <f>0.95*SQRT(Es*L567/(M500-0.3)/input!BI54)</f>
        <v>36.004745997175405</v>
      </c>
      <c r="F634" s="21">
        <f>0.57*SQRT(Es*L567/input!BI54/M500)</f>
        <v>18.074239013923865</v>
      </c>
      <c r="G634" s="21">
        <f>IF(D634&lt;=F634,1*O367*M500*input!BI54,IF(D634&lt;=E634,1*O367*input!BI54*(M500-(M500-(M500-0.3)/O367)*((D634-F634)/(E634-F634))),0.9*Es*1*L567/D634/D634))</f>
        <v>298.3714507465611</v>
      </c>
      <c r="H634" s="21">
        <f>IF(D634&lt;=1.12*SQRT(Es*M567/input!BI54),0.58*input!BI54,IF(D634&lt;=1.4*SQRT(Es*M567/input!BI54),0.65*SQRT(input!BI54*Es*M567)/D634,0.9*Es*M567/D634/D634))</f>
        <v>205.00316201919566</v>
      </c>
      <c r="I634" s="21">
        <f t="shared" si="53"/>
        <v>-4.799006323396568E-2</v>
      </c>
      <c r="J634" s="1824">
        <f t="shared" si="54"/>
        <v>298.37144257116506</v>
      </c>
      <c r="L634" s="143"/>
      <c r="M634" s="190"/>
      <c r="P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C634" s="73"/>
      <c r="AD634" s="73"/>
      <c r="AF634" s="73"/>
      <c r="AH634" s="143"/>
      <c r="AI634" s="143"/>
      <c r="AJ634" s="143"/>
      <c r="AK634" s="143"/>
      <c r="AL634" s="143"/>
      <c r="AM634" s="143"/>
      <c r="AN634" s="143"/>
      <c r="AO634" s="143"/>
      <c r="AP634" s="143"/>
      <c r="AQ634" s="143"/>
      <c r="AR634" s="143"/>
      <c r="AS634" s="143"/>
    </row>
    <row r="635" spans="1:45" ht="15" customHeight="1">
      <c r="A635" s="482" t="str">
        <f t="shared" si="49"/>
        <v>127i</v>
      </c>
      <c r="B635" s="1016" t="str">
        <f t="shared" si="50"/>
        <v>Negative</v>
      </c>
      <c r="C635" s="794" t="str">
        <f t="shared" si="51"/>
        <v>BF</v>
      </c>
      <c r="D635" s="21">
        <f t="shared" si="52"/>
        <v>55.6</v>
      </c>
      <c r="E635" s="21">
        <f>0.95*SQRT(Es*L568/(M501-0.3)/input!BI55)</f>
        <v>48.305435540223819</v>
      </c>
      <c r="F635" s="21">
        <f>0.57*SQRT(Es*L568/input!BI55/M501)</f>
        <v>24.249136176747879</v>
      </c>
      <c r="G635" s="21">
        <f>IF(D635&lt;=F635,1*O368*M501*input!BI55,IF(D635&lt;=E635,1*O368*input!BI55*(M501-(M501-(M501-0.3)/O368)*((D635-F635)/(E635-F635))),0.9*Es*1*L568/D635/D635))</f>
        <v>200.22548549206545</v>
      </c>
      <c r="H635" s="21">
        <f>IF(D635&lt;=1.12*SQRT(Es*M568/input!BI55),0.58*input!BI55,IF(D635&lt;=1.4*SQRT(Es*M568/input!BI55),0.65*SQRT(input!BI55*Es*M568)/D635,0.9*Es*M568/D635/D635))</f>
        <v>101.86203152235761</v>
      </c>
      <c r="I635" s="21">
        <f t="shared" si="53"/>
        <v>-2.5550859201773836E-2</v>
      </c>
      <c r="J635" s="1824">
        <f>IF(C635="OF","OF",G635*SQRT(1-(I635/H635)^2))</f>
        <v>200.22547919300584</v>
      </c>
      <c r="L635" s="143"/>
      <c r="M635" s="190"/>
      <c r="P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C635" s="73"/>
      <c r="AD635" s="73"/>
      <c r="AF635" s="73"/>
      <c r="AH635" s="143"/>
      <c r="AI635" s="143"/>
      <c r="AJ635" s="143"/>
      <c r="AK635" s="143"/>
      <c r="AL635" s="143"/>
      <c r="AM635" s="143"/>
      <c r="AN635" s="143"/>
      <c r="AO635" s="143"/>
      <c r="AP635" s="143"/>
      <c r="AQ635" s="143"/>
      <c r="AR635" s="143"/>
      <c r="AS635" s="143"/>
    </row>
    <row r="636" spans="1:45" ht="15" customHeight="1">
      <c r="A636" s="482" t="str">
        <f t="shared" si="49"/>
        <v>127j</v>
      </c>
      <c r="B636" s="1016" t="str">
        <f t="shared" si="50"/>
        <v>Positive</v>
      </c>
      <c r="C636" s="794" t="str">
        <f t="shared" si="51"/>
        <v>OF</v>
      </c>
      <c r="D636" s="21">
        <f t="shared" si="52"/>
        <v>22.727272727272727</v>
      </c>
      <c r="E636" s="21">
        <f>0.95*SQRT(Es*L569/(M502-0.3)/input!BI56)</f>
        <v>53.385391393602042</v>
      </c>
      <c r="F636" s="21">
        <f>0.57*SQRT(Es*L569/input!BI56/M502)</f>
        <v>26.799253767845123</v>
      </c>
      <c r="G636" s="21">
        <f>IF(D636&lt;=F636,1*O369*M502*input!BI56,IF(D636&lt;=E636,1*O369*input!BI56*(M502-(M502-(M502-0.3)/O369)*((D636-F636)/(E636-F636))),0.9*Es*1*L569/D636/D636))</f>
        <v>379.50317616661346</v>
      </c>
      <c r="H636" s="21">
        <f>IF(D636&lt;=1.12*SQRT(Es*M569/input!BI56),0.58*input!BI56,IF(D636&lt;=1.4*SQRT(Es*M569/input!BI56),0.65*SQRT(input!BI56*Es*M569)/D636,0.9*Es*M569/D636/D636))</f>
        <v>220.39999999999998</v>
      </c>
      <c r="I636" s="21">
        <f t="shared" si="53"/>
        <v>-3.1790938066921993E-2</v>
      </c>
      <c r="J636" s="1824" t="str">
        <f t="shared" si="54"/>
        <v>OF</v>
      </c>
      <c r="L636" s="143"/>
      <c r="M636" s="190"/>
      <c r="P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C636" s="73"/>
      <c r="AD636" s="73"/>
      <c r="AF636" s="73"/>
      <c r="AH636" s="143"/>
      <c r="AI636" s="143"/>
      <c r="AJ636" s="143"/>
      <c r="AK636" s="143"/>
      <c r="AL636" s="143"/>
      <c r="AM636" s="143"/>
      <c r="AN636" s="143"/>
      <c r="AO636" s="143"/>
      <c r="AP636" s="143"/>
      <c r="AQ636" s="143"/>
      <c r="AR636" s="143"/>
      <c r="AS636" s="143"/>
    </row>
    <row r="637" spans="1:45" ht="15" customHeight="1">
      <c r="A637" s="482" t="str">
        <f t="shared" si="49"/>
        <v>128i</v>
      </c>
      <c r="B637" s="1016" t="str">
        <f t="shared" si="50"/>
        <v>Positive</v>
      </c>
      <c r="C637" s="794" t="str">
        <f t="shared" si="51"/>
        <v>OF</v>
      </c>
      <c r="D637" s="21">
        <f t="shared" si="52"/>
        <v>22.727272727272727</v>
      </c>
      <c r="E637" s="21">
        <f>0.95*SQRT(Es*L570/(M503-0.3)/input!BI57)</f>
        <v>53.385391393602042</v>
      </c>
      <c r="F637" s="21">
        <f>0.57*SQRT(Es*L570/input!BI57/M503)</f>
        <v>26.799253767845123</v>
      </c>
      <c r="G637" s="21">
        <f>IF(D637&lt;=F637,1*O370*M503*input!BI57,IF(D637&lt;=E637,1*O370*input!BI57*(M503-(M503-(M503-0.3)/O370)*((D637-F637)/(E637-F637))),0.9*Es*1*L570/D637/D637))</f>
        <v>379.50317616661346</v>
      </c>
      <c r="H637" s="21">
        <f>IF(D637&lt;=1.12*SQRT(Es*M570/input!BI57),0.58*input!BI57,IF(D637&lt;=1.4*SQRT(Es*M570/input!BI57),0.65*SQRT(input!BI57*Es*M570)/D637,0.9*Es*M570/D637/D637))</f>
        <v>220.39999999999998</v>
      </c>
      <c r="I637" s="21">
        <f t="shared" si="53"/>
        <v>-3.1790938066921993E-2</v>
      </c>
      <c r="J637" s="1824" t="str">
        <f t="shared" si="54"/>
        <v>OF</v>
      </c>
      <c r="L637" s="143"/>
      <c r="M637" s="190"/>
      <c r="P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C637" s="73"/>
      <c r="AD637" s="73"/>
      <c r="AF637" s="73"/>
      <c r="AH637" s="143"/>
      <c r="AI637" s="143"/>
      <c r="AJ637" s="143"/>
      <c r="AK637" s="143"/>
      <c r="AL637" s="143"/>
      <c r="AM637" s="143"/>
      <c r="AN637" s="143"/>
      <c r="AO637" s="143"/>
      <c r="AP637" s="143"/>
      <c r="AQ637" s="143"/>
      <c r="AR637" s="143"/>
      <c r="AS637" s="143"/>
    </row>
    <row r="638" spans="1:45" ht="15" customHeight="1">
      <c r="A638" s="482" t="str">
        <f t="shared" si="49"/>
        <v>128j</v>
      </c>
      <c r="B638" s="1016" t="str">
        <f t="shared" si="50"/>
        <v>Positive</v>
      </c>
      <c r="C638" s="794" t="str">
        <f t="shared" si="51"/>
        <v>OF</v>
      </c>
      <c r="D638" s="21">
        <f t="shared" si="52"/>
        <v>22.727272727272727</v>
      </c>
      <c r="E638" s="21">
        <f>0.95*SQRT(Es*L571/(M504-0.3)/input!BI58)</f>
        <v>53.385391616744535</v>
      </c>
      <c r="F638" s="21">
        <f>0.57*SQRT(Es*L571/input!BI58/M504)</f>
        <v>26.799253846256772</v>
      </c>
      <c r="G638" s="21">
        <f>IF(D638&lt;=F638,1*O371*M504*input!BI58,IF(D638&lt;=E638,1*O371*input!BI58*(M504-(M504-(M504-0.3)/O371)*((D638-F638)/(E638-F638))),0.9*Es*1*L571/D638/D638))</f>
        <v>379.50317394584494</v>
      </c>
      <c r="H638" s="21">
        <f>IF(D638&lt;=1.12*SQRT(Es*M571/input!BI58),0.58*input!BI58,IF(D638&lt;=1.4*SQRT(Es*M571/input!BI58),0.65*SQRT(input!BI58*Es*M571)/D638,0.9*Es*M571/D638/D638))</f>
        <v>220.39999999999998</v>
      </c>
      <c r="I638" s="21">
        <f t="shared" si="53"/>
        <v>-5.1967849223946781E-2</v>
      </c>
      <c r="J638" s="1824" t="str">
        <f t="shared" si="54"/>
        <v>OF</v>
      </c>
      <c r="L638" s="143"/>
      <c r="M638" s="190"/>
      <c r="P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C638" s="73"/>
      <c r="AD638" s="73"/>
      <c r="AF638" s="73"/>
      <c r="AH638" s="143"/>
      <c r="AI638" s="143"/>
      <c r="AJ638" s="143"/>
      <c r="AK638" s="143"/>
      <c r="AL638" s="143"/>
      <c r="AM638" s="143"/>
      <c r="AN638" s="143"/>
      <c r="AO638" s="143"/>
      <c r="AP638" s="143"/>
      <c r="AQ638" s="143"/>
      <c r="AR638" s="143"/>
      <c r="AS638" s="143"/>
    </row>
    <row r="639" spans="1:45" ht="15" customHeight="1">
      <c r="A639" s="482" t="str">
        <f t="shared" si="49"/>
        <v>129i</v>
      </c>
      <c r="B639" s="1016" t="str">
        <f t="shared" si="50"/>
        <v>Positive</v>
      </c>
      <c r="C639" s="794" t="str">
        <f t="shared" si="51"/>
        <v>OF</v>
      </c>
      <c r="D639" s="21">
        <f t="shared" si="52"/>
        <v>22.727272727272727</v>
      </c>
      <c r="E639" s="21">
        <f>0.95*SQRT(Es*L572/(M505-0.3)/input!BI59)</f>
        <v>53.385394965410889</v>
      </c>
      <c r="F639" s="21">
        <f>0.57*SQRT(Es*L572/input!BI59/M505)</f>
        <v>26.799255022968755</v>
      </c>
      <c r="G639" s="21">
        <f>IF(D639&lt;=F639,1*O372*M505*input!BI59,IF(D639&lt;=E639,1*O372*input!BI59*(M505-(M505-(M505-0.3)/O372)*((D639-F639)/(E639-F639))),0.9*Es*1*L572/D639/D639))</f>
        <v>379.50314061910353</v>
      </c>
      <c r="H639" s="21">
        <f>IF(D639&lt;=1.12*SQRT(Es*M572/input!BI59),0.58*input!BI59,IF(D639&lt;=1.4*SQRT(Es*M572/input!BI59),0.65*SQRT(input!BI59*Es*M572)/D639,0.9*Es*M572/D639/D639))</f>
        <v>220.39999999999998</v>
      </c>
      <c r="I639" s="21">
        <f t="shared" si="53"/>
        <v>-0.16751757458173755</v>
      </c>
      <c r="J639" s="1824" t="str">
        <f t="shared" si="54"/>
        <v>OF</v>
      </c>
      <c r="L639" s="143"/>
      <c r="M639" s="190"/>
      <c r="P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C639" s="73"/>
      <c r="AD639" s="73"/>
      <c r="AF639" s="73"/>
      <c r="AH639" s="143"/>
      <c r="AI639" s="143"/>
      <c r="AJ639" s="143"/>
      <c r="AK639" s="143"/>
      <c r="AL639" s="143"/>
      <c r="AM639" s="143"/>
      <c r="AN639" s="143"/>
      <c r="AO639" s="143"/>
      <c r="AP639" s="143"/>
      <c r="AQ639" s="143"/>
      <c r="AR639" s="143"/>
      <c r="AS639" s="143"/>
    </row>
    <row r="640" spans="1:45" ht="15" customHeight="1">
      <c r="A640" s="482" t="str">
        <f t="shared" si="49"/>
        <v>129j</v>
      </c>
      <c r="B640" s="1016" t="str">
        <f t="shared" si="50"/>
        <v>Positive</v>
      </c>
      <c r="C640" s="794" t="str">
        <f t="shared" si="51"/>
        <v>OF</v>
      </c>
      <c r="D640" s="21">
        <f t="shared" si="52"/>
        <v>22.727272727272727</v>
      </c>
      <c r="E640" s="21">
        <f>0.95*SQRT(Es*L573/(M506-0.3)/input!BI60)</f>
        <v>53.385396209044892</v>
      </c>
      <c r="F640" s="21">
        <f>0.57*SQRT(Es*L573/input!BI60/M506)</f>
        <v>26.799255459978237</v>
      </c>
      <c r="G640" s="21">
        <f>IF(D640&lt;=F640,1*O373*M506*input!BI60,IF(D640&lt;=E640,1*O373*input!BI60*(M506-(M506-(M506-0.3)/O373)*((D640-F640)/(E640-F640))),0.9*Es*1*L573/D640/D640))</f>
        <v>379.50312824215729</v>
      </c>
      <c r="H640" s="21">
        <f>IF(D640&lt;=1.12*SQRT(Es*M573/input!BI60),0.58*input!BI60,IF(D640&lt;=1.4*SQRT(Es*M573/input!BI60),0.65*SQRT(input!BI60*Es*M573)/D640,0.9*Es*M573/D640/D640))</f>
        <v>220.39999999999998</v>
      </c>
      <c r="I640" s="21">
        <f t="shared" si="53"/>
        <v>-0.1935999231505745</v>
      </c>
      <c r="J640" s="1824" t="str">
        <f t="shared" si="54"/>
        <v>OF</v>
      </c>
      <c r="L640" s="143"/>
      <c r="M640" s="190"/>
      <c r="P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C640" s="73"/>
      <c r="AD640" s="73"/>
      <c r="AF640" s="73"/>
      <c r="AH640" s="143"/>
      <c r="AI640" s="143"/>
      <c r="AJ640" s="143"/>
      <c r="AK640" s="143"/>
      <c r="AL640" s="143"/>
      <c r="AM640" s="143"/>
      <c r="AN640" s="143"/>
      <c r="AO640" s="143"/>
      <c r="AP640" s="143"/>
      <c r="AQ640" s="143"/>
      <c r="AR640" s="143"/>
      <c r="AS640" s="143"/>
    </row>
    <row r="641" spans="1:45" ht="15" customHeight="1">
      <c r="A641" s="482" t="str">
        <f t="shared" si="49"/>
        <v>130i</v>
      </c>
      <c r="B641" s="1016" t="str">
        <f t="shared" si="50"/>
        <v>Positive</v>
      </c>
      <c r="C641" s="794" t="str">
        <f t="shared" si="51"/>
        <v>OF</v>
      </c>
      <c r="D641" s="21">
        <f t="shared" si="52"/>
        <v>22.727272727272727</v>
      </c>
      <c r="E641" s="21">
        <f>0.95*SQRT(Es*L574/(M507-0.3)/input!BI61)</f>
        <v>53.385397137149383</v>
      </c>
      <c r="F641" s="21">
        <f>0.57*SQRT(Es*L574/input!BI61/M507)</f>
        <v>26.799255786111537</v>
      </c>
      <c r="G641" s="21">
        <f>IF(D641&lt;=F641,1*O374*M507*input!BI61,IF(D641&lt;=E641,1*O374*input!BI61*(M507-(M507-(M507-0.3)/O374)*((D641-F641)/(E641-F641))),0.9*Es*1*L574/D641/D641))</f>
        <v>379.53151901071135</v>
      </c>
      <c r="H641" s="21">
        <f>IF(D641&lt;=1.12*SQRT(Es*M574/input!BI61),0.58*input!BI61,IF(D641&lt;=1.4*SQRT(Es*M574/input!BI61),0.65*SQRT(input!BI61*Es*M574)/D641,0.9*Es*M574/D641/D641))</f>
        <v>220.39999999999998</v>
      </c>
      <c r="I641" s="21">
        <f t="shared" si="53"/>
        <v>-0.21097399410345388</v>
      </c>
      <c r="J641" s="1824" t="str">
        <f t="shared" si="54"/>
        <v>OF</v>
      </c>
      <c r="L641" s="143"/>
      <c r="M641" s="190"/>
      <c r="P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C641" s="73"/>
      <c r="AD641" s="73"/>
      <c r="AF641" s="73"/>
      <c r="AH641" s="143"/>
      <c r="AI641" s="143"/>
      <c r="AJ641" s="143"/>
      <c r="AK641" s="143"/>
      <c r="AL641" s="143"/>
      <c r="AM641" s="143"/>
      <c r="AN641" s="143"/>
      <c r="AO641" s="143"/>
      <c r="AP641" s="143"/>
      <c r="AQ641" s="143"/>
      <c r="AR641" s="143"/>
      <c r="AS641" s="143"/>
    </row>
    <row r="642" spans="1:45" ht="15" customHeight="1">
      <c r="A642" s="482" t="str">
        <f t="shared" si="49"/>
        <v>130j</v>
      </c>
      <c r="B642" s="1016" t="str">
        <f t="shared" si="50"/>
        <v>Negative</v>
      </c>
      <c r="C642" s="794" t="str">
        <f t="shared" si="51"/>
        <v>BF</v>
      </c>
      <c r="D642" s="21">
        <f t="shared" si="52"/>
        <v>55.6</v>
      </c>
      <c r="E642" s="21">
        <f>0.95*SQRT(Es*L575/(M508-0.3)/input!BI62)</f>
        <v>48.30545536010554</v>
      </c>
      <c r="F642" s="21">
        <f>0.57*SQRT(Es*L575/input!BI62/M508)</f>
        <v>24.249143141397749</v>
      </c>
      <c r="G642" s="21">
        <f>IF(D642&lt;=F642,1*O375*M508*input!BI62,IF(D642&lt;=E642,1*O375*input!BI62*(M508-(M508-(M508-0.3)/O375)*((D642-F642)/(E642-F642))),0.9*Es*1*L575/D642/D642))</f>
        <v>200.22548549206545</v>
      </c>
      <c r="H642" s="21">
        <f>IF(D642&lt;=1.12*SQRT(Es*M575/input!BI62),0.58*input!BI62,IF(D642&lt;=1.4*SQRT(Es*M575/input!BI62),0.65*SQRT(input!BI62*Es*M575)/D642,0.9*Es*M575/D642/D642))</f>
        <v>101.86203152235761</v>
      </c>
      <c r="I642" s="21">
        <f t="shared" si="53"/>
        <v>-0.40810114395741304</v>
      </c>
      <c r="J642" s="1824">
        <f t="shared" si="54"/>
        <v>200.22387854319047</v>
      </c>
      <c r="L642" s="143"/>
      <c r="M642" s="190"/>
      <c r="P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C642" s="73"/>
      <c r="AD642" s="73"/>
      <c r="AF642" s="73"/>
      <c r="AH642" s="143"/>
      <c r="AI642" s="143"/>
      <c r="AJ642" s="143"/>
      <c r="AK642" s="143"/>
      <c r="AL642" s="143"/>
      <c r="AM642" s="143"/>
      <c r="AN642" s="143"/>
      <c r="AO642" s="143"/>
      <c r="AP642" s="143"/>
      <c r="AQ642" s="143"/>
      <c r="AR642" s="143"/>
      <c r="AS642" s="143"/>
    </row>
    <row r="643" spans="1:45" ht="15" customHeight="1">
      <c r="A643" s="482" t="str">
        <f t="shared" si="49"/>
        <v>131i</v>
      </c>
      <c r="B643" s="1016" t="str">
        <f t="shared" si="50"/>
        <v>Negative</v>
      </c>
      <c r="C643" s="794" t="str">
        <f t="shared" si="51"/>
        <v>BF</v>
      </c>
      <c r="D643" s="21">
        <f t="shared" si="52"/>
        <v>55.6</v>
      </c>
      <c r="E643" s="21">
        <f>0.95*SQRT(Es*L576/(M509-0.3)/input!BI63)</f>
        <v>48.305435475696825</v>
      </c>
      <c r="F643" s="21">
        <f>0.57*SQRT(Es*L576/input!BI63/M509)</f>
        <v>24.249136154073273</v>
      </c>
      <c r="G643" s="21">
        <f>IF(D643&lt;=F643,1*O376*M509*input!BI63,IF(D643&lt;=E643,1*O376*input!BI63*(M509-(M509-(M509-0.3)/O376)*((D643-F643)/(E643-F643))),0.9*Es*1*L576/D643/D643))</f>
        <v>200.22548549206545</v>
      </c>
      <c r="H643" s="21">
        <f>IF(D643&lt;=1.12*SQRT(Es*M576/input!BI63),0.58*input!BI63,IF(D643&lt;=1.4*SQRT(Es*M576/input!BI63),0.65*SQRT(input!BI63*Es*M576)/D643,0.9*Es*M576/D643/D643))</f>
        <v>101.86203152235761</v>
      </c>
      <c r="I643" s="21">
        <f t="shared" si="53"/>
        <v>-1.0618416581719333E-2</v>
      </c>
      <c r="J643" s="1824">
        <f t="shared" si="54"/>
        <v>200.22548440417737</v>
      </c>
      <c r="L643" s="143"/>
      <c r="M643" s="190"/>
      <c r="P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C643" s="73"/>
      <c r="AD643" s="73"/>
      <c r="AF643" s="73"/>
      <c r="AH643" s="143"/>
      <c r="AI643" s="143"/>
      <c r="AJ643" s="143"/>
      <c r="AK643" s="143"/>
      <c r="AL643" s="143"/>
      <c r="AM643" s="143"/>
      <c r="AN643" s="143"/>
      <c r="AO643" s="143"/>
      <c r="AP643" s="143"/>
      <c r="AQ643" s="143"/>
      <c r="AR643" s="143"/>
      <c r="AS643" s="143"/>
    </row>
    <row r="644" spans="1:45" ht="15" customHeight="1">
      <c r="A644" s="482" t="str">
        <f t="shared" si="49"/>
        <v>131j</v>
      </c>
      <c r="B644" s="1016" t="str">
        <f t="shared" si="50"/>
        <v>Positive</v>
      </c>
      <c r="C644" s="794" t="str">
        <f t="shared" si="51"/>
        <v>OF</v>
      </c>
      <c r="D644" s="21">
        <f t="shared" si="52"/>
        <v>22.727272727272727</v>
      </c>
      <c r="E644" s="21">
        <f>0.95*SQRT(Es*L577/(M510-0.3)/input!BI64)</f>
        <v>53.385391260156553</v>
      </c>
      <c r="F644" s="21">
        <f>0.57*SQRT(Es*L577/input!BI64/M510)</f>
        <v>26.799253720952752</v>
      </c>
      <c r="G644" s="21">
        <f>IF(D644&lt;=F644,1*O377*M510*input!BI64,IF(D644&lt;=E644,1*O377*input!BI64*(M510-(M510-(M510-0.3)/O377)*((D644-F644)/(E644-F644))),0.9*Es*1*L577/D644/D644))</f>
        <v>379.53157750434622</v>
      </c>
      <c r="H644" s="21">
        <f>IF(D644&lt;=1.12*SQRT(Es*M577/input!BI64),0.58*input!BI64,IF(D644&lt;=1.4*SQRT(Es*M577/input!BI64),0.65*SQRT(input!BI64*Es*M577)/D644,0.9*Es*M577/D644/D644))</f>
        <v>220.39999999999998</v>
      </c>
      <c r="I644" s="21">
        <f t="shared" si="53"/>
        <v>0</v>
      </c>
      <c r="J644" s="1824" t="str">
        <f t="shared" si="54"/>
        <v>OF</v>
      </c>
      <c r="L644" s="143"/>
      <c r="M644" s="190"/>
      <c r="P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C644" s="73"/>
      <c r="AD644" s="73"/>
      <c r="AF644" s="73"/>
      <c r="AH644" s="143"/>
      <c r="AI644" s="143"/>
      <c r="AJ644" s="143"/>
      <c r="AK644" s="143"/>
      <c r="AL644" s="143"/>
      <c r="AM644" s="143"/>
      <c r="AN644" s="143"/>
      <c r="AO644" s="143"/>
      <c r="AP644" s="143"/>
      <c r="AQ644" s="143"/>
      <c r="AR644" s="143"/>
      <c r="AS644" s="143"/>
    </row>
    <row r="645" spans="1:45" ht="15" customHeight="1">
      <c r="A645" s="181"/>
      <c r="B645" s="181"/>
      <c r="C645" s="219"/>
      <c r="D645" s="219"/>
      <c r="E645" s="123"/>
      <c r="F645" s="123"/>
      <c r="G645" s="123"/>
      <c r="H645" s="123"/>
      <c r="I645" s="220"/>
      <c r="J645" s="220"/>
      <c r="K645" s="181"/>
      <c r="L645" s="181"/>
      <c r="M645" s="123"/>
      <c r="N645" s="123"/>
      <c r="O645" s="123"/>
      <c r="P645" s="123"/>
      <c r="Q645" s="123"/>
    </row>
    <row r="646" spans="1:45" ht="15" customHeight="1" thickBot="1">
      <c r="A646" s="468" t="s">
        <v>3333</v>
      </c>
      <c r="B646" s="1795"/>
      <c r="C646" s="121"/>
      <c r="D646" s="120"/>
      <c r="E646" s="121"/>
      <c r="F646" s="1795"/>
      <c r="G646" s="1795"/>
      <c r="H646" s="1793"/>
      <c r="I646" s="56"/>
      <c r="L646" s="143"/>
      <c r="P646" s="1790"/>
      <c r="S646" s="73"/>
      <c r="U646" s="1794"/>
      <c r="V646" s="73"/>
      <c r="W646" s="1794"/>
      <c r="X646" s="73"/>
      <c r="Y646" s="73"/>
      <c r="Z646" s="73"/>
      <c r="AA646" s="73"/>
      <c r="AC646" s="73"/>
      <c r="AD646" s="73"/>
      <c r="AF646" s="73"/>
      <c r="AK646" s="143"/>
      <c r="AL646" s="143"/>
      <c r="AM646" s="143"/>
      <c r="AN646" s="143"/>
      <c r="AO646" s="143"/>
      <c r="AP646" s="143"/>
      <c r="AQ646" s="143"/>
      <c r="AR646" s="143"/>
      <c r="AS646" s="143"/>
    </row>
    <row r="647" spans="1:45" ht="15" customHeight="1">
      <c r="A647" s="659" t="s">
        <v>16</v>
      </c>
      <c r="B647" s="1789" t="s">
        <v>693</v>
      </c>
      <c r="C647" s="1926" t="s">
        <v>3328</v>
      </c>
      <c r="D647" s="1926"/>
      <c r="E647" s="1926"/>
      <c r="F647" s="1926"/>
      <c r="G647" s="1926" t="s">
        <v>3329</v>
      </c>
      <c r="H647" s="1926"/>
      <c r="I647" s="1926"/>
      <c r="J647" s="1926"/>
      <c r="K647" s="1927"/>
      <c r="L647" s="143"/>
      <c r="M647" s="1790"/>
      <c r="P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C647" s="73"/>
      <c r="AD647" s="73"/>
      <c r="AF647" s="73"/>
      <c r="AH647" s="143"/>
      <c r="AI647" s="143"/>
      <c r="AJ647" s="143"/>
      <c r="AK647" s="143"/>
      <c r="AL647" s="143"/>
      <c r="AM647" s="143"/>
      <c r="AN647" s="143"/>
      <c r="AO647" s="143"/>
      <c r="AP647" s="143"/>
      <c r="AQ647" s="143"/>
      <c r="AR647" s="143"/>
      <c r="AS647" s="143"/>
    </row>
    <row r="648" spans="1:45" ht="15" customHeight="1">
      <c r="A648" s="661"/>
      <c r="B648" s="1791" t="s">
        <v>694</v>
      </c>
      <c r="C648" s="621" t="s">
        <v>3325</v>
      </c>
      <c r="D648" s="621" t="s">
        <v>3330</v>
      </c>
      <c r="E648" s="621" t="s">
        <v>3331</v>
      </c>
      <c r="F648" s="621" t="s">
        <v>153</v>
      </c>
      <c r="G648" s="621" t="s">
        <v>3325</v>
      </c>
      <c r="H648" s="621" t="s">
        <v>3327</v>
      </c>
      <c r="I648" s="621" t="s">
        <v>288</v>
      </c>
      <c r="J648" s="524" t="s">
        <v>3326</v>
      </c>
      <c r="K648" s="632" t="s">
        <v>3332</v>
      </c>
      <c r="L648" s="143"/>
      <c r="M648" s="1790"/>
      <c r="P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C648" s="73"/>
      <c r="AD648" s="73"/>
      <c r="AF648" s="73"/>
      <c r="AH648" s="143"/>
      <c r="AI648" s="143"/>
      <c r="AJ648" s="143"/>
      <c r="AK648" s="143"/>
      <c r="AL648" s="143"/>
      <c r="AM648" s="143"/>
      <c r="AN648" s="143"/>
      <c r="AO648" s="143"/>
      <c r="AP648" s="143"/>
      <c r="AQ648" s="143"/>
      <c r="AR648" s="143"/>
      <c r="AS648" s="143"/>
    </row>
    <row r="649" spans="1:45" ht="15" customHeight="1">
      <c r="A649" s="482" t="str">
        <f>A95</f>
        <v>101i</v>
      </c>
      <c r="B649" s="1016" t="str">
        <f>D161</f>
        <v>Negative</v>
      </c>
      <c r="C649" s="794" t="str">
        <f>IF(B382="Positive",IF(input!F3=2,"OF","BF"),"BF")</f>
        <v>BF</v>
      </c>
      <c r="D649" s="21" t="str">
        <f>M382</f>
        <v>BF</v>
      </c>
      <c r="E649" s="21">
        <f>J583</f>
        <v>240.2705825904784</v>
      </c>
      <c r="F649" s="21">
        <f>IF(C649="BF",E649,D649)</f>
        <v>240.2705825904784</v>
      </c>
      <c r="G649" s="794" t="str">
        <f>IF(B382="Positive","BF",IF(input!F3=2,"OF","BF"))</f>
        <v>OF</v>
      </c>
      <c r="H649" s="21">
        <f>IF(B649="Positive",input!BJ3,input!BI3)</f>
        <v>380</v>
      </c>
      <c r="I649" s="21">
        <f t="shared" ref="I649:I680" si="55">H649*O316</f>
        <v>379.51910719072885</v>
      </c>
      <c r="J649" s="21">
        <f t="shared" ref="J649:J680" si="56">I649*M449</f>
        <v>379.51910719072885</v>
      </c>
      <c r="K649" s="597">
        <f>IF(G649="BF",J649,I649)</f>
        <v>379.51910719072885</v>
      </c>
      <c r="L649" s="143"/>
      <c r="M649" s="1790"/>
      <c r="P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C649" s="73"/>
      <c r="AD649" s="73"/>
      <c r="AF649" s="73"/>
      <c r="AH649" s="143"/>
      <c r="AI649" s="143"/>
      <c r="AJ649" s="143"/>
      <c r="AK649" s="143"/>
      <c r="AL649" s="143"/>
      <c r="AM649" s="143"/>
      <c r="AN649" s="143"/>
      <c r="AO649" s="143"/>
      <c r="AP649" s="143"/>
      <c r="AQ649" s="143"/>
      <c r="AR649" s="143"/>
      <c r="AS649" s="143"/>
    </row>
    <row r="650" spans="1:45" ht="15" customHeight="1">
      <c r="A650" s="482" t="str">
        <f t="shared" ref="A650:A710" si="57">A96</f>
        <v>101j</v>
      </c>
      <c r="B650" s="1016" t="str">
        <f t="shared" ref="B650:B710" si="58">D162</f>
        <v>Negative</v>
      </c>
      <c r="C650" s="794" t="str">
        <f>IF(B383="Positive",IF(input!F4=2,"OF","BF"),"BF")</f>
        <v>BF</v>
      </c>
      <c r="D650" s="21" t="str">
        <f t="shared" ref="D650:D710" si="59">M383</f>
        <v>BF</v>
      </c>
      <c r="E650" s="21">
        <f t="shared" ref="E650:E710" si="60">J584</f>
        <v>240.27058204226756</v>
      </c>
      <c r="F650" s="21">
        <f t="shared" ref="F650:F710" si="61">IF(C650="BF",E650,D650)</f>
        <v>240.27058204226756</v>
      </c>
      <c r="G650" s="794" t="str">
        <f>IF(B383="Positive","BF",IF(input!F4=2,"OF","BF"))</f>
        <v>OF</v>
      </c>
      <c r="H650" s="21">
        <f>IF(B650="Positive",input!BJ4,input!BI4)</f>
        <v>380</v>
      </c>
      <c r="I650" s="21">
        <f t="shared" si="55"/>
        <v>379.51910719072885</v>
      </c>
      <c r="J650" s="21">
        <f t="shared" si="56"/>
        <v>379.51910708791263</v>
      </c>
      <c r="K650" s="597">
        <f t="shared" ref="K650:K710" si="62">IF(G650="BF",J650,I650)</f>
        <v>379.51910719072885</v>
      </c>
      <c r="L650" s="143"/>
      <c r="M650" s="1790"/>
      <c r="P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C650" s="73"/>
      <c r="AD650" s="73"/>
      <c r="AF650" s="73"/>
      <c r="AH650" s="143"/>
      <c r="AI650" s="143"/>
      <c r="AJ650" s="143"/>
      <c r="AK650" s="143"/>
      <c r="AL650" s="143"/>
      <c r="AM650" s="143"/>
      <c r="AN650" s="143"/>
      <c r="AO650" s="143"/>
      <c r="AP650" s="143"/>
      <c r="AQ650" s="143"/>
      <c r="AR650" s="143"/>
      <c r="AS650" s="143"/>
    </row>
    <row r="651" spans="1:45" ht="15" customHeight="1">
      <c r="A651" s="482" t="str">
        <f t="shared" si="57"/>
        <v>102i</v>
      </c>
      <c r="B651" s="1016" t="str">
        <f t="shared" si="58"/>
        <v>Negative</v>
      </c>
      <c r="C651" s="794" t="str">
        <f>IF(B384="Positive",IF(input!F5=2,"OF","BF"),"BF")</f>
        <v>BF</v>
      </c>
      <c r="D651" s="21" t="str">
        <f t="shared" si="59"/>
        <v>BF</v>
      </c>
      <c r="E651" s="21">
        <f t="shared" si="60"/>
        <v>240.26979328570704</v>
      </c>
      <c r="F651" s="21">
        <f t="shared" si="61"/>
        <v>240.26979328570704</v>
      </c>
      <c r="G651" s="794" t="str">
        <f>IF(B384="Positive","BF",IF(input!F5=2,"OF","BF"))</f>
        <v>OF</v>
      </c>
      <c r="H651" s="21">
        <f>IF(B651="Positive",input!BJ5,input!BI5)</f>
        <v>380</v>
      </c>
      <c r="I651" s="21">
        <f t="shared" si="55"/>
        <v>379.51910719072885</v>
      </c>
      <c r="J651" s="21">
        <f t="shared" si="56"/>
        <v>379.51895915791317</v>
      </c>
      <c r="K651" s="597">
        <f t="shared" si="62"/>
        <v>379.51910719072885</v>
      </c>
      <c r="L651" s="143"/>
      <c r="M651" s="1790"/>
      <c r="P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C651" s="73"/>
      <c r="AD651" s="73"/>
      <c r="AF651" s="73"/>
      <c r="AH651" s="143"/>
      <c r="AI651" s="143"/>
      <c r="AJ651" s="143"/>
      <c r="AK651" s="143"/>
      <c r="AL651" s="143"/>
      <c r="AM651" s="143"/>
      <c r="AN651" s="143"/>
      <c r="AO651" s="143"/>
      <c r="AP651" s="143"/>
      <c r="AQ651" s="143"/>
      <c r="AR651" s="143"/>
      <c r="AS651" s="143"/>
    </row>
    <row r="652" spans="1:45" ht="15" customHeight="1">
      <c r="A652" s="482" t="str">
        <f t="shared" si="57"/>
        <v>102j</v>
      </c>
      <c r="B652" s="1016" t="str">
        <f t="shared" si="58"/>
        <v>Positive</v>
      </c>
      <c r="C652" s="794" t="str">
        <f>IF(B385="Positive",IF(input!F6=2,"OF","BF"),"BF")</f>
        <v>OF</v>
      </c>
      <c r="D652" s="21">
        <f t="shared" si="59"/>
        <v>338.95279763710556</v>
      </c>
      <c r="E652" s="21" t="str">
        <f t="shared" si="60"/>
        <v>OF</v>
      </c>
      <c r="F652" s="21">
        <f t="shared" si="61"/>
        <v>338.95279763710556</v>
      </c>
      <c r="G652" s="794" t="str">
        <f>IF(B385="Positive","BF",IF(input!F6=2,"OF","BF"))</f>
        <v>BF</v>
      </c>
      <c r="H652" s="21">
        <f>IF(B652="Positive",input!BJ6,input!BI6)</f>
        <v>380</v>
      </c>
      <c r="I652" s="21">
        <f t="shared" si="55"/>
        <v>379.51910719072885</v>
      </c>
      <c r="J652" s="21">
        <f t="shared" si="56"/>
        <v>379.51905124209532</v>
      </c>
      <c r="K652" s="597">
        <f t="shared" si="62"/>
        <v>379.51905124209532</v>
      </c>
      <c r="L652" s="143"/>
      <c r="M652" s="1790"/>
      <c r="P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C652" s="73"/>
      <c r="AD652" s="73"/>
      <c r="AF652" s="73"/>
      <c r="AH652" s="143"/>
      <c r="AI652" s="143"/>
      <c r="AJ652" s="143"/>
      <c r="AK652" s="143"/>
      <c r="AL652" s="143"/>
      <c r="AM652" s="143"/>
      <c r="AN652" s="143"/>
      <c r="AO652" s="143"/>
      <c r="AP652" s="143"/>
      <c r="AQ652" s="143"/>
      <c r="AR652" s="143"/>
      <c r="AS652" s="143"/>
    </row>
    <row r="653" spans="1:45" ht="15" customHeight="1">
      <c r="A653" s="482" t="str">
        <f t="shared" si="57"/>
        <v>103i</v>
      </c>
      <c r="B653" s="1016" t="str">
        <f t="shared" si="58"/>
        <v>Positive</v>
      </c>
      <c r="C653" s="794" t="str">
        <f>IF(B386="Positive",IF(input!F7=2,"OF","BF"),"BF")</f>
        <v>OF</v>
      </c>
      <c r="D653" s="21">
        <f t="shared" si="59"/>
        <v>348.87123953188353</v>
      </c>
      <c r="E653" s="21" t="str">
        <f t="shared" si="60"/>
        <v>OF</v>
      </c>
      <c r="F653" s="21">
        <f t="shared" si="61"/>
        <v>348.87123953188353</v>
      </c>
      <c r="G653" s="794" t="str">
        <f>IF(B386="Positive","BF",IF(input!F7=2,"OF","BF"))</f>
        <v>BF</v>
      </c>
      <c r="H653" s="21">
        <f>IF(B653="Positive",input!BJ7,input!BI7)</f>
        <v>380</v>
      </c>
      <c r="I653" s="21">
        <f t="shared" si="55"/>
        <v>379.5982638603615</v>
      </c>
      <c r="J653" s="21">
        <f t="shared" si="56"/>
        <v>379.59823864278871</v>
      </c>
      <c r="K653" s="597">
        <f t="shared" si="62"/>
        <v>379.59823864278871</v>
      </c>
      <c r="L653" s="143"/>
      <c r="M653" s="1790"/>
      <c r="P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C653" s="73"/>
      <c r="AD653" s="73"/>
      <c r="AF653" s="73"/>
      <c r="AH653" s="143"/>
      <c r="AI653" s="143"/>
      <c r="AJ653" s="143"/>
      <c r="AK653" s="143"/>
      <c r="AL653" s="143"/>
      <c r="AM653" s="143"/>
      <c r="AN653" s="143"/>
      <c r="AO653" s="143"/>
      <c r="AP653" s="143"/>
      <c r="AQ653" s="143"/>
      <c r="AR653" s="143"/>
      <c r="AS653" s="143"/>
    </row>
    <row r="654" spans="1:45" ht="15" customHeight="1">
      <c r="A654" s="482" t="str">
        <f t="shared" si="57"/>
        <v>103j</v>
      </c>
      <c r="B654" s="1016" t="str">
        <f t="shared" si="58"/>
        <v>Positive</v>
      </c>
      <c r="C654" s="794" t="str">
        <f>IF(B387="Positive",IF(input!F8=2,"OF","BF"),"BF")</f>
        <v>OF</v>
      </c>
      <c r="D654" s="21">
        <f t="shared" si="59"/>
        <v>348.87123953188353</v>
      </c>
      <c r="E654" s="21" t="str">
        <f t="shared" si="60"/>
        <v>OF</v>
      </c>
      <c r="F654" s="21">
        <f t="shared" si="61"/>
        <v>348.87123953188353</v>
      </c>
      <c r="G654" s="794" t="str">
        <f>IF(B387="Positive","BF",IF(input!F8=2,"OF","BF"))</f>
        <v>BF</v>
      </c>
      <c r="H654" s="21">
        <f>IF(B654="Positive",input!BJ8,input!BI8)</f>
        <v>380</v>
      </c>
      <c r="I654" s="21">
        <f t="shared" si="55"/>
        <v>379.5982638603615</v>
      </c>
      <c r="J654" s="21">
        <f t="shared" si="56"/>
        <v>379.59824245685536</v>
      </c>
      <c r="K654" s="597">
        <f t="shared" si="62"/>
        <v>379.59824245685536</v>
      </c>
      <c r="L654" s="143"/>
      <c r="M654" s="1790"/>
      <c r="P654" s="73"/>
      <c r="Q654" s="73"/>
      <c r="R654" s="73"/>
      <c r="S654" s="73"/>
      <c r="T654" s="73"/>
      <c r="U654" s="73"/>
      <c r="V654" s="73"/>
      <c r="Y654" s="143"/>
      <c r="AB654" s="143"/>
      <c r="AD654" s="143"/>
      <c r="AE654" s="143"/>
      <c r="AF654" s="143"/>
      <c r="AG654" s="143"/>
      <c r="AH654" s="143"/>
      <c r="AI654" s="143"/>
      <c r="AJ654" s="143"/>
      <c r="AK654" s="143"/>
      <c r="AL654" s="143"/>
      <c r="AM654" s="143"/>
      <c r="AN654" s="143"/>
      <c r="AO654" s="143"/>
      <c r="AP654" s="143"/>
      <c r="AQ654" s="143"/>
      <c r="AR654" s="143"/>
      <c r="AS654" s="143"/>
    </row>
    <row r="655" spans="1:45" ht="15" customHeight="1">
      <c r="A655" s="482" t="str">
        <f t="shared" si="57"/>
        <v>104i</v>
      </c>
      <c r="B655" s="1016" t="str">
        <f t="shared" si="58"/>
        <v>Positive</v>
      </c>
      <c r="C655" s="794" t="str">
        <f>IF(B388="Positive",IF(input!F9=2,"OF","BF"),"BF")</f>
        <v>OF</v>
      </c>
      <c r="D655" s="21">
        <f t="shared" si="59"/>
        <v>348.87123953188353</v>
      </c>
      <c r="E655" s="21" t="str">
        <f t="shared" si="60"/>
        <v>OF</v>
      </c>
      <c r="F655" s="21">
        <f t="shared" si="61"/>
        <v>348.87123953188353</v>
      </c>
      <c r="G655" s="794" t="str">
        <f>IF(B388="Positive","BF",IF(input!F9=2,"OF","BF"))</f>
        <v>BF</v>
      </c>
      <c r="H655" s="21">
        <f>IF(B655="Positive",input!BJ9,input!BI9)</f>
        <v>380</v>
      </c>
      <c r="I655" s="21">
        <f t="shared" si="55"/>
        <v>379.5982638603615</v>
      </c>
      <c r="J655" s="21">
        <f t="shared" si="56"/>
        <v>379.59825446002986</v>
      </c>
      <c r="K655" s="597">
        <f t="shared" si="62"/>
        <v>379.59825446002986</v>
      </c>
      <c r="L655" s="143"/>
      <c r="M655" s="1790"/>
      <c r="P655" s="73"/>
      <c r="Q655" s="73"/>
      <c r="R655" s="73"/>
      <c r="S655" s="73"/>
      <c r="T655" s="73"/>
      <c r="U655" s="73"/>
      <c r="V655" s="73"/>
      <c r="Y655" s="143"/>
      <c r="AB655" s="143"/>
      <c r="AD655" s="143"/>
      <c r="AE655" s="143"/>
      <c r="AF655" s="143"/>
      <c r="AG655" s="143"/>
      <c r="AH655" s="143"/>
      <c r="AI655" s="143"/>
      <c r="AJ655" s="143"/>
      <c r="AK655" s="143"/>
      <c r="AL655" s="143"/>
      <c r="AM655" s="143"/>
      <c r="AN655" s="143"/>
      <c r="AO655" s="143"/>
      <c r="AP655" s="143"/>
      <c r="AQ655" s="143"/>
      <c r="AR655" s="143"/>
      <c r="AS655" s="143"/>
    </row>
    <row r="656" spans="1:45" ht="15" customHeight="1">
      <c r="A656" s="482" t="str">
        <f t="shared" si="57"/>
        <v>104j</v>
      </c>
      <c r="B656" s="1016" t="str">
        <f t="shared" si="58"/>
        <v>Positive</v>
      </c>
      <c r="C656" s="794" t="str">
        <f>IF(B389="Positive",IF(input!F10=2,"OF","BF"),"BF")</f>
        <v>OF</v>
      </c>
      <c r="D656" s="21">
        <f t="shared" si="59"/>
        <v>348.87123953188353</v>
      </c>
      <c r="E656" s="21" t="str">
        <f t="shared" si="60"/>
        <v>OF</v>
      </c>
      <c r="F656" s="21">
        <f t="shared" si="61"/>
        <v>348.87123953188353</v>
      </c>
      <c r="G656" s="794" t="str">
        <f>IF(B389="Positive","BF",IF(input!F10=2,"OF","BF"))</f>
        <v>BF</v>
      </c>
      <c r="H656" s="21">
        <f>IF(B656="Positive",input!BJ10,input!BI10)</f>
        <v>380</v>
      </c>
      <c r="I656" s="21">
        <f t="shared" si="55"/>
        <v>379.5982638603615</v>
      </c>
      <c r="J656" s="21">
        <f t="shared" si="56"/>
        <v>379.59825745400781</v>
      </c>
      <c r="K656" s="597">
        <f t="shared" si="62"/>
        <v>379.59825745400781</v>
      </c>
      <c r="L656" s="143"/>
      <c r="M656" s="1790"/>
      <c r="P656" s="73"/>
      <c r="Q656" s="122"/>
      <c r="R656" s="73"/>
      <c r="S656" s="73"/>
      <c r="T656" s="73"/>
      <c r="U656" s="73"/>
      <c r="V656" s="73"/>
      <c r="Y656" s="143"/>
      <c r="AB656" s="143"/>
      <c r="AD656" s="143"/>
      <c r="AE656" s="143"/>
      <c r="AF656" s="143"/>
      <c r="AG656" s="143"/>
      <c r="AH656" s="143"/>
      <c r="AI656" s="143"/>
      <c r="AJ656" s="143"/>
      <c r="AK656" s="143"/>
      <c r="AL656" s="143"/>
      <c r="AM656" s="143"/>
      <c r="AN656" s="143"/>
      <c r="AO656" s="143"/>
      <c r="AP656" s="143"/>
      <c r="AQ656" s="143"/>
      <c r="AR656" s="143"/>
      <c r="AS656" s="143"/>
    </row>
    <row r="657" spans="1:45" ht="15" customHeight="1">
      <c r="A657" s="482" t="str">
        <f t="shared" si="57"/>
        <v>105i</v>
      </c>
      <c r="B657" s="1016" t="str">
        <f t="shared" si="58"/>
        <v>Positive</v>
      </c>
      <c r="C657" s="794" t="str">
        <f>IF(B390="Positive",IF(input!F11=2,"OF","BF"),"BF")</f>
        <v>OF</v>
      </c>
      <c r="D657" s="21">
        <f t="shared" si="59"/>
        <v>350.19704325766514</v>
      </c>
      <c r="E657" s="21" t="str">
        <f t="shared" si="60"/>
        <v>OF</v>
      </c>
      <c r="F657" s="21">
        <f t="shared" si="61"/>
        <v>350.19704325766514</v>
      </c>
      <c r="G657" s="794" t="str">
        <f>IF(B390="Positive","BF",IF(input!F11=2,"OF","BF"))</f>
        <v>BF</v>
      </c>
      <c r="H657" s="21">
        <f>IF(B657="Positive",input!BJ11,input!BI11)</f>
        <v>380</v>
      </c>
      <c r="I657" s="21">
        <f t="shared" si="55"/>
        <v>379.64073020030537</v>
      </c>
      <c r="J657" s="21">
        <f t="shared" si="56"/>
        <v>379.6407262407015</v>
      </c>
      <c r="K657" s="597">
        <f t="shared" si="62"/>
        <v>379.6407262407015</v>
      </c>
      <c r="L657" s="143"/>
      <c r="M657" s="1790"/>
      <c r="P657" s="73"/>
      <c r="Q657" s="73"/>
      <c r="R657" s="73"/>
      <c r="S657" s="73"/>
      <c r="T657" s="73"/>
      <c r="U657" s="73"/>
      <c r="V657" s="73"/>
      <c r="Y657" s="143"/>
      <c r="AB657" s="143"/>
      <c r="AD657" s="143"/>
      <c r="AE657" s="143"/>
      <c r="AF657" s="143"/>
      <c r="AG657" s="143"/>
      <c r="AH657" s="143"/>
      <c r="AI657" s="143"/>
      <c r="AJ657" s="143"/>
      <c r="AK657" s="143"/>
      <c r="AL657" s="143"/>
      <c r="AM657" s="143"/>
      <c r="AN657" s="143"/>
      <c r="AO657" s="143"/>
      <c r="AP657" s="143"/>
      <c r="AQ657" s="143"/>
      <c r="AR657" s="143"/>
      <c r="AS657" s="143"/>
    </row>
    <row r="658" spans="1:45" ht="15" customHeight="1">
      <c r="A658" s="482" t="str">
        <f t="shared" si="57"/>
        <v>105j</v>
      </c>
      <c r="B658" s="1016" t="str">
        <f t="shared" si="58"/>
        <v>Positive</v>
      </c>
      <c r="C658" s="794" t="str">
        <f>IF(B391="Positive",IF(input!F12=2,"OF","BF"),"BF")</f>
        <v>OF</v>
      </c>
      <c r="D658" s="21">
        <f t="shared" si="59"/>
        <v>350.19704325766514</v>
      </c>
      <c r="E658" s="21" t="str">
        <f t="shared" si="60"/>
        <v>OF</v>
      </c>
      <c r="F658" s="21">
        <f t="shared" si="61"/>
        <v>350.19704325766514</v>
      </c>
      <c r="G658" s="794" t="str">
        <f>IF(B391="Positive","BF",IF(input!F12=2,"OF","BF"))</f>
        <v>BF</v>
      </c>
      <c r="H658" s="21">
        <f>IF(B658="Positive",input!BJ12,input!BI12)</f>
        <v>380</v>
      </c>
      <c r="I658" s="21">
        <f t="shared" si="55"/>
        <v>379.64073020030537</v>
      </c>
      <c r="J658" s="21">
        <f t="shared" si="56"/>
        <v>379.64072773749405</v>
      </c>
      <c r="K658" s="597">
        <f t="shared" si="62"/>
        <v>379.64072773749405</v>
      </c>
      <c r="L658" s="143"/>
      <c r="M658" s="1790"/>
      <c r="P658" s="73"/>
      <c r="Q658" s="73"/>
      <c r="R658" s="73"/>
      <c r="S658" s="73"/>
      <c r="T658" s="73"/>
      <c r="U658" s="73"/>
      <c r="V658" s="73"/>
      <c r="Y658" s="143"/>
      <c r="AB658" s="143"/>
      <c r="AD658" s="143"/>
      <c r="AE658" s="143"/>
      <c r="AF658" s="143"/>
      <c r="AG658" s="143"/>
      <c r="AH658" s="143"/>
      <c r="AI658" s="143"/>
      <c r="AJ658" s="143"/>
      <c r="AK658" s="143"/>
      <c r="AL658" s="143"/>
      <c r="AM658" s="143"/>
      <c r="AN658" s="143"/>
      <c r="AO658" s="143"/>
      <c r="AP658" s="143"/>
      <c r="AQ658" s="143"/>
      <c r="AR658" s="143"/>
      <c r="AS658" s="143"/>
    </row>
    <row r="659" spans="1:45" ht="15" customHeight="1">
      <c r="A659" s="482" t="str">
        <f t="shared" si="57"/>
        <v>106i</v>
      </c>
      <c r="B659" s="1016" t="str">
        <f t="shared" si="58"/>
        <v>Positive</v>
      </c>
      <c r="C659" s="794" t="str">
        <f>IF(B392="Positive",IF(input!F13=2,"OF","BF"),"BF")</f>
        <v>OF</v>
      </c>
      <c r="D659" s="21">
        <f t="shared" si="59"/>
        <v>350.19704325766514</v>
      </c>
      <c r="E659" s="21" t="str">
        <f t="shared" si="60"/>
        <v>OF</v>
      </c>
      <c r="F659" s="21">
        <f t="shared" si="61"/>
        <v>350.19704325766514</v>
      </c>
      <c r="G659" s="794" t="str">
        <f>IF(B392="Positive","BF",IF(input!F13=2,"OF","BF"))</f>
        <v>BF</v>
      </c>
      <c r="H659" s="21">
        <f>IF(B659="Positive",input!BJ13,input!BI13)</f>
        <v>380</v>
      </c>
      <c r="I659" s="21">
        <f t="shared" si="55"/>
        <v>379.64073020030537</v>
      </c>
      <c r="J659" s="21">
        <f t="shared" si="56"/>
        <v>379.64072957976401</v>
      </c>
      <c r="K659" s="597">
        <f t="shared" si="62"/>
        <v>379.64072957976401</v>
      </c>
      <c r="L659" s="143"/>
      <c r="M659" s="1790"/>
      <c r="P659" s="73"/>
      <c r="Q659" s="73"/>
      <c r="R659" s="73"/>
      <c r="S659" s="73"/>
      <c r="T659" s="73"/>
      <c r="U659" s="73"/>
      <c r="V659" s="73"/>
      <c r="Y659" s="143"/>
      <c r="AB659" s="143"/>
      <c r="AD659" s="143"/>
      <c r="AE659" s="143"/>
      <c r="AF659" s="143"/>
      <c r="AG659" s="143"/>
      <c r="AH659" s="143"/>
      <c r="AI659" s="143"/>
      <c r="AJ659" s="143"/>
      <c r="AK659" s="143"/>
      <c r="AL659" s="143"/>
      <c r="AM659" s="143"/>
      <c r="AN659" s="143"/>
      <c r="AO659" s="143"/>
      <c r="AP659" s="143"/>
      <c r="AQ659" s="143"/>
      <c r="AR659" s="143"/>
      <c r="AS659" s="143"/>
    </row>
    <row r="660" spans="1:45" ht="15" customHeight="1">
      <c r="A660" s="482" t="str">
        <f t="shared" si="57"/>
        <v>106j</v>
      </c>
      <c r="B660" s="1016" t="str">
        <f t="shared" si="58"/>
        <v>Positive</v>
      </c>
      <c r="C660" s="794" t="str">
        <f>IF(B393="Positive",IF(input!F14=2,"OF","BF"),"BF")</f>
        <v>OF</v>
      </c>
      <c r="D660" s="21">
        <f t="shared" si="59"/>
        <v>350.19704325766514</v>
      </c>
      <c r="E660" s="21" t="str">
        <f t="shared" si="60"/>
        <v>OF</v>
      </c>
      <c r="F660" s="21">
        <f t="shared" si="61"/>
        <v>350.19704325766514</v>
      </c>
      <c r="G660" s="794" t="str">
        <f>IF(B393="Positive","BF",IF(input!F14=2,"OF","BF"))</f>
        <v>BF</v>
      </c>
      <c r="H660" s="21">
        <f>IF(B660="Positive",input!BJ14,input!BI14)</f>
        <v>380</v>
      </c>
      <c r="I660" s="21">
        <f t="shared" si="55"/>
        <v>379.64073020030537</v>
      </c>
      <c r="J660" s="21">
        <f t="shared" si="56"/>
        <v>379.6407300654667</v>
      </c>
      <c r="K660" s="597">
        <f t="shared" si="62"/>
        <v>379.6407300654667</v>
      </c>
      <c r="L660" s="143"/>
      <c r="M660" s="1790"/>
      <c r="P660" s="73"/>
      <c r="Q660" s="73"/>
      <c r="R660" s="73"/>
      <c r="S660" s="73"/>
      <c r="T660" s="73"/>
      <c r="U660" s="73"/>
      <c r="V660" s="73"/>
      <c r="Y660" s="143"/>
      <c r="AB660" s="143"/>
      <c r="AD660" s="143"/>
      <c r="AE660" s="143"/>
      <c r="AF660" s="143"/>
      <c r="AG660" s="143"/>
      <c r="AH660" s="143"/>
      <c r="AI660" s="143"/>
      <c r="AJ660" s="143"/>
      <c r="AK660" s="143"/>
      <c r="AL660" s="143"/>
      <c r="AM660" s="143"/>
      <c r="AN660" s="143"/>
      <c r="AO660" s="143"/>
      <c r="AP660" s="143"/>
      <c r="AQ660" s="143"/>
      <c r="AR660" s="143"/>
      <c r="AS660" s="143"/>
    </row>
    <row r="661" spans="1:45" ht="15" customHeight="1">
      <c r="A661" s="482" t="str">
        <f t="shared" si="57"/>
        <v>107i</v>
      </c>
      <c r="B661" s="1016" t="str">
        <f t="shared" si="58"/>
        <v>Positive</v>
      </c>
      <c r="C661" s="794" t="str">
        <f>IF(B394="Positive",IF(input!F15=2,"OF","BF"),"BF")</f>
        <v>OF</v>
      </c>
      <c r="D661" s="21">
        <f t="shared" si="59"/>
        <v>363.72026906765205</v>
      </c>
      <c r="E661" s="21" t="str">
        <f t="shared" si="60"/>
        <v>OF</v>
      </c>
      <c r="F661" s="21">
        <f t="shared" si="61"/>
        <v>363.72026906765205</v>
      </c>
      <c r="G661" s="794" t="str">
        <f>IF(B394="Positive","BF",IF(input!F15=2,"OF","BF"))</f>
        <v>BF</v>
      </c>
      <c r="H661" s="21">
        <f>IF(B661="Positive",input!BJ15,input!BI15)</f>
        <v>380</v>
      </c>
      <c r="I661" s="21">
        <f t="shared" si="55"/>
        <v>379.70896106468712</v>
      </c>
      <c r="J661" s="21">
        <f t="shared" si="56"/>
        <v>379.70896094331596</v>
      </c>
      <c r="K661" s="597">
        <f t="shared" si="62"/>
        <v>379.70896094331596</v>
      </c>
      <c r="L661" s="143"/>
      <c r="M661" s="1790"/>
      <c r="P661" s="73"/>
      <c r="Q661" s="73"/>
      <c r="R661" s="73"/>
      <c r="S661" s="73"/>
      <c r="T661" s="73"/>
      <c r="U661" s="73"/>
      <c r="V661" s="73"/>
      <c r="Y661" s="143"/>
      <c r="AB661" s="143"/>
      <c r="AD661" s="143"/>
      <c r="AE661" s="143"/>
      <c r="AF661" s="143"/>
      <c r="AG661" s="143"/>
      <c r="AH661" s="143"/>
      <c r="AI661" s="143"/>
      <c r="AJ661" s="143"/>
      <c r="AK661" s="143"/>
      <c r="AL661" s="143"/>
      <c r="AM661" s="143"/>
      <c r="AN661" s="143"/>
      <c r="AO661" s="143"/>
      <c r="AP661" s="143"/>
      <c r="AQ661" s="143"/>
      <c r="AR661" s="143"/>
      <c r="AS661" s="143"/>
    </row>
    <row r="662" spans="1:45" ht="15" customHeight="1">
      <c r="A662" s="482" t="str">
        <f t="shared" si="57"/>
        <v>107j</v>
      </c>
      <c r="B662" s="1016" t="str">
        <f t="shared" si="58"/>
        <v>Positive</v>
      </c>
      <c r="C662" s="794" t="str">
        <f>IF(B395="Positive",IF(input!F16=2,"OF","BF"),"BF")</f>
        <v>OF</v>
      </c>
      <c r="D662" s="21">
        <f t="shared" si="59"/>
        <v>363.72026906765205</v>
      </c>
      <c r="E662" s="21" t="str">
        <f t="shared" si="60"/>
        <v>OF</v>
      </c>
      <c r="F662" s="21">
        <f t="shared" si="61"/>
        <v>363.72026906765205</v>
      </c>
      <c r="G662" s="794" t="str">
        <f>IF(B395="Positive","BF",IF(input!F16=2,"OF","BF"))</f>
        <v>BF</v>
      </c>
      <c r="H662" s="21">
        <f>IF(B662="Positive",input!BJ16,input!BI16)</f>
        <v>380</v>
      </c>
      <c r="I662" s="21">
        <f t="shared" si="55"/>
        <v>379.70896106468712</v>
      </c>
      <c r="J662" s="21">
        <f t="shared" si="56"/>
        <v>379.70896106212643</v>
      </c>
      <c r="K662" s="597">
        <f t="shared" si="62"/>
        <v>379.70896106212643</v>
      </c>
      <c r="L662" s="143"/>
      <c r="M662" s="1790"/>
      <c r="P662" s="73"/>
      <c r="Q662" s="73"/>
      <c r="R662" s="73"/>
      <c r="S662" s="73"/>
      <c r="T662" s="73"/>
      <c r="U662" s="73"/>
      <c r="V662" s="73"/>
      <c r="Y662" s="143"/>
      <c r="AB662" s="143"/>
      <c r="AD662" s="143"/>
      <c r="AE662" s="143"/>
      <c r="AF662" s="143"/>
      <c r="AG662" s="143"/>
      <c r="AH662" s="143"/>
      <c r="AI662" s="143"/>
      <c r="AJ662" s="143"/>
      <c r="AK662" s="143"/>
      <c r="AL662" s="143"/>
      <c r="AM662" s="143"/>
      <c r="AN662" s="143"/>
      <c r="AO662" s="143"/>
      <c r="AP662" s="143"/>
      <c r="AQ662" s="143"/>
      <c r="AR662" s="143"/>
      <c r="AS662" s="143"/>
    </row>
    <row r="663" spans="1:45" ht="15" customHeight="1">
      <c r="A663" s="482" t="str">
        <f t="shared" si="57"/>
        <v>108i</v>
      </c>
      <c r="B663" s="1016" t="str">
        <f t="shared" si="58"/>
        <v>Positive</v>
      </c>
      <c r="C663" s="794" t="str">
        <f>IF(B396="Positive",IF(input!F17=2,"OF","BF"),"BF")</f>
        <v>OF</v>
      </c>
      <c r="D663" s="21">
        <f t="shared" si="59"/>
        <v>363.72026906765205</v>
      </c>
      <c r="E663" s="21" t="str">
        <f t="shared" si="60"/>
        <v>OF</v>
      </c>
      <c r="F663" s="21">
        <f t="shared" si="61"/>
        <v>363.72026906765205</v>
      </c>
      <c r="G663" s="794" t="str">
        <f>IF(B396="Positive","BF",IF(input!F17=2,"OF","BF"))</f>
        <v>BF</v>
      </c>
      <c r="H663" s="21">
        <f>IF(B663="Positive",input!BJ17,input!BI17)</f>
        <v>380</v>
      </c>
      <c r="I663" s="21">
        <f t="shared" si="55"/>
        <v>379.70896106468712</v>
      </c>
      <c r="J663" s="21">
        <f t="shared" si="56"/>
        <v>379.70895933110307</v>
      </c>
      <c r="K663" s="597">
        <f t="shared" si="62"/>
        <v>379.70895933110307</v>
      </c>
      <c r="L663" s="143"/>
      <c r="M663" s="1790"/>
      <c r="P663" s="73"/>
      <c r="Q663" s="73"/>
      <c r="R663" s="73"/>
      <c r="S663" s="122"/>
      <c r="T663" s="73"/>
      <c r="U663" s="73"/>
      <c r="V663" s="73"/>
      <c r="Y663" s="143"/>
      <c r="AB663" s="143"/>
      <c r="AD663" s="143"/>
      <c r="AE663" s="143"/>
      <c r="AF663" s="143"/>
      <c r="AG663" s="143"/>
      <c r="AH663" s="143"/>
      <c r="AI663" s="143"/>
      <c r="AJ663" s="143"/>
      <c r="AK663" s="143"/>
      <c r="AL663" s="143"/>
      <c r="AM663" s="143"/>
      <c r="AN663" s="143"/>
      <c r="AO663" s="143"/>
      <c r="AP663" s="143"/>
      <c r="AQ663" s="143"/>
      <c r="AR663" s="143"/>
      <c r="AS663" s="143"/>
    </row>
    <row r="664" spans="1:45" ht="15" customHeight="1">
      <c r="A664" s="482" t="str">
        <f t="shared" si="57"/>
        <v>108j</v>
      </c>
      <c r="B664" s="1016" t="str">
        <f t="shared" si="58"/>
        <v>Positive</v>
      </c>
      <c r="C664" s="794" t="str">
        <f>IF(B397="Positive",IF(input!F18=2,"OF","BF"),"BF")</f>
        <v>OF</v>
      </c>
      <c r="D664" s="21">
        <f t="shared" si="59"/>
        <v>363.72026906765205</v>
      </c>
      <c r="E664" s="21" t="str">
        <f t="shared" si="60"/>
        <v>OF</v>
      </c>
      <c r="F664" s="21">
        <f t="shared" si="61"/>
        <v>363.72026906765205</v>
      </c>
      <c r="G664" s="794" t="str">
        <f>IF(B397="Positive","BF",IF(input!F18=2,"OF","BF"))</f>
        <v>BF</v>
      </c>
      <c r="H664" s="21">
        <f>IF(B664="Positive",input!BJ18,input!BI18)</f>
        <v>380</v>
      </c>
      <c r="I664" s="21">
        <f t="shared" si="55"/>
        <v>379.70896106468712</v>
      </c>
      <c r="J664" s="21">
        <f t="shared" si="56"/>
        <v>379.70895812125559</v>
      </c>
      <c r="K664" s="597">
        <f t="shared" si="62"/>
        <v>379.70895812125559</v>
      </c>
      <c r="L664" s="143"/>
      <c r="M664" s="1790"/>
      <c r="P664" s="73"/>
      <c r="Q664" s="73"/>
      <c r="R664" s="73"/>
      <c r="S664" s="122"/>
      <c r="T664" s="73"/>
      <c r="U664" s="73"/>
      <c r="V664" s="73"/>
      <c r="Y664" s="143"/>
      <c r="AB664" s="143"/>
      <c r="AD664" s="143"/>
      <c r="AE664" s="143"/>
      <c r="AF664" s="143"/>
      <c r="AG664" s="143"/>
      <c r="AH664" s="143"/>
      <c r="AI664" s="143"/>
      <c r="AJ664" s="143"/>
      <c r="AK664" s="143"/>
      <c r="AL664" s="143"/>
      <c r="AM664" s="143"/>
      <c r="AN664" s="143"/>
      <c r="AO664" s="143"/>
      <c r="AP664" s="143"/>
      <c r="AQ664" s="143"/>
      <c r="AR664" s="143"/>
      <c r="AS664" s="143"/>
    </row>
    <row r="665" spans="1:45" ht="15" customHeight="1">
      <c r="A665" s="482" t="str">
        <f t="shared" si="57"/>
        <v>109i</v>
      </c>
      <c r="B665" s="1016" t="str">
        <f t="shared" si="58"/>
        <v>Positive</v>
      </c>
      <c r="C665" s="794" t="str">
        <f>IF(B398="Positive",IF(input!F19=2,"OF","BF"),"BF")</f>
        <v>OF</v>
      </c>
      <c r="D665" s="21">
        <f t="shared" si="59"/>
        <v>363.72026906765205</v>
      </c>
      <c r="E665" s="21" t="str">
        <f t="shared" si="60"/>
        <v>OF</v>
      </c>
      <c r="F665" s="21">
        <f t="shared" si="61"/>
        <v>363.72026906765205</v>
      </c>
      <c r="G665" s="794" t="str">
        <f>IF(B398="Positive","BF",IF(input!F19=2,"OF","BF"))</f>
        <v>BF</v>
      </c>
      <c r="H665" s="21">
        <f>IF(B665="Positive",input!BJ19,input!BI19)</f>
        <v>380</v>
      </c>
      <c r="I665" s="21">
        <f t="shared" si="55"/>
        <v>379.70896106468712</v>
      </c>
      <c r="J665" s="21">
        <f t="shared" si="56"/>
        <v>379.70895812125559</v>
      </c>
      <c r="K665" s="597">
        <f t="shared" si="62"/>
        <v>379.70895812125559</v>
      </c>
      <c r="L665" s="143"/>
      <c r="M665" s="1790"/>
      <c r="P665" s="73"/>
      <c r="Q665" s="73"/>
      <c r="R665" s="73"/>
      <c r="S665" s="122"/>
      <c r="T665" s="73"/>
      <c r="U665" s="73"/>
      <c r="V665" s="73"/>
      <c r="Y665" s="143"/>
      <c r="AB665" s="143"/>
      <c r="AD665" s="143"/>
      <c r="AE665" s="143"/>
      <c r="AF665" s="143"/>
      <c r="AG665" s="143"/>
      <c r="AH665" s="143"/>
      <c r="AI665" s="143"/>
      <c r="AJ665" s="143"/>
      <c r="AK665" s="143"/>
      <c r="AL665" s="143"/>
      <c r="AM665" s="143"/>
      <c r="AN665" s="143"/>
      <c r="AO665" s="143"/>
      <c r="AP665" s="143"/>
      <c r="AQ665" s="143"/>
      <c r="AR665" s="143"/>
      <c r="AS665" s="143"/>
    </row>
    <row r="666" spans="1:45" ht="15" customHeight="1">
      <c r="A666" s="482" t="str">
        <f t="shared" si="57"/>
        <v>109j</v>
      </c>
      <c r="B666" s="1016" t="str">
        <f t="shared" si="58"/>
        <v>Positive</v>
      </c>
      <c r="C666" s="794" t="str">
        <f>IF(B399="Positive",IF(input!F20=2,"OF","BF"),"BF")</f>
        <v>OF</v>
      </c>
      <c r="D666" s="21">
        <f t="shared" si="59"/>
        <v>363.72026906765205</v>
      </c>
      <c r="E666" s="21" t="str">
        <f t="shared" si="60"/>
        <v>OF</v>
      </c>
      <c r="F666" s="21">
        <f t="shared" si="61"/>
        <v>363.72026906765205</v>
      </c>
      <c r="G666" s="794" t="str">
        <f>IF(B399="Positive","BF",IF(input!F20=2,"OF","BF"))</f>
        <v>BF</v>
      </c>
      <c r="H666" s="21">
        <f>IF(B666="Positive",input!BJ20,input!BI20)</f>
        <v>380</v>
      </c>
      <c r="I666" s="21">
        <f t="shared" si="55"/>
        <v>379.70896106468712</v>
      </c>
      <c r="J666" s="21">
        <f t="shared" si="56"/>
        <v>379.70895659302727</v>
      </c>
      <c r="K666" s="597">
        <f t="shared" si="62"/>
        <v>379.70895659302727</v>
      </c>
      <c r="L666" s="143"/>
      <c r="M666" s="1790"/>
      <c r="P666" s="73"/>
      <c r="Q666" s="73"/>
      <c r="R666" s="73"/>
      <c r="S666" s="122"/>
      <c r="T666" s="73"/>
      <c r="U666" s="73"/>
      <c r="V666" s="73"/>
      <c r="Y666" s="143"/>
      <c r="AB666" s="143"/>
      <c r="AD666" s="143"/>
      <c r="AE666" s="143"/>
      <c r="AF666" s="143"/>
      <c r="AG666" s="143"/>
      <c r="AH666" s="143"/>
      <c r="AI666" s="143"/>
      <c r="AJ666" s="143"/>
      <c r="AK666" s="143"/>
      <c r="AL666" s="143"/>
      <c r="AM666" s="143"/>
      <c r="AN666" s="143"/>
      <c r="AO666" s="143"/>
      <c r="AP666" s="143"/>
      <c r="AQ666" s="143"/>
      <c r="AR666" s="143"/>
      <c r="AS666" s="143"/>
    </row>
    <row r="667" spans="1:45" ht="15" customHeight="1">
      <c r="A667" s="482" t="str">
        <f t="shared" si="57"/>
        <v>110i</v>
      </c>
      <c r="B667" s="1016" t="str">
        <f t="shared" si="58"/>
        <v>Positive</v>
      </c>
      <c r="C667" s="794" t="str">
        <f>IF(B400="Positive",IF(input!F21=2,"OF","BF"),"BF")</f>
        <v>OF</v>
      </c>
      <c r="D667" s="21">
        <f t="shared" si="59"/>
        <v>363.72026906765205</v>
      </c>
      <c r="E667" s="21" t="str">
        <f t="shared" si="60"/>
        <v>OF</v>
      </c>
      <c r="F667" s="21">
        <f t="shared" si="61"/>
        <v>363.72026906765205</v>
      </c>
      <c r="G667" s="794" t="str">
        <f>IF(B400="Positive","BF",IF(input!F21=2,"OF","BF"))</f>
        <v>BF</v>
      </c>
      <c r="H667" s="21">
        <f>IF(B667="Positive",input!BJ21,input!BI21)</f>
        <v>380</v>
      </c>
      <c r="I667" s="21">
        <f t="shared" si="55"/>
        <v>379.70896106468712</v>
      </c>
      <c r="J667" s="21">
        <f t="shared" si="56"/>
        <v>379.70896094127329</v>
      </c>
      <c r="K667" s="597">
        <f t="shared" si="62"/>
        <v>379.70896094127329</v>
      </c>
      <c r="L667" s="143"/>
      <c r="M667" s="1790"/>
      <c r="P667" s="73"/>
      <c r="Q667" s="73"/>
      <c r="R667" s="73"/>
      <c r="S667" s="122"/>
      <c r="T667" s="73"/>
      <c r="U667" s="73"/>
      <c r="V667" s="73"/>
      <c r="Y667" s="143"/>
      <c r="AB667" s="143"/>
      <c r="AD667" s="143"/>
      <c r="AE667" s="143"/>
      <c r="AF667" s="143"/>
      <c r="AG667" s="143"/>
      <c r="AH667" s="143"/>
      <c r="AI667" s="143"/>
      <c r="AJ667" s="143"/>
      <c r="AK667" s="143"/>
      <c r="AL667" s="143"/>
      <c r="AM667" s="143"/>
      <c r="AN667" s="143"/>
      <c r="AO667" s="143"/>
      <c r="AP667" s="143"/>
      <c r="AQ667" s="143"/>
      <c r="AR667" s="143"/>
      <c r="AS667" s="143"/>
    </row>
    <row r="668" spans="1:45" ht="15" customHeight="1">
      <c r="A668" s="482" t="str">
        <f t="shared" si="57"/>
        <v>110j</v>
      </c>
      <c r="B668" s="1016" t="str">
        <f t="shared" si="58"/>
        <v>Positive</v>
      </c>
      <c r="C668" s="794" t="str">
        <f>IF(B401="Positive",IF(input!F22=2,"OF","BF"),"BF")</f>
        <v>OF</v>
      </c>
      <c r="D668" s="21">
        <f t="shared" si="59"/>
        <v>363.72026906765205</v>
      </c>
      <c r="E668" s="21" t="str">
        <f t="shared" si="60"/>
        <v>OF</v>
      </c>
      <c r="F668" s="21">
        <f t="shared" si="61"/>
        <v>363.72026906765205</v>
      </c>
      <c r="G668" s="794" t="str">
        <f>IF(B401="Positive","BF",IF(input!F22=2,"OF","BF"))</f>
        <v>BF</v>
      </c>
      <c r="H668" s="21">
        <f>IF(B668="Positive",input!BJ22,input!BI22)</f>
        <v>380</v>
      </c>
      <c r="I668" s="21">
        <f t="shared" si="55"/>
        <v>379.70896106468712</v>
      </c>
      <c r="J668" s="21">
        <f t="shared" si="56"/>
        <v>379.70896106241338</v>
      </c>
      <c r="K668" s="597">
        <f t="shared" si="62"/>
        <v>379.70896106241338</v>
      </c>
      <c r="L668" s="143"/>
      <c r="M668" s="1790"/>
      <c r="P668" s="73"/>
      <c r="Q668" s="73"/>
      <c r="R668" s="73"/>
      <c r="S668" s="73"/>
      <c r="T668" s="73"/>
      <c r="U668" s="73"/>
      <c r="V668" s="73"/>
      <c r="Y668" s="143"/>
      <c r="AB668" s="143"/>
      <c r="AD668" s="143"/>
      <c r="AE668" s="143"/>
      <c r="AF668" s="143"/>
      <c r="AG668" s="143"/>
      <c r="AH668" s="143"/>
      <c r="AI668" s="143"/>
      <c r="AJ668" s="143"/>
      <c r="AK668" s="143"/>
      <c r="AL668" s="143"/>
      <c r="AM668" s="143"/>
      <c r="AN668" s="143"/>
      <c r="AO668" s="143"/>
      <c r="AP668" s="143"/>
      <c r="AQ668" s="143"/>
      <c r="AR668" s="143"/>
      <c r="AS668" s="143"/>
    </row>
    <row r="669" spans="1:45" ht="15" customHeight="1">
      <c r="A669" s="482" t="str">
        <f t="shared" si="57"/>
        <v>111i</v>
      </c>
      <c r="B669" s="1016" t="str">
        <f t="shared" si="58"/>
        <v>Positive</v>
      </c>
      <c r="C669" s="794" t="str">
        <f>IF(B402="Positive",IF(input!F23=2,"OF","BF"),"BF")</f>
        <v>OF</v>
      </c>
      <c r="D669" s="21">
        <f t="shared" si="59"/>
        <v>363.72026906765205</v>
      </c>
      <c r="E669" s="21" t="str">
        <f t="shared" si="60"/>
        <v>OF</v>
      </c>
      <c r="F669" s="21">
        <f t="shared" si="61"/>
        <v>363.72026906765205</v>
      </c>
      <c r="G669" s="794" t="str">
        <f>IF(B402="Positive","BF",IF(input!F23=2,"OF","BF"))</f>
        <v>BF</v>
      </c>
      <c r="H669" s="21">
        <f>IF(B669="Positive",input!BJ23,input!BI23)</f>
        <v>380</v>
      </c>
      <c r="I669" s="21">
        <f t="shared" si="55"/>
        <v>379.70896106468712</v>
      </c>
      <c r="J669" s="21">
        <f t="shared" si="56"/>
        <v>379.70895878658649</v>
      </c>
      <c r="K669" s="597">
        <f t="shared" si="62"/>
        <v>379.70895878658649</v>
      </c>
      <c r="L669" s="143"/>
      <c r="M669" s="1790"/>
      <c r="P669" s="73"/>
      <c r="Q669" s="73"/>
      <c r="R669" s="73"/>
      <c r="S669" s="73"/>
      <c r="T669" s="73"/>
      <c r="U669" s="73"/>
      <c r="V669" s="73"/>
      <c r="Y669" s="143"/>
      <c r="AB669" s="143"/>
      <c r="AD669" s="143"/>
      <c r="AE669" s="143"/>
      <c r="AF669" s="143"/>
      <c r="AG669" s="143"/>
      <c r="AH669" s="143"/>
      <c r="AI669" s="143"/>
      <c r="AJ669" s="143"/>
      <c r="AK669" s="143"/>
      <c r="AL669" s="143"/>
      <c r="AM669" s="143"/>
      <c r="AN669" s="143"/>
      <c r="AO669" s="143"/>
      <c r="AP669" s="143"/>
      <c r="AQ669" s="143"/>
      <c r="AR669" s="143"/>
      <c r="AS669" s="143"/>
    </row>
    <row r="670" spans="1:45" ht="15" customHeight="1">
      <c r="A670" s="482" t="str">
        <f t="shared" si="57"/>
        <v>111j</v>
      </c>
      <c r="B670" s="1016" t="str">
        <f t="shared" si="58"/>
        <v>Positive</v>
      </c>
      <c r="C670" s="794" t="str">
        <f>IF(B403="Positive",IF(input!F24=2,"OF","BF"),"BF")</f>
        <v>OF</v>
      </c>
      <c r="D670" s="21">
        <f t="shared" si="59"/>
        <v>363.72026906765205</v>
      </c>
      <c r="E670" s="21" t="str">
        <f t="shared" si="60"/>
        <v>OF</v>
      </c>
      <c r="F670" s="21">
        <f t="shared" si="61"/>
        <v>363.72026906765205</v>
      </c>
      <c r="G670" s="794" t="str">
        <f>IF(B403="Positive","BF",IF(input!F24=2,"OF","BF"))</f>
        <v>BF</v>
      </c>
      <c r="H670" s="21">
        <f>IF(B670="Positive",input!BJ24,input!BI24)</f>
        <v>380</v>
      </c>
      <c r="I670" s="21">
        <f t="shared" si="55"/>
        <v>379.70896106468712</v>
      </c>
      <c r="J670" s="21">
        <f t="shared" si="56"/>
        <v>379.7089598318077</v>
      </c>
      <c r="K670" s="597">
        <f t="shared" si="62"/>
        <v>379.7089598318077</v>
      </c>
      <c r="L670" s="143"/>
      <c r="M670" s="1790"/>
      <c r="P670" s="73"/>
      <c r="Q670" s="73"/>
      <c r="R670" s="73"/>
      <c r="S670" s="73"/>
      <c r="T670" s="73"/>
      <c r="U670" s="73"/>
      <c r="V670" s="73"/>
      <c r="Y670" s="143"/>
      <c r="AB670" s="143"/>
      <c r="AD670" s="143"/>
      <c r="AE670" s="143"/>
      <c r="AF670" s="143"/>
      <c r="AG670" s="143"/>
      <c r="AH670" s="143"/>
      <c r="AI670" s="143"/>
      <c r="AJ670" s="143"/>
      <c r="AK670" s="143"/>
      <c r="AL670" s="143"/>
      <c r="AM670" s="143"/>
      <c r="AN670" s="143"/>
      <c r="AO670" s="143"/>
      <c r="AP670" s="143"/>
      <c r="AQ670" s="143"/>
      <c r="AR670" s="143"/>
      <c r="AS670" s="143"/>
    </row>
    <row r="671" spans="1:45" ht="15" customHeight="1">
      <c r="A671" s="482" t="str">
        <f t="shared" si="57"/>
        <v>112i</v>
      </c>
      <c r="B671" s="1016" t="str">
        <f t="shared" si="58"/>
        <v>Positive</v>
      </c>
      <c r="C671" s="794" t="str">
        <f>IF(B404="Positive",IF(input!F25=2,"OF","BF"),"BF")</f>
        <v>OF</v>
      </c>
      <c r="D671" s="21">
        <f t="shared" si="59"/>
        <v>349.71448929599109</v>
      </c>
      <c r="E671" s="21" t="str">
        <f t="shared" si="60"/>
        <v>OF</v>
      </c>
      <c r="F671" s="21">
        <f t="shared" si="61"/>
        <v>349.71448929599109</v>
      </c>
      <c r="G671" s="794" t="str">
        <f>IF(B404="Positive","BF",IF(input!F25=2,"OF","BF"))</f>
        <v>BF</v>
      </c>
      <c r="H671" s="21">
        <f>IF(B671="Positive",input!BJ25,input!BI25)</f>
        <v>380</v>
      </c>
      <c r="I671" s="21">
        <f t="shared" si="55"/>
        <v>379.62516376960559</v>
      </c>
      <c r="J671" s="21">
        <f t="shared" si="56"/>
        <v>379.62516224141785</v>
      </c>
      <c r="K671" s="597">
        <f t="shared" si="62"/>
        <v>379.62516224141785</v>
      </c>
      <c r="L671" s="143"/>
      <c r="M671" s="1790"/>
      <c r="P671" s="73"/>
      <c r="Q671" s="73"/>
      <c r="R671" s="73"/>
      <c r="S671" s="73"/>
      <c r="T671" s="73"/>
      <c r="U671" s="73"/>
      <c r="V671" s="73"/>
      <c r="Y671" s="143"/>
      <c r="AB671" s="143"/>
      <c r="AD671" s="143"/>
      <c r="AE671" s="143"/>
      <c r="AF671" s="143"/>
      <c r="AG671" s="143"/>
      <c r="AH671" s="143"/>
      <c r="AI671" s="143"/>
      <c r="AJ671" s="143"/>
      <c r="AK671" s="143"/>
      <c r="AL671" s="143"/>
      <c r="AM671" s="143"/>
      <c r="AN671" s="143"/>
      <c r="AO671" s="143"/>
      <c r="AP671" s="143"/>
      <c r="AQ671" s="143"/>
      <c r="AR671" s="143"/>
      <c r="AS671" s="143"/>
    </row>
    <row r="672" spans="1:45" ht="15" customHeight="1">
      <c r="A672" s="482" t="str">
        <f t="shared" si="57"/>
        <v>112j</v>
      </c>
      <c r="B672" s="1016" t="str">
        <f t="shared" si="58"/>
        <v>Positive</v>
      </c>
      <c r="C672" s="794" t="str">
        <f>IF(B405="Positive",IF(input!F26=2,"OF","BF"),"BF")</f>
        <v>OF</v>
      </c>
      <c r="D672" s="21">
        <f t="shared" si="59"/>
        <v>349.71448929599109</v>
      </c>
      <c r="E672" s="21" t="str">
        <f t="shared" si="60"/>
        <v>OF</v>
      </c>
      <c r="F672" s="21">
        <f t="shared" si="61"/>
        <v>349.71448929599109</v>
      </c>
      <c r="G672" s="794" t="str">
        <f>IF(B405="Positive","BF",IF(input!F26=2,"OF","BF"))</f>
        <v>BF</v>
      </c>
      <c r="H672" s="21">
        <f>IF(B672="Positive",input!BJ26,input!BI26)</f>
        <v>380</v>
      </c>
      <c r="I672" s="21">
        <f t="shared" si="55"/>
        <v>379.62516376960559</v>
      </c>
      <c r="J672" s="21">
        <f t="shared" si="56"/>
        <v>379.62516314235631</v>
      </c>
      <c r="K672" s="597">
        <f t="shared" si="62"/>
        <v>379.62516314235631</v>
      </c>
      <c r="L672" s="143"/>
      <c r="M672" s="1790"/>
      <c r="P672" s="73"/>
      <c r="Q672" s="73"/>
      <c r="R672" s="73"/>
      <c r="S672" s="73"/>
      <c r="T672" s="73"/>
      <c r="U672" s="73"/>
      <c r="V672" s="73"/>
      <c r="Y672" s="143"/>
      <c r="AB672" s="143"/>
      <c r="AD672" s="143"/>
      <c r="AE672" s="143"/>
      <c r="AF672" s="143"/>
      <c r="AG672" s="143"/>
      <c r="AH672" s="143"/>
      <c r="AI672" s="143"/>
      <c r="AJ672" s="143"/>
      <c r="AK672" s="143"/>
      <c r="AL672" s="143"/>
      <c r="AM672" s="143"/>
      <c r="AN672" s="143"/>
      <c r="AO672" s="143"/>
      <c r="AP672" s="143"/>
      <c r="AQ672" s="143"/>
      <c r="AR672" s="143"/>
      <c r="AS672" s="143"/>
    </row>
    <row r="673" spans="1:45" ht="15" customHeight="1">
      <c r="A673" s="482" t="str">
        <f t="shared" si="57"/>
        <v>113i</v>
      </c>
      <c r="B673" s="1016" t="str">
        <f t="shared" si="58"/>
        <v>Positive</v>
      </c>
      <c r="C673" s="794" t="str">
        <f>IF(B406="Positive",IF(input!F27=2,"OF","BF"),"BF")</f>
        <v>OF</v>
      </c>
      <c r="D673" s="21">
        <f t="shared" si="59"/>
        <v>347.34602006108588</v>
      </c>
      <c r="E673" s="21" t="str">
        <f t="shared" si="60"/>
        <v>OF</v>
      </c>
      <c r="F673" s="21">
        <f t="shared" si="61"/>
        <v>347.34602006108588</v>
      </c>
      <c r="G673" s="794" t="str">
        <f>IF(B406="Positive","BF",IF(input!F27=2,"OF","BF"))</f>
        <v>BF</v>
      </c>
      <c r="H673" s="21">
        <f>IF(B673="Positive",input!BJ27,input!BI27)</f>
        <v>380</v>
      </c>
      <c r="I673" s="21">
        <f t="shared" si="55"/>
        <v>379.55057740545942</v>
      </c>
      <c r="J673" s="21">
        <f t="shared" si="56"/>
        <v>379.55057661542878</v>
      </c>
      <c r="K673" s="597">
        <f t="shared" si="62"/>
        <v>379.55057661542878</v>
      </c>
      <c r="L673" s="143"/>
      <c r="M673" s="1790"/>
      <c r="P673" s="73"/>
      <c r="Q673" s="73"/>
      <c r="R673" s="73"/>
      <c r="S673" s="73"/>
      <c r="T673" s="73"/>
      <c r="U673" s="73"/>
      <c r="V673" s="73"/>
      <c r="Y673" s="143"/>
      <c r="AB673" s="143"/>
      <c r="AD673" s="143"/>
      <c r="AE673" s="143"/>
      <c r="AF673" s="143"/>
      <c r="AG673" s="143"/>
      <c r="AH673" s="143"/>
      <c r="AI673" s="143"/>
      <c r="AJ673" s="143"/>
      <c r="AK673" s="143"/>
      <c r="AL673" s="143"/>
      <c r="AM673" s="143"/>
      <c r="AN673" s="143"/>
      <c r="AO673" s="143"/>
      <c r="AP673" s="143"/>
      <c r="AQ673" s="143"/>
      <c r="AR673" s="143"/>
      <c r="AS673" s="143"/>
    </row>
    <row r="674" spans="1:45" ht="15" customHeight="1">
      <c r="A674" s="482" t="str">
        <f t="shared" si="57"/>
        <v>113j</v>
      </c>
      <c r="B674" s="1016" t="str">
        <f t="shared" si="58"/>
        <v>Positive</v>
      </c>
      <c r="C674" s="794" t="str">
        <f>IF(B407="Positive",IF(input!F28=2,"OF","BF"),"BF")</f>
        <v>OF</v>
      </c>
      <c r="D674" s="21">
        <f t="shared" si="59"/>
        <v>347.34602006108588</v>
      </c>
      <c r="E674" s="21" t="str">
        <f t="shared" si="60"/>
        <v>OF</v>
      </c>
      <c r="F674" s="21">
        <f t="shared" si="61"/>
        <v>347.34602006108588</v>
      </c>
      <c r="G674" s="794" t="str">
        <f>IF(B407="Positive","BF",IF(input!F28=2,"OF","BF"))</f>
        <v>BF</v>
      </c>
      <c r="H674" s="21">
        <f>IF(B674="Positive",input!BJ28,input!BI28)</f>
        <v>380</v>
      </c>
      <c r="I674" s="21">
        <f t="shared" si="55"/>
        <v>379.55057740545942</v>
      </c>
      <c r="J674" s="21">
        <f t="shared" si="56"/>
        <v>379.55057727923952</v>
      </c>
      <c r="K674" s="597">
        <f t="shared" si="62"/>
        <v>379.55057727923952</v>
      </c>
      <c r="L674" s="143"/>
      <c r="M674" s="1790"/>
      <c r="P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C674" s="73"/>
      <c r="AD674" s="73"/>
      <c r="AF674" s="73"/>
      <c r="AH674" s="143"/>
      <c r="AI674" s="143"/>
      <c r="AJ674" s="143"/>
      <c r="AK674" s="143"/>
      <c r="AL674" s="143"/>
      <c r="AM674" s="143"/>
      <c r="AN674" s="143"/>
      <c r="AO674" s="143"/>
      <c r="AP674" s="143"/>
      <c r="AQ674" s="143"/>
      <c r="AR674" s="143"/>
      <c r="AS674" s="143"/>
    </row>
    <row r="675" spans="1:45" ht="15" customHeight="1">
      <c r="A675" s="482" t="str">
        <f t="shared" si="57"/>
        <v>114i</v>
      </c>
      <c r="B675" s="1016" t="str">
        <f t="shared" si="58"/>
        <v>Positive</v>
      </c>
      <c r="C675" s="794" t="str">
        <f>IF(B408="Positive",IF(input!F29=2,"OF","BF"),"BF")</f>
        <v>OF</v>
      </c>
      <c r="D675" s="21">
        <f t="shared" si="59"/>
        <v>347.34602006108588</v>
      </c>
      <c r="E675" s="21" t="str">
        <f t="shared" si="60"/>
        <v>OF</v>
      </c>
      <c r="F675" s="21">
        <f t="shared" si="61"/>
        <v>347.34602006108588</v>
      </c>
      <c r="G675" s="794" t="str">
        <f>IF(B408="Positive","BF",IF(input!F29=2,"OF","BF"))</f>
        <v>BF</v>
      </c>
      <c r="H675" s="21">
        <f>IF(B675="Positive",input!BJ29,input!BI29)</f>
        <v>380</v>
      </c>
      <c r="I675" s="21">
        <f t="shared" si="55"/>
        <v>379.55057740545942</v>
      </c>
      <c r="J675" s="21">
        <f t="shared" si="56"/>
        <v>379.55057727923952</v>
      </c>
      <c r="K675" s="597">
        <f t="shared" si="62"/>
        <v>379.55057727923952</v>
      </c>
      <c r="L675" s="143"/>
      <c r="M675" s="1790"/>
      <c r="P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C675" s="73"/>
      <c r="AD675" s="73"/>
      <c r="AF675" s="73"/>
      <c r="AH675" s="143"/>
      <c r="AI675" s="143"/>
      <c r="AJ675" s="143"/>
      <c r="AK675" s="143"/>
      <c r="AL675" s="143"/>
      <c r="AM675" s="143"/>
      <c r="AN675" s="143"/>
      <c r="AO675" s="143"/>
      <c r="AP675" s="143"/>
      <c r="AQ675" s="143"/>
      <c r="AR675" s="143"/>
      <c r="AS675" s="143"/>
    </row>
    <row r="676" spans="1:45" ht="15" customHeight="1">
      <c r="A676" s="482" t="str">
        <f t="shared" si="57"/>
        <v>114j</v>
      </c>
      <c r="B676" s="1016" t="str">
        <f t="shared" si="58"/>
        <v>Positive</v>
      </c>
      <c r="C676" s="794" t="str">
        <f>IF(B409="Positive",IF(input!F30=2,"OF","BF"),"BF")</f>
        <v>OF</v>
      </c>
      <c r="D676" s="21">
        <f t="shared" si="59"/>
        <v>347.34602006108588</v>
      </c>
      <c r="E676" s="21" t="str">
        <f t="shared" si="60"/>
        <v>OF</v>
      </c>
      <c r="F676" s="21">
        <f t="shared" si="61"/>
        <v>347.34602006108588</v>
      </c>
      <c r="G676" s="794" t="str">
        <f>IF(B409="Positive","BF",IF(input!F30=2,"OF","BF"))</f>
        <v>BF</v>
      </c>
      <c r="H676" s="21">
        <f>IF(B676="Positive",input!BJ30,input!BI30)</f>
        <v>380</v>
      </c>
      <c r="I676" s="21">
        <f t="shared" si="55"/>
        <v>379.55057740545942</v>
      </c>
      <c r="J676" s="21">
        <f t="shared" si="56"/>
        <v>379.55057737367287</v>
      </c>
      <c r="K676" s="597">
        <f t="shared" si="62"/>
        <v>379.55057737367287</v>
      </c>
      <c r="L676" s="143"/>
      <c r="M676" s="1790"/>
      <c r="P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C676" s="73"/>
      <c r="AD676" s="73"/>
      <c r="AF676" s="73"/>
      <c r="AH676" s="143"/>
      <c r="AI676" s="143"/>
      <c r="AJ676" s="143"/>
      <c r="AK676" s="143"/>
      <c r="AL676" s="143"/>
      <c r="AM676" s="143"/>
      <c r="AN676" s="143"/>
      <c r="AO676" s="143"/>
      <c r="AP676" s="143"/>
      <c r="AQ676" s="143"/>
      <c r="AR676" s="143"/>
      <c r="AS676" s="143"/>
    </row>
    <row r="677" spans="1:45" ht="15" customHeight="1">
      <c r="A677" s="482" t="str">
        <f t="shared" si="57"/>
        <v>115i</v>
      </c>
      <c r="B677" s="1016" t="str">
        <f t="shared" si="58"/>
        <v>Positive</v>
      </c>
      <c r="C677" s="794" t="str">
        <f>IF(B410="Positive",IF(input!F31=2,"OF","BF"),"BF")</f>
        <v>OF</v>
      </c>
      <c r="D677" s="21">
        <f t="shared" si="59"/>
        <v>338.9137360414407</v>
      </c>
      <c r="E677" s="21" t="str">
        <f t="shared" si="60"/>
        <v>OF</v>
      </c>
      <c r="F677" s="21">
        <f t="shared" si="61"/>
        <v>338.9137360414407</v>
      </c>
      <c r="G677" s="794" t="str">
        <f>IF(B410="Positive","BF",IF(input!F31=2,"OF","BF"))</f>
        <v>BF</v>
      </c>
      <c r="H677" s="21">
        <f>IF(B677="Positive",input!BJ31,input!BI31)</f>
        <v>380</v>
      </c>
      <c r="I677" s="21">
        <f t="shared" si="55"/>
        <v>379.4583249094602</v>
      </c>
      <c r="J677" s="21">
        <f t="shared" si="56"/>
        <v>379.45832468998418</v>
      </c>
      <c r="K677" s="597">
        <f t="shared" si="62"/>
        <v>379.45832468998418</v>
      </c>
      <c r="L677" s="143"/>
      <c r="M677" s="1790"/>
      <c r="P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C677" s="73"/>
      <c r="AD677" s="73"/>
      <c r="AF677" s="73"/>
      <c r="AH677" s="143"/>
      <c r="AI677" s="143"/>
      <c r="AJ677" s="143"/>
      <c r="AK677" s="143"/>
      <c r="AL677" s="143"/>
      <c r="AM677" s="143"/>
      <c r="AN677" s="143"/>
      <c r="AO677" s="143"/>
      <c r="AP677" s="143"/>
      <c r="AQ677" s="143"/>
      <c r="AR677" s="143"/>
      <c r="AS677" s="143"/>
    </row>
    <row r="678" spans="1:45" ht="15" customHeight="1">
      <c r="A678" s="482" t="str">
        <f t="shared" si="57"/>
        <v>115j</v>
      </c>
      <c r="B678" s="1016" t="str">
        <f t="shared" si="58"/>
        <v>Negative</v>
      </c>
      <c r="C678" s="794" t="str">
        <f>IF(B411="Positive",IF(input!F32=2,"OF","BF"),"BF")</f>
        <v>BF</v>
      </c>
      <c r="D678" s="21" t="str">
        <f t="shared" si="59"/>
        <v>BF</v>
      </c>
      <c r="E678" s="21">
        <f t="shared" si="60"/>
        <v>298.37144551910745</v>
      </c>
      <c r="F678" s="21">
        <f t="shared" si="61"/>
        <v>298.37144551910745</v>
      </c>
      <c r="G678" s="794" t="str">
        <f>IF(B411="Positive","BF",IF(input!F32=2,"OF","BF"))</f>
        <v>OF</v>
      </c>
      <c r="H678" s="21">
        <f>IF(B678="Positive",input!BJ32,input!BI32)</f>
        <v>380</v>
      </c>
      <c r="I678" s="21">
        <f t="shared" si="55"/>
        <v>379.4583249094602</v>
      </c>
      <c r="J678" s="21">
        <f t="shared" si="56"/>
        <v>379.45832276258841</v>
      </c>
      <c r="K678" s="597">
        <f t="shared" si="62"/>
        <v>379.4583249094602</v>
      </c>
      <c r="L678" s="143"/>
      <c r="M678" s="1790"/>
      <c r="P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C678" s="73"/>
      <c r="AD678" s="73"/>
      <c r="AF678" s="73"/>
      <c r="AH678" s="143"/>
      <c r="AI678" s="143"/>
      <c r="AJ678" s="143"/>
      <c r="AK678" s="143"/>
      <c r="AL678" s="143"/>
      <c r="AM678" s="143"/>
      <c r="AN678" s="143"/>
      <c r="AO678" s="143"/>
      <c r="AP678" s="143"/>
      <c r="AQ678" s="143"/>
      <c r="AR678" s="143"/>
      <c r="AS678" s="143"/>
    </row>
    <row r="679" spans="1:45" ht="15" customHeight="1">
      <c r="A679" s="482" t="str">
        <f t="shared" si="57"/>
        <v>116i</v>
      </c>
      <c r="B679" s="1016" t="str">
        <f t="shared" si="58"/>
        <v>Negative</v>
      </c>
      <c r="C679" s="794" t="str">
        <f>IF(B412="Positive",IF(input!F33=2,"OF","BF"),"BF")</f>
        <v>BF</v>
      </c>
      <c r="D679" s="21" t="str">
        <f t="shared" si="59"/>
        <v>BF</v>
      </c>
      <c r="E679" s="21">
        <f t="shared" si="60"/>
        <v>324.98101888696596</v>
      </c>
      <c r="F679" s="21">
        <f t="shared" si="61"/>
        <v>324.98101888696596</v>
      </c>
      <c r="G679" s="794" t="str">
        <f>IF(B412="Positive","BF",IF(input!F33=2,"OF","BF"))</f>
        <v>OF</v>
      </c>
      <c r="H679" s="21">
        <f>IF(B679="Positive",input!BJ33,input!BI33)</f>
        <v>380</v>
      </c>
      <c r="I679" s="21">
        <f t="shared" si="55"/>
        <v>379.59020989073042</v>
      </c>
      <c r="J679" s="21">
        <f t="shared" si="56"/>
        <v>379.59020869706455</v>
      </c>
      <c r="K679" s="597">
        <f t="shared" si="62"/>
        <v>379.59020989073042</v>
      </c>
      <c r="L679" s="143"/>
      <c r="M679" s="1790"/>
      <c r="P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C679" s="73"/>
      <c r="AD679" s="73"/>
      <c r="AF679" s="73"/>
      <c r="AH679" s="143"/>
      <c r="AI679" s="143"/>
      <c r="AJ679" s="143"/>
      <c r="AK679" s="143"/>
      <c r="AL679" s="143"/>
      <c r="AM679" s="143"/>
      <c r="AN679" s="143"/>
      <c r="AO679" s="143"/>
      <c r="AP679" s="143"/>
      <c r="AQ679" s="143"/>
      <c r="AR679" s="143"/>
      <c r="AS679" s="143"/>
    </row>
    <row r="680" spans="1:45" ht="15" customHeight="1">
      <c r="A680" s="482" t="str">
        <f t="shared" si="57"/>
        <v>116j</v>
      </c>
      <c r="B680" s="1016" t="str">
        <f t="shared" si="58"/>
        <v>Negative</v>
      </c>
      <c r="C680" s="794" t="str">
        <f>IF(B413="Positive",IF(input!F34=2,"OF","BF"),"BF")</f>
        <v>BF</v>
      </c>
      <c r="D680" s="21" t="str">
        <f t="shared" si="59"/>
        <v>BF</v>
      </c>
      <c r="E680" s="21">
        <f t="shared" si="60"/>
        <v>324.98101269978332</v>
      </c>
      <c r="F680" s="21">
        <f t="shared" si="61"/>
        <v>324.98101269978332</v>
      </c>
      <c r="G680" s="794" t="str">
        <f>IF(B413="Positive","BF",IF(input!F34=2,"OF","BF"))</f>
        <v>OF</v>
      </c>
      <c r="H680" s="21">
        <f>IF(B680="Positive",input!BJ34,input!BI34)</f>
        <v>380</v>
      </c>
      <c r="I680" s="21">
        <f t="shared" si="55"/>
        <v>379.59020989073042</v>
      </c>
      <c r="J680" s="21">
        <f t="shared" si="56"/>
        <v>379.59020679965528</v>
      </c>
      <c r="K680" s="597">
        <f t="shared" si="62"/>
        <v>379.59020989073042</v>
      </c>
      <c r="L680" s="143"/>
      <c r="M680" s="1790"/>
      <c r="P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C680" s="73"/>
      <c r="AD680" s="73"/>
      <c r="AF680" s="73"/>
      <c r="AH680" s="143"/>
      <c r="AI680" s="143"/>
      <c r="AJ680" s="143"/>
      <c r="AK680" s="143"/>
      <c r="AL680" s="143"/>
      <c r="AM680" s="143"/>
      <c r="AN680" s="143"/>
      <c r="AO680" s="143"/>
      <c r="AP680" s="143"/>
      <c r="AQ680" s="143"/>
      <c r="AR680" s="143"/>
      <c r="AS680" s="143"/>
    </row>
    <row r="681" spans="1:45" ht="15" customHeight="1">
      <c r="A681" s="482" t="str">
        <f t="shared" si="57"/>
        <v>117i</v>
      </c>
      <c r="B681" s="1016" t="str">
        <f t="shared" si="58"/>
        <v>Negative</v>
      </c>
      <c r="C681" s="794" t="str">
        <f>IF(B414="Positive",IF(input!F35=2,"OF","BF"),"BF")</f>
        <v>BF</v>
      </c>
      <c r="D681" s="21" t="str">
        <f t="shared" si="59"/>
        <v>BF</v>
      </c>
      <c r="E681" s="21">
        <f t="shared" si="60"/>
        <v>340.67449212811795</v>
      </c>
      <c r="F681" s="21">
        <f t="shared" si="61"/>
        <v>340.67449212811795</v>
      </c>
      <c r="G681" s="794" t="str">
        <f>IF(B414="Positive","BF",IF(input!F35=2,"OF","BF"))</f>
        <v>OF</v>
      </c>
      <c r="H681" s="21">
        <f>IF(B681="Positive",input!BJ35,input!BI35)</f>
        <v>380</v>
      </c>
      <c r="I681" s="21">
        <f t="shared" ref="I681:I710" si="63">H681*O348</f>
        <v>379.71457390181416</v>
      </c>
      <c r="J681" s="21">
        <f t="shared" ref="J681:J710" si="64">I681*M481</f>
        <v>379.71451962811551</v>
      </c>
      <c r="K681" s="597">
        <f t="shared" si="62"/>
        <v>379.71457390181416</v>
      </c>
      <c r="L681" s="143"/>
      <c r="M681" s="1790"/>
      <c r="P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C681" s="73"/>
      <c r="AD681" s="73"/>
      <c r="AF681" s="73"/>
      <c r="AH681" s="143"/>
      <c r="AI681" s="143"/>
      <c r="AJ681" s="143"/>
      <c r="AK681" s="143"/>
      <c r="AL681" s="143"/>
      <c r="AM681" s="143"/>
      <c r="AN681" s="143"/>
      <c r="AO681" s="143"/>
      <c r="AP681" s="143"/>
      <c r="AQ681" s="143"/>
      <c r="AR681" s="143"/>
      <c r="AS681" s="143"/>
    </row>
    <row r="682" spans="1:45" ht="15" customHeight="1">
      <c r="A682" s="482" t="str">
        <f t="shared" si="57"/>
        <v>117j</v>
      </c>
      <c r="B682" s="1016" t="str">
        <f t="shared" si="58"/>
        <v>Negative</v>
      </c>
      <c r="C682" s="794" t="str">
        <f>IF(B415="Positive",IF(input!F36=2,"OF","BF"),"BF")</f>
        <v>BF</v>
      </c>
      <c r="D682" s="21" t="str">
        <f t="shared" si="59"/>
        <v>BF</v>
      </c>
      <c r="E682" s="21">
        <f t="shared" si="60"/>
        <v>340.67446327583895</v>
      </c>
      <c r="F682" s="21">
        <f t="shared" si="61"/>
        <v>340.67446327583895</v>
      </c>
      <c r="G682" s="794" t="str">
        <f>IF(B415="Positive","BF",IF(input!F36=2,"OF","BF"))</f>
        <v>OF</v>
      </c>
      <c r="H682" s="21">
        <f>IF(B682="Positive",input!BJ36,input!BI36)</f>
        <v>380</v>
      </c>
      <c r="I682" s="21">
        <f t="shared" si="63"/>
        <v>379.71457390181416</v>
      </c>
      <c r="J682" s="21">
        <f t="shared" si="64"/>
        <v>379.71451119349422</v>
      </c>
      <c r="K682" s="597">
        <f t="shared" si="62"/>
        <v>379.71457390181416</v>
      </c>
      <c r="L682" s="143"/>
      <c r="M682" s="1790"/>
      <c r="P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C682" s="73"/>
      <c r="AD682" s="73"/>
      <c r="AF682" s="73"/>
      <c r="AH682" s="143"/>
      <c r="AI682" s="143"/>
      <c r="AJ682" s="143"/>
      <c r="AK682" s="143"/>
      <c r="AL682" s="143"/>
      <c r="AM682" s="143"/>
      <c r="AN682" s="143"/>
      <c r="AO682" s="143"/>
      <c r="AP682" s="143"/>
      <c r="AQ682" s="143"/>
      <c r="AR682" s="143"/>
      <c r="AS682" s="143"/>
    </row>
    <row r="683" spans="1:45" ht="15" customHeight="1">
      <c r="A683" s="482" t="str">
        <f t="shared" si="57"/>
        <v>118i</v>
      </c>
      <c r="B683" s="1016" t="str">
        <f t="shared" si="58"/>
        <v>Negative</v>
      </c>
      <c r="C683" s="794" t="str">
        <f>IF(B416="Positive",IF(input!F37=2,"OF","BF"),"BF")</f>
        <v>BF</v>
      </c>
      <c r="D683" s="21" t="str">
        <f t="shared" si="59"/>
        <v>BF</v>
      </c>
      <c r="E683" s="21">
        <f t="shared" si="60"/>
        <v>350.72544548365823</v>
      </c>
      <c r="F683" s="21">
        <f t="shared" si="61"/>
        <v>350.72544548365823</v>
      </c>
      <c r="G683" s="794" t="str">
        <f>IF(B416="Positive","BF",IF(input!F37=2,"OF","BF"))</f>
        <v>BF</v>
      </c>
      <c r="H683" s="21">
        <f>IF(B683="Positive",input!BJ37,input!BI37)</f>
        <v>380</v>
      </c>
      <c r="I683" s="21">
        <f t="shared" si="63"/>
        <v>379.83589662126923</v>
      </c>
      <c r="J683" s="21">
        <f t="shared" si="64"/>
        <v>379.835847042029</v>
      </c>
      <c r="K683" s="597">
        <f t="shared" si="62"/>
        <v>379.835847042029</v>
      </c>
      <c r="L683" s="143"/>
      <c r="M683" s="1790"/>
      <c r="P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C683" s="73"/>
      <c r="AD683" s="73"/>
      <c r="AF683" s="73"/>
      <c r="AH683" s="143"/>
      <c r="AI683" s="143"/>
      <c r="AJ683" s="143"/>
      <c r="AK683" s="143"/>
      <c r="AL683" s="143"/>
      <c r="AM683" s="143"/>
      <c r="AN683" s="143"/>
      <c r="AO683" s="143"/>
      <c r="AP683" s="143"/>
      <c r="AQ683" s="143"/>
      <c r="AR683" s="143"/>
      <c r="AS683" s="143"/>
    </row>
    <row r="684" spans="1:45" ht="15" customHeight="1">
      <c r="A684" s="482" t="str">
        <f t="shared" si="57"/>
        <v>118j</v>
      </c>
      <c r="B684" s="1016" t="str">
        <f t="shared" si="58"/>
        <v>Negative</v>
      </c>
      <c r="C684" s="794" t="str">
        <f>IF(B417="Positive",IF(input!F38=2,"OF","BF"),"BF")</f>
        <v>BF</v>
      </c>
      <c r="D684" s="21" t="str">
        <f t="shared" si="59"/>
        <v>BF</v>
      </c>
      <c r="E684" s="21">
        <f t="shared" si="60"/>
        <v>350.72542803080961</v>
      </c>
      <c r="F684" s="21">
        <f t="shared" si="61"/>
        <v>350.72542803080961</v>
      </c>
      <c r="G684" s="794" t="str">
        <f>IF(B417="Positive","BF",IF(input!F38=2,"OF","BF"))</f>
        <v>BF</v>
      </c>
      <c r="H684" s="21">
        <f>IF(B684="Positive",input!BJ38,input!BI38)</f>
        <v>380</v>
      </c>
      <c r="I684" s="21">
        <f t="shared" si="63"/>
        <v>379.83589662126923</v>
      </c>
      <c r="J684" s="21">
        <f t="shared" si="64"/>
        <v>379.8358420874851</v>
      </c>
      <c r="K684" s="597">
        <f t="shared" si="62"/>
        <v>379.8358420874851</v>
      </c>
      <c r="L684" s="143"/>
      <c r="M684" s="1790"/>
      <c r="P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C684" s="73"/>
      <c r="AD684" s="73"/>
      <c r="AF684" s="73"/>
      <c r="AH684" s="143"/>
      <c r="AI684" s="143"/>
      <c r="AJ684" s="143"/>
      <c r="AK684" s="143"/>
      <c r="AL684" s="143"/>
      <c r="AM684" s="143"/>
      <c r="AN684" s="143"/>
      <c r="AO684" s="143"/>
      <c r="AP684" s="143"/>
      <c r="AQ684" s="143"/>
      <c r="AR684" s="143"/>
      <c r="AS684" s="143"/>
    </row>
    <row r="685" spans="1:45" ht="15" customHeight="1">
      <c r="A685" s="482" t="str">
        <f t="shared" si="57"/>
        <v>119i</v>
      </c>
      <c r="B685" s="1016" t="str">
        <f t="shared" si="58"/>
        <v>Negative</v>
      </c>
      <c r="C685" s="794" t="str">
        <f>IF(B418="Positive",IF(input!F39=2,"OF","BF"),"BF")</f>
        <v>BF</v>
      </c>
      <c r="D685" s="21" t="str">
        <f t="shared" si="59"/>
        <v>BF</v>
      </c>
      <c r="E685" s="21">
        <f t="shared" si="60"/>
        <v>353.24610970464153</v>
      </c>
      <c r="F685" s="21">
        <f t="shared" si="61"/>
        <v>353.24610970464153</v>
      </c>
      <c r="G685" s="794" t="str">
        <f>IF(B418="Positive","BF",IF(input!F39=2,"OF","BF"))</f>
        <v>BF</v>
      </c>
      <c r="H685" s="21">
        <f>IF(B685="Positive",input!BJ39,input!BI39)</f>
        <v>380</v>
      </c>
      <c r="I685" s="21">
        <f t="shared" si="63"/>
        <v>379.82766143697751</v>
      </c>
      <c r="J685" s="21">
        <f t="shared" si="64"/>
        <v>379.82760950803396</v>
      </c>
      <c r="K685" s="597">
        <f t="shared" si="62"/>
        <v>379.82760950803396</v>
      </c>
      <c r="L685" s="143"/>
      <c r="M685" s="1790"/>
      <c r="P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C685" s="73"/>
      <c r="AD685" s="73"/>
      <c r="AF685" s="73"/>
      <c r="AH685" s="143"/>
      <c r="AI685" s="143"/>
      <c r="AJ685" s="143"/>
      <c r="AK685" s="143"/>
      <c r="AL685" s="143"/>
      <c r="AM685" s="143"/>
      <c r="AN685" s="143"/>
      <c r="AO685" s="143"/>
      <c r="AP685" s="143"/>
      <c r="AQ685" s="143"/>
      <c r="AR685" s="143"/>
      <c r="AS685" s="143"/>
    </row>
    <row r="686" spans="1:45" ht="15" customHeight="1">
      <c r="A686" s="482" t="str">
        <f t="shared" si="57"/>
        <v>119j</v>
      </c>
      <c r="B686" s="1016" t="str">
        <f t="shared" si="58"/>
        <v>Negative</v>
      </c>
      <c r="C686" s="794" t="str">
        <f>IF(B419="Positive",IF(input!F40=2,"OF","BF"),"BF")</f>
        <v>BF</v>
      </c>
      <c r="D686" s="21" t="str">
        <f t="shared" si="59"/>
        <v>BF</v>
      </c>
      <c r="E686" s="21">
        <f t="shared" si="60"/>
        <v>353.24610228556156</v>
      </c>
      <c r="F686" s="21">
        <f t="shared" si="61"/>
        <v>353.24610228556156</v>
      </c>
      <c r="G686" s="794" t="str">
        <f>IF(B419="Positive","BF",IF(input!F40=2,"OF","BF"))</f>
        <v>BF</v>
      </c>
      <c r="H686" s="21">
        <f>IF(B686="Positive",input!BJ40,input!BI40)</f>
        <v>380</v>
      </c>
      <c r="I686" s="21">
        <f t="shared" si="63"/>
        <v>379.82766143697751</v>
      </c>
      <c r="J686" s="21">
        <f t="shared" si="64"/>
        <v>379.82760741731425</v>
      </c>
      <c r="K686" s="597">
        <f t="shared" si="62"/>
        <v>379.82760741731425</v>
      </c>
      <c r="L686" s="143"/>
      <c r="M686" s="1790"/>
      <c r="P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C686" s="73"/>
      <c r="AD686" s="73"/>
      <c r="AF686" s="73"/>
      <c r="AH686" s="143"/>
      <c r="AI686" s="143"/>
      <c r="AJ686" s="143"/>
      <c r="AK686" s="143"/>
      <c r="AL686" s="143"/>
      <c r="AM686" s="143"/>
      <c r="AN686" s="143"/>
      <c r="AO686" s="143"/>
      <c r="AP686" s="143"/>
      <c r="AQ686" s="143"/>
      <c r="AR686" s="143"/>
      <c r="AS686" s="143"/>
    </row>
    <row r="687" spans="1:45" ht="15" customHeight="1">
      <c r="A687" s="482" t="str">
        <f t="shared" si="57"/>
        <v>120i</v>
      </c>
      <c r="B687" s="1016" t="str">
        <f t="shared" si="58"/>
        <v>Negative</v>
      </c>
      <c r="C687" s="794" t="str">
        <f>IF(B420="Positive",IF(input!F41=2,"OF","BF"),"BF")</f>
        <v>BF</v>
      </c>
      <c r="D687" s="21" t="str">
        <f t="shared" si="59"/>
        <v>BF</v>
      </c>
      <c r="E687" s="21">
        <f t="shared" si="60"/>
        <v>353.2461292815774</v>
      </c>
      <c r="F687" s="21">
        <f t="shared" si="61"/>
        <v>353.2461292815774</v>
      </c>
      <c r="G687" s="794" t="str">
        <f>IF(B420="Positive","BF",IF(input!F41=2,"OF","BF"))</f>
        <v>BF</v>
      </c>
      <c r="H687" s="21">
        <f>IF(B687="Positive",input!BJ41,input!BI41)</f>
        <v>380</v>
      </c>
      <c r="I687" s="21">
        <f t="shared" si="63"/>
        <v>379.82766143697751</v>
      </c>
      <c r="J687" s="21">
        <f t="shared" si="64"/>
        <v>379.82761502487523</v>
      </c>
      <c r="K687" s="597">
        <f t="shared" si="62"/>
        <v>379.82761502487523</v>
      </c>
      <c r="L687" s="143"/>
      <c r="M687" s="1790"/>
      <c r="P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C687" s="73"/>
      <c r="AD687" s="73"/>
      <c r="AF687" s="73"/>
      <c r="AH687" s="143"/>
      <c r="AI687" s="143"/>
      <c r="AJ687" s="143"/>
      <c r="AK687" s="143"/>
      <c r="AL687" s="143"/>
      <c r="AM687" s="143"/>
      <c r="AN687" s="143"/>
      <c r="AO687" s="143"/>
      <c r="AP687" s="143"/>
      <c r="AQ687" s="143"/>
      <c r="AR687" s="143"/>
      <c r="AS687" s="143"/>
    </row>
    <row r="688" spans="1:45" ht="15" customHeight="1">
      <c r="A688" s="482" t="str">
        <f t="shared" si="57"/>
        <v>120j</v>
      </c>
      <c r="B688" s="1016" t="str">
        <f t="shared" si="58"/>
        <v>Negative</v>
      </c>
      <c r="C688" s="794" t="str">
        <f>IF(B421="Positive",IF(input!F42=2,"OF","BF"),"BF")</f>
        <v>BF</v>
      </c>
      <c r="D688" s="21" t="str">
        <f t="shared" si="59"/>
        <v>BF</v>
      </c>
      <c r="E688" s="21">
        <f t="shared" si="60"/>
        <v>353.24613615307965</v>
      </c>
      <c r="F688" s="21">
        <f t="shared" si="61"/>
        <v>353.24613615307965</v>
      </c>
      <c r="G688" s="794" t="str">
        <f>IF(B421="Positive","BF",IF(input!F42=2,"OF","BF"))</f>
        <v>BF</v>
      </c>
      <c r="H688" s="21">
        <f>IF(B688="Positive",input!BJ42,input!BI42)</f>
        <v>380</v>
      </c>
      <c r="I688" s="21">
        <f t="shared" si="63"/>
        <v>379.82766143697751</v>
      </c>
      <c r="J688" s="21">
        <f t="shared" si="64"/>
        <v>379.82761696128586</v>
      </c>
      <c r="K688" s="597">
        <f t="shared" si="62"/>
        <v>379.82761696128586</v>
      </c>
      <c r="L688" s="143"/>
      <c r="M688" s="1790"/>
      <c r="P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C688" s="73"/>
      <c r="AD688" s="73"/>
      <c r="AF688" s="73"/>
      <c r="AH688" s="143"/>
      <c r="AI688" s="143"/>
      <c r="AJ688" s="143"/>
      <c r="AK688" s="143"/>
      <c r="AL688" s="143"/>
      <c r="AM688" s="143"/>
      <c r="AN688" s="143"/>
      <c r="AO688" s="143"/>
      <c r="AP688" s="143"/>
      <c r="AQ688" s="143"/>
      <c r="AR688" s="143"/>
      <c r="AS688" s="143"/>
    </row>
    <row r="689" spans="1:45" ht="15" customHeight="1">
      <c r="A689" s="482" t="str">
        <f t="shared" si="57"/>
        <v>121i</v>
      </c>
      <c r="B689" s="1016" t="str">
        <f t="shared" si="58"/>
        <v>Negative</v>
      </c>
      <c r="C689" s="794" t="str">
        <f>IF(B422="Positive",IF(input!F43=2,"OF","BF"),"BF")</f>
        <v>BF</v>
      </c>
      <c r="D689" s="21" t="str">
        <f t="shared" si="59"/>
        <v>BF</v>
      </c>
      <c r="E689" s="21">
        <f t="shared" si="60"/>
        <v>350.72545560257589</v>
      </c>
      <c r="F689" s="21">
        <f t="shared" si="61"/>
        <v>350.72545560257589</v>
      </c>
      <c r="G689" s="794" t="str">
        <f>IF(B422="Positive","BF",IF(input!F43=2,"OF","BF"))</f>
        <v>BF</v>
      </c>
      <c r="H689" s="21">
        <f>IF(B689="Positive",input!BJ43,input!BI43)</f>
        <v>380</v>
      </c>
      <c r="I689" s="21">
        <f t="shared" si="63"/>
        <v>379.83589662126923</v>
      </c>
      <c r="J689" s="21">
        <f t="shared" si="64"/>
        <v>379.8358499146043</v>
      </c>
      <c r="K689" s="597">
        <f t="shared" si="62"/>
        <v>379.8358499146043</v>
      </c>
      <c r="L689" s="143"/>
      <c r="M689" s="1790"/>
      <c r="P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C689" s="73"/>
      <c r="AD689" s="73"/>
      <c r="AF689" s="73"/>
      <c r="AH689" s="143"/>
      <c r="AI689" s="143"/>
      <c r="AJ689" s="143"/>
      <c r="AK689" s="143"/>
      <c r="AL689" s="143"/>
      <c r="AM689" s="143"/>
      <c r="AN689" s="143"/>
      <c r="AO689" s="143"/>
      <c r="AP689" s="143"/>
      <c r="AQ689" s="143"/>
      <c r="AR689" s="143"/>
      <c r="AS689" s="143"/>
    </row>
    <row r="690" spans="1:45" ht="15" customHeight="1">
      <c r="A690" s="482" t="str">
        <f t="shared" si="57"/>
        <v>121j</v>
      </c>
      <c r="B690" s="1016" t="str">
        <f t="shared" si="58"/>
        <v>Negative</v>
      </c>
      <c r="C690" s="794" t="str">
        <f>IF(B423="Positive",IF(input!F44=2,"OF","BF"),"BF")</f>
        <v>BF</v>
      </c>
      <c r="D690" s="21" t="str">
        <f t="shared" si="59"/>
        <v>BF</v>
      </c>
      <c r="E690" s="21">
        <f t="shared" si="60"/>
        <v>350.72547172347709</v>
      </c>
      <c r="F690" s="21">
        <f t="shared" si="61"/>
        <v>350.72547172347709</v>
      </c>
      <c r="G690" s="794" t="str">
        <f>IF(B423="Positive","BF",IF(input!F44=2,"OF","BF"))</f>
        <v>BF</v>
      </c>
      <c r="H690" s="21">
        <f>IF(B690="Positive",input!BJ44,input!BI44)</f>
        <v>380</v>
      </c>
      <c r="I690" s="21">
        <f t="shared" si="63"/>
        <v>379.83589662126923</v>
      </c>
      <c r="J690" s="21">
        <f t="shared" si="64"/>
        <v>379.83585449103276</v>
      </c>
      <c r="K690" s="597">
        <f t="shared" si="62"/>
        <v>379.83585449103276</v>
      </c>
      <c r="L690" s="143"/>
      <c r="M690" s="1790"/>
      <c r="P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C690" s="73"/>
      <c r="AD690" s="73"/>
      <c r="AF690" s="73"/>
      <c r="AH690" s="143"/>
      <c r="AI690" s="143"/>
      <c r="AJ690" s="143"/>
      <c r="AK690" s="143"/>
      <c r="AL690" s="143"/>
      <c r="AM690" s="143"/>
      <c r="AN690" s="143"/>
      <c r="AO690" s="143"/>
      <c r="AP690" s="143"/>
      <c r="AQ690" s="143"/>
      <c r="AR690" s="143"/>
      <c r="AS690" s="143"/>
    </row>
    <row r="691" spans="1:45" ht="15" customHeight="1">
      <c r="A691" s="482" t="str">
        <f t="shared" si="57"/>
        <v>122i</v>
      </c>
      <c r="B691" s="1016" t="str">
        <f t="shared" si="58"/>
        <v>Negative</v>
      </c>
      <c r="C691" s="794" t="str">
        <f>IF(B424="Positive",IF(input!F45=2,"OF","BF"),"BF")</f>
        <v>BF</v>
      </c>
      <c r="D691" s="21" t="str">
        <f t="shared" si="59"/>
        <v>BF</v>
      </c>
      <c r="E691" s="21">
        <f t="shared" si="60"/>
        <v>345.9053679734057</v>
      </c>
      <c r="F691" s="21">
        <f t="shared" si="61"/>
        <v>345.9053679734057</v>
      </c>
      <c r="G691" s="794" t="str">
        <f>IF(B424="Positive","BF",IF(input!F45=2,"OF","BF"))</f>
        <v>OF</v>
      </c>
      <c r="H691" s="21">
        <f>IF(B691="Positive",input!BJ45,input!BI45)</f>
        <v>380</v>
      </c>
      <c r="I691" s="21">
        <f t="shared" si="63"/>
        <v>379.74348556207576</v>
      </c>
      <c r="J691" s="21">
        <f t="shared" si="64"/>
        <v>379.74343923394923</v>
      </c>
      <c r="K691" s="597">
        <f t="shared" si="62"/>
        <v>379.74348556207576</v>
      </c>
      <c r="L691" s="143"/>
      <c r="M691" s="1790"/>
      <c r="P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C691" s="73"/>
      <c r="AD691" s="73"/>
      <c r="AF691" s="73"/>
      <c r="AH691" s="143"/>
      <c r="AI691" s="143"/>
      <c r="AJ691" s="143"/>
      <c r="AK691" s="143"/>
      <c r="AL691" s="143"/>
      <c r="AM691" s="143"/>
      <c r="AN691" s="143"/>
      <c r="AO691" s="143"/>
      <c r="AP691" s="143"/>
      <c r="AQ691" s="143"/>
      <c r="AR691" s="143"/>
      <c r="AS691" s="143"/>
    </row>
    <row r="692" spans="1:45" ht="15" customHeight="1">
      <c r="A692" s="482" t="str">
        <f t="shared" si="57"/>
        <v>122j</v>
      </c>
      <c r="B692" s="1016" t="str">
        <f t="shared" si="58"/>
        <v>Negative</v>
      </c>
      <c r="C692" s="794" t="str">
        <f>IF(B425="Positive",IF(input!F46=2,"OF","BF"),"BF")</f>
        <v>BF</v>
      </c>
      <c r="D692" s="21" t="str">
        <f t="shared" si="59"/>
        <v>BF</v>
      </c>
      <c r="E692" s="21">
        <f t="shared" si="60"/>
        <v>345.90539138601497</v>
      </c>
      <c r="F692" s="21">
        <f t="shared" si="61"/>
        <v>345.90539138601497</v>
      </c>
      <c r="G692" s="794" t="str">
        <f>IF(B425="Positive","BF",IF(input!F46=2,"OF","BF"))</f>
        <v>OF</v>
      </c>
      <c r="H692" s="21">
        <f>IF(B692="Positive",input!BJ46,input!BI46)</f>
        <v>380</v>
      </c>
      <c r="I692" s="21">
        <f t="shared" si="63"/>
        <v>379.74348556207576</v>
      </c>
      <c r="J692" s="21">
        <f t="shared" si="64"/>
        <v>379.74344597312137</v>
      </c>
      <c r="K692" s="597">
        <f t="shared" si="62"/>
        <v>379.74348556207576</v>
      </c>
      <c r="L692" s="143"/>
      <c r="M692" s="1790"/>
      <c r="P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C692" s="73"/>
      <c r="AD692" s="73"/>
      <c r="AF692" s="73"/>
      <c r="AH692" s="143"/>
      <c r="AI692" s="143"/>
      <c r="AJ692" s="143"/>
      <c r="AK692" s="143"/>
      <c r="AL692" s="143"/>
      <c r="AM692" s="143"/>
      <c r="AN692" s="143"/>
      <c r="AO692" s="143"/>
      <c r="AP692" s="143"/>
      <c r="AQ692" s="143"/>
      <c r="AR692" s="143"/>
      <c r="AS692" s="143"/>
    </row>
    <row r="693" spans="1:45" ht="15" customHeight="1">
      <c r="A693" s="482" t="str">
        <f t="shared" si="57"/>
        <v>123i</v>
      </c>
      <c r="B693" s="1016" t="str">
        <f t="shared" si="58"/>
        <v>Negative</v>
      </c>
      <c r="C693" s="794" t="str">
        <f>IF(B426="Positive",IF(input!F47=2,"OF","BF"),"BF")</f>
        <v>BF</v>
      </c>
      <c r="D693" s="21" t="str">
        <f t="shared" si="59"/>
        <v>BF</v>
      </c>
      <c r="E693" s="21">
        <f t="shared" si="60"/>
        <v>342.92770285047607</v>
      </c>
      <c r="F693" s="21">
        <f t="shared" si="61"/>
        <v>342.92770285047607</v>
      </c>
      <c r="G693" s="794" t="str">
        <f>IF(B426="Positive","BF",IF(input!F47=2,"OF","BF"))</f>
        <v>OF</v>
      </c>
      <c r="H693" s="21">
        <f>IF(B693="Positive",input!BJ47,input!BI47)</f>
        <v>380</v>
      </c>
      <c r="I693" s="21">
        <f t="shared" si="63"/>
        <v>379.72812323033014</v>
      </c>
      <c r="J693" s="21">
        <f t="shared" si="64"/>
        <v>379.72811779577887</v>
      </c>
      <c r="K693" s="597">
        <f t="shared" si="62"/>
        <v>379.72812323033014</v>
      </c>
      <c r="L693" s="143"/>
      <c r="M693" s="1790"/>
      <c r="P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C693" s="73"/>
      <c r="AD693" s="73"/>
      <c r="AF693" s="73"/>
      <c r="AH693" s="143"/>
      <c r="AI693" s="143"/>
      <c r="AJ693" s="143"/>
      <c r="AK693" s="143"/>
      <c r="AL693" s="143"/>
      <c r="AM693" s="143"/>
      <c r="AN693" s="143"/>
      <c r="AO693" s="143"/>
      <c r="AP693" s="143"/>
      <c r="AQ693" s="143"/>
      <c r="AR693" s="143"/>
      <c r="AS693" s="143"/>
    </row>
    <row r="694" spans="1:45" ht="15" customHeight="1">
      <c r="A694" s="482" t="str">
        <f t="shared" si="57"/>
        <v>123j</v>
      </c>
      <c r="B694" s="1016" t="str">
        <f t="shared" si="58"/>
        <v>Negative</v>
      </c>
      <c r="C694" s="794" t="str">
        <f>IF(B427="Positive",IF(input!F48=2,"OF","BF"),"BF")</f>
        <v>BF</v>
      </c>
      <c r="D694" s="21" t="str">
        <f t="shared" si="59"/>
        <v>BF</v>
      </c>
      <c r="E694" s="21">
        <f t="shared" si="60"/>
        <v>342.92771040152047</v>
      </c>
      <c r="F694" s="21">
        <f t="shared" si="61"/>
        <v>342.92771040152047</v>
      </c>
      <c r="G694" s="794" t="str">
        <f>IF(B427="Positive","BF",IF(input!F48=2,"OF","BF"))</f>
        <v>OF</v>
      </c>
      <c r="H694" s="21">
        <f>IF(B694="Positive",input!BJ48,input!BI48)</f>
        <v>380</v>
      </c>
      <c r="I694" s="21">
        <f t="shared" si="63"/>
        <v>379.72812323033014</v>
      </c>
      <c r="J694" s="21">
        <f t="shared" si="64"/>
        <v>379.72811998849801</v>
      </c>
      <c r="K694" s="597">
        <f t="shared" si="62"/>
        <v>379.72812323033014</v>
      </c>
      <c r="L694" s="143"/>
      <c r="M694" s="1790"/>
      <c r="P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C694" s="73"/>
      <c r="AD694" s="73"/>
      <c r="AF694" s="73"/>
      <c r="AH694" s="143"/>
      <c r="AI694" s="143"/>
      <c r="AJ694" s="143"/>
      <c r="AK694" s="143"/>
      <c r="AL694" s="143"/>
      <c r="AM694" s="143"/>
      <c r="AN694" s="143"/>
      <c r="AO694" s="143"/>
      <c r="AP694" s="143"/>
      <c r="AQ694" s="143"/>
      <c r="AR694" s="143"/>
      <c r="AS694" s="143"/>
    </row>
    <row r="695" spans="1:45" ht="15" customHeight="1">
      <c r="A695" s="482" t="str">
        <f t="shared" si="57"/>
        <v>124i</v>
      </c>
      <c r="B695" s="1016" t="str">
        <f t="shared" si="58"/>
        <v>Negative</v>
      </c>
      <c r="C695" s="794" t="str">
        <f>IF(B428="Positive",IF(input!F49=2,"OF","BF"),"BF")</f>
        <v>BF</v>
      </c>
      <c r="D695" s="21" t="str">
        <f t="shared" si="59"/>
        <v>BF</v>
      </c>
      <c r="E695" s="21">
        <f t="shared" si="60"/>
        <v>324.58532451408411</v>
      </c>
      <c r="F695" s="21">
        <f t="shared" si="61"/>
        <v>324.58532451408411</v>
      </c>
      <c r="G695" s="794" t="str">
        <f>IF(B428="Positive","BF",IF(input!F49=2,"OF","BF"))</f>
        <v>OF</v>
      </c>
      <c r="H695" s="21">
        <f>IF(B695="Positive",input!BJ49,input!BI49)</f>
        <v>380</v>
      </c>
      <c r="I695" s="21">
        <f t="shared" si="63"/>
        <v>379.51243286979144</v>
      </c>
      <c r="J695" s="21">
        <f t="shared" si="64"/>
        <v>379.51242772845518</v>
      </c>
      <c r="K695" s="597">
        <f t="shared" si="62"/>
        <v>379.51243286979144</v>
      </c>
      <c r="L695" s="143"/>
      <c r="M695" s="1790"/>
      <c r="P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C695" s="73"/>
      <c r="AD695" s="73"/>
      <c r="AF695" s="73"/>
      <c r="AH695" s="143"/>
      <c r="AI695" s="143"/>
      <c r="AJ695" s="143"/>
      <c r="AK695" s="143"/>
      <c r="AL695" s="143"/>
      <c r="AM695" s="143"/>
      <c r="AN695" s="143"/>
      <c r="AO695" s="143"/>
      <c r="AP695" s="143"/>
      <c r="AQ695" s="143"/>
      <c r="AR695" s="143"/>
      <c r="AS695" s="143"/>
    </row>
    <row r="696" spans="1:45" ht="15" customHeight="1">
      <c r="A696" s="482" t="str">
        <f t="shared" si="57"/>
        <v>124j</v>
      </c>
      <c r="B696" s="1016" t="str">
        <f t="shared" si="58"/>
        <v>Negative</v>
      </c>
      <c r="C696" s="794" t="str">
        <f>IF(B429="Positive",IF(input!F50=2,"OF","BF"),"BF")</f>
        <v>BF</v>
      </c>
      <c r="D696" s="21" t="str">
        <f t="shared" si="59"/>
        <v>BF</v>
      </c>
      <c r="E696" s="21">
        <f t="shared" si="60"/>
        <v>324.58533293238725</v>
      </c>
      <c r="F696" s="21">
        <f t="shared" si="61"/>
        <v>324.58533293238725</v>
      </c>
      <c r="G696" s="794" t="str">
        <f>IF(B429="Positive","BF",IF(input!F50=2,"OF","BF"))</f>
        <v>OF</v>
      </c>
      <c r="H696" s="21">
        <f>IF(B696="Positive",input!BJ50,input!BI50)</f>
        <v>380</v>
      </c>
      <c r="I696" s="21">
        <f t="shared" si="63"/>
        <v>379.51243286979144</v>
      </c>
      <c r="J696" s="21">
        <f t="shared" si="64"/>
        <v>379.51243031262049</v>
      </c>
      <c r="K696" s="597">
        <f t="shared" si="62"/>
        <v>379.51243286979144</v>
      </c>
      <c r="L696" s="143"/>
      <c r="M696" s="1790"/>
      <c r="P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C696" s="73"/>
      <c r="AD696" s="73"/>
      <c r="AF696" s="73"/>
      <c r="AH696" s="143"/>
      <c r="AI696" s="143"/>
      <c r="AJ696" s="143"/>
      <c r="AK696" s="143"/>
      <c r="AL696" s="143"/>
      <c r="AM696" s="143"/>
      <c r="AN696" s="143"/>
      <c r="AO696" s="143"/>
      <c r="AP696" s="143"/>
      <c r="AQ696" s="143"/>
      <c r="AR696" s="143"/>
      <c r="AS696" s="143"/>
    </row>
    <row r="697" spans="1:45" ht="15" customHeight="1">
      <c r="A697" s="482" t="str">
        <f t="shared" si="57"/>
        <v>125i</v>
      </c>
      <c r="B697" s="1016" t="str">
        <f t="shared" si="58"/>
        <v>Negative</v>
      </c>
      <c r="C697" s="794" t="str">
        <f>IF(B430="Positive",IF(input!F51=2,"OF","BF"),"BF")</f>
        <v>BF</v>
      </c>
      <c r="D697" s="21" t="str">
        <f t="shared" si="59"/>
        <v>BF</v>
      </c>
      <c r="E697" s="21">
        <f t="shared" si="60"/>
        <v>298.37145271107494</v>
      </c>
      <c r="F697" s="21">
        <f t="shared" si="61"/>
        <v>298.37145271107494</v>
      </c>
      <c r="G697" s="794" t="str">
        <f>IF(B430="Positive","BF",IF(input!F51=2,"OF","BF"))</f>
        <v>OF</v>
      </c>
      <c r="H697" s="21">
        <f>IF(B697="Positive",input!BJ51,input!BI51)</f>
        <v>380</v>
      </c>
      <c r="I697" s="21">
        <f t="shared" si="63"/>
        <v>379.4583249094602</v>
      </c>
      <c r="J697" s="21">
        <f t="shared" si="64"/>
        <v>379.4583249073699</v>
      </c>
      <c r="K697" s="597">
        <f t="shared" si="62"/>
        <v>379.4583249094602</v>
      </c>
      <c r="L697" s="143"/>
      <c r="M697" s="1790"/>
      <c r="P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C697" s="73"/>
      <c r="AD697" s="73"/>
      <c r="AF697" s="73"/>
      <c r="AH697" s="143"/>
      <c r="AI697" s="143"/>
      <c r="AJ697" s="143"/>
      <c r="AK697" s="143"/>
      <c r="AL697" s="143"/>
      <c r="AM697" s="143"/>
      <c r="AN697" s="143"/>
      <c r="AO697" s="143"/>
      <c r="AP697" s="143"/>
      <c r="AQ697" s="143"/>
      <c r="AR697" s="143"/>
      <c r="AS697" s="143"/>
    </row>
    <row r="698" spans="1:45" ht="15" customHeight="1">
      <c r="A698" s="482" t="str">
        <f t="shared" si="57"/>
        <v>125j</v>
      </c>
      <c r="B698" s="1016" t="str">
        <f t="shared" si="58"/>
        <v>Negative</v>
      </c>
      <c r="C698" s="794" t="str">
        <f>IF(B431="Positive",IF(input!F52=2,"OF","BF"),"BF")</f>
        <v>BF</v>
      </c>
      <c r="D698" s="21" t="str">
        <f t="shared" si="59"/>
        <v>BF</v>
      </c>
      <c r="E698" s="21">
        <f t="shared" si="60"/>
        <v>298.37145031294716</v>
      </c>
      <c r="F698" s="21">
        <f t="shared" si="61"/>
        <v>298.37145031294716</v>
      </c>
      <c r="G698" s="794" t="str">
        <f>IF(B431="Positive","BF",IF(input!F52=2,"OF","BF"))</f>
        <v>OF</v>
      </c>
      <c r="H698" s="21">
        <f>IF(B698="Positive",input!BJ52,input!BI52)</f>
        <v>380</v>
      </c>
      <c r="I698" s="21">
        <f t="shared" si="63"/>
        <v>379.4583249094602</v>
      </c>
      <c r="J698" s="21">
        <f t="shared" si="64"/>
        <v>379.45832419220255</v>
      </c>
      <c r="K698" s="597">
        <f t="shared" si="62"/>
        <v>379.4583249094602</v>
      </c>
      <c r="L698" s="143"/>
      <c r="M698" s="1790"/>
      <c r="P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C698" s="73"/>
      <c r="AD698" s="73"/>
      <c r="AF698" s="73"/>
      <c r="AH698" s="143"/>
      <c r="AI698" s="143"/>
      <c r="AJ698" s="143"/>
      <c r="AK698" s="143"/>
      <c r="AL698" s="143"/>
      <c r="AM698" s="143"/>
      <c r="AN698" s="143"/>
      <c r="AO698" s="143"/>
      <c r="AP698" s="143"/>
      <c r="AQ698" s="143"/>
      <c r="AR698" s="143"/>
      <c r="AS698" s="143"/>
    </row>
    <row r="699" spans="1:45" ht="15" customHeight="1">
      <c r="A699" s="482" t="str">
        <f t="shared" si="57"/>
        <v>126i</v>
      </c>
      <c r="B699" s="1016" t="str">
        <f t="shared" si="58"/>
        <v>Negative</v>
      </c>
      <c r="C699" s="794" t="str">
        <f>IF(B432="Positive",IF(input!F53=2,"OF","BF"),"BF")</f>
        <v>BF</v>
      </c>
      <c r="D699" s="21" t="str">
        <f t="shared" si="59"/>
        <v>BF</v>
      </c>
      <c r="E699" s="21">
        <f t="shared" si="60"/>
        <v>298.37145031294716</v>
      </c>
      <c r="F699" s="21">
        <f t="shared" si="61"/>
        <v>298.37145031294716</v>
      </c>
      <c r="G699" s="794" t="str">
        <f>IF(B432="Positive","BF",IF(input!F53=2,"OF","BF"))</f>
        <v>OF</v>
      </c>
      <c r="H699" s="21">
        <f>IF(B699="Positive",input!BJ53,input!BI53)</f>
        <v>380</v>
      </c>
      <c r="I699" s="21">
        <f t="shared" si="63"/>
        <v>379.4583249094602</v>
      </c>
      <c r="J699" s="21">
        <f t="shared" si="64"/>
        <v>379.45832419220255</v>
      </c>
      <c r="K699" s="597">
        <f t="shared" si="62"/>
        <v>379.4583249094602</v>
      </c>
      <c r="L699" s="143"/>
      <c r="M699" s="1790"/>
      <c r="P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C699" s="73"/>
      <c r="AD699" s="73"/>
      <c r="AF699" s="73"/>
      <c r="AH699" s="143"/>
      <c r="AI699" s="143"/>
      <c r="AJ699" s="143"/>
      <c r="AK699" s="143"/>
      <c r="AL699" s="143"/>
      <c r="AM699" s="143"/>
      <c r="AN699" s="143"/>
      <c r="AO699" s="143"/>
      <c r="AP699" s="143"/>
      <c r="AQ699" s="143"/>
      <c r="AR699" s="143"/>
      <c r="AS699" s="143"/>
    </row>
    <row r="700" spans="1:45" ht="15" customHeight="1">
      <c r="A700" s="482" t="str">
        <f t="shared" si="57"/>
        <v>126j</v>
      </c>
      <c r="B700" s="1016" t="str">
        <f t="shared" si="58"/>
        <v>Negative</v>
      </c>
      <c r="C700" s="794" t="str">
        <f>IF(B433="Positive",IF(input!F54=2,"OF","BF"),"BF")</f>
        <v>BF</v>
      </c>
      <c r="D700" s="21" t="str">
        <f t="shared" si="59"/>
        <v>BF</v>
      </c>
      <c r="E700" s="21">
        <f t="shared" si="60"/>
        <v>298.37144257116506</v>
      </c>
      <c r="F700" s="21">
        <f t="shared" si="61"/>
        <v>298.37144257116506</v>
      </c>
      <c r="G700" s="794" t="str">
        <f>IF(B433="Positive","BF",IF(input!F54=2,"OF","BF"))</f>
        <v>OF</v>
      </c>
      <c r="H700" s="21">
        <f>IF(B700="Positive",input!BJ54,input!BI54)</f>
        <v>380</v>
      </c>
      <c r="I700" s="21">
        <f t="shared" si="63"/>
        <v>379.4583249094602</v>
      </c>
      <c r="J700" s="21">
        <f t="shared" si="64"/>
        <v>379.45832188345588</v>
      </c>
      <c r="K700" s="597">
        <f t="shared" si="62"/>
        <v>379.4583249094602</v>
      </c>
      <c r="L700" s="143"/>
      <c r="M700" s="1790"/>
      <c r="P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C700" s="73"/>
      <c r="AD700" s="73"/>
      <c r="AF700" s="73"/>
      <c r="AH700" s="143"/>
      <c r="AI700" s="143"/>
      <c r="AJ700" s="143"/>
      <c r="AK700" s="143"/>
      <c r="AL700" s="143"/>
      <c r="AM700" s="143"/>
      <c r="AN700" s="143"/>
      <c r="AO700" s="143"/>
      <c r="AP700" s="143"/>
      <c r="AQ700" s="143"/>
      <c r="AR700" s="143"/>
      <c r="AS700" s="143"/>
    </row>
    <row r="701" spans="1:45" ht="15" customHeight="1">
      <c r="A701" s="482" t="str">
        <f t="shared" si="57"/>
        <v>127i</v>
      </c>
      <c r="B701" s="1016" t="str">
        <f t="shared" si="58"/>
        <v>Negative</v>
      </c>
      <c r="C701" s="794" t="str">
        <f>IF(B434="Positive",IF(input!F55=2,"OF","BF"),"BF")</f>
        <v>BF</v>
      </c>
      <c r="D701" s="21" t="str">
        <f t="shared" si="59"/>
        <v>BF</v>
      </c>
      <c r="E701" s="21">
        <f t="shared" si="60"/>
        <v>200.22547919300584</v>
      </c>
      <c r="F701" s="21">
        <f t="shared" si="61"/>
        <v>200.22547919300584</v>
      </c>
      <c r="G701" s="794" t="str">
        <f>IF(B434="Positive","BF",IF(input!F55=2,"OF","BF"))</f>
        <v>OF</v>
      </c>
      <c r="H701" s="21">
        <f>IF(B701="Positive",input!BJ55,input!BI55)</f>
        <v>380</v>
      </c>
      <c r="I701" s="21">
        <f t="shared" si="63"/>
        <v>379.50317749469554</v>
      </c>
      <c r="J701" s="21">
        <f t="shared" si="64"/>
        <v>379.50317663681017</v>
      </c>
      <c r="K701" s="597">
        <f t="shared" si="62"/>
        <v>379.50317749469554</v>
      </c>
      <c r="L701" s="143"/>
      <c r="M701" s="1790"/>
      <c r="P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C701" s="73"/>
      <c r="AD701" s="73"/>
      <c r="AF701" s="73"/>
      <c r="AH701" s="143"/>
      <c r="AI701" s="143"/>
      <c r="AJ701" s="143"/>
      <c r="AK701" s="143"/>
      <c r="AL701" s="143"/>
      <c r="AM701" s="143"/>
      <c r="AN701" s="143"/>
      <c r="AO701" s="143"/>
      <c r="AP701" s="143"/>
      <c r="AQ701" s="143"/>
      <c r="AR701" s="143"/>
      <c r="AS701" s="143"/>
    </row>
    <row r="702" spans="1:45" ht="15" customHeight="1">
      <c r="A702" s="482" t="str">
        <f t="shared" si="57"/>
        <v>127j</v>
      </c>
      <c r="B702" s="1016" t="str">
        <f t="shared" si="58"/>
        <v>Positive</v>
      </c>
      <c r="C702" s="794" t="str">
        <f>IF(B435="Positive",IF(input!F56=2,"OF","BF"),"BF")</f>
        <v>OF</v>
      </c>
      <c r="D702" s="21">
        <f t="shared" si="59"/>
        <v>338.94256045395724</v>
      </c>
      <c r="E702" s="21" t="str">
        <f t="shared" si="60"/>
        <v>OF</v>
      </c>
      <c r="F702" s="21">
        <f t="shared" si="61"/>
        <v>338.94256045395724</v>
      </c>
      <c r="G702" s="794" t="str">
        <f>IF(B435="Positive","BF",IF(input!F56=2,"OF","BF"))</f>
        <v>BF</v>
      </c>
      <c r="H702" s="21">
        <f>IF(B702="Positive",input!BJ56,input!BI56)</f>
        <v>380</v>
      </c>
      <c r="I702" s="21">
        <f t="shared" si="63"/>
        <v>379.50317749469554</v>
      </c>
      <c r="J702" s="21">
        <f t="shared" si="64"/>
        <v>379.50317616661346</v>
      </c>
      <c r="K702" s="597">
        <f t="shared" si="62"/>
        <v>379.50317616661346</v>
      </c>
      <c r="L702" s="143"/>
      <c r="M702" s="1790"/>
      <c r="P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C702" s="73"/>
      <c r="AD702" s="73"/>
      <c r="AF702" s="73"/>
      <c r="AH702" s="143"/>
      <c r="AI702" s="143"/>
      <c r="AJ702" s="143"/>
      <c r="AK702" s="143"/>
      <c r="AL702" s="143"/>
      <c r="AM702" s="143"/>
      <c r="AN702" s="143"/>
      <c r="AO702" s="143"/>
      <c r="AP702" s="143"/>
      <c r="AQ702" s="143"/>
      <c r="AR702" s="143"/>
      <c r="AS702" s="143"/>
    </row>
    <row r="703" spans="1:45" ht="15" customHeight="1">
      <c r="A703" s="482" t="str">
        <f t="shared" si="57"/>
        <v>128i</v>
      </c>
      <c r="B703" s="1016" t="str">
        <f t="shared" si="58"/>
        <v>Positive</v>
      </c>
      <c r="C703" s="794" t="str">
        <f>IF(B436="Positive",IF(input!F57=2,"OF","BF"),"BF")</f>
        <v>OF</v>
      </c>
      <c r="D703" s="21">
        <f t="shared" si="59"/>
        <v>338.94256045395724</v>
      </c>
      <c r="E703" s="21" t="str">
        <f t="shared" si="60"/>
        <v>OF</v>
      </c>
      <c r="F703" s="21">
        <f t="shared" si="61"/>
        <v>338.94256045395724</v>
      </c>
      <c r="G703" s="794" t="str">
        <f>IF(B436="Positive","BF",IF(input!F57=2,"OF","BF"))</f>
        <v>BF</v>
      </c>
      <c r="H703" s="21">
        <f>IF(B703="Positive",input!BJ57,input!BI57)</f>
        <v>380</v>
      </c>
      <c r="I703" s="21">
        <f t="shared" si="63"/>
        <v>379.50317749469554</v>
      </c>
      <c r="J703" s="21">
        <f t="shared" si="64"/>
        <v>379.50317616661346</v>
      </c>
      <c r="K703" s="597">
        <f t="shared" si="62"/>
        <v>379.50317616661346</v>
      </c>
      <c r="L703" s="143"/>
      <c r="M703" s="1790"/>
      <c r="P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C703" s="73"/>
      <c r="AD703" s="73"/>
      <c r="AF703" s="73"/>
      <c r="AH703" s="143"/>
      <c r="AI703" s="143"/>
      <c r="AJ703" s="143"/>
      <c r="AK703" s="143"/>
      <c r="AL703" s="143"/>
      <c r="AM703" s="143"/>
      <c r="AN703" s="143"/>
      <c r="AO703" s="143"/>
      <c r="AP703" s="143"/>
      <c r="AQ703" s="143"/>
      <c r="AR703" s="143"/>
      <c r="AS703" s="143"/>
    </row>
    <row r="704" spans="1:45" ht="15" customHeight="1">
      <c r="A704" s="482" t="str">
        <f t="shared" si="57"/>
        <v>128j</v>
      </c>
      <c r="B704" s="1016" t="str">
        <f t="shared" si="58"/>
        <v>Positive</v>
      </c>
      <c r="C704" s="794" t="str">
        <f>IF(B437="Positive",IF(input!F58=2,"OF","BF"),"BF")</f>
        <v>OF</v>
      </c>
      <c r="D704" s="21">
        <f t="shared" si="59"/>
        <v>338.94256045395724</v>
      </c>
      <c r="E704" s="21" t="str">
        <f t="shared" si="60"/>
        <v>OF</v>
      </c>
      <c r="F704" s="21">
        <f t="shared" si="61"/>
        <v>338.94256045395724</v>
      </c>
      <c r="G704" s="794" t="str">
        <f>IF(B437="Positive","BF",IF(input!F58=2,"OF","BF"))</f>
        <v>BF</v>
      </c>
      <c r="H704" s="21">
        <f>IF(B704="Positive",input!BJ58,input!BI58)</f>
        <v>380</v>
      </c>
      <c r="I704" s="21">
        <f t="shared" si="63"/>
        <v>379.50317749469554</v>
      </c>
      <c r="J704" s="21">
        <f t="shared" si="64"/>
        <v>379.50317394584494</v>
      </c>
      <c r="K704" s="597">
        <f t="shared" si="62"/>
        <v>379.50317394584494</v>
      </c>
      <c r="L704" s="143"/>
      <c r="M704" s="1790"/>
      <c r="P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C704" s="73"/>
      <c r="AD704" s="73"/>
      <c r="AF704" s="73"/>
      <c r="AH704" s="143"/>
      <c r="AI704" s="143"/>
      <c r="AJ704" s="143"/>
      <c r="AK704" s="143"/>
      <c r="AL704" s="143"/>
      <c r="AM704" s="143"/>
      <c r="AN704" s="143"/>
      <c r="AO704" s="143"/>
      <c r="AP704" s="143"/>
      <c r="AQ704" s="143"/>
      <c r="AR704" s="143"/>
      <c r="AS704" s="143"/>
    </row>
    <row r="705" spans="1:45" ht="15" customHeight="1">
      <c r="A705" s="482" t="str">
        <f t="shared" si="57"/>
        <v>129i</v>
      </c>
      <c r="B705" s="1016" t="str">
        <f t="shared" si="58"/>
        <v>Positive</v>
      </c>
      <c r="C705" s="794" t="str">
        <f>IF(B438="Positive",IF(input!F59=2,"OF","BF"),"BF")</f>
        <v>OF</v>
      </c>
      <c r="D705" s="21">
        <f t="shared" si="59"/>
        <v>338.94256045395724</v>
      </c>
      <c r="E705" s="21" t="str">
        <f t="shared" si="60"/>
        <v>OF</v>
      </c>
      <c r="F705" s="21">
        <f t="shared" si="61"/>
        <v>338.94256045395724</v>
      </c>
      <c r="G705" s="794" t="str">
        <f>IF(B438="Positive","BF",IF(input!F59=2,"OF","BF"))</f>
        <v>BF</v>
      </c>
      <c r="H705" s="21">
        <f>IF(B705="Positive",input!BJ59,input!BI59)</f>
        <v>380</v>
      </c>
      <c r="I705" s="21">
        <f t="shared" si="63"/>
        <v>379.50317749469554</v>
      </c>
      <c r="J705" s="21">
        <f t="shared" si="64"/>
        <v>379.50314061910348</v>
      </c>
      <c r="K705" s="597">
        <f t="shared" si="62"/>
        <v>379.50314061910348</v>
      </c>
      <c r="L705" s="143"/>
      <c r="M705" s="1790"/>
      <c r="P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C705" s="73"/>
      <c r="AD705" s="73"/>
      <c r="AF705" s="73"/>
      <c r="AH705" s="143"/>
      <c r="AI705" s="143"/>
      <c r="AJ705" s="143"/>
      <c r="AK705" s="143"/>
      <c r="AL705" s="143"/>
      <c r="AM705" s="143"/>
      <c r="AN705" s="143"/>
      <c r="AO705" s="143"/>
      <c r="AP705" s="143"/>
      <c r="AQ705" s="143"/>
      <c r="AR705" s="143"/>
      <c r="AS705" s="143"/>
    </row>
    <row r="706" spans="1:45" ht="15" customHeight="1">
      <c r="A706" s="482" t="str">
        <f t="shared" si="57"/>
        <v>129j</v>
      </c>
      <c r="B706" s="1016" t="str">
        <f t="shared" si="58"/>
        <v>Positive</v>
      </c>
      <c r="C706" s="794" t="str">
        <f>IF(B439="Positive",IF(input!F60=2,"OF","BF"),"BF")</f>
        <v>OF</v>
      </c>
      <c r="D706" s="21">
        <f t="shared" si="59"/>
        <v>338.94256045395724</v>
      </c>
      <c r="E706" s="21" t="str">
        <f t="shared" si="60"/>
        <v>OF</v>
      </c>
      <c r="F706" s="21">
        <f t="shared" si="61"/>
        <v>338.94256045395724</v>
      </c>
      <c r="G706" s="794" t="str">
        <f>IF(B439="Positive","BF",IF(input!F60=2,"OF","BF"))</f>
        <v>BF</v>
      </c>
      <c r="H706" s="21">
        <f>IF(B706="Positive",input!BJ60,input!BI60)</f>
        <v>380</v>
      </c>
      <c r="I706" s="21">
        <f t="shared" si="63"/>
        <v>379.50317749469554</v>
      </c>
      <c r="J706" s="21">
        <f t="shared" si="64"/>
        <v>379.50312824215729</v>
      </c>
      <c r="K706" s="597">
        <f t="shared" si="62"/>
        <v>379.50312824215729</v>
      </c>
      <c r="L706" s="143"/>
      <c r="M706" s="1790"/>
      <c r="P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C706" s="73"/>
      <c r="AD706" s="73"/>
      <c r="AF706" s="73"/>
      <c r="AH706" s="143"/>
      <c r="AI706" s="143"/>
      <c r="AJ706" s="143"/>
      <c r="AK706" s="143"/>
      <c r="AL706" s="143"/>
      <c r="AM706" s="143"/>
      <c r="AN706" s="143"/>
      <c r="AO706" s="143"/>
      <c r="AP706" s="143"/>
      <c r="AQ706" s="143"/>
      <c r="AR706" s="143"/>
      <c r="AS706" s="143"/>
    </row>
    <row r="707" spans="1:45" ht="15" customHeight="1">
      <c r="A707" s="482" t="str">
        <f t="shared" si="57"/>
        <v>130i</v>
      </c>
      <c r="B707" s="1016" t="str">
        <f t="shared" si="58"/>
        <v>Positive</v>
      </c>
      <c r="C707" s="794" t="str">
        <f>IF(B440="Positive",IF(input!F61=2,"OF","BF"),"BF")</f>
        <v>OF</v>
      </c>
      <c r="D707" s="21">
        <f t="shared" si="59"/>
        <v>338.96081165596377</v>
      </c>
      <c r="E707" s="21" t="str">
        <f t="shared" si="60"/>
        <v>OF</v>
      </c>
      <c r="F707" s="21">
        <f t="shared" si="61"/>
        <v>338.96081165596377</v>
      </c>
      <c r="G707" s="794" t="str">
        <f>IF(B440="Positive","BF",IF(input!F61=2,"OF","BF"))</f>
        <v>BF</v>
      </c>
      <c r="H707" s="21">
        <f>IF(B707="Positive",input!BJ61,input!BI61)</f>
        <v>380</v>
      </c>
      <c r="I707" s="21">
        <f t="shared" si="63"/>
        <v>379.53157750434622</v>
      </c>
      <c r="J707" s="21">
        <f t="shared" si="64"/>
        <v>379.53151901071135</v>
      </c>
      <c r="K707" s="597">
        <f t="shared" si="62"/>
        <v>379.53151901071135</v>
      </c>
      <c r="L707" s="143"/>
      <c r="M707" s="1790"/>
      <c r="P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C707" s="73"/>
      <c r="AD707" s="73"/>
      <c r="AF707" s="73"/>
      <c r="AH707" s="143"/>
      <c r="AI707" s="143"/>
      <c r="AJ707" s="143"/>
      <c r="AK707" s="143"/>
      <c r="AL707" s="143"/>
      <c r="AM707" s="143"/>
      <c r="AN707" s="143"/>
      <c r="AO707" s="143"/>
      <c r="AP707" s="143"/>
      <c r="AQ707" s="143"/>
      <c r="AR707" s="143"/>
      <c r="AS707" s="143"/>
    </row>
    <row r="708" spans="1:45" ht="15" customHeight="1">
      <c r="A708" s="482" t="str">
        <f t="shared" si="57"/>
        <v>130j</v>
      </c>
      <c r="B708" s="1016" t="str">
        <f t="shared" si="58"/>
        <v>Negative</v>
      </c>
      <c r="C708" s="794" t="str">
        <f>IF(B441="Positive",IF(input!F62=2,"OF","BF"),"BF")</f>
        <v>BF</v>
      </c>
      <c r="D708" s="21" t="str">
        <f t="shared" si="59"/>
        <v>BF</v>
      </c>
      <c r="E708" s="21">
        <f t="shared" si="60"/>
        <v>200.22387854319047</v>
      </c>
      <c r="F708" s="21">
        <f t="shared" si="61"/>
        <v>200.22387854319047</v>
      </c>
      <c r="G708" s="794" t="str">
        <f>IF(B441="Positive","BF",IF(input!F62=2,"OF","BF"))</f>
        <v>OF</v>
      </c>
      <c r="H708" s="21">
        <f>IF(B708="Positive",input!BJ62,input!BI62)</f>
        <v>380</v>
      </c>
      <c r="I708" s="21">
        <f t="shared" si="63"/>
        <v>379.53157750434622</v>
      </c>
      <c r="J708" s="21">
        <f t="shared" si="64"/>
        <v>379.53135863422614</v>
      </c>
      <c r="K708" s="597">
        <f t="shared" si="62"/>
        <v>379.53157750434622</v>
      </c>
      <c r="L708" s="143"/>
      <c r="M708" s="1790"/>
      <c r="P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C708" s="73"/>
      <c r="AD708" s="73"/>
      <c r="AF708" s="73"/>
      <c r="AH708" s="143"/>
      <c r="AI708" s="143"/>
      <c r="AJ708" s="143"/>
      <c r="AK708" s="143"/>
      <c r="AL708" s="143"/>
      <c r="AM708" s="143"/>
      <c r="AN708" s="143"/>
      <c r="AO708" s="143"/>
      <c r="AP708" s="143"/>
      <c r="AQ708" s="143"/>
      <c r="AR708" s="143"/>
      <c r="AS708" s="143"/>
    </row>
    <row r="709" spans="1:45" ht="15" customHeight="1">
      <c r="A709" s="482" t="str">
        <f t="shared" si="57"/>
        <v>131i</v>
      </c>
      <c r="B709" s="1016" t="str">
        <f t="shared" si="58"/>
        <v>Negative</v>
      </c>
      <c r="C709" s="794" t="str">
        <f>IF(B442="Positive",IF(input!F63=2,"OF","BF"),"BF")</f>
        <v>BF</v>
      </c>
      <c r="D709" s="21" t="str">
        <f t="shared" si="59"/>
        <v>BF</v>
      </c>
      <c r="E709" s="21">
        <f t="shared" si="60"/>
        <v>200.22548440417737</v>
      </c>
      <c r="F709" s="21">
        <f t="shared" si="61"/>
        <v>200.22548440417737</v>
      </c>
      <c r="G709" s="794" t="str">
        <f>IF(B442="Positive","BF",IF(input!F63=2,"OF","BF"))</f>
        <v>OF</v>
      </c>
      <c r="H709" s="21">
        <f>IF(B709="Positive",input!BJ63,input!BI63)</f>
        <v>380</v>
      </c>
      <c r="I709" s="21">
        <f t="shared" si="63"/>
        <v>379.53157750434622</v>
      </c>
      <c r="J709" s="21">
        <f t="shared" si="64"/>
        <v>379.53157735617282</v>
      </c>
      <c r="K709" s="597">
        <f t="shared" si="62"/>
        <v>379.53157750434622</v>
      </c>
      <c r="L709" s="143"/>
      <c r="M709" s="1790"/>
      <c r="P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C709" s="73"/>
      <c r="AD709" s="73"/>
      <c r="AF709" s="73"/>
      <c r="AH709" s="143"/>
      <c r="AI709" s="143"/>
      <c r="AJ709" s="143"/>
      <c r="AK709" s="143"/>
      <c r="AL709" s="143"/>
      <c r="AM709" s="143"/>
      <c r="AN709" s="143"/>
      <c r="AO709" s="143"/>
      <c r="AP709" s="143"/>
      <c r="AQ709" s="143"/>
      <c r="AR709" s="143"/>
      <c r="AS709" s="143"/>
    </row>
    <row r="710" spans="1:45" ht="15" customHeight="1">
      <c r="A710" s="482" t="str">
        <f t="shared" si="57"/>
        <v>131j</v>
      </c>
      <c r="B710" s="1016" t="str">
        <f t="shared" si="58"/>
        <v>Positive</v>
      </c>
      <c r="C710" s="794" t="str">
        <f>IF(B443="Positive",IF(input!F64=2,"OF","BF"),"BF")</f>
        <v>OF</v>
      </c>
      <c r="D710" s="21">
        <f t="shared" si="59"/>
        <v>338.96081165596377</v>
      </c>
      <c r="E710" s="21" t="str">
        <f t="shared" si="60"/>
        <v>OF</v>
      </c>
      <c r="F710" s="21">
        <f t="shared" si="61"/>
        <v>338.96081165596377</v>
      </c>
      <c r="G710" s="794" t="str">
        <f>IF(B443="Positive","BF",IF(input!F64=2,"OF","BF"))</f>
        <v>BF</v>
      </c>
      <c r="H710" s="21">
        <f>IF(B710="Positive",input!BJ64,input!BI64)</f>
        <v>380</v>
      </c>
      <c r="I710" s="21">
        <f t="shared" si="63"/>
        <v>379.53157750434622</v>
      </c>
      <c r="J710" s="21">
        <f t="shared" si="64"/>
        <v>379.53157750434622</v>
      </c>
      <c r="K710" s="597">
        <f t="shared" si="62"/>
        <v>379.53157750434622</v>
      </c>
      <c r="L710" s="143"/>
      <c r="M710" s="1790"/>
      <c r="P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C710" s="73"/>
      <c r="AD710" s="73"/>
      <c r="AF710" s="73"/>
      <c r="AH710" s="143"/>
      <c r="AI710" s="143"/>
      <c r="AJ710" s="143"/>
      <c r="AK710" s="143"/>
      <c r="AL710" s="143"/>
      <c r="AM710" s="143"/>
      <c r="AN710" s="143"/>
      <c r="AO710" s="143"/>
      <c r="AP710" s="143"/>
      <c r="AQ710" s="143"/>
      <c r="AR710" s="143"/>
      <c r="AS710" s="143"/>
    </row>
    <row r="711" spans="1:45" ht="15" customHeight="1">
      <c r="A711" s="181"/>
      <c r="B711" s="181"/>
      <c r="C711" s="219"/>
      <c r="D711" s="219"/>
      <c r="E711" s="123"/>
      <c r="F711" s="123"/>
      <c r="G711" s="123"/>
      <c r="H711" s="123"/>
      <c r="I711" s="220"/>
      <c r="J711" s="220"/>
      <c r="K711" s="181"/>
      <c r="L711" s="181"/>
      <c r="M711" s="123"/>
      <c r="N711" s="123"/>
      <c r="O711" s="123"/>
      <c r="P711" s="123"/>
      <c r="Q711" s="123"/>
    </row>
    <row r="712" spans="1:45" ht="15" customHeight="1" thickBot="1">
      <c r="A712" s="181"/>
      <c r="B712" s="207" t="s">
        <v>436</v>
      </c>
      <c r="C712" s="170"/>
      <c r="D712" s="170"/>
      <c r="E712" s="170"/>
      <c r="F712" s="123"/>
      <c r="G712" s="123"/>
      <c r="H712" s="123"/>
      <c r="I712" s="220"/>
      <c r="J712" s="220"/>
      <c r="K712" s="181"/>
      <c r="L712" s="181"/>
      <c r="M712" s="123"/>
      <c r="N712" s="123"/>
      <c r="O712" s="123"/>
      <c r="P712" s="123"/>
      <c r="Q712" s="123"/>
    </row>
    <row r="713" spans="1:45" ht="15" customHeight="1">
      <c r="A713" s="348"/>
      <c r="B713" s="388"/>
      <c r="C713" s="389"/>
      <c r="D713" s="389"/>
      <c r="E713" s="390"/>
      <c r="F713" s="391" t="s">
        <v>794</v>
      </c>
      <c r="G713" s="391"/>
      <c r="H713" s="391"/>
      <c r="I713" s="391"/>
      <c r="J713" s="391" t="s">
        <v>795</v>
      </c>
      <c r="K713" s="391"/>
      <c r="L713" s="392"/>
      <c r="M713" s="242"/>
      <c r="N713" s="242"/>
      <c r="O713" s="242"/>
      <c r="P713" s="242"/>
      <c r="Q713" s="242"/>
    </row>
    <row r="714" spans="1:45" ht="15" customHeight="1">
      <c r="A714" s="207"/>
      <c r="B714" s="1931" t="s">
        <v>950</v>
      </c>
      <c r="C714" s="1932"/>
      <c r="D714" s="1932"/>
      <c r="E714" s="372"/>
      <c r="F714" s="375" t="s">
        <v>1698</v>
      </c>
      <c r="G714" s="376"/>
      <c r="H714" s="376"/>
      <c r="I714" s="376"/>
      <c r="J714" s="375" t="s">
        <v>1973</v>
      </c>
      <c r="K714" s="376"/>
      <c r="L714" s="394"/>
      <c r="Y714" s="143"/>
      <c r="AD714" s="73"/>
      <c r="AF714" s="73"/>
    </row>
    <row r="715" spans="1:45" ht="15" customHeight="1">
      <c r="A715" s="207"/>
      <c r="B715" s="1933"/>
      <c r="C715" s="1930"/>
      <c r="D715" s="1930"/>
      <c r="E715" s="377"/>
      <c r="F715" s="152" t="s">
        <v>1699</v>
      </c>
      <c r="G715" s="378"/>
      <c r="H715" s="378"/>
      <c r="I715" s="378"/>
      <c r="J715" s="118"/>
      <c r="K715" s="118"/>
      <c r="L715" s="395"/>
      <c r="Y715" s="143"/>
      <c r="AD715" s="73"/>
      <c r="AF715" s="73"/>
    </row>
    <row r="716" spans="1:45" ht="15" customHeight="1" thickBot="1">
      <c r="A716" s="207"/>
      <c r="B716" s="1934" t="s">
        <v>951</v>
      </c>
      <c r="C716" s="1935"/>
      <c r="D716" s="1935"/>
      <c r="E716" s="373"/>
      <c r="F716" s="374" t="s">
        <v>1975</v>
      </c>
      <c r="G716" s="320"/>
      <c r="H716" s="320"/>
      <c r="I716" s="369"/>
      <c r="J716" s="387" t="s">
        <v>1974</v>
      </c>
      <c r="K716" s="387"/>
      <c r="L716" s="396"/>
      <c r="Y716" s="143"/>
      <c r="AD716" s="73"/>
      <c r="AF716" s="73"/>
    </row>
    <row r="717" spans="1:45" ht="15" customHeight="1">
      <c r="A717" s="207"/>
      <c r="Y717" s="143"/>
      <c r="AD717" s="73"/>
      <c r="AF717" s="73"/>
    </row>
    <row r="718" spans="1:45" ht="15" customHeight="1">
      <c r="A718" s="348"/>
      <c r="B718" s="393" t="s">
        <v>987</v>
      </c>
      <c r="C718" s="170"/>
      <c r="E718" s="170"/>
      <c r="F718" s="242"/>
      <c r="G718" s="242"/>
      <c r="H718" s="242"/>
      <c r="I718" s="220"/>
      <c r="J718" s="220"/>
      <c r="K718" s="348"/>
      <c r="L718" s="348"/>
      <c r="M718" s="242"/>
      <c r="N718" s="242"/>
      <c r="O718" s="242"/>
      <c r="P718" s="242"/>
      <c r="Q718" s="242"/>
      <c r="R718" s="242"/>
      <c r="S718" s="348"/>
      <c r="T718" s="348"/>
      <c r="U718" s="348"/>
      <c r="V718" s="348"/>
      <c r="W718" s="348"/>
      <c r="X718" s="348"/>
      <c r="Y718" s="242"/>
      <c r="Z718" s="242"/>
      <c r="AD718" s="73"/>
      <c r="AF718" s="73"/>
    </row>
    <row r="719" spans="1:45" ht="15" customHeight="1">
      <c r="A719" s="348"/>
      <c r="B719" s="124" t="s">
        <v>462</v>
      </c>
      <c r="C719" s="170"/>
      <c r="E719" s="170"/>
      <c r="F719" s="242"/>
      <c r="G719" s="242"/>
      <c r="H719" s="242"/>
      <c r="I719" s="220"/>
      <c r="J719" s="220"/>
      <c r="K719" s="348"/>
      <c r="L719" s="348"/>
      <c r="M719" s="242"/>
      <c r="N719" s="242"/>
      <c r="O719" s="242"/>
      <c r="P719" s="242"/>
      <c r="Q719" s="242"/>
      <c r="R719" s="242"/>
      <c r="S719" s="348"/>
      <c r="T719" s="348"/>
      <c r="U719" s="348"/>
      <c r="V719" s="348"/>
      <c r="W719" s="348"/>
      <c r="X719" s="348"/>
      <c r="Y719" s="242"/>
      <c r="Z719" s="242"/>
      <c r="AD719" s="73"/>
      <c r="AF719" s="73"/>
    </row>
    <row r="720" spans="1:45" ht="15" customHeight="1">
      <c r="A720" s="1792"/>
      <c r="B720" s="124"/>
      <c r="C720" s="170"/>
      <c r="E720" s="170"/>
      <c r="F720" s="1795"/>
      <c r="G720" s="1795"/>
      <c r="H720" s="1795"/>
      <c r="I720" s="220"/>
      <c r="J720" s="220"/>
      <c r="K720" s="1792"/>
      <c r="L720" s="1792"/>
      <c r="M720" s="1795"/>
      <c r="N720" s="1795"/>
      <c r="O720" s="1795"/>
      <c r="P720" s="1795"/>
      <c r="Q720" s="1795"/>
      <c r="R720" s="1795"/>
      <c r="S720" s="1792"/>
      <c r="T720" s="1792"/>
      <c r="U720" s="1792"/>
      <c r="V720" s="1792"/>
      <c r="W720" s="1792"/>
      <c r="X720" s="1792"/>
      <c r="Y720" s="1795"/>
      <c r="Z720" s="1795"/>
      <c r="AD720" s="73"/>
      <c r="AF720" s="73"/>
    </row>
    <row r="721" spans="1:45" ht="15" customHeight="1" thickBot="1">
      <c r="A721" s="468" t="s">
        <v>3338</v>
      </c>
      <c r="B721" s="1792"/>
      <c r="C721" s="1233"/>
      <c r="D721" s="1233"/>
      <c r="E721" s="1795"/>
      <c r="F721" s="1795"/>
      <c r="G721" s="1795"/>
      <c r="H721" s="1795"/>
      <c r="I721" s="220"/>
      <c r="J721" s="220"/>
      <c r="K721" s="1792"/>
      <c r="L721" s="1792"/>
      <c r="M721" s="1795"/>
      <c r="N721" s="1795"/>
      <c r="O721" s="1795"/>
      <c r="P721" s="1795"/>
      <c r="Q721" s="1795"/>
      <c r="R721" s="1795"/>
      <c r="S721" s="1792"/>
      <c r="T721" s="1792"/>
      <c r="U721" s="1792"/>
      <c r="V721" s="1792"/>
      <c r="W721" s="1792"/>
      <c r="X721" s="1792"/>
      <c r="Y721" s="1795"/>
      <c r="Z721" s="1795"/>
      <c r="AD721" s="1794"/>
      <c r="AF721" s="1794"/>
    </row>
    <row r="722" spans="1:45" ht="15" customHeight="1">
      <c r="A722" s="659" t="s">
        <v>16</v>
      </c>
      <c r="B722" s="660" t="s">
        <v>117</v>
      </c>
      <c r="C722" s="1945" t="s">
        <v>3335</v>
      </c>
      <c r="D722" s="1945"/>
      <c r="E722" s="1945"/>
      <c r="F722" s="1945"/>
      <c r="G722" s="1945"/>
      <c r="H722" s="1945" t="s">
        <v>3336</v>
      </c>
      <c r="I722" s="1945"/>
      <c r="J722" s="1945"/>
      <c r="K722" s="1945"/>
      <c r="L722" s="1945" t="s">
        <v>3337</v>
      </c>
      <c r="M722" s="1945"/>
      <c r="N722" s="1945"/>
      <c r="O722" s="1946"/>
      <c r="T722" s="73"/>
      <c r="U722" s="73"/>
      <c r="V722" s="73"/>
      <c r="W722" s="73"/>
      <c r="X722" s="73"/>
      <c r="Y722" s="73"/>
      <c r="Z722" s="73"/>
      <c r="AA722" s="73"/>
      <c r="AC722" s="73"/>
      <c r="AD722" s="73"/>
      <c r="AF722" s="73"/>
      <c r="AG722" s="143"/>
      <c r="AH722" s="143"/>
      <c r="AI722" s="143"/>
      <c r="AJ722" s="143"/>
      <c r="AK722" s="143"/>
      <c r="AL722" s="143"/>
      <c r="AM722" s="143"/>
      <c r="AN722" s="143"/>
      <c r="AO722" s="143"/>
      <c r="AP722" s="143"/>
      <c r="AQ722" s="143"/>
      <c r="AR722" s="143"/>
      <c r="AS722" s="143"/>
    </row>
    <row r="723" spans="1:45" ht="15" customHeight="1">
      <c r="A723" s="661"/>
      <c r="B723" s="662"/>
      <c r="C723" s="621" t="s">
        <v>3318</v>
      </c>
      <c r="D723" s="621" t="s">
        <v>3317</v>
      </c>
      <c r="E723" s="621" t="s">
        <v>3319</v>
      </c>
      <c r="F723" s="1827" t="s">
        <v>3320</v>
      </c>
      <c r="G723" s="621" t="s">
        <v>3</v>
      </c>
      <c r="H723" s="621" t="s">
        <v>3322</v>
      </c>
      <c r="I723" s="621" t="s">
        <v>3321</v>
      </c>
      <c r="J723" s="621" t="s">
        <v>3</v>
      </c>
      <c r="K723" s="621" t="s">
        <v>3334</v>
      </c>
      <c r="L723" s="621" t="s">
        <v>3317</v>
      </c>
      <c r="M723" s="621" t="s">
        <v>3323</v>
      </c>
      <c r="N723" s="621" t="s">
        <v>3</v>
      </c>
      <c r="O723" s="1828" t="s">
        <v>498</v>
      </c>
      <c r="T723" s="73"/>
      <c r="U723" s="73"/>
      <c r="V723" s="73"/>
      <c r="W723" s="73"/>
      <c r="X723" s="73"/>
      <c r="Y723" s="73"/>
      <c r="Z723" s="73"/>
      <c r="AA723" s="73"/>
      <c r="AC723" s="73"/>
      <c r="AD723" s="73"/>
      <c r="AF723" s="73"/>
      <c r="AG723" s="143"/>
      <c r="AH723" s="143"/>
      <c r="AI723" s="143"/>
      <c r="AJ723" s="143"/>
      <c r="AK723" s="143"/>
      <c r="AL723" s="143"/>
      <c r="AM723" s="143"/>
      <c r="AN723" s="143"/>
      <c r="AO723" s="143"/>
      <c r="AP723" s="143"/>
      <c r="AQ723" s="143"/>
      <c r="AR723" s="143"/>
      <c r="AS723" s="143"/>
    </row>
    <row r="724" spans="1:45" ht="15" customHeight="1">
      <c r="A724" s="482" t="str">
        <f>A95</f>
        <v>101i</v>
      </c>
      <c r="B724" s="21">
        <f>B161</f>
        <v>4.3452189183266609E-4</v>
      </c>
      <c r="C724" s="21">
        <f t="shared" ref="C724:C755" si="65">ABS(K161)</f>
        <v>18.525943310897638</v>
      </c>
      <c r="D724" s="794" t="str">
        <f>IF(B724&gt;=0,"-",-B724+C724)</f>
        <v>-</v>
      </c>
      <c r="E724" s="21">
        <f>O316*input!BI3</f>
        <v>379.51910719072885</v>
      </c>
      <c r="F724" s="794" t="str">
        <f>+F904</f>
        <v>S</v>
      </c>
      <c r="G724" s="578" t="str">
        <f>IF(OR(AND(F724="S",C724=0),D724="-"),"-",IF(D724&lt;=E724,"OK","NG"))</f>
        <v>-</v>
      </c>
      <c r="H724" s="21" t="str">
        <f>IF(B724&gt;=0,"-",-B724+C724/3)</f>
        <v>-</v>
      </c>
      <c r="I724" s="21">
        <f>F649</f>
        <v>240.2705825904784</v>
      </c>
      <c r="J724" s="578" t="str">
        <f>IF(H724="-","-",IF(H724&lt;=I724,"OK","NG"))</f>
        <v>-</v>
      </c>
      <c r="K724" s="578" t="str">
        <f>IF(H724="-","-",I724/H724)</f>
        <v>-</v>
      </c>
      <c r="L724" s="21">
        <f t="shared" ref="L724:L755" si="66">IF(B724&gt;=0,B724+C724,"-")</f>
        <v>18.526377832789471</v>
      </c>
      <c r="M724" s="21">
        <f t="shared" ref="M724:M755" si="67">K649</f>
        <v>379.51910719072885</v>
      </c>
      <c r="N724" s="578" t="str">
        <f>IF(L724="-","-",IF(L724&lt;=M724,"OK","NG"))</f>
        <v>OK</v>
      </c>
      <c r="O724" s="607">
        <f>IF(L724="-","-",M724/L724)</f>
        <v>20.485337750103824</v>
      </c>
      <c r="T724" s="73"/>
      <c r="U724" s="73"/>
      <c r="V724" s="73"/>
      <c r="W724" s="73"/>
      <c r="X724" s="73"/>
      <c r="Y724" s="143"/>
      <c r="AB724" s="143"/>
      <c r="AD724" s="143"/>
      <c r="AE724" s="143"/>
      <c r="AF724" s="143"/>
      <c r="AG724" s="143"/>
      <c r="AH724" s="143"/>
      <c r="AI724" s="143"/>
      <c r="AJ724" s="143"/>
      <c r="AK724" s="143"/>
      <c r="AL724" s="143"/>
      <c r="AM724" s="143"/>
      <c r="AN724" s="143"/>
      <c r="AO724" s="143"/>
      <c r="AP724" s="143"/>
      <c r="AQ724" s="143"/>
      <c r="AR724" s="143"/>
      <c r="AS724" s="143"/>
    </row>
    <row r="725" spans="1:45" ht="15" customHeight="1">
      <c r="A725" s="482" t="str">
        <f t="shared" ref="A725:A785" si="68">A96</f>
        <v>101j</v>
      </c>
      <c r="B725" s="21">
        <f t="shared" ref="B725:B785" si="69">B162</f>
        <v>0.15541399664548358</v>
      </c>
      <c r="C725" s="21">
        <f t="shared" si="65"/>
        <v>18.525943310897638</v>
      </c>
      <c r="D725" s="794" t="str">
        <f t="shared" ref="D725:D785" si="70">IF(B725&gt;=0,"-",-B725+C725)</f>
        <v>-</v>
      </c>
      <c r="E725" s="21">
        <f>O317*input!BI4</f>
        <v>379.51910719072885</v>
      </c>
      <c r="F725" s="794" t="str">
        <f t="shared" ref="F725:F785" si="71">+F905</f>
        <v>S</v>
      </c>
      <c r="G725" s="578" t="str">
        <f t="shared" ref="G725:G785" si="72">IF(OR(AND(F725="S",C725=0),D725="-"),"-",IF(D725&lt;=E725,"OK","NG"))</f>
        <v>-</v>
      </c>
      <c r="H725" s="21" t="str">
        <f t="shared" ref="H725:H785" si="73">IF(B725&gt;=0,"-",-B725+C725/3)</f>
        <v>-</v>
      </c>
      <c r="I725" s="21">
        <f t="shared" ref="I725:I785" si="74">F650</f>
        <v>240.27058204226756</v>
      </c>
      <c r="J725" s="578" t="str">
        <f t="shared" ref="J725:J785" si="75">IF(H725="-","-",IF(H725&lt;=I725,"OK","NG"))</f>
        <v>-</v>
      </c>
      <c r="K725" s="578" t="str">
        <f t="shared" ref="K725:K785" si="76">IF(H725="-","-",I725/H725)</f>
        <v>-</v>
      </c>
      <c r="L725" s="21">
        <f t="shared" si="66"/>
        <v>18.68135730754312</v>
      </c>
      <c r="M725" s="21">
        <f t="shared" si="67"/>
        <v>379.51910719072885</v>
      </c>
      <c r="N725" s="578" t="str">
        <f t="shared" ref="N725:N785" si="77">IF(L725="-","-",IF(L725&lt;=M725,"OK","NG"))</f>
        <v>OK</v>
      </c>
      <c r="O725" s="607">
        <f t="shared" ref="O725:O785" si="78">IF(L725="-","-",M725/L725)</f>
        <v>20.315392556486643</v>
      </c>
      <c r="T725" s="73"/>
      <c r="U725" s="73"/>
      <c r="V725" s="73"/>
      <c r="W725" s="73"/>
      <c r="X725" s="73"/>
      <c r="Y725" s="143"/>
      <c r="AB725" s="143"/>
      <c r="AD725" s="143"/>
      <c r="AE725" s="143"/>
      <c r="AF725" s="143"/>
      <c r="AG725" s="143"/>
      <c r="AH725" s="143"/>
      <c r="AI725" s="143"/>
      <c r="AJ725" s="143"/>
      <c r="AK725" s="143"/>
      <c r="AL725" s="143"/>
      <c r="AM725" s="143"/>
      <c r="AN725" s="143"/>
      <c r="AO725" s="143"/>
      <c r="AP725" s="143"/>
      <c r="AQ725" s="143"/>
      <c r="AR725" s="143"/>
      <c r="AS725" s="143"/>
    </row>
    <row r="726" spans="1:45" ht="15" customHeight="1">
      <c r="A726" s="482" t="str">
        <f t="shared" si="68"/>
        <v>102i</v>
      </c>
      <c r="B726" s="21">
        <f t="shared" si="69"/>
        <v>0.15599335916792711</v>
      </c>
      <c r="C726" s="21">
        <f t="shared" si="65"/>
        <v>18.525943310897638</v>
      </c>
      <c r="D726" s="794" t="str">
        <f t="shared" si="70"/>
        <v>-</v>
      </c>
      <c r="E726" s="21">
        <f>O318*input!BI5</f>
        <v>379.51910719072885</v>
      </c>
      <c r="F726" s="794" t="str">
        <f t="shared" si="71"/>
        <v>S</v>
      </c>
      <c r="G726" s="578" t="str">
        <f t="shared" si="72"/>
        <v>-</v>
      </c>
      <c r="H726" s="21" t="str">
        <f t="shared" si="73"/>
        <v>-</v>
      </c>
      <c r="I726" s="21">
        <f t="shared" si="74"/>
        <v>240.26979328570704</v>
      </c>
      <c r="J726" s="578" t="str">
        <f t="shared" si="75"/>
        <v>-</v>
      </c>
      <c r="K726" s="578" t="str">
        <f t="shared" si="76"/>
        <v>-</v>
      </c>
      <c r="L726" s="21">
        <f t="shared" si="66"/>
        <v>18.681936670065564</v>
      </c>
      <c r="M726" s="21">
        <f t="shared" si="67"/>
        <v>379.51910719072885</v>
      </c>
      <c r="N726" s="578" t="str">
        <f t="shared" si="77"/>
        <v>OK</v>
      </c>
      <c r="O726" s="607">
        <f t="shared" si="78"/>
        <v>20.314762537378677</v>
      </c>
      <c r="T726" s="73"/>
      <c r="U726" s="73"/>
      <c r="V726" s="73"/>
      <c r="W726" s="73"/>
      <c r="X726" s="73"/>
      <c r="Y726" s="143"/>
      <c r="AB726" s="143"/>
      <c r="AD726" s="143"/>
      <c r="AE726" s="143"/>
      <c r="AF726" s="143"/>
      <c r="AG726" s="143"/>
      <c r="AH726" s="143"/>
      <c r="AI726" s="14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</row>
    <row r="727" spans="1:45" ht="15" customHeight="1">
      <c r="A727" s="482" t="str">
        <f t="shared" si="68"/>
        <v>102j</v>
      </c>
      <c r="B727" s="21">
        <f t="shared" si="69"/>
        <v>-76.804496353405341</v>
      </c>
      <c r="C727" s="21">
        <f t="shared" si="65"/>
        <v>18.525943310897638</v>
      </c>
      <c r="D727" s="794">
        <f t="shared" si="70"/>
        <v>95.330439664302986</v>
      </c>
      <c r="E727" s="21">
        <f>O319*input!BI6</f>
        <v>379.51910719072885</v>
      </c>
      <c r="F727" s="794" t="str">
        <f t="shared" si="71"/>
        <v>S</v>
      </c>
      <c r="G727" s="578" t="str">
        <f t="shared" si="72"/>
        <v>OK</v>
      </c>
      <c r="H727" s="21">
        <f t="shared" si="73"/>
        <v>82.979810790371218</v>
      </c>
      <c r="I727" s="21">
        <f t="shared" si="74"/>
        <v>338.95279763710556</v>
      </c>
      <c r="J727" s="578" t="str">
        <f t="shared" si="75"/>
        <v>OK</v>
      </c>
      <c r="K727" s="578">
        <f t="shared" si="76"/>
        <v>4.0847622380507627</v>
      </c>
      <c r="L727" s="21" t="str">
        <f t="shared" si="66"/>
        <v>-</v>
      </c>
      <c r="M727" s="21">
        <f t="shared" si="67"/>
        <v>379.51905124209532</v>
      </c>
      <c r="N727" s="578" t="str">
        <f t="shared" si="77"/>
        <v>-</v>
      </c>
      <c r="O727" s="607" t="str">
        <f t="shared" si="78"/>
        <v>-</v>
      </c>
      <c r="T727" s="73"/>
      <c r="U727" s="73"/>
      <c r="V727" s="73"/>
      <c r="W727" s="73"/>
      <c r="X727" s="73"/>
      <c r="Y727" s="143"/>
      <c r="AB727" s="143"/>
      <c r="AD727" s="143"/>
      <c r="AE727" s="143"/>
      <c r="AF727" s="143"/>
      <c r="AG727" s="143"/>
      <c r="AH727" s="143"/>
      <c r="AI727" s="143"/>
      <c r="AJ727" s="143"/>
      <c r="AK727" s="143"/>
      <c r="AL727" s="143"/>
      <c r="AM727" s="143"/>
      <c r="AN727" s="143"/>
      <c r="AO727" s="143"/>
      <c r="AP727" s="143"/>
      <c r="AQ727" s="143"/>
      <c r="AR727" s="143"/>
      <c r="AS727" s="143"/>
    </row>
    <row r="728" spans="1:45" ht="15" customHeight="1">
      <c r="A728" s="482" t="str">
        <f t="shared" si="68"/>
        <v>103i</v>
      </c>
      <c r="B728" s="21">
        <f t="shared" si="69"/>
        <v>-55.882227353329924</v>
      </c>
      <c r="C728" s="21">
        <f t="shared" si="65"/>
        <v>13.692815277429251</v>
      </c>
      <c r="D728" s="794">
        <f t="shared" si="70"/>
        <v>69.575042630759171</v>
      </c>
      <c r="E728" s="21">
        <f>O320*input!BI7</f>
        <v>379.5982638603615</v>
      </c>
      <c r="F728" s="794" t="str">
        <f t="shared" si="71"/>
        <v>S</v>
      </c>
      <c r="G728" s="578" t="str">
        <f t="shared" si="72"/>
        <v>OK</v>
      </c>
      <c r="H728" s="21">
        <f t="shared" si="73"/>
        <v>60.446499112473006</v>
      </c>
      <c r="I728" s="21">
        <f t="shared" si="74"/>
        <v>348.87123953188353</v>
      </c>
      <c r="J728" s="578" t="str">
        <f t="shared" si="75"/>
        <v>OK</v>
      </c>
      <c r="K728" s="578">
        <f t="shared" si="76"/>
        <v>5.771570639396959</v>
      </c>
      <c r="L728" s="21" t="str">
        <f t="shared" si="66"/>
        <v>-</v>
      </c>
      <c r="M728" s="21">
        <f t="shared" si="67"/>
        <v>379.59823864278871</v>
      </c>
      <c r="N728" s="578" t="str">
        <f t="shared" si="77"/>
        <v>-</v>
      </c>
      <c r="O728" s="607" t="str">
        <f t="shared" si="78"/>
        <v>-</v>
      </c>
      <c r="T728" s="73"/>
      <c r="U728" s="73"/>
      <c r="V728" s="73"/>
      <c r="W728" s="73"/>
      <c r="X728" s="73"/>
      <c r="Y728" s="143"/>
      <c r="AB728" s="143"/>
      <c r="AD728" s="143"/>
      <c r="AE728" s="143"/>
      <c r="AF728" s="143"/>
      <c r="AG728" s="143"/>
      <c r="AH728" s="143"/>
      <c r="AI728" s="143"/>
      <c r="AJ728" s="143"/>
      <c r="AK728" s="143"/>
      <c r="AL728" s="143"/>
      <c r="AM728" s="143"/>
      <c r="AN728" s="143"/>
      <c r="AO728" s="143"/>
      <c r="AP728" s="143"/>
      <c r="AQ728" s="143"/>
      <c r="AR728" s="143"/>
      <c r="AS728" s="143"/>
    </row>
    <row r="729" spans="1:45" ht="15" customHeight="1">
      <c r="A729" s="482" t="str">
        <f t="shared" si="68"/>
        <v>103j</v>
      </c>
      <c r="B729" s="21">
        <f t="shared" si="69"/>
        <v>-126.69109128803922</v>
      </c>
      <c r="C729" s="21">
        <f t="shared" si="65"/>
        <v>13.692815277429251</v>
      </c>
      <c r="D729" s="794">
        <f t="shared" si="70"/>
        <v>140.38390656546846</v>
      </c>
      <c r="E729" s="21">
        <f>O321*input!BI8</f>
        <v>379.5982638603615</v>
      </c>
      <c r="F729" s="794" t="str">
        <f t="shared" si="71"/>
        <v>S</v>
      </c>
      <c r="G729" s="578" t="str">
        <f t="shared" si="72"/>
        <v>OK</v>
      </c>
      <c r="H729" s="21">
        <f t="shared" si="73"/>
        <v>131.2553630471823</v>
      </c>
      <c r="I729" s="21">
        <f t="shared" si="74"/>
        <v>348.87123953188353</v>
      </c>
      <c r="J729" s="578" t="str">
        <f t="shared" si="75"/>
        <v>OK</v>
      </c>
      <c r="K729" s="578">
        <f t="shared" si="76"/>
        <v>2.6579579792596739</v>
      </c>
      <c r="L729" s="21" t="str">
        <f t="shared" si="66"/>
        <v>-</v>
      </c>
      <c r="M729" s="21">
        <f t="shared" si="67"/>
        <v>379.59824245685536</v>
      </c>
      <c r="N729" s="578" t="str">
        <f t="shared" si="77"/>
        <v>-</v>
      </c>
      <c r="O729" s="607" t="str">
        <f t="shared" si="78"/>
        <v>-</v>
      </c>
      <c r="T729" s="73"/>
      <c r="U729" s="73"/>
      <c r="V729" s="73"/>
      <c r="W729" s="73"/>
      <c r="X729" s="73"/>
      <c r="Y729" s="143"/>
      <c r="AB729" s="143"/>
      <c r="AD729" s="143"/>
      <c r="AE729" s="143"/>
      <c r="AF729" s="143"/>
      <c r="AG729" s="143"/>
      <c r="AH729" s="143"/>
      <c r="AI729" s="143"/>
      <c r="AJ729" s="143"/>
      <c r="AK729" s="143"/>
      <c r="AL729" s="143"/>
      <c r="AM729" s="143"/>
      <c r="AN729" s="143"/>
      <c r="AO729" s="143"/>
      <c r="AP729" s="143"/>
      <c r="AQ729" s="143"/>
      <c r="AR729" s="143"/>
      <c r="AS729" s="143"/>
    </row>
    <row r="730" spans="1:45" ht="15" customHeight="1">
      <c r="A730" s="482" t="str">
        <f t="shared" si="68"/>
        <v>104i</v>
      </c>
      <c r="B730" s="21">
        <f t="shared" si="69"/>
        <v>-126.69077513281543</v>
      </c>
      <c r="C730" s="21">
        <f t="shared" si="65"/>
        <v>13.692815277429251</v>
      </c>
      <c r="D730" s="794">
        <f t="shared" si="70"/>
        <v>140.38359041024469</v>
      </c>
      <c r="E730" s="21">
        <f>O322*input!BI9</f>
        <v>379.5982638603615</v>
      </c>
      <c r="F730" s="794" t="str">
        <f t="shared" si="71"/>
        <v>S</v>
      </c>
      <c r="G730" s="578" t="str">
        <f t="shared" si="72"/>
        <v>OK</v>
      </c>
      <c r="H730" s="21">
        <f t="shared" si="73"/>
        <v>131.25504689195853</v>
      </c>
      <c r="I730" s="21">
        <f t="shared" si="74"/>
        <v>348.87123953188353</v>
      </c>
      <c r="J730" s="578" t="str">
        <f t="shared" si="75"/>
        <v>OK</v>
      </c>
      <c r="K730" s="578">
        <f t="shared" si="76"/>
        <v>2.6579643815072034</v>
      </c>
      <c r="L730" s="21" t="str">
        <f t="shared" si="66"/>
        <v>-</v>
      </c>
      <c r="M730" s="21">
        <f t="shared" si="67"/>
        <v>379.59825446002986</v>
      </c>
      <c r="N730" s="578" t="str">
        <f t="shared" si="77"/>
        <v>-</v>
      </c>
      <c r="O730" s="607" t="str">
        <f t="shared" si="78"/>
        <v>-</v>
      </c>
      <c r="T730" s="73"/>
      <c r="U730" s="73"/>
      <c r="V730" s="73"/>
      <c r="W730" s="73"/>
      <c r="X730" s="73"/>
      <c r="Y730" s="143"/>
      <c r="AB730" s="143"/>
      <c r="AD730" s="143"/>
      <c r="AE730" s="143"/>
      <c r="AF730" s="143"/>
      <c r="AG730" s="143"/>
      <c r="AH730" s="143"/>
      <c r="AI730" s="143"/>
      <c r="AJ730" s="143"/>
      <c r="AK730" s="143"/>
      <c r="AL730" s="143"/>
      <c r="AM730" s="143"/>
      <c r="AN730" s="143"/>
      <c r="AO730" s="143"/>
      <c r="AP730" s="143"/>
      <c r="AQ730" s="143"/>
      <c r="AR730" s="143"/>
      <c r="AS730" s="143"/>
    </row>
    <row r="731" spans="1:45" ht="15" customHeight="1">
      <c r="A731" s="482" t="str">
        <f t="shared" si="68"/>
        <v>104j</v>
      </c>
      <c r="B731" s="21">
        <f t="shared" si="69"/>
        <v>-206.18811154298578</v>
      </c>
      <c r="C731" s="21">
        <f t="shared" si="65"/>
        <v>13.979637026628728</v>
      </c>
      <c r="D731" s="794">
        <f t="shared" si="70"/>
        <v>220.1677485696145</v>
      </c>
      <c r="E731" s="21">
        <f>O323*input!BI10</f>
        <v>379.5982638603615</v>
      </c>
      <c r="F731" s="794" t="str">
        <f t="shared" si="71"/>
        <v>S</v>
      </c>
      <c r="G731" s="578" t="str">
        <f t="shared" si="72"/>
        <v>OK</v>
      </c>
      <c r="H731" s="21">
        <f t="shared" si="73"/>
        <v>210.84799055186201</v>
      </c>
      <c r="I731" s="21">
        <f t="shared" si="74"/>
        <v>348.87123953188353</v>
      </c>
      <c r="J731" s="578" t="str">
        <f t="shared" si="75"/>
        <v>OK</v>
      </c>
      <c r="K731" s="578">
        <f t="shared" si="76"/>
        <v>1.6546102176206043</v>
      </c>
      <c r="L731" s="21" t="str">
        <f t="shared" si="66"/>
        <v>-</v>
      </c>
      <c r="M731" s="21">
        <f t="shared" si="67"/>
        <v>379.59825745400781</v>
      </c>
      <c r="N731" s="578" t="str">
        <f t="shared" si="77"/>
        <v>-</v>
      </c>
      <c r="O731" s="607" t="str">
        <f t="shared" si="78"/>
        <v>-</v>
      </c>
      <c r="T731" s="122"/>
      <c r="U731" s="122"/>
      <c r="V731" s="122"/>
      <c r="W731" s="122"/>
      <c r="X731" s="122"/>
      <c r="Y731" s="170"/>
      <c r="AB731" s="143"/>
      <c r="AD731" s="143"/>
      <c r="AE731" s="143"/>
      <c r="AF731" s="143"/>
      <c r="AG731" s="143"/>
      <c r="AH731" s="143"/>
      <c r="AI731" s="14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</row>
    <row r="732" spans="1:45" ht="15" customHeight="1">
      <c r="A732" s="482" t="str">
        <f t="shared" si="68"/>
        <v>105i</v>
      </c>
      <c r="B732" s="21">
        <f t="shared" si="69"/>
        <v>-166.27986034713479</v>
      </c>
      <c r="C732" s="21">
        <f t="shared" si="65"/>
        <v>11.125150219023094</v>
      </c>
      <c r="D732" s="794">
        <f t="shared" si="70"/>
        <v>177.40501056615787</v>
      </c>
      <c r="E732" s="21">
        <f>O324*input!BI11</f>
        <v>379.64073020030537</v>
      </c>
      <c r="F732" s="794" t="str">
        <f t="shared" si="71"/>
        <v>S</v>
      </c>
      <c r="G732" s="578" t="str">
        <f t="shared" si="72"/>
        <v>OK</v>
      </c>
      <c r="H732" s="21">
        <f t="shared" si="73"/>
        <v>169.98824375347581</v>
      </c>
      <c r="I732" s="21">
        <f t="shared" si="74"/>
        <v>350.19704325766514</v>
      </c>
      <c r="J732" s="578" t="str">
        <f t="shared" si="75"/>
        <v>OK</v>
      </c>
      <c r="K732" s="578">
        <f t="shared" si="76"/>
        <v>2.0601250740935697</v>
      </c>
      <c r="L732" s="21" t="str">
        <f t="shared" si="66"/>
        <v>-</v>
      </c>
      <c r="M732" s="21">
        <f t="shared" si="67"/>
        <v>379.6407262407015</v>
      </c>
      <c r="N732" s="578" t="str">
        <f t="shared" si="77"/>
        <v>-</v>
      </c>
      <c r="O732" s="607" t="str">
        <f t="shared" si="78"/>
        <v>-</v>
      </c>
      <c r="T732" s="122"/>
      <c r="U732" s="122"/>
      <c r="V732" s="122"/>
      <c r="W732" s="73"/>
      <c r="X732" s="73"/>
      <c r="Y732" s="143"/>
      <c r="AB732" s="143"/>
      <c r="AD732" s="143"/>
      <c r="AE732" s="143"/>
      <c r="AF732" s="143"/>
      <c r="AG732" s="143"/>
      <c r="AH732" s="143"/>
      <c r="AI732" s="143"/>
      <c r="AJ732" s="143"/>
      <c r="AK732" s="143"/>
      <c r="AL732" s="143"/>
      <c r="AM732" s="143"/>
      <c r="AN732" s="143"/>
      <c r="AO732" s="143"/>
      <c r="AP732" s="143"/>
      <c r="AQ732" s="143"/>
      <c r="AR732" s="143"/>
      <c r="AS732" s="143"/>
    </row>
    <row r="733" spans="1:45" ht="15" customHeight="1">
      <c r="A733" s="482" t="str">
        <f t="shared" si="68"/>
        <v>105j</v>
      </c>
      <c r="B733" s="21">
        <f t="shared" si="69"/>
        <v>-219.04242391683582</v>
      </c>
      <c r="C733" s="21">
        <f t="shared" si="65"/>
        <v>11.414361899612091</v>
      </c>
      <c r="D733" s="794">
        <f t="shared" si="70"/>
        <v>230.4567858164479</v>
      </c>
      <c r="E733" s="21">
        <f>O325*input!BI12</f>
        <v>379.64073020030537</v>
      </c>
      <c r="F733" s="794" t="str">
        <f t="shared" si="71"/>
        <v>S</v>
      </c>
      <c r="G733" s="578" t="str">
        <f t="shared" si="72"/>
        <v>OK</v>
      </c>
      <c r="H733" s="21">
        <f t="shared" si="73"/>
        <v>222.84721121670651</v>
      </c>
      <c r="I733" s="21">
        <f t="shared" si="74"/>
        <v>350.19704325766514</v>
      </c>
      <c r="J733" s="578" t="str">
        <f t="shared" si="75"/>
        <v>OK</v>
      </c>
      <c r="K733" s="578">
        <f t="shared" si="76"/>
        <v>1.5714670214881801</v>
      </c>
      <c r="L733" s="21" t="str">
        <f t="shared" si="66"/>
        <v>-</v>
      </c>
      <c r="M733" s="21">
        <f t="shared" si="67"/>
        <v>379.64072773749405</v>
      </c>
      <c r="N733" s="578" t="str">
        <f t="shared" si="77"/>
        <v>-</v>
      </c>
      <c r="O733" s="607" t="str">
        <f t="shared" si="78"/>
        <v>-</v>
      </c>
      <c r="T733" s="122"/>
      <c r="U733" s="122"/>
      <c r="V733" s="122"/>
      <c r="W733" s="73"/>
      <c r="X733" s="73"/>
      <c r="Y733" s="143"/>
      <c r="AB733" s="143"/>
      <c r="AD733" s="143"/>
      <c r="AE733" s="143"/>
      <c r="AF733" s="143"/>
      <c r="AG733" s="143"/>
      <c r="AH733" s="143"/>
      <c r="AI733" s="143"/>
      <c r="AJ733" s="143"/>
      <c r="AK733" s="143"/>
      <c r="AL733" s="143"/>
      <c r="AM733" s="143"/>
      <c r="AN733" s="143"/>
      <c r="AO733" s="143"/>
      <c r="AP733" s="143"/>
      <c r="AQ733" s="143"/>
      <c r="AR733" s="143"/>
      <c r="AS733" s="143"/>
    </row>
    <row r="734" spans="1:45" ht="15" customHeight="1">
      <c r="A734" s="482" t="str">
        <f t="shared" si="68"/>
        <v>106i</v>
      </c>
      <c r="B734" s="21">
        <f t="shared" si="69"/>
        <v>-219.04182900209335</v>
      </c>
      <c r="C734" s="21">
        <f t="shared" si="65"/>
        <v>11.414355480687631</v>
      </c>
      <c r="D734" s="794">
        <f t="shared" si="70"/>
        <v>230.45618448278097</v>
      </c>
      <c r="E734" s="21">
        <f>O326*input!BI13</f>
        <v>379.64073020030537</v>
      </c>
      <c r="F734" s="794" t="str">
        <f t="shared" si="71"/>
        <v>S</v>
      </c>
      <c r="G734" s="578" t="str">
        <f t="shared" si="72"/>
        <v>OK</v>
      </c>
      <c r="H734" s="21">
        <f t="shared" si="73"/>
        <v>222.84661416232257</v>
      </c>
      <c r="I734" s="21">
        <f t="shared" si="74"/>
        <v>350.19704325766514</v>
      </c>
      <c r="J734" s="578" t="str">
        <f t="shared" si="75"/>
        <v>OK</v>
      </c>
      <c r="K734" s="578">
        <f t="shared" si="76"/>
        <v>1.5714712317889645</v>
      </c>
      <c r="L734" s="21" t="str">
        <f t="shared" si="66"/>
        <v>-</v>
      </c>
      <c r="M734" s="21">
        <f t="shared" si="67"/>
        <v>379.64072957976401</v>
      </c>
      <c r="N734" s="578" t="str">
        <f t="shared" si="77"/>
        <v>-</v>
      </c>
      <c r="O734" s="607" t="str">
        <f t="shared" si="78"/>
        <v>-</v>
      </c>
      <c r="T734" s="122"/>
      <c r="U734" s="122"/>
      <c r="V734" s="122"/>
      <c r="W734" s="73"/>
      <c r="X734" s="73"/>
      <c r="Y734" s="143"/>
      <c r="AB734" s="143"/>
      <c r="AD734" s="143"/>
      <c r="AE734" s="143"/>
      <c r="AF734" s="143"/>
      <c r="AG734" s="143"/>
      <c r="AH734" s="143"/>
      <c r="AI734" s="143"/>
      <c r="AJ734" s="143"/>
      <c r="AK734" s="143"/>
      <c r="AL734" s="143"/>
      <c r="AM734" s="143"/>
      <c r="AN734" s="143"/>
      <c r="AO734" s="143"/>
      <c r="AP734" s="143"/>
      <c r="AQ734" s="143"/>
      <c r="AR734" s="143"/>
      <c r="AS734" s="143"/>
    </row>
    <row r="735" spans="1:45" ht="15" customHeight="1">
      <c r="A735" s="482" t="str">
        <f t="shared" si="68"/>
        <v>106j</v>
      </c>
      <c r="B735" s="21">
        <f t="shared" si="69"/>
        <v>-255.72478194911668</v>
      </c>
      <c r="C735" s="21">
        <f t="shared" si="65"/>
        <v>11.82436898189669</v>
      </c>
      <c r="D735" s="794">
        <f t="shared" si="70"/>
        <v>267.54915093101334</v>
      </c>
      <c r="E735" s="21">
        <f>O327*input!BI14</f>
        <v>379.64073020030537</v>
      </c>
      <c r="F735" s="794" t="str">
        <f t="shared" si="71"/>
        <v>S</v>
      </c>
      <c r="G735" s="578" t="str">
        <f t="shared" si="72"/>
        <v>OK</v>
      </c>
      <c r="H735" s="21">
        <f t="shared" si="73"/>
        <v>259.66623827641558</v>
      </c>
      <c r="I735" s="21">
        <f t="shared" si="74"/>
        <v>350.19704325766514</v>
      </c>
      <c r="J735" s="578" t="str">
        <f t="shared" si="75"/>
        <v>OK</v>
      </c>
      <c r="K735" s="578">
        <f t="shared" si="76"/>
        <v>1.3486429563664692</v>
      </c>
      <c r="L735" s="21" t="str">
        <f t="shared" si="66"/>
        <v>-</v>
      </c>
      <c r="M735" s="21">
        <f t="shared" si="67"/>
        <v>379.6407300654667</v>
      </c>
      <c r="N735" s="578" t="str">
        <f t="shared" si="77"/>
        <v>-</v>
      </c>
      <c r="O735" s="607" t="str">
        <f t="shared" si="78"/>
        <v>-</v>
      </c>
      <c r="T735" s="122"/>
      <c r="U735" s="122"/>
      <c r="V735" s="122"/>
      <c r="W735" s="73"/>
      <c r="X735" s="73"/>
      <c r="Y735" s="143"/>
      <c r="AB735" s="143"/>
      <c r="AD735" s="143"/>
      <c r="AE735" s="143"/>
      <c r="AF735" s="143"/>
      <c r="AG735" s="143"/>
      <c r="AH735" s="143"/>
      <c r="AI735" s="143"/>
      <c r="AJ735" s="143"/>
      <c r="AK735" s="143"/>
      <c r="AL735" s="143"/>
      <c r="AM735" s="143"/>
      <c r="AN735" s="143"/>
      <c r="AO735" s="143"/>
      <c r="AP735" s="143"/>
      <c r="AQ735" s="143"/>
      <c r="AR735" s="143"/>
      <c r="AS735" s="143"/>
    </row>
    <row r="736" spans="1:45" ht="15" customHeight="1">
      <c r="A736" s="482" t="str">
        <f t="shared" si="68"/>
        <v>107i</v>
      </c>
      <c r="B736" s="21">
        <f t="shared" si="69"/>
        <v>-215.34009209292282</v>
      </c>
      <c r="C736" s="21">
        <f t="shared" si="65"/>
        <v>7.4547120043034294</v>
      </c>
      <c r="D736" s="794">
        <f t="shared" si="70"/>
        <v>222.79480409722623</v>
      </c>
      <c r="E736" s="21">
        <f>O328*input!BI15</f>
        <v>379.70896106468712</v>
      </c>
      <c r="F736" s="794" t="str">
        <f t="shared" si="71"/>
        <v>S</v>
      </c>
      <c r="G736" s="578" t="str">
        <f t="shared" si="72"/>
        <v>OK</v>
      </c>
      <c r="H736" s="21">
        <f t="shared" si="73"/>
        <v>217.82499609435729</v>
      </c>
      <c r="I736" s="21">
        <f t="shared" si="74"/>
        <v>363.72026906765205</v>
      </c>
      <c r="J736" s="578" t="str">
        <f t="shared" si="75"/>
        <v>OK</v>
      </c>
      <c r="K736" s="578">
        <f t="shared" si="76"/>
        <v>1.6697820525156624</v>
      </c>
      <c r="L736" s="21" t="str">
        <f t="shared" si="66"/>
        <v>-</v>
      </c>
      <c r="M736" s="21">
        <f t="shared" si="67"/>
        <v>379.70896094331596</v>
      </c>
      <c r="N736" s="578" t="str">
        <f t="shared" si="77"/>
        <v>-</v>
      </c>
      <c r="O736" s="607" t="str">
        <f t="shared" si="78"/>
        <v>-</v>
      </c>
      <c r="T736" s="122"/>
      <c r="U736" s="122"/>
      <c r="V736" s="122"/>
      <c r="W736" s="73"/>
      <c r="X736" s="73"/>
      <c r="Y736" s="143"/>
      <c r="AB736" s="143"/>
      <c r="AD736" s="143"/>
      <c r="AE736" s="143"/>
      <c r="AF736" s="143"/>
      <c r="AG736" s="143"/>
      <c r="AH736" s="143"/>
      <c r="AI736" s="143"/>
      <c r="AJ736" s="143"/>
      <c r="AK736" s="143"/>
      <c r="AL736" s="143"/>
      <c r="AM736" s="143"/>
      <c r="AN736" s="143"/>
      <c r="AO736" s="143"/>
      <c r="AP736" s="143"/>
      <c r="AQ736" s="143"/>
      <c r="AR736" s="143"/>
      <c r="AS736" s="143"/>
    </row>
    <row r="737" spans="1:45" ht="15" customHeight="1">
      <c r="A737" s="482" t="str">
        <f t="shared" si="68"/>
        <v>107j</v>
      </c>
      <c r="B737" s="21">
        <f t="shared" si="69"/>
        <v>-236.06600924039725</v>
      </c>
      <c r="C737" s="21">
        <f t="shared" si="65"/>
        <v>7.4547120043034294</v>
      </c>
      <c r="D737" s="794">
        <f t="shared" si="70"/>
        <v>243.52072124470067</v>
      </c>
      <c r="E737" s="21">
        <f>O329*input!BI16</f>
        <v>379.70896106468712</v>
      </c>
      <c r="F737" s="794" t="str">
        <f t="shared" si="71"/>
        <v>S</v>
      </c>
      <c r="G737" s="578" t="str">
        <f t="shared" si="72"/>
        <v>OK</v>
      </c>
      <c r="H737" s="21">
        <f t="shared" si="73"/>
        <v>238.55091324183172</v>
      </c>
      <c r="I737" s="21">
        <f t="shared" si="74"/>
        <v>363.72026906765205</v>
      </c>
      <c r="J737" s="578" t="str">
        <f t="shared" si="75"/>
        <v>OK</v>
      </c>
      <c r="K737" s="578">
        <f t="shared" si="76"/>
        <v>1.5247070913492144</v>
      </c>
      <c r="L737" s="21" t="str">
        <f t="shared" si="66"/>
        <v>-</v>
      </c>
      <c r="M737" s="21">
        <f t="shared" si="67"/>
        <v>379.70896106212643</v>
      </c>
      <c r="N737" s="578" t="str">
        <f t="shared" si="77"/>
        <v>-</v>
      </c>
      <c r="O737" s="607" t="str">
        <f t="shared" si="78"/>
        <v>-</v>
      </c>
      <c r="T737" s="73"/>
      <c r="U737" s="73"/>
      <c r="V737" s="73"/>
      <c r="W737" s="73"/>
      <c r="X737" s="73"/>
      <c r="Y737" s="143"/>
      <c r="AB737" s="143"/>
      <c r="AD737" s="143"/>
      <c r="AE737" s="143"/>
      <c r="AF737" s="143"/>
      <c r="AG737" s="143"/>
      <c r="AH737" s="143"/>
      <c r="AI737" s="143"/>
      <c r="AJ737" s="143"/>
      <c r="AK737" s="143"/>
      <c r="AL737" s="143"/>
      <c r="AM737" s="143"/>
      <c r="AN737" s="143"/>
      <c r="AO737" s="143"/>
      <c r="AP737" s="143"/>
      <c r="AQ737" s="143"/>
      <c r="AR737" s="143"/>
      <c r="AS737" s="143"/>
    </row>
    <row r="738" spans="1:45" ht="15" customHeight="1">
      <c r="A738" s="482" t="str">
        <f t="shared" si="68"/>
        <v>108i</v>
      </c>
      <c r="B738" s="21">
        <f t="shared" si="69"/>
        <v>-236.06572297477732</v>
      </c>
      <c r="C738" s="21">
        <f t="shared" si="65"/>
        <v>7.4547120043034294</v>
      </c>
      <c r="D738" s="794">
        <f t="shared" si="70"/>
        <v>243.52043497908073</v>
      </c>
      <c r="E738" s="21">
        <f>O330*input!BI17</f>
        <v>379.70896106468712</v>
      </c>
      <c r="F738" s="794" t="str">
        <f t="shared" si="71"/>
        <v>S</v>
      </c>
      <c r="G738" s="578" t="str">
        <f t="shared" si="72"/>
        <v>OK</v>
      </c>
      <c r="H738" s="21">
        <f t="shared" si="73"/>
        <v>238.55062697621179</v>
      </c>
      <c r="I738" s="21">
        <f t="shared" si="74"/>
        <v>363.72026906765205</v>
      </c>
      <c r="J738" s="578" t="str">
        <f t="shared" si="75"/>
        <v>OK</v>
      </c>
      <c r="K738" s="578">
        <f t="shared" si="76"/>
        <v>1.5247089210288354</v>
      </c>
      <c r="L738" s="21" t="str">
        <f t="shared" si="66"/>
        <v>-</v>
      </c>
      <c r="M738" s="21">
        <f t="shared" si="67"/>
        <v>379.70895933110307</v>
      </c>
      <c r="N738" s="578" t="str">
        <f t="shared" si="77"/>
        <v>-</v>
      </c>
      <c r="O738" s="607" t="str">
        <f t="shared" si="78"/>
        <v>-</v>
      </c>
      <c r="T738" s="73"/>
      <c r="U738" s="73"/>
      <c r="V738" s="73"/>
      <c r="W738" s="73"/>
      <c r="X738" s="73"/>
      <c r="Y738" s="143"/>
      <c r="AB738" s="143"/>
      <c r="AD738" s="143"/>
      <c r="AE738" s="143"/>
      <c r="AF738" s="143"/>
      <c r="AG738" s="143"/>
      <c r="AH738" s="143"/>
      <c r="AI738" s="143"/>
      <c r="AJ738" s="143"/>
      <c r="AK738" s="143"/>
      <c r="AL738" s="143"/>
      <c r="AM738" s="143"/>
      <c r="AN738" s="143"/>
      <c r="AO738" s="143"/>
      <c r="AP738" s="143"/>
      <c r="AQ738" s="143"/>
      <c r="AR738" s="143"/>
      <c r="AS738" s="143"/>
    </row>
    <row r="739" spans="1:45" ht="15" customHeight="1">
      <c r="A739" s="482" t="str">
        <f t="shared" si="68"/>
        <v>108j</v>
      </c>
      <c r="B739" s="21">
        <f t="shared" si="69"/>
        <v>-242.60209744070414</v>
      </c>
      <c r="C739" s="21">
        <f t="shared" si="65"/>
        <v>7.4547120043034294</v>
      </c>
      <c r="D739" s="794">
        <f t="shared" si="70"/>
        <v>250.05680944500756</v>
      </c>
      <c r="E739" s="21">
        <f>O331*input!BI18</f>
        <v>379.70896106468712</v>
      </c>
      <c r="F739" s="794" t="str">
        <f t="shared" si="71"/>
        <v>S</v>
      </c>
      <c r="G739" s="578" t="str">
        <f t="shared" si="72"/>
        <v>OK</v>
      </c>
      <c r="H739" s="21">
        <f t="shared" si="73"/>
        <v>245.08700144213861</v>
      </c>
      <c r="I739" s="21">
        <f t="shared" si="74"/>
        <v>363.72026906765205</v>
      </c>
      <c r="J739" s="578" t="str">
        <f t="shared" si="75"/>
        <v>OK</v>
      </c>
      <c r="K739" s="578">
        <f t="shared" si="76"/>
        <v>1.4840455304746996</v>
      </c>
      <c r="L739" s="21" t="str">
        <f t="shared" si="66"/>
        <v>-</v>
      </c>
      <c r="M739" s="21">
        <f t="shared" si="67"/>
        <v>379.70895812125559</v>
      </c>
      <c r="N739" s="578" t="str">
        <f t="shared" si="77"/>
        <v>-</v>
      </c>
      <c r="O739" s="607" t="str">
        <f t="shared" si="78"/>
        <v>-</v>
      </c>
      <c r="T739" s="73"/>
      <c r="U739" s="73"/>
      <c r="V739" s="73"/>
      <c r="W739" s="73"/>
      <c r="X739" s="73"/>
      <c r="Y739" s="143"/>
      <c r="AB739" s="143"/>
      <c r="AD739" s="143"/>
      <c r="AE739" s="143"/>
      <c r="AF739" s="143"/>
      <c r="AG739" s="143"/>
      <c r="AH739" s="143"/>
      <c r="AI739" s="143"/>
      <c r="AJ739" s="143"/>
      <c r="AK739" s="143"/>
      <c r="AL739" s="143"/>
      <c r="AM739" s="143"/>
      <c r="AN739" s="143"/>
      <c r="AO739" s="143"/>
      <c r="AP739" s="143"/>
      <c r="AQ739" s="143"/>
      <c r="AR739" s="143"/>
      <c r="AS739" s="143"/>
    </row>
    <row r="740" spans="1:45" ht="15" customHeight="1">
      <c r="A740" s="482" t="str">
        <f t="shared" si="68"/>
        <v>109i</v>
      </c>
      <c r="B740" s="21">
        <f t="shared" si="69"/>
        <v>-242.60238370632408</v>
      </c>
      <c r="C740" s="21">
        <f t="shared" si="65"/>
        <v>7.4547120043034294</v>
      </c>
      <c r="D740" s="794">
        <f t="shared" si="70"/>
        <v>250.05709571062749</v>
      </c>
      <c r="E740" s="21">
        <f>O332*input!BI19</f>
        <v>379.70896106468712</v>
      </c>
      <c r="F740" s="794" t="str">
        <f t="shared" si="71"/>
        <v>S</v>
      </c>
      <c r="G740" s="578" t="str">
        <f t="shared" si="72"/>
        <v>OK</v>
      </c>
      <c r="H740" s="21">
        <f t="shared" si="73"/>
        <v>245.08728770775855</v>
      </c>
      <c r="I740" s="21">
        <f t="shared" si="74"/>
        <v>363.72026906765205</v>
      </c>
      <c r="J740" s="578" t="str">
        <f t="shared" si="75"/>
        <v>OK</v>
      </c>
      <c r="K740" s="578">
        <f t="shared" si="76"/>
        <v>1.4840437970873102</v>
      </c>
      <c r="L740" s="21" t="str">
        <f t="shared" si="66"/>
        <v>-</v>
      </c>
      <c r="M740" s="21">
        <f t="shared" si="67"/>
        <v>379.70895812125559</v>
      </c>
      <c r="N740" s="578" t="str">
        <f t="shared" si="77"/>
        <v>-</v>
      </c>
      <c r="O740" s="607" t="str">
        <f t="shared" si="78"/>
        <v>-</v>
      </c>
      <c r="T740" s="73"/>
      <c r="U740" s="73"/>
      <c r="V740" s="73"/>
      <c r="W740" s="73"/>
      <c r="X740" s="73"/>
      <c r="Y740" s="73"/>
      <c r="Z740" s="73"/>
      <c r="AA740" s="73"/>
      <c r="AC740" s="73"/>
      <c r="AD740" s="73"/>
      <c r="AF740" s="73"/>
      <c r="AG740" s="143"/>
      <c r="AH740" s="143"/>
      <c r="AI740" s="143"/>
      <c r="AJ740" s="143"/>
      <c r="AK740" s="143"/>
      <c r="AL740" s="143"/>
      <c r="AM740" s="143"/>
      <c r="AN740" s="143"/>
      <c r="AO740" s="143"/>
      <c r="AP740" s="143"/>
      <c r="AQ740" s="143"/>
      <c r="AR740" s="143"/>
      <c r="AS740" s="143"/>
    </row>
    <row r="741" spans="1:45" ht="15" customHeight="1">
      <c r="A741" s="482" t="str">
        <f t="shared" si="68"/>
        <v>109j</v>
      </c>
      <c r="B741" s="21">
        <f t="shared" si="69"/>
        <v>-238.75683450119439</v>
      </c>
      <c r="C741" s="21">
        <f t="shared" si="65"/>
        <v>7.4547120043034294</v>
      </c>
      <c r="D741" s="794">
        <f t="shared" si="70"/>
        <v>246.21154650549781</v>
      </c>
      <c r="E741" s="21">
        <f>O333*input!BI20</f>
        <v>379.70896106468712</v>
      </c>
      <c r="F741" s="794" t="str">
        <f t="shared" si="71"/>
        <v>S</v>
      </c>
      <c r="G741" s="578" t="str">
        <f t="shared" si="72"/>
        <v>OK</v>
      </c>
      <c r="H741" s="21">
        <f t="shared" si="73"/>
        <v>241.24173850262886</v>
      </c>
      <c r="I741" s="21">
        <f t="shared" si="74"/>
        <v>363.72026906765205</v>
      </c>
      <c r="J741" s="578" t="str">
        <f t="shared" si="75"/>
        <v>OK</v>
      </c>
      <c r="K741" s="578">
        <f t="shared" si="76"/>
        <v>1.5077004142203547</v>
      </c>
      <c r="L741" s="21" t="str">
        <f t="shared" si="66"/>
        <v>-</v>
      </c>
      <c r="M741" s="21">
        <f t="shared" si="67"/>
        <v>379.70895659302727</v>
      </c>
      <c r="N741" s="578" t="str">
        <f t="shared" si="77"/>
        <v>-</v>
      </c>
      <c r="O741" s="607" t="str">
        <f t="shared" si="78"/>
        <v>-</v>
      </c>
      <c r="T741" s="73"/>
      <c r="U741" s="73"/>
      <c r="V741" s="73"/>
      <c r="W741" s="73"/>
      <c r="X741" s="73"/>
      <c r="Y741" s="73"/>
      <c r="Z741" s="73"/>
      <c r="AA741" s="73"/>
      <c r="AC741" s="73"/>
      <c r="AD741" s="73"/>
      <c r="AF741" s="73"/>
      <c r="AG741" s="143"/>
      <c r="AH741" s="143"/>
      <c r="AI741" s="143"/>
      <c r="AJ741" s="143"/>
      <c r="AK741" s="143"/>
      <c r="AL741" s="143"/>
      <c r="AM741" s="143"/>
      <c r="AN741" s="143"/>
      <c r="AO741" s="143"/>
      <c r="AP741" s="143"/>
      <c r="AQ741" s="143"/>
      <c r="AR741" s="143"/>
      <c r="AS741" s="143"/>
    </row>
    <row r="742" spans="1:45" ht="15" customHeight="1">
      <c r="A742" s="482" t="str">
        <f t="shared" si="68"/>
        <v>110i</v>
      </c>
      <c r="B742" s="21">
        <f t="shared" si="69"/>
        <v>-238.75719233321922</v>
      </c>
      <c r="C742" s="21">
        <f t="shared" si="65"/>
        <v>7.4547120043034294</v>
      </c>
      <c r="D742" s="794">
        <f t="shared" si="70"/>
        <v>246.21190433752264</v>
      </c>
      <c r="E742" s="21">
        <f>O334*input!BI21</f>
        <v>379.70896106468712</v>
      </c>
      <c r="F742" s="794" t="str">
        <f t="shared" si="71"/>
        <v>S</v>
      </c>
      <c r="G742" s="578" t="str">
        <f t="shared" si="72"/>
        <v>OK</v>
      </c>
      <c r="H742" s="21">
        <f t="shared" si="73"/>
        <v>241.2420963346537</v>
      </c>
      <c r="I742" s="21">
        <f t="shared" si="74"/>
        <v>363.72026906765205</v>
      </c>
      <c r="J742" s="578" t="str">
        <f t="shared" si="75"/>
        <v>OK</v>
      </c>
      <c r="K742" s="578">
        <f t="shared" si="76"/>
        <v>1.5076981778631839</v>
      </c>
      <c r="L742" s="21" t="str">
        <f t="shared" si="66"/>
        <v>-</v>
      </c>
      <c r="M742" s="21">
        <f t="shared" si="67"/>
        <v>379.70896094127329</v>
      </c>
      <c r="N742" s="578" t="str">
        <f t="shared" si="77"/>
        <v>-</v>
      </c>
      <c r="O742" s="607" t="str">
        <f t="shared" si="78"/>
        <v>-</v>
      </c>
      <c r="T742" s="73"/>
      <c r="U742" s="73"/>
      <c r="V742" s="73"/>
      <c r="W742" s="73"/>
      <c r="X742" s="73"/>
      <c r="Y742" s="73"/>
      <c r="Z742" s="73"/>
      <c r="AA742" s="73"/>
      <c r="AC742" s="73"/>
      <c r="AD742" s="73"/>
      <c r="AF742" s="73"/>
      <c r="AG742" s="143"/>
      <c r="AH742" s="143"/>
      <c r="AI742" s="143"/>
      <c r="AJ742" s="143"/>
      <c r="AK742" s="143"/>
      <c r="AL742" s="143"/>
      <c r="AM742" s="143"/>
      <c r="AN742" s="143"/>
      <c r="AO742" s="143"/>
      <c r="AP742" s="143"/>
      <c r="AQ742" s="143"/>
      <c r="AR742" s="143"/>
      <c r="AS742" s="143"/>
    </row>
    <row r="743" spans="1:45" ht="15" customHeight="1">
      <c r="A743" s="482" t="str">
        <f t="shared" si="68"/>
        <v>110j</v>
      </c>
      <c r="B743" s="21">
        <f t="shared" si="69"/>
        <v>-221.93035606179873</v>
      </c>
      <c r="C743" s="21">
        <f t="shared" si="65"/>
        <v>7.4547120043034294</v>
      </c>
      <c r="D743" s="794">
        <f t="shared" si="70"/>
        <v>229.38506806610215</v>
      </c>
      <c r="E743" s="21">
        <f>O335*input!BI22</f>
        <v>379.70896106468712</v>
      </c>
      <c r="F743" s="794" t="str">
        <f t="shared" si="71"/>
        <v>S</v>
      </c>
      <c r="G743" s="578" t="str">
        <f t="shared" si="72"/>
        <v>OK</v>
      </c>
      <c r="H743" s="21">
        <f t="shared" si="73"/>
        <v>224.41526006323321</v>
      </c>
      <c r="I743" s="21">
        <f t="shared" si="74"/>
        <v>363.72026906765205</v>
      </c>
      <c r="J743" s="578" t="str">
        <f t="shared" si="75"/>
        <v>OK</v>
      </c>
      <c r="K743" s="578">
        <f t="shared" si="76"/>
        <v>1.6207465970236028</v>
      </c>
      <c r="L743" s="21" t="str">
        <f t="shared" si="66"/>
        <v>-</v>
      </c>
      <c r="M743" s="21">
        <f t="shared" si="67"/>
        <v>379.70896106241338</v>
      </c>
      <c r="N743" s="578" t="str">
        <f t="shared" si="77"/>
        <v>-</v>
      </c>
      <c r="O743" s="607" t="str">
        <f t="shared" si="78"/>
        <v>-</v>
      </c>
      <c r="T743" s="73"/>
      <c r="U743" s="73"/>
      <c r="V743" s="73"/>
      <c r="W743" s="73"/>
      <c r="X743" s="73"/>
      <c r="Y743" s="73"/>
      <c r="Z743" s="73"/>
      <c r="AA743" s="73"/>
      <c r="AC743" s="73"/>
      <c r="AD743" s="73"/>
      <c r="AF743" s="73"/>
      <c r="AG743" s="143"/>
      <c r="AH743" s="143"/>
      <c r="AI743" s="143"/>
      <c r="AJ743" s="143"/>
      <c r="AK743" s="143"/>
      <c r="AL743" s="143"/>
      <c r="AM743" s="143"/>
      <c r="AN743" s="143"/>
      <c r="AO743" s="143"/>
      <c r="AP743" s="143"/>
      <c r="AQ743" s="143"/>
      <c r="AR743" s="143"/>
      <c r="AS743" s="143"/>
    </row>
    <row r="744" spans="1:45" ht="15" customHeight="1">
      <c r="A744" s="482" t="str">
        <f t="shared" si="68"/>
        <v>111i</v>
      </c>
      <c r="B744" s="21">
        <f t="shared" si="69"/>
        <v>-221.93071389382362</v>
      </c>
      <c r="C744" s="21">
        <f t="shared" si="65"/>
        <v>7.4547120043034294</v>
      </c>
      <c r="D744" s="794">
        <f t="shared" si="70"/>
        <v>229.38542589812704</v>
      </c>
      <c r="E744" s="21">
        <f>O336*input!BI23</f>
        <v>379.70896106468712</v>
      </c>
      <c r="F744" s="794" t="str">
        <f t="shared" si="71"/>
        <v>S</v>
      </c>
      <c r="G744" s="578" t="str">
        <f t="shared" si="72"/>
        <v>OK</v>
      </c>
      <c r="H744" s="21">
        <f t="shared" si="73"/>
        <v>224.41561789525809</v>
      </c>
      <c r="I744" s="21">
        <f t="shared" si="74"/>
        <v>363.72026906765205</v>
      </c>
      <c r="J744" s="578" t="str">
        <f t="shared" si="75"/>
        <v>OK</v>
      </c>
      <c r="K744" s="578">
        <f t="shared" si="76"/>
        <v>1.6207440127336052</v>
      </c>
      <c r="L744" s="21" t="str">
        <f t="shared" si="66"/>
        <v>-</v>
      </c>
      <c r="M744" s="21">
        <f t="shared" si="67"/>
        <v>379.70895878658649</v>
      </c>
      <c r="N744" s="578" t="str">
        <f t="shared" si="77"/>
        <v>-</v>
      </c>
      <c r="O744" s="607" t="str">
        <f t="shared" si="78"/>
        <v>-</v>
      </c>
      <c r="T744" s="73"/>
      <c r="U744" s="73"/>
      <c r="V744" s="73"/>
      <c r="W744" s="73"/>
      <c r="X744" s="73"/>
      <c r="Y744" s="73"/>
      <c r="Z744" s="73"/>
      <c r="AA744" s="73"/>
      <c r="AC744" s="73"/>
      <c r="AD744" s="73"/>
      <c r="AF744" s="73"/>
      <c r="AG744" s="143"/>
      <c r="AH744" s="143"/>
      <c r="AI744" s="143"/>
      <c r="AJ744" s="143"/>
      <c r="AK744" s="143"/>
      <c r="AL744" s="143"/>
      <c r="AM744" s="143"/>
      <c r="AN744" s="143"/>
      <c r="AO744" s="143"/>
      <c r="AP744" s="143"/>
      <c r="AQ744" s="143"/>
      <c r="AR744" s="143"/>
      <c r="AS744" s="143"/>
    </row>
    <row r="745" spans="1:45" ht="15" customHeight="1">
      <c r="A745" s="482" t="str">
        <f t="shared" si="68"/>
        <v>111j</v>
      </c>
      <c r="B745" s="21">
        <f t="shared" si="69"/>
        <v>-191.89322022815526</v>
      </c>
      <c r="C745" s="21">
        <f t="shared" si="65"/>
        <v>7.4547120043034294</v>
      </c>
      <c r="D745" s="794">
        <f t="shared" si="70"/>
        <v>199.34793223245867</v>
      </c>
      <c r="E745" s="21">
        <f>O337*input!BI24</f>
        <v>379.70896106468712</v>
      </c>
      <c r="F745" s="794" t="str">
        <f t="shared" si="71"/>
        <v>S</v>
      </c>
      <c r="G745" s="578" t="str">
        <f t="shared" si="72"/>
        <v>OK</v>
      </c>
      <c r="H745" s="21">
        <f t="shared" si="73"/>
        <v>194.37812422958973</v>
      </c>
      <c r="I745" s="21">
        <f t="shared" si="74"/>
        <v>363.72026906765205</v>
      </c>
      <c r="J745" s="578" t="str">
        <f t="shared" si="75"/>
        <v>OK</v>
      </c>
      <c r="K745" s="578">
        <f t="shared" si="76"/>
        <v>1.8711996039124437</v>
      </c>
      <c r="L745" s="21" t="str">
        <f t="shared" si="66"/>
        <v>-</v>
      </c>
      <c r="M745" s="21">
        <f t="shared" si="67"/>
        <v>379.7089598318077</v>
      </c>
      <c r="N745" s="578" t="str">
        <f t="shared" si="77"/>
        <v>-</v>
      </c>
      <c r="O745" s="607" t="str">
        <f t="shared" si="78"/>
        <v>-</v>
      </c>
      <c r="T745" s="73"/>
      <c r="U745" s="73"/>
      <c r="V745" s="73"/>
      <c r="W745" s="73"/>
      <c r="X745" s="73"/>
      <c r="Y745" s="73"/>
      <c r="Z745" s="73"/>
      <c r="AA745" s="73"/>
      <c r="AC745" s="73"/>
      <c r="AD745" s="73"/>
      <c r="AF745" s="73"/>
      <c r="AG745" s="143"/>
      <c r="AH745" s="143"/>
      <c r="AI745" s="143"/>
      <c r="AJ745" s="143"/>
      <c r="AK745" s="143"/>
      <c r="AL745" s="143"/>
      <c r="AM745" s="143"/>
      <c r="AN745" s="143"/>
      <c r="AO745" s="143"/>
      <c r="AP745" s="143"/>
      <c r="AQ745" s="143"/>
      <c r="AR745" s="143"/>
      <c r="AS745" s="143"/>
    </row>
    <row r="746" spans="1:45" ht="15" customHeight="1">
      <c r="A746" s="482" t="str">
        <f t="shared" si="68"/>
        <v>112i</v>
      </c>
      <c r="B746" s="21">
        <f t="shared" si="69"/>
        <v>-237.24872550950522</v>
      </c>
      <c r="C746" s="21">
        <f t="shared" si="65"/>
        <v>12.24455320734682</v>
      </c>
      <c r="D746" s="794">
        <f t="shared" si="70"/>
        <v>249.49327871685205</v>
      </c>
      <c r="E746" s="21">
        <f>O338*input!BI25</f>
        <v>379.62516376960559</v>
      </c>
      <c r="F746" s="794" t="str">
        <f t="shared" si="71"/>
        <v>S</v>
      </c>
      <c r="G746" s="578" t="str">
        <f t="shared" si="72"/>
        <v>OK</v>
      </c>
      <c r="H746" s="21">
        <f t="shared" si="73"/>
        <v>241.33024324528751</v>
      </c>
      <c r="I746" s="21">
        <f t="shared" si="74"/>
        <v>349.71448929599109</v>
      </c>
      <c r="J746" s="578" t="str">
        <f t="shared" si="75"/>
        <v>OK</v>
      </c>
      <c r="K746" s="578">
        <f t="shared" si="76"/>
        <v>1.4491117424538544</v>
      </c>
      <c r="L746" s="21" t="str">
        <f t="shared" si="66"/>
        <v>-</v>
      </c>
      <c r="M746" s="21">
        <f t="shared" si="67"/>
        <v>379.62516224141785</v>
      </c>
      <c r="N746" s="578" t="str">
        <f t="shared" si="77"/>
        <v>-</v>
      </c>
      <c r="O746" s="607" t="str">
        <f t="shared" si="78"/>
        <v>-</v>
      </c>
      <c r="T746" s="73"/>
      <c r="U746" s="73"/>
      <c r="V746" s="73"/>
      <c r="W746" s="73"/>
      <c r="X746" s="73"/>
      <c r="Y746" s="73"/>
      <c r="Z746" s="73"/>
      <c r="AA746" s="73"/>
      <c r="AC746" s="73"/>
      <c r="AD746" s="73"/>
      <c r="AF746" s="73"/>
      <c r="AG746" s="143"/>
      <c r="AH746" s="143"/>
      <c r="AI746" s="143"/>
      <c r="AJ746" s="143"/>
      <c r="AK746" s="143"/>
      <c r="AL746" s="143"/>
      <c r="AM746" s="143"/>
      <c r="AN746" s="143"/>
      <c r="AO746" s="143"/>
      <c r="AP746" s="143"/>
      <c r="AQ746" s="143"/>
      <c r="AR746" s="143"/>
      <c r="AS746" s="143"/>
    </row>
    <row r="747" spans="1:45" ht="15" customHeight="1">
      <c r="A747" s="482" t="str">
        <f t="shared" si="68"/>
        <v>112j</v>
      </c>
      <c r="B747" s="21">
        <f t="shared" si="69"/>
        <v>-187.61596722920439</v>
      </c>
      <c r="C747" s="21">
        <f t="shared" si="65"/>
        <v>11.693129484663265</v>
      </c>
      <c r="D747" s="794">
        <f t="shared" si="70"/>
        <v>199.30909671386766</v>
      </c>
      <c r="E747" s="21">
        <f>O339*input!BI26</f>
        <v>379.62516376960559</v>
      </c>
      <c r="F747" s="794" t="str">
        <f t="shared" si="71"/>
        <v>S</v>
      </c>
      <c r="G747" s="578" t="str">
        <f t="shared" si="72"/>
        <v>OK</v>
      </c>
      <c r="H747" s="21">
        <f t="shared" si="73"/>
        <v>191.51367705742547</v>
      </c>
      <c r="I747" s="21">
        <f t="shared" si="74"/>
        <v>349.71448929599109</v>
      </c>
      <c r="J747" s="578" t="str">
        <f t="shared" si="75"/>
        <v>OK</v>
      </c>
      <c r="K747" s="578">
        <f t="shared" si="76"/>
        <v>1.8260549046381112</v>
      </c>
      <c r="L747" s="21" t="str">
        <f t="shared" si="66"/>
        <v>-</v>
      </c>
      <c r="M747" s="21">
        <f t="shared" si="67"/>
        <v>379.62516314235631</v>
      </c>
      <c r="N747" s="578" t="str">
        <f t="shared" si="77"/>
        <v>-</v>
      </c>
      <c r="O747" s="607" t="str">
        <f t="shared" si="78"/>
        <v>-</v>
      </c>
      <c r="T747" s="73"/>
      <c r="U747" s="73"/>
      <c r="V747" s="73"/>
      <c r="W747" s="73"/>
      <c r="X747" s="73"/>
      <c r="Y747" s="73"/>
      <c r="Z747" s="73"/>
      <c r="AA747" s="73"/>
      <c r="AC747" s="73"/>
      <c r="AD747" s="73"/>
      <c r="AF747" s="73"/>
      <c r="AG747" s="143"/>
      <c r="AH747" s="143"/>
      <c r="AI747" s="143"/>
      <c r="AJ747" s="143"/>
      <c r="AK747" s="143"/>
      <c r="AL747" s="143"/>
      <c r="AM747" s="143"/>
      <c r="AN747" s="143"/>
      <c r="AO747" s="143"/>
      <c r="AP747" s="143"/>
      <c r="AQ747" s="143"/>
      <c r="AR747" s="143"/>
      <c r="AS747" s="143"/>
    </row>
    <row r="748" spans="1:45" ht="15" customHeight="1">
      <c r="A748" s="482" t="str">
        <f t="shared" si="68"/>
        <v>113i</v>
      </c>
      <c r="B748" s="21">
        <f t="shared" si="69"/>
        <v>-209.28930753896856</v>
      </c>
      <c r="C748" s="21">
        <f t="shared" si="65"/>
        <v>14.430050067984372</v>
      </c>
      <c r="D748" s="794">
        <f t="shared" si="70"/>
        <v>223.71935760695294</v>
      </c>
      <c r="E748" s="21">
        <f>O340*input!BI27</f>
        <v>379.55057740545942</v>
      </c>
      <c r="F748" s="794" t="str">
        <f t="shared" si="71"/>
        <v>S</v>
      </c>
      <c r="G748" s="578" t="str">
        <f t="shared" si="72"/>
        <v>OK</v>
      </c>
      <c r="H748" s="21">
        <f t="shared" si="73"/>
        <v>214.09932422829669</v>
      </c>
      <c r="I748" s="21">
        <f t="shared" si="74"/>
        <v>347.34602006108588</v>
      </c>
      <c r="J748" s="578" t="str">
        <f t="shared" si="75"/>
        <v>OK</v>
      </c>
      <c r="K748" s="578">
        <f t="shared" si="76"/>
        <v>1.6223592545799286</v>
      </c>
      <c r="L748" s="21" t="str">
        <f t="shared" si="66"/>
        <v>-</v>
      </c>
      <c r="M748" s="21">
        <f t="shared" si="67"/>
        <v>379.55057661542878</v>
      </c>
      <c r="N748" s="578" t="str">
        <f t="shared" si="77"/>
        <v>-</v>
      </c>
      <c r="O748" s="607" t="str">
        <f t="shared" si="78"/>
        <v>-</v>
      </c>
      <c r="T748" s="73"/>
      <c r="U748" s="73"/>
      <c r="V748" s="73"/>
      <c r="W748" s="73"/>
      <c r="X748" s="73"/>
      <c r="Y748" s="73"/>
      <c r="Z748" s="73"/>
      <c r="AA748" s="73"/>
      <c r="AC748" s="73"/>
      <c r="AD748" s="73"/>
      <c r="AF748" s="73"/>
      <c r="AG748" s="143"/>
      <c r="AH748" s="143"/>
      <c r="AI748" s="143"/>
      <c r="AJ748" s="143"/>
      <c r="AK748" s="143"/>
      <c r="AL748" s="143"/>
      <c r="AM748" s="143"/>
      <c r="AN748" s="143"/>
      <c r="AO748" s="143"/>
      <c r="AP748" s="143"/>
      <c r="AQ748" s="143"/>
      <c r="AR748" s="143"/>
      <c r="AS748" s="143"/>
    </row>
    <row r="749" spans="1:45" ht="15" customHeight="1">
      <c r="A749" s="482" t="str">
        <f t="shared" si="68"/>
        <v>113j</v>
      </c>
      <c r="B749" s="21">
        <f t="shared" si="69"/>
        <v>-135.67287699051366</v>
      </c>
      <c r="C749" s="21">
        <f t="shared" si="65"/>
        <v>13.970427256595917</v>
      </c>
      <c r="D749" s="794">
        <f t="shared" si="70"/>
        <v>149.64330424710957</v>
      </c>
      <c r="E749" s="21">
        <f>O341*input!BI28</f>
        <v>379.55057740545942</v>
      </c>
      <c r="F749" s="794" t="str">
        <f t="shared" si="71"/>
        <v>S</v>
      </c>
      <c r="G749" s="578" t="str">
        <f t="shared" si="72"/>
        <v>OK</v>
      </c>
      <c r="H749" s="21">
        <f t="shared" si="73"/>
        <v>140.32968607604562</v>
      </c>
      <c r="I749" s="21">
        <f t="shared" si="74"/>
        <v>347.34602006108588</v>
      </c>
      <c r="J749" s="578" t="str">
        <f t="shared" si="75"/>
        <v>OK</v>
      </c>
      <c r="K749" s="578">
        <f t="shared" si="76"/>
        <v>2.4752141173668463</v>
      </c>
      <c r="L749" s="21" t="str">
        <f t="shared" si="66"/>
        <v>-</v>
      </c>
      <c r="M749" s="21">
        <f t="shared" si="67"/>
        <v>379.55057727923952</v>
      </c>
      <c r="N749" s="578" t="str">
        <f t="shared" si="77"/>
        <v>-</v>
      </c>
      <c r="O749" s="607" t="str">
        <f t="shared" si="78"/>
        <v>-</v>
      </c>
      <c r="T749" s="73"/>
      <c r="U749" s="73"/>
      <c r="V749" s="73"/>
      <c r="W749" s="73"/>
      <c r="X749" s="73"/>
      <c r="Y749" s="73"/>
      <c r="Z749" s="73"/>
      <c r="AA749" s="73"/>
      <c r="AC749" s="73"/>
      <c r="AD749" s="73"/>
      <c r="AF749" s="73"/>
      <c r="AG749" s="143"/>
      <c r="AH749" s="143"/>
      <c r="AI749" s="143"/>
      <c r="AJ749" s="143"/>
      <c r="AK749" s="143"/>
      <c r="AL749" s="143"/>
      <c r="AM749" s="143"/>
      <c r="AN749" s="143"/>
      <c r="AO749" s="143"/>
      <c r="AP749" s="143"/>
      <c r="AQ749" s="143"/>
      <c r="AR749" s="143"/>
      <c r="AS749" s="143"/>
    </row>
    <row r="750" spans="1:45" ht="15" customHeight="1">
      <c r="A750" s="482" t="str">
        <f t="shared" si="68"/>
        <v>114i</v>
      </c>
      <c r="B750" s="21">
        <f t="shared" si="69"/>
        <v>-135.67327179871401</v>
      </c>
      <c r="C750" s="21">
        <f t="shared" si="65"/>
        <v>13.970427256595917</v>
      </c>
      <c r="D750" s="794">
        <f t="shared" si="70"/>
        <v>149.64369905530992</v>
      </c>
      <c r="E750" s="21">
        <f>O342*input!BI29</f>
        <v>379.55057740545942</v>
      </c>
      <c r="F750" s="794" t="str">
        <f t="shared" si="71"/>
        <v>S</v>
      </c>
      <c r="G750" s="578" t="str">
        <f t="shared" si="72"/>
        <v>OK</v>
      </c>
      <c r="H750" s="21">
        <f t="shared" si="73"/>
        <v>140.33008088424597</v>
      </c>
      <c r="I750" s="21">
        <f t="shared" si="74"/>
        <v>347.34602006108588</v>
      </c>
      <c r="J750" s="578" t="str">
        <f t="shared" si="75"/>
        <v>OK</v>
      </c>
      <c r="K750" s="578">
        <f t="shared" si="76"/>
        <v>2.4752071535368176</v>
      </c>
      <c r="L750" s="21" t="str">
        <f t="shared" si="66"/>
        <v>-</v>
      </c>
      <c r="M750" s="21">
        <f t="shared" si="67"/>
        <v>379.55057727923952</v>
      </c>
      <c r="N750" s="578" t="str">
        <f t="shared" si="77"/>
        <v>-</v>
      </c>
      <c r="O750" s="607" t="str">
        <f t="shared" si="78"/>
        <v>-</v>
      </c>
      <c r="T750" s="73"/>
      <c r="U750" s="73"/>
      <c r="V750" s="73"/>
      <c r="W750" s="73"/>
      <c r="X750" s="73"/>
      <c r="Y750" s="73"/>
      <c r="Z750" s="73"/>
      <c r="AA750" s="73"/>
      <c r="AC750" s="73"/>
      <c r="AD750" s="73"/>
      <c r="AF750" s="73"/>
      <c r="AG750" s="143"/>
      <c r="AH750" s="143"/>
      <c r="AI750" s="14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</row>
    <row r="751" spans="1:45" ht="15" customHeight="1">
      <c r="A751" s="482" t="str">
        <f t="shared" si="68"/>
        <v>114j</v>
      </c>
      <c r="B751" s="21">
        <f t="shared" si="69"/>
        <v>-48.667019837267347</v>
      </c>
      <c r="C751" s="21">
        <f t="shared" si="65"/>
        <v>13.970427256595917</v>
      </c>
      <c r="D751" s="794">
        <f t="shared" si="70"/>
        <v>62.637447093863265</v>
      </c>
      <c r="E751" s="21">
        <f>O343*input!BI30</f>
        <v>379.55057740545942</v>
      </c>
      <c r="F751" s="794" t="str">
        <f t="shared" si="71"/>
        <v>S</v>
      </c>
      <c r="G751" s="578" t="str">
        <f t="shared" si="72"/>
        <v>OK</v>
      </c>
      <c r="H751" s="21">
        <f t="shared" si="73"/>
        <v>53.323828922799322</v>
      </c>
      <c r="I751" s="21">
        <f t="shared" si="74"/>
        <v>347.34602006108588</v>
      </c>
      <c r="J751" s="578" t="str">
        <f t="shared" si="75"/>
        <v>OK</v>
      </c>
      <c r="K751" s="578">
        <f t="shared" si="76"/>
        <v>6.5138987030350588</v>
      </c>
      <c r="L751" s="21" t="str">
        <f t="shared" si="66"/>
        <v>-</v>
      </c>
      <c r="M751" s="21">
        <f t="shared" si="67"/>
        <v>379.55057737367287</v>
      </c>
      <c r="N751" s="578" t="str">
        <f t="shared" si="77"/>
        <v>-</v>
      </c>
      <c r="O751" s="607" t="str">
        <f t="shared" si="78"/>
        <v>-</v>
      </c>
      <c r="T751" s="73"/>
      <c r="U751" s="73"/>
      <c r="V751" s="73"/>
      <c r="W751" s="73"/>
      <c r="X751" s="73"/>
      <c r="Y751" s="73"/>
      <c r="Z751" s="73"/>
      <c r="AA751" s="73"/>
      <c r="AC751" s="73"/>
      <c r="AD751" s="73"/>
      <c r="AF751" s="73"/>
      <c r="AG751" s="143"/>
      <c r="AH751" s="143"/>
      <c r="AI751" s="14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</row>
    <row r="752" spans="1:45" ht="15" customHeight="1">
      <c r="A752" s="482" t="str">
        <f t="shared" si="68"/>
        <v>115i</v>
      </c>
      <c r="B752" s="21">
        <f t="shared" si="69"/>
        <v>-61.587966040607078</v>
      </c>
      <c r="C752" s="21">
        <f t="shared" si="65"/>
        <v>18.560515151039887</v>
      </c>
      <c r="D752" s="794">
        <f t="shared" si="70"/>
        <v>80.148481191646965</v>
      </c>
      <c r="E752" s="21">
        <f>O344*input!BI31</f>
        <v>379.4583249094602</v>
      </c>
      <c r="F752" s="794" t="str">
        <f t="shared" si="71"/>
        <v>S</v>
      </c>
      <c r="G752" s="578" t="str">
        <f t="shared" si="72"/>
        <v>OK</v>
      </c>
      <c r="H752" s="21">
        <f t="shared" si="73"/>
        <v>67.774804424287041</v>
      </c>
      <c r="I752" s="21">
        <f t="shared" si="74"/>
        <v>338.9137360414407</v>
      </c>
      <c r="J752" s="578" t="str">
        <f t="shared" si="75"/>
        <v>OK</v>
      </c>
      <c r="K752" s="578">
        <f t="shared" si="76"/>
        <v>5.000585968788001</v>
      </c>
      <c r="L752" s="21" t="str">
        <f t="shared" si="66"/>
        <v>-</v>
      </c>
      <c r="M752" s="21">
        <f t="shared" si="67"/>
        <v>379.45832468998418</v>
      </c>
      <c r="N752" s="578" t="str">
        <f t="shared" si="77"/>
        <v>-</v>
      </c>
      <c r="O752" s="607" t="str">
        <f t="shared" si="78"/>
        <v>-</v>
      </c>
      <c r="T752" s="73"/>
      <c r="U752" s="73"/>
      <c r="V752" s="73"/>
      <c r="W752" s="73"/>
      <c r="X752" s="73"/>
      <c r="Y752" s="73"/>
      <c r="Z752" s="73"/>
      <c r="AA752" s="73"/>
      <c r="AC752" s="73"/>
      <c r="AD752" s="73"/>
      <c r="AF752" s="73"/>
      <c r="AG752" s="143"/>
      <c r="AH752" s="143"/>
      <c r="AI752" s="14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</row>
    <row r="753" spans="1:45" ht="15" customHeight="1">
      <c r="A753" s="482" t="str">
        <f t="shared" si="68"/>
        <v>115j</v>
      </c>
      <c r="B753" s="21">
        <f t="shared" si="69"/>
        <v>71.060453080146601</v>
      </c>
      <c r="C753" s="21">
        <f t="shared" si="65"/>
        <v>18.560515151039887</v>
      </c>
      <c r="D753" s="794" t="str">
        <f t="shared" si="70"/>
        <v>-</v>
      </c>
      <c r="E753" s="21">
        <f>O345*input!BI32</f>
        <v>379.4583249094602</v>
      </c>
      <c r="F753" s="794" t="str">
        <f t="shared" si="71"/>
        <v>S</v>
      </c>
      <c r="G753" s="578" t="str">
        <f t="shared" si="72"/>
        <v>-</v>
      </c>
      <c r="H753" s="21" t="str">
        <f t="shared" si="73"/>
        <v>-</v>
      </c>
      <c r="I753" s="21">
        <f t="shared" si="74"/>
        <v>298.37144551910745</v>
      </c>
      <c r="J753" s="578" t="str">
        <f t="shared" si="75"/>
        <v>-</v>
      </c>
      <c r="K753" s="578" t="str">
        <f t="shared" si="76"/>
        <v>-</v>
      </c>
      <c r="L753" s="21">
        <f t="shared" si="66"/>
        <v>89.620968231186481</v>
      </c>
      <c r="M753" s="21">
        <f t="shared" si="67"/>
        <v>379.4583249094602</v>
      </c>
      <c r="N753" s="578" t="str">
        <f t="shared" si="77"/>
        <v>OK</v>
      </c>
      <c r="O753" s="607">
        <f t="shared" si="78"/>
        <v>4.2340350969050959</v>
      </c>
      <c r="T753" s="73"/>
      <c r="U753" s="73"/>
      <c r="V753" s="73"/>
      <c r="W753" s="73"/>
      <c r="X753" s="73"/>
      <c r="Y753" s="73"/>
      <c r="Z753" s="73"/>
      <c r="AA753" s="73"/>
      <c r="AC753" s="73"/>
      <c r="AD753" s="73"/>
      <c r="AF753" s="73"/>
      <c r="AG753" s="143"/>
      <c r="AH753" s="143"/>
      <c r="AI753" s="14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</row>
    <row r="754" spans="1:45" ht="15" customHeight="1">
      <c r="A754" s="482" t="str">
        <f t="shared" si="68"/>
        <v>116i</v>
      </c>
      <c r="B754" s="21">
        <f t="shared" si="69"/>
        <v>56.226483276901263</v>
      </c>
      <c r="C754" s="21">
        <f t="shared" si="65"/>
        <v>11.052509463353175</v>
      </c>
      <c r="D754" s="794" t="str">
        <f t="shared" si="70"/>
        <v>-</v>
      </c>
      <c r="E754" s="21">
        <f>O346*input!BI33</f>
        <v>379.59020989073042</v>
      </c>
      <c r="F754" s="794" t="str">
        <f t="shared" si="71"/>
        <v>S</v>
      </c>
      <c r="G754" s="578" t="str">
        <f t="shared" si="72"/>
        <v>-</v>
      </c>
      <c r="H754" s="21" t="str">
        <f t="shared" si="73"/>
        <v>-</v>
      </c>
      <c r="I754" s="21">
        <f t="shared" si="74"/>
        <v>324.98101888696596</v>
      </c>
      <c r="J754" s="578" t="str">
        <f t="shared" si="75"/>
        <v>-</v>
      </c>
      <c r="K754" s="578" t="str">
        <f t="shared" si="76"/>
        <v>-</v>
      </c>
      <c r="L754" s="21">
        <f t="shared" si="66"/>
        <v>67.278992740254438</v>
      </c>
      <c r="M754" s="21">
        <f t="shared" si="67"/>
        <v>379.59020989073042</v>
      </c>
      <c r="N754" s="578" t="str">
        <f t="shared" si="77"/>
        <v>OK</v>
      </c>
      <c r="O754" s="607">
        <f t="shared" si="78"/>
        <v>5.6420317015776842</v>
      </c>
      <c r="T754" s="73"/>
      <c r="U754" s="73"/>
      <c r="V754" s="73"/>
      <c r="W754" s="73"/>
      <c r="X754" s="73"/>
      <c r="Y754" s="73"/>
      <c r="Z754" s="73"/>
      <c r="AA754" s="73"/>
      <c r="AC754" s="73"/>
      <c r="AD754" s="73"/>
      <c r="AF754" s="73"/>
      <c r="AG754" s="143"/>
      <c r="AH754" s="143"/>
      <c r="AI754" s="14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</row>
    <row r="755" spans="1:45" ht="15" customHeight="1">
      <c r="A755" s="482" t="str">
        <f t="shared" si="68"/>
        <v>116j</v>
      </c>
      <c r="B755" s="21">
        <f t="shared" si="69"/>
        <v>173.91449085073006</v>
      </c>
      <c r="C755" s="21">
        <f t="shared" si="65"/>
        <v>11.052509463353175</v>
      </c>
      <c r="D755" s="794" t="str">
        <f t="shared" si="70"/>
        <v>-</v>
      </c>
      <c r="E755" s="21">
        <f>O347*input!BI34</f>
        <v>379.59020989073042</v>
      </c>
      <c r="F755" s="794" t="str">
        <f t="shared" si="71"/>
        <v>S</v>
      </c>
      <c r="G755" s="578" t="str">
        <f t="shared" si="72"/>
        <v>-</v>
      </c>
      <c r="H755" s="21" t="str">
        <f t="shared" si="73"/>
        <v>-</v>
      </c>
      <c r="I755" s="21">
        <f t="shared" si="74"/>
        <v>324.98101269978332</v>
      </c>
      <c r="J755" s="578" t="str">
        <f t="shared" si="75"/>
        <v>-</v>
      </c>
      <c r="K755" s="578" t="str">
        <f t="shared" si="76"/>
        <v>-</v>
      </c>
      <c r="L755" s="21">
        <f t="shared" si="66"/>
        <v>184.96700031408324</v>
      </c>
      <c r="M755" s="21">
        <f t="shared" si="67"/>
        <v>379.59020989073042</v>
      </c>
      <c r="N755" s="578" t="str">
        <f t="shared" si="77"/>
        <v>OK</v>
      </c>
      <c r="O755" s="607">
        <f t="shared" si="78"/>
        <v>2.0522050379049626</v>
      </c>
      <c r="T755" s="73"/>
      <c r="U755" s="73"/>
      <c r="V755" s="73"/>
      <c r="W755" s="73"/>
      <c r="X755" s="73"/>
      <c r="Y755" s="73"/>
      <c r="Z755" s="73"/>
      <c r="AA755" s="73"/>
      <c r="AC755" s="73"/>
      <c r="AD755" s="73"/>
      <c r="AF755" s="73"/>
      <c r="AG755" s="143"/>
      <c r="AH755" s="143"/>
      <c r="AI755" s="14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</row>
    <row r="756" spans="1:45" ht="15" customHeight="1">
      <c r="A756" s="482" t="str">
        <f t="shared" si="68"/>
        <v>117i</v>
      </c>
      <c r="B756" s="21">
        <f t="shared" si="69"/>
        <v>105.59054156003751</v>
      </c>
      <c r="C756" s="21">
        <f t="shared" ref="C756:C785" si="79">ABS(K193)</f>
        <v>5.1913526639174741</v>
      </c>
      <c r="D756" s="794" t="str">
        <f t="shared" si="70"/>
        <v>-</v>
      </c>
      <c r="E756" s="21">
        <f>O348*input!BI35</f>
        <v>379.71457390181416</v>
      </c>
      <c r="F756" s="794" t="str">
        <f t="shared" si="71"/>
        <v>S</v>
      </c>
      <c r="G756" s="578" t="str">
        <f t="shared" si="72"/>
        <v>-</v>
      </c>
      <c r="H756" s="21" t="str">
        <f t="shared" si="73"/>
        <v>-</v>
      </c>
      <c r="I756" s="21">
        <f t="shared" si="74"/>
        <v>340.67449212811795</v>
      </c>
      <c r="J756" s="578" t="str">
        <f t="shared" si="75"/>
        <v>-</v>
      </c>
      <c r="K756" s="578" t="str">
        <f t="shared" si="76"/>
        <v>-</v>
      </c>
      <c r="L756" s="21">
        <f t="shared" ref="L756:L785" si="80">IF(B756&gt;=0,B756+C756,"-")</f>
        <v>110.78189422395498</v>
      </c>
      <c r="M756" s="21">
        <f t="shared" ref="M756:M785" si="81">K681</f>
        <v>379.71457390181416</v>
      </c>
      <c r="N756" s="578" t="str">
        <f t="shared" si="77"/>
        <v>OK</v>
      </c>
      <c r="O756" s="607">
        <f t="shared" si="78"/>
        <v>3.4275869406438293</v>
      </c>
      <c r="T756" s="73"/>
      <c r="U756" s="73"/>
      <c r="V756" s="73"/>
      <c r="W756" s="73"/>
      <c r="X756" s="73"/>
      <c r="Y756" s="73"/>
      <c r="Z756" s="73"/>
      <c r="AA756" s="73"/>
      <c r="AC756" s="73"/>
      <c r="AD756" s="73"/>
      <c r="AF756" s="73"/>
      <c r="AG756" s="143"/>
      <c r="AH756" s="143"/>
      <c r="AI756" s="14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</row>
    <row r="757" spans="1:45" ht="15" customHeight="1">
      <c r="A757" s="482" t="str">
        <f t="shared" si="68"/>
        <v>117j</v>
      </c>
      <c r="B757" s="21">
        <f t="shared" si="69"/>
        <v>190.11897531074629</v>
      </c>
      <c r="C757" s="21">
        <f t="shared" si="79"/>
        <v>5.1913526639174741</v>
      </c>
      <c r="D757" s="794" t="str">
        <f t="shared" si="70"/>
        <v>-</v>
      </c>
      <c r="E757" s="21">
        <f>O349*input!BI36</f>
        <v>379.71457390181416</v>
      </c>
      <c r="F757" s="794" t="str">
        <f t="shared" si="71"/>
        <v>S</v>
      </c>
      <c r="G757" s="578" t="str">
        <f t="shared" si="72"/>
        <v>-</v>
      </c>
      <c r="H757" s="21" t="str">
        <f t="shared" si="73"/>
        <v>-</v>
      </c>
      <c r="I757" s="21">
        <f t="shared" si="74"/>
        <v>340.67446327583895</v>
      </c>
      <c r="J757" s="578" t="str">
        <f t="shared" si="75"/>
        <v>-</v>
      </c>
      <c r="K757" s="578" t="str">
        <f t="shared" si="76"/>
        <v>-</v>
      </c>
      <c r="L757" s="21">
        <f t="shared" si="80"/>
        <v>195.31032797466378</v>
      </c>
      <c r="M757" s="21">
        <f t="shared" si="81"/>
        <v>379.71457390181416</v>
      </c>
      <c r="N757" s="578" t="str">
        <f t="shared" si="77"/>
        <v>OK</v>
      </c>
      <c r="O757" s="607">
        <f t="shared" si="78"/>
        <v>1.9441602389356074</v>
      </c>
      <c r="T757" s="73"/>
      <c r="U757" s="73"/>
      <c r="V757" s="73"/>
      <c r="W757" s="73"/>
      <c r="X757" s="73"/>
      <c r="Y757" s="73"/>
      <c r="Z757" s="73"/>
      <c r="AA757" s="73"/>
      <c r="AC757" s="73"/>
      <c r="AD757" s="73"/>
      <c r="AF757" s="73"/>
      <c r="AG757" s="143"/>
      <c r="AH757" s="143"/>
      <c r="AI757" s="14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</row>
    <row r="758" spans="1:45" ht="15" customHeight="1">
      <c r="A758" s="482" t="str">
        <f t="shared" si="68"/>
        <v>118i</v>
      </c>
      <c r="B758" s="21">
        <f t="shared" si="69"/>
        <v>101.41676271675635</v>
      </c>
      <c r="C758" s="21">
        <f t="shared" si="79"/>
        <v>0</v>
      </c>
      <c r="D758" s="794" t="str">
        <f t="shared" si="70"/>
        <v>-</v>
      </c>
      <c r="E758" s="21">
        <f>O350*input!BI37</f>
        <v>379.83589662126923</v>
      </c>
      <c r="F758" s="794" t="str">
        <f t="shared" si="71"/>
        <v>S</v>
      </c>
      <c r="G758" s="578" t="str">
        <f t="shared" si="72"/>
        <v>-</v>
      </c>
      <c r="H758" s="21" t="str">
        <f t="shared" si="73"/>
        <v>-</v>
      </c>
      <c r="I758" s="21">
        <f t="shared" si="74"/>
        <v>350.72544548365823</v>
      </c>
      <c r="J758" s="578" t="str">
        <f t="shared" si="75"/>
        <v>-</v>
      </c>
      <c r="K758" s="578" t="str">
        <f t="shared" si="76"/>
        <v>-</v>
      </c>
      <c r="L758" s="21">
        <f t="shared" si="80"/>
        <v>101.41676271675635</v>
      </c>
      <c r="M758" s="21">
        <f t="shared" si="81"/>
        <v>379.835847042029</v>
      </c>
      <c r="N758" s="578" t="str">
        <f t="shared" si="77"/>
        <v>OK</v>
      </c>
      <c r="O758" s="607">
        <f t="shared" si="78"/>
        <v>3.745296505892822</v>
      </c>
      <c r="T758" s="73"/>
      <c r="U758" s="73"/>
      <c r="V758" s="73"/>
      <c r="W758" s="73"/>
      <c r="X758" s="73"/>
      <c r="Y758" s="73"/>
      <c r="Z758" s="73"/>
      <c r="AA758" s="73"/>
      <c r="AC758" s="73"/>
      <c r="AD758" s="73"/>
      <c r="AF758" s="73"/>
      <c r="AG758" s="143"/>
      <c r="AH758" s="143"/>
      <c r="AI758" s="14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</row>
    <row r="759" spans="1:45" ht="15" customHeight="1">
      <c r="A759" s="482" t="str">
        <f t="shared" si="68"/>
        <v>118j</v>
      </c>
      <c r="B759" s="21">
        <f t="shared" si="69"/>
        <v>136.77731617845615</v>
      </c>
      <c r="C759" s="21">
        <f t="shared" si="79"/>
        <v>0</v>
      </c>
      <c r="D759" s="794" t="str">
        <f t="shared" si="70"/>
        <v>-</v>
      </c>
      <c r="E759" s="21">
        <f>O351*input!BI38</f>
        <v>379.83589662126923</v>
      </c>
      <c r="F759" s="794" t="str">
        <f t="shared" si="71"/>
        <v>S</v>
      </c>
      <c r="G759" s="578" t="str">
        <f t="shared" si="72"/>
        <v>-</v>
      </c>
      <c r="H759" s="21" t="str">
        <f t="shared" si="73"/>
        <v>-</v>
      </c>
      <c r="I759" s="21">
        <f t="shared" si="74"/>
        <v>350.72542803080961</v>
      </c>
      <c r="J759" s="578" t="str">
        <f t="shared" si="75"/>
        <v>-</v>
      </c>
      <c r="K759" s="578" t="str">
        <f t="shared" si="76"/>
        <v>-</v>
      </c>
      <c r="L759" s="21">
        <f t="shared" si="80"/>
        <v>136.77731617845615</v>
      </c>
      <c r="M759" s="21">
        <f t="shared" si="81"/>
        <v>379.8358420874851</v>
      </c>
      <c r="N759" s="578" t="str">
        <f t="shared" si="77"/>
        <v>OK</v>
      </c>
      <c r="O759" s="607">
        <f t="shared" si="78"/>
        <v>2.7770382743283655</v>
      </c>
      <c r="T759" s="73"/>
      <c r="U759" s="73"/>
      <c r="V759" s="73"/>
      <c r="W759" s="73"/>
      <c r="X759" s="73"/>
      <c r="Y759" s="73"/>
      <c r="Z759" s="73"/>
      <c r="AA759" s="73"/>
      <c r="AC759" s="73"/>
      <c r="AD759" s="73"/>
      <c r="AF759" s="73"/>
      <c r="AG759" s="143"/>
      <c r="AH759" s="143"/>
      <c r="AI759" s="14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</row>
    <row r="760" spans="1:45" ht="15" customHeight="1">
      <c r="A760" s="482" t="str">
        <f t="shared" si="68"/>
        <v>119i</v>
      </c>
      <c r="B760" s="21">
        <f t="shared" si="69"/>
        <v>132.53453097774104</v>
      </c>
      <c r="C760" s="21">
        <f t="shared" si="79"/>
        <v>0</v>
      </c>
      <c r="D760" s="794" t="str">
        <f t="shared" si="70"/>
        <v>-</v>
      </c>
      <c r="E760" s="21">
        <f>O352*input!BI39</f>
        <v>379.82766143697751</v>
      </c>
      <c r="F760" s="794" t="str">
        <f t="shared" si="71"/>
        <v>S</v>
      </c>
      <c r="G760" s="578" t="str">
        <f t="shared" si="72"/>
        <v>-</v>
      </c>
      <c r="H760" s="21" t="str">
        <f t="shared" si="73"/>
        <v>-</v>
      </c>
      <c r="I760" s="21">
        <f t="shared" si="74"/>
        <v>353.24610970464153</v>
      </c>
      <c r="J760" s="578" t="str">
        <f t="shared" si="75"/>
        <v>-</v>
      </c>
      <c r="K760" s="578" t="str">
        <f t="shared" si="76"/>
        <v>-</v>
      </c>
      <c r="L760" s="21">
        <f t="shared" si="80"/>
        <v>132.53453097774104</v>
      </c>
      <c r="M760" s="21">
        <f t="shared" si="81"/>
        <v>379.82760950803396</v>
      </c>
      <c r="N760" s="578" t="str">
        <f t="shared" si="77"/>
        <v>OK</v>
      </c>
      <c r="O760" s="607">
        <f t="shared" si="78"/>
        <v>2.8658765885837361</v>
      </c>
      <c r="T760" s="73"/>
      <c r="U760" s="73"/>
      <c r="V760" s="73"/>
      <c r="W760" s="73"/>
      <c r="X760" s="73"/>
      <c r="Y760" s="73"/>
      <c r="Z760" s="73"/>
      <c r="AA760" s="73"/>
      <c r="AC760" s="73"/>
      <c r="AD760" s="73"/>
      <c r="AF760" s="73"/>
      <c r="AG760" s="143"/>
      <c r="AH760" s="143"/>
      <c r="AI760" s="14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</row>
    <row r="761" spans="1:45" ht="15" customHeight="1">
      <c r="A761" s="482" t="str">
        <f t="shared" si="68"/>
        <v>119j</v>
      </c>
      <c r="B761" s="21">
        <f t="shared" si="69"/>
        <v>148.26948555692721</v>
      </c>
      <c r="C761" s="21">
        <f t="shared" si="79"/>
        <v>0</v>
      </c>
      <c r="D761" s="794" t="str">
        <f t="shared" si="70"/>
        <v>-</v>
      </c>
      <c r="E761" s="21">
        <f>O353*input!BI40</f>
        <v>379.82766143697751</v>
      </c>
      <c r="F761" s="794" t="str">
        <f t="shared" si="71"/>
        <v>S</v>
      </c>
      <c r="G761" s="578" t="str">
        <f t="shared" si="72"/>
        <v>-</v>
      </c>
      <c r="H761" s="21" t="str">
        <f t="shared" si="73"/>
        <v>-</v>
      </c>
      <c r="I761" s="21">
        <f t="shared" si="74"/>
        <v>353.24610228556156</v>
      </c>
      <c r="J761" s="578" t="str">
        <f t="shared" si="75"/>
        <v>-</v>
      </c>
      <c r="K761" s="578" t="str">
        <f t="shared" si="76"/>
        <v>-</v>
      </c>
      <c r="L761" s="21">
        <f t="shared" si="80"/>
        <v>148.26948555692721</v>
      </c>
      <c r="M761" s="21">
        <f t="shared" si="81"/>
        <v>379.82760741731425</v>
      </c>
      <c r="N761" s="578" t="str">
        <f t="shared" si="77"/>
        <v>OK</v>
      </c>
      <c r="O761" s="607">
        <f t="shared" si="78"/>
        <v>2.561738215996451</v>
      </c>
      <c r="T761" s="73"/>
      <c r="U761" s="73"/>
      <c r="V761" s="73"/>
      <c r="W761" s="73"/>
      <c r="X761" s="73"/>
      <c r="Y761" s="73"/>
      <c r="Z761" s="73"/>
      <c r="AA761" s="73"/>
      <c r="AC761" s="73"/>
      <c r="AD761" s="73"/>
      <c r="AF761" s="73"/>
      <c r="AG761" s="143"/>
      <c r="AH761" s="143"/>
      <c r="AI761" s="14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</row>
    <row r="762" spans="1:45" ht="15" customHeight="1">
      <c r="A762" s="482" t="str">
        <f t="shared" si="68"/>
        <v>120i</v>
      </c>
      <c r="B762" s="21">
        <f t="shared" si="69"/>
        <v>148.26960795280615</v>
      </c>
      <c r="C762" s="21">
        <f t="shared" si="79"/>
        <v>0</v>
      </c>
      <c r="D762" s="794" t="str">
        <f t="shared" si="70"/>
        <v>-</v>
      </c>
      <c r="E762" s="21">
        <f>O354*input!BI41</f>
        <v>379.82766143697751</v>
      </c>
      <c r="F762" s="794" t="str">
        <f t="shared" si="71"/>
        <v>S</v>
      </c>
      <c r="G762" s="578" t="str">
        <f t="shared" si="72"/>
        <v>-</v>
      </c>
      <c r="H762" s="21" t="str">
        <f t="shared" si="73"/>
        <v>-</v>
      </c>
      <c r="I762" s="21">
        <f t="shared" si="74"/>
        <v>353.2461292815774</v>
      </c>
      <c r="J762" s="578" t="str">
        <f t="shared" si="75"/>
        <v>-</v>
      </c>
      <c r="K762" s="578" t="str">
        <f t="shared" si="76"/>
        <v>-</v>
      </c>
      <c r="L762" s="21">
        <f t="shared" si="80"/>
        <v>148.26960795280615</v>
      </c>
      <c r="M762" s="21">
        <f t="shared" si="81"/>
        <v>379.82761502487523</v>
      </c>
      <c r="N762" s="578" t="str">
        <f t="shared" si="77"/>
        <v>OK</v>
      </c>
      <c r="O762" s="607">
        <f t="shared" si="78"/>
        <v>2.561736152602315</v>
      </c>
      <c r="T762" s="73"/>
      <c r="U762" s="73"/>
      <c r="V762" s="73"/>
      <c r="W762" s="73"/>
      <c r="X762" s="73"/>
      <c r="Y762" s="73"/>
      <c r="Z762" s="73"/>
      <c r="AA762" s="73"/>
      <c r="AC762" s="73"/>
      <c r="AD762" s="73"/>
      <c r="AF762" s="73"/>
      <c r="AG762" s="143"/>
      <c r="AH762" s="143"/>
      <c r="AI762" s="14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</row>
    <row r="763" spans="1:45" ht="15" customHeight="1">
      <c r="A763" s="482" t="str">
        <f t="shared" si="68"/>
        <v>120j</v>
      </c>
      <c r="B763" s="21">
        <f t="shared" si="69"/>
        <v>135.88633655415651</v>
      </c>
      <c r="C763" s="21">
        <f t="shared" si="79"/>
        <v>0</v>
      </c>
      <c r="D763" s="794" t="str">
        <f t="shared" si="70"/>
        <v>-</v>
      </c>
      <c r="E763" s="21">
        <f>O355*input!BI42</f>
        <v>379.82766143697751</v>
      </c>
      <c r="F763" s="794" t="str">
        <f t="shared" si="71"/>
        <v>S</v>
      </c>
      <c r="G763" s="578" t="str">
        <f t="shared" si="72"/>
        <v>-</v>
      </c>
      <c r="H763" s="21" t="str">
        <f t="shared" si="73"/>
        <v>-</v>
      </c>
      <c r="I763" s="21">
        <f t="shared" si="74"/>
        <v>353.24613615307965</v>
      </c>
      <c r="J763" s="578" t="str">
        <f t="shared" si="75"/>
        <v>-</v>
      </c>
      <c r="K763" s="578" t="str">
        <f t="shared" si="76"/>
        <v>-</v>
      </c>
      <c r="L763" s="21">
        <f t="shared" si="80"/>
        <v>135.88633655415651</v>
      </c>
      <c r="M763" s="21">
        <f t="shared" si="81"/>
        <v>379.82761696128586</v>
      </c>
      <c r="N763" s="578" t="str">
        <f t="shared" si="77"/>
        <v>OK</v>
      </c>
      <c r="O763" s="607">
        <f t="shared" si="78"/>
        <v>2.7951862313243563</v>
      </c>
      <c r="T763" s="73"/>
      <c r="U763" s="73"/>
      <c r="V763" s="73"/>
      <c r="W763" s="73"/>
      <c r="X763" s="73"/>
      <c r="Y763" s="73"/>
      <c r="Z763" s="73"/>
      <c r="AA763" s="73"/>
      <c r="AC763" s="73"/>
      <c r="AD763" s="73"/>
      <c r="AF763" s="73"/>
      <c r="AG763" s="143"/>
      <c r="AH763" s="143"/>
      <c r="AI763" s="14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</row>
    <row r="764" spans="1:45" ht="15" customHeight="1">
      <c r="A764" s="482" t="str">
        <f t="shared" si="68"/>
        <v>121i</v>
      </c>
      <c r="B764" s="21">
        <f t="shared" si="69"/>
        <v>140.23644996885517</v>
      </c>
      <c r="C764" s="21">
        <f t="shared" si="79"/>
        <v>0</v>
      </c>
      <c r="D764" s="794" t="str">
        <f t="shared" si="70"/>
        <v>-</v>
      </c>
      <c r="E764" s="21">
        <f>O356*input!BI43</f>
        <v>379.83589662126923</v>
      </c>
      <c r="F764" s="794" t="str">
        <f t="shared" si="71"/>
        <v>S</v>
      </c>
      <c r="G764" s="578" t="str">
        <f t="shared" si="72"/>
        <v>-</v>
      </c>
      <c r="H764" s="21" t="str">
        <f t="shared" si="73"/>
        <v>-</v>
      </c>
      <c r="I764" s="21">
        <f t="shared" si="74"/>
        <v>350.72545560257589</v>
      </c>
      <c r="J764" s="578" t="str">
        <f t="shared" si="75"/>
        <v>-</v>
      </c>
      <c r="K764" s="578" t="str">
        <f t="shared" si="76"/>
        <v>-</v>
      </c>
      <c r="L764" s="21">
        <f t="shared" si="80"/>
        <v>140.23644996885517</v>
      </c>
      <c r="M764" s="21">
        <f t="shared" si="81"/>
        <v>379.8358499146043</v>
      </c>
      <c r="N764" s="578" t="str">
        <f t="shared" si="77"/>
        <v>OK</v>
      </c>
      <c r="O764" s="607">
        <f t="shared" si="78"/>
        <v>2.7085386859048506</v>
      </c>
      <c r="T764" s="73"/>
      <c r="U764" s="73"/>
      <c r="V764" s="73"/>
      <c r="W764" s="73"/>
      <c r="X764" s="73"/>
      <c r="Y764" s="73"/>
      <c r="Z764" s="73"/>
      <c r="AA764" s="73"/>
      <c r="AC764" s="73"/>
      <c r="AD764" s="73"/>
      <c r="AF764" s="73"/>
      <c r="AG764" s="143"/>
      <c r="AH764" s="143"/>
      <c r="AI764" s="143"/>
      <c r="AJ764" s="143"/>
      <c r="AK764" s="143"/>
      <c r="AL764" s="143"/>
      <c r="AM764" s="143"/>
      <c r="AN764" s="143"/>
      <c r="AO764" s="143"/>
      <c r="AP764" s="143"/>
      <c r="AQ764" s="143"/>
      <c r="AR764" s="143"/>
      <c r="AS764" s="143"/>
    </row>
    <row r="765" spans="1:45" ht="15" customHeight="1">
      <c r="A765" s="482" t="str">
        <f t="shared" si="68"/>
        <v>121j</v>
      </c>
      <c r="B765" s="21">
        <f t="shared" si="69"/>
        <v>112.94627367341826</v>
      </c>
      <c r="C765" s="21">
        <f t="shared" si="79"/>
        <v>0</v>
      </c>
      <c r="D765" s="794" t="str">
        <f t="shared" si="70"/>
        <v>-</v>
      </c>
      <c r="E765" s="21">
        <f>O357*input!BI44</f>
        <v>379.83589662126923</v>
      </c>
      <c r="F765" s="794" t="str">
        <f t="shared" si="71"/>
        <v>S</v>
      </c>
      <c r="G765" s="578" t="str">
        <f t="shared" si="72"/>
        <v>-</v>
      </c>
      <c r="H765" s="21" t="str">
        <f t="shared" si="73"/>
        <v>-</v>
      </c>
      <c r="I765" s="21">
        <f t="shared" si="74"/>
        <v>350.72547172347709</v>
      </c>
      <c r="J765" s="578" t="str">
        <f t="shared" si="75"/>
        <v>-</v>
      </c>
      <c r="K765" s="578" t="str">
        <f t="shared" si="76"/>
        <v>-</v>
      </c>
      <c r="L765" s="21">
        <f t="shared" si="80"/>
        <v>112.94627367341826</v>
      </c>
      <c r="M765" s="21">
        <f t="shared" si="81"/>
        <v>379.83585449103276</v>
      </c>
      <c r="N765" s="578" t="str">
        <f t="shared" si="77"/>
        <v>OK</v>
      </c>
      <c r="O765" s="607">
        <f t="shared" si="78"/>
        <v>3.3629781854452325</v>
      </c>
      <c r="T765" s="73"/>
      <c r="U765" s="73"/>
      <c r="V765" s="73"/>
      <c r="W765" s="73"/>
      <c r="X765" s="73"/>
      <c r="Y765" s="73"/>
      <c r="Z765" s="73"/>
      <c r="AA765" s="73"/>
      <c r="AC765" s="73"/>
      <c r="AD765" s="73"/>
      <c r="AF765" s="73"/>
      <c r="AG765" s="143"/>
      <c r="AH765" s="143"/>
      <c r="AI765" s="143"/>
      <c r="AJ765" s="143"/>
      <c r="AK765" s="143"/>
      <c r="AL765" s="143"/>
      <c r="AM765" s="143"/>
      <c r="AN765" s="143"/>
      <c r="AO765" s="143"/>
      <c r="AP765" s="143"/>
      <c r="AQ765" s="143"/>
      <c r="AR765" s="143"/>
      <c r="AS765" s="143"/>
    </row>
    <row r="766" spans="1:45" ht="15" customHeight="1">
      <c r="A766" s="482" t="str">
        <f t="shared" si="68"/>
        <v>122i</v>
      </c>
      <c r="B766" s="21">
        <f t="shared" si="69"/>
        <v>195.35240037707553</v>
      </c>
      <c r="C766" s="21">
        <f t="shared" si="79"/>
        <v>4.7028155802039491</v>
      </c>
      <c r="D766" s="794" t="str">
        <f t="shared" si="70"/>
        <v>-</v>
      </c>
      <c r="E766" s="21">
        <f>O358*input!BI45</f>
        <v>379.74348556207576</v>
      </c>
      <c r="F766" s="794" t="str">
        <f t="shared" si="71"/>
        <v>S</v>
      </c>
      <c r="G766" s="578" t="str">
        <f t="shared" si="72"/>
        <v>-</v>
      </c>
      <c r="H766" s="21" t="str">
        <f t="shared" si="73"/>
        <v>-</v>
      </c>
      <c r="I766" s="21">
        <f t="shared" si="74"/>
        <v>345.9053679734057</v>
      </c>
      <c r="J766" s="578" t="str">
        <f t="shared" si="75"/>
        <v>-</v>
      </c>
      <c r="K766" s="578" t="str">
        <f t="shared" si="76"/>
        <v>-</v>
      </c>
      <c r="L766" s="21">
        <f t="shared" si="80"/>
        <v>200.05521595727947</v>
      </c>
      <c r="M766" s="21">
        <f t="shared" si="81"/>
        <v>379.74348556207576</v>
      </c>
      <c r="N766" s="578" t="str">
        <f t="shared" si="77"/>
        <v>OK</v>
      </c>
      <c r="O766" s="607">
        <f t="shared" si="78"/>
        <v>1.8981933749888711</v>
      </c>
      <c r="T766" s="73"/>
      <c r="U766" s="73"/>
      <c r="V766" s="73"/>
      <c r="W766" s="73"/>
      <c r="X766" s="73"/>
      <c r="Y766" s="73"/>
      <c r="Z766" s="73"/>
      <c r="AA766" s="73"/>
      <c r="AC766" s="73"/>
      <c r="AD766" s="73"/>
      <c r="AF766" s="73"/>
      <c r="AG766" s="143"/>
      <c r="AH766" s="143"/>
      <c r="AI766" s="143"/>
      <c r="AJ766" s="143"/>
      <c r="AK766" s="143"/>
      <c r="AL766" s="143"/>
      <c r="AM766" s="143"/>
      <c r="AN766" s="143"/>
      <c r="AO766" s="143"/>
      <c r="AP766" s="143"/>
      <c r="AQ766" s="143"/>
      <c r="AR766" s="143"/>
      <c r="AS766" s="143"/>
    </row>
    <row r="767" spans="1:45" ht="15" customHeight="1">
      <c r="A767" s="482" t="str">
        <f t="shared" si="68"/>
        <v>122j</v>
      </c>
      <c r="B767" s="21">
        <f t="shared" si="69"/>
        <v>137.36490277605083</v>
      </c>
      <c r="C767" s="21">
        <f t="shared" si="79"/>
        <v>4.7028155802039491</v>
      </c>
      <c r="D767" s="794" t="str">
        <f t="shared" si="70"/>
        <v>-</v>
      </c>
      <c r="E767" s="21">
        <f>O359*input!BI46</f>
        <v>379.74348556207576</v>
      </c>
      <c r="F767" s="794" t="str">
        <f t="shared" si="71"/>
        <v>S</v>
      </c>
      <c r="G767" s="578" t="str">
        <f t="shared" si="72"/>
        <v>-</v>
      </c>
      <c r="H767" s="21" t="str">
        <f t="shared" si="73"/>
        <v>-</v>
      </c>
      <c r="I767" s="21">
        <f t="shared" si="74"/>
        <v>345.90539138601497</v>
      </c>
      <c r="J767" s="578" t="str">
        <f t="shared" si="75"/>
        <v>-</v>
      </c>
      <c r="K767" s="578" t="str">
        <f t="shared" si="76"/>
        <v>-</v>
      </c>
      <c r="L767" s="21">
        <f t="shared" si="80"/>
        <v>142.06771835625477</v>
      </c>
      <c r="M767" s="21">
        <f t="shared" si="81"/>
        <v>379.74348556207576</v>
      </c>
      <c r="N767" s="578" t="str">
        <f t="shared" si="77"/>
        <v>OK</v>
      </c>
      <c r="O767" s="607">
        <f t="shared" si="78"/>
        <v>2.6729751836361277</v>
      </c>
      <c r="T767" s="73"/>
      <c r="U767" s="73"/>
      <c r="V767" s="73"/>
      <c r="W767" s="73"/>
      <c r="X767" s="73"/>
      <c r="Y767" s="73"/>
      <c r="Z767" s="73"/>
      <c r="AA767" s="73"/>
      <c r="AC767" s="73"/>
      <c r="AD767" s="73"/>
      <c r="AF767" s="73"/>
      <c r="AG767" s="143"/>
      <c r="AH767" s="143"/>
      <c r="AI767" s="143"/>
      <c r="AJ767" s="143"/>
      <c r="AK767" s="143"/>
      <c r="AL767" s="143"/>
      <c r="AM767" s="143"/>
      <c r="AN767" s="143"/>
      <c r="AO767" s="143"/>
      <c r="AP767" s="143"/>
      <c r="AQ767" s="143"/>
      <c r="AR767" s="143"/>
      <c r="AS767" s="143"/>
    </row>
    <row r="768" spans="1:45" ht="15" customHeight="1">
      <c r="A768" s="482" t="str">
        <f t="shared" si="68"/>
        <v>123i</v>
      </c>
      <c r="B768" s="21">
        <f t="shared" si="69"/>
        <v>181.5717713727631</v>
      </c>
      <c r="C768" s="21">
        <f t="shared" si="79"/>
        <v>7.3353315951441704</v>
      </c>
      <c r="D768" s="794" t="str">
        <f t="shared" si="70"/>
        <v>-</v>
      </c>
      <c r="E768" s="21">
        <f>O360*input!BI47</f>
        <v>379.72812323033014</v>
      </c>
      <c r="F768" s="794" t="str">
        <f t="shared" si="71"/>
        <v>S</v>
      </c>
      <c r="G768" s="578" t="str">
        <f t="shared" si="72"/>
        <v>-</v>
      </c>
      <c r="H768" s="21" t="str">
        <f t="shared" si="73"/>
        <v>-</v>
      </c>
      <c r="I768" s="21">
        <f t="shared" si="74"/>
        <v>342.92770285047607</v>
      </c>
      <c r="J768" s="578" t="str">
        <f t="shared" si="75"/>
        <v>-</v>
      </c>
      <c r="K768" s="578" t="str">
        <f t="shared" si="76"/>
        <v>-</v>
      </c>
      <c r="L768" s="21">
        <f t="shared" si="80"/>
        <v>188.90710296790726</v>
      </c>
      <c r="M768" s="21">
        <f t="shared" si="81"/>
        <v>379.72812323033014</v>
      </c>
      <c r="N768" s="578" t="str">
        <f t="shared" si="77"/>
        <v>OK</v>
      </c>
      <c r="O768" s="607">
        <f t="shared" si="78"/>
        <v>2.0101315263663788</v>
      </c>
      <c r="T768" s="73"/>
      <c r="U768" s="73"/>
      <c r="V768" s="73"/>
      <c r="W768" s="73"/>
      <c r="X768" s="73"/>
      <c r="Y768" s="73"/>
      <c r="Z768" s="73"/>
      <c r="AA768" s="73"/>
      <c r="AC768" s="73"/>
      <c r="AD768" s="73"/>
      <c r="AF768" s="73"/>
      <c r="AG768" s="143"/>
      <c r="AH768" s="143"/>
      <c r="AI768" s="143"/>
      <c r="AJ768" s="143"/>
      <c r="AK768" s="143"/>
      <c r="AL768" s="143"/>
      <c r="AM768" s="143"/>
      <c r="AN768" s="143"/>
      <c r="AO768" s="143"/>
      <c r="AP768" s="143"/>
      <c r="AQ768" s="143"/>
      <c r="AR768" s="143"/>
      <c r="AS768" s="143"/>
    </row>
    <row r="769" spans="1:45" ht="15" customHeight="1">
      <c r="A769" s="482" t="str">
        <f t="shared" si="68"/>
        <v>123j</v>
      </c>
      <c r="B769" s="21">
        <f t="shared" si="69"/>
        <v>120.68945206524526</v>
      </c>
      <c r="C769" s="21">
        <f t="shared" si="79"/>
        <v>7.3353315951441704</v>
      </c>
      <c r="D769" s="794" t="str">
        <f t="shared" si="70"/>
        <v>-</v>
      </c>
      <c r="E769" s="21">
        <f>O361*input!BI48</f>
        <v>379.72812323033014</v>
      </c>
      <c r="F769" s="794" t="str">
        <f t="shared" si="71"/>
        <v>S</v>
      </c>
      <c r="G769" s="578" t="str">
        <f t="shared" si="72"/>
        <v>-</v>
      </c>
      <c r="H769" s="21" t="str">
        <f t="shared" si="73"/>
        <v>-</v>
      </c>
      <c r="I769" s="21">
        <f t="shared" si="74"/>
        <v>342.92771040152047</v>
      </c>
      <c r="J769" s="578" t="str">
        <f t="shared" si="75"/>
        <v>-</v>
      </c>
      <c r="K769" s="578" t="str">
        <f t="shared" si="76"/>
        <v>-</v>
      </c>
      <c r="L769" s="21">
        <f t="shared" si="80"/>
        <v>128.02478366038943</v>
      </c>
      <c r="M769" s="21">
        <f t="shared" si="81"/>
        <v>379.72812323033014</v>
      </c>
      <c r="N769" s="578" t="str">
        <f t="shared" si="77"/>
        <v>OK</v>
      </c>
      <c r="O769" s="607">
        <f t="shared" si="78"/>
        <v>2.9660516688521237</v>
      </c>
      <c r="T769" s="73"/>
      <c r="U769" s="73"/>
      <c r="V769" s="73"/>
      <c r="W769" s="73"/>
      <c r="X769" s="73"/>
      <c r="Y769" s="73"/>
      <c r="Z769" s="73"/>
      <c r="AA769" s="73"/>
      <c r="AC769" s="73"/>
      <c r="AD769" s="73"/>
      <c r="AF769" s="73"/>
      <c r="AG769" s="143"/>
      <c r="AH769" s="143"/>
      <c r="AI769" s="143"/>
      <c r="AJ769" s="143"/>
      <c r="AK769" s="143"/>
      <c r="AL769" s="143"/>
      <c r="AM769" s="143"/>
      <c r="AN769" s="143"/>
      <c r="AO769" s="143"/>
      <c r="AP769" s="143"/>
      <c r="AQ769" s="143"/>
      <c r="AR769" s="143"/>
      <c r="AS769" s="143"/>
    </row>
    <row r="770" spans="1:45" ht="15" customHeight="1">
      <c r="A770" s="482" t="str">
        <f t="shared" si="68"/>
        <v>124i</v>
      </c>
      <c r="B770" s="21">
        <f t="shared" si="69"/>
        <v>182.00878918606219</v>
      </c>
      <c r="C770" s="21">
        <f t="shared" si="79"/>
        <v>15.889507411456828</v>
      </c>
      <c r="D770" s="794" t="str">
        <f t="shared" si="70"/>
        <v>-</v>
      </c>
      <c r="E770" s="21">
        <f>O362*input!BI49</f>
        <v>379.51243286979144</v>
      </c>
      <c r="F770" s="794" t="str">
        <f t="shared" si="71"/>
        <v>S</v>
      </c>
      <c r="G770" s="578" t="str">
        <f t="shared" si="72"/>
        <v>-</v>
      </c>
      <c r="H770" s="21" t="str">
        <f t="shared" si="73"/>
        <v>-</v>
      </c>
      <c r="I770" s="21">
        <f t="shared" si="74"/>
        <v>324.58532451408411</v>
      </c>
      <c r="J770" s="578" t="str">
        <f t="shared" si="75"/>
        <v>-</v>
      </c>
      <c r="K770" s="578" t="str">
        <f t="shared" si="76"/>
        <v>-</v>
      </c>
      <c r="L770" s="21">
        <f t="shared" si="80"/>
        <v>197.89829659751902</v>
      </c>
      <c r="M770" s="21">
        <f t="shared" si="81"/>
        <v>379.51243286979144</v>
      </c>
      <c r="N770" s="578" t="str">
        <f t="shared" si="77"/>
        <v>OK</v>
      </c>
      <c r="O770" s="607">
        <f t="shared" si="78"/>
        <v>1.9177144997949884</v>
      </c>
      <c r="T770" s="73"/>
      <c r="U770" s="73"/>
      <c r="V770" s="73"/>
      <c r="W770" s="73"/>
      <c r="X770" s="73"/>
      <c r="Y770" s="73"/>
      <c r="Z770" s="73"/>
      <c r="AA770" s="73"/>
      <c r="AC770" s="73"/>
      <c r="AD770" s="73"/>
      <c r="AF770" s="73"/>
      <c r="AG770" s="143"/>
      <c r="AH770" s="143"/>
      <c r="AI770" s="143"/>
      <c r="AJ770" s="143"/>
      <c r="AK770" s="143"/>
      <c r="AL770" s="143"/>
      <c r="AM770" s="143"/>
      <c r="AN770" s="143"/>
      <c r="AO770" s="143"/>
      <c r="AP770" s="143"/>
      <c r="AQ770" s="143"/>
      <c r="AR770" s="143"/>
      <c r="AS770" s="143"/>
    </row>
    <row r="771" spans="1:45" ht="15" customHeight="1">
      <c r="A771" s="482" t="str">
        <f t="shared" si="68"/>
        <v>124j</v>
      </c>
      <c r="B771" s="21">
        <f t="shared" si="69"/>
        <v>105.10838141560447</v>
      </c>
      <c r="C771" s="21">
        <f t="shared" si="79"/>
        <v>15.889507411456828</v>
      </c>
      <c r="D771" s="794" t="str">
        <f t="shared" si="70"/>
        <v>-</v>
      </c>
      <c r="E771" s="21">
        <f>O363*input!BI50</f>
        <v>379.51243286979144</v>
      </c>
      <c r="F771" s="794" t="str">
        <f t="shared" si="71"/>
        <v>S</v>
      </c>
      <c r="G771" s="578" t="str">
        <f t="shared" si="72"/>
        <v>-</v>
      </c>
      <c r="H771" s="21" t="str">
        <f t="shared" si="73"/>
        <v>-</v>
      </c>
      <c r="I771" s="21">
        <f t="shared" si="74"/>
        <v>324.58533293238725</v>
      </c>
      <c r="J771" s="578" t="str">
        <f t="shared" si="75"/>
        <v>-</v>
      </c>
      <c r="K771" s="578" t="str">
        <f t="shared" si="76"/>
        <v>-</v>
      </c>
      <c r="L771" s="21">
        <f t="shared" si="80"/>
        <v>120.9978888270613</v>
      </c>
      <c r="M771" s="21">
        <f t="shared" si="81"/>
        <v>379.51243286979144</v>
      </c>
      <c r="N771" s="578" t="str">
        <f t="shared" si="77"/>
        <v>OK</v>
      </c>
      <c r="O771" s="607">
        <f t="shared" si="78"/>
        <v>3.1365211124651715</v>
      </c>
      <c r="T771" s="73"/>
      <c r="U771" s="73"/>
      <c r="V771" s="73"/>
      <c r="W771" s="73"/>
      <c r="X771" s="73"/>
      <c r="Y771" s="73"/>
      <c r="Z771" s="73"/>
      <c r="AA771" s="73"/>
      <c r="AC771" s="73"/>
      <c r="AD771" s="73"/>
      <c r="AF771" s="73"/>
      <c r="AG771" s="143"/>
      <c r="AH771" s="143"/>
      <c r="AI771" s="143"/>
      <c r="AJ771" s="143"/>
      <c r="AK771" s="143"/>
      <c r="AL771" s="143"/>
      <c r="AM771" s="143"/>
      <c r="AN771" s="143"/>
      <c r="AO771" s="143"/>
      <c r="AP771" s="143"/>
      <c r="AQ771" s="143"/>
      <c r="AR771" s="143"/>
      <c r="AS771" s="143"/>
    </row>
    <row r="772" spans="1:45" ht="15" customHeight="1">
      <c r="A772" s="482" t="str">
        <f t="shared" si="68"/>
        <v>125i</v>
      </c>
      <c r="B772" s="21">
        <f t="shared" si="69"/>
        <v>118.80735870848579</v>
      </c>
      <c r="C772" s="21">
        <f t="shared" si="79"/>
        <v>18.560515151039887</v>
      </c>
      <c r="D772" s="794" t="str">
        <f t="shared" si="70"/>
        <v>-</v>
      </c>
      <c r="E772" s="21">
        <f>O364*input!BI51</f>
        <v>379.4583249094602</v>
      </c>
      <c r="F772" s="794" t="str">
        <f t="shared" si="71"/>
        <v>S</v>
      </c>
      <c r="G772" s="578" t="str">
        <f t="shared" si="72"/>
        <v>-</v>
      </c>
      <c r="H772" s="21" t="str">
        <f t="shared" si="73"/>
        <v>-</v>
      </c>
      <c r="I772" s="21">
        <f t="shared" si="74"/>
        <v>298.37145271107494</v>
      </c>
      <c r="J772" s="578" t="str">
        <f t="shared" si="75"/>
        <v>-</v>
      </c>
      <c r="K772" s="578" t="str">
        <f t="shared" si="76"/>
        <v>-</v>
      </c>
      <c r="L772" s="21">
        <f t="shared" si="80"/>
        <v>137.36787385952567</v>
      </c>
      <c r="M772" s="21">
        <f t="shared" si="81"/>
        <v>379.4583249094602</v>
      </c>
      <c r="N772" s="578" t="str">
        <f t="shared" si="77"/>
        <v>OK</v>
      </c>
      <c r="O772" s="607">
        <f t="shared" si="78"/>
        <v>2.7623512998206525</v>
      </c>
      <c r="T772" s="73"/>
      <c r="U772" s="73"/>
      <c r="V772" s="73"/>
      <c r="W772" s="73"/>
      <c r="X772" s="73"/>
      <c r="Y772" s="73"/>
      <c r="Z772" s="73"/>
      <c r="AA772" s="73"/>
      <c r="AC772" s="73"/>
      <c r="AD772" s="73"/>
      <c r="AF772" s="73"/>
      <c r="AG772" s="143"/>
      <c r="AH772" s="143"/>
      <c r="AI772" s="143"/>
      <c r="AJ772" s="143"/>
      <c r="AK772" s="143"/>
      <c r="AL772" s="143"/>
      <c r="AM772" s="143"/>
      <c r="AN772" s="143"/>
      <c r="AO772" s="143"/>
      <c r="AP772" s="143"/>
      <c r="AQ772" s="143"/>
      <c r="AR772" s="143"/>
      <c r="AS772" s="143"/>
    </row>
    <row r="773" spans="1:45" ht="15" customHeight="1">
      <c r="A773" s="482" t="str">
        <f t="shared" si="68"/>
        <v>125j</v>
      </c>
      <c r="B773" s="21">
        <f t="shared" si="69"/>
        <v>54.732700876711668</v>
      </c>
      <c r="C773" s="21">
        <f t="shared" si="79"/>
        <v>18.560515151039887</v>
      </c>
      <c r="D773" s="794" t="str">
        <f t="shared" si="70"/>
        <v>-</v>
      </c>
      <c r="E773" s="21">
        <f>O365*input!BI52</f>
        <v>379.4583249094602</v>
      </c>
      <c r="F773" s="794" t="str">
        <f t="shared" si="71"/>
        <v>S</v>
      </c>
      <c r="G773" s="578" t="str">
        <f t="shared" si="72"/>
        <v>-</v>
      </c>
      <c r="H773" s="21" t="str">
        <f t="shared" si="73"/>
        <v>-</v>
      </c>
      <c r="I773" s="21">
        <f t="shared" si="74"/>
        <v>298.37145031294716</v>
      </c>
      <c r="J773" s="578" t="str">
        <f t="shared" si="75"/>
        <v>-</v>
      </c>
      <c r="K773" s="578" t="str">
        <f t="shared" si="76"/>
        <v>-</v>
      </c>
      <c r="L773" s="21">
        <f t="shared" si="80"/>
        <v>73.293216027751555</v>
      </c>
      <c r="M773" s="21">
        <f t="shared" si="81"/>
        <v>379.4583249094602</v>
      </c>
      <c r="N773" s="578" t="str">
        <f t="shared" si="77"/>
        <v>OK</v>
      </c>
      <c r="O773" s="607">
        <f t="shared" si="78"/>
        <v>5.1772639471268809</v>
      </c>
      <c r="T773" s="73"/>
      <c r="U773" s="73"/>
      <c r="V773" s="73"/>
      <c r="W773" s="73"/>
      <c r="X773" s="73"/>
      <c r="Y773" s="73"/>
      <c r="Z773" s="73"/>
      <c r="AA773" s="73"/>
      <c r="AC773" s="73"/>
      <c r="AD773" s="73"/>
      <c r="AF773" s="73"/>
      <c r="AG773" s="143"/>
      <c r="AH773" s="143"/>
      <c r="AI773" s="143"/>
      <c r="AJ773" s="143"/>
      <c r="AK773" s="143"/>
      <c r="AL773" s="143"/>
      <c r="AM773" s="143"/>
      <c r="AN773" s="143"/>
      <c r="AO773" s="143"/>
      <c r="AP773" s="143"/>
      <c r="AQ773" s="143"/>
      <c r="AR773" s="143"/>
      <c r="AS773" s="143"/>
    </row>
    <row r="774" spans="1:45" ht="15" customHeight="1">
      <c r="A774" s="482" t="str">
        <f t="shared" si="68"/>
        <v>126i</v>
      </c>
      <c r="B774" s="21">
        <f t="shared" si="69"/>
        <v>54.732700876711668</v>
      </c>
      <c r="C774" s="21">
        <f t="shared" si="79"/>
        <v>18.560515151039887</v>
      </c>
      <c r="D774" s="794" t="str">
        <f t="shared" si="70"/>
        <v>-</v>
      </c>
      <c r="E774" s="21">
        <f>O366*input!BI53</f>
        <v>379.4583249094602</v>
      </c>
      <c r="F774" s="794" t="str">
        <f t="shared" si="71"/>
        <v>S</v>
      </c>
      <c r="G774" s="578" t="str">
        <f t="shared" si="72"/>
        <v>-</v>
      </c>
      <c r="H774" s="21" t="str">
        <f t="shared" si="73"/>
        <v>-</v>
      </c>
      <c r="I774" s="21">
        <f t="shared" si="74"/>
        <v>298.37145031294716</v>
      </c>
      <c r="J774" s="578" t="str">
        <f t="shared" si="75"/>
        <v>-</v>
      </c>
      <c r="K774" s="578" t="str">
        <f t="shared" si="76"/>
        <v>-</v>
      </c>
      <c r="L774" s="21">
        <f t="shared" si="80"/>
        <v>73.293216027751555</v>
      </c>
      <c r="M774" s="21">
        <f t="shared" si="81"/>
        <v>379.4583249094602</v>
      </c>
      <c r="N774" s="578" t="str">
        <f t="shared" si="77"/>
        <v>OK</v>
      </c>
      <c r="O774" s="607">
        <f t="shared" si="78"/>
        <v>5.1772639471268809</v>
      </c>
      <c r="T774" s="73"/>
      <c r="U774" s="73"/>
      <c r="V774" s="73"/>
      <c r="W774" s="73"/>
      <c r="X774" s="73"/>
      <c r="Y774" s="73"/>
      <c r="Z774" s="73"/>
      <c r="AA774" s="73"/>
      <c r="AC774" s="73"/>
      <c r="AD774" s="73"/>
      <c r="AF774" s="73"/>
      <c r="AG774" s="143"/>
      <c r="AH774" s="143"/>
      <c r="AI774" s="143"/>
      <c r="AJ774" s="143"/>
      <c r="AK774" s="143"/>
      <c r="AL774" s="143"/>
      <c r="AM774" s="143"/>
      <c r="AN774" s="143"/>
      <c r="AO774" s="143"/>
      <c r="AP774" s="143"/>
      <c r="AQ774" s="143"/>
      <c r="AR774" s="143"/>
      <c r="AS774" s="143"/>
    </row>
    <row r="775" spans="1:45" ht="15" customHeight="1">
      <c r="A775" s="482" t="str">
        <f t="shared" si="68"/>
        <v>126j</v>
      </c>
      <c r="B775" s="21">
        <f t="shared" si="69"/>
        <v>6.3753641260380745</v>
      </c>
      <c r="C775" s="21">
        <f t="shared" si="79"/>
        <v>18.560515151039887</v>
      </c>
      <c r="D775" s="794" t="str">
        <f t="shared" si="70"/>
        <v>-</v>
      </c>
      <c r="E775" s="21">
        <f>O367*input!BI54</f>
        <v>379.4583249094602</v>
      </c>
      <c r="F775" s="794" t="str">
        <f t="shared" si="71"/>
        <v>S</v>
      </c>
      <c r="G775" s="578" t="str">
        <f t="shared" si="72"/>
        <v>-</v>
      </c>
      <c r="H775" s="21" t="str">
        <f t="shared" si="73"/>
        <v>-</v>
      </c>
      <c r="I775" s="21">
        <f t="shared" si="74"/>
        <v>298.37144257116506</v>
      </c>
      <c r="J775" s="578" t="str">
        <f t="shared" si="75"/>
        <v>-</v>
      </c>
      <c r="K775" s="578" t="str">
        <f t="shared" si="76"/>
        <v>-</v>
      </c>
      <c r="L775" s="21">
        <f t="shared" si="80"/>
        <v>24.935879277077962</v>
      </c>
      <c r="M775" s="21">
        <f t="shared" si="81"/>
        <v>379.4583249094602</v>
      </c>
      <c r="N775" s="578" t="str">
        <f t="shared" si="77"/>
        <v>OK</v>
      </c>
      <c r="O775" s="607">
        <f t="shared" si="78"/>
        <v>15.217362928857021</v>
      </c>
      <c r="T775" s="73"/>
      <c r="U775" s="73"/>
      <c r="V775" s="73"/>
      <c r="W775" s="73"/>
      <c r="X775" s="73"/>
      <c r="Y775" s="73"/>
      <c r="Z775" s="73"/>
      <c r="AA775" s="73"/>
      <c r="AC775" s="73"/>
      <c r="AD775" s="73"/>
      <c r="AF775" s="73"/>
      <c r="AG775" s="143"/>
      <c r="AH775" s="143"/>
      <c r="AI775" s="143"/>
      <c r="AJ775" s="143"/>
      <c r="AK775" s="143"/>
      <c r="AL775" s="143"/>
      <c r="AM775" s="143"/>
      <c r="AN775" s="143"/>
      <c r="AO775" s="143"/>
      <c r="AP775" s="143"/>
      <c r="AQ775" s="143"/>
      <c r="AR775" s="143"/>
      <c r="AS775" s="143"/>
    </row>
    <row r="776" spans="1:45" ht="15" customHeight="1">
      <c r="A776" s="482" t="str">
        <f t="shared" si="68"/>
        <v>127i</v>
      </c>
      <c r="B776" s="21">
        <f t="shared" si="69"/>
        <v>6.833395799993057</v>
      </c>
      <c r="C776" s="21">
        <f t="shared" si="79"/>
        <v>18.344194128312612</v>
      </c>
      <c r="D776" s="794" t="str">
        <f t="shared" si="70"/>
        <v>-</v>
      </c>
      <c r="E776" s="21">
        <f>O368*input!BI55</f>
        <v>379.50317749469554</v>
      </c>
      <c r="F776" s="794" t="str">
        <f t="shared" si="71"/>
        <v>S</v>
      </c>
      <c r="G776" s="578" t="str">
        <f t="shared" si="72"/>
        <v>-</v>
      </c>
      <c r="H776" s="21" t="str">
        <f t="shared" si="73"/>
        <v>-</v>
      </c>
      <c r="I776" s="21">
        <f t="shared" si="74"/>
        <v>200.22547919300584</v>
      </c>
      <c r="J776" s="578" t="str">
        <f t="shared" si="75"/>
        <v>-</v>
      </c>
      <c r="K776" s="578" t="str">
        <f t="shared" si="76"/>
        <v>-</v>
      </c>
      <c r="L776" s="21">
        <f t="shared" si="80"/>
        <v>25.177589928305668</v>
      </c>
      <c r="M776" s="21">
        <f t="shared" si="81"/>
        <v>379.50317749469554</v>
      </c>
      <c r="N776" s="578" t="str">
        <f t="shared" si="77"/>
        <v>OK</v>
      </c>
      <c r="O776" s="607">
        <f t="shared" si="78"/>
        <v>15.073054195232668</v>
      </c>
      <c r="T776" s="73"/>
      <c r="U776" s="73"/>
      <c r="V776" s="73"/>
      <c r="W776" s="73"/>
      <c r="X776" s="73"/>
      <c r="Y776" s="73"/>
      <c r="Z776" s="73"/>
      <c r="AA776" s="73"/>
      <c r="AC776" s="73"/>
      <c r="AD776" s="73"/>
      <c r="AF776" s="73"/>
      <c r="AG776" s="143"/>
      <c r="AH776" s="143"/>
      <c r="AI776" s="143"/>
      <c r="AJ776" s="143"/>
      <c r="AK776" s="143"/>
      <c r="AL776" s="143"/>
      <c r="AM776" s="143"/>
      <c r="AN776" s="143"/>
      <c r="AO776" s="143"/>
      <c r="AP776" s="143"/>
      <c r="AQ776" s="143"/>
      <c r="AR776" s="143"/>
      <c r="AS776" s="143"/>
    </row>
    <row r="777" spans="1:45" ht="15" customHeight="1">
      <c r="A777" s="482" t="str">
        <f t="shared" si="68"/>
        <v>127j</v>
      </c>
      <c r="B777" s="21">
        <f t="shared" si="69"/>
        <v>-22.047176849028361</v>
      </c>
      <c r="C777" s="21">
        <f t="shared" si="79"/>
        <v>18.344194128312612</v>
      </c>
      <c r="D777" s="794">
        <f t="shared" si="70"/>
        <v>40.391370977340969</v>
      </c>
      <c r="E777" s="21">
        <f>O369*input!BI56</f>
        <v>379.50317749469554</v>
      </c>
      <c r="F777" s="794" t="str">
        <f t="shared" si="71"/>
        <v>S</v>
      </c>
      <c r="G777" s="578" t="str">
        <f t="shared" si="72"/>
        <v>OK</v>
      </c>
      <c r="H777" s="21">
        <f t="shared" si="73"/>
        <v>28.161908225132564</v>
      </c>
      <c r="I777" s="21">
        <f t="shared" si="74"/>
        <v>338.94256045395724</v>
      </c>
      <c r="J777" s="578" t="str">
        <f t="shared" si="75"/>
        <v>OK</v>
      </c>
      <c r="K777" s="578">
        <f t="shared" si="76"/>
        <v>12.035496946598041</v>
      </c>
      <c r="L777" s="21" t="str">
        <f t="shared" si="80"/>
        <v>-</v>
      </c>
      <c r="M777" s="21">
        <f t="shared" si="81"/>
        <v>379.50317616661346</v>
      </c>
      <c r="N777" s="578" t="str">
        <f t="shared" si="77"/>
        <v>-</v>
      </c>
      <c r="O777" s="607" t="str">
        <f t="shared" si="78"/>
        <v>-</v>
      </c>
      <c r="T777" s="73"/>
      <c r="U777" s="73"/>
      <c r="V777" s="73"/>
      <c r="W777" s="73"/>
      <c r="X777" s="73"/>
      <c r="Y777" s="73"/>
      <c r="Z777" s="73"/>
      <c r="AA777" s="73"/>
      <c r="AC777" s="73"/>
      <c r="AD777" s="73"/>
      <c r="AF777" s="73"/>
      <c r="AG777" s="143"/>
      <c r="AH777" s="143"/>
      <c r="AI777" s="143"/>
      <c r="AJ777" s="143"/>
      <c r="AK777" s="143"/>
      <c r="AL777" s="143"/>
      <c r="AM777" s="143"/>
      <c r="AN777" s="143"/>
      <c r="AO777" s="143"/>
      <c r="AP777" s="143"/>
      <c r="AQ777" s="143"/>
      <c r="AR777" s="143"/>
      <c r="AS777" s="143"/>
    </row>
    <row r="778" spans="1:45" ht="15" customHeight="1">
      <c r="A778" s="482" t="str">
        <f t="shared" si="68"/>
        <v>128i</v>
      </c>
      <c r="B778" s="21">
        <f t="shared" si="69"/>
        <v>-22.047176849028361</v>
      </c>
      <c r="C778" s="21">
        <f t="shared" si="79"/>
        <v>18.344194128312612</v>
      </c>
      <c r="D778" s="794">
        <f t="shared" si="70"/>
        <v>40.391370977340969</v>
      </c>
      <c r="E778" s="21">
        <f>O370*input!BI57</f>
        <v>379.50317749469554</v>
      </c>
      <c r="F778" s="794" t="str">
        <f t="shared" si="71"/>
        <v>S</v>
      </c>
      <c r="G778" s="578" t="str">
        <f t="shared" si="72"/>
        <v>OK</v>
      </c>
      <c r="H778" s="21">
        <f t="shared" si="73"/>
        <v>28.161908225132564</v>
      </c>
      <c r="I778" s="21">
        <f t="shared" si="74"/>
        <v>338.94256045395724</v>
      </c>
      <c r="J778" s="578" t="str">
        <f t="shared" si="75"/>
        <v>OK</v>
      </c>
      <c r="K778" s="578">
        <f t="shared" si="76"/>
        <v>12.035496946598041</v>
      </c>
      <c r="L778" s="21" t="str">
        <f t="shared" si="80"/>
        <v>-</v>
      </c>
      <c r="M778" s="21">
        <f t="shared" si="81"/>
        <v>379.50317616661346</v>
      </c>
      <c r="N778" s="578" t="str">
        <f t="shared" si="77"/>
        <v>-</v>
      </c>
      <c r="O778" s="607" t="str">
        <f t="shared" si="78"/>
        <v>-</v>
      </c>
      <c r="T778" s="73"/>
      <c r="U778" s="73"/>
      <c r="V778" s="73"/>
      <c r="W778" s="73"/>
      <c r="X778" s="73"/>
      <c r="Y778" s="73"/>
      <c r="Z778" s="73"/>
      <c r="AA778" s="73"/>
      <c r="AC778" s="73"/>
      <c r="AD778" s="73"/>
      <c r="AF778" s="73"/>
      <c r="AG778" s="143"/>
      <c r="AH778" s="143"/>
      <c r="AI778" s="143"/>
      <c r="AJ778" s="143"/>
      <c r="AK778" s="143"/>
      <c r="AL778" s="143"/>
      <c r="AM778" s="143"/>
      <c r="AN778" s="143"/>
      <c r="AO778" s="143"/>
      <c r="AP778" s="143"/>
      <c r="AQ778" s="143"/>
      <c r="AR778" s="143"/>
      <c r="AS778" s="143"/>
    </row>
    <row r="779" spans="1:45" ht="15" customHeight="1">
      <c r="A779" s="482" t="str">
        <f t="shared" si="68"/>
        <v>128j</v>
      </c>
      <c r="B779" s="21">
        <f t="shared" si="69"/>
        <v>-34.662470817440934</v>
      </c>
      <c r="C779" s="21">
        <f t="shared" si="79"/>
        <v>18.344194128312612</v>
      </c>
      <c r="D779" s="794">
        <f t="shared" si="70"/>
        <v>53.006664945753542</v>
      </c>
      <c r="E779" s="21">
        <f>O371*input!BI58</f>
        <v>379.50317749469554</v>
      </c>
      <c r="F779" s="794" t="str">
        <f t="shared" si="71"/>
        <v>S</v>
      </c>
      <c r="G779" s="578" t="str">
        <f t="shared" si="72"/>
        <v>OK</v>
      </c>
      <c r="H779" s="21">
        <f t="shared" si="73"/>
        <v>40.777202193545136</v>
      </c>
      <c r="I779" s="21">
        <f t="shared" si="74"/>
        <v>338.94256045395724</v>
      </c>
      <c r="J779" s="578" t="str">
        <f t="shared" si="75"/>
        <v>OK</v>
      </c>
      <c r="K779" s="578">
        <f t="shared" si="76"/>
        <v>8.3120602253484286</v>
      </c>
      <c r="L779" s="21" t="str">
        <f t="shared" si="80"/>
        <v>-</v>
      </c>
      <c r="M779" s="21">
        <f t="shared" si="81"/>
        <v>379.50317394584494</v>
      </c>
      <c r="N779" s="578" t="str">
        <f t="shared" si="77"/>
        <v>-</v>
      </c>
      <c r="O779" s="607" t="str">
        <f t="shared" si="78"/>
        <v>-</v>
      </c>
      <c r="T779" s="73"/>
      <c r="U779" s="73"/>
      <c r="V779" s="73"/>
      <c r="W779" s="73"/>
      <c r="X779" s="73"/>
      <c r="Y779" s="73"/>
      <c r="Z779" s="73"/>
      <c r="AA779" s="73"/>
      <c r="AC779" s="73"/>
      <c r="AD779" s="73"/>
      <c r="AF779" s="73"/>
      <c r="AG779" s="143"/>
      <c r="AH779" s="143"/>
      <c r="AI779" s="143"/>
      <c r="AJ779" s="143"/>
      <c r="AK779" s="143"/>
      <c r="AL779" s="143"/>
      <c r="AM779" s="143"/>
      <c r="AN779" s="143"/>
      <c r="AO779" s="143"/>
      <c r="AP779" s="143"/>
      <c r="AQ779" s="143"/>
      <c r="AR779" s="143"/>
      <c r="AS779" s="143"/>
    </row>
    <row r="780" spans="1:45" ht="15" customHeight="1">
      <c r="A780" s="482" t="str">
        <f t="shared" si="68"/>
        <v>129i</v>
      </c>
      <c r="B780" s="21">
        <f t="shared" si="69"/>
        <v>-34.66260469796444</v>
      </c>
      <c r="C780" s="21">
        <f t="shared" si="79"/>
        <v>18.344194128312612</v>
      </c>
      <c r="D780" s="794">
        <f t="shared" si="70"/>
        <v>53.006798826277048</v>
      </c>
      <c r="E780" s="21">
        <f>O372*input!BI59</f>
        <v>379.50317749469554</v>
      </c>
      <c r="F780" s="794" t="str">
        <f t="shared" si="71"/>
        <v>S</v>
      </c>
      <c r="G780" s="578" t="str">
        <f t="shared" si="72"/>
        <v>OK</v>
      </c>
      <c r="H780" s="21">
        <f t="shared" si="73"/>
        <v>40.777336074068643</v>
      </c>
      <c r="I780" s="21">
        <f t="shared" si="74"/>
        <v>338.94256045395724</v>
      </c>
      <c r="J780" s="578" t="str">
        <f t="shared" si="75"/>
        <v>OK</v>
      </c>
      <c r="K780" s="578">
        <f t="shared" si="76"/>
        <v>8.31203293511612</v>
      </c>
      <c r="L780" s="21" t="str">
        <f t="shared" si="80"/>
        <v>-</v>
      </c>
      <c r="M780" s="21">
        <f t="shared" si="81"/>
        <v>379.50314061910348</v>
      </c>
      <c r="N780" s="578" t="str">
        <f t="shared" si="77"/>
        <v>-</v>
      </c>
      <c r="O780" s="607" t="str">
        <f t="shared" si="78"/>
        <v>-</v>
      </c>
      <c r="T780" s="73"/>
      <c r="U780" s="73"/>
      <c r="V780" s="73"/>
      <c r="W780" s="73"/>
      <c r="X780" s="73"/>
      <c r="Y780" s="73"/>
      <c r="Z780" s="73"/>
      <c r="AA780" s="73"/>
      <c r="AC780" s="73"/>
      <c r="AD780" s="73"/>
      <c r="AF780" s="73"/>
      <c r="AG780" s="143"/>
      <c r="AH780" s="143"/>
      <c r="AI780" s="143"/>
      <c r="AJ780" s="143"/>
      <c r="AK780" s="143"/>
      <c r="AL780" s="143"/>
      <c r="AM780" s="143"/>
      <c r="AN780" s="143"/>
      <c r="AO780" s="143"/>
      <c r="AP780" s="143"/>
      <c r="AQ780" s="143"/>
      <c r="AR780" s="143"/>
      <c r="AS780" s="143"/>
    </row>
    <row r="781" spans="1:45" ht="15" customHeight="1">
      <c r="A781" s="482" t="str">
        <f t="shared" si="68"/>
        <v>129j</v>
      </c>
      <c r="B781" s="21">
        <f t="shared" si="69"/>
        <v>-17.594980040016605</v>
      </c>
      <c r="C781" s="21">
        <f t="shared" si="79"/>
        <v>18.344194128312612</v>
      </c>
      <c r="D781" s="794">
        <f t="shared" si="70"/>
        <v>35.939174168329217</v>
      </c>
      <c r="E781" s="21">
        <f>O373*input!BI60</f>
        <v>379.50317749469554</v>
      </c>
      <c r="F781" s="794" t="str">
        <f t="shared" si="71"/>
        <v>S</v>
      </c>
      <c r="G781" s="578" t="str">
        <f t="shared" si="72"/>
        <v>OK</v>
      </c>
      <c r="H781" s="21">
        <f t="shared" si="73"/>
        <v>23.709711416120808</v>
      </c>
      <c r="I781" s="21">
        <f t="shared" si="74"/>
        <v>338.94256045395724</v>
      </c>
      <c r="J781" s="578" t="str">
        <f t="shared" si="75"/>
        <v>OK</v>
      </c>
      <c r="K781" s="578">
        <f t="shared" si="76"/>
        <v>14.295516065349576</v>
      </c>
      <c r="L781" s="21" t="str">
        <f t="shared" si="80"/>
        <v>-</v>
      </c>
      <c r="M781" s="21">
        <f t="shared" si="81"/>
        <v>379.50312824215729</v>
      </c>
      <c r="N781" s="578" t="str">
        <f t="shared" si="77"/>
        <v>-</v>
      </c>
      <c r="O781" s="607" t="str">
        <f t="shared" si="78"/>
        <v>-</v>
      </c>
      <c r="T781" s="73"/>
      <c r="U781" s="73"/>
      <c r="V781" s="73"/>
      <c r="W781" s="73"/>
      <c r="X781" s="73"/>
      <c r="Y781" s="73"/>
      <c r="Z781" s="73"/>
      <c r="AA781" s="73"/>
      <c r="AC781" s="73"/>
      <c r="AD781" s="73"/>
      <c r="AF781" s="73"/>
      <c r="AG781" s="143"/>
      <c r="AH781" s="143"/>
      <c r="AI781" s="143"/>
      <c r="AJ781" s="143"/>
      <c r="AK781" s="143"/>
      <c r="AL781" s="143"/>
      <c r="AM781" s="143"/>
      <c r="AN781" s="143"/>
      <c r="AO781" s="143"/>
      <c r="AP781" s="143"/>
      <c r="AQ781" s="143"/>
      <c r="AR781" s="143"/>
      <c r="AS781" s="143"/>
    </row>
    <row r="782" spans="1:45" ht="15" customHeight="1">
      <c r="A782" s="482" t="str">
        <f t="shared" si="68"/>
        <v>130i</v>
      </c>
      <c r="B782" s="21">
        <f t="shared" si="69"/>
        <v>-19.436278645970077</v>
      </c>
      <c r="C782" s="21">
        <f t="shared" si="79"/>
        <v>18.47186305521582</v>
      </c>
      <c r="D782" s="794">
        <f t="shared" si="70"/>
        <v>37.908141701185897</v>
      </c>
      <c r="E782" s="21">
        <f>O374*input!BI61</f>
        <v>379.53157750434622</v>
      </c>
      <c r="F782" s="794" t="str">
        <f t="shared" si="71"/>
        <v>S</v>
      </c>
      <c r="G782" s="578" t="str">
        <f t="shared" si="72"/>
        <v>OK</v>
      </c>
      <c r="H782" s="21">
        <f t="shared" si="73"/>
        <v>25.593566331042016</v>
      </c>
      <c r="I782" s="21">
        <f t="shared" si="74"/>
        <v>338.96081165596377</v>
      </c>
      <c r="J782" s="578" t="str">
        <f t="shared" si="75"/>
        <v>OK</v>
      </c>
      <c r="K782" s="578">
        <f t="shared" si="76"/>
        <v>13.243985119996495</v>
      </c>
      <c r="L782" s="21" t="str">
        <f t="shared" si="80"/>
        <v>-</v>
      </c>
      <c r="M782" s="21">
        <f t="shared" si="81"/>
        <v>379.53151901071135</v>
      </c>
      <c r="N782" s="578" t="str">
        <f t="shared" si="77"/>
        <v>-</v>
      </c>
      <c r="O782" s="607" t="str">
        <f t="shared" si="78"/>
        <v>-</v>
      </c>
      <c r="T782" s="73"/>
      <c r="U782" s="73"/>
      <c r="V782" s="73"/>
      <c r="W782" s="73"/>
      <c r="X782" s="73"/>
      <c r="Y782" s="73"/>
      <c r="Z782" s="73"/>
      <c r="AA782" s="73"/>
      <c r="AC782" s="73"/>
      <c r="AD782" s="73"/>
      <c r="AF782" s="73"/>
      <c r="AG782" s="143"/>
      <c r="AH782" s="143"/>
      <c r="AI782" s="143"/>
      <c r="AJ782" s="143"/>
      <c r="AK782" s="143"/>
      <c r="AL782" s="143"/>
      <c r="AM782" s="143"/>
      <c r="AN782" s="143"/>
      <c r="AO782" s="143"/>
      <c r="AP782" s="143"/>
      <c r="AQ782" s="143"/>
      <c r="AR782" s="143"/>
      <c r="AS782" s="143"/>
    </row>
    <row r="783" spans="1:45" ht="15" customHeight="1">
      <c r="A783" s="482" t="str">
        <f t="shared" si="68"/>
        <v>130j</v>
      </c>
      <c r="B783" s="21">
        <f t="shared" si="69"/>
        <v>0.15794638417561513</v>
      </c>
      <c r="C783" s="21">
        <f t="shared" si="79"/>
        <v>18.47186305521582</v>
      </c>
      <c r="D783" s="794" t="str">
        <f t="shared" si="70"/>
        <v>-</v>
      </c>
      <c r="E783" s="21">
        <f>O375*input!BI62</f>
        <v>379.53157750434622</v>
      </c>
      <c r="F783" s="794" t="str">
        <f t="shared" si="71"/>
        <v>S</v>
      </c>
      <c r="G783" s="578" t="str">
        <f t="shared" si="72"/>
        <v>-</v>
      </c>
      <c r="H783" s="21" t="str">
        <f t="shared" si="73"/>
        <v>-</v>
      </c>
      <c r="I783" s="21">
        <f t="shared" si="74"/>
        <v>200.22387854319047</v>
      </c>
      <c r="J783" s="578" t="str">
        <f t="shared" si="75"/>
        <v>-</v>
      </c>
      <c r="K783" s="578" t="str">
        <f t="shared" si="76"/>
        <v>-</v>
      </c>
      <c r="L783" s="21">
        <f t="shared" si="80"/>
        <v>18.629809439391437</v>
      </c>
      <c r="M783" s="21">
        <f t="shared" si="81"/>
        <v>379.53157750434622</v>
      </c>
      <c r="N783" s="578" t="str">
        <f t="shared" si="77"/>
        <v>OK</v>
      </c>
      <c r="O783" s="607">
        <f t="shared" si="78"/>
        <v>20.372273733613888</v>
      </c>
      <c r="T783" s="73"/>
      <c r="U783" s="73"/>
      <c r="V783" s="73"/>
      <c r="W783" s="73"/>
      <c r="X783" s="73"/>
      <c r="Y783" s="73"/>
      <c r="Z783" s="73"/>
      <c r="AA783" s="73"/>
      <c r="AC783" s="73"/>
      <c r="AD783" s="73"/>
      <c r="AF783" s="73"/>
      <c r="AG783" s="143"/>
      <c r="AH783" s="143"/>
      <c r="AI783" s="143"/>
      <c r="AJ783" s="143"/>
      <c r="AK783" s="143"/>
      <c r="AL783" s="143"/>
      <c r="AM783" s="143"/>
      <c r="AN783" s="143"/>
      <c r="AO783" s="143"/>
      <c r="AP783" s="143"/>
      <c r="AQ783" s="143"/>
      <c r="AR783" s="143"/>
      <c r="AS783" s="143"/>
    </row>
    <row r="784" spans="1:45" ht="15" customHeight="1">
      <c r="A784" s="482" t="str">
        <f t="shared" si="68"/>
        <v>131i</v>
      </c>
      <c r="B784" s="21">
        <f t="shared" si="69"/>
        <v>0.15853794366690957</v>
      </c>
      <c r="C784" s="21">
        <f t="shared" si="79"/>
        <v>18.47186305521582</v>
      </c>
      <c r="D784" s="794" t="str">
        <f t="shared" si="70"/>
        <v>-</v>
      </c>
      <c r="E784" s="21">
        <f>O376*input!BI63</f>
        <v>379.53157750434622</v>
      </c>
      <c r="F784" s="794" t="str">
        <f t="shared" si="71"/>
        <v>S</v>
      </c>
      <c r="G784" s="578" t="str">
        <f t="shared" si="72"/>
        <v>-</v>
      </c>
      <c r="H784" s="21" t="str">
        <f t="shared" si="73"/>
        <v>-</v>
      </c>
      <c r="I784" s="21">
        <f t="shared" si="74"/>
        <v>200.22548440417737</v>
      </c>
      <c r="J784" s="578" t="str">
        <f t="shared" si="75"/>
        <v>-</v>
      </c>
      <c r="K784" s="578" t="str">
        <f t="shared" si="76"/>
        <v>-</v>
      </c>
      <c r="L784" s="21">
        <f t="shared" si="80"/>
        <v>18.630400998882731</v>
      </c>
      <c r="M784" s="21">
        <f t="shared" si="81"/>
        <v>379.53157750434622</v>
      </c>
      <c r="N784" s="578" t="str">
        <f t="shared" si="77"/>
        <v>OK</v>
      </c>
      <c r="O784" s="607">
        <f t="shared" si="78"/>
        <v>20.371626865525158</v>
      </c>
      <c r="T784" s="73"/>
      <c r="U784" s="73"/>
      <c r="V784" s="73"/>
      <c r="W784" s="73"/>
      <c r="X784" s="73"/>
      <c r="Y784" s="73"/>
      <c r="Z784" s="73"/>
      <c r="AA784" s="73"/>
      <c r="AC784" s="73"/>
      <c r="AD784" s="73"/>
      <c r="AF784" s="73"/>
      <c r="AG784" s="143"/>
      <c r="AH784" s="143"/>
      <c r="AI784" s="143"/>
      <c r="AJ784" s="143"/>
      <c r="AK784" s="143"/>
      <c r="AL784" s="143"/>
      <c r="AM784" s="143"/>
      <c r="AN784" s="143"/>
      <c r="AO784" s="143"/>
      <c r="AP784" s="143"/>
      <c r="AQ784" s="143"/>
      <c r="AR784" s="143"/>
      <c r="AS784" s="143"/>
    </row>
    <row r="785" spans="1:45" ht="15" customHeight="1">
      <c r="A785" s="482" t="str">
        <f t="shared" si="68"/>
        <v>131j</v>
      </c>
      <c r="B785" s="21">
        <f t="shared" si="69"/>
        <v>0</v>
      </c>
      <c r="C785" s="21">
        <f t="shared" si="79"/>
        <v>18.47186305521582</v>
      </c>
      <c r="D785" s="794" t="str">
        <f t="shared" si="70"/>
        <v>-</v>
      </c>
      <c r="E785" s="21">
        <f>O377*input!BI64</f>
        <v>379.53157750434622</v>
      </c>
      <c r="F785" s="794" t="str">
        <f t="shared" si="71"/>
        <v>S</v>
      </c>
      <c r="G785" s="578" t="str">
        <f t="shared" si="72"/>
        <v>-</v>
      </c>
      <c r="H785" s="21" t="str">
        <f t="shared" si="73"/>
        <v>-</v>
      </c>
      <c r="I785" s="21">
        <f t="shared" si="74"/>
        <v>338.96081165596377</v>
      </c>
      <c r="J785" s="578" t="str">
        <f t="shared" si="75"/>
        <v>-</v>
      </c>
      <c r="K785" s="578" t="str">
        <f t="shared" si="76"/>
        <v>-</v>
      </c>
      <c r="L785" s="21">
        <f t="shared" si="80"/>
        <v>18.47186305521582</v>
      </c>
      <c r="M785" s="21">
        <f t="shared" si="81"/>
        <v>379.53157750434622</v>
      </c>
      <c r="N785" s="578" t="str">
        <f t="shared" si="77"/>
        <v>OK</v>
      </c>
      <c r="O785" s="607">
        <f t="shared" si="78"/>
        <v>20.546469859042158</v>
      </c>
      <c r="T785" s="73"/>
      <c r="U785" s="73"/>
      <c r="V785" s="73"/>
      <c r="W785" s="73"/>
      <c r="X785" s="73"/>
      <c r="Y785" s="73"/>
      <c r="Z785" s="73"/>
      <c r="AA785" s="73"/>
      <c r="AC785" s="73"/>
      <c r="AD785" s="73"/>
      <c r="AF785" s="73"/>
      <c r="AG785" s="143"/>
      <c r="AH785" s="143"/>
      <c r="AI785" s="143"/>
      <c r="AJ785" s="143"/>
      <c r="AK785" s="143"/>
      <c r="AL785" s="143"/>
      <c r="AM785" s="143"/>
      <c r="AN785" s="143"/>
      <c r="AO785" s="143"/>
      <c r="AP785" s="143"/>
      <c r="AQ785" s="143"/>
      <c r="AR785" s="143"/>
      <c r="AS785" s="143"/>
    </row>
    <row r="786" spans="1:45" ht="15" customHeight="1">
      <c r="A786" s="348"/>
      <c r="B786" s="207"/>
      <c r="C786" s="170"/>
      <c r="D786" s="170"/>
      <c r="E786" s="170"/>
      <c r="F786" s="242"/>
      <c r="G786" s="242"/>
      <c r="H786" s="242"/>
      <c r="I786" s="220"/>
      <c r="J786" s="220"/>
      <c r="K786" s="348"/>
      <c r="L786" s="348"/>
      <c r="M786" s="242"/>
      <c r="N786" s="242"/>
      <c r="O786" s="242"/>
      <c r="P786" s="242"/>
      <c r="Q786" s="242"/>
      <c r="R786" s="242"/>
      <c r="S786" s="348"/>
      <c r="T786" s="348"/>
      <c r="U786" s="348"/>
      <c r="V786" s="348"/>
      <c r="W786" s="348"/>
      <c r="X786" s="348"/>
      <c r="Y786" s="242"/>
      <c r="Z786" s="242"/>
    </row>
    <row r="787" spans="1:45" ht="15" customHeight="1" thickBot="1">
      <c r="A787" s="468" t="s">
        <v>3339</v>
      </c>
      <c r="B787" s="1792"/>
      <c r="C787" s="1233"/>
      <c r="D787" s="1233"/>
      <c r="E787" s="1795"/>
      <c r="F787" s="1795"/>
      <c r="G787" s="1795"/>
      <c r="H787" s="1795"/>
      <c r="I787" s="220"/>
      <c r="J787" s="220"/>
      <c r="K787" s="1792"/>
      <c r="L787" s="1792"/>
      <c r="M787" s="1795"/>
      <c r="N787" s="1795"/>
      <c r="O787" s="1795"/>
      <c r="P787" s="1795"/>
      <c r="Q787" s="1795"/>
      <c r="R787" s="1795"/>
      <c r="S787" s="1792"/>
      <c r="T787" s="1792"/>
      <c r="U787" s="1792"/>
      <c r="V787" s="1792"/>
      <c r="W787" s="1792"/>
      <c r="X787" s="1792"/>
      <c r="Y787" s="1795"/>
      <c r="Z787" s="1795"/>
      <c r="AD787" s="1794"/>
      <c r="AF787" s="1794"/>
    </row>
    <row r="788" spans="1:45" ht="15" customHeight="1">
      <c r="A788" s="659" t="s">
        <v>16</v>
      </c>
      <c r="B788" s="660" t="s">
        <v>117</v>
      </c>
      <c r="C788" s="1941" t="s">
        <v>3340</v>
      </c>
      <c r="D788" s="1942"/>
      <c r="E788" s="1942"/>
      <c r="F788" s="1943"/>
      <c r="G788" s="1945" t="s">
        <v>3341</v>
      </c>
      <c r="H788" s="1945"/>
      <c r="I788" s="1945"/>
      <c r="J788" s="1946"/>
      <c r="L788" s="14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143"/>
      <c r="AD788" s="143"/>
      <c r="AE788" s="143"/>
      <c r="AF788" s="143"/>
      <c r="AG788" s="143"/>
      <c r="AH788" s="143"/>
      <c r="AI788" s="143"/>
      <c r="AJ788" s="143"/>
      <c r="AK788" s="143"/>
      <c r="AL788" s="143"/>
      <c r="AM788" s="143"/>
      <c r="AN788" s="143"/>
      <c r="AO788" s="143"/>
      <c r="AP788" s="143"/>
      <c r="AQ788" s="143"/>
      <c r="AR788" s="143"/>
      <c r="AS788" s="143"/>
    </row>
    <row r="789" spans="1:45" ht="15" customHeight="1">
      <c r="A789" s="661"/>
      <c r="B789" s="662"/>
      <c r="C789" s="621" t="s">
        <v>117</v>
      </c>
      <c r="D789" s="621" t="s">
        <v>3321</v>
      </c>
      <c r="E789" s="621" t="s">
        <v>3</v>
      </c>
      <c r="F789" s="621" t="s">
        <v>3334</v>
      </c>
      <c r="G789" s="621" t="s">
        <v>117</v>
      </c>
      <c r="H789" s="621" t="s">
        <v>3323</v>
      </c>
      <c r="I789" s="621" t="s">
        <v>3</v>
      </c>
      <c r="J789" s="1828" t="s">
        <v>498</v>
      </c>
      <c r="L789" s="14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143"/>
      <c r="AD789" s="143"/>
      <c r="AE789" s="143"/>
      <c r="AF789" s="143"/>
      <c r="AG789" s="143"/>
      <c r="AH789" s="143"/>
      <c r="AI789" s="143"/>
      <c r="AJ789" s="143"/>
      <c r="AK789" s="143"/>
      <c r="AL789" s="143"/>
      <c r="AM789" s="143"/>
      <c r="AN789" s="143"/>
      <c r="AO789" s="143"/>
      <c r="AP789" s="143"/>
      <c r="AQ789" s="143"/>
      <c r="AR789" s="143"/>
      <c r="AS789" s="143"/>
    </row>
    <row r="790" spans="1:45" ht="15" customHeight="1">
      <c r="A790" s="482" t="str">
        <f>A95</f>
        <v>101i</v>
      </c>
      <c r="B790" s="21">
        <f>C161</f>
        <v>-3.8833456155582815E-4</v>
      </c>
      <c r="C790" s="21">
        <f>IF(B790&gt;=0,"-",-B790)</f>
        <v>3.8833456155582815E-4</v>
      </c>
      <c r="D790" s="794">
        <f>F649</f>
        <v>240.2705825904784</v>
      </c>
      <c r="E790" s="578" t="str">
        <f>IF(C790="-","-",IF(C790&lt;=D790,"OK","NG"))</f>
        <v>OK</v>
      </c>
      <c r="F790" s="578">
        <f>IF(C790="-","-",D790/C790)</f>
        <v>618720.57338356785</v>
      </c>
      <c r="G790" s="21" t="str">
        <f>IF(B790&gt;=0,B790,"-")</f>
        <v>-</v>
      </c>
      <c r="H790" s="21">
        <f>K649</f>
        <v>379.51910719072885</v>
      </c>
      <c r="I790" s="578" t="str">
        <f>IF(G790="-","-",IF(G790&lt;=H790,"OK","NG"))</f>
        <v>-</v>
      </c>
      <c r="J790" s="607" t="str">
        <f>IF(G790="-","-",H790/G790)</f>
        <v>-</v>
      </c>
      <c r="L790" s="143"/>
      <c r="O790" s="73"/>
      <c r="P790" s="73"/>
      <c r="Q790" s="73"/>
      <c r="R790" s="73"/>
      <c r="S790" s="73"/>
      <c r="Y790" s="143"/>
      <c r="AB790" s="143"/>
      <c r="AD790" s="143"/>
      <c r="AE790" s="143"/>
      <c r="AF790" s="143"/>
      <c r="AG790" s="143"/>
      <c r="AH790" s="143"/>
      <c r="AI790" s="143"/>
      <c r="AJ790" s="143"/>
      <c r="AK790" s="143"/>
      <c r="AL790" s="143"/>
      <c r="AM790" s="143"/>
      <c r="AN790" s="143"/>
      <c r="AO790" s="143"/>
      <c r="AP790" s="143"/>
      <c r="AQ790" s="143"/>
      <c r="AR790" s="143"/>
      <c r="AS790" s="143"/>
    </row>
    <row r="791" spans="1:45" ht="15" customHeight="1">
      <c r="A791" s="482" t="str">
        <f t="shared" ref="A791:A851" si="82">A96</f>
        <v>101j</v>
      </c>
      <c r="B791" s="21">
        <f t="shared" ref="B791:B851" si="83">C162</f>
        <v>-0.13889432818313455</v>
      </c>
      <c r="C791" s="21">
        <f t="shared" ref="C791:C851" si="84">IF(B791&gt;=0,"-",-B791)</f>
        <v>0.13889432818313455</v>
      </c>
      <c r="D791" s="794">
        <f t="shared" ref="D791:D851" si="85">F650</f>
        <v>240.27058204226756</v>
      </c>
      <c r="E791" s="578" t="str">
        <f t="shared" ref="E791:E851" si="86">IF(C791="-","-",IF(C791&lt;=D791,"OK","NG"))</f>
        <v>OK</v>
      </c>
      <c r="F791" s="578">
        <f t="shared" ref="F791:F851" si="87">IF(C791="-","-",D791/C791)</f>
        <v>1729.8804435373825</v>
      </c>
      <c r="G791" s="21" t="str">
        <f t="shared" ref="G791:G851" si="88">IF(B791&gt;=0,B791,"-")</f>
        <v>-</v>
      </c>
      <c r="H791" s="21">
        <f t="shared" ref="H791:H851" si="89">K650</f>
        <v>379.51910719072885</v>
      </c>
      <c r="I791" s="578" t="str">
        <f t="shared" ref="I791:I851" si="90">IF(G791="-","-",IF(G791&lt;=H791,"OK","NG"))</f>
        <v>-</v>
      </c>
      <c r="J791" s="607" t="str">
        <f t="shared" ref="J791:J851" si="91">IF(G791="-","-",H791/G791)</f>
        <v>-</v>
      </c>
      <c r="L791" s="143"/>
      <c r="O791" s="73"/>
      <c r="P791" s="73"/>
      <c r="Q791" s="73"/>
      <c r="R791" s="73"/>
      <c r="S791" s="73"/>
      <c r="Y791" s="143"/>
      <c r="AB791" s="143"/>
      <c r="AD791" s="143"/>
      <c r="AE791" s="143"/>
      <c r="AF791" s="143"/>
      <c r="AG791" s="143"/>
      <c r="AH791" s="143"/>
      <c r="AI791" s="143"/>
      <c r="AJ791" s="143"/>
      <c r="AK791" s="143"/>
      <c r="AL791" s="143"/>
      <c r="AM791" s="143"/>
      <c r="AN791" s="143"/>
      <c r="AO791" s="143"/>
      <c r="AP791" s="143"/>
      <c r="AQ791" s="143"/>
      <c r="AR791" s="143"/>
      <c r="AS791" s="143"/>
    </row>
    <row r="792" spans="1:45" ht="15" customHeight="1">
      <c r="A792" s="482" t="str">
        <f t="shared" si="82"/>
        <v>102i</v>
      </c>
      <c r="B792" s="21">
        <f t="shared" si="83"/>
        <v>-0.13941210759854231</v>
      </c>
      <c r="C792" s="21">
        <f t="shared" si="84"/>
        <v>0.13941210759854231</v>
      </c>
      <c r="D792" s="794">
        <f t="shared" si="85"/>
        <v>240.26979328570704</v>
      </c>
      <c r="E792" s="578" t="str">
        <f t="shared" si="86"/>
        <v>OK</v>
      </c>
      <c r="F792" s="578">
        <f t="shared" si="87"/>
        <v>1723.4499745000578</v>
      </c>
      <c r="G792" s="21" t="str">
        <f t="shared" si="88"/>
        <v>-</v>
      </c>
      <c r="H792" s="21">
        <f t="shared" si="89"/>
        <v>379.51910719072885</v>
      </c>
      <c r="I792" s="578" t="str">
        <f t="shared" si="90"/>
        <v>-</v>
      </c>
      <c r="J792" s="607" t="str">
        <f t="shared" si="91"/>
        <v>-</v>
      </c>
      <c r="L792" s="143"/>
      <c r="O792" s="73"/>
      <c r="P792" s="73"/>
      <c r="Q792" s="73"/>
      <c r="R792" s="73"/>
      <c r="S792" s="73"/>
      <c r="Y792" s="143"/>
      <c r="AB792" s="143"/>
      <c r="AD792" s="143"/>
      <c r="AE792" s="143"/>
      <c r="AF792" s="143"/>
      <c r="AG792" s="143"/>
      <c r="AH792" s="143"/>
      <c r="AI792" s="143"/>
      <c r="AJ792" s="143"/>
      <c r="AK792" s="143"/>
      <c r="AL792" s="143"/>
      <c r="AM792" s="143"/>
      <c r="AN792" s="143"/>
      <c r="AO792" s="143"/>
      <c r="AP792" s="143"/>
      <c r="AQ792" s="143"/>
      <c r="AR792" s="143"/>
      <c r="AS792" s="143"/>
    </row>
    <row r="793" spans="1:45" ht="15" customHeight="1">
      <c r="A793" s="482" t="str">
        <f t="shared" si="82"/>
        <v>102j</v>
      </c>
      <c r="B793" s="21">
        <f t="shared" si="83"/>
        <v>68.640593207215815</v>
      </c>
      <c r="C793" s="21" t="str">
        <f t="shared" si="84"/>
        <v>-</v>
      </c>
      <c r="D793" s="794">
        <f t="shared" si="85"/>
        <v>338.95279763710556</v>
      </c>
      <c r="E793" s="578" t="str">
        <f t="shared" si="86"/>
        <v>-</v>
      </c>
      <c r="F793" s="578" t="str">
        <f t="shared" si="87"/>
        <v>-</v>
      </c>
      <c r="G793" s="21">
        <f t="shared" si="88"/>
        <v>68.640593207215815</v>
      </c>
      <c r="H793" s="21">
        <f t="shared" si="89"/>
        <v>379.51905124209532</v>
      </c>
      <c r="I793" s="578" t="str">
        <f t="shared" si="90"/>
        <v>OK</v>
      </c>
      <c r="J793" s="607">
        <f t="shared" si="91"/>
        <v>5.5290759229947701</v>
      </c>
      <c r="L793" s="143"/>
      <c r="O793" s="73"/>
      <c r="P793" s="73"/>
      <c r="Q793" s="73"/>
      <c r="R793" s="73"/>
      <c r="S793" s="73"/>
      <c r="Y793" s="143"/>
      <c r="AB793" s="143"/>
      <c r="AD793" s="143"/>
      <c r="AE793" s="143"/>
      <c r="AF793" s="143"/>
      <c r="AG793" s="143"/>
      <c r="AH793" s="143"/>
      <c r="AI793" s="143"/>
      <c r="AJ793" s="143"/>
      <c r="AK793" s="143"/>
      <c r="AL793" s="143"/>
      <c r="AM793" s="143"/>
      <c r="AN793" s="143"/>
      <c r="AO793" s="143"/>
      <c r="AP793" s="143"/>
      <c r="AQ793" s="143"/>
      <c r="AR793" s="143"/>
      <c r="AS793" s="143"/>
    </row>
    <row r="794" spans="1:45" ht="15" customHeight="1">
      <c r="A794" s="482" t="str">
        <f t="shared" si="82"/>
        <v>103i</v>
      </c>
      <c r="B794" s="21">
        <f t="shared" si="83"/>
        <v>48.270319577395639</v>
      </c>
      <c r="C794" s="21" t="str">
        <f t="shared" si="84"/>
        <v>-</v>
      </c>
      <c r="D794" s="794">
        <f t="shared" si="85"/>
        <v>348.87123953188353</v>
      </c>
      <c r="E794" s="578" t="str">
        <f t="shared" si="86"/>
        <v>-</v>
      </c>
      <c r="F794" s="578" t="str">
        <f t="shared" si="87"/>
        <v>-</v>
      </c>
      <c r="G794" s="21">
        <f t="shared" si="88"/>
        <v>48.270319577395639</v>
      </c>
      <c r="H794" s="21">
        <f t="shared" si="89"/>
        <v>379.59823864278871</v>
      </c>
      <c r="I794" s="578" t="str">
        <f t="shared" si="90"/>
        <v>OK</v>
      </c>
      <c r="J794" s="607">
        <f t="shared" si="91"/>
        <v>7.8640092289869488</v>
      </c>
      <c r="L794" s="143"/>
      <c r="O794" s="73"/>
      <c r="P794" s="73"/>
      <c r="Q794" s="73"/>
      <c r="R794" s="73"/>
      <c r="S794" s="73"/>
      <c r="Y794" s="143"/>
      <c r="AB794" s="143"/>
      <c r="AD794" s="143"/>
      <c r="AE794" s="143"/>
      <c r="AF794" s="143"/>
      <c r="AG794" s="143"/>
      <c r="AH794" s="143"/>
      <c r="AI794" s="143"/>
      <c r="AJ794" s="143"/>
      <c r="AK794" s="143"/>
      <c r="AL794" s="143"/>
      <c r="AM794" s="143"/>
      <c r="AN794" s="143"/>
      <c r="AO794" s="143"/>
      <c r="AP794" s="143"/>
      <c r="AQ794" s="143"/>
      <c r="AR794" s="143"/>
      <c r="AS794" s="143"/>
    </row>
    <row r="795" spans="1:45" ht="15" customHeight="1">
      <c r="A795" s="482" t="str">
        <f t="shared" si="82"/>
        <v>103j</v>
      </c>
      <c r="B795" s="21">
        <f t="shared" si="83"/>
        <v>109.43406792675474</v>
      </c>
      <c r="C795" s="21" t="str">
        <f t="shared" si="84"/>
        <v>-</v>
      </c>
      <c r="D795" s="794">
        <f t="shared" si="85"/>
        <v>348.87123953188353</v>
      </c>
      <c r="E795" s="578" t="str">
        <f t="shared" si="86"/>
        <v>-</v>
      </c>
      <c r="F795" s="578" t="str">
        <f t="shared" si="87"/>
        <v>-</v>
      </c>
      <c r="G795" s="21">
        <f t="shared" si="88"/>
        <v>109.43406792675474</v>
      </c>
      <c r="H795" s="21">
        <f t="shared" si="89"/>
        <v>379.59824245685536</v>
      </c>
      <c r="I795" s="578" t="str">
        <f t="shared" si="90"/>
        <v>OK</v>
      </c>
      <c r="J795" s="607">
        <f t="shared" si="91"/>
        <v>3.4687392111835238</v>
      </c>
      <c r="L795" s="143"/>
      <c r="O795" s="73"/>
      <c r="P795" s="73"/>
      <c r="Q795" s="73"/>
      <c r="R795" s="73"/>
      <c r="S795" s="73"/>
      <c r="Y795" s="143"/>
      <c r="AB795" s="143"/>
      <c r="AD795" s="143"/>
      <c r="AE795" s="143"/>
      <c r="AF795" s="143"/>
      <c r="AG795" s="143"/>
      <c r="AH795" s="143"/>
      <c r="AI795" s="143"/>
      <c r="AJ795" s="143"/>
      <c r="AK795" s="143"/>
      <c r="AL795" s="143"/>
      <c r="AM795" s="143"/>
      <c r="AN795" s="143"/>
      <c r="AO795" s="143"/>
      <c r="AP795" s="143"/>
      <c r="AQ795" s="143"/>
      <c r="AR795" s="143"/>
      <c r="AS795" s="143"/>
    </row>
    <row r="796" spans="1:45" ht="15" customHeight="1">
      <c r="A796" s="482" t="str">
        <f t="shared" si="82"/>
        <v>104i</v>
      </c>
      <c r="B796" s="21">
        <f t="shared" si="83"/>
        <v>109.43379483610656</v>
      </c>
      <c r="C796" s="21" t="str">
        <f t="shared" si="84"/>
        <v>-</v>
      </c>
      <c r="D796" s="794">
        <f t="shared" si="85"/>
        <v>348.87123953188353</v>
      </c>
      <c r="E796" s="578" t="str">
        <f t="shared" si="86"/>
        <v>-</v>
      </c>
      <c r="F796" s="578" t="str">
        <f t="shared" si="87"/>
        <v>-</v>
      </c>
      <c r="G796" s="21">
        <f t="shared" si="88"/>
        <v>109.43379483610656</v>
      </c>
      <c r="H796" s="21">
        <f t="shared" si="89"/>
        <v>379.59825446002986</v>
      </c>
      <c r="I796" s="578" t="str">
        <f t="shared" si="90"/>
        <v>OK</v>
      </c>
      <c r="J796" s="607">
        <f t="shared" si="91"/>
        <v>3.4687479770626148</v>
      </c>
      <c r="L796" s="143"/>
      <c r="O796" s="73"/>
      <c r="P796" s="73"/>
      <c r="Q796" s="73"/>
      <c r="R796" s="73"/>
      <c r="S796" s="73"/>
      <c r="Y796" s="143"/>
      <c r="AB796" s="143"/>
      <c r="AD796" s="143"/>
      <c r="AE796" s="143"/>
      <c r="AF796" s="143"/>
      <c r="AG796" s="143"/>
      <c r="AH796" s="143"/>
      <c r="AI796" s="143"/>
      <c r="AJ796" s="143"/>
      <c r="AK796" s="143"/>
      <c r="AL796" s="143"/>
      <c r="AM796" s="143"/>
      <c r="AN796" s="143"/>
      <c r="AO796" s="143"/>
      <c r="AP796" s="143"/>
      <c r="AQ796" s="143"/>
      <c r="AR796" s="143"/>
      <c r="AS796" s="143"/>
    </row>
    <row r="797" spans="1:45" ht="15" customHeight="1">
      <c r="A797" s="482" t="str">
        <f t="shared" si="82"/>
        <v>104j</v>
      </c>
      <c r="B797" s="21">
        <f t="shared" si="83"/>
        <v>178.10252934820704</v>
      </c>
      <c r="C797" s="21" t="str">
        <f t="shared" si="84"/>
        <v>-</v>
      </c>
      <c r="D797" s="794">
        <f t="shared" si="85"/>
        <v>348.87123953188353</v>
      </c>
      <c r="E797" s="578" t="str">
        <f t="shared" si="86"/>
        <v>-</v>
      </c>
      <c r="F797" s="578" t="str">
        <f t="shared" si="87"/>
        <v>-</v>
      </c>
      <c r="G797" s="21">
        <f t="shared" si="88"/>
        <v>178.10252934820704</v>
      </c>
      <c r="H797" s="21">
        <f t="shared" si="89"/>
        <v>379.59825745400781</v>
      </c>
      <c r="I797" s="578" t="str">
        <f t="shared" si="90"/>
        <v>OK</v>
      </c>
      <c r="J797" s="607">
        <f t="shared" si="91"/>
        <v>2.1313468081739471</v>
      </c>
      <c r="L797" s="143"/>
      <c r="O797" s="122"/>
      <c r="P797" s="122"/>
      <c r="Q797" s="122"/>
      <c r="R797" s="122"/>
      <c r="S797" s="122"/>
      <c r="T797" s="170"/>
      <c r="Y797" s="143"/>
      <c r="AB797" s="143"/>
      <c r="AD797" s="143"/>
      <c r="AE797" s="143"/>
      <c r="AF797" s="143"/>
      <c r="AG797" s="143"/>
      <c r="AH797" s="143"/>
      <c r="AI797" s="143"/>
      <c r="AJ797" s="143"/>
      <c r="AK797" s="143"/>
      <c r="AL797" s="143"/>
      <c r="AM797" s="143"/>
      <c r="AN797" s="143"/>
      <c r="AO797" s="143"/>
      <c r="AP797" s="143"/>
      <c r="AQ797" s="143"/>
      <c r="AR797" s="143"/>
      <c r="AS797" s="143"/>
    </row>
    <row r="798" spans="1:45" ht="15" customHeight="1">
      <c r="A798" s="482" t="str">
        <f t="shared" si="82"/>
        <v>105i</v>
      </c>
      <c r="B798" s="21">
        <f t="shared" si="83"/>
        <v>114.65459966380237</v>
      </c>
      <c r="C798" s="21" t="str">
        <f t="shared" si="84"/>
        <v>-</v>
      </c>
      <c r="D798" s="794">
        <f t="shared" si="85"/>
        <v>350.19704325766514</v>
      </c>
      <c r="E798" s="578" t="str">
        <f t="shared" si="86"/>
        <v>-</v>
      </c>
      <c r="F798" s="578" t="str">
        <f t="shared" si="87"/>
        <v>-</v>
      </c>
      <c r="G798" s="21">
        <f t="shared" si="88"/>
        <v>114.65459966380237</v>
      </c>
      <c r="H798" s="21">
        <f t="shared" si="89"/>
        <v>379.6407262407015</v>
      </c>
      <c r="I798" s="578" t="str">
        <f t="shared" si="90"/>
        <v>OK</v>
      </c>
      <c r="J798" s="607">
        <f t="shared" si="91"/>
        <v>3.3111687394479468</v>
      </c>
      <c r="L798" s="143"/>
      <c r="O798" s="122"/>
      <c r="P798" s="122"/>
      <c r="Q798" s="122"/>
      <c r="R798" s="73"/>
      <c r="S798" s="73"/>
      <c r="Y798" s="143"/>
      <c r="AB798" s="143"/>
      <c r="AD798" s="143"/>
      <c r="AE798" s="143"/>
      <c r="AF798" s="143"/>
      <c r="AG798" s="143"/>
      <c r="AH798" s="143"/>
      <c r="AI798" s="143"/>
      <c r="AJ798" s="143"/>
      <c r="AK798" s="143"/>
      <c r="AL798" s="143"/>
      <c r="AM798" s="143"/>
      <c r="AN798" s="143"/>
      <c r="AO798" s="143"/>
      <c r="AP798" s="143"/>
      <c r="AQ798" s="143"/>
      <c r="AR798" s="143"/>
      <c r="AS798" s="143"/>
    </row>
    <row r="799" spans="1:45" ht="15" customHeight="1">
      <c r="A799" s="482" t="str">
        <f t="shared" si="82"/>
        <v>105j</v>
      </c>
      <c r="B799" s="21">
        <f t="shared" si="83"/>
        <v>151.03585828821303</v>
      </c>
      <c r="C799" s="21" t="str">
        <f t="shared" si="84"/>
        <v>-</v>
      </c>
      <c r="D799" s="794">
        <f t="shared" si="85"/>
        <v>350.19704325766514</v>
      </c>
      <c r="E799" s="578" t="str">
        <f t="shared" si="86"/>
        <v>-</v>
      </c>
      <c r="F799" s="578" t="str">
        <f t="shared" si="87"/>
        <v>-</v>
      </c>
      <c r="G799" s="21">
        <f t="shared" si="88"/>
        <v>151.03585828821303</v>
      </c>
      <c r="H799" s="21">
        <f t="shared" si="89"/>
        <v>379.64072773749405</v>
      </c>
      <c r="I799" s="578" t="str">
        <f t="shared" si="90"/>
        <v>OK</v>
      </c>
      <c r="J799" s="607">
        <f t="shared" si="91"/>
        <v>2.5135800997207398</v>
      </c>
      <c r="L799" s="143"/>
      <c r="O799" s="122"/>
      <c r="P799" s="122"/>
      <c r="Q799" s="122"/>
      <c r="R799" s="73"/>
      <c r="S799" s="73"/>
      <c r="Y799" s="143"/>
      <c r="AB799" s="143"/>
      <c r="AD799" s="143"/>
      <c r="AE799" s="143"/>
      <c r="AF799" s="143"/>
      <c r="AG799" s="143"/>
      <c r="AH799" s="143"/>
      <c r="AI799" s="143"/>
      <c r="AJ799" s="143"/>
      <c r="AK799" s="143"/>
      <c r="AL799" s="143"/>
      <c r="AM799" s="143"/>
      <c r="AN799" s="143"/>
      <c r="AO799" s="143"/>
      <c r="AP799" s="143"/>
      <c r="AQ799" s="143"/>
      <c r="AR799" s="143"/>
      <c r="AS799" s="143"/>
    </row>
    <row r="800" spans="1:45" ht="15" customHeight="1">
      <c r="A800" s="482" t="str">
        <f t="shared" si="82"/>
        <v>106i</v>
      </c>
      <c r="B800" s="21">
        <f t="shared" si="83"/>
        <v>151.03544807791161</v>
      </c>
      <c r="C800" s="21" t="str">
        <f t="shared" si="84"/>
        <v>-</v>
      </c>
      <c r="D800" s="794">
        <f t="shared" si="85"/>
        <v>350.19704325766514</v>
      </c>
      <c r="E800" s="578" t="str">
        <f t="shared" si="86"/>
        <v>-</v>
      </c>
      <c r="F800" s="578" t="str">
        <f t="shared" si="87"/>
        <v>-</v>
      </c>
      <c r="G800" s="21">
        <f t="shared" si="88"/>
        <v>151.03544807791161</v>
      </c>
      <c r="H800" s="21">
        <f t="shared" si="89"/>
        <v>379.64072957976401</v>
      </c>
      <c r="I800" s="578" t="str">
        <f t="shared" si="90"/>
        <v>OK</v>
      </c>
      <c r="J800" s="607">
        <f t="shared" si="91"/>
        <v>2.5135869387690128</v>
      </c>
      <c r="L800" s="143"/>
      <c r="O800" s="122"/>
      <c r="P800" s="122"/>
      <c r="Q800" s="122"/>
      <c r="R800" s="73"/>
      <c r="S800" s="73"/>
      <c r="Y800" s="143"/>
      <c r="AB800" s="143"/>
      <c r="AD800" s="143"/>
      <c r="AE800" s="143"/>
      <c r="AF800" s="143"/>
      <c r="AG800" s="143"/>
      <c r="AH800" s="143"/>
      <c r="AI800" s="143"/>
      <c r="AJ800" s="143"/>
      <c r="AK800" s="143"/>
      <c r="AL800" s="143"/>
      <c r="AM800" s="143"/>
      <c r="AN800" s="143"/>
      <c r="AO800" s="143"/>
      <c r="AP800" s="143"/>
      <c r="AQ800" s="143"/>
      <c r="AR800" s="143"/>
      <c r="AS800" s="143"/>
    </row>
    <row r="801" spans="1:45" ht="15" customHeight="1">
      <c r="A801" s="482" t="str">
        <f t="shared" si="82"/>
        <v>106j</v>
      </c>
      <c r="B801" s="21">
        <f t="shared" si="83"/>
        <v>176.32936687148444</v>
      </c>
      <c r="C801" s="21" t="str">
        <f t="shared" si="84"/>
        <v>-</v>
      </c>
      <c r="D801" s="794">
        <f t="shared" si="85"/>
        <v>350.19704325766514</v>
      </c>
      <c r="E801" s="578" t="str">
        <f t="shared" si="86"/>
        <v>-</v>
      </c>
      <c r="F801" s="578" t="str">
        <f t="shared" si="87"/>
        <v>-</v>
      </c>
      <c r="G801" s="21">
        <f t="shared" si="88"/>
        <v>176.32936687148444</v>
      </c>
      <c r="H801" s="21">
        <f t="shared" si="89"/>
        <v>379.6407300654667</v>
      </c>
      <c r="I801" s="578" t="str">
        <f t="shared" si="90"/>
        <v>OK</v>
      </c>
      <c r="J801" s="607">
        <f t="shared" si="91"/>
        <v>2.1530204344359913</v>
      </c>
      <c r="L801" s="143"/>
      <c r="O801" s="122"/>
      <c r="P801" s="122"/>
      <c r="Q801" s="122"/>
      <c r="R801" s="73"/>
      <c r="S801" s="73"/>
      <c r="Y801" s="143"/>
      <c r="AB801" s="143"/>
      <c r="AD801" s="143"/>
      <c r="AE801" s="143"/>
      <c r="AF801" s="143"/>
      <c r="AG801" s="143"/>
      <c r="AH801" s="143"/>
      <c r="AI801" s="143"/>
      <c r="AJ801" s="143"/>
      <c r="AK801" s="143"/>
      <c r="AL801" s="143"/>
      <c r="AM801" s="143"/>
      <c r="AN801" s="143"/>
      <c r="AO801" s="143"/>
      <c r="AP801" s="143"/>
      <c r="AQ801" s="143"/>
      <c r="AR801" s="143"/>
      <c r="AS801" s="143"/>
    </row>
    <row r="802" spans="1:45" ht="15" customHeight="1">
      <c r="A802" s="482" t="str">
        <f t="shared" si="82"/>
        <v>107i</v>
      </c>
      <c r="B802" s="21">
        <f t="shared" si="83"/>
        <v>152.52984807081745</v>
      </c>
      <c r="C802" s="21" t="str">
        <f t="shared" si="84"/>
        <v>-</v>
      </c>
      <c r="D802" s="794">
        <f t="shared" si="85"/>
        <v>363.72026906765205</v>
      </c>
      <c r="E802" s="578" t="str">
        <f t="shared" si="86"/>
        <v>-</v>
      </c>
      <c r="F802" s="578" t="str">
        <f t="shared" si="87"/>
        <v>-</v>
      </c>
      <c r="G802" s="21">
        <f t="shared" si="88"/>
        <v>152.52984807081745</v>
      </c>
      <c r="H802" s="21">
        <f t="shared" si="89"/>
        <v>379.70896094331596</v>
      </c>
      <c r="I802" s="578" t="str">
        <f t="shared" si="90"/>
        <v>OK</v>
      </c>
      <c r="J802" s="607">
        <f t="shared" si="91"/>
        <v>2.4894075864221832</v>
      </c>
      <c r="L802" s="143"/>
      <c r="O802" s="122"/>
      <c r="P802" s="122"/>
      <c r="Q802" s="122"/>
      <c r="R802" s="73"/>
      <c r="S802" s="73"/>
      <c r="Y802" s="143"/>
      <c r="AB802" s="143"/>
      <c r="AD802" s="143"/>
      <c r="AE802" s="143"/>
      <c r="AF802" s="143"/>
      <c r="AG802" s="143"/>
      <c r="AH802" s="143"/>
      <c r="AI802" s="143"/>
      <c r="AJ802" s="143"/>
      <c r="AK802" s="143"/>
      <c r="AL802" s="143"/>
      <c r="AM802" s="143"/>
      <c r="AN802" s="143"/>
      <c r="AO802" s="143"/>
      <c r="AP802" s="143"/>
      <c r="AQ802" s="143"/>
      <c r="AR802" s="143"/>
      <c r="AS802" s="143"/>
    </row>
    <row r="803" spans="1:45" ht="15" customHeight="1">
      <c r="A803" s="482" t="str">
        <f t="shared" si="82"/>
        <v>107j</v>
      </c>
      <c r="B803" s="21">
        <f t="shared" si="83"/>
        <v>167.21044453061862</v>
      </c>
      <c r="C803" s="21" t="str">
        <f t="shared" si="84"/>
        <v>-</v>
      </c>
      <c r="D803" s="794">
        <f t="shared" si="85"/>
        <v>363.72026906765205</v>
      </c>
      <c r="E803" s="578" t="str">
        <f t="shared" si="86"/>
        <v>-</v>
      </c>
      <c r="F803" s="578" t="str">
        <f t="shared" si="87"/>
        <v>-</v>
      </c>
      <c r="G803" s="21">
        <f t="shared" si="88"/>
        <v>167.21044453061862</v>
      </c>
      <c r="H803" s="21">
        <f t="shared" si="89"/>
        <v>379.70896106212643</v>
      </c>
      <c r="I803" s="578" t="str">
        <f t="shared" si="90"/>
        <v>OK</v>
      </c>
      <c r="J803" s="607">
        <f t="shared" si="91"/>
        <v>2.2708447557090032</v>
      </c>
      <c r="L803" s="143"/>
      <c r="O803" s="73"/>
      <c r="P803" s="73"/>
      <c r="Q803" s="73"/>
      <c r="R803" s="73"/>
      <c r="S803" s="73"/>
      <c r="Y803" s="143"/>
      <c r="AB803" s="143"/>
      <c r="AD803" s="143"/>
      <c r="AE803" s="143"/>
      <c r="AF803" s="143"/>
      <c r="AG803" s="143"/>
      <c r="AH803" s="143"/>
      <c r="AI803" s="143"/>
      <c r="AJ803" s="143"/>
      <c r="AK803" s="143"/>
      <c r="AL803" s="143"/>
      <c r="AM803" s="143"/>
      <c r="AN803" s="143"/>
      <c r="AO803" s="143"/>
      <c r="AP803" s="143"/>
      <c r="AQ803" s="143"/>
      <c r="AR803" s="143"/>
      <c r="AS803" s="143"/>
    </row>
    <row r="804" spans="1:45" ht="15" customHeight="1">
      <c r="A804" s="482" t="str">
        <f t="shared" si="82"/>
        <v>108i</v>
      </c>
      <c r="B804" s="21">
        <f t="shared" si="83"/>
        <v>167.21024176274994</v>
      </c>
      <c r="C804" s="21" t="str">
        <f t="shared" si="84"/>
        <v>-</v>
      </c>
      <c r="D804" s="794">
        <f t="shared" si="85"/>
        <v>363.72026906765205</v>
      </c>
      <c r="E804" s="578" t="str">
        <f t="shared" si="86"/>
        <v>-</v>
      </c>
      <c r="F804" s="578" t="str">
        <f t="shared" si="87"/>
        <v>-</v>
      </c>
      <c r="G804" s="21">
        <f t="shared" si="88"/>
        <v>167.21024176274994</v>
      </c>
      <c r="H804" s="21">
        <f t="shared" si="89"/>
        <v>379.70895933110307</v>
      </c>
      <c r="I804" s="578" t="str">
        <f t="shared" si="90"/>
        <v>OK</v>
      </c>
      <c r="J804" s="607">
        <f t="shared" si="91"/>
        <v>2.2708474991015311</v>
      </c>
      <c r="L804" s="143"/>
      <c r="O804" s="73"/>
      <c r="P804" s="73"/>
      <c r="Q804" s="73"/>
      <c r="R804" s="73"/>
      <c r="S804" s="73"/>
      <c r="Y804" s="143"/>
      <c r="AB804" s="143"/>
      <c r="AD804" s="143"/>
      <c r="AE804" s="143"/>
      <c r="AF804" s="143"/>
      <c r="AG804" s="143"/>
      <c r="AH804" s="143"/>
      <c r="AI804" s="143"/>
      <c r="AJ804" s="143"/>
      <c r="AK804" s="143"/>
      <c r="AL804" s="143"/>
      <c r="AM804" s="143"/>
      <c r="AN804" s="143"/>
      <c r="AO804" s="143"/>
      <c r="AP804" s="143"/>
      <c r="AQ804" s="143"/>
      <c r="AR804" s="143"/>
      <c r="AS804" s="143"/>
    </row>
    <row r="805" spans="1:45" ht="15" customHeight="1">
      <c r="A805" s="482" t="str">
        <f t="shared" si="82"/>
        <v>108j</v>
      </c>
      <c r="B805" s="21">
        <f t="shared" si="83"/>
        <v>171.84009120013002</v>
      </c>
      <c r="C805" s="21" t="str">
        <f t="shared" si="84"/>
        <v>-</v>
      </c>
      <c r="D805" s="794">
        <f t="shared" si="85"/>
        <v>363.72026906765205</v>
      </c>
      <c r="E805" s="578" t="str">
        <f t="shared" si="86"/>
        <v>-</v>
      </c>
      <c r="F805" s="578" t="str">
        <f t="shared" si="87"/>
        <v>-</v>
      </c>
      <c r="G805" s="21">
        <f t="shared" si="88"/>
        <v>171.84009120013002</v>
      </c>
      <c r="H805" s="21">
        <f t="shared" si="89"/>
        <v>379.70895812125559</v>
      </c>
      <c r="I805" s="578" t="str">
        <f t="shared" si="90"/>
        <v>OK</v>
      </c>
      <c r="J805" s="607">
        <f t="shared" si="91"/>
        <v>2.2096645519061986</v>
      </c>
      <c r="L805" s="143"/>
      <c r="O805" s="73"/>
      <c r="P805" s="73"/>
      <c r="Q805" s="73"/>
      <c r="R805" s="73"/>
      <c r="S805" s="73"/>
      <c r="Y805" s="143"/>
      <c r="AB805" s="143"/>
      <c r="AD805" s="143"/>
      <c r="AE805" s="143"/>
      <c r="AF805" s="143"/>
      <c r="AG805" s="143"/>
      <c r="AH805" s="143"/>
      <c r="AI805" s="143"/>
      <c r="AJ805" s="143"/>
      <c r="AK805" s="143"/>
      <c r="AL805" s="143"/>
      <c r="AM805" s="143"/>
      <c r="AN805" s="143"/>
      <c r="AO805" s="143"/>
      <c r="AP805" s="143"/>
      <c r="AQ805" s="143"/>
      <c r="AR805" s="143"/>
      <c r="AS805" s="143"/>
    </row>
    <row r="806" spans="1:45" ht="15" customHeight="1">
      <c r="A806" s="482" t="str">
        <f t="shared" si="82"/>
        <v>109i</v>
      </c>
      <c r="B806" s="21">
        <f t="shared" si="83"/>
        <v>171.84029396799869</v>
      </c>
      <c r="C806" s="21" t="str">
        <f t="shared" si="84"/>
        <v>-</v>
      </c>
      <c r="D806" s="794">
        <f t="shared" si="85"/>
        <v>363.72026906765205</v>
      </c>
      <c r="E806" s="578" t="str">
        <f t="shared" si="86"/>
        <v>-</v>
      </c>
      <c r="F806" s="578" t="str">
        <f t="shared" si="87"/>
        <v>-</v>
      </c>
      <c r="G806" s="21">
        <f t="shared" si="88"/>
        <v>171.84029396799869</v>
      </c>
      <c r="H806" s="21">
        <f t="shared" si="89"/>
        <v>379.70895812125559</v>
      </c>
      <c r="I806" s="578" t="str">
        <f t="shared" si="90"/>
        <v>OK</v>
      </c>
      <c r="J806" s="607">
        <f t="shared" si="91"/>
        <v>2.2096619445493246</v>
      </c>
      <c r="L806" s="14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143"/>
      <c r="AD806" s="143"/>
      <c r="AE806" s="143"/>
      <c r="AF806" s="143"/>
      <c r="AG806" s="143"/>
      <c r="AH806" s="143"/>
      <c r="AI806" s="143"/>
      <c r="AJ806" s="143"/>
      <c r="AK806" s="143"/>
      <c r="AL806" s="143"/>
      <c r="AM806" s="143"/>
      <c r="AN806" s="143"/>
      <c r="AO806" s="143"/>
      <c r="AP806" s="143"/>
      <c r="AQ806" s="143"/>
      <c r="AR806" s="143"/>
      <c r="AS806" s="143"/>
    </row>
    <row r="807" spans="1:45" ht="15" customHeight="1">
      <c r="A807" s="482" t="str">
        <f t="shared" si="82"/>
        <v>109j</v>
      </c>
      <c r="B807" s="21">
        <f t="shared" si="83"/>
        <v>169.1164118041786</v>
      </c>
      <c r="C807" s="21" t="str">
        <f t="shared" si="84"/>
        <v>-</v>
      </c>
      <c r="D807" s="794">
        <f t="shared" si="85"/>
        <v>363.72026906765205</v>
      </c>
      <c r="E807" s="578" t="str">
        <f t="shared" si="86"/>
        <v>-</v>
      </c>
      <c r="F807" s="578" t="str">
        <f t="shared" si="87"/>
        <v>-</v>
      </c>
      <c r="G807" s="21">
        <f t="shared" si="88"/>
        <v>169.1164118041786</v>
      </c>
      <c r="H807" s="21">
        <f t="shared" si="89"/>
        <v>379.70895659302727</v>
      </c>
      <c r="I807" s="578" t="str">
        <f t="shared" si="90"/>
        <v>OK</v>
      </c>
      <c r="J807" s="607">
        <f t="shared" si="91"/>
        <v>2.2452519689969277</v>
      </c>
      <c r="L807" s="14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143"/>
      <c r="AD807" s="143"/>
      <c r="AE807" s="143"/>
      <c r="AF807" s="143"/>
      <c r="AG807" s="143"/>
      <c r="AH807" s="143"/>
      <c r="AI807" s="143"/>
      <c r="AJ807" s="143"/>
      <c r="AK807" s="143"/>
      <c r="AL807" s="143"/>
      <c r="AM807" s="143"/>
      <c r="AN807" s="143"/>
      <c r="AO807" s="143"/>
      <c r="AP807" s="143"/>
      <c r="AQ807" s="143"/>
      <c r="AR807" s="143"/>
      <c r="AS807" s="143"/>
    </row>
    <row r="808" spans="1:45" ht="15" customHeight="1">
      <c r="A808" s="482" t="str">
        <f t="shared" si="82"/>
        <v>110i</v>
      </c>
      <c r="B808" s="21">
        <f t="shared" si="83"/>
        <v>169.11666526401444</v>
      </c>
      <c r="C808" s="21" t="str">
        <f t="shared" si="84"/>
        <v>-</v>
      </c>
      <c r="D808" s="794">
        <f t="shared" si="85"/>
        <v>363.72026906765205</v>
      </c>
      <c r="E808" s="578" t="str">
        <f t="shared" si="86"/>
        <v>-</v>
      </c>
      <c r="F808" s="578" t="str">
        <f t="shared" si="87"/>
        <v>-</v>
      </c>
      <c r="G808" s="21">
        <f t="shared" si="88"/>
        <v>169.11666526401444</v>
      </c>
      <c r="H808" s="21">
        <f t="shared" si="89"/>
        <v>379.70896094127329</v>
      </c>
      <c r="I808" s="578" t="str">
        <f t="shared" si="90"/>
        <v>OK</v>
      </c>
      <c r="J808" s="607">
        <f t="shared" si="91"/>
        <v>2.2452486296870577</v>
      </c>
      <c r="L808" s="14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143"/>
      <c r="AD808" s="143"/>
      <c r="AE808" s="143"/>
      <c r="AF808" s="143"/>
      <c r="AG808" s="143"/>
      <c r="AH808" s="143"/>
      <c r="AI808" s="143"/>
      <c r="AJ808" s="143"/>
      <c r="AK808" s="143"/>
      <c r="AL808" s="143"/>
      <c r="AM808" s="143"/>
      <c r="AN808" s="143"/>
      <c r="AO808" s="143"/>
      <c r="AP808" s="143"/>
      <c r="AQ808" s="143"/>
      <c r="AR808" s="143"/>
      <c r="AS808" s="143"/>
    </row>
    <row r="809" spans="1:45" ht="15" customHeight="1">
      <c r="A809" s="482" t="str">
        <f t="shared" si="82"/>
        <v>110j</v>
      </c>
      <c r="B809" s="21">
        <f t="shared" si="83"/>
        <v>157.19786855947524</v>
      </c>
      <c r="C809" s="21" t="str">
        <f t="shared" si="84"/>
        <v>-</v>
      </c>
      <c r="D809" s="794">
        <f t="shared" si="85"/>
        <v>363.72026906765205</v>
      </c>
      <c r="E809" s="578" t="str">
        <f t="shared" si="86"/>
        <v>-</v>
      </c>
      <c r="F809" s="578" t="str">
        <f t="shared" si="87"/>
        <v>-</v>
      </c>
      <c r="G809" s="21">
        <f t="shared" si="88"/>
        <v>157.19786855947524</v>
      </c>
      <c r="H809" s="21">
        <f t="shared" si="89"/>
        <v>379.70896106241338</v>
      </c>
      <c r="I809" s="578" t="str">
        <f t="shared" si="90"/>
        <v>OK</v>
      </c>
      <c r="J809" s="607">
        <f t="shared" si="91"/>
        <v>2.4154841572724752</v>
      </c>
      <c r="L809" s="14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143"/>
      <c r="AD809" s="143"/>
      <c r="AE809" s="143"/>
      <c r="AF809" s="143"/>
      <c r="AG809" s="143"/>
      <c r="AH809" s="143"/>
      <c r="AI809" s="143"/>
      <c r="AJ809" s="143"/>
      <c r="AK809" s="143"/>
      <c r="AL809" s="143"/>
      <c r="AM809" s="143"/>
      <c r="AN809" s="143"/>
      <c r="AO809" s="143"/>
      <c r="AP809" s="143"/>
      <c r="AQ809" s="143"/>
      <c r="AR809" s="143"/>
      <c r="AS809" s="143"/>
    </row>
    <row r="810" spans="1:45" ht="15" customHeight="1">
      <c r="A810" s="482" t="str">
        <f t="shared" si="82"/>
        <v>111i</v>
      </c>
      <c r="B810" s="21">
        <f t="shared" si="83"/>
        <v>157.19812201931106</v>
      </c>
      <c r="C810" s="21" t="str">
        <f t="shared" si="84"/>
        <v>-</v>
      </c>
      <c r="D810" s="794">
        <f t="shared" si="85"/>
        <v>363.72026906765205</v>
      </c>
      <c r="E810" s="578" t="str">
        <f t="shared" si="86"/>
        <v>-</v>
      </c>
      <c r="F810" s="578" t="str">
        <f t="shared" si="87"/>
        <v>-</v>
      </c>
      <c r="G810" s="21">
        <f t="shared" si="88"/>
        <v>157.19812201931106</v>
      </c>
      <c r="H810" s="21">
        <f t="shared" si="89"/>
        <v>379.70895878658649</v>
      </c>
      <c r="I810" s="578" t="str">
        <f t="shared" si="90"/>
        <v>OK</v>
      </c>
      <c r="J810" s="607">
        <f t="shared" si="91"/>
        <v>2.4154802481669662</v>
      </c>
      <c r="L810" s="14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143"/>
      <c r="AD810" s="143"/>
      <c r="AE810" s="143"/>
      <c r="AF810" s="143"/>
      <c r="AG810" s="143"/>
      <c r="AH810" s="143"/>
      <c r="AI810" s="143"/>
      <c r="AJ810" s="143"/>
      <c r="AK810" s="143"/>
      <c r="AL810" s="143"/>
      <c r="AM810" s="143"/>
      <c r="AN810" s="143"/>
      <c r="AO810" s="143"/>
      <c r="AP810" s="143"/>
      <c r="AQ810" s="143"/>
      <c r="AR810" s="143"/>
      <c r="AS810" s="143"/>
    </row>
    <row r="811" spans="1:45" ht="15" customHeight="1">
      <c r="A811" s="482" t="str">
        <f t="shared" si="82"/>
        <v>111j</v>
      </c>
      <c r="B811" s="21">
        <f t="shared" si="83"/>
        <v>135.92194301927847</v>
      </c>
      <c r="C811" s="21" t="str">
        <f t="shared" si="84"/>
        <v>-</v>
      </c>
      <c r="D811" s="794">
        <f t="shared" si="85"/>
        <v>363.72026906765205</v>
      </c>
      <c r="E811" s="578" t="str">
        <f t="shared" si="86"/>
        <v>-</v>
      </c>
      <c r="F811" s="578" t="str">
        <f t="shared" si="87"/>
        <v>-</v>
      </c>
      <c r="G811" s="21">
        <f t="shared" si="88"/>
        <v>135.92194301927847</v>
      </c>
      <c r="H811" s="21">
        <f t="shared" si="89"/>
        <v>379.7089598318077</v>
      </c>
      <c r="I811" s="578" t="str">
        <f t="shared" si="90"/>
        <v>OK</v>
      </c>
      <c r="J811" s="607">
        <f t="shared" si="91"/>
        <v>2.7935810171426971</v>
      </c>
      <c r="L811" s="14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143"/>
      <c r="AD811" s="143"/>
      <c r="AE811" s="143"/>
      <c r="AF811" s="143"/>
      <c r="AG811" s="143"/>
      <c r="AH811" s="143"/>
      <c r="AI811" s="143"/>
      <c r="AJ811" s="143"/>
      <c r="AK811" s="143"/>
      <c r="AL811" s="143"/>
      <c r="AM811" s="143"/>
      <c r="AN811" s="143"/>
      <c r="AO811" s="143"/>
      <c r="AP811" s="143"/>
      <c r="AQ811" s="143"/>
      <c r="AR811" s="143"/>
      <c r="AS811" s="143"/>
    </row>
    <row r="812" spans="1:45" ht="15" customHeight="1">
      <c r="A812" s="482" t="str">
        <f t="shared" si="82"/>
        <v>112i</v>
      </c>
      <c r="B812" s="21">
        <f t="shared" si="83"/>
        <v>165.09188030468215</v>
      </c>
      <c r="C812" s="21" t="str">
        <f t="shared" si="84"/>
        <v>-</v>
      </c>
      <c r="D812" s="794">
        <f t="shared" si="85"/>
        <v>349.71448929599109</v>
      </c>
      <c r="E812" s="578" t="str">
        <f t="shared" si="86"/>
        <v>-</v>
      </c>
      <c r="F812" s="578" t="str">
        <f t="shared" si="87"/>
        <v>-</v>
      </c>
      <c r="G812" s="21">
        <f t="shared" si="88"/>
        <v>165.09188030468215</v>
      </c>
      <c r="H812" s="21">
        <f t="shared" si="89"/>
        <v>379.62516224141785</v>
      </c>
      <c r="I812" s="578" t="str">
        <f t="shared" si="90"/>
        <v>OK</v>
      </c>
      <c r="J812" s="607">
        <f t="shared" si="91"/>
        <v>2.2994780939002446</v>
      </c>
      <c r="L812" s="14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143"/>
      <c r="AD812" s="143"/>
      <c r="AE812" s="143"/>
      <c r="AF812" s="143"/>
      <c r="AG812" s="143"/>
      <c r="AH812" s="143"/>
      <c r="AI812" s="143"/>
      <c r="AJ812" s="143"/>
      <c r="AK812" s="143"/>
      <c r="AL812" s="143"/>
      <c r="AM812" s="143"/>
      <c r="AN812" s="143"/>
      <c r="AO812" s="143"/>
      <c r="AP812" s="143"/>
      <c r="AQ812" s="143"/>
      <c r="AR812" s="143"/>
      <c r="AS812" s="143"/>
    </row>
    <row r="813" spans="1:45" ht="15" customHeight="1">
      <c r="A813" s="482" t="str">
        <f t="shared" si="82"/>
        <v>112j</v>
      </c>
      <c r="B813" s="21">
        <f t="shared" si="83"/>
        <v>130.55443285746978</v>
      </c>
      <c r="C813" s="21" t="str">
        <f t="shared" si="84"/>
        <v>-</v>
      </c>
      <c r="D813" s="794">
        <f t="shared" si="85"/>
        <v>349.71448929599109</v>
      </c>
      <c r="E813" s="578" t="str">
        <f t="shared" si="86"/>
        <v>-</v>
      </c>
      <c r="F813" s="578" t="str">
        <f t="shared" si="87"/>
        <v>-</v>
      </c>
      <c r="G813" s="21">
        <f t="shared" si="88"/>
        <v>130.55443285746978</v>
      </c>
      <c r="H813" s="21">
        <f t="shared" si="89"/>
        <v>379.62516314235631</v>
      </c>
      <c r="I813" s="578" t="str">
        <f t="shared" si="90"/>
        <v>OK</v>
      </c>
      <c r="J813" s="607">
        <f t="shared" si="91"/>
        <v>2.907792212285925</v>
      </c>
      <c r="L813" s="14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143"/>
      <c r="AD813" s="143"/>
      <c r="AE813" s="143"/>
      <c r="AF813" s="143"/>
      <c r="AG813" s="143"/>
      <c r="AH813" s="143"/>
      <c r="AI813" s="143"/>
      <c r="AJ813" s="143"/>
      <c r="AK813" s="143"/>
      <c r="AL813" s="143"/>
      <c r="AM813" s="143"/>
      <c r="AN813" s="143"/>
      <c r="AO813" s="143"/>
      <c r="AP813" s="143"/>
      <c r="AQ813" s="143"/>
      <c r="AR813" s="143"/>
      <c r="AS813" s="143"/>
    </row>
    <row r="814" spans="1:45" ht="15" customHeight="1">
      <c r="A814" s="482" t="str">
        <f t="shared" si="82"/>
        <v>113i</v>
      </c>
      <c r="B814" s="21">
        <f t="shared" si="83"/>
        <v>133.65580501931754</v>
      </c>
      <c r="C814" s="21" t="str">
        <f t="shared" si="84"/>
        <v>-</v>
      </c>
      <c r="D814" s="794">
        <f t="shared" si="85"/>
        <v>347.34602006108588</v>
      </c>
      <c r="E814" s="578" t="str">
        <f t="shared" si="86"/>
        <v>-</v>
      </c>
      <c r="F814" s="578" t="str">
        <f t="shared" si="87"/>
        <v>-</v>
      </c>
      <c r="G814" s="21">
        <f t="shared" si="88"/>
        <v>133.65580501931754</v>
      </c>
      <c r="H814" s="21">
        <f t="shared" si="89"/>
        <v>379.55057661542878</v>
      </c>
      <c r="I814" s="578" t="str">
        <f t="shared" si="90"/>
        <v>OK</v>
      </c>
      <c r="J814" s="607">
        <f t="shared" si="91"/>
        <v>2.8397612551177374</v>
      </c>
      <c r="L814" s="14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143"/>
      <c r="AD814" s="143"/>
      <c r="AE814" s="143"/>
      <c r="AF814" s="143"/>
      <c r="AG814" s="143"/>
      <c r="AH814" s="143"/>
      <c r="AI814" s="143"/>
      <c r="AJ814" s="143"/>
      <c r="AK814" s="143"/>
      <c r="AL814" s="143"/>
      <c r="AM814" s="143"/>
      <c r="AN814" s="143"/>
      <c r="AO814" s="143"/>
      <c r="AP814" s="143"/>
      <c r="AQ814" s="143"/>
      <c r="AR814" s="143"/>
      <c r="AS814" s="143"/>
    </row>
    <row r="815" spans="1:45" ht="15" customHeight="1">
      <c r="A815" s="482" t="str">
        <f t="shared" si="82"/>
        <v>113j</v>
      </c>
      <c r="B815" s="21">
        <f t="shared" si="83"/>
        <v>86.64306746811512</v>
      </c>
      <c r="C815" s="21" t="str">
        <f t="shared" si="84"/>
        <v>-</v>
      </c>
      <c r="D815" s="794">
        <f t="shared" si="85"/>
        <v>347.34602006108588</v>
      </c>
      <c r="E815" s="578" t="str">
        <f t="shared" si="86"/>
        <v>-</v>
      </c>
      <c r="F815" s="578" t="str">
        <f t="shared" si="87"/>
        <v>-</v>
      </c>
      <c r="G815" s="21">
        <f t="shared" si="88"/>
        <v>86.64306746811512</v>
      </c>
      <c r="H815" s="21">
        <f t="shared" si="89"/>
        <v>379.55057727923952</v>
      </c>
      <c r="I815" s="578" t="str">
        <f t="shared" si="90"/>
        <v>OK</v>
      </c>
      <c r="J815" s="607">
        <f t="shared" si="91"/>
        <v>4.380622574551797</v>
      </c>
      <c r="L815" s="14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143"/>
      <c r="AD815" s="143"/>
      <c r="AE815" s="143"/>
      <c r="AF815" s="143"/>
      <c r="AG815" s="143"/>
      <c r="AH815" s="143"/>
      <c r="AI815" s="143"/>
      <c r="AJ815" s="143"/>
      <c r="AK815" s="143"/>
      <c r="AL815" s="143"/>
      <c r="AM815" s="143"/>
      <c r="AN815" s="143"/>
      <c r="AO815" s="143"/>
      <c r="AP815" s="143"/>
      <c r="AQ815" s="143"/>
      <c r="AR815" s="143"/>
      <c r="AS815" s="143"/>
    </row>
    <row r="816" spans="1:45" ht="15" customHeight="1">
      <c r="A816" s="482" t="str">
        <f t="shared" si="82"/>
        <v>114i</v>
      </c>
      <c r="B816" s="21">
        <f t="shared" si="83"/>
        <v>86.643319599523409</v>
      </c>
      <c r="C816" s="21" t="str">
        <f t="shared" si="84"/>
        <v>-</v>
      </c>
      <c r="D816" s="794">
        <f t="shared" si="85"/>
        <v>347.34602006108588</v>
      </c>
      <c r="E816" s="578" t="str">
        <f t="shared" si="86"/>
        <v>-</v>
      </c>
      <c r="F816" s="578" t="str">
        <f t="shared" si="87"/>
        <v>-</v>
      </c>
      <c r="G816" s="21">
        <f t="shared" si="88"/>
        <v>86.643319599523409</v>
      </c>
      <c r="H816" s="21">
        <f t="shared" si="89"/>
        <v>379.55057727923952</v>
      </c>
      <c r="I816" s="578" t="str">
        <f t="shared" si="90"/>
        <v>OK</v>
      </c>
      <c r="J816" s="607">
        <f t="shared" si="91"/>
        <v>4.3806098269730569</v>
      </c>
      <c r="L816" s="14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143"/>
      <c r="AD816" s="143"/>
      <c r="AE816" s="143"/>
      <c r="AF816" s="143"/>
      <c r="AG816" s="143"/>
      <c r="AH816" s="143"/>
      <c r="AI816" s="143"/>
      <c r="AJ816" s="143"/>
      <c r="AK816" s="143"/>
      <c r="AL816" s="143"/>
      <c r="AM816" s="143"/>
      <c r="AN816" s="143"/>
      <c r="AO816" s="143"/>
      <c r="AP816" s="143"/>
      <c r="AQ816" s="143"/>
      <c r="AR816" s="143"/>
      <c r="AS816" s="143"/>
    </row>
    <row r="817" spans="1:45" ht="15" customHeight="1">
      <c r="A817" s="482" t="str">
        <f t="shared" si="82"/>
        <v>114j</v>
      </c>
      <c r="B817" s="21">
        <f t="shared" si="83"/>
        <v>31.079608369529026</v>
      </c>
      <c r="C817" s="21" t="str">
        <f t="shared" si="84"/>
        <v>-</v>
      </c>
      <c r="D817" s="794">
        <f t="shared" si="85"/>
        <v>347.34602006108588</v>
      </c>
      <c r="E817" s="578" t="str">
        <f t="shared" si="86"/>
        <v>-</v>
      </c>
      <c r="F817" s="578" t="str">
        <f t="shared" si="87"/>
        <v>-</v>
      </c>
      <c r="G817" s="21">
        <f t="shared" si="88"/>
        <v>31.079608369529026</v>
      </c>
      <c r="H817" s="21">
        <f t="shared" si="89"/>
        <v>379.55057737367287</v>
      </c>
      <c r="I817" s="578" t="str">
        <f t="shared" si="90"/>
        <v>OK</v>
      </c>
      <c r="J817" s="607">
        <f t="shared" si="91"/>
        <v>12.212205921674053</v>
      </c>
      <c r="L817" s="14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143"/>
      <c r="AD817" s="143"/>
      <c r="AE817" s="143"/>
      <c r="AF817" s="143"/>
      <c r="AG817" s="143"/>
      <c r="AH817" s="143"/>
      <c r="AI817" s="143"/>
      <c r="AJ817" s="143"/>
      <c r="AK817" s="143"/>
      <c r="AL817" s="143"/>
      <c r="AM817" s="143"/>
      <c r="AN817" s="143"/>
      <c r="AO817" s="143"/>
      <c r="AP817" s="143"/>
      <c r="AQ817" s="143"/>
      <c r="AR817" s="143"/>
      <c r="AS817" s="143"/>
    </row>
    <row r="818" spans="1:45" ht="15" customHeight="1">
      <c r="A818" s="482" t="str">
        <f t="shared" si="82"/>
        <v>115i</v>
      </c>
      <c r="B818" s="21">
        <f t="shared" si="83"/>
        <v>46.780264316365532</v>
      </c>
      <c r="C818" s="21" t="str">
        <f t="shared" si="84"/>
        <v>-</v>
      </c>
      <c r="D818" s="794">
        <f t="shared" si="85"/>
        <v>338.9137360414407</v>
      </c>
      <c r="E818" s="578" t="str">
        <f t="shared" si="86"/>
        <v>-</v>
      </c>
      <c r="F818" s="578" t="str">
        <f t="shared" si="87"/>
        <v>-</v>
      </c>
      <c r="G818" s="21">
        <f t="shared" si="88"/>
        <v>46.780264316365532</v>
      </c>
      <c r="H818" s="21">
        <f t="shared" si="89"/>
        <v>379.45832468998418</v>
      </c>
      <c r="I818" s="578" t="str">
        <f t="shared" si="90"/>
        <v>OK</v>
      </c>
      <c r="J818" s="607">
        <f t="shared" si="91"/>
        <v>8.1115045037750058</v>
      </c>
      <c r="L818" s="14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143"/>
      <c r="AD818" s="143"/>
      <c r="AE818" s="143"/>
      <c r="AF818" s="143"/>
      <c r="AG818" s="143"/>
      <c r="AH818" s="143"/>
      <c r="AI818" s="143"/>
      <c r="AJ818" s="143"/>
      <c r="AK818" s="143"/>
      <c r="AL818" s="143"/>
      <c r="AM818" s="143"/>
      <c r="AN818" s="143"/>
      <c r="AO818" s="143"/>
      <c r="AP818" s="143"/>
      <c r="AQ818" s="143"/>
      <c r="AR818" s="143"/>
      <c r="AS818" s="143"/>
    </row>
    <row r="819" spans="1:45" ht="15" customHeight="1">
      <c r="A819" s="482" t="str">
        <f t="shared" si="82"/>
        <v>115j</v>
      </c>
      <c r="B819" s="21">
        <f t="shared" si="83"/>
        <v>-53.975264832389023</v>
      </c>
      <c r="C819" s="21">
        <f t="shared" si="84"/>
        <v>53.975264832389023</v>
      </c>
      <c r="D819" s="794">
        <f t="shared" si="85"/>
        <v>298.37144551910745</v>
      </c>
      <c r="E819" s="578" t="str">
        <f t="shared" si="86"/>
        <v>OK</v>
      </c>
      <c r="F819" s="578">
        <f t="shared" si="87"/>
        <v>5.5279292551069288</v>
      </c>
      <c r="G819" s="21" t="str">
        <f t="shared" si="88"/>
        <v>-</v>
      </c>
      <c r="H819" s="21">
        <f t="shared" si="89"/>
        <v>379.4583249094602</v>
      </c>
      <c r="I819" s="578" t="str">
        <f t="shared" si="90"/>
        <v>-</v>
      </c>
      <c r="J819" s="607" t="str">
        <f t="shared" si="91"/>
        <v>-</v>
      </c>
      <c r="L819" s="14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143"/>
      <c r="AD819" s="143"/>
      <c r="AE819" s="143"/>
      <c r="AF819" s="143"/>
      <c r="AG819" s="143"/>
      <c r="AH819" s="143"/>
      <c r="AI819" s="143"/>
      <c r="AJ819" s="143"/>
      <c r="AK819" s="143"/>
      <c r="AL819" s="143"/>
      <c r="AM819" s="143"/>
      <c r="AN819" s="143"/>
      <c r="AO819" s="143"/>
      <c r="AP819" s="143"/>
      <c r="AQ819" s="143"/>
      <c r="AR819" s="143"/>
      <c r="AS819" s="143"/>
    </row>
    <row r="820" spans="1:45" ht="15" customHeight="1">
      <c r="A820" s="482" t="str">
        <f t="shared" si="82"/>
        <v>116i</v>
      </c>
      <c r="B820" s="21">
        <f t="shared" si="83"/>
        <v>-43.077150483708564</v>
      </c>
      <c r="C820" s="21">
        <f t="shared" si="84"/>
        <v>43.077150483708564</v>
      </c>
      <c r="D820" s="794">
        <f t="shared" si="85"/>
        <v>324.98101888696596</v>
      </c>
      <c r="E820" s="578" t="str">
        <f t="shared" si="86"/>
        <v>OK</v>
      </c>
      <c r="F820" s="578">
        <f t="shared" si="87"/>
        <v>7.5441623978789218</v>
      </c>
      <c r="G820" s="21" t="str">
        <f t="shared" si="88"/>
        <v>-</v>
      </c>
      <c r="H820" s="21">
        <f t="shared" si="89"/>
        <v>379.59020989073042</v>
      </c>
      <c r="I820" s="578" t="str">
        <f t="shared" si="90"/>
        <v>-</v>
      </c>
      <c r="J820" s="607" t="str">
        <f t="shared" si="91"/>
        <v>-</v>
      </c>
      <c r="L820" s="14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143"/>
      <c r="AD820" s="143"/>
      <c r="AE820" s="143"/>
      <c r="AF820" s="143"/>
      <c r="AG820" s="143"/>
      <c r="AH820" s="143"/>
      <c r="AI820" s="143"/>
      <c r="AJ820" s="143"/>
      <c r="AK820" s="143"/>
      <c r="AL820" s="143"/>
      <c r="AM820" s="143"/>
      <c r="AN820" s="143"/>
      <c r="AO820" s="143"/>
      <c r="AP820" s="143"/>
      <c r="AQ820" s="143"/>
      <c r="AR820" s="143"/>
      <c r="AS820" s="143"/>
    </row>
    <row r="821" spans="1:45" ht="15" customHeight="1">
      <c r="A821" s="482" t="str">
        <f t="shared" si="82"/>
        <v>116j</v>
      </c>
      <c r="B821" s="21">
        <f t="shared" si="83"/>
        <v>-133.24220646664884</v>
      </c>
      <c r="C821" s="21">
        <f t="shared" si="84"/>
        <v>133.24220646664884</v>
      </c>
      <c r="D821" s="794">
        <f t="shared" si="85"/>
        <v>324.98101269978332</v>
      </c>
      <c r="E821" s="578" t="str">
        <f t="shared" si="86"/>
        <v>OK</v>
      </c>
      <c r="F821" s="578">
        <f t="shared" si="87"/>
        <v>2.4390245502360965</v>
      </c>
      <c r="G821" s="21" t="str">
        <f t="shared" si="88"/>
        <v>-</v>
      </c>
      <c r="H821" s="21">
        <f t="shared" si="89"/>
        <v>379.59020989073042</v>
      </c>
      <c r="I821" s="578" t="str">
        <f t="shared" si="90"/>
        <v>-</v>
      </c>
      <c r="J821" s="607" t="str">
        <f t="shared" si="91"/>
        <v>-</v>
      </c>
      <c r="L821" s="14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143"/>
      <c r="AD821" s="143"/>
      <c r="AE821" s="143"/>
      <c r="AF821" s="143"/>
      <c r="AG821" s="143"/>
      <c r="AH821" s="143"/>
      <c r="AI821" s="143"/>
      <c r="AJ821" s="143"/>
      <c r="AK821" s="143"/>
      <c r="AL821" s="143"/>
      <c r="AM821" s="143"/>
      <c r="AN821" s="143"/>
      <c r="AO821" s="143"/>
      <c r="AP821" s="143"/>
      <c r="AQ821" s="143"/>
      <c r="AR821" s="143"/>
      <c r="AS821" s="143"/>
    </row>
    <row r="822" spans="1:45" ht="15" customHeight="1">
      <c r="A822" s="482" t="str">
        <f t="shared" si="82"/>
        <v>117i</v>
      </c>
      <c r="B822" s="21">
        <f t="shared" si="83"/>
        <v>-69.371399894815028</v>
      </c>
      <c r="C822" s="21">
        <f t="shared" si="84"/>
        <v>69.371399894815028</v>
      </c>
      <c r="D822" s="794">
        <f t="shared" si="85"/>
        <v>340.67449212811795</v>
      </c>
      <c r="E822" s="578" t="str">
        <f t="shared" si="86"/>
        <v>OK</v>
      </c>
      <c r="F822" s="578">
        <f t="shared" si="87"/>
        <v>4.9108781521587934</v>
      </c>
      <c r="G822" s="21" t="str">
        <f t="shared" si="88"/>
        <v>-</v>
      </c>
      <c r="H822" s="21">
        <f t="shared" si="89"/>
        <v>379.71457390181416</v>
      </c>
      <c r="I822" s="578" t="str">
        <f t="shared" si="90"/>
        <v>-</v>
      </c>
      <c r="J822" s="607" t="str">
        <f t="shared" si="91"/>
        <v>-</v>
      </c>
      <c r="L822" s="14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143"/>
      <c r="AD822" s="143"/>
      <c r="AE822" s="143"/>
      <c r="AF822" s="143"/>
      <c r="AG822" s="143"/>
      <c r="AH822" s="143"/>
      <c r="AI822" s="143"/>
      <c r="AJ822" s="143"/>
      <c r="AK822" s="143"/>
      <c r="AL822" s="143"/>
      <c r="AM822" s="143"/>
      <c r="AN822" s="143"/>
      <c r="AO822" s="143"/>
      <c r="AP822" s="143"/>
      <c r="AQ822" s="143"/>
      <c r="AR822" s="143"/>
      <c r="AS822" s="143"/>
    </row>
    <row r="823" spans="1:45" ht="15" customHeight="1">
      <c r="A823" s="482" t="str">
        <f t="shared" si="82"/>
        <v>117j</v>
      </c>
      <c r="B823" s="21">
        <f t="shared" si="83"/>
        <v>-126.69312784059801</v>
      </c>
      <c r="C823" s="21">
        <f t="shared" si="84"/>
        <v>126.69312784059801</v>
      </c>
      <c r="D823" s="794">
        <f t="shared" si="85"/>
        <v>340.67446327583895</v>
      </c>
      <c r="E823" s="578" t="str">
        <f t="shared" si="86"/>
        <v>OK</v>
      </c>
      <c r="F823" s="578">
        <f t="shared" si="87"/>
        <v>2.6889734990556606</v>
      </c>
      <c r="G823" s="21" t="str">
        <f t="shared" si="88"/>
        <v>-</v>
      </c>
      <c r="H823" s="21">
        <f t="shared" si="89"/>
        <v>379.71457390181416</v>
      </c>
      <c r="I823" s="578" t="str">
        <f t="shared" si="90"/>
        <v>-</v>
      </c>
      <c r="J823" s="607" t="str">
        <f t="shared" si="91"/>
        <v>-</v>
      </c>
      <c r="L823" s="14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143"/>
      <c r="AD823" s="143"/>
      <c r="AE823" s="143"/>
      <c r="AF823" s="143"/>
      <c r="AG823" s="143"/>
      <c r="AH823" s="143"/>
      <c r="AI823" s="143"/>
      <c r="AJ823" s="143"/>
      <c r="AK823" s="143"/>
      <c r="AL823" s="143"/>
      <c r="AM823" s="143"/>
      <c r="AN823" s="143"/>
      <c r="AO823" s="143"/>
      <c r="AP823" s="143"/>
      <c r="AQ823" s="143"/>
      <c r="AR823" s="143"/>
      <c r="AS823" s="143"/>
    </row>
    <row r="824" spans="1:45" ht="15" customHeight="1">
      <c r="A824" s="482" t="str">
        <f t="shared" si="82"/>
        <v>118i</v>
      </c>
      <c r="B824" s="21">
        <f t="shared" si="83"/>
        <v>-97.76463379416235</v>
      </c>
      <c r="C824" s="21">
        <f t="shared" si="84"/>
        <v>97.76463379416235</v>
      </c>
      <c r="D824" s="794">
        <f t="shared" si="85"/>
        <v>350.72544548365823</v>
      </c>
      <c r="E824" s="578" t="str">
        <f t="shared" si="86"/>
        <v>OK</v>
      </c>
      <c r="F824" s="578">
        <f t="shared" si="87"/>
        <v>3.5874470334752124</v>
      </c>
      <c r="G824" s="21" t="str">
        <f t="shared" si="88"/>
        <v>-</v>
      </c>
      <c r="H824" s="21">
        <f t="shared" si="89"/>
        <v>379.835847042029</v>
      </c>
      <c r="I824" s="578" t="str">
        <f t="shared" si="90"/>
        <v>-</v>
      </c>
      <c r="J824" s="607" t="str">
        <f t="shared" si="91"/>
        <v>-</v>
      </c>
      <c r="L824" s="14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143"/>
      <c r="AD824" s="143"/>
      <c r="AE824" s="143"/>
      <c r="AF824" s="143"/>
      <c r="AG824" s="143"/>
      <c r="AH824" s="143"/>
      <c r="AI824" s="143"/>
      <c r="AJ824" s="143"/>
      <c r="AK824" s="143"/>
      <c r="AL824" s="143"/>
      <c r="AM824" s="143"/>
      <c r="AN824" s="143"/>
      <c r="AO824" s="143"/>
      <c r="AP824" s="143"/>
      <c r="AQ824" s="143"/>
      <c r="AR824" s="143"/>
      <c r="AS824" s="143"/>
    </row>
    <row r="825" spans="1:45" ht="15" customHeight="1">
      <c r="A825" s="482" t="str">
        <f t="shared" si="82"/>
        <v>118j</v>
      </c>
      <c r="B825" s="21">
        <f t="shared" si="83"/>
        <v>-133.22269493720955</v>
      </c>
      <c r="C825" s="21">
        <f t="shared" si="84"/>
        <v>133.22269493720955</v>
      </c>
      <c r="D825" s="794">
        <f t="shared" si="85"/>
        <v>350.72542803080961</v>
      </c>
      <c r="E825" s="578" t="str">
        <f t="shared" si="86"/>
        <v>OK</v>
      </c>
      <c r="F825" s="578">
        <f t="shared" si="87"/>
        <v>2.6326252309797016</v>
      </c>
      <c r="G825" s="21" t="str">
        <f t="shared" si="88"/>
        <v>-</v>
      </c>
      <c r="H825" s="21">
        <f t="shared" si="89"/>
        <v>379.8358420874851</v>
      </c>
      <c r="I825" s="578" t="str">
        <f t="shared" si="90"/>
        <v>-</v>
      </c>
      <c r="J825" s="607" t="str">
        <f t="shared" si="91"/>
        <v>-</v>
      </c>
      <c r="L825" s="14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143"/>
      <c r="AD825" s="143"/>
      <c r="AE825" s="143"/>
      <c r="AF825" s="143"/>
      <c r="AG825" s="143"/>
      <c r="AH825" s="143"/>
      <c r="AI825" s="143"/>
      <c r="AJ825" s="143"/>
      <c r="AK825" s="143"/>
      <c r="AL825" s="143"/>
      <c r="AM825" s="143"/>
      <c r="AN825" s="143"/>
      <c r="AO825" s="143"/>
      <c r="AP825" s="143"/>
      <c r="AQ825" s="143"/>
      <c r="AR825" s="143"/>
      <c r="AS825" s="143"/>
    </row>
    <row r="826" spans="1:45" ht="15" customHeight="1">
      <c r="A826" s="482" t="str">
        <f t="shared" si="82"/>
        <v>119i</v>
      </c>
      <c r="B826" s="21">
        <f t="shared" si="83"/>
        <v>-125.99156677886987</v>
      </c>
      <c r="C826" s="21">
        <f t="shared" si="84"/>
        <v>125.99156677886987</v>
      </c>
      <c r="D826" s="794">
        <f t="shared" si="85"/>
        <v>353.24610970464153</v>
      </c>
      <c r="E826" s="578" t="str">
        <f t="shared" si="86"/>
        <v>OK</v>
      </c>
      <c r="F826" s="578">
        <f t="shared" si="87"/>
        <v>2.8037282076555989</v>
      </c>
      <c r="G826" s="21" t="str">
        <f t="shared" si="88"/>
        <v>-</v>
      </c>
      <c r="H826" s="21">
        <f t="shared" si="89"/>
        <v>379.82760950803396</v>
      </c>
      <c r="I826" s="578" t="str">
        <f t="shared" si="90"/>
        <v>-</v>
      </c>
      <c r="J826" s="607" t="str">
        <f t="shared" si="91"/>
        <v>-</v>
      </c>
      <c r="L826" s="14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143"/>
      <c r="AD826" s="143"/>
      <c r="AE826" s="143"/>
      <c r="AF826" s="143"/>
      <c r="AG826" s="143"/>
      <c r="AH826" s="143"/>
      <c r="AI826" s="143"/>
      <c r="AJ826" s="143"/>
      <c r="AK826" s="143"/>
      <c r="AL826" s="143"/>
      <c r="AM826" s="143"/>
      <c r="AN826" s="143"/>
      <c r="AO826" s="143"/>
      <c r="AP826" s="143"/>
      <c r="AQ826" s="143"/>
      <c r="AR826" s="143"/>
      <c r="AS826" s="143"/>
    </row>
    <row r="827" spans="1:45" ht="15" customHeight="1">
      <c r="A827" s="482" t="str">
        <f t="shared" si="82"/>
        <v>119j</v>
      </c>
      <c r="B827" s="21">
        <f t="shared" si="83"/>
        <v>-141.64342527974492</v>
      </c>
      <c r="C827" s="21">
        <f t="shared" si="84"/>
        <v>141.64342527974492</v>
      </c>
      <c r="D827" s="794">
        <f t="shared" si="85"/>
        <v>353.24610228556156</v>
      </c>
      <c r="E827" s="578" t="str">
        <f t="shared" si="86"/>
        <v>OK</v>
      </c>
      <c r="F827" s="578">
        <f t="shared" si="87"/>
        <v>2.4939110416731496</v>
      </c>
      <c r="G827" s="21" t="str">
        <f t="shared" si="88"/>
        <v>-</v>
      </c>
      <c r="H827" s="21">
        <f t="shared" si="89"/>
        <v>379.82760741731425</v>
      </c>
      <c r="I827" s="578" t="str">
        <f t="shared" si="90"/>
        <v>-</v>
      </c>
      <c r="J827" s="607" t="str">
        <f t="shared" si="91"/>
        <v>-</v>
      </c>
      <c r="L827" s="14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143"/>
      <c r="AD827" s="143"/>
      <c r="AE827" s="143"/>
      <c r="AF827" s="143"/>
      <c r="AG827" s="143"/>
      <c r="AH827" s="143"/>
      <c r="AI827" s="143"/>
      <c r="AJ827" s="143"/>
      <c r="AK827" s="143"/>
      <c r="AL827" s="143"/>
      <c r="AM827" s="143"/>
      <c r="AN827" s="143"/>
      <c r="AO827" s="143"/>
      <c r="AP827" s="143"/>
      <c r="AQ827" s="143"/>
      <c r="AR827" s="143"/>
      <c r="AS827" s="143"/>
    </row>
    <row r="828" spans="1:45" ht="15" customHeight="1">
      <c r="A828" s="482" t="str">
        <f t="shared" si="82"/>
        <v>120i</v>
      </c>
      <c r="B828" s="21">
        <f t="shared" si="83"/>
        <v>-141.64350793631337</v>
      </c>
      <c r="C828" s="21">
        <f t="shared" si="84"/>
        <v>141.64350793631337</v>
      </c>
      <c r="D828" s="794">
        <f t="shared" si="85"/>
        <v>353.2461292815774</v>
      </c>
      <c r="E828" s="578" t="str">
        <f t="shared" si="86"/>
        <v>OK</v>
      </c>
      <c r="F828" s="578">
        <f t="shared" si="87"/>
        <v>2.4939097769338368</v>
      </c>
      <c r="G828" s="21" t="str">
        <f t="shared" si="88"/>
        <v>-</v>
      </c>
      <c r="H828" s="21">
        <f t="shared" si="89"/>
        <v>379.82761502487523</v>
      </c>
      <c r="I828" s="578" t="str">
        <f t="shared" si="90"/>
        <v>-</v>
      </c>
      <c r="J828" s="607" t="str">
        <f t="shared" si="91"/>
        <v>-</v>
      </c>
      <c r="L828" s="14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143"/>
      <c r="AD828" s="143"/>
      <c r="AE828" s="143"/>
      <c r="AF828" s="143"/>
      <c r="AG828" s="143"/>
      <c r="AH828" s="143"/>
      <c r="AI828" s="143"/>
      <c r="AJ828" s="143"/>
      <c r="AK828" s="143"/>
      <c r="AL828" s="143"/>
      <c r="AM828" s="143"/>
      <c r="AN828" s="143"/>
      <c r="AO828" s="143"/>
      <c r="AP828" s="143"/>
      <c r="AQ828" s="143"/>
      <c r="AR828" s="143"/>
      <c r="AS828" s="143"/>
    </row>
    <row r="829" spans="1:45" ht="15" customHeight="1">
      <c r="A829" s="482" t="str">
        <f t="shared" si="82"/>
        <v>120j</v>
      </c>
      <c r="B829" s="21">
        <f t="shared" si="83"/>
        <v>-129.35699623484572</v>
      </c>
      <c r="C829" s="21">
        <f t="shared" si="84"/>
        <v>129.35699623484572</v>
      </c>
      <c r="D829" s="794">
        <f t="shared" si="85"/>
        <v>353.24613615307965</v>
      </c>
      <c r="E829" s="578" t="str">
        <f t="shared" si="86"/>
        <v>OK</v>
      </c>
      <c r="F829" s="578">
        <f t="shared" si="87"/>
        <v>2.7307849318931812</v>
      </c>
      <c r="G829" s="21" t="str">
        <f t="shared" si="88"/>
        <v>-</v>
      </c>
      <c r="H829" s="21">
        <f t="shared" si="89"/>
        <v>379.82761696128586</v>
      </c>
      <c r="I829" s="578" t="str">
        <f t="shared" si="90"/>
        <v>-</v>
      </c>
      <c r="J829" s="607" t="str">
        <f t="shared" si="91"/>
        <v>-</v>
      </c>
      <c r="L829" s="14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143"/>
      <c r="AD829" s="143"/>
      <c r="AE829" s="143"/>
      <c r="AF829" s="143"/>
      <c r="AG829" s="143"/>
      <c r="AH829" s="143"/>
      <c r="AI829" s="143"/>
      <c r="AJ829" s="143"/>
      <c r="AK829" s="143"/>
      <c r="AL829" s="143"/>
      <c r="AM829" s="143"/>
      <c r="AN829" s="143"/>
      <c r="AO829" s="143"/>
      <c r="AP829" s="143"/>
      <c r="AQ829" s="143"/>
      <c r="AR829" s="143"/>
      <c r="AS829" s="143"/>
    </row>
    <row r="830" spans="1:45" ht="15" customHeight="1">
      <c r="A830" s="482" t="str">
        <f t="shared" si="82"/>
        <v>121i</v>
      </c>
      <c r="B830" s="21">
        <f t="shared" si="83"/>
        <v>-136.76807524343602</v>
      </c>
      <c r="C830" s="21">
        <f t="shared" si="84"/>
        <v>136.76807524343602</v>
      </c>
      <c r="D830" s="794">
        <f t="shared" si="85"/>
        <v>350.72545560257589</v>
      </c>
      <c r="E830" s="578" t="str">
        <f t="shared" si="86"/>
        <v>OK</v>
      </c>
      <c r="F830" s="578">
        <f t="shared" si="87"/>
        <v>2.5643810149284705</v>
      </c>
      <c r="G830" s="21" t="str">
        <f t="shared" si="88"/>
        <v>-</v>
      </c>
      <c r="H830" s="21">
        <f t="shared" si="89"/>
        <v>379.8358499146043</v>
      </c>
      <c r="I830" s="578" t="str">
        <f t="shared" si="90"/>
        <v>-</v>
      </c>
      <c r="J830" s="607" t="str">
        <f t="shared" si="91"/>
        <v>-</v>
      </c>
      <c r="L830" s="14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143"/>
      <c r="AD830" s="143"/>
      <c r="AE830" s="143"/>
      <c r="AF830" s="143"/>
      <c r="AG830" s="143"/>
      <c r="AH830" s="143"/>
      <c r="AI830" s="143"/>
      <c r="AJ830" s="143"/>
      <c r="AK830" s="143"/>
      <c r="AL830" s="143"/>
      <c r="AM830" s="143"/>
      <c r="AN830" s="143"/>
      <c r="AO830" s="143"/>
      <c r="AP830" s="143"/>
      <c r="AQ830" s="143"/>
      <c r="AR830" s="143"/>
      <c r="AS830" s="143"/>
    </row>
    <row r="831" spans="1:45" ht="15" customHeight="1">
      <c r="A831" s="482" t="str">
        <f t="shared" si="82"/>
        <v>121j</v>
      </c>
      <c r="B831" s="21">
        <f t="shared" si="83"/>
        <v>-109.57994496527135</v>
      </c>
      <c r="C831" s="21">
        <f t="shared" si="84"/>
        <v>109.57994496527135</v>
      </c>
      <c r="D831" s="794">
        <f t="shared" si="85"/>
        <v>350.72547172347709</v>
      </c>
      <c r="E831" s="578" t="str">
        <f t="shared" si="86"/>
        <v>OK</v>
      </c>
      <c r="F831" s="578">
        <f t="shared" si="87"/>
        <v>3.2006355892461054</v>
      </c>
      <c r="G831" s="21" t="str">
        <f t="shared" si="88"/>
        <v>-</v>
      </c>
      <c r="H831" s="21">
        <f t="shared" si="89"/>
        <v>379.83585449103276</v>
      </c>
      <c r="I831" s="578" t="str">
        <f t="shared" si="90"/>
        <v>-</v>
      </c>
      <c r="J831" s="607" t="str">
        <f t="shared" si="91"/>
        <v>-</v>
      </c>
      <c r="L831" s="14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143"/>
      <c r="AD831" s="143"/>
      <c r="AE831" s="143"/>
      <c r="AF831" s="143"/>
      <c r="AG831" s="143"/>
      <c r="AH831" s="143"/>
      <c r="AI831" s="143"/>
      <c r="AJ831" s="143"/>
      <c r="AK831" s="143"/>
      <c r="AL831" s="143"/>
      <c r="AM831" s="143"/>
      <c r="AN831" s="143"/>
      <c r="AO831" s="143"/>
      <c r="AP831" s="143"/>
      <c r="AQ831" s="143"/>
      <c r="AR831" s="143"/>
      <c r="AS831" s="143"/>
    </row>
    <row r="832" spans="1:45" ht="15" customHeight="1">
      <c r="A832" s="482" t="str">
        <f t="shared" si="82"/>
        <v>122i</v>
      </c>
      <c r="B832" s="21">
        <f t="shared" si="83"/>
        <v>-135.3665913393416</v>
      </c>
      <c r="C832" s="21">
        <f t="shared" si="84"/>
        <v>135.3665913393416</v>
      </c>
      <c r="D832" s="794">
        <f t="shared" si="85"/>
        <v>345.9053679734057</v>
      </c>
      <c r="E832" s="578" t="str">
        <f t="shared" si="86"/>
        <v>OK</v>
      </c>
      <c r="F832" s="578">
        <f t="shared" si="87"/>
        <v>2.5553230272769323</v>
      </c>
      <c r="G832" s="21" t="str">
        <f t="shared" si="88"/>
        <v>-</v>
      </c>
      <c r="H832" s="21">
        <f t="shared" si="89"/>
        <v>379.74348556207576</v>
      </c>
      <c r="I832" s="578" t="str">
        <f t="shared" si="90"/>
        <v>-</v>
      </c>
      <c r="J832" s="607" t="str">
        <f t="shared" si="91"/>
        <v>-</v>
      </c>
      <c r="L832" s="14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143"/>
      <c r="AD832" s="143"/>
      <c r="AE832" s="143"/>
      <c r="AF832" s="143"/>
      <c r="AG832" s="143"/>
      <c r="AH832" s="143"/>
      <c r="AI832" s="143"/>
      <c r="AJ832" s="143"/>
      <c r="AK832" s="143"/>
      <c r="AL832" s="143"/>
      <c r="AM832" s="143"/>
      <c r="AN832" s="143"/>
      <c r="AO832" s="143"/>
      <c r="AP832" s="143"/>
      <c r="AQ832" s="143"/>
      <c r="AR832" s="143"/>
      <c r="AS832" s="143"/>
    </row>
    <row r="833" spans="1:45" ht="15" customHeight="1">
      <c r="A833" s="482" t="str">
        <f t="shared" si="82"/>
        <v>122j</v>
      </c>
      <c r="B833" s="21">
        <f t="shared" si="83"/>
        <v>-95.212095715053394</v>
      </c>
      <c r="C833" s="21">
        <f t="shared" si="84"/>
        <v>95.212095715053394</v>
      </c>
      <c r="D833" s="794">
        <f t="shared" si="85"/>
        <v>345.90539138601497</v>
      </c>
      <c r="E833" s="578" t="str">
        <f t="shared" si="86"/>
        <v>OK</v>
      </c>
      <c r="F833" s="578">
        <f t="shared" si="87"/>
        <v>3.6329983999220596</v>
      </c>
      <c r="G833" s="21" t="str">
        <f t="shared" si="88"/>
        <v>-</v>
      </c>
      <c r="H833" s="21">
        <f t="shared" si="89"/>
        <v>379.74348556207576</v>
      </c>
      <c r="I833" s="578" t="str">
        <f t="shared" si="90"/>
        <v>-</v>
      </c>
      <c r="J833" s="607" t="str">
        <f t="shared" si="91"/>
        <v>-</v>
      </c>
      <c r="L833" s="14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143"/>
      <c r="AD833" s="143"/>
      <c r="AE833" s="143"/>
      <c r="AF833" s="143"/>
      <c r="AG833" s="143"/>
      <c r="AH833" s="143"/>
      <c r="AI833" s="143"/>
      <c r="AJ833" s="143"/>
      <c r="AK833" s="143"/>
      <c r="AL833" s="143"/>
      <c r="AM833" s="143"/>
      <c r="AN833" s="143"/>
      <c r="AO833" s="143"/>
      <c r="AP833" s="143"/>
      <c r="AQ833" s="143"/>
      <c r="AR833" s="143"/>
      <c r="AS833" s="143"/>
    </row>
    <row r="834" spans="1:45" ht="15" customHeight="1">
      <c r="A834" s="482" t="str">
        <f t="shared" si="82"/>
        <v>123i</v>
      </c>
      <c r="B834" s="21">
        <f t="shared" si="83"/>
        <v>-153.30009082338759</v>
      </c>
      <c r="C834" s="21">
        <f t="shared" si="84"/>
        <v>153.30009082338759</v>
      </c>
      <c r="D834" s="794">
        <f t="shared" si="85"/>
        <v>342.92770285047607</v>
      </c>
      <c r="E834" s="578" t="str">
        <f t="shared" si="86"/>
        <v>OK</v>
      </c>
      <c r="F834" s="578">
        <f t="shared" si="87"/>
        <v>2.2369699913978049</v>
      </c>
      <c r="G834" s="21" t="str">
        <f t="shared" si="88"/>
        <v>-</v>
      </c>
      <c r="H834" s="21">
        <f t="shared" si="89"/>
        <v>379.72812323033014</v>
      </c>
      <c r="I834" s="578" t="str">
        <f t="shared" si="90"/>
        <v>-</v>
      </c>
      <c r="J834" s="607" t="str">
        <f t="shared" si="91"/>
        <v>-</v>
      </c>
      <c r="L834" s="14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143"/>
      <c r="AD834" s="143"/>
      <c r="AE834" s="143"/>
      <c r="AF834" s="143"/>
      <c r="AG834" s="143"/>
      <c r="AH834" s="143"/>
      <c r="AI834" s="143"/>
      <c r="AJ834" s="143"/>
      <c r="AK834" s="143"/>
      <c r="AL834" s="143"/>
      <c r="AM834" s="143"/>
      <c r="AN834" s="143"/>
      <c r="AO834" s="143"/>
      <c r="AP834" s="143"/>
      <c r="AQ834" s="143"/>
      <c r="AR834" s="143"/>
      <c r="AS834" s="143"/>
    </row>
    <row r="835" spans="1:45" ht="15" customHeight="1">
      <c r="A835" s="482" t="str">
        <f t="shared" si="82"/>
        <v>123j</v>
      </c>
      <c r="B835" s="21">
        <f t="shared" si="83"/>
        <v>-101.89746910076326</v>
      </c>
      <c r="C835" s="21">
        <f t="shared" si="84"/>
        <v>101.89746910076326</v>
      </c>
      <c r="D835" s="794">
        <f t="shared" si="85"/>
        <v>342.92771040152047</v>
      </c>
      <c r="E835" s="578" t="str">
        <f t="shared" si="86"/>
        <v>OK</v>
      </c>
      <c r="F835" s="578">
        <f t="shared" si="87"/>
        <v>3.36541931245034</v>
      </c>
      <c r="G835" s="21" t="str">
        <f t="shared" si="88"/>
        <v>-</v>
      </c>
      <c r="H835" s="21">
        <f t="shared" si="89"/>
        <v>379.72812323033014</v>
      </c>
      <c r="I835" s="578" t="str">
        <f t="shared" si="90"/>
        <v>-</v>
      </c>
      <c r="J835" s="607" t="str">
        <f t="shared" si="91"/>
        <v>-</v>
      </c>
      <c r="L835" s="14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143"/>
      <c r="AD835" s="143"/>
      <c r="AE835" s="143"/>
      <c r="AF835" s="143"/>
      <c r="AG835" s="143"/>
      <c r="AH835" s="143"/>
      <c r="AI835" s="143"/>
      <c r="AJ835" s="143"/>
      <c r="AK835" s="143"/>
      <c r="AL835" s="143"/>
      <c r="AM835" s="143"/>
      <c r="AN835" s="143"/>
      <c r="AO835" s="143"/>
      <c r="AP835" s="143"/>
      <c r="AQ835" s="143"/>
      <c r="AR835" s="143"/>
      <c r="AS835" s="143"/>
    </row>
    <row r="836" spans="1:45" ht="15" customHeight="1">
      <c r="A836" s="482" t="str">
        <f t="shared" si="82"/>
        <v>124i</v>
      </c>
      <c r="B836" s="21">
        <f t="shared" si="83"/>
        <v>-128.24113402576765</v>
      </c>
      <c r="C836" s="21">
        <f t="shared" si="84"/>
        <v>128.24113402576765</v>
      </c>
      <c r="D836" s="794">
        <f t="shared" si="85"/>
        <v>324.58532451408411</v>
      </c>
      <c r="E836" s="578" t="str">
        <f t="shared" si="86"/>
        <v>OK</v>
      </c>
      <c r="F836" s="578">
        <f t="shared" si="87"/>
        <v>2.5310546961387974</v>
      </c>
      <c r="G836" s="21" t="str">
        <f t="shared" si="88"/>
        <v>-</v>
      </c>
      <c r="H836" s="21">
        <f t="shared" si="89"/>
        <v>379.51243286979144</v>
      </c>
      <c r="I836" s="578" t="str">
        <f t="shared" si="90"/>
        <v>-</v>
      </c>
      <c r="J836" s="607" t="str">
        <f t="shared" si="91"/>
        <v>-</v>
      </c>
      <c r="L836" s="14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143"/>
      <c r="AD836" s="143"/>
      <c r="AE836" s="143"/>
      <c r="AF836" s="143"/>
      <c r="AG836" s="143"/>
      <c r="AH836" s="143"/>
      <c r="AI836" s="143"/>
      <c r="AJ836" s="143"/>
      <c r="AK836" s="143"/>
      <c r="AL836" s="143"/>
      <c r="AM836" s="143"/>
      <c r="AN836" s="143"/>
      <c r="AO836" s="143"/>
      <c r="AP836" s="143"/>
      <c r="AQ836" s="143"/>
      <c r="AR836" s="143"/>
      <c r="AS836" s="143"/>
    </row>
    <row r="837" spans="1:45" ht="15" customHeight="1">
      <c r="A837" s="482" t="str">
        <f t="shared" si="82"/>
        <v>124j</v>
      </c>
      <c r="B837" s="21">
        <f t="shared" si="83"/>
        <v>-74.058061089405044</v>
      </c>
      <c r="C837" s="21">
        <f t="shared" si="84"/>
        <v>74.058061089405044</v>
      </c>
      <c r="D837" s="794">
        <f t="shared" si="85"/>
        <v>324.58533293238725</v>
      </c>
      <c r="E837" s="578" t="str">
        <f t="shared" si="86"/>
        <v>OK</v>
      </c>
      <c r="F837" s="578">
        <f t="shared" si="87"/>
        <v>4.3828494583532018</v>
      </c>
      <c r="G837" s="21" t="str">
        <f t="shared" si="88"/>
        <v>-</v>
      </c>
      <c r="H837" s="21">
        <f t="shared" si="89"/>
        <v>379.51243286979144</v>
      </c>
      <c r="I837" s="578" t="str">
        <f t="shared" si="90"/>
        <v>-</v>
      </c>
      <c r="J837" s="607" t="str">
        <f t="shared" si="91"/>
        <v>-</v>
      </c>
      <c r="L837" s="14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143"/>
      <c r="AD837" s="143"/>
      <c r="AE837" s="143"/>
      <c r="AF837" s="143"/>
      <c r="AG837" s="143"/>
      <c r="AH837" s="143"/>
      <c r="AI837" s="143"/>
      <c r="AJ837" s="143"/>
      <c r="AK837" s="143"/>
      <c r="AL837" s="143"/>
      <c r="AM837" s="143"/>
      <c r="AN837" s="143"/>
      <c r="AO837" s="143"/>
      <c r="AP837" s="143"/>
      <c r="AQ837" s="143"/>
      <c r="AR837" s="143"/>
      <c r="AS837" s="143"/>
    </row>
    <row r="838" spans="1:45" ht="15" customHeight="1">
      <c r="A838" s="482" t="str">
        <f t="shared" si="82"/>
        <v>125i</v>
      </c>
      <c r="B838" s="21">
        <f t="shared" si="83"/>
        <v>-90.242298949241828</v>
      </c>
      <c r="C838" s="21">
        <f t="shared" si="84"/>
        <v>90.242298949241828</v>
      </c>
      <c r="D838" s="794">
        <f t="shared" si="85"/>
        <v>298.37145271107494</v>
      </c>
      <c r="E838" s="578" t="str">
        <f t="shared" si="86"/>
        <v>OK</v>
      </c>
      <c r="F838" s="578">
        <f t="shared" si="87"/>
        <v>3.3063370080908352</v>
      </c>
      <c r="G838" s="21" t="str">
        <f t="shared" si="88"/>
        <v>-</v>
      </c>
      <c r="H838" s="21">
        <f t="shared" si="89"/>
        <v>379.4583249094602</v>
      </c>
      <c r="I838" s="578" t="str">
        <f t="shared" si="90"/>
        <v>-</v>
      </c>
      <c r="J838" s="607" t="str">
        <f t="shared" si="91"/>
        <v>-</v>
      </c>
      <c r="L838" s="14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143"/>
      <c r="AD838" s="143"/>
      <c r="AE838" s="143"/>
      <c r="AF838" s="143"/>
      <c r="AG838" s="143"/>
      <c r="AH838" s="143"/>
      <c r="AI838" s="143"/>
      <c r="AJ838" s="143"/>
      <c r="AK838" s="143"/>
      <c r="AL838" s="143"/>
      <c r="AM838" s="143"/>
      <c r="AN838" s="143"/>
      <c r="AO838" s="143"/>
      <c r="AP838" s="143"/>
      <c r="AQ838" s="143"/>
      <c r="AR838" s="143"/>
      <c r="AS838" s="143"/>
    </row>
    <row r="839" spans="1:45" ht="15" customHeight="1">
      <c r="A839" s="482" t="str">
        <f t="shared" si="82"/>
        <v>125j</v>
      </c>
      <c r="B839" s="21">
        <f t="shared" si="83"/>
        <v>-41.573222471301882</v>
      </c>
      <c r="C839" s="21">
        <f t="shared" si="84"/>
        <v>41.573222471301882</v>
      </c>
      <c r="D839" s="794">
        <f t="shared" si="85"/>
        <v>298.37145031294716</v>
      </c>
      <c r="E839" s="578" t="str">
        <f t="shared" si="86"/>
        <v>OK</v>
      </c>
      <c r="F839" s="578">
        <f t="shared" si="87"/>
        <v>7.1770104066124256</v>
      </c>
      <c r="G839" s="21" t="str">
        <f t="shared" si="88"/>
        <v>-</v>
      </c>
      <c r="H839" s="21">
        <f t="shared" si="89"/>
        <v>379.4583249094602</v>
      </c>
      <c r="I839" s="578" t="str">
        <f t="shared" si="90"/>
        <v>-</v>
      </c>
      <c r="J839" s="607" t="str">
        <f t="shared" si="91"/>
        <v>-</v>
      </c>
      <c r="L839" s="14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143"/>
      <c r="AD839" s="143"/>
      <c r="AE839" s="143"/>
      <c r="AF839" s="143"/>
      <c r="AG839" s="143"/>
      <c r="AH839" s="143"/>
      <c r="AI839" s="143"/>
      <c r="AJ839" s="143"/>
      <c r="AK839" s="143"/>
      <c r="AL839" s="143"/>
      <c r="AM839" s="143"/>
      <c r="AN839" s="143"/>
      <c r="AO839" s="143"/>
      <c r="AP839" s="143"/>
      <c r="AQ839" s="143"/>
      <c r="AR839" s="143"/>
      <c r="AS839" s="143"/>
    </row>
    <row r="840" spans="1:45" ht="15" customHeight="1">
      <c r="A840" s="482" t="str">
        <f t="shared" si="82"/>
        <v>126i</v>
      </c>
      <c r="B840" s="21">
        <f t="shared" si="83"/>
        <v>-41.573222471301882</v>
      </c>
      <c r="C840" s="21">
        <f t="shared" si="84"/>
        <v>41.573222471301882</v>
      </c>
      <c r="D840" s="794">
        <f t="shared" si="85"/>
        <v>298.37145031294716</v>
      </c>
      <c r="E840" s="578" t="str">
        <f t="shared" si="86"/>
        <v>OK</v>
      </c>
      <c r="F840" s="578">
        <f t="shared" si="87"/>
        <v>7.1770104066124256</v>
      </c>
      <c r="G840" s="21" t="str">
        <f t="shared" si="88"/>
        <v>-</v>
      </c>
      <c r="H840" s="21">
        <f t="shared" si="89"/>
        <v>379.4583249094602</v>
      </c>
      <c r="I840" s="578" t="str">
        <f t="shared" si="90"/>
        <v>-</v>
      </c>
      <c r="J840" s="607" t="str">
        <f t="shared" si="91"/>
        <v>-</v>
      </c>
      <c r="L840" s="14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143"/>
      <c r="AD840" s="143"/>
      <c r="AE840" s="143"/>
      <c r="AF840" s="143"/>
      <c r="AG840" s="143"/>
      <c r="AH840" s="143"/>
      <c r="AI840" s="143"/>
      <c r="AJ840" s="143"/>
      <c r="AK840" s="143"/>
      <c r="AL840" s="143"/>
      <c r="AM840" s="143"/>
      <c r="AN840" s="143"/>
      <c r="AO840" s="143"/>
      <c r="AP840" s="143"/>
      <c r="AQ840" s="143"/>
      <c r="AR840" s="143"/>
      <c r="AS840" s="143"/>
    </row>
    <row r="841" spans="1:45" ht="15" customHeight="1">
      <c r="A841" s="482" t="str">
        <f t="shared" si="82"/>
        <v>126j</v>
      </c>
      <c r="B841" s="21">
        <f t="shared" si="83"/>
        <v>-4.8425242478781501</v>
      </c>
      <c r="C841" s="21">
        <f t="shared" si="84"/>
        <v>4.8425242478781501</v>
      </c>
      <c r="D841" s="794">
        <f t="shared" si="85"/>
        <v>298.37144257116506</v>
      </c>
      <c r="E841" s="578" t="str">
        <f t="shared" si="86"/>
        <v>OK</v>
      </c>
      <c r="F841" s="578">
        <f t="shared" si="87"/>
        <v>61.614857726711961</v>
      </c>
      <c r="G841" s="21" t="str">
        <f t="shared" si="88"/>
        <v>-</v>
      </c>
      <c r="H841" s="21">
        <f t="shared" si="89"/>
        <v>379.4583249094602</v>
      </c>
      <c r="I841" s="578" t="str">
        <f t="shared" si="90"/>
        <v>-</v>
      </c>
      <c r="J841" s="607" t="str">
        <f t="shared" si="91"/>
        <v>-</v>
      </c>
      <c r="L841" s="14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143"/>
      <c r="AD841" s="143"/>
      <c r="AE841" s="143"/>
      <c r="AF841" s="143"/>
      <c r="AG841" s="143"/>
      <c r="AH841" s="143"/>
      <c r="AI841" s="143"/>
      <c r="AJ841" s="143"/>
      <c r="AK841" s="143"/>
      <c r="AL841" s="143"/>
      <c r="AM841" s="143"/>
      <c r="AN841" s="143"/>
      <c r="AO841" s="143"/>
      <c r="AP841" s="143"/>
      <c r="AQ841" s="143"/>
      <c r="AR841" s="143"/>
      <c r="AS841" s="143"/>
    </row>
    <row r="842" spans="1:45" ht="15" customHeight="1">
      <c r="A842" s="482" t="str">
        <f t="shared" si="82"/>
        <v>127i</v>
      </c>
      <c r="B842" s="21">
        <f t="shared" si="83"/>
        <v>-6.5311181896425641</v>
      </c>
      <c r="C842" s="21">
        <f t="shared" si="84"/>
        <v>6.5311181896425641</v>
      </c>
      <c r="D842" s="794">
        <f t="shared" si="85"/>
        <v>200.22547919300584</v>
      </c>
      <c r="E842" s="578" t="str">
        <f t="shared" si="86"/>
        <v>OK</v>
      </c>
      <c r="F842" s="578">
        <f t="shared" si="87"/>
        <v>30.657151406406228</v>
      </c>
      <c r="G842" s="21" t="str">
        <f t="shared" si="88"/>
        <v>-</v>
      </c>
      <c r="H842" s="21">
        <f t="shared" si="89"/>
        <v>379.50317749469554</v>
      </c>
      <c r="I842" s="578" t="str">
        <f t="shared" si="90"/>
        <v>-</v>
      </c>
      <c r="J842" s="607" t="str">
        <f t="shared" si="91"/>
        <v>-</v>
      </c>
      <c r="L842" s="14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143"/>
      <c r="AD842" s="143"/>
      <c r="AE842" s="143"/>
      <c r="AF842" s="143"/>
      <c r="AG842" s="143"/>
      <c r="AH842" s="143"/>
      <c r="AI842" s="143"/>
      <c r="AJ842" s="143"/>
      <c r="AK842" s="143"/>
      <c r="AL842" s="143"/>
      <c r="AM842" s="143"/>
      <c r="AN842" s="143"/>
      <c r="AO842" s="143"/>
      <c r="AP842" s="143"/>
      <c r="AQ842" s="143"/>
      <c r="AR842" s="143"/>
      <c r="AS842" s="143"/>
    </row>
    <row r="843" spans="1:45" ht="15" customHeight="1">
      <c r="A843" s="482" t="str">
        <f t="shared" si="82"/>
        <v>127j</v>
      </c>
      <c r="B843" s="21">
        <f t="shared" si="83"/>
        <v>21.071912408337575</v>
      </c>
      <c r="C843" s="21" t="str">
        <f t="shared" si="84"/>
        <v>-</v>
      </c>
      <c r="D843" s="794">
        <f t="shared" si="85"/>
        <v>338.94256045395724</v>
      </c>
      <c r="E843" s="578" t="str">
        <f t="shared" si="86"/>
        <v>-</v>
      </c>
      <c r="F843" s="578" t="str">
        <f t="shared" si="87"/>
        <v>-</v>
      </c>
      <c r="G843" s="21">
        <f t="shared" si="88"/>
        <v>21.071912408337575</v>
      </c>
      <c r="H843" s="21">
        <f t="shared" si="89"/>
        <v>379.50317616661346</v>
      </c>
      <c r="I843" s="578" t="str">
        <f t="shared" si="90"/>
        <v>OK</v>
      </c>
      <c r="J843" s="607">
        <f t="shared" si="91"/>
        <v>18.009906685852325</v>
      </c>
      <c r="L843" s="14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143"/>
      <c r="AD843" s="143"/>
      <c r="AE843" s="14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</row>
    <row r="844" spans="1:45" ht="15" customHeight="1">
      <c r="A844" s="482" t="str">
        <f t="shared" si="82"/>
        <v>128i</v>
      </c>
      <c r="B844" s="21">
        <f t="shared" si="83"/>
        <v>21.587072413656848</v>
      </c>
      <c r="C844" s="21" t="str">
        <f t="shared" si="84"/>
        <v>-</v>
      </c>
      <c r="D844" s="794">
        <f t="shared" si="85"/>
        <v>338.94256045395724</v>
      </c>
      <c r="E844" s="578" t="str">
        <f t="shared" si="86"/>
        <v>-</v>
      </c>
      <c r="F844" s="578" t="str">
        <f t="shared" si="87"/>
        <v>-</v>
      </c>
      <c r="G844" s="21">
        <f t="shared" si="88"/>
        <v>21.587072413656848</v>
      </c>
      <c r="H844" s="21">
        <f t="shared" si="89"/>
        <v>379.50317616661346</v>
      </c>
      <c r="I844" s="578" t="str">
        <f t="shared" si="90"/>
        <v>OK</v>
      </c>
      <c r="J844" s="607">
        <f t="shared" si="91"/>
        <v>17.580113175815566</v>
      </c>
      <c r="L844" s="14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143"/>
      <c r="AD844" s="143"/>
      <c r="AE844" s="143"/>
      <c r="AF844" s="143"/>
      <c r="AG844" s="143"/>
      <c r="AH844" s="143"/>
      <c r="AI844" s="143"/>
      <c r="AJ844" s="143"/>
      <c r="AK844" s="143"/>
      <c r="AL844" s="143"/>
      <c r="AM844" s="143"/>
      <c r="AN844" s="143"/>
      <c r="AO844" s="143"/>
      <c r="AP844" s="143"/>
      <c r="AQ844" s="143"/>
      <c r="AR844" s="143"/>
      <c r="AS844" s="143"/>
    </row>
    <row r="845" spans="1:45" ht="15" customHeight="1">
      <c r="A845" s="482" t="str">
        <f t="shared" si="82"/>
        <v>128j</v>
      </c>
      <c r="B845" s="21">
        <f t="shared" si="83"/>
        <v>33.129164514950688</v>
      </c>
      <c r="C845" s="21" t="str">
        <f t="shared" si="84"/>
        <v>-</v>
      </c>
      <c r="D845" s="794">
        <f t="shared" si="85"/>
        <v>338.94256045395724</v>
      </c>
      <c r="E845" s="578" t="str">
        <f t="shared" si="86"/>
        <v>-</v>
      </c>
      <c r="F845" s="578" t="str">
        <f t="shared" si="87"/>
        <v>-</v>
      </c>
      <c r="G845" s="21">
        <f t="shared" si="88"/>
        <v>33.129164514950688</v>
      </c>
      <c r="H845" s="21">
        <f t="shared" si="89"/>
        <v>379.50317394584494</v>
      </c>
      <c r="I845" s="578" t="str">
        <f t="shared" si="90"/>
        <v>OK</v>
      </c>
      <c r="J845" s="607">
        <f t="shared" si="91"/>
        <v>11.455259421787741</v>
      </c>
      <c r="L845" s="14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143"/>
      <c r="AD845" s="143"/>
      <c r="AE845" s="143"/>
      <c r="AF845" s="143"/>
      <c r="AG845" s="143"/>
      <c r="AH845" s="143"/>
      <c r="AI845" s="143"/>
      <c r="AJ845" s="143"/>
      <c r="AK845" s="143"/>
      <c r="AL845" s="143"/>
      <c r="AM845" s="143"/>
      <c r="AN845" s="143"/>
      <c r="AO845" s="143"/>
      <c r="AP845" s="143"/>
      <c r="AQ845" s="143"/>
      <c r="AR845" s="143"/>
      <c r="AS845" s="143"/>
    </row>
    <row r="846" spans="1:45" ht="15" customHeight="1">
      <c r="A846" s="482" t="str">
        <f t="shared" si="82"/>
        <v>129i</v>
      </c>
      <c r="B846" s="21">
        <f t="shared" si="83"/>
        <v>33.129292473223245</v>
      </c>
      <c r="C846" s="21" t="str">
        <f t="shared" si="84"/>
        <v>-</v>
      </c>
      <c r="D846" s="794">
        <f t="shared" si="85"/>
        <v>338.94256045395724</v>
      </c>
      <c r="E846" s="578" t="str">
        <f t="shared" si="86"/>
        <v>-</v>
      </c>
      <c r="F846" s="578" t="str">
        <f t="shared" si="87"/>
        <v>-</v>
      </c>
      <c r="G846" s="21">
        <f t="shared" si="88"/>
        <v>33.129292473223245</v>
      </c>
      <c r="H846" s="21">
        <f t="shared" si="89"/>
        <v>379.50314061910348</v>
      </c>
      <c r="I846" s="578" t="str">
        <f t="shared" si="90"/>
        <v>OK</v>
      </c>
      <c r="J846" s="607">
        <f t="shared" si="91"/>
        <v>11.455214171139843</v>
      </c>
      <c r="L846" s="14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143"/>
      <c r="AD846" s="143"/>
      <c r="AE846" s="143"/>
      <c r="AF846" s="143"/>
      <c r="AG846" s="143"/>
      <c r="AH846" s="143"/>
      <c r="AI846" s="143"/>
      <c r="AJ846" s="143"/>
      <c r="AK846" s="143"/>
      <c r="AL846" s="143"/>
      <c r="AM846" s="143"/>
      <c r="AN846" s="143"/>
      <c r="AO846" s="143"/>
      <c r="AP846" s="143"/>
      <c r="AQ846" s="143"/>
      <c r="AR846" s="143"/>
      <c r="AS846" s="143"/>
    </row>
    <row r="847" spans="1:45" ht="15" customHeight="1">
      <c r="A847" s="482" t="str">
        <f t="shared" si="82"/>
        <v>129j</v>
      </c>
      <c r="B847" s="21">
        <f t="shared" si="83"/>
        <v>16.816660054414978</v>
      </c>
      <c r="C847" s="21" t="str">
        <f t="shared" si="84"/>
        <v>-</v>
      </c>
      <c r="D847" s="794">
        <f t="shared" si="85"/>
        <v>338.94256045395724</v>
      </c>
      <c r="E847" s="578" t="str">
        <f t="shared" si="86"/>
        <v>-</v>
      </c>
      <c r="F847" s="578" t="str">
        <f t="shared" si="87"/>
        <v>-</v>
      </c>
      <c r="G847" s="21">
        <f t="shared" si="88"/>
        <v>16.816660054414978</v>
      </c>
      <c r="H847" s="21">
        <f t="shared" si="89"/>
        <v>379.50312824215729</v>
      </c>
      <c r="I847" s="578" t="str">
        <f t="shared" si="90"/>
        <v>OK</v>
      </c>
      <c r="J847" s="607">
        <f t="shared" si="91"/>
        <v>22.567092812375908</v>
      </c>
      <c r="L847" s="14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143"/>
      <c r="AD847" s="143"/>
      <c r="AE847" s="143"/>
      <c r="AF847" s="143"/>
      <c r="AG847" s="143"/>
      <c r="AH847" s="143"/>
      <c r="AI847" s="143"/>
      <c r="AJ847" s="143"/>
      <c r="AK847" s="143"/>
      <c r="AL847" s="143"/>
      <c r="AM847" s="143"/>
      <c r="AN847" s="143"/>
      <c r="AO847" s="143"/>
      <c r="AP847" s="143"/>
      <c r="AQ847" s="143"/>
      <c r="AR847" s="143"/>
      <c r="AS847" s="143"/>
    </row>
    <row r="848" spans="1:45" ht="15" customHeight="1">
      <c r="A848" s="482" t="str">
        <f t="shared" si="82"/>
        <v>130i</v>
      </c>
      <c r="B848" s="21">
        <f t="shared" si="83"/>
        <v>18.545202789830768</v>
      </c>
      <c r="C848" s="21" t="str">
        <f t="shared" si="84"/>
        <v>-</v>
      </c>
      <c r="D848" s="794">
        <f t="shared" si="85"/>
        <v>338.96081165596377</v>
      </c>
      <c r="E848" s="578" t="str">
        <f t="shared" si="86"/>
        <v>-</v>
      </c>
      <c r="F848" s="578" t="str">
        <f t="shared" si="87"/>
        <v>-</v>
      </c>
      <c r="G848" s="21">
        <f t="shared" si="88"/>
        <v>18.545202789830768</v>
      </c>
      <c r="H848" s="21">
        <f t="shared" si="89"/>
        <v>379.53151901071135</v>
      </c>
      <c r="I848" s="578" t="str">
        <f t="shared" si="90"/>
        <v>OK</v>
      </c>
      <c r="J848" s="607">
        <f t="shared" si="91"/>
        <v>20.465212665068663</v>
      </c>
      <c r="L848" s="14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143"/>
      <c r="AD848" s="143"/>
      <c r="AE848" s="14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</row>
    <row r="849" spans="1:45" ht="15" customHeight="1">
      <c r="A849" s="482" t="str">
        <f t="shared" si="82"/>
        <v>130j</v>
      </c>
      <c r="B849" s="21">
        <f t="shared" si="83"/>
        <v>-0.15070517241553488</v>
      </c>
      <c r="C849" s="21">
        <f t="shared" si="84"/>
        <v>0.15070517241553488</v>
      </c>
      <c r="D849" s="794">
        <f t="shared" si="85"/>
        <v>200.22387854319047</v>
      </c>
      <c r="E849" s="578" t="str">
        <f t="shared" si="86"/>
        <v>OK</v>
      </c>
      <c r="F849" s="578">
        <f t="shared" si="87"/>
        <v>1328.5800038177797</v>
      </c>
      <c r="G849" s="21" t="str">
        <f t="shared" si="88"/>
        <v>-</v>
      </c>
      <c r="H849" s="21">
        <f t="shared" si="89"/>
        <v>379.53157750434622</v>
      </c>
      <c r="I849" s="578" t="str">
        <f t="shared" si="90"/>
        <v>-</v>
      </c>
      <c r="J849" s="607" t="str">
        <f t="shared" si="91"/>
        <v>-</v>
      </c>
      <c r="L849" s="14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143"/>
      <c r="AD849" s="143"/>
      <c r="AE849" s="143"/>
      <c r="AF849" s="143"/>
      <c r="AG849" s="143"/>
      <c r="AH849" s="143"/>
      <c r="AI849" s="143"/>
      <c r="AJ849" s="143"/>
      <c r="AK849" s="143"/>
      <c r="AL849" s="143"/>
      <c r="AM849" s="143"/>
      <c r="AN849" s="143"/>
      <c r="AO849" s="143"/>
      <c r="AP849" s="143"/>
      <c r="AQ849" s="143"/>
      <c r="AR849" s="143"/>
      <c r="AS849" s="143"/>
    </row>
    <row r="850" spans="1:45" ht="15" customHeight="1">
      <c r="A850" s="482" t="str">
        <f t="shared" si="82"/>
        <v>131i</v>
      </c>
      <c r="B850" s="21">
        <f t="shared" si="83"/>
        <v>-0.15126961126353314</v>
      </c>
      <c r="C850" s="21">
        <f t="shared" si="84"/>
        <v>0.15126961126353314</v>
      </c>
      <c r="D850" s="794">
        <f t="shared" si="85"/>
        <v>200.22548440417737</v>
      </c>
      <c r="E850" s="578" t="str">
        <f t="shared" si="86"/>
        <v>OK</v>
      </c>
      <c r="F850" s="578">
        <f t="shared" si="87"/>
        <v>1323.633231630087</v>
      </c>
      <c r="G850" s="21" t="str">
        <f t="shared" si="88"/>
        <v>-</v>
      </c>
      <c r="H850" s="21">
        <f t="shared" si="89"/>
        <v>379.53157750434622</v>
      </c>
      <c r="I850" s="578" t="str">
        <f t="shared" si="90"/>
        <v>-</v>
      </c>
      <c r="J850" s="607" t="str">
        <f t="shared" si="91"/>
        <v>-</v>
      </c>
      <c r="L850" s="14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143"/>
      <c r="AD850" s="143"/>
      <c r="AE850" s="143"/>
      <c r="AF850" s="143"/>
      <c r="AG850" s="143"/>
      <c r="AH850" s="143"/>
      <c r="AI850" s="143"/>
      <c r="AJ850" s="143"/>
      <c r="AK850" s="143"/>
      <c r="AL850" s="143"/>
      <c r="AM850" s="143"/>
      <c r="AN850" s="143"/>
      <c r="AO850" s="143"/>
      <c r="AP850" s="143"/>
      <c r="AQ850" s="143"/>
      <c r="AR850" s="143"/>
      <c r="AS850" s="143"/>
    </row>
    <row r="851" spans="1:45" ht="15" customHeight="1">
      <c r="A851" s="482" t="str">
        <f t="shared" si="82"/>
        <v>131j</v>
      </c>
      <c r="B851" s="21">
        <f t="shared" si="83"/>
        <v>0</v>
      </c>
      <c r="C851" s="21" t="str">
        <f t="shared" si="84"/>
        <v>-</v>
      </c>
      <c r="D851" s="794">
        <f t="shared" si="85"/>
        <v>338.96081165596377</v>
      </c>
      <c r="E851" s="578" t="str">
        <f t="shared" si="86"/>
        <v>-</v>
      </c>
      <c r="F851" s="578" t="str">
        <f t="shared" si="87"/>
        <v>-</v>
      </c>
      <c r="G851" s="21">
        <f t="shared" si="88"/>
        <v>0</v>
      </c>
      <c r="H851" s="21">
        <f t="shared" si="89"/>
        <v>379.53157750434622</v>
      </c>
      <c r="I851" s="578" t="str">
        <f t="shared" si="90"/>
        <v>OK</v>
      </c>
      <c r="J851" s="607" t="e">
        <f t="shared" si="91"/>
        <v>#DIV/0!</v>
      </c>
      <c r="L851" s="14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143"/>
      <c r="AD851" s="143"/>
      <c r="AE851" s="143"/>
      <c r="AF851" s="143"/>
      <c r="AG851" s="143"/>
      <c r="AH851" s="143"/>
      <c r="AI851" s="143"/>
      <c r="AJ851" s="143"/>
      <c r="AK851" s="143"/>
      <c r="AL851" s="143"/>
      <c r="AM851" s="143"/>
      <c r="AN851" s="143"/>
      <c r="AO851" s="143"/>
      <c r="AP851" s="143"/>
      <c r="AQ851" s="143"/>
      <c r="AR851" s="143"/>
      <c r="AS851" s="143"/>
    </row>
    <row r="852" spans="1:45" ht="15" customHeight="1">
      <c r="A852" s="53"/>
      <c r="B852" s="119"/>
      <c r="C852" s="119"/>
      <c r="D852" s="1795"/>
      <c r="E852" s="119"/>
      <c r="F852" s="1795"/>
      <c r="G852" s="1829"/>
      <c r="H852" s="119"/>
      <c r="I852" s="119"/>
      <c r="J852" s="1829"/>
      <c r="K852" s="1829"/>
      <c r="L852" s="119"/>
      <c r="M852" s="119"/>
      <c r="N852" s="1829"/>
      <c r="O852" s="1829"/>
      <c r="T852" s="73"/>
      <c r="U852" s="73"/>
      <c r="V852" s="73"/>
      <c r="W852" s="73"/>
      <c r="X852" s="73"/>
      <c r="Y852" s="73"/>
      <c r="Z852" s="73"/>
      <c r="AA852" s="73"/>
      <c r="AC852" s="73"/>
      <c r="AD852" s="73"/>
      <c r="AF852" s="73"/>
      <c r="AG852" s="143"/>
      <c r="AH852" s="143"/>
      <c r="AI852" s="143"/>
      <c r="AJ852" s="143"/>
      <c r="AK852" s="143"/>
      <c r="AL852" s="143"/>
      <c r="AM852" s="143"/>
      <c r="AN852" s="143"/>
      <c r="AO852" s="143"/>
      <c r="AP852" s="143"/>
      <c r="AQ852" s="143"/>
      <c r="AR852" s="143"/>
      <c r="AS852" s="143"/>
    </row>
    <row r="853" spans="1:45" ht="15" customHeight="1">
      <c r="A853" s="53"/>
      <c r="B853" s="121"/>
      <c r="C853" s="123"/>
      <c r="D853" s="55"/>
      <c r="E853" s="121"/>
      <c r="F853" s="121"/>
      <c r="G853" s="120"/>
      <c r="H853" s="119"/>
      <c r="I853" s="121"/>
      <c r="J853" s="123"/>
      <c r="K853" s="123"/>
      <c r="L853" s="123"/>
      <c r="M853" s="123"/>
      <c r="N853" s="55"/>
      <c r="O853" s="170"/>
      <c r="P853" s="56"/>
      <c r="Q853" s="56"/>
      <c r="R853" s="57"/>
      <c r="Y853" s="204"/>
    </row>
    <row r="854" spans="1:45" ht="15" customHeight="1">
      <c r="A854" s="134"/>
      <c r="B854" s="207" t="s">
        <v>449</v>
      </c>
      <c r="C854" s="136"/>
      <c r="D854" s="136"/>
      <c r="E854" s="136"/>
      <c r="F854" s="136"/>
      <c r="G854" s="136"/>
      <c r="H854" s="170"/>
      <c r="I854" s="170"/>
      <c r="J854" s="170"/>
      <c r="K854" s="170"/>
      <c r="L854" s="189"/>
      <c r="M854" s="170"/>
      <c r="N854" s="170"/>
      <c r="O854" s="108" t="s">
        <v>411</v>
      </c>
      <c r="P854" s="170"/>
      <c r="Q854" s="170"/>
      <c r="R854" s="170"/>
      <c r="S854" s="170"/>
      <c r="T854" s="170"/>
      <c r="U854" s="170"/>
      <c r="V854" s="170"/>
      <c r="W854" s="170"/>
      <c r="X854" s="170"/>
      <c r="Y854" s="189"/>
      <c r="Z854" s="170"/>
    </row>
    <row r="855" spans="1:45" ht="15" customHeight="1">
      <c r="A855" s="134"/>
      <c r="B855" s="207"/>
      <c r="C855" s="136"/>
      <c r="D855" s="136"/>
      <c r="E855" s="136"/>
      <c r="F855" s="136"/>
      <c r="G855" s="136"/>
      <c r="H855" s="170"/>
      <c r="I855" s="170"/>
      <c r="J855" s="170"/>
      <c r="K855" s="170"/>
      <c r="L855" s="211"/>
      <c r="M855" s="170"/>
      <c r="N855" s="170"/>
      <c r="O855" s="170"/>
      <c r="P855" s="170"/>
      <c r="Q855" s="170"/>
      <c r="R855" s="170"/>
      <c r="S855" s="170"/>
      <c r="T855" s="170"/>
      <c r="U855" s="170"/>
      <c r="V855" s="170"/>
      <c r="W855" s="170"/>
      <c r="X855" s="170"/>
      <c r="Y855" s="211"/>
      <c r="Z855" s="170"/>
      <c r="AA855" s="108"/>
    </row>
    <row r="856" spans="1:45" ht="15" customHeight="1">
      <c r="A856" s="134"/>
      <c r="B856" s="207"/>
      <c r="C856" s="215" t="s">
        <v>1700</v>
      </c>
      <c r="D856" s="136"/>
      <c r="E856" s="136"/>
      <c r="F856" s="136"/>
      <c r="G856" s="136"/>
      <c r="H856" s="170"/>
      <c r="I856" s="170"/>
      <c r="J856" s="170"/>
      <c r="K856" s="170"/>
      <c r="L856" s="208"/>
      <c r="M856" s="170"/>
      <c r="N856" s="170"/>
      <c r="O856" s="170"/>
      <c r="P856" s="170"/>
      <c r="Q856" s="170"/>
      <c r="R856" s="170"/>
      <c r="S856" s="170"/>
      <c r="T856" s="170"/>
      <c r="U856" s="170"/>
      <c r="V856" s="170"/>
      <c r="W856" s="170"/>
      <c r="X856" s="170"/>
      <c r="Y856" s="208"/>
      <c r="Z856" s="170"/>
      <c r="AA856" s="108"/>
    </row>
    <row r="857" spans="1:45" ht="15" customHeight="1">
      <c r="A857" s="134"/>
      <c r="B857" s="207"/>
      <c r="C857" s="223" t="s">
        <v>444</v>
      </c>
      <c r="D857" s="136"/>
      <c r="E857" s="136"/>
      <c r="F857" s="136"/>
      <c r="G857" s="136"/>
      <c r="H857" s="170"/>
      <c r="I857" s="170"/>
      <c r="J857" s="170"/>
      <c r="K857" s="170"/>
      <c r="L857" s="208"/>
      <c r="M857" s="170"/>
      <c r="N857" s="170"/>
      <c r="O857" s="170"/>
      <c r="P857" s="170"/>
      <c r="Q857" s="170"/>
      <c r="R857" s="170"/>
      <c r="S857" s="170"/>
      <c r="T857" s="170"/>
      <c r="U857" s="170"/>
      <c r="V857" s="170"/>
      <c r="W857" s="170"/>
      <c r="X857" s="170"/>
      <c r="Y857" s="208"/>
      <c r="Z857" s="170"/>
      <c r="AA857" s="108"/>
    </row>
    <row r="858" spans="1:45" ht="15" customHeight="1">
      <c r="A858" s="134"/>
      <c r="B858" s="207"/>
      <c r="D858" s="136"/>
      <c r="E858" s="136"/>
      <c r="F858" s="136"/>
      <c r="G858" s="136"/>
      <c r="H858" s="170"/>
      <c r="I858" s="170"/>
      <c r="J858" s="170"/>
      <c r="K858" s="170"/>
      <c r="L858" s="211"/>
      <c r="M858" s="170"/>
      <c r="N858" s="170"/>
      <c r="O858" s="170"/>
      <c r="P858" s="170"/>
      <c r="Q858" s="170"/>
      <c r="R858" s="170"/>
      <c r="S858" s="170"/>
      <c r="T858" s="170"/>
      <c r="U858" s="170"/>
      <c r="V858" s="170"/>
      <c r="W858" s="170"/>
      <c r="X858" s="170"/>
      <c r="Y858" s="211"/>
      <c r="Z858" s="170"/>
      <c r="AA858" s="108"/>
    </row>
    <row r="859" spans="1:45" ht="15" customHeight="1">
      <c r="A859" s="134"/>
      <c r="B859" s="134" t="s">
        <v>849</v>
      </c>
      <c r="C859" s="214" t="s">
        <v>438</v>
      </c>
      <c r="D859" s="136"/>
      <c r="E859" s="136"/>
      <c r="F859" s="136"/>
      <c r="G859" s="136"/>
      <c r="H859" s="170"/>
      <c r="I859" s="170"/>
      <c r="J859" s="170"/>
      <c r="K859" s="170"/>
      <c r="L859" s="208"/>
      <c r="M859" s="170"/>
      <c r="N859" s="170"/>
      <c r="O859" s="170"/>
      <c r="P859" s="170"/>
      <c r="Q859" s="170"/>
      <c r="R859" s="170"/>
      <c r="S859" s="170"/>
      <c r="T859" s="170"/>
      <c r="U859" s="170"/>
      <c r="V859" s="170"/>
      <c r="W859" s="170"/>
      <c r="X859" s="170"/>
      <c r="Y859" s="208"/>
      <c r="Z859" s="170"/>
      <c r="AA859" s="108"/>
    </row>
    <row r="860" spans="1:45" ht="15" customHeight="1">
      <c r="A860" s="134"/>
      <c r="B860" s="207"/>
      <c r="C860" s="148" t="s">
        <v>134</v>
      </c>
      <c r="D860" s="148"/>
      <c r="E860" s="148"/>
      <c r="F860" s="148"/>
      <c r="G860" s="148"/>
      <c r="H860" s="148" t="s">
        <v>439</v>
      </c>
      <c r="I860" s="148"/>
      <c r="J860" s="148"/>
      <c r="K860" s="148"/>
      <c r="L860" s="148"/>
      <c r="M860" s="170"/>
      <c r="N860" s="170"/>
      <c r="O860" s="170"/>
      <c r="P860" s="170"/>
      <c r="Q860" s="170"/>
      <c r="R860" s="170"/>
      <c r="S860" s="170"/>
      <c r="T860" s="170"/>
      <c r="U860" s="170"/>
      <c r="V860" s="170"/>
      <c r="W860" s="170"/>
      <c r="X860" s="170"/>
      <c r="Y860" s="208"/>
      <c r="Z860" s="170"/>
      <c r="AA860" s="108"/>
    </row>
    <row r="861" spans="1:45" ht="15" customHeight="1">
      <c r="A861" s="134"/>
      <c r="B861" s="207"/>
      <c r="C861" s="51" t="s">
        <v>440</v>
      </c>
      <c r="D861" s="1936" t="s">
        <v>1701</v>
      </c>
      <c r="E861" s="1936"/>
      <c r="F861" s="365"/>
      <c r="G861" s="170"/>
      <c r="H861" s="1932" t="s">
        <v>442</v>
      </c>
      <c r="I861" s="1932"/>
      <c r="J861" s="1932"/>
      <c r="K861" s="1932"/>
      <c r="L861" s="365"/>
      <c r="M861" s="170"/>
      <c r="N861" s="170"/>
      <c r="O861" s="170"/>
      <c r="P861" s="170"/>
      <c r="Q861" s="170"/>
      <c r="R861" s="170"/>
      <c r="S861" s="170"/>
      <c r="T861" s="170"/>
      <c r="U861" s="170"/>
      <c r="V861" s="170"/>
      <c r="W861" s="170"/>
      <c r="X861" s="170"/>
      <c r="Y861" s="208"/>
      <c r="Z861" s="170"/>
      <c r="AA861" s="108"/>
    </row>
    <row r="862" spans="1:45" ht="15" customHeight="1">
      <c r="A862" s="134"/>
      <c r="B862" s="207"/>
      <c r="C862" s="211" t="s">
        <v>441</v>
      </c>
      <c r="D862" s="1862"/>
      <c r="E862" s="1862"/>
      <c r="F862" s="115"/>
      <c r="G862" s="170"/>
      <c r="H862" s="1870"/>
      <c r="I862" s="1870"/>
      <c r="J862" s="1870"/>
      <c r="K862" s="1870"/>
      <c r="L862" s="115"/>
      <c r="M862" s="170"/>
      <c r="N862" s="170"/>
      <c r="O862" s="170"/>
      <c r="P862" s="170"/>
      <c r="Q862" s="170"/>
      <c r="R862" s="170"/>
      <c r="S862" s="170"/>
      <c r="T862" s="170"/>
      <c r="U862" s="170"/>
      <c r="V862" s="170"/>
      <c r="W862" s="170"/>
      <c r="X862" s="170"/>
      <c r="Y862" s="208"/>
      <c r="Z862" s="170"/>
      <c r="AA862" s="108"/>
    </row>
    <row r="863" spans="1:45" ht="15" customHeight="1">
      <c r="A863" s="134"/>
      <c r="B863" s="207"/>
      <c r="C863" s="213" t="s">
        <v>440</v>
      </c>
      <c r="D863" s="1862" t="s">
        <v>1702</v>
      </c>
      <c r="E863" s="1862"/>
      <c r="F863" s="115"/>
      <c r="G863" s="170"/>
      <c r="H863" s="1870" t="s">
        <v>443</v>
      </c>
      <c r="I863" s="1870"/>
      <c r="J863" s="1870"/>
      <c r="K863" s="1870"/>
      <c r="L863" s="115"/>
      <c r="M863" s="170"/>
      <c r="N863" s="170"/>
      <c r="O863" s="170"/>
      <c r="P863" s="170"/>
      <c r="Q863" s="170"/>
      <c r="R863" s="170"/>
      <c r="S863" s="170"/>
      <c r="T863" s="170"/>
      <c r="U863" s="170"/>
      <c r="V863" s="170"/>
      <c r="W863" s="170"/>
      <c r="X863" s="170"/>
      <c r="Y863" s="208"/>
      <c r="Z863" s="170"/>
      <c r="AA863" s="108"/>
    </row>
    <row r="864" spans="1:45" ht="15" customHeight="1">
      <c r="A864" s="134"/>
      <c r="B864" s="207"/>
      <c r="C864" s="213" t="s">
        <v>441</v>
      </c>
      <c r="D864" s="1940"/>
      <c r="E864" s="1940"/>
      <c r="F864" s="112"/>
      <c r="G864" s="145"/>
      <c r="H864" s="1939"/>
      <c r="I864" s="1939"/>
      <c r="J864" s="1939"/>
      <c r="K864" s="1939"/>
      <c r="L864" s="112"/>
      <c r="M864" s="170"/>
      <c r="N864" s="170"/>
      <c r="O864" s="170"/>
      <c r="P864" s="170"/>
      <c r="Q864" s="170"/>
      <c r="R864" s="170"/>
      <c r="S864" s="170"/>
      <c r="T864" s="170"/>
      <c r="U864" s="170"/>
      <c r="V864" s="170"/>
      <c r="W864" s="170"/>
      <c r="X864" s="170"/>
      <c r="Y864" s="208"/>
      <c r="Z864" s="170"/>
      <c r="AA864" s="108"/>
    </row>
    <row r="865" spans="1:32" ht="15" customHeight="1">
      <c r="A865" s="134"/>
      <c r="B865" s="207"/>
      <c r="C865" s="215"/>
      <c r="D865" s="136"/>
      <c r="E865" s="136"/>
      <c r="F865" s="136"/>
      <c r="G865" s="136"/>
      <c r="H865" s="170"/>
      <c r="I865" s="170"/>
      <c r="J865" s="170"/>
      <c r="K865" s="170"/>
      <c r="L865" s="208"/>
      <c r="M865" s="170"/>
      <c r="N865" s="170"/>
      <c r="O865" s="170"/>
      <c r="P865" s="170"/>
      <c r="Q865" s="170"/>
      <c r="R865" s="170"/>
      <c r="S865" s="170"/>
      <c r="T865" s="170"/>
      <c r="U865" s="170"/>
      <c r="V865" s="170"/>
      <c r="W865" s="170"/>
      <c r="X865" s="170"/>
      <c r="Y865" s="208"/>
      <c r="Z865" s="170"/>
      <c r="AA865" s="108"/>
    </row>
    <row r="866" spans="1:32" ht="15" customHeight="1">
      <c r="A866" s="134"/>
      <c r="B866" s="207"/>
      <c r="C866" s="218" t="s">
        <v>428</v>
      </c>
      <c r="D866" s="136"/>
      <c r="E866" s="136"/>
      <c r="F866" s="136"/>
      <c r="G866" s="136"/>
      <c r="H866" s="170"/>
      <c r="I866" s="170"/>
      <c r="J866" s="170"/>
      <c r="K866" s="170"/>
      <c r="L866" s="208"/>
      <c r="M866" s="170"/>
      <c r="N866" s="170"/>
      <c r="O866" s="170"/>
      <c r="P866" s="170"/>
      <c r="Q866" s="170"/>
      <c r="R866" s="170"/>
      <c r="S866" s="170"/>
      <c r="T866" s="170"/>
      <c r="U866" s="170"/>
      <c r="V866" s="170"/>
      <c r="W866" s="170"/>
      <c r="X866" s="170"/>
      <c r="Y866" s="208"/>
      <c r="Z866" s="170"/>
      <c r="AA866" s="108"/>
    </row>
    <row r="867" spans="1:32" ht="15" customHeight="1">
      <c r="A867" s="134"/>
      <c r="B867" s="207"/>
      <c r="C867" s="1938" t="s">
        <v>258</v>
      </c>
      <c r="D867" s="1938"/>
      <c r="E867" s="112" t="s">
        <v>259</v>
      </c>
      <c r="F867" s="1938" t="s">
        <v>1703</v>
      </c>
      <c r="G867" s="1938"/>
      <c r="H867" s="1938"/>
      <c r="I867" s="1938"/>
      <c r="J867" s="135"/>
      <c r="K867" s="135"/>
      <c r="L867" s="135"/>
      <c r="M867" s="135"/>
      <c r="O867" s="170"/>
      <c r="P867" s="170"/>
      <c r="Q867" s="170"/>
      <c r="R867" s="170"/>
      <c r="S867" s="170"/>
      <c r="T867" s="170"/>
      <c r="Y867" s="143"/>
      <c r="AD867" s="73"/>
    </row>
    <row r="868" spans="1:32" ht="15" customHeight="1">
      <c r="A868" s="88"/>
      <c r="B868" s="95"/>
      <c r="C868" s="1938"/>
      <c r="D868" s="1938"/>
      <c r="E868" s="365" t="s">
        <v>261</v>
      </c>
      <c r="F868" s="1938"/>
      <c r="G868" s="1938"/>
      <c r="H868" s="1938"/>
      <c r="I868" s="1938"/>
      <c r="J868" s="135"/>
      <c r="K868" s="135"/>
      <c r="L868" s="135"/>
      <c r="M868" s="135"/>
      <c r="O868" s="170"/>
      <c r="P868" s="170"/>
      <c r="Q868" s="170"/>
      <c r="R868" s="170"/>
      <c r="S868" s="170"/>
      <c r="T868" s="170"/>
      <c r="Y868" s="143"/>
      <c r="AD868" s="73"/>
    </row>
    <row r="869" spans="1:32" ht="15" customHeight="1">
      <c r="A869" s="88"/>
      <c r="B869" s="95"/>
      <c r="C869" s="362"/>
      <c r="D869" s="362"/>
      <c r="E869" s="361"/>
      <c r="F869" s="361"/>
      <c r="G869" s="362"/>
      <c r="H869" s="362"/>
      <c r="I869" s="362"/>
      <c r="J869" s="362"/>
      <c r="K869" s="362"/>
      <c r="L869" s="362"/>
      <c r="M869" s="362"/>
      <c r="O869" s="170"/>
      <c r="P869" s="170"/>
      <c r="Q869" s="170"/>
      <c r="R869" s="170"/>
      <c r="S869" s="170"/>
      <c r="T869" s="170"/>
      <c r="Y869" s="143"/>
      <c r="AD869" s="73"/>
    </row>
    <row r="870" spans="1:32" ht="15" customHeight="1">
      <c r="A870" s="170"/>
      <c r="B870" s="134" t="s">
        <v>849</v>
      </c>
      <c r="C870" s="170" t="s">
        <v>2144</v>
      </c>
      <c r="D870" s="334"/>
      <c r="E870" s="334"/>
      <c r="F870" s="334"/>
      <c r="G870" s="334"/>
      <c r="H870" s="334"/>
      <c r="I870" s="334"/>
      <c r="J870" s="170"/>
      <c r="K870" s="170"/>
      <c r="L870" s="170"/>
      <c r="M870" s="361"/>
      <c r="N870" s="170"/>
      <c r="P870" s="170"/>
      <c r="Q870" s="170"/>
      <c r="R870" s="170"/>
      <c r="X870" s="170"/>
      <c r="Y870" s="361"/>
      <c r="Z870" s="170"/>
      <c r="AA870" s="170"/>
    </row>
    <row r="871" spans="1:32" ht="15" customHeight="1">
      <c r="A871" s="170"/>
      <c r="B871" s="134"/>
      <c r="C871" s="170"/>
      <c r="D871" s="334"/>
      <c r="E871" s="334"/>
      <c r="F871" s="334"/>
      <c r="G871" s="334"/>
      <c r="H871" s="334"/>
      <c r="I871" s="334"/>
      <c r="J871" s="170"/>
      <c r="K871" s="170"/>
      <c r="L871" s="170"/>
      <c r="M871" s="1117"/>
      <c r="N871" s="170"/>
      <c r="P871" s="170"/>
      <c r="Q871" s="170"/>
      <c r="R871" s="170"/>
      <c r="X871" s="170"/>
      <c r="Y871" s="1117"/>
      <c r="Z871" s="170"/>
      <c r="AA871" s="170"/>
      <c r="AD871" s="559"/>
      <c r="AF871" s="559"/>
    </row>
    <row r="872" spans="1:32" ht="15" customHeight="1">
      <c r="A872" s="170"/>
      <c r="B872" s="134"/>
      <c r="C872" s="115" t="s">
        <v>2249</v>
      </c>
      <c r="D872" s="1126"/>
      <c r="E872" s="1126"/>
      <c r="F872" s="1126"/>
      <c r="G872" s="115" t="s">
        <v>2248</v>
      </c>
      <c r="H872" s="334"/>
      <c r="I872" s="334"/>
      <c r="J872" s="170"/>
      <c r="K872" s="170"/>
      <c r="L872" s="170"/>
      <c r="M872" s="1117"/>
      <c r="N872" s="170"/>
      <c r="P872" s="170"/>
      <c r="Q872" s="170"/>
      <c r="R872" s="170"/>
      <c r="X872" s="170"/>
      <c r="Y872" s="1117"/>
      <c r="Z872" s="170"/>
      <c r="AA872" s="170"/>
      <c r="AD872" s="559"/>
      <c r="AF872" s="559"/>
    </row>
    <row r="873" spans="1:32" ht="15" customHeight="1">
      <c r="A873" s="170"/>
      <c r="B873" s="134"/>
      <c r="C873" s="115"/>
      <c r="D873" s="1126"/>
      <c r="E873" s="1126"/>
      <c r="F873" s="1126"/>
      <c r="G873" s="115"/>
      <c r="H873" s="334"/>
      <c r="I873" s="334"/>
      <c r="J873" s="170"/>
      <c r="K873" s="170"/>
      <c r="L873" s="170"/>
      <c r="M873" s="1117"/>
      <c r="N873" s="170"/>
      <c r="P873" s="170"/>
      <c r="Q873" s="170"/>
      <c r="R873" s="170"/>
      <c r="X873" s="170"/>
      <c r="Y873" s="1117"/>
      <c r="Z873" s="170"/>
      <c r="AA873" s="170"/>
      <c r="AD873" s="559"/>
      <c r="AF873" s="559"/>
    </row>
    <row r="874" spans="1:32" ht="15" customHeight="1">
      <c r="A874" s="170"/>
      <c r="B874" s="134"/>
      <c r="C874" s="145" t="s">
        <v>2225</v>
      </c>
      <c r="D874" s="140"/>
      <c r="E874" s="140"/>
      <c r="F874" s="140"/>
      <c r="G874" s="140"/>
      <c r="H874" s="140"/>
      <c r="I874" s="140"/>
      <c r="J874" s="170"/>
      <c r="K874" s="170"/>
      <c r="L874" s="170"/>
      <c r="M874" s="1117"/>
      <c r="N874" s="170"/>
      <c r="O874" s="108" t="s">
        <v>2224</v>
      </c>
      <c r="P874" s="170"/>
      <c r="Q874" s="170"/>
      <c r="R874" s="170"/>
      <c r="X874" s="170"/>
      <c r="Y874" s="1117"/>
      <c r="Z874" s="170"/>
      <c r="AA874" s="170"/>
      <c r="AD874" s="559"/>
      <c r="AF874" s="559"/>
    </row>
    <row r="875" spans="1:32" ht="15" customHeight="1">
      <c r="A875" s="170"/>
      <c r="B875" s="170"/>
      <c r="C875" s="148" t="s">
        <v>134</v>
      </c>
      <c r="D875" s="148"/>
      <c r="E875" s="148"/>
      <c r="F875" s="148"/>
      <c r="G875" s="148"/>
      <c r="H875" s="148" t="s">
        <v>129</v>
      </c>
      <c r="I875" s="148"/>
      <c r="J875" s="148"/>
      <c r="K875" s="148"/>
      <c r="L875" s="148"/>
      <c r="X875" s="170"/>
      <c r="Y875" s="361"/>
      <c r="Z875" s="170"/>
      <c r="AA875" s="170"/>
      <c r="AD875" s="73"/>
      <c r="AF875" s="73"/>
    </row>
    <row r="876" spans="1:32" ht="15" customHeight="1">
      <c r="A876" s="170"/>
      <c r="B876" s="170"/>
      <c r="C876" s="122" t="s">
        <v>826</v>
      </c>
      <c r="D876" s="122"/>
      <c r="E876" s="122"/>
      <c r="F876" s="122"/>
      <c r="G876" s="122"/>
      <c r="H876" s="1928">
        <v>7.2</v>
      </c>
      <c r="I876" s="1928"/>
      <c r="J876" s="122"/>
      <c r="K876" s="122"/>
      <c r="L876" s="122"/>
      <c r="X876" s="170"/>
      <c r="Y876" s="361"/>
      <c r="Z876" s="170"/>
      <c r="AA876" s="170"/>
      <c r="AD876" s="73"/>
      <c r="AF876" s="73"/>
    </row>
    <row r="877" spans="1:32" ht="15" customHeight="1">
      <c r="A877" s="170"/>
      <c r="B877" s="170"/>
      <c r="C877" s="122" t="s">
        <v>827</v>
      </c>
      <c r="D877" s="122"/>
      <c r="E877" s="122"/>
      <c r="F877" s="122"/>
      <c r="G877" s="122"/>
      <c r="H877" s="122"/>
      <c r="I877" s="122"/>
      <c r="J877" s="122"/>
      <c r="K877" s="122"/>
      <c r="L877" s="122"/>
      <c r="X877" s="170"/>
      <c r="Y877" s="361"/>
      <c r="Z877" s="170"/>
      <c r="AA877" s="170"/>
      <c r="AD877" s="73"/>
      <c r="AF877" s="73"/>
    </row>
    <row r="878" spans="1:32" ht="15" customHeight="1">
      <c r="B878" s="170"/>
      <c r="D878" s="170" t="s">
        <v>1704</v>
      </c>
      <c r="E878" s="170"/>
      <c r="F878" s="170"/>
      <c r="G878" s="170"/>
      <c r="H878" s="170" t="s">
        <v>1706</v>
      </c>
      <c r="I878" s="170"/>
      <c r="J878" s="170"/>
      <c r="K878" s="170"/>
      <c r="L878" s="170"/>
      <c r="M878" s="170"/>
      <c r="N878" s="170"/>
      <c r="O878" s="170"/>
      <c r="P878" s="170"/>
      <c r="Q878" s="170"/>
      <c r="R878" s="170"/>
      <c r="S878" s="170"/>
      <c r="T878" s="170"/>
      <c r="U878" s="170"/>
      <c r="V878" s="170"/>
      <c r="W878" s="170"/>
      <c r="X878" s="170"/>
      <c r="Y878" s="361"/>
      <c r="Z878" s="170"/>
      <c r="AA878" s="170"/>
      <c r="AD878" s="73"/>
      <c r="AF878" s="73"/>
    </row>
    <row r="879" spans="1:32" ht="15" customHeight="1">
      <c r="B879" s="170"/>
      <c r="C879" s="145"/>
      <c r="D879" s="145" t="s">
        <v>1705</v>
      </c>
      <c r="E879" s="145"/>
      <c r="F879" s="145"/>
      <c r="G879" s="145"/>
      <c r="H879" s="145" t="s">
        <v>264</v>
      </c>
      <c r="I879" s="145"/>
      <c r="J879" s="145"/>
      <c r="K879" s="145"/>
      <c r="L879" s="145"/>
      <c r="M879" s="170"/>
      <c r="N879" s="170"/>
      <c r="O879" s="170"/>
      <c r="P879" s="170"/>
      <c r="Q879" s="170"/>
      <c r="R879" s="170"/>
      <c r="S879" s="170"/>
      <c r="T879" s="170"/>
      <c r="U879" s="170"/>
      <c r="V879" s="170"/>
      <c r="W879" s="170"/>
      <c r="X879" s="170"/>
      <c r="Y879" s="361"/>
      <c r="Z879" s="170"/>
      <c r="AA879" s="170"/>
      <c r="AD879" s="73"/>
      <c r="AF879" s="73"/>
    </row>
    <row r="880" spans="1:32" ht="15" customHeight="1">
      <c r="L880" s="143"/>
      <c r="R880" s="170"/>
      <c r="S880" s="170"/>
      <c r="T880" s="170"/>
      <c r="U880" s="170"/>
      <c r="V880" s="170"/>
      <c r="W880" s="170"/>
      <c r="X880" s="170"/>
      <c r="Y880" s="361"/>
      <c r="Z880" s="170"/>
      <c r="AA880" s="170"/>
      <c r="AD880" s="73"/>
      <c r="AF880" s="73"/>
    </row>
    <row r="881" spans="1:32" ht="15" customHeight="1">
      <c r="C881" s="170" t="s">
        <v>381</v>
      </c>
      <c r="D881" s="138" t="s">
        <v>324</v>
      </c>
      <c r="E881" s="170" t="s">
        <v>434</v>
      </c>
      <c r="L881" s="143"/>
      <c r="R881" s="170"/>
      <c r="S881" s="170"/>
      <c r="T881" s="170"/>
      <c r="U881" s="170"/>
      <c r="V881" s="170"/>
      <c r="W881" s="170"/>
      <c r="X881" s="170"/>
      <c r="Y881" s="361"/>
      <c r="Z881" s="170"/>
      <c r="AA881" s="170"/>
    </row>
    <row r="882" spans="1:32" ht="15" customHeight="1">
      <c r="C882" s="170"/>
      <c r="D882" s="138" t="s">
        <v>324</v>
      </c>
      <c r="E882" s="170" t="s">
        <v>2134</v>
      </c>
      <c r="L882" s="143"/>
      <c r="R882" s="170"/>
      <c r="S882" s="170"/>
      <c r="T882" s="170"/>
      <c r="U882" s="170"/>
      <c r="V882" s="170"/>
      <c r="W882" s="170"/>
      <c r="X882" s="170"/>
      <c r="Y882" s="1099"/>
      <c r="Z882" s="170"/>
      <c r="AA882" s="170"/>
      <c r="AD882" s="559"/>
      <c r="AF882" s="559"/>
    </row>
    <row r="883" spans="1:32" ht="15" customHeight="1">
      <c r="C883" s="170" t="s">
        <v>433</v>
      </c>
      <c r="D883" s="138" t="s">
        <v>324</v>
      </c>
      <c r="E883" s="170" t="s">
        <v>1164</v>
      </c>
      <c r="L883" s="143"/>
      <c r="R883" s="170"/>
      <c r="S883" s="170"/>
      <c r="T883" s="170"/>
      <c r="U883" s="170"/>
      <c r="V883" s="170"/>
      <c r="W883" s="170"/>
      <c r="X883" s="170"/>
      <c r="Y883" s="361"/>
      <c r="Z883" s="170"/>
      <c r="AA883" s="170"/>
    </row>
    <row r="884" spans="1:32" ht="15" customHeight="1">
      <c r="C884" s="170" t="s">
        <v>2237</v>
      </c>
      <c r="D884" s="138"/>
      <c r="E884" s="170"/>
      <c r="L884" s="143"/>
      <c r="R884" s="170"/>
      <c r="S884" s="170"/>
      <c r="T884" s="170"/>
      <c r="U884" s="170"/>
      <c r="V884" s="170"/>
      <c r="W884" s="170"/>
      <c r="X884" s="170"/>
      <c r="Y884" s="1117"/>
      <c r="Z884" s="170"/>
      <c r="AA884" s="170"/>
      <c r="AD884" s="559"/>
      <c r="AF884" s="559"/>
    </row>
    <row r="885" spans="1:32" ht="15" customHeight="1">
      <c r="C885" s="170"/>
      <c r="D885" s="138"/>
      <c r="E885" s="170"/>
      <c r="L885" s="143"/>
      <c r="R885" s="170"/>
      <c r="S885" s="170"/>
      <c r="T885" s="170"/>
      <c r="U885" s="170"/>
      <c r="V885" s="170"/>
      <c r="W885" s="170"/>
      <c r="X885" s="170"/>
      <c r="Y885" s="1117"/>
      <c r="Z885" s="170"/>
      <c r="AA885" s="170"/>
      <c r="AD885" s="559"/>
      <c r="AF885" s="559"/>
    </row>
    <row r="886" spans="1:32" ht="15" customHeight="1">
      <c r="C886" s="170" t="s">
        <v>2250</v>
      </c>
      <c r="D886" s="138"/>
      <c r="E886" s="170"/>
      <c r="L886" s="143"/>
      <c r="R886" s="170"/>
      <c r="S886" s="170"/>
      <c r="T886" s="170"/>
      <c r="U886" s="170"/>
      <c r="V886" s="170"/>
      <c r="W886" s="170"/>
      <c r="X886" s="170"/>
      <c r="Y886" s="1117"/>
      <c r="Z886" s="170"/>
      <c r="AA886" s="170"/>
      <c r="AD886" s="559"/>
      <c r="AF886" s="559"/>
    </row>
    <row r="887" spans="1:32" ht="15" customHeight="1">
      <c r="C887" s="334" t="s">
        <v>2226</v>
      </c>
      <c r="D887" s="138"/>
      <c r="E887" s="170"/>
      <c r="L887" s="143"/>
      <c r="R887" s="170"/>
      <c r="S887" s="170"/>
      <c r="T887" s="170"/>
      <c r="U887" s="170"/>
      <c r="V887" s="170"/>
      <c r="W887" s="170"/>
      <c r="X887" s="170"/>
      <c r="Y887" s="1117"/>
      <c r="Z887" s="170"/>
      <c r="AA887" s="170"/>
      <c r="AD887" s="559"/>
      <c r="AF887" s="559"/>
    </row>
    <row r="888" spans="1:32" ht="15" customHeight="1">
      <c r="C888" s="334" t="s">
        <v>2227</v>
      </c>
      <c r="D888" s="138"/>
      <c r="E888" s="170"/>
      <c r="L888" s="143"/>
      <c r="R888" s="170"/>
      <c r="S888" s="170"/>
      <c r="T888" s="170"/>
      <c r="U888" s="170"/>
      <c r="V888" s="170"/>
      <c r="W888" s="170"/>
      <c r="X888" s="170"/>
      <c r="Y888" s="1117"/>
      <c r="Z888" s="170"/>
      <c r="AA888" s="170"/>
      <c r="AD888" s="559"/>
      <c r="AF888" s="559"/>
    </row>
    <row r="889" spans="1:32" ht="15" customHeight="1">
      <c r="A889" s="170"/>
      <c r="B889" s="170"/>
      <c r="C889" s="1120" t="s">
        <v>134</v>
      </c>
      <c r="D889" s="1120"/>
      <c r="E889" s="1120"/>
      <c r="F889" s="1120"/>
      <c r="G889" s="1120"/>
      <c r="H889" s="1120" t="s">
        <v>129</v>
      </c>
      <c r="I889" s="1120"/>
      <c r="J889" s="1120"/>
      <c r="K889" s="1120"/>
      <c r="L889" s="1120"/>
      <c r="X889" s="170"/>
      <c r="Y889" s="1117"/>
      <c r="Z889" s="170"/>
      <c r="AA889" s="170"/>
      <c r="AD889" s="73"/>
      <c r="AF889" s="73"/>
    </row>
    <row r="890" spans="1:32" ht="15" customHeight="1">
      <c r="A890" s="170"/>
      <c r="B890" s="170"/>
      <c r="C890" s="1125" t="s">
        <v>2243</v>
      </c>
      <c r="D890" s="170"/>
      <c r="E890" s="122" t="s">
        <v>2228</v>
      </c>
      <c r="F890" s="122"/>
      <c r="G890" s="122"/>
      <c r="H890" s="53" t="s">
        <v>2242</v>
      </c>
      <c r="I890" s="53"/>
      <c r="J890" s="122"/>
      <c r="K890" s="122"/>
      <c r="L890" s="122"/>
      <c r="X890" s="170"/>
      <c r="Y890" s="1117"/>
      <c r="Z890" s="170"/>
      <c r="AA890" s="170"/>
      <c r="AD890" s="73"/>
      <c r="AF890" s="73"/>
    </row>
    <row r="891" spans="1:32" ht="15" customHeight="1">
      <c r="A891" s="170"/>
      <c r="B891" s="170"/>
      <c r="C891" s="118"/>
      <c r="D891" s="118"/>
      <c r="E891" s="380" t="s">
        <v>2229</v>
      </c>
      <c r="F891" s="380"/>
      <c r="G891" s="380"/>
      <c r="H891" s="1124" t="s">
        <v>2230</v>
      </c>
      <c r="I891" s="380"/>
      <c r="J891" s="380"/>
      <c r="K891" s="380"/>
      <c r="L891" s="380"/>
      <c r="X891" s="170"/>
      <c r="Y891" s="1117"/>
      <c r="Z891" s="170"/>
      <c r="AA891" s="170"/>
      <c r="AD891" s="73"/>
      <c r="AF891" s="73"/>
    </row>
    <row r="892" spans="1:32" ht="15" customHeight="1">
      <c r="A892" s="170"/>
      <c r="B892" s="170"/>
      <c r="C892" s="669" t="s">
        <v>2244</v>
      </c>
      <c r="D892" s="149"/>
      <c r="E892" s="149"/>
      <c r="F892" s="149"/>
      <c r="G892" s="149"/>
      <c r="H892" s="1121" t="s">
        <v>2245</v>
      </c>
      <c r="I892" s="149"/>
      <c r="J892" s="149"/>
      <c r="K892" s="149"/>
      <c r="L892" s="149"/>
      <c r="X892" s="170"/>
      <c r="Y892" s="1117"/>
      <c r="Z892" s="170"/>
      <c r="AA892" s="170"/>
      <c r="AD892" s="73"/>
      <c r="AF892" s="73"/>
    </row>
    <row r="893" spans="1:32" ht="15" customHeight="1">
      <c r="C893" s="334"/>
      <c r="D893" s="138"/>
      <c r="E893" s="170"/>
      <c r="L893" s="143"/>
      <c r="R893" s="170"/>
      <c r="S893" s="170"/>
      <c r="T893" s="170"/>
      <c r="U893" s="170"/>
      <c r="V893" s="170"/>
      <c r="W893" s="170"/>
      <c r="X893" s="170"/>
      <c r="Y893" s="1117"/>
      <c r="Z893" s="170"/>
      <c r="AA893" s="170"/>
      <c r="AD893" s="559"/>
      <c r="AF893" s="559"/>
    </row>
    <row r="894" spans="1:32" ht="15" customHeight="1">
      <c r="C894" s="170" t="s">
        <v>2240</v>
      </c>
      <c r="D894" s="138" t="s">
        <v>324</v>
      </c>
      <c r="E894" s="170" t="s">
        <v>2232</v>
      </c>
      <c r="L894" s="143"/>
      <c r="R894" s="170"/>
      <c r="S894" s="170"/>
      <c r="T894" s="170"/>
      <c r="U894" s="170"/>
      <c r="V894" s="170"/>
      <c r="W894" s="170"/>
      <c r="X894" s="170"/>
      <c r="Y894" s="1117"/>
      <c r="Z894" s="170"/>
      <c r="AA894" s="170"/>
      <c r="AD894" s="559"/>
      <c r="AF894" s="559"/>
    </row>
    <row r="895" spans="1:32" ht="15" customHeight="1">
      <c r="C895" s="334"/>
      <c r="D895" s="138"/>
      <c r="E895" s="170" t="s">
        <v>2233</v>
      </c>
      <c r="L895" s="143"/>
      <c r="R895" s="170"/>
      <c r="S895" s="170"/>
      <c r="T895" s="170"/>
      <c r="U895" s="170"/>
      <c r="V895" s="170"/>
      <c r="W895" s="170"/>
      <c r="X895" s="170"/>
      <c r="Y895" s="1117"/>
      <c r="Z895" s="170"/>
      <c r="AA895" s="170"/>
      <c r="AD895" s="559"/>
      <c r="AF895" s="559"/>
    </row>
    <row r="896" spans="1:32" ht="15" customHeight="1">
      <c r="C896" s="1122" t="s">
        <v>2234</v>
      </c>
      <c r="D896" s="138" t="s">
        <v>2235</v>
      </c>
      <c r="E896" s="170" t="s">
        <v>2236</v>
      </c>
      <c r="L896" s="143"/>
      <c r="R896" s="170"/>
      <c r="S896" s="170"/>
      <c r="T896" s="170"/>
      <c r="U896" s="170"/>
      <c r="V896" s="170"/>
      <c r="W896" s="170"/>
      <c r="X896" s="170"/>
      <c r="Y896" s="361"/>
      <c r="Z896" s="170"/>
      <c r="AA896" s="170"/>
    </row>
    <row r="897" spans="1:45" ht="15" customHeight="1">
      <c r="C897" s="170" t="s">
        <v>2238</v>
      </c>
      <c r="D897" s="138"/>
      <c r="E897" s="170"/>
      <c r="L897" s="143"/>
      <c r="R897" s="170"/>
      <c r="S897" s="170"/>
      <c r="T897" s="170"/>
      <c r="U897" s="170"/>
      <c r="V897" s="170"/>
      <c r="W897" s="170"/>
      <c r="X897" s="170"/>
      <c r="Y897" s="1117"/>
      <c r="Z897" s="170"/>
      <c r="AA897" s="170"/>
      <c r="AD897" s="559"/>
      <c r="AF897" s="559"/>
    </row>
    <row r="898" spans="1:45" ht="15" customHeight="1">
      <c r="C898" s="170" t="s">
        <v>3342</v>
      </c>
      <c r="D898" s="138"/>
      <c r="E898" s="170"/>
      <c r="L898" s="143"/>
      <c r="R898" s="170"/>
      <c r="S898" s="170"/>
      <c r="T898" s="170"/>
      <c r="U898" s="170"/>
      <c r="V898" s="170"/>
      <c r="W898" s="170"/>
      <c r="X898" s="170"/>
      <c r="Y898" s="1117"/>
      <c r="Z898" s="170"/>
      <c r="AA898" s="170"/>
      <c r="AD898" s="559"/>
      <c r="AF898" s="559"/>
    </row>
    <row r="899" spans="1:45" ht="15" customHeight="1">
      <c r="A899" s="134"/>
      <c r="C899" s="170" t="s">
        <v>460</v>
      </c>
      <c r="D899" s="170"/>
      <c r="E899" s="138"/>
      <c r="F899" s="170"/>
      <c r="G899" s="100"/>
      <c r="H899" s="170"/>
      <c r="I899" s="170"/>
      <c r="J899" s="170"/>
      <c r="K899" s="170"/>
      <c r="L899" s="361"/>
      <c r="M899" s="170"/>
      <c r="N899" s="170"/>
      <c r="O899" s="170"/>
      <c r="P899" s="170"/>
      <c r="Q899" s="170"/>
      <c r="R899" s="170"/>
      <c r="S899" s="170"/>
      <c r="T899" s="170"/>
      <c r="U899" s="170"/>
      <c r="V899" s="170"/>
      <c r="W899" s="170"/>
      <c r="X899" s="170"/>
      <c r="Y899" s="361"/>
      <c r="Z899" s="170"/>
      <c r="AA899" s="170"/>
    </row>
    <row r="900" spans="1:45" ht="15" customHeight="1">
      <c r="A900" s="134"/>
      <c r="C900" s="170"/>
      <c r="D900" s="170"/>
      <c r="E900" s="138"/>
      <c r="F900" s="170"/>
      <c r="G900" s="100"/>
      <c r="H900" s="170"/>
      <c r="I900" s="170"/>
      <c r="J900" s="170"/>
      <c r="K900" s="170"/>
      <c r="L900" s="361"/>
      <c r="M900" s="170"/>
      <c r="N900" s="170"/>
      <c r="O900" s="170"/>
      <c r="P900" s="170"/>
      <c r="Q900" s="56"/>
      <c r="R900" s="170"/>
      <c r="S900" s="170"/>
      <c r="T900" s="170"/>
      <c r="U900" s="170"/>
      <c r="V900" s="170"/>
      <c r="W900" s="170"/>
      <c r="X900" s="170"/>
      <c r="Y900" s="361"/>
      <c r="Z900" s="170"/>
      <c r="AA900" s="170"/>
    </row>
    <row r="901" spans="1:45" ht="15" customHeight="1" thickBot="1">
      <c r="A901" s="445" t="s">
        <v>1628</v>
      </c>
      <c r="B901" s="170"/>
      <c r="C901" s="170"/>
      <c r="D901" s="170"/>
      <c r="E901" s="170"/>
      <c r="F901" s="170"/>
      <c r="G901" s="100"/>
      <c r="H901" s="170"/>
      <c r="I901" s="170"/>
      <c r="J901" s="170"/>
      <c r="K901" s="170"/>
      <c r="L901" s="203"/>
      <c r="M901" s="170"/>
      <c r="N901" s="170"/>
      <c r="O901" s="170"/>
      <c r="P901" s="170"/>
      <c r="Q901" s="170"/>
      <c r="R901" s="170"/>
      <c r="S901" s="170"/>
      <c r="T901" s="170"/>
      <c r="U901" s="170"/>
      <c r="V901" s="170"/>
      <c r="W901" s="170"/>
      <c r="X901" s="170"/>
      <c r="Y901" s="203"/>
      <c r="Z901" s="170"/>
      <c r="AA901" s="170"/>
      <c r="AF901" s="73"/>
    </row>
    <row r="902" spans="1:45" ht="15" customHeight="1">
      <c r="A902" s="603" t="s">
        <v>16</v>
      </c>
      <c r="B902" s="602" t="s">
        <v>693</v>
      </c>
      <c r="C902" s="1918" t="s">
        <v>1011</v>
      </c>
      <c r="D902" s="1919"/>
      <c r="E902" s="599" t="s">
        <v>413</v>
      </c>
      <c r="F902" s="599" t="s">
        <v>461</v>
      </c>
      <c r="G902" s="599" t="s">
        <v>412</v>
      </c>
      <c r="H902" s="599" t="s">
        <v>414</v>
      </c>
      <c r="I902" s="1123" t="s">
        <v>2241</v>
      </c>
      <c r="J902" s="660" t="s">
        <v>129</v>
      </c>
      <c r="K902" s="599" t="s">
        <v>415</v>
      </c>
      <c r="L902" s="1926" t="s">
        <v>19</v>
      </c>
      <c r="M902" s="1926"/>
      <c r="N902" s="1926" t="s">
        <v>20</v>
      </c>
      <c r="O902" s="1927"/>
      <c r="T902" s="73"/>
      <c r="U902" s="73"/>
      <c r="V902" s="73"/>
      <c r="W902" s="73"/>
      <c r="X902" s="73"/>
      <c r="Y902" s="73"/>
      <c r="Z902" s="73"/>
      <c r="AA902" s="73"/>
      <c r="AD902" s="143"/>
      <c r="AE902" s="143"/>
      <c r="AF902" s="143"/>
      <c r="AG902" s="143"/>
      <c r="AH902" s="143"/>
      <c r="AI902" s="143"/>
      <c r="AJ902" s="143"/>
      <c r="AK902" s="143"/>
      <c r="AL902" s="143"/>
      <c r="AM902" s="143"/>
      <c r="AN902" s="143"/>
      <c r="AO902" s="143"/>
      <c r="AP902" s="143"/>
      <c r="AQ902" s="143"/>
      <c r="AR902" s="143"/>
      <c r="AS902" s="143"/>
    </row>
    <row r="903" spans="1:45" ht="15" customHeight="1">
      <c r="A903" s="604"/>
      <c r="B903" s="605" t="s">
        <v>962</v>
      </c>
      <c r="C903" s="605" t="s">
        <v>988</v>
      </c>
      <c r="D903" s="605" t="s">
        <v>989</v>
      </c>
      <c r="E903" s="601"/>
      <c r="F903" s="601"/>
      <c r="G903" s="601" t="s">
        <v>2240</v>
      </c>
      <c r="H903" s="601"/>
      <c r="I903" s="662"/>
      <c r="J903" s="662"/>
      <c r="K903" s="601"/>
      <c r="L903" s="621" t="s">
        <v>432</v>
      </c>
      <c r="M903" s="621" t="s">
        <v>498</v>
      </c>
      <c r="N903" s="621" t="s">
        <v>432</v>
      </c>
      <c r="O903" s="632" t="s">
        <v>498</v>
      </c>
      <c r="T903" s="73"/>
      <c r="U903" s="73"/>
      <c r="V903" s="73"/>
      <c r="W903" s="73"/>
      <c r="X903" s="73"/>
      <c r="Y903" s="73"/>
      <c r="Z903" s="73"/>
      <c r="AA903" s="73"/>
      <c r="AD903" s="143"/>
      <c r="AE903" s="143"/>
      <c r="AF903" s="143"/>
      <c r="AG903" s="143"/>
      <c r="AH903" s="143"/>
      <c r="AI903" s="143"/>
      <c r="AJ903" s="143"/>
      <c r="AK903" s="143"/>
      <c r="AL903" s="143"/>
      <c r="AM903" s="143"/>
      <c r="AN903" s="143"/>
      <c r="AO903" s="143"/>
      <c r="AP903" s="143"/>
      <c r="AQ903" s="143"/>
      <c r="AR903" s="143"/>
      <c r="AS903" s="143"/>
    </row>
    <row r="904" spans="1:45" ht="15" customHeight="1">
      <c r="A904" s="482" t="str">
        <f t="shared" ref="A904:A935" si="92">A95</f>
        <v>101i</v>
      </c>
      <c r="B904" s="1019" t="str">
        <f t="shared" ref="B904:B935" si="93">IF(C904&lt;=0,"Positive","Negative")</f>
        <v>Negative</v>
      </c>
      <c r="C904" s="595">
        <f>Stress!D832</f>
        <v>4.3452189183266609E-4</v>
      </c>
      <c r="D904" s="595">
        <f>Stress!E832</f>
        <v>-3.8833456155582815E-4</v>
      </c>
      <c r="E904" s="575">
        <f>IF(B904="Positive",input!CL3-input!H3,input!CU3-input!K3)</f>
        <v>1231.0761537153837</v>
      </c>
      <c r="F904" s="794" t="str">
        <f>IF(2*E904/COS(ATAN(input!BP3))/input!N3&lt;=5.7*SQRT(Es/input!BI3),"C","S")</f>
        <v>S</v>
      </c>
      <c r="G904" s="483">
        <f>IF(input!AJ3=1,0.2*input!M3,IF(input!AJ3=2,0.25*input!M3,0))</f>
        <v>650</v>
      </c>
      <c r="H904" s="575">
        <f>input!M3</f>
        <v>2600</v>
      </c>
      <c r="I904" s="21">
        <f>IF(OR(C904=0,D904=0),0,IF(B904="Positive",D904/C904,C904/D904))</f>
        <v>-1.1189369550106292</v>
      </c>
      <c r="J904" s="21">
        <f>IF(input!AJ3=0,9/(E904/H904)^2,IF(input!AJ3=1,IF(AND(C904&lt;=0,D904&lt;=0),7.2,IF(G904/E904&gt;=0.4,MAX(5.17/(G904/H904)^2,9/(E904/H904)^2),11.64/((E904-G904)/H904)^2)),IF(I904&gt;=-1,247.8*((G904/E904)^1.8)*(1-I904)^2.7,247.8*(1-I904)^0.32)))</f>
        <v>315.10774176999934</v>
      </c>
      <c r="K904" s="21">
        <f>MIN(0.9*Es*J904/(input!BQ3/input!N3)^2,O316*input!BI3,input!BK3/0.7)</f>
        <v>379.51910719072885</v>
      </c>
      <c r="L904" s="819" t="str">
        <f>IF(OR(F904="C",C904&gt;=0),"-",IF(ABS(C904)&lt;=K904,"OK","NG"))</f>
        <v>-</v>
      </c>
      <c r="M904" s="819" t="str">
        <f>IF(OR(F904="C",C904&gt;=0),"-",K904/ABS(C904))</f>
        <v>-</v>
      </c>
      <c r="N904" s="819" t="str">
        <f>IF(OR(F904="C",D904&gt;=0),"-",IF(ABS(D904)&lt;=K904,"OK","NG"))</f>
        <v>OK</v>
      </c>
      <c r="O904" s="1840">
        <f>IF(OR(F904="C",D904&gt;=0),"-",K904/ABS(D904))</f>
        <v>977299.33094344998</v>
      </c>
      <c r="T904" s="73"/>
      <c r="U904" s="73"/>
      <c r="Y904" s="143"/>
      <c r="AB904" s="143"/>
      <c r="AD904" s="143"/>
      <c r="AE904" s="143"/>
      <c r="AF904" s="143"/>
      <c r="AG904" s="143"/>
      <c r="AH904" s="143"/>
      <c r="AI904" s="143"/>
      <c r="AJ904" s="143"/>
      <c r="AK904" s="143"/>
      <c r="AL904" s="143"/>
      <c r="AM904" s="143"/>
      <c r="AN904" s="143"/>
      <c r="AO904" s="143"/>
      <c r="AP904" s="143"/>
      <c r="AQ904" s="143"/>
      <c r="AR904" s="143"/>
      <c r="AS904" s="143"/>
    </row>
    <row r="905" spans="1:45" ht="15" customHeight="1">
      <c r="A905" s="482" t="str">
        <f t="shared" si="92"/>
        <v>101j</v>
      </c>
      <c r="B905" s="1019" t="str">
        <f t="shared" si="93"/>
        <v>Negative</v>
      </c>
      <c r="C905" s="595">
        <f>Stress!D833</f>
        <v>0.15541399664548358</v>
      </c>
      <c r="D905" s="595">
        <f>Stress!E833</f>
        <v>-0.13889432818313455</v>
      </c>
      <c r="E905" s="575">
        <f>IF(B905="Positive",input!CL4-input!H4,input!CU4-input!K4)</f>
        <v>1231.0761537153837</v>
      </c>
      <c r="F905" s="794" t="str">
        <f>IF(2*E905/COS(ATAN(input!BP4))/input!N4&lt;=5.7*SQRT(Es/input!BI4),"C","S")</f>
        <v>S</v>
      </c>
      <c r="G905" s="483">
        <f>IF(input!AJ4=1,0.2*input!M4,IF(input!AJ4=2,0.25*input!M4,0))</f>
        <v>650</v>
      </c>
      <c r="H905" s="575">
        <f>input!M4</f>
        <v>2600</v>
      </c>
      <c r="I905" s="21">
        <f t="shared" ref="I905:I965" si="94">IF(OR(C905=0,D905=0),0,IF(B905="Positive",D905/C905,C905/D905))</f>
        <v>-1.1189369550106292</v>
      </c>
      <c r="J905" s="21">
        <f>IF(input!AJ4=0,9/(E905/H905)^2,IF(input!AJ4=1,IF(AND(C905&lt;=0,D905&lt;=0),7.2,IF(G905/E905&gt;=0.4,MAX(5.17/(G905/H905)^2,9/(E905/H905)^2),11.64/((E905-G905)/H905)^2)),IF(I905&gt;=-1,247.8*((G905/E905)^1.8)*(1-I905)^2.7,247.8*(1-I905)^0.32)))</f>
        <v>315.10774176999934</v>
      </c>
      <c r="K905" s="21">
        <f>MIN(0.9*Es*J905/(input!BQ4/input!N4)^2,O317*input!BI4,input!BK4/0.7)</f>
        <v>379.51910719072885</v>
      </c>
      <c r="L905" s="819" t="str">
        <f t="shared" ref="L905:L965" si="95">IF(OR(F905="C",C905&gt;=0),"-",IF(ABS(C905)&lt;=K905,"OK","NG"))</f>
        <v>-</v>
      </c>
      <c r="M905" s="819" t="str">
        <f t="shared" ref="M905:M965" si="96">IF(OR(F905="C",C905&gt;=0),"-",K905/ABS(C905))</f>
        <v>-</v>
      </c>
      <c r="N905" s="819" t="str">
        <f t="shared" ref="N905:N965" si="97">IF(OR(F905="C",D905&gt;=0),"-",IF(ABS(D905)&lt;=K905,"OK","NG"))</f>
        <v>OK</v>
      </c>
      <c r="O905" s="1840">
        <f t="shared" ref="O905:O965" si="98">IF(OR(F905="C",D905&gt;=0),"-",K905/ABS(D905))</f>
        <v>2732.4305618176604</v>
      </c>
      <c r="T905" s="73"/>
      <c r="U905" s="73"/>
      <c r="Y905" s="143"/>
      <c r="AB905" s="143"/>
      <c r="AD905" s="143"/>
      <c r="AE905" s="143"/>
      <c r="AF905" s="143"/>
      <c r="AG905" s="143"/>
      <c r="AH905" s="143"/>
      <c r="AI905" s="143"/>
      <c r="AJ905" s="143"/>
      <c r="AK905" s="143"/>
      <c r="AL905" s="143"/>
      <c r="AM905" s="143"/>
      <c r="AN905" s="143"/>
      <c r="AO905" s="143"/>
      <c r="AP905" s="143"/>
      <c r="AQ905" s="143"/>
      <c r="AR905" s="143"/>
      <c r="AS905" s="143"/>
    </row>
    <row r="906" spans="1:45" ht="15" customHeight="1">
      <c r="A906" s="482" t="str">
        <f t="shared" si="92"/>
        <v>102i</v>
      </c>
      <c r="B906" s="1019" t="str">
        <f t="shared" si="93"/>
        <v>Negative</v>
      </c>
      <c r="C906" s="595">
        <f>Stress!D834</f>
        <v>0.15599335916792711</v>
      </c>
      <c r="D906" s="595">
        <f>Stress!E834</f>
        <v>-0.13941210759854231</v>
      </c>
      <c r="E906" s="575">
        <f>IF(B906="Positive",input!CL5-input!H5,input!CU5-input!K5)</f>
        <v>1231.0761537153837</v>
      </c>
      <c r="F906" s="794" t="str">
        <f>IF(2*E906/COS(ATAN(input!BP5))/input!N5&lt;=5.7*SQRT(Es/input!BI5),"C","S")</f>
        <v>S</v>
      </c>
      <c r="G906" s="483">
        <f>IF(input!AJ5=1,0.2*input!M5,IF(input!AJ5=2,0.25*input!M5,0))</f>
        <v>650</v>
      </c>
      <c r="H906" s="575">
        <f>input!M5</f>
        <v>2600</v>
      </c>
      <c r="I906" s="21">
        <f t="shared" si="94"/>
        <v>-1.1189369550106292</v>
      </c>
      <c r="J906" s="21">
        <f>IF(input!AJ5=0,9/(E906/H906)^2,IF(input!AJ5=1,IF(AND(C906&lt;=0,D906&lt;=0),7.2,IF(G906/E906&gt;=0.4,MAX(5.17/(G906/H906)^2,9/(E906/H906)^2),11.64/((E906-G906)/H906)^2)),IF(I906&gt;=-1,247.8*((G906/E906)^1.8)*(1-I906)^2.7,247.8*(1-I906)^0.32)))</f>
        <v>315.10774176999934</v>
      </c>
      <c r="K906" s="21">
        <f>MIN(0.9*Es*J906/(input!BQ5/input!N5)^2,O318*input!BI5,input!BK5/0.7)</f>
        <v>379.51910719072885</v>
      </c>
      <c r="L906" s="819" t="str">
        <f t="shared" si="95"/>
        <v>-</v>
      </c>
      <c r="M906" s="819" t="str">
        <f t="shared" si="96"/>
        <v>-</v>
      </c>
      <c r="N906" s="819" t="str">
        <f t="shared" si="97"/>
        <v>OK</v>
      </c>
      <c r="O906" s="1840">
        <f t="shared" si="98"/>
        <v>2722.2822588954036</v>
      </c>
      <c r="T906" s="73"/>
      <c r="U906" s="73"/>
      <c r="Y906" s="143"/>
      <c r="AB906" s="143"/>
      <c r="AD906" s="143"/>
      <c r="AE906" s="143"/>
      <c r="AF906" s="143"/>
      <c r="AG906" s="143"/>
      <c r="AH906" s="143"/>
      <c r="AI906" s="143"/>
      <c r="AJ906" s="143"/>
      <c r="AK906" s="143"/>
      <c r="AL906" s="143"/>
      <c r="AM906" s="143"/>
      <c r="AN906" s="143"/>
      <c r="AO906" s="143"/>
      <c r="AP906" s="143"/>
      <c r="AQ906" s="143"/>
      <c r="AR906" s="143"/>
      <c r="AS906" s="143"/>
    </row>
    <row r="907" spans="1:45" ht="15" customHeight="1">
      <c r="A907" s="482" t="str">
        <f t="shared" si="92"/>
        <v>102j</v>
      </c>
      <c r="B907" s="1019" t="str">
        <f t="shared" si="93"/>
        <v>Positive</v>
      </c>
      <c r="C907" s="595">
        <f>Stress!D835</f>
        <v>-76.804496353405341</v>
      </c>
      <c r="D907" s="595">
        <f>Stress!E835</f>
        <v>68.640593207215815</v>
      </c>
      <c r="E907" s="575">
        <f>IF(B907="Positive",input!CL6-input!H6,input!CU6-input!K6)</f>
        <v>1368.9238462846163</v>
      </c>
      <c r="F907" s="794" t="str">
        <f>IF(2*E907/COS(ATAN(input!BP6))/input!N6&lt;=5.7*SQRT(Es/input!BI6),"C","S")</f>
        <v>S</v>
      </c>
      <c r="G907" s="483">
        <f>IF(input!AJ6=1,0.2*input!M6,IF(input!AJ6=2,0.25*input!M6,0))</f>
        <v>650</v>
      </c>
      <c r="H907" s="575">
        <f>input!M6</f>
        <v>2600</v>
      </c>
      <c r="I907" s="21">
        <f t="shared" si="94"/>
        <v>-0.89370540093610606</v>
      </c>
      <c r="J907" s="21">
        <f>IF(input!AJ6=0,9/(E907/H907)^2,IF(input!AJ6=1,IF(AND(C907&lt;=0,D907&lt;=0),7.2,IF(G907/E907&gt;=0.4,MAX(5.17/(G907/H907)^2,9/(E907/H907)^2),11.64/((E907-G907)/H907)^2)),IF(I907&gt;=-1,247.8*((G907/E907)^1.8)*(1-I907)^2.7,247.8*(1-I907)^0.32)))</f>
        <v>363.58516274422306</v>
      </c>
      <c r="K907" s="21">
        <f>MIN(0.9*Es*J907/(input!BQ6/input!N6)^2,O319*input!BI6,input!BK6/0.7)</f>
        <v>379.51910719072885</v>
      </c>
      <c r="L907" s="819" t="str">
        <f t="shared" si="95"/>
        <v>OK</v>
      </c>
      <c r="M907" s="819">
        <f t="shared" si="96"/>
        <v>4.9413657430213958</v>
      </c>
      <c r="N907" s="819" t="str">
        <f t="shared" si="97"/>
        <v>-</v>
      </c>
      <c r="O907" s="1840" t="str">
        <f t="shared" si="98"/>
        <v>-</v>
      </c>
      <c r="T907" s="73"/>
      <c r="U907" s="73"/>
      <c r="Y907" s="143"/>
      <c r="AB907" s="143"/>
      <c r="AD907" s="143"/>
      <c r="AE907" s="143"/>
      <c r="AF907" s="143"/>
      <c r="AG907" s="143"/>
      <c r="AH907" s="143"/>
      <c r="AI907" s="143"/>
      <c r="AJ907" s="143"/>
      <c r="AK907" s="143"/>
      <c r="AL907" s="143"/>
      <c r="AM907" s="143"/>
      <c r="AN907" s="143"/>
      <c r="AO907" s="143"/>
      <c r="AP907" s="143"/>
      <c r="AQ907" s="143"/>
      <c r="AR907" s="143"/>
      <c r="AS907" s="143"/>
    </row>
    <row r="908" spans="1:45" ht="15" customHeight="1">
      <c r="A908" s="482" t="str">
        <f t="shared" si="92"/>
        <v>103i</v>
      </c>
      <c r="B908" s="1019" t="str">
        <f t="shared" si="93"/>
        <v>Positive</v>
      </c>
      <c r="C908" s="595">
        <f>Stress!D836</f>
        <v>-55.882227353329924</v>
      </c>
      <c r="D908" s="595">
        <f>Stress!E836</f>
        <v>48.270319577395639</v>
      </c>
      <c r="E908" s="575">
        <f>IF(B908="Positive",input!CL7-input!H7,input!CU7-input!K7)</f>
        <v>1498.071930954698</v>
      </c>
      <c r="F908" s="794" t="str">
        <f>IF(2*E908/COS(ATAN(input!BP7))/input!N7&lt;=5.7*SQRT(Es/input!BI7),"C","S")</f>
        <v>S</v>
      </c>
      <c r="G908" s="483">
        <f>IF(input!AJ7=1,0.2*input!M7,IF(input!AJ7=2,0.25*input!M7,0))</f>
        <v>700</v>
      </c>
      <c r="H908" s="575">
        <f>input!M7</f>
        <v>2800</v>
      </c>
      <c r="I908" s="21">
        <f t="shared" si="94"/>
        <v>-0.86378660736255164</v>
      </c>
      <c r="J908" s="21">
        <f>IF(input!AJ7=0,9/(E908/H908)^2,IF(input!AJ7=1,IF(AND(C908&lt;=0,D908&lt;=0),7.2,IF(G908/E908&gt;=0.4,MAX(5.17/(G908/H908)^2,9/(E908/H908)^2),11.64/((E908-G908)/H908)^2)),IF(I908&gt;=-1,247.8*((G908/E908)^1.8)*(1-I908)^2.7,247.8*(1-I908)^0.32)))</f>
        <v>338.36752745148101</v>
      </c>
      <c r="K908" s="21">
        <f>MIN(0.9*Es*J908/(input!BQ7/input!N7)^2,O320*input!BI7,input!BK7/0.7)</f>
        <v>379.5982638603615</v>
      </c>
      <c r="L908" s="819" t="str">
        <f t="shared" si="95"/>
        <v>OK</v>
      </c>
      <c r="M908" s="819">
        <f t="shared" si="96"/>
        <v>6.7928263034372751</v>
      </c>
      <c r="N908" s="819" t="str">
        <f t="shared" si="97"/>
        <v>-</v>
      </c>
      <c r="O908" s="1840" t="str">
        <f t="shared" si="98"/>
        <v>-</v>
      </c>
      <c r="T908" s="73"/>
      <c r="U908" s="73"/>
      <c r="Y908" s="143"/>
      <c r="AB908" s="143"/>
      <c r="AD908" s="143"/>
      <c r="AE908" s="143"/>
      <c r="AF908" s="143"/>
      <c r="AG908" s="143"/>
      <c r="AH908" s="143"/>
      <c r="AI908" s="143"/>
      <c r="AJ908" s="143"/>
      <c r="AK908" s="143"/>
      <c r="AL908" s="143"/>
      <c r="AM908" s="143"/>
      <c r="AN908" s="143"/>
      <c r="AO908" s="143"/>
      <c r="AP908" s="143"/>
      <c r="AQ908" s="143"/>
      <c r="AR908" s="143"/>
      <c r="AS908" s="143"/>
    </row>
    <row r="909" spans="1:45" ht="15" customHeight="1">
      <c r="A909" s="482" t="str">
        <f t="shared" si="92"/>
        <v>103j</v>
      </c>
      <c r="B909" s="1019" t="str">
        <f t="shared" si="93"/>
        <v>Positive</v>
      </c>
      <c r="C909" s="595">
        <f>Stress!D837</f>
        <v>-126.69109128803922</v>
      </c>
      <c r="D909" s="595">
        <f>Stress!E837</f>
        <v>109.43406792675474</v>
      </c>
      <c r="E909" s="575">
        <f>IF(B909="Positive",input!CL8-input!H8,input!CU8-input!K8)</f>
        <v>1498.071930954698</v>
      </c>
      <c r="F909" s="794" t="str">
        <f>IF(2*E909/COS(ATAN(input!BP8))/input!N8&lt;=5.7*SQRT(Es/input!BI8),"C","S")</f>
        <v>S</v>
      </c>
      <c r="G909" s="483">
        <f>IF(input!AJ8=1,0.2*input!M8,IF(input!AJ8=2,0.25*input!M8,0))</f>
        <v>700</v>
      </c>
      <c r="H909" s="575">
        <f>input!M8</f>
        <v>2800</v>
      </c>
      <c r="I909" s="21">
        <f t="shared" si="94"/>
        <v>-0.86378660736255175</v>
      </c>
      <c r="J909" s="21">
        <f>IF(input!AJ8=0,9/(E909/H909)^2,IF(input!AJ8=1,IF(AND(C909&lt;=0,D909&lt;=0),7.2,IF(G909/E909&gt;=0.4,MAX(5.17/(G909/H909)^2,9/(E909/H909)^2),11.64/((E909-G909)/H909)^2)),IF(I909&gt;=-1,247.8*((G909/E909)^1.8)*(1-I909)^2.7,247.8*(1-I909)^0.32)))</f>
        <v>338.36752745148112</v>
      </c>
      <c r="K909" s="21">
        <f>MIN(0.9*Es*J909/(input!BQ8/input!N8)^2,O321*input!BI8,input!BK8/0.7)</f>
        <v>379.5982638603615</v>
      </c>
      <c r="L909" s="819" t="str">
        <f t="shared" si="95"/>
        <v>OK</v>
      </c>
      <c r="M909" s="819">
        <f t="shared" si="96"/>
        <v>2.9962506439961416</v>
      </c>
      <c r="N909" s="819" t="str">
        <f t="shared" si="97"/>
        <v>-</v>
      </c>
      <c r="O909" s="1840" t="str">
        <f t="shared" si="98"/>
        <v>-</v>
      </c>
      <c r="T909" s="73"/>
      <c r="U909" s="73"/>
      <c r="Y909" s="143"/>
      <c r="AB909" s="143"/>
      <c r="AD909" s="143"/>
      <c r="AE909" s="143"/>
      <c r="AF909" s="143"/>
      <c r="AG909" s="143"/>
      <c r="AH909" s="143"/>
      <c r="AI909" s="143"/>
      <c r="AJ909" s="143"/>
      <c r="AK909" s="143"/>
      <c r="AL909" s="143"/>
      <c r="AM909" s="143"/>
      <c r="AN909" s="143"/>
      <c r="AO909" s="143"/>
      <c r="AP909" s="143"/>
      <c r="AQ909" s="143"/>
      <c r="AR909" s="143"/>
      <c r="AS909" s="143"/>
    </row>
    <row r="910" spans="1:45" ht="15" customHeight="1">
      <c r="A910" s="482" t="str">
        <f t="shared" si="92"/>
        <v>104i</v>
      </c>
      <c r="B910" s="1019" t="str">
        <f t="shared" si="93"/>
        <v>Positive</v>
      </c>
      <c r="C910" s="595">
        <f>Stress!D838</f>
        <v>-126.69077513281543</v>
      </c>
      <c r="D910" s="595">
        <f>Stress!E838</f>
        <v>109.43379483610656</v>
      </c>
      <c r="E910" s="575">
        <f>IF(B910="Positive",input!CL9-input!H9,input!CU9-input!K9)</f>
        <v>1498.071930954698</v>
      </c>
      <c r="F910" s="794" t="str">
        <f>IF(2*E910/COS(ATAN(input!BP9))/input!N9&lt;=5.7*SQRT(Es/input!BI9),"C","S")</f>
        <v>S</v>
      </c>
      <c r="G910" s="483">
        <f>IF(input!AJ9=1,0.2*input!M9,IF(input!AJ9=2,0.25*input!M9,0))</f>
        <v>700</v>
      </c>
      <c r="H910" s="575">
        <f>input!M9</f>
        <v>2800</v>
      </c>
      <c r="I910" s="21">
        <f t="shared" si="94"/>
        <v>-0.86378660736255153</v>
      </c>
      <c r="J910" s="21">
        <f>IF(input!AJ9=0,9/(E910/H910)^2,IF(input!AJ9=1,IF(AND(C910&lt;=0,D910&lt;=0),7.2,IF(G910/E910&gt;=0.4,MAX(5.17/(G910/H910)^2,9/(E910/H910)^2),11.64/((E910-G910)/H910)^2)),IF(I910&gt;=-1,247.8*((G910/E910)^1.8)*(1-I910)^2.7,247.8*(1-I910)^0.32)))</f>
        <v>338.36752745148101</v>
      </c>
      <c r="K910" s="21">
        <f>MIN(0.9*Es*J910/(input!BQ9/input!N9)^2,O322*input!BI9,input!BK9/0.7)</f>
        <v>379.5982638603615</v>
      </c>
      <c r="L910" s="819" t="str">
        <f t="shared" si="95"/>
        <v>OK</v>
      </c>
      <c r="M910" s="819">
        <f t="shared" si="96"/>
        <v>2.9962581211016523</v>
      </c>
      <c r="N910" s="819" t="str">
        <f t="shared" si="97"/>
        <v>-</v>
      </c>
      <c r="O910" s="1840" t="str">
        <f t="shared" si="98"/>
        <v>-</v>
      </c>
      <c r="T910" s="73"/>
      <c r="U910" s="73"/>
      <c r="Y910" s="143"/>
      <c r="AB910" s="143"/>
      <c r="AD910" s="143"/>
      <c r="AE910" s="143"/>
      <c r="AF910" s="143"/>
      <c r="AG910" s="143"/>
      <c r="AH910" s="143"/>
      <c r="AI910" s="143"/>
      <c r="AJ910" s="143"/>
      <c r="AK910" s="143"/>
      <c r="AL910" s="143"/>
      <c r="AM910" s="143"/>
      <c r="AN910" s="143"/>
      <c r="AO910" s="143"/>
      <c r="AP910" s="143"/>
      <c r="AQ910" s="143"/>
      <c r="AR910" s="143"/>
      <c r="AS910" s="143"/>
    </row>
    <row r="911" spans="1:45" ht="15" customHeight="1">
      <c r="A911" s="482" t="str">
        <f t="shared" si="92"/>
        <v>104j</v>
      </c>
      <c r="B911" s="1019" t="str">
        <f t="shared" si="93"/>
        <v>Positive</v>
      </c>
      <c r="C911" s="595">
        <f>Stress!D839</f>
        <v>-206.18811154298578</v>
      </c>
      <c r="D911" s="595">
        <f>Stress!E839</f>
        <v>178.10252934820704</v>
      </c>
      <c r="E911" s="575">
        <f>IF(B911="Positive",input!CL10-input!H10,input!CU10-input!K10)</f>
        <v>1498.071930954698</v>
      </c>
      <c r="F911" s="794" t="str">
        <f>IF(2*E911/COS(ATAN(input!BP10))/input!N10&lt;=5.7*SQRT(Es/input!BI10),"C","S")</f>
        <v>S</v>
      </c>
      <c r="G911" s="483">
        <f>IF(input!AJ10=1,0.2*input!M10,IF(input!AJ10=2,0.25*input!M10,0))</f>
        <v>700</v>
      </c>
      <c r="H911" s="575">
        <f>input!M10</f>
        <v>2800</v>
      </c>
      <c r="I911" s="21">
        <f t="shared" si="94"/>
        <v>-0.86378660736255153</v>
      </c>
      <c r="J911" s="21">
        <f>IF(input!AJ10=0,9/(E911/H911)^2,IF(input!AJ10=1,IF(AND(C911&lt;=0,D911&lt;=0),7.2,IF(G911/E911&gt;=0.4,MAX(5.17/(G911/H911)^2,9/(E911/H911)^2),11.64/((E911-G911)/H911)^2)),IF(I911&gt;=-1,247.8*((G911/E911)^1.8)*(1-I911)^2.7,247.8*(1-I911)^0.32)))</f>
        <v>338.36752745148101</v>
      </c>
      <c r="K911" s="21">
        <f>MIN(0.9*Es*J911/(input!BQ10/input!N10)^2,O323*input!BI10,input!BK10/0.7)</f>
        <v>379.5982638603615</v>
      </c>
      <c r="L911" s="819" t="str">
        <f t="shared" si="95"/>
        <v>OK</v>
      </c>
      <c r="M911" s="819">
        <f t="shared" si="96"/>
        <v>1.8410288596160087</v>
      </c>
      <c r="N911" s="819" t="str">
        <f t="shared" si="97"/>
        <v>-</v>
      </c>
      <c r="O911" s="1840" t="str">
        <f t="shared" si="98"/>
        <v>-</v>
      </c>
      <c r="T911" s="73"/>
      <c r="U911" s="73"/>
      <c r="Y911" s="143"/>
      <c r="AB911" s="143"/>
      <c r="AD911" s="143"/>
      <c r="AE911" s="143"/>
      <c r="AF911" s="143"/>
      <c r="AG911" s="143"/>
      <c r="AH911" s="143"/>
      <c r="AI911" s="143"/>
      <c r="AJ911" s="143"/>
      <c r="AK911" s="143"/>
      <c r="AL911" s="143"/>
      <c r="AM911" s="143"/>
      <c r="AN911" s="143"/>
      <c r="AO911" s="143"/>
      <c r="AP911" s="143"/>
      <c r="AQ911" s="143"/>
      <c r="AR911" s="143"/>
      <c r="AS911" s="143"/>
    </row>
    <row r="912" spans="1:45" ht="15" customHeight="1">
      <c r="A912" s="482" t="str">
        <f t="shared" si="92"/>
        <v>105i</v>
      </c>
      <c r="B912" s="1019" t="str">
        <f t="shared" si="93"/>
        <v>Positive</v>
      </c>
      <c r="C912" s="595">
        <f>Stress!D840</f>
        <v>-166.27986034713479</v>
      </c>
      <c r="D912" s="595">
        <f>Stress!E840</f>
        <v>114.65459966380237</v>
      </c>
      <c r="E912" s="575">
        <f>IF(B912="Positive",input!CL11-input!H11,input!CU11-input!K11)</f>
        <v>1661.8831645586633</v>
      </c>
      <c r="F912" s="794" t="str">
        <f>IF(2*E912/COS(ATAN(input!BP11))/input!N11&lt;=5.7*SQRT(Es/input!BI11),"C","S")</f>
        <v>S</v>
      </c>
      <c r="G912" s="483">
        <f>IF(input!AJ11=1,0.2*input!M11,IF(input!AJ11=2,0.25*input!M11,0))</f>
        <v>700</v>
      </c>
      <c r="H912" s="575">
        <f>input!M11</f>
        <v>2800</v>
      </c>
      <c r="I912" s="21">
        <f t="shared" si="94"/>
        <v>-0.68952788043268298</v>
      </c>
      <c r="J912" s="21">
        <f>IF(input!AJ11=0,9/(E912/H912)^2,IF(input!AJ11=1,IF(AND(C912&lt;=0,D912&lt;=0),7.2,IF(G912/E912&gt;=0.4,MAX(5.17/(G912/H912)^2,9/(E912/H912)^2),11.64/((E912-G912)/H912)^2)),IF(I912&gt;=-1,247.8*((G912/E912)^1.8)*(1-I912)^2.7,247.8*(1-I912)^0.32)))</f>
        <v>215.3591730145921</v>
      </c>
      <c r="K912" s="21">
        <f>MIN(0.9*Es*J912/(input!BQ11/input!N11)^2,O324*input!BI11,input!BK11/0.7)</f>
        <v>379.64073020030537</v>
      </c>
      <c r="L912" s="819" t="str">
        <f t="shared" si="95"/>
        <v>OK</v>
      </c>
      <c r="M912" s="819">
        <f t="shared" si="96"/>
        <v>2.2831431864793905</v>
      </c>
      <c r="N912" s="819" t="str">
        <f t="shared" si="97"/>
        <v>-</v>
      </c>
      <c r="O912" s="1840" t="str">
        <f t="shared" si="98"/>
        <v>-</v>
      </c>
      <c r="T912" s="73"/>
      <c r="U912" s="73"/>
      <c r="Y912" s="143"/>
      <c r="AB912" s="143"/>
      <c r="AD912" s="143"/>
      <c r="AE912" s="143"/>
      <c r="AF912" s="143"/>
      <c r="AG912" s="143"/>
      <c r="AH912" s="143"/>
      <c r="AI912" s="143"/>
      <c r="AJ912" s="143"/>
      <c r="AK912" s="143"/>
      <c r="AL912" s="143"/>
      <c r="AM912" s="143"/>
      <c r="AN912" s="143"/>
      <c r="AO912" s="143"/>
      <c r="AP912" s="143"/>
      <c r="AQ912" s="143"/>
      <c r="AR912" s="143"/>
      <c r="AS912" s="143"/>
    </row>
    <row r="913" spans="1:45" ht="15" customHeight="1">
      <c r="A913" s="482" t="str">
        <f t="shared" si="92"/>
        <v>105j</v>
      </c>
      <c r="B913" s="1019" t="str">
        <f t="shared" si="93"/>
        <v>Positive</v>
      </c>
      <c r="C913" s="595">
        <f>Stress!D841</f>
        <v>-219.04242391683582</v>
      </c>
      <c r="D913" s="595">
        <f>Stress!E841</f>
        <v>151.03585828821303</v>
      </c>
      <c r="E913" s="575">
        <f>IF(B913="Positive",input!CL12-input!H12,input!CU12-input!K12)</f>
        <v>1661.8831645586633</v>
      </c>
      <c r="F913" s="794" t="str">
        <f>IF(2*E913/COS(ATAN(input!BP12))/input!N12&lt;=5.7*SQRT(Es/input!BI12),"C","S")</f>
        <v>S</v>
      </c>
      <c r="G913" s="483">
        <f>IF(input!AJ12=1,0.2*input!M12,IF(input!AJ12=2,0.25*input!M12,0))</f>
        <v>700</v>
      </c>
      <c r="H913" s="575">
        <f>input!M12</f>
        <v>2800</v>
      </c>
      <c r="I913" s="21">
        <f t="shared" si="94"/>
        <v>-0.68952788043268298</v>
      </c>
      <c r="J913" s="21">
        <f>IF(input!AJ12=0,9/(E913/H913)^2,IF(input!AJ12=1,IF(AND(C913&lt;=0,D913&lt;=0),7.2,IF(G913/E913&gt;=0.4,MAX(5.17/(G913/H913)^2,9/(E913/H913)^2),11.64/((E913-G913)/H913)^2)),IF(I913&gt;=-1,247.8*((G913/E913)^1.8)*(1-I913)^2.7,247.8*(1-I913)^0.32)))</f>
        <v>215.3591730145921</v>
      </c>
      <c r="K913" s="21">
        <f>MIN(0.9*Es*J913/(input!BQ12/input!N12)^2,O325*input!BI12,input!BK12/0.7)</f>
        <v>379.64073020030537</v>
      </c>
      <c r="L913" s="819" t="str">
        <f t="shared" si="95"/>
        <v>OK</v>
      </c>
      <c r="M913" s="819">
        <f t="shared" si="96"/>
        <v>1.7331835697017495</v>
      </c>
      <c r="N913" s="819" t="str">
        <f t="shared" si="97"/>
        <v>-</v>
      </c>
      <c r="O913" s="1840" t="str">
        <f t="shared" si="98"/>
        <v>-</v>
      </c>
      <c r="T913" s="73"/>
      <c r="U913" s="73"/>
      <c r="Y913" s="143"/>
      <c r="AB913" s="143"/>
      <c r="AD913" s="143"/>
      <c r="AE913" s="143"/>
      <c r="AF913" s="143"/>
      <c r="AG913" s="143"/>
      <c r="AH913" s="143"/>
      <c r="AI913" s="143"/>
      <c r="AJ913" s="143"/>
      <c r="AK913" s="143"/>
      <c r="AL913" s="143"/>
      <c r="AM913" s="143"/>
      <c r="AN913" s="143"/>
      <c r="AO913" s="143"/>
      <c r="AP913" s="143"/>
      <c r="AQ913" s="143"/>
      <c r="AR913" s="143"/>
      <c r="AS913" s="143"/>
    </row>
    <row r="914" spans="1:45" ht="15" customHeight="1">
      <c r="A914" s="482" t="str">
        <f t="shared" si="92"/>
        <v>106i</v>
      </c>
      <c r="B914" s="1019" t="str">
        <f t="shared" si="93"/>
        <v>Positive</v>
      </c>
      <c r="C914" s="595">
        <f>Stress!D842</f>
        <v>-219.04182900209335</v>
      </c>
      <c r="D914" s="595">
        <f>Stress!E842</f>
        <v>151.03544807791161</v>
      </c>
      <c r="E914" s="575">
        <f>IF(B914="Positive",input!CL13-input!H13,input!CU13-input!K13)</f>
        <v>1661.8831645586633</v>
      </c>
      <c r="F914" s="794" t="str">
        <f>IF(2*E914/COS(ATAN(input!BP13))/input!N13&lt;=5.7*SQRT(Es/input!BI13),"C","S")</f>
        <v>S</v>
      </c>
      <c r="G914" s="483">
        <f>IF(input!AJ13=1,0.2*input!M13,IF(input!AJ13=2,0.25*input!M13,0))</f>
        <v>700</v>
      </c>
      <c r="H914" s="575">
        <f>input!M13</f>
        <v>2800</v>
      </c>
      <c r="I914" s="21">
        <f t="shared" si="94"/>
        <v>-0.68952788043268298</v>
      </c>
      <c r="J914" s="21">
        <f>IF(input!AJ13=0,9/(E914/H914)^2,IF(input!AJ13=1,IF(AND(C914&lt;=0,D914&lt;=0),7.2,IF(G914/E914&gt;=0.4,MAX(5.17/(G914/H914)^2,9/(E914/H914)^2),11.64/((E914-G914)/H914)^2)),IF(I914&gt;=-1,247.8*((G914/E914)^1.8)*(1-I914)^2.7,247.8*(1-I914)^0.32)))</f>
        <v>215.3591730145921</v>
      </c>
      <c r="K914" s="21">
        <f>MIN(0.9*Es*J914/(input!BQ13/input!N13)^2,O326*input!BI13,input!BK13/0.7)</f>
        <v>379.64073020030537</v>
      </c>
      <c r="L914" s="819" t="str">
        <f t="shared" si="95"/>
        <v>OK</v>
      </c>
      <c r="M914" s="819">
        <f t="shared" si="96"/>
        <v>1.7331882770056544</v>
      </c>
      <c r="N914" s="819" t="str">
        <f t="shared" si="97"/>
        <v>-</v>
      </c>
      <c r="O914" s="1840" t="str">
        <f t="shared" si="98"/>
        <v>-</v>
      </c>
      <c r="T914" s="73"/>
      <c r="U914" s="73"/>
      <c r="Y914" s="143"/>
      <c r="AB914" s="143"/>
      <c r="AD914" s="143"/>
      <c r="AE914" s="143"/>
      <c r="AF914" s="143"/>
      <c r="AG914" s="143"/>
      <c r="AH914" s="143"/>
      <c r="AI914" s="143"/>
      <c r="AJ914" s="143"/>
      <c r="AK914" s="143"/>
      <c r="AL914" s="143"/>
      <c r="AM914" s="143"/>
      <c r="AN914" s="143"/>
      <c r="AO914" s="143"/>
      <c r="AP914" s="143"/>
      <c r="AQ914" s="143"/>
      <c r="AR914" s="143"/>
      <c r="AS914" s="143"/>
    </row>
    <row r="915" spans="1:45" ht="15" customHeight="1">
      <c r="A915" s="482" t="str">
        <f t="shared" si="92"/>
        <v>106j</v>
      </c>
      <c r="B915" s="1019" t="str">
        <f t="shared" si="93"/>
        <v>Positive</v>
      </c>
      <c r="C915" s="595">
        <f>Stress!D843</f>
        <v>-255.72478194911668</v>
      </c>
      <c r="D915" s="595">
        <f>Stress!E843</f>
        <v>176.32936687148444</v>
      </c>
      <c r="E915" s="575">
        <f>IF(B915="Positive",input!CL14-input!H14,input!CU14-input!K14)</f>
        <v>1661.8831645586633</v>
      </c>
      <c r="F915" s="794" t="str">
        <f>IF(2*E915/COS(ATAN(input!BP14))/input!N14&lt;=5.7*SQRT(Es/input!BI14),"C","S")</f>
        <v>S</v>
      </c>
      <c r="G915" s="483">
        <f>IF(input!AJ14=1,0.2*input!M14,IF(input!AJ14=2,0.25*input!M14,0))</f>
        <v>700</v>
      </c>
      <c r="H915" s="575">
        <f>input!M14</f>
        <v>2800</v>
      </c>
      <c r="I915" s="21">
        <f t="shared" si="94"/>
        <v>-0.68952788043268298</v>
      </c>
      <c r="J915" s="21">
        <f>IF(input!AJ14=0,9/(E915/H915)^2,IF(input!AJ14=1,IF(AND(C915&lt;=0,D915&lt;=0),7.2,IF(G915/E915&gt;=0.4,MAX(5.17/(G915/H915)^2,9/(E915/H915)^2),11.64/((E915-G915)/H915)^2)),IF(I915&gt;=-1,247.8*((G915/E915)^1.8)*(1-I915)^2.7,247.8*(1-I915)^0.32)))</f>
        <v>215.3591730145921</v>
      </c>
      <c r="K915" s="21">
        <f>MIN(0.9*Es*J915/(input!BQ14/input!N14)^2,O327*input!BI14,input!BK14/0.7)</f>
        <v>379.64073020030537</v>
      </c>
      <c r="L915" s="819" t="str">
        <f t="shared" si="95"/>
        <v>OK</v>
      </c>
      <c r="M915" s="819">
        <f t="shared" si="96"/>
        <v>1.4845676172121836</v>
      </c>
      <c r="N915" s="819" t="str">
        <f t="shared" si="97"/>
        <v>-</v>
      </c>
      <c r="O915" s="1840" t="str">
        <f t="shared" si="98"/>
        <v>-</v>
      </c>
      <c r="T915" s="73"/>
      <c r="U915" s="73"/>
      <c r="Y915" s="143"/>
      <c r="AB915" s="143"/>
      <c r="AD915" s="143"/>
      <c r="AE915" s="143"/>
      <c r="AF915" s="143"/>
      <c r="AG915" s="143"/>
      <c r="AH915" s="143"/>
      <c r="AI915" s="143"/>
      <c r="AJ915" s="143"/>
      <c r="AK915" s="143"/>
      <c r="AL915" s="143"/>
      <c r="AM915" s="143"/>
      <c r="AN915" s="143"/>
      <c r="AO915" s="143"/>
      <c r="AP915" s="143"/>
      <c r="AQ915" s="143"/>
      <c r="AR915" s="143"/>
      <c r="AS915" s="143"/>
    </row>
    <row r="916" spans="1:45" ht="15" customHeight="1">
      <c r="A916" s="482" t="str">
        <f t="shared" si="92"/>
        <v>107i</v>
      </c>
      <c r="B916" s="1019" t="str">
        <f t="shared" si="93"/>
        <v>Positive</v>
      </c>
      <c r="C916" s="595">
        <f>Stress!D844</f>
        <v>-215.34009209292282</v>
      </c>
      <c r="D916" s="595">
        <f>Stress!E844</f>
        <v>152.52984807081745</v>
      </c>
      <c r="E916" s="575">
        <f>IF(B916="Positive",input!CL15-input!H15,input!CU15-input!K15)</f>
        <v>1645.8661105921663</v>
      </c>
      <c r="F916" s="794" t="str">
        <f>IF(2*E916/COS(ATAN(input!BP15))/input!N15&lt;=5.7*SQRT(Es/input!BI15),"C","S")</f>
        <v>S</v>
      </c>
      <c r="G916" s="483">
        <f>IF(input!AJ15=1,0.2*input!M15,IF(input!AJ15=2,0.25*input!M15,0))</f>
        <v>700</v>
      </c>
      <c r="H916" s="575">
        <f>input!M15</f>
        <v>2800</v>
      </c>
      <c r="I916" s="21">
        <f t="shared" si="94"/>
        <v>-0.70832071533153373</v>
      </c>
      <c r="J916" s="21">
        <f>IF(input!AJ15=0,9/(E916/H916)^2,IF(input!AJ15=1,IF(AND(C916&lt;=0,D916&lt;=0),7.2,IF(G916/E916&gt;=0.4,MAX(5.17/(G916/H916)^2,9/(E916/H916)^2),11.64/((E916-G916)/H916)^2)),IF(I916&gt;=-1,247.8*((G916/E916)^1.8)*(1-I916)^2.7,247.8*(1-I916)^0.32)))</f>
        <v>225.79018963149457</v>
      </c>
      <c r="K916" s="21">
        <f>MIN(0.9*Es*J916/(input!BQ15/input!N15)^2,O328*input!BI15,input!BK15/0.7)</f>
        <v>379.70896106468712</v>
      </c>
      <c r="L916" s="819" t="str">
        <f t="shared" si="95"/>
        <v>OK</v>
      </c>
      <c r="M916" s="819">
        <f t="shared" si="96"/>
        <v>1.7632989629299332</v>
      </c>
      <c r="N916" s="819" t="str">
        <f t="shared" si="97"/>
        <v>-</v>
      </c>
      <c r="O916" s="1840" t="str">
        <f t="shared" si="98"/>
        <v>-</v>
      </c>
      <c r="T916" s="73"/>
      <c r="U916" s="73"/>
      <c r="Y916" s="143"/>
      <c r="AB916" s="143"/>
      <c r="AD916" s="143"/>
      <c r="AE916" s="143"/>
      <c r="AF916" s="143"/>
      <c r="AG916" s="143"/>
      <c r="AH916" s="143"/>
      <c r="AI916" s="143"/>
      <c r="AJ916" s="143"/>
      <c r="AK916" s="143"/>
      <c r="AL916" s="143"/>
      <c r="AM916" s="143"/>
      <c r="AN916" s="143"/>
      <c r="AO916" s="143"/>
      <c r="AP916" s="143"/>
      <c r="AQ916" s="143"/>
      <c r="AR916" s="143"/>
      <c r="AS916" s="143"/>
    </row>
    <row r="917" spans="1:45" ht="15" customHeight="1">
      <c r="A917" s="482" t="str">
        <f t="shared" si="92"/>
        <v>107j</v>
      </c>
      <c r="B917" s="1019" t="str">
        <f t="shared" si="93"/>
        <v>Positive</v>
      </c>
      <c r="C917" s="595">
        <f>Stress!D845</f>
        <v>-236.06600924039725</v>
      </c>
      <c r="D917" s="595">
        <f>Stress!E845</f>
        <v>167.21044453061862</v>
      </c>
      <c r="E917" s="575">
        <f>IF(B917="Positive",input!CL16-input!H16,input!CU16-input!K16)</f>
        <v>1645.8661105921663</v>
      </c>
      <c r="F917" s="794" t="str">
        <f>IF(2*E917/COS(ATAN(input!BP16))/input!N16&lt;=5.7*SQRT(Es/input!BI16),"C","S")</f>
        <v>S</v>
      </c>
      <c r="G917" s="483">
        <f>IF(input!AJ16=1,0.2*input!M16,IF(input!AJ16=2,0.25*input!M16,0))</f>
        <v>700</v>
      </c>
      <c r="H917" s="575">
        <f>input!M16</f>
        <v>2800</v>
      </c>
      <c r="I917" s="21">
        <f t="shared" si="94"/>
        <v>-0.70832071533153362</v>
      </c>
      <c r="J917" s="21">
        <f>IF(input!AJ16=0,9/(E917/H917)^2,IF(input!AJ16=1,IF(AND(C917&lt;=0,D917&lt;=0),7.2,IF(G917/E917&gt;=0.4,MAX(5.17/(G917/H917)^2,9/(E917/H917)^2),11.64/((E917-G917)/H917)^2)),IF(I917&gt;=-1,247.8*((G917/E917)^1.8)*(1-I917)^2.7,247.8*(1-I917)^0.32)))</f>
        <v>225.79018963149457</v>
      </c>
      <c r="K917" s="21">
        <f>MIN(0.9*Es*J917/(input!BQ16/input!N16)^2,O329*input!BI16,input!BK16/0.7)</f>
        <v>379.70896106468712</v>
      </c>
      <c r="L917" s="819" t="str">
        <f t="shared" si="95"/>
        <v>OK</v>
      </c>
      <c r="M917" s="819">
        <f t="shared" si="96"/>
        <v>1.6084863817815103</v>
      </c>
      <c r="N917" s="819" t="str">
        <f t="shared" si="97"/>
        <v>-</v>
      </c>
      <c r="O917" s="1840" t="str">
        <f t="shared" si="98"/>
        <v>-</v>
      </c>
      <c r="T917" s="73"/>
      <c r="U917" s="73"/>
      <c r="Y917" s="143"/>
      <c r="AB917" s="143"/>
      <c r="AD917" s="143"/>
      <c r="AE917" s="143"/>
      <c r="AF917" s="143"/>
      <c r="AG917" s="143"/>
      <c r="AH917" s="143"/>
      <c r="AI917" s="143"/>
      <c r="AJ917" s="143"/>
      <c r="AK917" s="143"/>
      <c r="AL917" s="143"/>
      <c r="AM917" s="143"/>
      <c r="AN917" s="143"/>
      <c r="AO917" s="143"/>
      <c r="AP917" s="143"/>
      <c r="AQ917" s="143"/>
      <c r="AR917" s="143"/>
      <c r="AS917" s="143"/>
    </row>
    <row r="918" spans="1:45" ht="15" customHeight="1">
      <c r="A918" s="482" t="str">
        <f t="shared" si="92"/>
        <v>108i</v>
      </c>
      <c r="B918" s="1019" t="str">
        <f t="shared" si="93"/>
        <v>Positive</v>
      </c>
      <c r="C918" s="595">
        <f>Stress!D846</f>
        <v>-236.06572297477732</v>
      </c>
      <c r="D918" s="595">
        <f>Stress!E846</f>
        <v>167.21024176274994</v>
      </c>
      <c r="E918" s="575">
        <f>IF(B918="Positive",input!CL17-input!H17,input!CU17-input!K17)</f>
        <v>1645.8661105921663</v>
      </c>
      <c r="F918" s="794" t="str">
        <f>IF(2*E918/COS(ATAN(input!BP17))/input!N17&lt;=5.7*SQRT(Es/input!BI17),"C","S")</f>
        <v>S</v>
      </c>
      <c r="G918" s="483">
        <f>IF(input!AJ17=1,0.2*input!M17,IF(input!AJ17=2,0.25*input!M17,0))</f>
        <v>700</v>
      </c>
      <c r="H918" s="575">
        <f>input!M17</f>
        <v>2800</v>
      </c>
      <c r="I918" s="21">
        <f t="shared" si="94"/>
        <v>-0.70832071533153373</v>
      </c>
      <c r="J918" s="21">
        <f>IF(input!AJ17=0,9/(E918/H918)^2,IF(input!AJ17=1,IF(AND(C918&lt;=0,D918&lt;=0),7.2,IF(G918/E918&gt;=0.4,MAX(5.17/(G918/H918)^2,9/(E918/H918)^2),11.64/((E918-G918)/H918)^2)),IF(I918&gt;=-1,247.8*((G918/E918)^1.8)*(1-I918)^2.7,247.8*(1-I918)^0.32)))</f>
        <v>225.79018963149457</v>
      </c>
      <c r="K918" s="21">
        <f>MIN(0.9*Es*J918/(input!BQ17/input!N17)^2,O330*input!BI17,input!BK17/0.7)</f>
        <v>379.70896106468712</v>
      </c>
      <c r="L918" s="819" t="str">
        <f t="shared" si="95"/>
        <v>OK</v>
      </c>
      <c r="M918" s="819">
        <f t="shared" si="96"/>
        <v>1.6084883323160708</v>
      </c>
      <c r="N918" s="819" t="str">
        <f t="shared" si="97"/>
        <v>-</v>
      </c>
      <c r="O918" s="1840" t="str">
        <f t="shared" si="98"/>
        <v>-</v>
      </c>
      <c r="T918" s="73"/>
      <c r="U918" s="73"/>
      <c r="Y918" s="143"/>
      <c r="AB918" s="143"/>
      <c r="AD918" s="143"/>
      <c r="AE918" s="143"/>
      <c r="AF918" s="143"/>
      <c r="AG918" s="143"/>
      <c r="AH918" s="143"/>
      <c r="AI918" s="143"/>
      <c r="AJ918" s="143"/>
      <c r="AK918" s="143"/>
      <c r="AL918" s="143"/>
      <c r="AM918" s="143"/>
      <c r="AN918" s="143"/>
      <c r="AO918" s="143"/>
      <c r="AP918" s="143"/>
      <c r="AQ918" s="143"/>
      <c r="AR918" s="143"/>
      <c r="AS918" s="143"/>
    </row>
    <row r="919" spans="1:45" ht="15" customHeight="1">
      <c r="A919" s="482" t="str">
        <f t="shared" si="92"/>
        <v>108j</v>
      </c>
      <c r="B919" s="1019" t="str">
        <f t="shared" si="93"/>
        <v>Positive</v>
      </c>
      <c r="C919" s="595">
        <f>Stress!D847</f>
        <v>-242.60209744070414</v>
      </c>
      <c r="D919" s="595">
        <f>Stress!E847</f>
        <v>171.84009120013002</v>
      </c>
      <c r="E919" s="575">
        <f>IF(B919="Positive",input!CL18-input!H18,input!CU18-input!K18)</f>
        <v>1645.8661105921663</v>
      </c>
      <c r="F919" s="794" t="str">
        <f>IF(2*E919/COS(ATAN(input!BP18))/input!N18&lt;=5.7*SQRT(Es/input!BI18),"C","S")</f>
        <v>S</v>
      </c>
      <c r="G919" s="483">
        <f>IF(input!AJ18=1,0.2*input!M18,IF(input!AJ18=2,0.25*input!M18,0))</f>
        <v>700</v>
      </c>
      <c r="H919" s="575">
        <f>input!M18</f>
        <v>2800</v>
      </c>
      <c r="I919" s="21">
        <f t="shared" si="94"/>
        <v>-0.70832071533153373</v>
      </c>
      <c r="J919" s="21">
        <f>IF(input!AJ18=0,9/(E919/H919)^2,IF(input!AJ18=1,IF(AND(C919&lt;=0,D919&lt;=0),7.2,IF(G919/E919&gt;=0.4,MAX(5.17/(G919/H919)^2,9/(E919/H919)^2),11.64/((E919-G919)/H919)^2)),IF(I919&gt;=-1,247.8*((G919/E919)^1.8)*(1-I919)^2.7,247.8*(1-I919)^0.32)))</f>
        <v>225.79018963149457</v>
      </c>
      <c r="K919" s="21">
        <f>MIN(0.9*Es*J919/(input!BQ18/input!N18)^2,O331*input!BI18,input!BK18/0.7)</f>
        <v>379.70896106468712</v>
      </c>
      <c r="L919" s="819" t="str">
        <f t="shared" si="95"/>
        <v>OK</v>
      </c>
      <c r="M919" s="819">
        <f t="shared" si="96"/>
        <v>1.5651511881816855</v>
      </c>
      <c r="N919" s="819" t="str">
        <f t="shared" si="97"/>
        <v>-</v>
      </c>
      <c r="O919" s="1840" t="str">
        <f t="shared" si="98"/>
        <v>-</v>
      </c>
      <c r="T919" s="73"/>
      <c r="U919" s="73"/>
      <c r="Y919" s="143"/>
      <c r="AB919" s="143"/>
      <c r="AD919" s="143"/>
      <c r="AE919" s="143"/>
      <c r="AF919" s="143"/>
      <c r="AG919" s="143"/>
      <c r="AH919" s="143"/>
      <c r="AI919" s="143"/>
      <c r="AJ919" s="143"/>
      <c r="AK919" s="143"/>
      <c r="AL919" s="143"/>
      <c r="AM919" s="143"/>
      <c r="AN919" s="143"/>
      <c r="AO919" s="143"/>
      <c r="AP919" s="143"/>
      <c r="AQ919" s="143"/>
      <c r="AR919" s="143"/>
      <c r="AS919" s="143"/>
    </row>
    <row r="920" spans="1:45" ht="15" customHeight="1">
      <c r="A920" s="482" t="str">
        <f t="shared" si="92"/>
        <v>109i</v>
      </c>
      <c r="B920" s="1019" t="str">
        <f t="shared" si="93"/>
        <v>Positive</v>
      </c>
      <c r="C920" s="595">
        <f>Stress!D848</f>
        <v>-242.60238370632408</v>
      </c>
      <c r="D920" s="595">
        <f>Stress!E848</f>
        <v>171.84029396799869</v>
      </c>
      <c r="E920" s="575">
        <f>IF(B920="Positive",input!CL19-input!H19,input!CU19-input!K19)</f>
        <v>1645.8661105921663</v>
      </c>
      <c r="F920" s="794" t="str">
        <f>IF(2*E920/COS(ATAN(input!BP19))/input!N19&lt;=5.7*SQRT(Es/input!BI19),"C","S")</f>
        <v>S</v>
      </c>
      <c r="G920" s="483">
        <f>IF(input!AJ19=1,0.2*input!M19,IF(input!AJ19=2,0.25*input!M19,0))</f>
        <v>700</v>
      </c>
      <c r="H920" s="575">
        <f>input!M19</f>
        <v>2800</v>
      </c>
      <c r="I920" s="21">
        <f t="shared" si="94"/>
        <v>-0.70832071533153373</v>
      </c>
      <c r="J920" s="21">
        <f>IF(input!AJ19=0,9/(E920/H920)^2,IF(input!AJ19=1,IF(AND(C920&lt;=0,D920&lt;=0),7.2,IF(G920/E920&gt;=0.4,MAX(5.17/(G920/H920)^2,9/(E920/H920)^2),11.64/((E920-G920)/H920)^2)),IF(I920&gt;=-1,247.8*((G920/E920)^1.8)*(1-I920)^2.7,247.8*(1-I920)^0.32)))</f>
        <v>225.79018963149457</v>
      </c>
      <c r="K920" s="21">
        <f>MIN(0.9*Es*J920/(input!BQ19/input!N19)^2,O332*input!BI19,input!BK19/0.7)</f>
        <v>379.70896106468712</v>
      </c>
      <c r="L920" s="819" t="str">
        <f t="shared" si="95"/>
        <v>OK</v>
      </c>
      <c r="M920" s="819">
        <f t="shared" si="96"/>
        <v>1.565149341336785</v>
      </c>
      <c r="N920" s="819" t="str">
        <f t="shared" si="97"/>
        <v>-</v>
      </c>
      <c r="O920" s="1840" t="str">
        <f t="shared" si="98"/>
        <v>-</v>
      </c>
      <c r="T920" s="73"/>
      <c r="U920" s="73"/>
      <c r="Y920" s="143"/>
      <c r="AB920" s="143"/>
      <c r="AD920" s="143"/>
      <c r="AE920" s="143"/>
      <c r="AF920" s="143"/>
      <c r="AG920" s="143"/>
      <c r="AH920" s="143"/>
      <c r="AI920" s="143"/>
      <c r="AJ920" s="143"/>
      <c r="AK920" s="143"/>
      <c r="AL920" s="143"/>
      <c r="AM920" s="143"/>
      <c r="AN920" s="143"/>
      <c r="AO920" s="143"/>
      <c r="AP920" s="143"/>
      <c r="AQ920" s="143"/>
      <c r="AR920" s="143"/>
      <c r="AS920" s="143"/>
    </row>
    <row r="921" spans="1:45" ht="15" customHeight="1">
      <c r="A921" s="482" t="str">
        <f t="shared" si="92"/>
        <v>109j</v>
      </c>
      <c r="B921" s="1019" t="str">
        <f t="shared" si="93"/>
        <v>Positive</v>
      </c>
      <c r="C921" s="595">
        <f>Stress!D849</f>
        <v>-238.75683450119439</v>
      </c>
      <c r="D921" s="595">
        <f>Stress!E849</f>
        <v>169.1164118041786</v>
      </c>
      <c r="E921" s="575">
        <f>IF(B921="Positive",input!CL20-input!H20,input!CU20-input!K20)</f>
        <v>1645.8661105921663</v>
      </c>
      <c r="F921" s="794" t="str">
        <f>IF(2*E921/COS(ATAN(input!BP20))/input!N20&lt;=5.7*SQRT(Es/input!BI20),"C","S")</f>
        <v>S</v>
      </c>
      <c r="G921" s="483">
        <f>IF(input!AJ20=1,0.2*input!M20,IF(input!AJ20=2,0.25*input!M20,0))</f>
        <v>700</v>
      </c>
      <c r="H921" s="575">
        <f>input!M20</f>
        <v>2800</v>
      </c>
      <c r="I921" s="21">
        <f t="shared" si="94"/>
        <v>-0.70832071533153362</v>
      </c>
      <c r="J921" s="21">
        <f>IF(input!AJ20=0,9/(E921/H921)^2,IF(input!AJ20=1,IF(AND(C921&lt;=0,D921&lt;=0),7.2,IF(G921/E921&gt;=0.4,MAX(5.17/(G921/H921)^2,9/(E921/H921)^2),11.64/((E921-G921)/H921)^2)),IF(I921&gt;=-1,247.8*((G921/E921)^1.8)*(1-I921)^2.7,247.8*(1-I921)^0.32)))</f>
        <v>225.79018963149457</v>
      </c>
      <c r="K921" s="21">
        <f>MIN(0.9*Es*J921/(input!BQ20/input!N20)^2,O333*input!BI20,input!BK20/0.7)</f>
        <v>379.70896106468712</v>
      </c>
      <c r="L921" s="819" t="str">
        <f t="shared" si="95"/>
        <v>OK</v>
      </c>
      <c r="M921" s="819">
        <f t="shared" si="96"/>
        <v>1.5903584995083675</v>
      </c>
      <c r="N921" s="819" t="str">
        <f t="shared" si="97"/>
        <v>-</v>
      </c>
      <c r="O921" s="1840" t="str">
        <f t="shared" si="98"/>
        <v>-</v>
      </c>
      <c r="T921" s="73"/>
      <c r="U921" s="73"/>
      <c r="Y921" s="143"/>
      <c r="AB921" s="143"/>
      <c r="AD921" s="143"/>
      <c r="AE921" s="143"/>
      <c r="AF921" s="143"/>
      <c r="AG921" s="143"/>
      <c r="AH921" s="143"/>
      <c r="AI921" s="143"/>
      <c r="AJ921" s="143"/>
      <c r="AK921" s="143"/>
      <c r="AL921" s="143"/>
      <c r="AM921" s="143"/>
      <c r="AN921" s="143"/>
      <c r="AO921" s="143"/>
      <c r="AP921" s="143"/>
      <c r="AQ921" s="143"/>
      <c r="AR921" s="143"/>
      <c r="AS921" s="143"/>
    </row>
    <row r="922" spans="1:45" ht="15" customHeight="1">
      <c r="A922" s="482" t="str">
        <f t="shared" si="92"/>
        <v>110i</v>
      </c>
      <c r="B922" s="1019" t="str">
        <f t="shared" si="93"/>
        <v>Positive</v>
      </c>
      <c r="C922" s="595">
        <f>Stress!D850</f>
        <v>-238.75719233321922</v>
      </c>
      <c r="D922" s="595">
        <f>Stress!E850</f>
        <v>169.11666526401444</v>
      </c>
      <c r="E922" s="575">
        <f>IF(B922="Positive",input!CL21-input!H21,input!CU21-input!K21)</f>
        <v>1645.8661105921663</v>
      </c>
      <c r="F922" s="794" t="str">
        <f>IF(2*E922/COS(ATAN(input!BP21))/input!N21&lt;=5.7*SQRT(Es/input!BI21),"C","S")</f>
        <v>S</v>
      </c>
      <c r="G922" s="483">
        <f>IF(input!AJ21=1,0.2*input!M21,IF(input!AJ21=2,0.25*input!M21,0))</f>
        <v>700</v>
      </c>
      <c r="H922" s="575">
        <f>input!M21</f>
        <v>2800</v>
      </c>
      <c r="I922" s="21">
        <f t="shared" si="94"/>
        <v>-0.70832071533153385</v>
      </c>
      <c r="J922" s="21">
        <f>IF(input!AJ21=0,9/(E922/H922)^2,IF(input!AJ21=1,IF(AND(C922&lt;=0,D922&lt;=0),7.2,IF(G922/E922&gt;=0.4,MAX(5.17/(G922/H922)^2,9/(E922/H922)^2),11.64/((E922-G922)/H922)^2)),IF(I922&gt;=-1,247.8*((G922/E922)^1.8)*(1-I922)^2.7,247.8*(1-I922)^0.32)))</f>
        <v>225.79018963149463</v>
      </c>
      <c r="K922" s="21">
        <f>MIN(0.9*Es*J922/(input!BQ21/input!N21)^2,O334*input!BI21,input!BK21/0.7)</f>
        <v>379.70896106468712</v>
      </c>
      <c r="L922" s="819" t="str">
        <f t="shared" si="95"/>
        <v>OK</v>
      </c>
      <c r="M922" s="819">
        <f t="shared" si="96"/>
        <v>1.5903561159939839</v>
      </c>
      <c r="N922" s="819" t="str">
        <f t="shared" si="97"/>
        <v>-</v>
      </c>
      <c r="O922" s="1840" t="str">
        <f t="shared" si="98"/>
        <v>-</v>
      </c>
      <c r="T922" s="73"/>
      <c r="U922" s="73"/>
      <c r="Y922" s="143"/>
      <c r="AB922" s="143"/>
      <c r="AD922" s="143"/>
      <c r="AE922" s="143"/>
      <c r="AF922" s="143"/>
      <c r="AG922" s="143"/>
      <c r="AH922" s="143"/>
      <c r="AI922" s="143"/>
      <c r="AJ922" s="143"/>
      <c r="AK922" s="143"/>
      <c r="AL922" s="143"/>
      <c r="AM922" s="143"/>
      <c r="AN922" s="143"/>
      <c r="AO922" s="143"/>
      <c r="AP922" s="143"/>
      <c r="AQ922" s="143"/>
      <c r="AR922" s="143"/>
      <c r="AS922" s="143"/>
    </row>
    <row r="923" spans="1:45" ht="15" customHeight="1">
      <c r="A923" s="482" t="str">
        <f t="shared" si="92"/>
        <v>110j</v>
      </c>
      <c r="B923" s="1019" t="str">
        <f t="shared" si="93"/>
        <v>Positive</v>
      </c>
      <c r="C923" s="595">
        <f>Stress!D851</f>
        <v>-221.93035606179873</v>
      </c>
      <c r="D923" s="595">
        <f>Stress!E851</f>
        <v>157.19786855947524</v>
      </c>
      <c r="E923" s="575">
        <f>IF(B923="Positive",input!CL22-input!H22,input!CU22-input!K22)</f>
        <v>1645.8661105921663</v>
      </c>
      <c r="F923" s="794" t="str">
        <f>IF(2*E923/COS(ATAN(input!BP22))/input!N22&lt;=5.7*SQRT(Es/input!BI22),"C","S")</f>
        <v>S</v>
      </c>
      <c r="G923" s="483">
        <f>IF(input!AJ22=1,0.2*input!M22,IF(input!AJ22=2,0.25*input!M22,0))</f>
        <v>700</v>
      </c>
      <c r="H923" s="575">
        <f>input!M22</f>
        <v>2800</v>
      </c>
      <c r="I923" s="21">
        <f t="shared" si="94"/>
        <v>-0.70832071533153362</v>
      </c>
      <c r="J923" s="21">
        <f>IF(input!AJ22=0,9/(E923/H923)^2,IF(input!AJ22=1,IF(AND(C923&lt;=0,D923&lt;=0),7.2,IF(G923/E923&gt;=0.4,MAX(5.17/(G923/H923)^2,9/(E923/H923)^2),11.64/((E923-G923)/H923)^2)),IF(I923&gt;=-1,247.8*((G923/E923)^1.8)*(1-I923)^2.7,247.8*(1-I923)^0.32)))</f>
        <v>225.79018963149457</v>
      </c>
      <c r="K923" s="21">
        <f>MIN(0.9*Es*J923/(input!BQ22/input!N22)^2,O335*input!BI22,input!BK22/0.7)</f>
        <v>379.70896106468712</v>
      </c>
      <c r="L923" s="819" t="str">
        <f t="shared" si="95"/>
        <v>OK</v>
      </c>
      <c r="M923" s="819">
        <f t="shared" si="96"/>
        <v>1.7109374661614716</v>
      </c>
      <c r="N923" s="819" t="str">
        <f t="shared" si="97"/>
        <v>-</v>
      </c>
      <c r="O923" s="1840" t="str">
        <f t="shared" si="98"/>
        <v>-</v>
      </c>
      <c r="T923" s="73"/>
      <c r="U923" s="73"/>
      <c r="Y923" s="143"/>
      <c r="AB923" s="143"/>
      <c r="AD923" s="143"/>
      <c r="AE923" s="143"/>
      <c r="AF923" s="143"/>
      <c r="AG923" s="143"/>
      <c r="AH923" s="143"/>
      <c r="AI923" s="143"/>
      <c r="AJ923" s="143"/>
      <c r="AK923" s="143"/>
      <c r="AL923" s="143"/>
      <c r="AM923" s="143"/>
      <c r="AN923" s="143"/>
      <c r="AO923" s="143"/>
      <c r="AP923" s="143"/>
      <c r="AQ923" s="143"/>
      <c r="AR923" s="143"/>
      <c r="AS923" s="143"/>
    </row>
    <row r="924" spans="1:45" ht="15" customHeight="1">
      <c r="A924" s="482" t="str">
        <f t="shared" si="92"/>
        <v>111i</v>
      </c>
      <c r="B924" s="1019" t="str">
        <f t="shared" si="93"/>
        <v>Positive</v>
      </c>
      <c r="C924" s="595">
        <f>Stress!D852</f>
        <v>-221.93071389382362</v>
      </c>
      <c r="D924" s="595">
        <f>Stress!E852</f>
        <v>157.19812201931106</v>
      </c>
      <c r="E924" s="575">
        <f>IF(B924="Positive",input!CL23-input!H23,input!CU23-input!K23)</f>
        <v>1645.8661105921663</v>
      </c>
      <c r="F924" s="794" t="str">
        <f>IF(2*E924/COS(ATAN(input!BP23))/input!N23&lt;=5.7*SQRT(Es/input!BI23),"C","S")</f>
        <v>S</v>
      </c>
      <c r="G924" s="483">
        <f>IF(input!AJ23=1,0.2*input!M23,IF(input!AJ23=2,0.25*input!M23,0))</f>
        <v>700</v>
      </c>
      <c r="H924" s="575">
        <f>input!M23</f>
        <v>2800</v>
      </c>
      <c r="I924" s="21">
        <f t="shared" si="94"/>
        <v>-0.70832071533153351</v>
      </c>
      <c r="J924" s="21">
        <f>IF(input!AJ23=0,9/(E924/H924)^2,IF(input!AJ23=1,IF(AND(C924&lt;=0,D924&lt;=0),7.2,IF(G924/E924&gt;=0.4,MAX(5.17/(G924/H924)^2,9/(E924/H924)^2),11.64/((E924-G924)/H924)^2)),IF(I924&gt;=-1,247.8*((G924/E924)^1.8)*(1-I924)^2.7,247.8*(1-I924)^0.32)))</f>
        <v>225.79018963149457</v>
      </c>
      <c r="K924" s="21">
        <f>MIN(0.9*Es*J924/(input!BQ23/input!N23)^2,O336*input!BI23,input!BK23/0.7)</f>
        <v>379.70896106468712</v>
      </c>
      <c r="L924" s="819" t="str">
        <f t="shared" si="95"/>
        <v>OK</v>
      </c>
      <c r="M924" s="819">
        <f t="shared" si="96"/>
        <v>1.7109347075157337</v>
      </c>
      <c r="N924" s="819" t="str">
        <f t="shared" si="97"/>
        <v>-</v>
      </c>
      <c r="O924" s="1840" t="str">
        <f t="shared" si="98"/>
        <v>-</v>
      </c>
      <c r="T924" s="73"/>
      <c r="U924" s="73"/>
      <c r="Y924" s="143"/>
      <c r="AB924" s="143"/>
      <c r="AD924" s="143"/>
      <c r="AE924" s="143"/>
      <c r="AF924" s="143"/>
      <c r="AG924" s="143"/>
      <c r="AH924" s="143"/>
      <c r="AI924" s="143"/>
      <c r="AJ924" s="143"/>
      <c r="AK924" s="143"/>
      <c r="AL924" s="143"/>
      <c r="AM924" s="143"/>
      <c r="AN924" s="143"/>
      <c r="AO924" s="143"/>
      <c r="AP924" s="143"/>
      <c r="AQ924" s="143"/>
      <c r="AR924" s="143"/>
      <c r="AS924" s="143"/>
    </row>
    <row r="925" spans="1:45" ht="15" customHeight="1">
      <c r="A925" s="482" t="str">
        <f t="shared" si="92"/>
        <v>111j</v>
      </c>
      <c r="B925" s="1019" t="str">
        <f t="shared" si="93"/>
        <v>Positive</v>
      </c>
      <c r="C925" s="595">
        <f>Stress!D853</f>
        <v>-191.89322022815526</v>
      </c>
      <c r="D925" s="595">
        <f>Stress!E853</f>
        <v>135.92194301927847</v>
      </c>
      <c r="E925" s="575">
        <f>IF(B925="Positive",input!CL24-input!H24,input!CU24-input!K24)</f>
        <v>1645.8661105921663</v>
      </c>
      <c r="F925" s="794" t="str">
        <f>IF(2*E925/COS(ATAN(input!BP24))/input!N24&lt;=5.7*SQRT(Es/input!BI24),"C","S")</f>
        <v>S</v>
      </c>
      <c r="G925" s="483">
        <f>IF(input!AJ24=1,0.2*input!M24,IF(input!AJ24=2,0.25*input!M24,0))</f>
        <v>700</v>
      </c>
      <c r="H925" s="575">
        <f>input!M24</f>
        <v>2800</v>
      </c>
      <c r="I925" s="21">
        <f t="shared" si="94"/>
        <v>-0.70832071533153373</v>
      </c>
      <c r="J925" s="21">
        <f>IF(input!AJ24=0,9/(E925/H925)^2,IF(input!AJ24=1,IF(AND(C925&lt;=0,D925&lt;=0),7.2,IF(G925/E925&gt;=0.4,MAX(5.17/(G925/H925)^2,9/(E925/H925)^2),11.64/((E925-G925)/H925)^2)),IF(I925&gt;=-1,247.8*((G925/E925)^1.8)*(1-I925)^2.7,247.8*(1-I925)^0.32)))</f>
        <v>225.79018963149457</v>
      </c>
      <c r="K925" s="21">
        <f>MIN(0.9*Es*J925/(input!BQ24/input!N24)^2,O337*input!BI24,input!BK24/0.7)</f>
        <v>379.70896106468712</v>
      </c>
      <c r="L925" s="819" t="str">
        <f t="shared" si="95"/>
        <v>OK</v>
      </c>
      <c r="M925" s="819">
        <f t="shared" si="96"/>
        <v>1.978751310823929</v>
      </c>
      <c r="N925" s="819" t="str">
        <f t="shared" si="97"/>
        <v>-</v>
      </c>
      <c r="O925" s="1840" t="str">
        <f t="shared" si="98"/>
        <v>-</v>
      </c>
      <c r="T925" s="73"/>
      <c r="U925" s="73"/>
      <c r="Y925" s="143"/>
      <c r="AB925" s="143"/>
      <c r="AD925" s="143"/>
      <c r="AE925" s="143"/>
      <c r="AF925" s="143"/>
      <c r="AG925" s="143"/>
      <c r="AH925" s="143"/>
      <c r="AI925" s="143"/>
      <c r="AJ925" s="143"/>
      <c r="AK925" s="143"/>
      <c r="AL925" s="143"/>
      <c r="AM925" s="143"/>
      <c r="AN925" s="143"/>
      <c r="AO925" s="143"/>
      <c r="AP925" s="143"/>
      <c r="AQ925" s="143"/>
      <c r="AR925" s="143"/>
      <c r="AS925" s="143"/>
    </row>
    <row r="926" spans="1:45" ht="15" customHeight="1">
      <c r="A926" s="482" t="str">
        <f t="shared" si="92"/>
        <v>112i</v>
      </c>
      <c r="B926" s="1019" t="str">
        <f t="shared" si="93"/>
        <v>Positive</v>
      </c>
      <c r="C926" s="595">
        <f>Stress!D854</f>
        <v>-237.24872550950522</v>
      </c>
      <c r="D926" s="595">
        <f>Stress!E854</f>
        <v>165.09188030468215</v>
      </c>
      <c r="E926" s="575">
        <f>IF(B926="Positive",input!CL25-input!H25,input!CU25-input!K25)</f>
        <v>1655.1774126907367</v>
      </c>
      <c r="F926" s="794" t="str">
        <f>IF(2*E926/COS(ATAN(input!BP25))/input!N25&lt;=5.7*SQRT(Es/input!BI25),"C","S")</f>
        <v>S</v>
      </c>
      <c r="G926" s="483">
        <f>IF(input!AJ25=1,0.2*input!M25,IF(input!AJ25=2,0.25*input!M25,0))</f>
        <v>700</v>
      </c>
      <c r="H926" s="575">
        <f>input!M25</f>
        <v>2800</v>
      </c>
      <c r="I926" s="21">
        <f t="shared" si="94"/>
        <v>-0.6958599248537074</v>
      </c>
      <c r="J926" s="21">
        <f>IF(input!AJ25=0,9/(E926/H926)^2,IF(input!AJ25=1,IF(AND(C926&lt;=0,D926&lt;=0),7.2,IF(G926/E926&gt;=0.4,MAX(5.17/(G926/H926)^2,9/(E926/H926)^2),11.64/((E926-G926)/H926)^2)),IF(I926&gt;=-1,247.8*((G926/E926)^1.8)*(1-I926)^2.7,247.8*(1-I926)^0.32)))</f>
        <v>219.13438085687568</v>
      </c>
      <c r="K926" s="21">
        <f>MIN(0.9*Es*J926/(input!BQ25/input!N25)^2,O338*input!BI25,input!BK25/0.7)</f>
        <v>379.62516376960559</v>
      </c>
      <c r="L926" s="819" t="str">
        <f t="shared" si="95"/>
        <v>OK</v>
      </c>
      <c r="M926" s="819">
        <f t="shared" si="96"/>
        <v>1.6001146600654601</v>
      </c>
      <c r="N926" s="819" t="str">
        <f t="shared" si="97"/>
        <v>-</v>
      </c>
      <c r="O926" s="1840" t="str">
        <f t="shared" si="98"/>
        <v>-</v>
      </c>
      <c r="T926" s="73"/>
      <c r="U926" s="73"/>
      <c r="Y926" s="143"/>
      <c r="AB926" s="143"/>
      <c r="AD926" s="143"/>
      <c r="AE926" s="143"/>
      <c r="AF926" s="143"/>
      <c r="AG926" s="143"/>
      <c r="AH926" s="143"/>
      <c r="AI926" s="143"/>
      <c r="AJ926" s="143"/>
      <c r="AK926" s="143"/>
      <c r="AL926" s="143"/>
      <c r="AM926" s="143"/>
      <c r="AN926" s="143"/>
      <c r="AO926" s="143"/>
      <c r="AP926" s="143"/>
      <c r="AQ926" s="143"/>
      <c r="AR926" s="143"/>
      <c r="AS926" s="143"/>
    </row>
    <row r="927" spans="1:45" ht="15" customHeight="1">
      <c r="A927" s="482" t="str">
        <f t="shared" si="92"/>
        <v>112j</v>
      </c>
      <c r="B927" s="1019" t="str">
        <f t="shared" si="93"/>
        <v>Positive</v>
      </c>
      <c r="C927" s="595">
        <f>Stress!D855</f>
        <v>-187.61596722920439</v>
      </c>
      <c r="D927" s="595">
        <f>Stress!E855</f>
        <v>130.55443285746978</v>
      </c>
      <c r="E927" s="575">
        <f>IF(B927="Positive",input!CL26-input!H26,input!CU26-input!K26)</f>
        <v>1655.1774126907367</v>
      </c>
      <c r="F927" s="794" t="str">
        <f>IF(2*E927/COS(ATAN(input!BP26))/input!N26&lt;=5.7*SQRT(Es/input!BI26),"C","S")</f>
        <v>S</v>
      </c>
      <c r="G927" s="483">
        <f>IF(input!AJ26=1,0.2*input!M26,IF(input!AJ26=2,0.25*input!M26,0))</f>
        <v>700</v>
      </c>
      <c r="H927" s="575">
        <f>input!M26</f>
        <v>2800</v>
      </c>
      <c r="I927" s="21">
        <f t="shared" si="94"/>
        <v>-0.69585992485370729</v>
      </c>
      <c r="J927" s="21">
        <f>IF(input!AJ26=0,9/(E927/H927)^2,IF(input!AJ26=1,IF(AND(C927&lt;=0,D927&lt;=0),7.2,IF(G927/E927&gt;=0.4,MAX(5.17/(G927/H927)^2,9/(E927/H927)^2),11.64/((E927-G927)/H927)^2)),IF(I927&gt;=-1,247.8*((G927/E927)^1.8)*(1-I927)^2.7,247.8*(1-I927)^0.32)))</f>
        <v>219.13438085687568</v>
      </c>
      <c r="K927" s="21">
        <f>MIN(0.9*Es*J927/(input!BQ26/input!N26)^2,O339*input!BI26,input!BK26/0.7)</f>
        <v>379.62516376960559</v>
      </c>
      <c r="L927" s="819" t="str">
        <f t="shared" si="95"/>
        <v>OK</v>
      </c>
      <c r="M927" s="819">
        <f t="shared" si="96"/>
        <v>2.0234160736747411</v>
      </c>
      <c r="N927" s="819" t="str">
        <f t="shared" si="97"/>
        <v>-</v>
      </c>
      <c r="O927" s="1840" t="str">
        <f t="shared" si="98"/>
        <v>-</v>
      </c>
      <c r="T927" s="73"/>
      <c r="U927" s="73"/>
      <c r="V927" s="73"/>
      <c r="W927" s="73"/>
      <c r="X927" s="73"/>
      <c r="Y927" s="73"/>
      <c r="Z927" s="73"/>
      <c r="AA927" s="73"/>
      <c r="AD927" s="143"/>
      <c r="AE927" s="143"/>
      <c r="AF927" s="143"/>
      <c r="AG927" s="143"/>
      <c r="AH927" s="143"/>
      <c r="AI927" s="143"/>
      <c r="AJ927" s="143"/>
      <c r="AK927" s="143"/>
      <c r="AL927" s="143"/>
      <c r="AM927" s="143"/>
      <c r="AN927" s="143"/>
      <c r="AO927" s="143"/>
      <c r="AP927" s="143"/>
      <c r="AQ927" s="143"/>
      <c r="AR927" s="143"/>
      <c r="AS927" s="143"/>
    </row>
    <row r="928" spans="1:45" ht="15" customHeight="1">
      <c r="A928" s="482" t="str">
        <f t="shared" si="92"/>
        <v>113i</v>
      </c>
      <c r="B928" s="1019" t="str">
        <f t="shared" si="93"/>
        <v>Positive</v>
      </c>
      <c r="C928" s="595">
        <f>Stress!D856</f>
        <v>-209.28930753896856</v>
      </c>
      <c r="D928" s="595">
        <f>Stress!E856</f>
        <v>133.65580501931754</v>
      </c>
      <c r="E928" s="575">
        <f>IF(B928="Positive",input!CL27-input!H27,input!CU27-input!K27)</f>
        <v>1716.5943564794959</v>
      </c>
      <c r="F928" s="794" t="str">
        <f>IF(2*E928/COS(ATAN(input!BP27))/input!N27&lt;=5.7*SQRT(Es/input!BI27),"C","S")</f>
        <v>S</v>
      </c>
      <c r="G928" s="483">
        <f>IF(input!AJ27=1,0.2*input!M27,IF(input!AJ27=2,0.25*input!M27,0))</f>
        <v>700</v>
      </c>
      <c r="H928" s="575">
        <f>input!M27</f>
        <v>2800</v>
      </c>
      <c r="I928" s="21">
        <f t="shared" si="94"/>
        <v>-0.6386174553825763</v>
      </c>
      <c r="J928" s="21">
        <f>IF(input!AJ27=0,9/(E928/H928)^2,IF(input!AJ27=1,IF(AND(C928&lt;=0,D928&lt;=0),7.2,IF(G928/E928&gt;=0.4,MAX(5.17/(G928/H928)^2,9/(E928/H928)^2),11.64/((E928-G928)/H928)^2)),IF(I928&gt;=-1,247.8*((G928/E928)^1.8)*(1-I928)^2.7,247.8*(1-I928)^0.32)))</f>
        <v>187.05331398745435</v>
      </c>
      <c r="K928" s="21">
        <f>MIN(0.9*Es*J928/(input!BQ27/input!N27)^2,O340*input!BI27,input!BK27/0.7)</f>
        <v>379.55057740545942</v>
      </c>
      <c r="L928" s="819" t="str">
        <f t="shared" si="95"/>
        <v>OK</v>
      </c>
      <c r="M928" s="819">
        <f t="shared" si="96"/>
        <v>1.8135211104121463</v>
      </c>
      <c r="N928" s="819" t="str">
        <f t="shared" si="97"/>
        <v>-</v>
      </c>
      <c r="O928" s="1840" t="str">
        <f t="shared" si="98"/>
        <v>-</v>
      </c>
      <c r="T928" s="73"/>
      <c r="U928" s="73"/>
      <c r="V928" s="73"/>
      <c r="W928" s="73"/>
      <c r="X928" s="73"/>
      <c r="Y928" s="73"/>
      <c r="Z928" s="73"/>
      <c r="AA928" s="73"/>
      <c r="AD928" s="143"/>
      <c r="AE928" s="143"/>
      <c r="AF928" s="143"/>
      <c r="AG928" s="143"/>
      <c r="AH928" s="143"/>
      <c r="AI928" s="143"/>
      <c r="AJ928" s="143"/>
      <c r="AK928" s="143"/>
      <c r="AL928" s="143"/>
      <c r="AM928" s="143"/>
      <c r="AN928" s="143"/>
      <c r="AO928" s="143"/>
      <c r="AP928" s="143"/>
      <c r="AQ928" s="143"/>
      <c r="AR928" s="143"/>
      <c r="AS928" s="143"/>
    </row>
    <row r="929" spans="1:45" ht="15" customHeight="1">
      <c r="A929" s="482" t="str">
        <f t="shared" si="92"/>
        <v>113j</v>
      </c>
      <c r="B929" s="1019" t="str">
        <f t="shared" si="93"/>
        <v>Positive</v>
      </c>
      <c r="C929" s="595">
        <f>Stress!D857</f>
        <v>-135.67287699051366</v>
      </c>
      <c r="D929" s="595">
        <f>Stress!E857</f>
        <v>86.64306746811512</v>
      </c>
      <c r="E929" s="575">
        <f>IF(B929="Positive",input!CL28-input!H28,input!CU28-input!K28)</f>
        <v>1716.5943564794959</v>
      </c>
      <c r="F929" s="794" t="str">
        <f>IF(2*E929/COS(ATAN(input!BP28))/input!N28&lt;=5.7*SQRT(Es/input!BI28),"C","S")</f>
        <v>S</v>
      </c>
      <c r="G929" s="483">
        <f>IF(input!AJ28=1,0.2*input!M28,IF(input!AJ28=2,0.25*input!M28,0))</f>
        <v>700</v>
      </c>
      <c r="H929" s="575">
        <f>input!M28</f>
        <v>2800</v>
      </c>
      <c r="I929" s="21">
        <f t="shared" si="94"/>
        <v>-0.6386174553825763</v>
      </c>
      <c r="J929" s="21">
        <f>IF(input!AJ28=0,9/(E929/H929)^2,IF(input!AJ28=1,IF(AND(C929&lt;=0,D929&lt;=0),7.2,IF(G929/E929&gt;=0.4,MAX(5.17/(G929/H929)^2,9/(E929/H929)^2),11.64/((E929-G929)/H929)^2)),IF(I929&gt;=-1,247.8*((G929/E929)^1.8)*(1-I929)^2.7,247.8*(1-I929)^0.32)))</f>
        <v>187.05331398745435</v>
      </c>
      <c r="K929" s="21">
        <f>MIN(0.9*Es*J929/(input!BQ28/input!N28)^2,O341*input!BI28,input!BK28/0.7)</f>
        <v>379.55057740545942</v>
      </c>
      <c r="L929" s="819" t="str">
        <f t="shared" si="95"/>
        <v>OK</v>
      </c>
      <c r="M929" s="819">
        <f t="shared" si="96"/>
        <v>2.7975420424820641</v>
      </c>
      <c r="N929" s="819" t="str">
        <f t="shared" si="97"/>
        <v>-</v>
      </c>
      <c r="O929" s="1840" t="str">
        <f t="shared" si="98"/>
        <v>-</v>
      </c>
      <c r="T929" s="73"/>
      <c r="U929" s="73"/>
      <c r="V929" s="73"/>
      <c r="W929" s="73"/>
      <c r="X929" s="73"/>
      <c r="Y929" s="73"/>
      <c r="Z929" s="73"/>
      <c r="AA929" s="73"/>
      <c r="AD929" s="143"/>
      <c r="AE929" s="143"/>
      <c r="AF929" s="143"/>
      <c r="AG929" s="143"/>
      <c r="AH929" s="143"/>
      <c r="AI929" s="143"/>
      <c r="AJ929" s="143"/>
      <c r="AK929" s="143"/>
      <c r="AL929" s="143"/>
      <c r="AM929" s="143"/>
      <c r="AN929" s="143"/>
      <c r="AO929" s="143"/>
      <c r="AP929" s="143"/>
      <c r="AQ929" s="143"/>
      <c r="AR929" s="143"/>
      <c r="AS929" s="143"/>
    </row>
    <row r="930" spans="1:45" ht="15" customHeight="1">
      <c r="A930" s="482" t="str">
        <f t="shared" si="92"/>
        <v>114i</v>
      </c>
      <c r="B930" s="1019" t="str">
        <f t="shared" si="93"/>
        <v>Positive</v>
      </c>
      <c r="C930" s="595">
        <f>Stress!D858</f>
        <v>-135.67327179871401</v>
      </c>
      <c r="D930" s="595">
        <f>Stress!E858</f>
        <v>86.643319599523409</v>
      </c>
      <c r="E930" s="575">
        <f>IF(B930="Positive",input!CL29-input!H29,input!CU29-input!K29)</f>
        <v>1716.5943564794959</v>
      </c>
      <c r="F930" s="794" t="str">
        <f>IF(2*E930/COS(ATAN(input!BP29))/input!N29&lt;=5.7*SQRT(Es/input!BI29),"C","S")</f>
        <v>S</v>
      </c>
      <c r="G930" s="483">
        <f>IF(input!AJ29=1,0.2*input!M29,IF(input!AJ29=2,0.25*input!M29,0))</f>
        <v>700</v>
      </c>
      <c r="H930" s="575">
        <f>input!M29</f>
        <v>2800</v>
      </c>
      <c r="I930" s="21">
        <f t="shared" si="94"/>
        <v>-0.63861745538257642</v>
      </c>
      <c r="J930" s="21">
        <f>IF(input!AJ29=0,9/(E930/H930)^2,IF(input!AJ29=1,IF(AND(C930&lt;=0,D930&lt;=0),7.2,IF(G930/E930&gt;=0.4,MAX(5.17/(G930/H930)^2,9/(E930/H930)^2),11.64/((E930-G930)/H930)^2)),IF(I930&gt;=-1,247.8*((G930/E930)^1.8)*(1-I930)^2.7,247.8*(1-I930)^0.32)))</f>
        <v>187.0533139874544</v>
      </c>
      <c r="K930" s="21">
        <f>MIN(0.9*Es*J930/(input!BQ29/input!N29)^2,O342*input!BI29,input!BK29/0.7)</f>
        <v>379.55057740545942</v>
      </c>
      <c r="L930" s="819" t="str">
        <f t="shared" si="95"/>
        <v>OK</v>
      </c>
      <c r="M930" s="819">
        <f t="shared" si="96"/>
        <v>2.7975339016557648</v>
      </c>
      <c r="N930" s="819" t="str">
        <f t="shared" si="97"/>
        <v>-</v>
      </c>
      <c r="O930" s="1840" t="str">
        <f t="shared" si="98"/>
        <v>-</v>
      </c>
      <c r="T930" s="73"/>
      <c r="U930" s="73"/>
      <c r="V930" s="73"/>
      <c r="W930" s="73"/>
      <c r="X930" s="73"/>
      <c r="Y930" s="73"/>
      <c r="Z930" s="73"/>
      <c r="AA930" s="73"/>
      <c r="AD930" s="143"/>
      <c r="AE930" s="143"/>
      <c r="AF930" s="143"/>
      <c r="AG930" s="143"/>
      <c r="AH930" s="143"/>
      <c r="AI930" s="143"/>
      <c r="AJ930" s="143"/>
      <c r="AK930" s="143"/>
      <c r="AL930" s="143"/>
      <c r="AM930" s="143"/>
      <c r="AN930" s="143"/>
      <c r="AO930" s="143"/>
      <c r="AP930" s="143"/>
      <c r="AQ930" s="143"/>
      <c r="AR930" s="143"/>
      <c r="AS930" s="143"/>
    </row>
    <row r="931" spans="1:45" ht="15" customHeight="1">
      <c r="A931" s="482" t="str">
        <f t="shared" si="92"/>
        <v>114j</v>
      </c>
      <c r="B931" s="1019" t="str">
        <f t="shared" si="93"/>
        <v>Positive</v>
      </c>
      <c r="C931" s="595">
        <f>Stress!D859</f>
        <v>-48.667019837267347</v>
      </c>
      <c r="D931" s="595">
        <f>Stress!E859</f>
        <v>31.079608369529026</v>
      </c>
      <c r="E931" s="575">
        <f>IF(B931="Positive",input!CL30-input!H30,input!CU30-input!K30)</f>
        <v>1716.5943564794959</v>
      </c>
      <c r="F931" s="794" t="str">
        <f>IF(2*E931/COS(ATAN(input!BP30))/input!N30&lt;=5.7*SQRT(Es/input!BI30),"C","S")</f>
        <v>S</v>
      </c>
      <c r="G931" s="483">
        <f>IF(input!AJ30=1,0.2*input!M30,IF(input!AJ30=2,0.25*input!M30,0))</f>
        <v>700</v>
      </c>
      <c r="H931" s="575">
        <f>input!M30</f>
        <v>2800</v>
      </c>
      <c r="I931" s="21">
        <f t="shared" si="94"/>
        <v>-0.63861745538257608</v>
      </c>
      <c r="J931" s="21">
        <f>IF(input!AJ30=0,9/(E931/H931)^2,IF(input!AJ30=1,IF(AND(C931&lt;=0,D931&lt;=0),7.2,IF(G931/E931&gt;=0.4,MAX(5.17/(G931/H931)^2,9/(E931/H931)^2),11.64/((E931-G931)/H931)^2)),IF(I931&gt;=-1,247.8*((G931/E931)^1.8)*(1-I931)^2.7,247.8*(1-I931)^0.32)))</f>
        <v>187.05331398745426</v>
      </c>
      <c r="K931" s="21">
        <f>MIN(0.9*Es*J931/(input!BQ30/input!N30)^2,O343*input!BI30,input!BK30/0.7)</f>
        <v>379.55057740545942</v>
      </c>
      <c r="L931" s="819" t="str">
        <f t="shared" si="95"/>
        <v>OK</v>
      </c>
      <c r="M931" s="819">
        <f t="shared" si="96"/>
        <v>7.7989278709606555</v>
      </c>
      <c r="N931" s="819" t="str">
        <f t="shared" si="97"/>
        <v>-</v>
      </c>
      <c r="O931" s="1840" t="str">
        <f t="shared" si="98"/>
        <v>-</v>
      </c>
      <c r="T931" s="73"/>
      <c r="U931" s="73"/>
      <c r="V931" s="73"/>
      <c r="W931" s="73"/>
      <c r="X931" s="73"/>
      <c r="Y931" s="73"/>
      <c r="Z931" s="73"/>
      <c r="AA931" s="73"/>
      <c r="AD931" s="143"/>
      <c r="AE931" s="143"/>
      <c r="AF931" s="143"/>
      <c r="AG931" s="143"/>
      <c r="AH931" s="143"/>
      <c r="AI931" s="143"/>
      <c r="AJ931" s="143"/>
      <c r="AK931" s="143"/>
      <c r="AL931" s="143"/>
      <c r="AM931" s="143"/>
      <c r="AN931" s="143"/>
      <c r="AO931" s="143"/>
      <c r="AP931" s="143"/>
      <c r="AQ931" s="143"/>
      <c r="AR931" s="143"/>
      <c r="AS931" s="143"/>
    </row>
    <row r="932" spans="1:45" ht="15" customHeight="1">
      <c r="A932" s="482" t="str">
        <f t="shared" si="92"/>
        <v>115i</v>
      </c>
      <c r="B932" s="1019" t="str">
        <f t="shared" si="93"/>
        <v>Positive</v>
      </c>
      <c r="C932" s="595">
        <f>Stress!D860</f>
        <v>-61.587966040607078</v>
      </c>
      <c r="D932" s="595">
        <f>Stress!E860</f>
        <v>46.780264316365532</v>
      </c>
      <c r="E932" s="575">
        <f>IF(B932="Positive",input!CL31-input!H31,input!CU31-input!K31)</f>
        <v>1592.0322950661719</v>
      </c>
      <c r="F932" s="794" t="str">
        <f>IF(2*E932/COS(ATAN(input!BP31))/input!N31&lt;=5.7*SQRT(Es/input!BI31),"C","S")</f>
        <v>S</v>
      </c>
      <c r="G932" s="483">
        <f>IF(input!AJ31=1,0.2*input!M31,IF(input!AJ31=2,0.25*input!M31,0))</f>
        <v>700</v>
      </c>
      <c r="H932" s="575">
        <f>input!M31</f>
        <v>2800</v>
      </c>
      <c r="I932" s="21">
        <f t="shared" si="94"/>
        <v>-0.75956826185040249</v>
      </c>
      <c r="J932" s="21">
        <f>IF(input!AJ31=0,9/(E932/H932)^2,IF(input!AJ31=1,IF(AND(C932&lt;=0,D932&lt;=0),7.2,IF(G932/E932&gt;=0.4,MAX(5.17/(G932/H932)^2,9/(E932/H932)^2),11.64/((E932-G932)/H932)^2)),IF(I932&gt;=-1,247.8*((G932/E932)^1.8)*(1-I932)^2.7,247.8*(1-I932)^0.32)))</f>
        <v>259.63361813859171</v>
      </c>
      <c r="K932" s="21">
        <f>MIN(0.9*Es*J932/(input!BQ31/input!N31)^2,O344*input!BI31,input!BK31/0.7)</f>
        <v>379.4583249094602</v>
      </c>
      <c r="L932" s="819" t="str">
        <f t="shared" si="95"/>
        <v>OK</v>
      </c>
      <c r="M932" s="819">
        <f t="shared" si="96"/>
        <v>6.1612413804877111</v>
      </c>
      <c r="N932" s="819" t="str">
        <f t="shared" si="97"/>
        <v>-</v>
      </c>
      <c r="O932" s="1840" t="str">
        <f t="shared" si="98"/>
        <v>-</v>
      </c>
      <c r="T932" s="73"/>
      <c r="U932" s="73"/>
      <c r="V932" s="73"/>
      <c r="W932" s="73"/>
      <c r="X932" s="73"/>
      <c r="Y932" s="73"/>
      <c r="Z932" s="73"/>
      <c r="AA932" s="73"/>
      <c r="AD932" s="143"/>
      <c r="AE932" s="143"/>
      <c r="AF932" s="143"/>
      <c r="AG932" s="143"/>
      <c r="AH932" s="143"/>
      <c r="AI932" s="143"/>
      <c r="AJ932" s="143"/>
      <c r="AK932" s="143"/>
      <c r="AL932" s="143"/>
      <c r="AM932" s="143"/>
      <c r="AN932" s="143"/>
      <c r="AO932" s="143"/>
      <c r="AP932" s="143"/>
      <c r="AQ932" s="143"/>
      <c r="AR932" s="143"/>
      <c r="AS932" s="143"/>
    </row>
    <row r="933" spans="1:45" ht="15" customHeight="1">
      <c r="A933" s="482" t="str">
        <f t="shared" si="92"/>
        <v>115j</v>
      </c>
      <c r="B933" s="1019" t="str">
        <f t="shared" si="93"/>
        <v>Negative</v>
      </c>
      <c r="C933" s="595">
        <f>Stress!D861</f>
        <v>71.060453080146601</v>
      </c>
      <c r="D933" s="595">
        <f>Stress!E861</f>
        <v>-53.975264832389023</v>
      </c>
      <c r="E933" s="575">
        <f>IF(B933="Positive",input!CL32-input!H32,input!CU32-input!K32)</f>
        <v>1207.9677049338281</v>
      </c>
      <c r="F933" s="794" t="str">
        <f>IF(2*E933/COS(ATAN(input!BP32))/input!N32&lt;=5.7*SQRT(Es/input!BI32),"C","S")</f>
        <v>S</v>
      </c>
      <c r="G933" s="483">
        <f>IF(input!AJ32=1,0.2*input!M32,IF(input!AJ32=2,0.25*input!M32,0))</f>
        <v>700</v>
      </c>
      <c r="H933" s="575">
        <f>input!M32</f>
        <v>2800</v>
      </c>
      <c r="I933" s="21">
        <f t="shared" si="94"/>
        <v>-1.316537367640765</v>
      </c>
      <c r="J933" s="21">
        <f>IF(input!AJ32=0,9/(E933/H933)^2,IF(input!AJ32=1,IF(AND(C933&lt;=0,D933&lt;=0),7.2,IF(G933/E933&gt;=0.4,MAX(5.17/(G933/H933)^2,9/(E933/H933)^2),11.64/((E933-G933)/H933)^2)),IF(I933&gt;=-1,247.8*((G933/E933)^1.8)*(1-I933)^2.7,247.8*(1-I933)^0.32)))</f>
        <v>324.22752512478615</v>
      </c>
      <c r="K933" s="21">
        <f>MIN(0.9*Es*J933/(input!BQ32/input!N32)^2,O345*input!BI32,input!BK32/0.7)</f>
        <v>379.4583249094602</v>
      </c>
      <c r="L933" s="819" t="str">
        <f t="shared" si="95"/>
        <v>-</v>
      </c>
      <c r="M933" s="819" t="str">
        <f t="shared" si="96"/>
        <v>-</v>
      </c>
      <c r="N933" s="819" t="str">
        <f t="shared" si="97"/>
        <v>OK</v>
      </c>
      <c r="O933" s="1840">
        <f t="shared" si="98"/>
        <v>7.0302262728641223</v>
      </c>
      <c r="T933" s="73"/>
      <c r="U933" s="73"/>
      <c r="V933" s="73"/>
      <c r="W933" s="73"/>
      <c r="X933" s="73"/>
      <c r="Y933" s="73"/>
      <c r="Z933" s="73"/>
      <c r="AA933" s="73"/>
      <c r="AD933" s="143"/>
      <c r="AE933" s="143"/>
      <c r="AF933" s="143"/>
      <c r="AG933" s="143"/>
      <c r="AH933" s="143"/>
      <c r="AI933" s="143"/>
      <c r="AJ933" s="143"/>
      <c r="AK933" s="143"/>
      <c r="AL933" s="143"/>
      <c r="AM933" s="143"/>
      <c r="AN933" s="143"/>
      <c r="AO933" s="143"/>
      <c r="AP933" s="143"/>
      <c r="AQ933" s="143"/>
      <c r="AR933" s="143"/>
      <c r="AS933" s="143"/>
    </row>
    <row r="934" spans="1:45" ht="15" customHeight="1">
      <c r="A934" s="482" t="str">
        <f t="shared" si="92"/>
        <v>116i</v>
      </c>
      <c r="B934" s="1019" t="str">
        <f t="shared" si="93"/>
        <v>Negative</v>
      </c>
      <c r="C934" s="595">
        <f>Stress!D862</f>
        <v>56.226483276901263</v>
      </c>
      <c r="D934" s="595">
        <f>Stress!E862</f>
        <v>-43.077150483708564</v>
      </c>
      <c r="E934" s="575">
        <f>IF(B934="Positive",input!CL33-input!H33,input!CU33-input!K33)</f>
        <v>1218.3811124853212</v>
      </c>
      <c r="F934" s="794" t="str">
        <f>IF(2*E934/COS(ATAN(input!BP33))/input!N33&lt;=5.7*SQRT(Es/input!BI33),"C","S")</f>
        <v>S</v>
      </c>
      <c r="G934" s="483">
        <f>IF(input!AJ33=1,0.2*input!M33,IF(input!AJ33=2,0.25*input!M33,0))</f>
        <v>703.5</v>
      </c>
      <c r="H934" s="575">
        <f>input!M33</f>
        <v>2814</v>
      </c>
      <c r="I934" s="21">
        <f t="shared" si="94"/>
        <v>-1.3052507569683764</v>
      </c>
      <c r="J934" s="21">
        <f>IF(input!AJ33=0,9/(E934/H934)^2,IF(input!AJ33=1,IF(AND(C934&lt;=0,D934&lt;=0),7.2,IF(G934/E934&gt;=0.4,MAX(5.17/(G934/H934)^2,9/(E934/H934)^2),11.64/((E934-G934)/H934)^2)),IF(I934&gt;=-1,247.8*((G934/E934)^1.8)*(1-I934)^2.7,247.8*(1-I934)^0.32)))</f>
        <v>323.72118202847417</v>
      </c>
      <c r="K934" s="21">
        <f>MIN(0.9*Es*J934/(input!BQ33/input!N33)^2,O346*input!BI33,input!BK33/0.7)</f>
        <v>379.59020989073042</v>
      </c>
      <c r="L934" s="819" t="str">
        <f t="shared" si="95"/>
        <v>-</v>
      </c>
      <c r="M934" s="819" t="str">
        <f t="shared" si="96"/>
        <v>-</v>
      </c>
      <c r="N934" s="819" t="str">
        <f t="shared" si="97"/>
        <v>OK</v>
      </c>
      <c r="O934" s="1840">
        <f t="shared" si="98"/>
        <v>8.8118690681336602</v>
      </c>
      <c r="T934" s="73"/>
      <c r="U934" s="73"/>
      <c r="V934" s="73"/>
      <c r="W934" s="73"/>
      <c r="X934" s="73"/>
      <c r="Y934" s="73"/>
      <c r="Z934" s="73"/>
      <c r="AA934" s="73"/>
      <c r="AD934" s="143"/>
      <c r="AE934" s="143"/>
      <c r="AF934" s="143"/>
      <c r="AG934" s="143"/>
      <c r="AH934" s="143"/>
      <c r="AI934" s="143"/>
      <c r="AJ934" s="143"/>
      <c r="AK934" s="143"/>
      <c r="AL934" s="143"/>
      <c r="AM934" s="143"/>
      <c r="AN934" s="143"/>
      <c r="AO934" s="143"/>
      <c r="AP934" s="143"/>
      <c r="AQ934" s="143"/>
      <c r="AR934" s="143"/>
      <c r="AS934" s="143"/>
    </row>
    <row r="935" spans="1:45" ht="15" customHeight="1">
      <c r="A935" s="482" t="str">
        <f t="shared" si="92"/>
        <v>116j</v>
      </c>
      <c r="B935" s="1019" t="str">
        <f t="shared" si="93"/>
        <v>Negative</v>
      </c>
      <c r="C935" s="595">
        <f>Stress!D863</f>
        <v>173.91449085073006</v>
      </c>
      <c r="D935" s="595">
        <f>Stress!E863</f>
        <v>-133.24220646664884</v>
      </c>
      <c r="E935" s="575">
        <f>IF(B935="Positive",input!CL34-input!H34,input!CU34-input!K34)</f>
        <v>1218.3811124853212</v>
      </c>
      <c r="F935" s="794" t="str">
        <f>IF(2*E935/COS(ATAN(input!BP34))/input!N34&lt;=5.7*SQRT(Es/input!BI34),"C","S")</f>
        <v>S</v>
      </c>
      <c r="G935" s="483">
        <f>IF(input!AJ34=1,0.2*input!M34,IF(input!AJ34=2,0.25*input!M34,0))</f>
        <v>703.5</v>
      </c>
      <c r="H935" s="575">
        <f>input!M34</f>
        <v>2814</v>
      </c>
      <c r="I935" s="21">
        <f t="shared" si="94"/>
        <v>-1.3052507569683762</v>
      </c>
      <c r="J935" s="21">
        <f>IF(input!AJ34=0,9/(E935/H935)^2,IF(input!AJ34=1,IF(AND(C935&lt;=0,D935&lt;=0),7.2,IF(G935/E935&gt;=0.4,MAX(5.17/(G935/H935)^2,9/(E935/H935)^2),11.64/((E935-G935)/H935)^2)),IF(I935&gt;=-1,247.8*((G935/E935)^1.8)*(1-I935)^2.7,247.8*(1-I935)^0.32)))</f>
        <v>323.72118202847417</v>
      </c>
      <c r="K935" s="21">
        <f>MIN(0.9*Es*J935/(input!BQ34/input!N34)^2,O347*input!BI34,input!BK34/0.7)</f>
        <v>379.59020989073042</v>
      </c>
      <c r="L935" s="819" t="str">
        <f t="shared" si="95"/>
        <v>-</v>
      </c>
      <c r="M935" s="819" t="str">
        <f t="shared" si="96"/>
        <v>-</v>
      </c>
      <c r="N935" s="819" t="str">
        <f t="shared" si="97"/>
        <v>OK</v>
      </c>
      <c r="O935" s="1840">
        <f t="shared" si="98"/>
        <v>2.8488736411442095</v>
      </c>
      <c r="T935" s="73"/>
      <c r="U935" s="73"/>
      <c r="V935" s="73"/>
      <c r="W935" s="73"/>
      <c r="X935" s="73"/>
      <c r="Y935" s="73"/>
      <c r="Z935" s="73"/>
      <c r="AA935" s="73"/>
      <c r="AD935" s="143"/>
      <c r="AE935" s="143"/>
      <c r="AF935" s="143"/>
      <c r="AG935" s="143"/>
      <c r="AH935" s="143"/>
      <c r="AI935" s="143"/>
      <c r="AJ935" s="143"/>
      <c r="AK935" s="143"/>
      <c r="AL935" s="143"/>
      <c r="AM935" s="143"/>
      <c r="AN935" s="143"/>
      <c r="AO935" s="143"/>
      <c r="AP935" s="143"/>
      <c r="AQ935" s="143"/>
      <c r="AR935" s="143"/>
      <c r="AS935" s="143"/>
    </row>
    <row r="936" spans="1:45" ht="15" customHeight="1">
      <c r="A936" s="482" t="str">
        <f t="shared" ref="A936:A965" si="99">A127</f>
        <v>117i</v>
      </c>
      <c r="B936" s="1019" t="str">
        <f t="shared" ref="B936:B965" si="100">IF(C936&lt;=0,"Positive","Negative")</f>
        <v>Negative</v>
      </c>
      <c r="C936" s="595">
        <f>Stress!D864</f>
        <v>105.59054156003751</v>
      </c>
      <c r="D936" s="595">
        <f>Stress!E864</f>
        <v>-69.371399894815028</v>
      </c>
      <c r="E936" s="575">
        <f>IF(B936="Positive",input!CL35-input!H35,input!CU35-input!K35)</f>
        <v>992.160266088664</v>
      </c>
      <c r="F936" s="794" t="str">
        <f>IF(2*E936/COS(ATAN(input!BP35))/input!N35&lt;=5.7*SQRT(Es/input!BI35),"C","S")</f>
        <v>S</v>
      </c>
      <c r="G936" s="483">
        <f>IF(input!AJ35=1,0.2*input!M35,IF(input!AJ35=2,0.25*input!M35,0))</f>
        <v>731</v>
      </c>
      <c r="H936" s="575">
        <f>input!M35</f>
        <v>2924</v>
      </c>
      <c r="I936" s="21">
        <f t="shared" si="94"/>
        <v>-1.5221048114949398</v>
      </c>
      <c r="J936" s="21">
        <f>IF(input!AJ35=0,9/(E936/H936)^2,IF(input!AJ35=1,IF(AND(C936&lt;=0,D936&lt;=0),7.2,IF(G936/E936&gt;=0.4,MAX(5.17/(G936/H936)^2,9/(E936/H936)^2),11.64/((E936-G936)/H936)^2)),IF(I936&gt;=-1,247.8*((G936/E936)^1.8)*(1-I936)^2.7,247.8*(1-I936)^0.32)))</f>
        <v>333.16970466129465</v>
      </c>
      <c r="K936" s="21">
        <f>MIN(0.9*Es*J936/(input!BQ35/input!N35)^2,O348*input!BI35,input!BK35/0.7)</f>
        <v>379.71457390181416</v>
      </c>
      <c r="L936" s="819" t="str">
        <f t="shared" si="95"/>
        <v>-</v>
      </c>
      <c r="M936" s="819" t="str">
        <f t="shared" si="96"/>
        <v>-</v>
      </c>
      <c r="N936" s="819" t="str">
        <f t="shared" si="97"/>
        <v>OK</v>
      </c>
      <c r="O936" s="1840">
        <f t="shared" si="98"/>
        <v>5.473647273625148</v>
      </c>
      <c r="T936" s="73"/>
      <c r="U936" s="73"/>
      <c r="V936" s="73"/>
      <c r="W936" s="73"/>
      <c r="X936" s="73"/>
      <c r="Y936" s="73"/>
      <c r="Z936" s="73"/>
      <c r="AA936" s="73"/>
      <c r="AD936" s="143"/>
      <c r="AE936" s="143"/>
      <c r="AF936" s="143"/>
      <c r="AG936" s="143"/>
      <c r="AH936" s="143"/>
      <c r="AI936" s="143"/>
      <c r="AJ936" s="143"/>
      <c r="AK936" s="143"/>
      <c r="AL936" s="143"/>
      <c r="AM936" s="143"/>
      <c r="AN936" s="143"/>
      <c r="AO936" s="143"/>
      <c r="AP936" s="143"/>
      <c r="AQ936" s="143"/>
      <c r="AR936" s="143"/>
      <c r="AS936" s="143"/>
    </row>
    <row r="937" spans="1:45" ht="15" customHeight="1">
      <c r="A937" s="482" t="str">
        <f t="shared" si="99"/>
        <v>117j</v>
      </c>
      <c r="B937" s="1019" t="str">
        <f t="shared" si="100"/>
        <v>Negative</v>
      </c>
      <c r="C937" s="595">
        <f>Stress!D865</f>
        <v>190.11897531074629</v>
      </c>
      <c r="D937" s="595">
        <f>Stress!E865</f>
        <v>-126.69312784059801</v>
      </c>
      <c r="E937" s="575">
        <f>IF(B937="Positive",input!CL36-input!H36,input!CU36-input!K36)</f>
        <v>992.160266088664</v>
      </c>
      <c r="F937" s="794" t="str">
        <f>IF(2*E937/COS(ATAN(input!BP36))/input!N36&lt;=5.7*SQRT(Es/input!BI36),"C","S")</f>
        <v>S</v>
      </c>
      <c r="G937" s="483">
        <f>IF(input!AJ36=1,0.2*input!M36,IF(input!AJ36=2,0.25*input!M36,0))</f>
        <v>731</v>
      </c>
      <c r="H937" s="575">
        <f>input!M36</f>
        <v>2924</v>
      </c>
      <c r="I937" s="21">
        <f t="shared" si="94"/>
        <v>-1.5006257920315065</v>
      </c>
      <c r="J937" s="21">
        <f>IF(input!AJ36=0,9/(E937/H937)^2,IF(input!AJ36=1,IF(AND(C937&lt;=0,D937&lt;=0),7.2,IF(G937/E937&gt;=0.4,MAX(5.17/(G937/H937)^2,9/(E937/H937)^2),11.64/((E937-G937)/H937)^2)),IF(I937&gt;=-1,247.8*((G937/E937)^1.8)*(1-I937)^2.7,247.8*(1-I937)^0.32)))</f>
        <v>332.25910283036154</v>
      </c>
      <c r="K937" s="21">
        <f>MIN(0.9*Es*J937/(input!BQ36/input!N36)^2,O349*input!BI36,input!BK36/0.7)</f>
        <v>379.71457390181416</v>
      </c>
      <c r="L937" s="819" t="str">
        <f t="shared" si="95"/>
        <v>-</v>
      </c>
      <c r="M937" s="819" t="str">
        <f t="shared" si="96"/>
        <v>-</v>
      </c>
      <c r="N937" s="819" t="str">
        <f t="shared" si="97"/>
        <v>OK</v>
      </c>
      <c r="O937" s="1840">
        <f t="shared" si="98"/>
        <v>2.997120525586527</v>
      </c>
      <c r="T937" s="73"/>
      <c r="U937" s="73"/>
      <c r="V937" s="73"/>
      <c r="W937" s="73"/>
      <c r="X937" s="73"/>
      <c r="Y937" s="73"/>
      <c r="Z937" s="73"/>
      <c r="AA937" s="73"/>
      <c r="AD937" s="143"/>
      <c r="AE937" s="143"/>
      <c r="AF937" s="143"/>
      <c r="AG937" s="143"/>
      <c r="AH937" s="143"/>
      <c r="AI937" s="143"/>
      <c r="AJ937" s="143"/>
      <c r="AK937" s="143"/>
      <c r="AL937" s="143"/>
      <c r="AM937" s="143"/>
      <c r="AN937" s="143"/>
      <c r="AO937" s="143"/>
      <c r="AP937" s="143"/>
      <c r="AQ937" s="143"/>
      <c r="AR937" s="143"/>
      <c r="AS937" s="143"/>
    </row>
    <row r="938" spans="1:45" ht="15" customHeight="1">
      <c r="A938" s="482" t="str">
        <f t="shared" si="99"/>
        <v>118i</v>
      </c>
      <c r="B938" s="1019" t="str">
        <f t="shared" si="100"/>
        <v>Negative</v>
      </c>
      <c r="C938" s="595">
        <f>Stress!D866</f>
        <v>101.41676271675635</v>
      </c>
      <c r="D938" s="595">
        <f>Stress!E866</f>
        <v>-97.76463379416235</v>
      </c>
      <c r="E938" s="575">
        <f>IF(B938="Positive",input!CL37-input!H37,input!CU37-input!K37)</f>
        <v>1289.1605724746928</v>
      </c>
      <c r="F938" s="794" t="str">
        <f>IF(2*E938/COS(ATAN(input!BP37))/input!N37&lt;=5.7*SQRT(Es/input!BI37),"C","S")</f>
        <v>S</v>
      </c>
      <c r="G938" s="483">
        <f>IF(input!AJ37=1,0.2*input!M37,IF(input!AJ37=2,0.25*input!M37,0))</f>
        <v>775.75</v>
      </c>
      <c r="H938" s="575">
        <f>input!M37</f>
        <v>3103</v>
      </c>
      <c r="I938" s="21">
        <f t="shared" si="94"/>
        <v>-1.037356340231206</v>
      </c>
      <c r="J938" s="21">
        <f>IF(input!AJ37=0,9/(E938/H938)^2,IF(input!AJ37=1,IF(AND(C938&lt;=0,D938&lt;=0),7.2,IF(G938/E938&gt;=0.4,MAX(5.17/(G938/H938)^2,9/(E938/H938)^2),11.64/((E938-G938)/H938)^2)),IF(I938&gt;=-1,247.8*((G938/E938)^1.8)*(1-I938)^2.7,247.8*(1-I938)^0.32)))</f>
        <v>311.17359727581089</v>
      </c>
      <c r="K938" s="21">
        <f>MIN(0.9*Es*J938/(input!BQ37/input!N37)^2,O350*input!BI37,input!BK37/0.7)</f>
        <v>379.83589662126923</v>
      </c>
      <c r="L938" s="819" t="str">
        <f t="shared" si="95"/>
        <v>-</v>
      </c>
      <c r="M938" s="819" t="str">
        <f t="shared" si="96"/>
        <v>-</v>
      </c>
      <c r="N938" s="819" t="str">
        <f t="shared" si="97"/>
        <v>OK</v>
      </c>
      <c r="O938" s="1840">
        <f t="shared" si="98"/>
        <v>3.885207583562285</v>
      </c>
      <c r="T938" s="73"/>
      <c r="U938" s="73"/>
      <c r="V938" s="73"/>
      <c r="W938" s="73"/>
      <c r="X938" s="73"/>
      <c r="Y938" s="73"/>
      <c r="Z938" s="73"/>
      <c r="AA938" s="73"/>
      <c r="AD938" s="143"/>
      <c r="AE938" s="143"/>
      <c r="AF938" s="143"/>
      <c r="AG938" s="143"/>
      <c r="AH938" s="143"/>
      <c r="AI938" s="143"/>
      <c r="AJ938" s="143"/>
      <c r="AK938" s="143"/>
      <c r="AL938" s="143"/>
      <c r="AM938" s="143"/>
      <c r="AN938" s="143"/>
      <c r="AO938" s="143"/>
      <c r="AP938" s="143"/>
      <c r="AQ938" s="143"/>
      <c r="AR938" s="143"/>
      <c r="AS938" s="143"/>
    </row>
    <row r="939" spans="1:45" ht="15" customHeight="1">
      <c r="A939" s="482" t="str">
        <f t="shared" si="99"/>
        <v>118j</v>
      </c>
      <c r="B939" s="1019" t="str">
        <f t="shared" si="100"/>
        <v>Negative</v>
      </c>
      <c r="C939" s="595">
        <f>Stress!D867</f>
        <v>136.77731617845615</v>
      </c>
      <c r="D939" s="595">
        <f>Stress!E867</f>
        <v>-133.22269493720955</v>
      </c>
      <c r="E939" s="575">
        <f>IF(B939="Positive",input!CL38-input!H38,input!CU38-input!K38)</f>
        <v>1289.1605724746928</v>
      </c>
      <c r="F939" s="794" t="str">
        <f>IF(2*E939/COS(ATAN(input!BP38))/input!N38&lt;=5.7*SQRT(Es/input!BI38),"C","S")</f>
        <v>S</v>
      </c>
      <c r="G939" s="483">
        <f>IF(input!AJ38=1,0.2*input!M38,IF(input!AJ38=2,0.25*input!M38,0))</f>
        <v>775.75</v>
      </c>
      <c r="H939" s="575">
        <f>input!M38</f>
        <v>3103</v>
      </c>
      <c r="I939" s="21">
        <f t="shared" si="94"/>
        <v>-1.0266817995456552</v>
      </c>
      <c r="J939" s="21">
        <f>IF(input!AJ38=0,9/(E939/H939)^2,IF(input!AJ38=1,IF(AND(C939&lt;=0,D939&lt;=0),7.2,IF(G939/E939&gt;=0.4,MAX(5.17/(G939/H939)^2,9/(E939/H939)^2),11.64/((E939-G939)/H939)^2)),IF(I939&gt;=-1,247.8*((G939/E939)^1.8)*(1-I939)^2.7,247.8*(1-I939)^0.32)))</f>
        <v>310.65094823496014</v>
      </c>
      <c r="K939" s="21">
        <f>MIN(0.9*Es*J939/(input!BQ38/input!N38)^2,O351*input!BI38,input!BK38/0.7)</f>
        <v>379.83589662126923</v>
      </c>
      <c r="L939" s="819" t="str">
        <f t="shared" si="95"/>
        <v>-</v>
      </c>
      <c r="M939" s="819" t="str">
        <f t="shared" si="96"/>
        <v>-</v>
      </c>
      <c r="N939" s="819" t="str">
        <f t="shared" si="97"/>
        <v>OK</v>
      </c>
      <c r="O939" s="1840">
        <f t="shared" si="98"/>
        <v>2.8511350622376561</v>
      </c>
      <c r="T939" s="73"/>
      <c r="U939" s="73"/>
      <c r="V939" s="73"/>
      <c r="W939" s="73"/>
      <c r="X939" s="73"/>
      <c r="Y939" s="73"/>
      <c r="Z939" s="73"/>
      <c r="AA939" s="73"/>
      <c r="AD939" s="143"/>
      <c r="AE939" s="143"/>
      <c r="AF939" s="143"/>
      <c r="AG939" s="143"/>
      <c r="AH939" s="143"/>
      <c r="AI939" s="143"/>
      <c r="AJ939" s="143"/>
      <c r="AK939" s="143"/>
      <c r="AL939" s="143"/>
      <c r="AM939" s="143"/>
      <c r="AN939" s="143"/>
      <c r="AO939" s="143"/>
      <c r="AP939" s="143"/>
      <c r="AQ939" s="143"/>
      <c r="AR939" s="143"/>
      <c r="AS939" s="143"/>
    </row>
    <row r="940" spans="1:45" ht="15" customHeight="1">
      <c r="A940" s="482" t="str">
        <f t="shared" si="99"/>
        <v>119i</v>
      </c>
      <c r="B940" s="1019" t="str">
        <f t="shared" si="100"/>
        <v>Negative</v>
      </c>
      <c r="C940" s="595">
        <f>Stress!D868</f>
        <v>132.53453097774104</v>
      </c>
      <c r="D940" s="595">
        <f>Stress!E868</f>
        <v>-125.99156677886987</v>
      </c>
      <c r="E940" s="575">
        <f>IF(B940="Positive",input!CL39-input!H39,input!CU39-input!K39)</f>
        <v>1288.1358342979815</v>
      </c>
      <c r="F940" s="794" t="str">
        <f>IF(2*E940/COS(ATAN(input!BP39))/input!N39&lt;=5.7*SQRT(Es/input!BI39),"C","S")</f>
        <v>S</v>
      </c>
      <c r="G940" s="483">
        <f>IF(input!AJ39=1,0.2*input!M39,IF(input!AJ39=2,0.25*input!M39,0))</f>
        <v>800</v>
      </c>
      <c r="H940" s="575">
        <f>input!M39</f>
        <v>3200</v>
      </c>
      <c r="I940" s="21">
        <f t="shared" si="94"/>
        <v>-1.0519317631024849</v>
      </c>
      <c r="J940" s="21">
        <f>IF(input!AJ39=0,9/(E940/H940)^2,IF(input!AJ39=1,IF(AND(C940&lt;=0,D940&lt;=0),7.2,IF(G940/E940&gt;=0.4,MAX(5.17/(G940/H940)^2,9/(E940/H940)^2),11.64/((E940-G940)/H940)^2)),IF(I940&gt;=-1,247.8*((G940/E940)^1.8)*(1-I940)^2.7,247.8*(1-I940)^0.32)))</f>
        <v>311.88424349430102</v>
      </c>
      <c r="K940" s="21">
        <f>MIN(0.9*Es*J940/(input!BQ39/input!N39)^2,O352*input!BI39,input!BK39/0.7)</f>
        <v>379.82766143697751</v>
      </c>
      <c r="L940" s="819" t="str">
        <f t="shared" si="95"/>
        <v>-</v>
      </c>
      <c r="M940" s="819" t="str">
        <f t="shared" si="96"/>
        <v>-</v>
      </c>
      <c r="N940" s="819" t="str">
        <f t="shared" si="97"/>
        <v>OK</v>
      </c>
      <c r="O940" s="1840">
        <f t="shared" si="98"/>
        <v>3.0147070248250829</v>
      </c>
      <c r="T940" s="73"/>
      <c r="U940" s="73"/>
      <c r="V940" s="73"/>
      <c r="W940" s="73"/>
      <c r="X940" s="73"/>
      <c r="Y940" s="73"/>
      <c r="Z940" s="73"/>
      <c r="AA940" s="73"/>
      <c r="AD940" s="143"/>
      <c r="AE940" s="143"/>
      <c r="AF940" s="143"/>
      <c r="AG940" s="143"/>
      <c r="AH940" s="143"/>
      <c r="AI940" s="143"/>
      <c r="AJ940" s="143"/>
      <c r="AK940" s="143"/>
      <c r="AL940" s="143"/>
      <c r="AM940" s="143"/>
      <c r="AN940" s="143"/>
      <c r="AO940" s="143"/>
      <c r="AP940" s="143"/>
      <c r="AQ940" s="143"/>
      <c r="AR940" s="143"/>
      <c r="AS940" s="143"/>
    </row>
    <row r="941" spans="1:45" ht="15" customHeight="1">
      <c r="A941" s="482" t="str">
        <f t="shared" si="99"/>
        <v>119j</v>
      </c>
      <c r="B941" s="1019" t="str">
        <f t="shared" si="100"/>
        <v>Negative</v>
      </c>
      <c r="C941" s="595">
        <f>Stress!D869</f>
        <v>148.26948555692721</v>
      </c>
      <c r="D941" s="595">
        <f>Stress!E869</f>
        <v>-141.64342527974492</v>
      </c>
      <c r="E941" s="575">
        <f>IF(B941="Positive",input!CL40-input!H40,input!CU40-input!K40)</f>
        <v>1288.1358342979815</v>
      </c>
      <c r="F941" s="794" t="str">
        <f>IF(2*E941/COS(ATAN(input!BP40))/input!N40&lt;=5.7*SQRT(Es/input!BI40),"C","S")</f>
        <v>S</v>
      </c>
      <c r="G941" s="483">
        <f>IF(input!AJ40=1,0.2*input!M40,IF(input!AJ40=2,0.25*input!M40,0))</f>
        <v>800</v>
      </c>
      <c r="H941" s="575">
        <f>input!M40</f>
        <v>3200</v>
      </c>
      <c r="I941" s="21">
        <f t="shared" si="94"/>
        <v>-1.0467798647490758</v>
      </c>
      <c r="J941" s="21">
        <f>IF(input!AJ40=0,9/(E941/H941)^2,IF(input!AJ40=1,IF(AND(C941&lt;=0,D941&lt;=0),7.2,IF(G941/E941&gt;=0.4,MAX(5.17/(G941/H941)^2,9/(E941/H941)^2),11.64/((E941-G941)/H941)^2)),IF(I941&gt;=-1,247.8*((G941/E941)^1.8)*(1-I941)^2.7,247.8*(1-I941)^0.32)))</f>
        <v>311.6334484870253</v>
      </c>
      <c r="K941" s="21">
        <f>MIN(0.9*Es*J941/(input!BQ40/input!N40)^2,O353*input!BI40,input!BK40/0.7)</f>
        <v>379.82766143697751</v>
      </c>
      <c r="L941" s="819" t="str">
        <f t="shared" si="95"/>
        <v>-</v>
      </c>
      <c r="M941" s="819" t="str">
        <f t="shared" si="96"/>
        <v>-</v>
      </c>
      <c r="N941" s="819" t="str">
        <f t="shared" si="97"/>
        <v>OK</v>
      </c>
      <c r="O941" s="1840">
        <f t="shared" si="98"/>
        <v>2.6815763646411415</v>
      </c>
      <c r="T941" s="73"/>
      <c r="U941" s="73"/>
      <c r="V941" s="73"/>
      <c r="W941" s="73"/>
      <c r="X941" s="73"/>
      <c r="Y941" s="73"/>
      <c r="Z941" s="73"/>
      <c r="AA941" s="73"/>
      <c r="AD941" s="143"/>
      <c r="AE941" s="143"/>
      <c r="AF941" s="143"/>
      <c r="AG941" s="143"/>
      <c r="AH941" s="143"/>
      <c r="AI941" s="143"/>
      <c r="AJ941" s="143"/>
      <c r="AK941" s="143"/>
      <c r="AL941" s="143"/>
      <c r="AM941" s="143"/>
      <c r="AN941" s="143"/>
      <c r="AO941" s="143"/>
      <c r="AP941" s="143"/>
      <c r="AQ941" s="143"/>
      <c r="AR941" s="143"/>
      <c r="AS941" s="143"/>
    </row>
    <row r="942" spans="1:45" ht="15" customHeight="1">
      <c r="A942" s="482" t="str">
        <f t="shared" si="99"/>
        <v>120i</v>
      </c>
      <c r="B942" s="1019" t="str">
        <f t="shared" si="100"/>
        <v>Negative</v>
      </c>
      <c r="C942" s="595">
        <f>Stress!D870</f>
        <v>148.26960795280615</v>
      </c>
      <c r="D942" s="595">
        <f>Stress!E870</f>
        <v>-141.64350793631337</v>
      </c>
      <c r="E942" s="575">
        <f>IF(B942="Positive",input!CL41-input!H41,input!CU41-input!K41)</f>
        <v>1288.1358342979815</v>
      </c>
      <c r="F942" s="794" t="str">
        <f>IF(2*E942/COS(ATAN(input!BP41))/input!N41&lt;=5.7*SQRT(Es/input!BI41),"C","S")</f>
        <v>S</v>
      </c>
      <c r="G942" s="483">
        <f>IF(input!AJ41=1,0.2*input!M41,IF(input!AJ41=2,0.25*input!M41,0))</f>
        <v>800</v>
      </c>
      <c r="H942" s="575">
        <f>input!M41</f>
        <v>3200</v>
      </c>
      <c r="I942" s="21">
        <f t="shared" si="94"/>
        <v>-1.0467801180091647</v>
      </c>
      <c r="J942" s="21">
        <f>IF(input!AJ41=0,9/(E942/H942)^2,IF(input!AJ41=1,IF(AND(C942&lt;=0,D942&lt;=0),7.2,IF(G942/E942&gt;=0.4,MAX(5.17/(G942/H942)^2,9/(E942/H942)^2),11.64/((E942-G942)/H942)^2)),IF(I942&gt;=-1,247.8*((G942/E942)^1.8)*(1-I942)^2.7,247.8*(1-I942)^0.32)))</f>
        <v>311.63346082630034</v>
      </c>
      <c r="K942" s="21">
        <f>MIN(0.9*Es*J942/(input!BQ41/input!N41)^2,O354*input!BI41,input!BK41/0.7)</f>
        <v>379.82766143697751</v>
      </c>
      <c r="L942" s="819" t="str">
        <f t="shared" si="95"/>
        <v>-</v>
      </c>
      <c r="M942" s="819" t="str">
        <f t="shared" si="96"/>
        <v>-</v>
      </c>
      <c r="N942" s="819" t="str">
        <f t="shared" si="97"/>
        <v>OK</v>
      </c>
      <c r="O942" s="1840">
        <f t="shared" si="98"/>
        <v>2.681574799797799</v>
      </c>
      <c r="T942" s="73"/>
      <c r="U942" s="73"/>
      <c r="V942" s="73"/>
      <c r="W942" s="73"/>
      <c r="X942" s="73"/>
      <c r="Y942" s="73"/>
      <c r="Z942" s="73"/>
      <c r="AA942" s="73"/>
      <c r="AD942" s="143"/>
      <c r="AE942" s="143"/>
      <c r="AF942" s="143"/>
      <c r="AG942" s="143"/>
      <c r="AH942" s="143"/>
      <c r="AI942" s="143"/>
      <c r="AJ942" s="143"/>
      <c r="AK942" s="143"/>
      <c r="AL942" s="143"/>
      <c r="AM942" s="143"/>
      <c r="AN942" s="143"/>
      <c r="AO942" s="143"/>
      <c r="AP942" s="143"/>
      <c r="AQ942" s="143"/>
      <c r="AR942" s="143"/>
      <c r="AS942" s="143"/>
    </row>
    <row r="943" spans="1:45" ht="15" customHeight="1">
      <c r="A943" s="482" t="str">
        <f t="shared" si="99"/>
        <v>120j</v>
      </c>
      <c r="B943" s="1019" t="str">
        <f t="shared" si="100"/>
        <v>Negative</v>
      </c>
      <c r="C943" s="595">
        <f>Stress!D871</f>
        <v>135.88633655415651</v>
      </c>
      <c r="D943" s="595">
        <f>Stress!E871</f>
        <v>-129.35699623484572</v>
      </c>
      <c r="E943" s="575">
        <f>IF(B943="Positive",input!CL42-input!H42,input!CU42-input!K42)</f>
        <v>1288.1358342979815</v>
      </c>
      <c r="F943" s="794" t="str">
        <f>IF(2*E943/COS(ATAN(input!BP42))/input!N42&lt;=5.7*SQRT(Es/input!BI42),"C","S")</f>
        <v>S</v>
      </c>
      <c r="G943" s="483">
        <f>IF(input!AJ42=1,0.2*input!M42,IF(input!AJ42=2,0.25*input!M42,0))</f>
        <v>800</v>
      </c>
      <c r="H943" s="575">
        <f>input!M42</f>
        <v>3200</v>
      </c>
      <c r="I943" s="21">
        <f t="shared" si="94"/>
        <v>-1.0504753550975849</v>
      </c>
      <c r="J943" s="21">
        <f>IF(input!AJ42=0,9/(E943/H943)^2,IF(input!AJ42=1,IF(AND(C943&lt;=0,D943&lt;=0),7.2,IF(G943/E943&gt;=0.4,MAX(5.17/(G943/H943)^2,9/(E943/H943)^2),11.64/((E943-G943)/H943)^2)),IF(I943&gt;=-1,247.8*((G943/E943)^1.8)*(1-I943)^2.7,247.8*(1-I943)^0.32)))</f>
        <v>311.81338883887952</v>
      </c>
      <c r="K943" s="21">
        <f>MIN(0.9*Es*J943/(input!BQ42/input!N42)^2,O355*input!BI42,input!BK42/0.7)</f>
        <v>379.82766143697751</v>
      </c>
      <c r="L943" s="819" t="str">
        <f t="shared" si="95"/>
        <v>-</v>
      </c>
      <c r="M943" s="819" t="str">
        <f t="shared" si="96"/>
        <v>-</v>
      </c>
      <c r="N943" s="819" t="str">
        <f t="shared" si="97"/>
        <v>OK</v>
      </c>
      <c r="O943" s="1840">
        <f t="shared" si="98"/>
        <v>2.9362745927356411</v>
      </c>
      <c r="T943" s="73"/>
      <c r="U943" s="73"/>
      <c r="V943" s="73"/>
      <c r="W943" s="73"/>
      <c r="X943" s="73"/>
      <c r="Y943" s="73"/>
      <c r="Z943" s="73"/>
      <c r="AA943" s="73"/>
      <c r="AD943" s="143"/>
      <c r="AE943" s="143"/>
      <c r="AF943" s="143"/>
      <c r="AG943" s="143"/>
      <c r="AH943" s="143"/>
      <c r="AI943" s="143"/>
      <c r="AJ943" s="143"/>
      <c r="AK943" s="143"/>
      <c r="AL943" s="143"/>
      <c r="AM943" s="143"/>
      <c r="AN943" s="143"/>
      <c r="AO943" s="143"/>
      <c r="AP943" s="143"/>
      <c r="AQ943" s="143"/>
      <c r="AR943" s="143"/>
      <c r="AS943" s="143"/>
    </row>
    <row r="944" spans="1:45" ht="15" customHeight="1">
      <c r="A944" s="482" t="str">
        <f t="shared" si="99"/>
        <v>121i</v>
      </c>
      <c r="B944" s="1019" t="str">
        <f t="shared" si="100"/>
        <v>Negative</v>
      </c>
      <c r="C944" s="595">
        <f>Stress!D872</f>
        <v>140.23644996885517</v>
      </c>
      <c r="D944" s="595">
        <f>Stress!E872</f>
        <v>-136.76807524343602</v>
      </c>
      <c r="E944" s="575">
        <f>IF(B944="Positive",input!CL43-input!H43,input!CU43-input!K43)</f>
        <v>1289.1605724746928</v>
      </c>
      <c r="F944" s="794" t="str">
        <f>IF(2*E944/COS(ATAN(input!BP43))/input!N43&lt;=5.7*SQRT(Es/input!BI43),"C","S")</f>
        <v>S</v>
      </c>
      <c r="G944" s="483">
        <f>IF(input!AJ43=1,0.2*input!M43,IF(input!AJ43=2,0.25*input!M43,0))</f>
        <v>775.75</v>
      </c>
      <c r="H944" s="575">
        <f>input!M43</f>
        <v>3103</v>
      </c>
      <c r="I944" s="21">
        <f t="shared" si="94"/>
        <v>-1.0253595345203603</v>
      </c>
      <c r="J944" s="21">
        <f>IF(input!AJ43=0,9/(E944/H944)^2,IF(input!AJ43=1,IF(AND(C944&lt;=0,D944&lt;=0),7.2,IF(G944/E944&gt;=0.4,MAX(5.17/(G944/H944)^2,9/(E944/H944)^2),11.64/((E944-G944)/H944)^2)),IF(I944&gt;=-1,247.8*((G944/E944)^1.8)*(1-I944)^2.7,247.8*(1-I944)^0.32)))</f>
        <v>310.58607702960961</v>
      </c>
      <c r="K944" s="21">
        <f>MIN(0.9*Es*J944/(input!BQ43/input!N43)^2,O356*input!BI43,input!BK43/0.7)</f>
        <v>379.83589662126923</v>
      </c>
      <c r="L944" s="819" t="str">
        <f t="shared" si="95"/>
        <v>-</v>
      </c>
      <c r="M944" s="819" t="str">
        <f t="shared" si="96"/>
        <v>-</v>
      </c>
      <c r="N944" s="819" t="str">
        <f t="shared" si="97"/>
        <v>OK</v>
      </c>
      <c r="O944" s="1840">
        <f t="shared" si="98"/>
        <v>2.7772263077124713</v>
      </c>
      <c r="T944" s="73"/>
      <c r="U944" s="73"/>
      <c r="V944" s="73"/>
      <c r="W944" s="73"/>
      <c r="X944" s="73"/>
      <c r="Y944" s="73"/>
      <c r="Z944" s="73"/>
      <c r="AA944" s="73"/>
      <c r="AD944" s="143"/>
      <c r="AE944" s="143"/>
      <c r="AF944" s="143"/>
      <c r="AG944" s="143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  <c r="AR944" s="143"/>
      <c r="AS944" s="143"/>
    </row>
    <row r="945" spans="1:45" ht="15" customHeight="1">
      <c r="A945" s="482" t="str">
        <f t="shared" si="99"/>
        <v>121j</v>
      </c>
      <c r="B945" s="1019" t="str">
        <f t="shared" si="100"/>
        <v>Negative</v>
      </c>
      <c r="C945" s="595">
        <f>Stress!D873</f>
        <v>112.94627367341826</v>
      </c>
      <c r="D945" s="595">
        <f>Stress!E873</f>
        <v>-109.57994496527135</v>
      </c>
      <c r="E945" s="575">
        <f>IF(B945="Positive",input!CL44-input!H44,input!CU44-input!K44)</f>
        <v>1289.1605724746928</v>
      </c>
      <c r="F945" s="794" t="str">
        <f>IF(2*E945/COS(ATAN(input!BP44))/input!N44&lt;=5.7*SQRT(Es/input!BI44),"C","S")</f>
        <v>S</v>
      </c>
      <c r="G945" s="483">
        <f>IF(input!AJ44=1,0.2*input!M44,IF(input!AJ44=2,0.25*input!M44,0))</f>
        <v>775.75</v>
      </c>
      <c r="H945" s="575">
        <f>input!M44</f>
        <v>3103</v>
      </c>
      <c r="I945" s="21">
        <f t="shared" si="94"/>
        <v>-1.0307202993140194</v>
      </c>
      <c r="J945" s="21">
        <f>IF(input!AJ44=0,9/(E945/H945)^2,IF(input!AJ44=1,IF(AND(C945&lt;=0,D945&lt;=0),7.2,IF(G945/E945&gt;=0.4,MAX(5.17/(G945/H945)^2,9/(E945/H945)^2),11.64/((E945-G945)/H945)^2)),IF(I945&gt;=-1,247.8*((G945/E945)^1.8)*(1-I945)^2.7,247.8*(1-I945)^0.32)))</f>
        <v>310.84890171813254</v>
      </c>
      <c r="K945" s="21">
        <f>MIN(0.9*Es*J945/(input!BQ44/input!N44)^2,O357*input!BI44,input!BK44/0.7)</f>
        <v>379.83589662126923</v>
      </c>
      <c r="L945" s="819" t="str">
        <f t="shared" si="95"/>
        <v>-</v>
      </c>
      <c r="M945" s="819" t="str">
        <f t="shared" si="96"/>
        <v>-</v>
      </c>
      <c r="N945" s="819" t="str">
        <f t="shared" si="97"/>
        <v>OK</v>
      </c>
      <c r="O945" s="1840">
        <f t="shared" si="98"/>
        <v>3.4662902663589472</v>
      </c>
      <c r="T945" s="73"/>
      <c r="U945" s="73"/>
      <c r="V945" s="73"/>
      <c r="W945" s="73"/>
      <c r="X945" s="73"/>
      <c r="Y945" s="73"/>
      <c r="Z945" s="73"/>
      <c r="AA945" s="73"/>
      <c r="AD945" s="143"/>
      <c r="AE945" s="143"/>
      <c r="AF945" s="143"/>
      <c r="AG945" s="143"/>
      <c r="AH945" s="143"/>
      <c r="AI945" s="143"/>
      <c r="AJ945" s="143"/>
      <c r="AK945" s="143"/>
      <c r="AL945" s="143"/>
      <c r="AM945" s="143"/>
      <c r="AN945" s="143"/>
      <c r="AO945" s="143"/>
      <c r="AP945" s="143"/>
      <c r="AQ945" s="143"/>
      <c r="AR945" s="143"/>
      <c r="AS945" s="143"/>
    </row>
    <row r="946" spans="1:45" ht="15" customHeight="1">
      <c r="A946" s="482" t="str">
        <f t="shared" si="99"/>
        <v>122i</v>
      </c>
      <c r="B946" s="1019" t="str">
        <f t="shared" si="100"/>
        <v>Negative</v>
      </c>
      <c r="C946" s="595">
        <f>Stress!D874</f>
        <v>195.35240037707553</v>
      </c>
      <c r="D946" s="595">
        <f>Stress!E874</f>
        <v>-135.3665913393416</v>
      </c>
      <c r="E946" s="575">
        <f>IF(B946="Positive",input!CL45-input!H45,input!CU45-input!K45)</f>
        <v>1020.7982698583066</v>
      </c>
      <c r="F946" s="794" t="str">
        <f>IF(2*E946/COS(ATAN(input!BP45))/input!N45&lt;=5.7*SQRT(Es/input!BI45),"C","S")</f>
        <v>S</v>
      </c>
      <c r="G946" s="483">
        <f>IF(input!AJ45=1,0.2*input!M45,IF(input!AJ45=2,0.25*input!M45,0))</f>
        <v>731</v>
      </c>
      <c r="H946" s="575">
        <f>input!M45</f>
        <v>2924</v>
      </c>
      <c r="I946" s="21">
        <f t="shared" si="94"/>
        <v>-1.4431359942229722</v>
      </c>
      <c r="J946" s="21">
        <f>IF(input!AJ45=0,9/(E946/H946)^2,IF(input!AJ45=1,IF(AND(C946&lt;=0,D946&lt;=0),7.2,IF(G946/E946&gt;=0.4,MAX(5.17/(G946/H946)^2,9/(E946/H946)^2),11.64/((E946-G946)/H946)^2)),IF(I946&gt;=-1,247.8*((G946/E946)^1.8)*(1-I946)^2.7,247.8*(1-I946)^0.32)))</f>
        <v>329.79536486115967</v>
      </c>
      <c r="K946" s="21">
        <f>MIN(0.9*Es*J946/(input!BQ45/input!N45)^2,O358*input!BI45,input!BK45/0.7)</f>
        <v>379.74348556207576</v>
      </c>
      <c r="L946" s="819" t="str">
        <f t="shared" si="95"/>
        <v>-</v>
      </c>
      <c r="M946" s="819" t="str">
        <f t="shared" si="96"/>
        <v>-</v>
      </c>
      <c r="N946" s="819" t="str">
        <f t="shared" si="97"/>
        <v>OK</v>
      </c>
      <c r="O946" s="1840">
        <f t="shared" si="98"/>
        <v>2.805296948123055</v>
      </c>
      <c r="T946" s="73"/>
      <c r="U946" s="73"/>
      <c r="V946" s="73"/>
      <c r="W946" s="73"/>
      <c r="X946" s="73"/>
      <c r="Y946" s="73"/>
      <c r="Z946" s="73"/>
      <c r="AA946" s="73"/>
      <c r="AD946" s="143"/>
      <c r="AE946" s="14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</row>
    <row r="947" spans="1:45" ht="15" customHeight="1">
      <c r="A947" s="482" t="str">
        <f t="shared" si="99"/>
        <v>122j</v>
      </c>
      <c r="B947" s="1019" t="str">
        <f t="shared" si="100"/>
        <v>Negative</v>
      </c>
      <c r="C947" s="595">
        <f>Stress!D875</f>
        <v>137.36490277605083</v>
      </c>
      <c r="D947" s="595">
        <f>Stress!E875</f>
        <v>-95.212095715053394</v>
      </c>
      <c r="E947" s="575">
        <f>IF(B947="Positive",input!CL46-input!H46,input!CU46-input!K46)</f>
        <v>1020.7982698583066</v>
      </c>
      <c r="F947" s="794" t="str">
        <f>IF(2*E947/COS(ATAN(input!BP46))/input!N46&lt;=5.7*SQRT(Es/input!BI46),"C","S")</f>
        <v>S</v>
      </c>
      <c r="G947" s="483">
        <f>IF(input!AJ46=1,0.2*input!M46,IF(input!AJ46=2,0.25*input!M46,0))</f>
        <v>731</v>
      </c>
      <c r="H947" s="575">
        <f>input!M46</f>
        <v>2924</v>
      </c>
      <c r="I947" s="21">
        <f t="shared" si="94"/>
        <v>-1.4427253359399894</v>
      </c>
      <c r="J947" s="21">
        <f>IF(input!AJ46=0,9/(E947/H947)^2,IF(input!AJ46=1,IF(AND(C947&lt;=0,D947&lt;=0),7.2,IF(G947/E947&gt;=0.4,MAX(5.17/(G947/H947)^2,9/(E947/H947)^2),11.64/((E947-G947)/H947)^2)),IF(I947&gt;=-1,247.8*((G947/E947)^1.8)*(1-I947)^2.7,247.8*(1-I947)^0.32)))</f>
        <v>329.77762491522162</v>
      </c>
      <c r="K947" s="21">
        <f>MIN(0.9*Es*J947/(input!BQ46/input!N46)^2,O359*input!BI46,input!BK46/0.7)</f>
        <v>379.74348556207576</v>
      </c>
      <c r="L947" s="819" t="str">
        <f t="shared" si="95"/>
        <v>-</v>
      </c>
      <c r="M947" s="819" t="str">
        <f t="shared" si="96"/>
        <v>-</v>
      </c>
      <c r="N947" s="819" t="str">
        <f t="shared" si="97"/>
        <v>OK</v>
      </c>
      <c r="O947" s="1840">
        <f t="shared" si="98"/>
        <v>3.9883954103747019</v>
      </c>
      <c r="T947" s="73"/>
      <c r="U947" s="73"/>
      <c r="V947" s="73"/>
      <c r="W947" s="73"/>
      <c r="X947" s="73"/>
      <c r="Y947" s="73"/>
      <c r="Z947" s="73"/>
      <c r="AA947" s="73"/>
      <c r="AD947" s="143"/>
      <c r="AE947" s="143"/>
      <c r="AF947" s="143"/>
      <c r="AG947" s="143"/>
      <c r="AH947" s="143"/>
      <c r="AI947" s="143"/>
      <c r="AJ947" s="143"/>
      <c r="AK947" s="143"/>
      <c r="AL947" s="143"/>
      <c r="AM947" s="143"/>
      <c r="AN947" s="143"/>
      <c r="AO947" s="143"/>
      <c r="AP947" s="143"/>
      <c r="AQ947" s="143"/>
      <c r="AR947" s="143"/>
      <c r="AS947" s="143"/>
    </row>
    <row r="948" spans="1:45" ht="15" customHeight="1">
      <c r="A948" s="482" t="str">
        <f t="shared" si="99"/>
        <v>123i</v>
      </c>
      <c r="B948" s="1019" t="str">
        <f t="shared" si="100"/>
        <v>Negative</v>
      </c>
      <c r="C948" s="595">
        <f>Stress!D876</f>
        <v>181.5717713727631</v>
      </c>
      <c r="D948" s="595">
        <f>Stress!E876</f>
        <v>-153.30009082338759</v>
      </c>
      <c r="E948" s="575">
        <f>IF(B948="Positive",input!CL47-input!H47,input!CU47-input!K47)</f>
        <v>1290.2586178341855</v>
      </c>
      <c r="F948" s="794" t="str">
        <f>IF(2*E948/COS(ATAN(input!BP47))/input!N47&lt;=5.7*SQRT(Es/input!BI47),"C","S")</f>
        <v>S</v>
      </c>
      <c r="G948" s="483">
        <f>IF(input!AJ47=1,0.2*input!M47,IF(input!AJ47=2,0.25*input!M47,0))</f>
        <v>703.5</v>
      </c>
      <c r="H948" s="575">
        <f>input!M47</f>
        <v>2814</v>
      </c>
      <c r="I948" s="21">
        <f t="shared" si="94"/>
        <v>-1.1844205074995451</v>
      </c>
      <c r="J948" s="21">
        <f>IF(input!AJ47=0,9/(E948/H948)^2,IF(input!AJ47=1,IF(AND(C948&lt;=0,D948&lt;=0),7.2,IF(G948/E948&gt;=0.4,MAX(5.17/(G948/H948)^2,9/(E948/H948)^2),11.64/((E948-G948)/H948)^2)),IF(I948&gt;=-1,247.8*((G948/E948)^1.8)*(1-I948)^2.7,247.8*(1-I948)^0.32)))</f>
        <v>318.19173922269891</v>
      </c>
      <c r="K948" s="21">
        <f>MIN(0.9*Es*J948/(input!BQ47/input!N47)^2,O360*input!BI47,input!BK47/0.7)</f>
        <v>379.72812323033014</v>
      </c>
      <c r="L948" s="819" t="str">
        <f t="shared" si="95"/>
        <v>-</v>
      </c>
      <c r="M948" s="819" t="str">
        <f t="shared" si="96"/>
        <v>-</v>
      </c>
      <c r="N948" s="819" t="str">
        <f t="shared" si="97"/>
        <v>OK</v>
      </c>
      <c r="O948" s="1840">
        <f t="shared" si="98"/>
        <v>2.4770247766376308</v>
      </c>
      <c r="T948" s="73"/>
      <c r="U948" s="73"/>
      <c r="V948" s="73"/>
      <c r="W948" s="73"/>
      <c r="X948" s="73"/>
      <c r="Y948" s="73"/>
      <c r="Z948" s="73"/>
      <c r="AA948" s="73"/>
      <c r="AD948" s="143"/>
      <c r="AE948" s="143"/>
      <c r="AF948" s="143"/>
      <c r="AG948" s="143"/>
      <c r="AH948" s="143"/>
      <c r="AI948" s="143"/>
      <c r="AJ948" s="143"/>
      <c r="AK948" s="143"/>
      <c r="AL948" s="143"/>
      <c r="AM948" s="143"/>
      <c r="AN948" s="143"/>
      <c r="AO948" s="143"/>
      <c r="AP948" s="143"/>
      <c r="AQ948" s="143"/>
      <c r="AR948" s="143"/>
      <c r="AS948" s="143"/>
    </row>
    <row r="949" spans="1:45" ht="15" customHeight="1">
      <c r="A949" s="482" t="str">
        <f t="shared" si="99"/>
        <v>123j</v>
      </c>
      <c r="B949" s="1019" t="str">
        <f t="shared" si="100"/>
        <v>Negative</v>
      </c>
      <c r="C949" s="595">
        <f>Stress!D877</f>
        <v>120.68945206524526</v>
      </c>
      <c r="D949" s="595">
        <f>Stress!E877</f>
        <v>-101.89746910076326</v>
      </c>
      <c r="E949" s="575">
        <f>IF(B949="Positive",input!CL48-input!H48,input!CU48-input!K48)</f>
        <v>1290.2586178341855</v>
      </c>
      <c r="F949" s="794" t="str">
        <f>IF(2*E949/COS(ATAN(input!BP48))/input!N48&lt;=5.7*SQRT(Es/input!BI48),"C","S")</f>
        <v>S</v>
      </c>
      <c r="G949" s="483">
        <f>IF(input!AJ48=1,0.2*input!M48,IF(input!AJ48=2,0.25*input!M48,0))</f>
        <v>703.5</v>
      </c>
      <c r="H949" s="575">
        <f>input!M48</f>
        <v>2814</v>
      </c>
      <c r="I949" s="21">
        <f t="shared" si="94"/>
        <v>-1.1844205074995453</v>
      </c>
      <c r="J949" s="21">
        <f>IF(input!AJ48=0,9/(E949/H949)^2,IF(input!AJ48=1,IF(AND(C949&lt;=0,D949&lt;=0),7.2,IF(G949/E949&gt;=0.4,MAX(5.17/(G949/H949)^2,9/(E949/H949)^2),11.64/((E949-G949)/H949)^2)),IF(I949&gt;=-1,247.8*((G949/E949)^1.8)*(1-I949)^2.7,247.8*(1-I949)^0.32)))</f>
        <v>318.19173922269891</v>
      </c>
      <c r="K949" s="21">
        <f>MIN(0.9*Es*J949/(input!BQ48/input!N48)^2,O361*input!BI48,input!BK48/0.7)</f>
        <v>379.72812323033014</v>
      </c>
      <c r="L949" s="819" t="str">
        <f t="shared" si="95"/>
        <v>-</v>
      </c>
      <c r="M949" s="819" t="str">
        <f t="shared" si="96"/>
        <v>-</v>
      </c>
      <c r="N949" s="819" t="str">
        <f t="shared" si="97"/>
        <v>OK</v>
      </c>
      <c r="O949" s="1840">
        <f t="shared" si="98"/>
        <v>3.7265707046642027</v>
      </c>
      <c r="T949" s="73"/>
      <c r="U949" s="73"/>
      <c r="V949" s="73"/>
      <c r="W949" s="73"/>
      <c r="X949" s="73"/>
      <c r="Y949" s="73"/>
      <c r="Z949" s="73"/>
      <c r="AA949" s="73"/>
      <c r="AD949" s="143"/>
      <c r="AE949" s="143"/>
      <c r="AF949" s="143"/>
      <c r="AG949" s="143"/>
      <c r="AH949" s="143"/>
      <c r="AI949" s="143"/>
      <c r="AJ949" s="143"/>
      <c r="AK949" s="143"/>
      <c r="AL949" s="143"/>
      <c r="AM949" s="143"/>
      <c r="AN949" s="143"/>
      <c r="AO949" s="143"/>
      <c r="AP949" s="143"/>
      <c r="AQ949" s="143"/>
      <c r="AR949" s="143"/>
      <c r="AS949" s="143"/>
    </row>
    <row r="950" spans="1:45" ht="15" customHeight="1">
      <c r="A950" s="482" t="str">
        <f t="shared" si="99"/>
        <v>124i</v>
      </c>
      <c r="B950" s="1019" t="str">
        <f t="shared" si="100"/>
        <v>Negative</v>
      </c>
      <c r="C950" s="595">
        <f>Stress!D878</f>
        <v>182.00878918606219</v>
      </c>
      <c r="D950" s="595">
        <f>Stress!E878</f>
        <v>-128.24113402576765</v>
      </c>
      <c r="E950" s="575">
        <f>IF(B950="Positive",input!CL49-input!H49,input!CU49-input!K49)</f>
        <v>1154.0413293572146</v>
      </c>
      <c r="F950" s="794" t="str">
        <f>IF(2*E950/COS(ATAN(input!BP49))/input!N49&lt;=5.7*SQRT(Es/input!BI49),"C","S")</f>
        <v>S</v>
      </c>
      <c r="G950" s="483">
        <f>IF(input!AJ49=1,0.2*input!M49,IF(input!AJ49=2,0.25*input!M49,0))</f>
        <v>700</v>
      </c>
      <c r="H950" s="575">
        <f>input!M49</f>
        <v>2800</v>
      </c>
      <c r="I950" s="21">
        <f t="shared" si="94"/>
        <v>-1.4192699602102001</v>
      </c>
      <c r="J950" s="21">
        <f>IF(input!AJ49=0,9/(E950/H950)^2,IF(input!AJ49=1,IF(AND(C950&lt;=0,D950&lt;=0),7.2,IF(G950/E950&gt;=0.4,MAX(5.17/(G950/H950)^2,9/(E950/H950)^2),11.64/((E950-G950)/H950)^2)),IF(I950&gt;=-1,247.8*((G950/E950)^1.8)*(1-I950)^2.7,247.8*(1-I950)^0.32)))</f>
        <v>328.76099680774274</v>
      </c>
      <c r="K950" s="21">
        <f>MIN(0.9*Es*J950/(input!BQ49/input!N49)^2,O362*input!BI49,input!BK49/0.7)</f>
        <v>379.51243286979144</v>
      </c>
      <c r="L950" s="819" t="str">
        <f t="shared" si="95"/>
        <v>-</v>
      </c>
      <c r="M950" s="819" t="str">
        <f t="shared" si="96"/>
        <v>-</v>
      </c>
      <c r="N950" s="819" t="str">
        <f t="shared" si="97"/>
        <v>OK</v>
      </c>
      <c r="O950" s="1840">
        <f t="shared" si="98"/>
        <v>2.9593658520949724</v>
      </c>
      <c r="T950" s="73"/>
      <c r="U950" s="73"/>
      <c r="V950" s="73"/>
      <c r="W950" s="73"/>
      <c r="X950" s="73"/>
      <c r="Y950" s="73"/>
      <c r="Z950" s="73"/>
      <c r="AA950" s="73"/>
      <c r="AD950" s="143"/>
      <c r="AE950" s="143"/>
      <c r="AF950" s="143"/>
      <c r="AG950" s="143"/>
      <c r="AH950" s="143"/>
      <c r="AI950" s="143"/>
      <c r="AJ950" s="143"/>
      <c r="AK950" s="143"/>
      <c r="AL950" s="143"/>
      <c r="AM950" s="143"/>
      <c r="AN950" s="143"/>
      <c r="AO950" s="143"/>
      <c r="AP950" s="143"/>
      <c r="AQ950" s="143"/>
      <c r="AR950" s="143"/>
      <c r="AS950" s="143"/>
    </row>
    <row r="951" spans="1:45" ht="15" customHeight="1">
      <c r="A951" s="482" t="str">
        <f t="shared" si="99"/>
        <v>124j</v>
      </c>
      <c r="B951" s="1019" t="str">
        <f t="shared" si="100"/>
        <v>Negative</v>
      </c>
      <c r="C951" s="595">
        <f>Stress!D879</f>
        <v>105.10838141560447</v>
      </c>
      <c r="D951" s="595">
        <f>Stress!E879</f>
        <v>-74.058061089405044</v>
      </c>
      <c r="E951" s="575">
        <f>IF(B951="Positive",input!CL50-input!H50,input!CU50-input!K50)</f>
        <v>1154.0413293572146</v>
      </c>
      <c r="F951" s="794" t="str">
        <f>IF(2*E951/COS(ATAN(input!BP50))/input!N50&lt;=5.7*SQRT(Es/input!BI50),"C","S")</f>
        <v>S</v>
      </c>
      <c r="G951" s="483">
        <f>IF(input!AJ50=1,0.2*input!M50,IF(input!AJ50=2,0.25*input!M50,0))</f>
        <v>700</v>
      </c>
      <c r="H951" s="575">
        <f>input!M50</f>
        <v>2800</v>
      </c>
      <c r="I951" s="21">
        <f t="shared" si="94"/>
        <v>-1.4192699602102001</v>
      </c>
      <c r="J951" s="21">
        <f>IF(input!AJ50=0,9/(E951/H951)^2,IF(input!AJ50=1,IF(AND(C951&lt;=0,D951&lt;=0),7.2,IF(G951/E951&gt;=0.4,MAX(5.17/(G951/H951)^2,9/(E951/H951)^2),11.64/((E951-G951)/H951)^2)),IF(I951&gt;=-1,247.8*((G951/E951)^1.8)*(1-I951)^2.7,247.8*(1-I951)^0.32)))</f>
        <v>328.76099680774274</v>
      </c>
      <c r="K951" s="21">
        <f>MIN(0.9*Es*J951/(input!BQ50/input!N50)^2,O363*input!BI50,input!BK50/0.7)</f>
        <v>379.51243286979144</v>
      </c>
      <c r="L951" s="819" t="str">
        <f t="shared" si="95"/>
        <v>-</v>
      </c>
      <c r="M951" s="819" t="str">
        <f t="shared" si="96"/>
        <v>-</v>
      </c>
      <c r="N951" s="819" t="str">
        <f t="shared" si="97"/>
        <v>OK</v>
      </c>
      <c r="O951" s="1840">
        <f t="shared" si="98"/>
        <v>5.1245256395739691</v>
      </c>
      <c r="T951" s="73"/>
      <c r="U951" s="73"/>
      <c r="V951" s="73"/>
      <c r="W951" s="73"/>
      <c r="X951" s="73"/>
      <c r="Y951" s="73"/>
      <c r="Z951" s="73"/>
      <c r="AA951" s="73"/>
      <c r="AD951" s="143"/>
      <c r="AE951" s="143"/>
      <c r="AF951" s="143"/>
      <c r="AG951" s="143"/>
      <c r="AH951" s="143"/>
      <c r="AI951" s="143"/>
      <c r="AJ951" s="143"/>
      <c r="AK951" s="143"/>
      <c r="AL951" s="143"/>
      <c r="AM951" s="143"/>
      <c r="AN951" s="143"/>
      <c r="AO951" s="143"/>
      <c r="AP951" s="143"/>
      <c r="AQ951" s="143"/>
      <c r="AR951" s="143"/>
      <c r="AS951" s="143"/>
    </row>
    <row r="952" spans="1:45" ht="15" customHeight="1">
      <c r="A952" s="971" t="str">
        <f t="shared" si="99"/>
        <v>125i</v>
      </c>
      <c r="B952" s="1020" t="str">
        <f t="shared" si="100"/>
        <v>Negative</v>
      </c>
      <c r="C952" s="998">
        <f>Stress!D880</f>
        <v>118.80735870848579</v>
      </c>
      <c r="D952" s="998">
        <f>Stress!E880</f>
        <v>-90.242298949241828</v>
      </c>
      <c r="E952" s="575">
        <f>IF(B952="Positive",input!CL51-input!H51,input!CU51-input!K51)</f>
        <v>1207.9677049338281</v>
      </c>
      <c r="F952" s="794" t="str">
        <f>IF(2*E952/COS(ATAN(input!BP51))/input!N51&lt;=5.7*SQRT(Es/input!BI51),"C","S")</f>
        <v>S</v>
      </c>
      <c r="G952" s="483">
        <f>IF(input!AJ51=1,0.2*input!M51,IF(input!AJ51=2,0.25*input!M51,0))</f>
        <v>700</v>
      </c>
      <c r="H952" s="575">
        <f>input!M51</f>
        <v>2800</v>
      </c>
      <c r="I952" s="21">
        <f t="shared" si="94"/>
        <v>-1.3165373676407648</v>
      </c>
      <c r="J952" s="21">
        <f>IF(input!AJ51=0,9/(E952/H952)^2,IF(input!AJ51=1,IF(AND(C952&lt;=0,D952&lt;=0),7.2,IF(G952/E952&gt;=0.4,MAX(5.17/(G952/H952)^2,9/(E952/H952)^2),11.64/((E952-G952)/H952)^2)),IF(I952&gt;=-1,247.8*((G952/E952)^1.8)*(1-I952)^2.7,247.8*(1-I952)^0.32)))</f>
        <v>324.2275251247861</v>
      </c>
      <c r="K952" s="21">
        <f>MIN(0.9*Es*J952/(input!BQ51/input!N51)^2,O364*input!BI51,input!BK51/0.7)</f>
        <v>379.4583249094602</v>
      </c>
      <c r="L952" s="819" t="str">
        <f t="shared" si="95"/>
        <v>-</v>
      </c>
      <c r="M952" s="819" t="str">
        <f t="shared" si="96"/>
        <v>-</v>
      </c>
      <c r="N952" s="819" t="str">
        <f t="shared" si="97"/>
        <v>OK</v>
      </c>
      <c r="O952" s="1840">
        <f t="shared" si="98"/>
        <v>4.2048831792604533</v>
      </c>
      <c r="T952" s="73"/>
      <c r="U952" s="73"/>
      <c r="V952" s="73"/>
      <c r="W952" s="73"/>
      <c r="X952" s="73"/>
      <c r="Y952" s="73"/>
      <c r="Z952" s="73"/>
      <c r="AA952" s="73"/>
      <c r="AD952" s="143"/>
      <c r="AE952" s="143"/>
      <c r="AF952" s="143"/>
      <c r="AG952" s="143"/>
      <c r="AH952" s="143"/>
      <c r="AI952" s="143"/>
      <c r="AJ952" s="143"/>
      <c r="AK952" s="143"/>
      <c r="AL952" s="143"/>
      <c r="AM952" s="143"/>
      <c r="AN952" s="143"/>
      <c r="AO952" s="143"/>
      <c r="AP952" s="143"/>
      <c r="AQ952" s="143"/>
      <c r="AR952" s="143"/>
      <c r="AS952" s="143"/>
    </row>
    <row r="953" spans="1:45" ht="15" customHeight="1">
      <c r="A953" s="979" t="str">
        <f t="shared" si="99"/>
        <v>125j</v>
      </c>
      <c r="B953" s="1021" t="str">
        <f t="shared" si="100"/>
        <v>Negative</v>
      </c>
      <c r="C953" s="1004">
        <f>Stress!D881</f>
        <v>54.732700876711668</v>
      </c>
      <c r="D953" s="1004">
        <f>Stress!E881</f>
        <v>-41.573222471301882</v>
      </c>
      <c r="E953" s="575">
        <f>IF(B953="Positive",input!CL52-input!H52,input!CU52-input!K52)</f>
        <v>1207.9677049338281</v>
      </c>
      <c r="F953" s="794" t="str">
        <f>IF(2*E953/COS(ATAN(input!BP52))/input!N52&lt;=5.7*SQRT(Es/input!BI52),"C","S")</f>
        <v>S</v>
      </c>
      <c r="G953" s="483">
        <f>IF(input!AJ52=1,0.2*input!M52,IF(input!AJ52=2,0.25*input!M52,0))</f>
        <v>700</v>
      </c>
      <c r="H953" s="575">
        <f>input!M52</f>
        <v>2800</v>
      </c>
      <c r="I953" s="21">
        <f t="shared" si="94"/>
        <v>-1.3165373676407648</v>
      </c>
      <c r="J953" s="21">
        <f>IF(input!AJ52=0,9/(E953/H953)^2,IF(input!AJ52=1,IF(AND(C953&lt;=0,D953&lt;=0),7.2,IF(G953/E953&gt;=0.4,MAX(5.17/(G953/H953)^2,9/(E953/H953)^2),11.64/((E953-G953)/H953)^2)),IF(I953&gt;=-1,247.8*((G953/E953)^1.8)*(1-I953)^2.7,247.8*(1-I953)^0.32)))</f>
        <v>324.2275251247861</v>
      </c>
      <c r="K953" s="21">
        <f>MIN(0.9*Es*J953/(input!BQ52/input!N52)^2,O365*input!BI52,input!BK52/0.7)</f>
        <v>379.4583249094602</v>
      </c>
      <c r="L953" s="819" t="str">
        <f t="shared" si="95"/>
        <v>-</v>
      </c>
      <c r="M953" s="819" t="str">
        <f t="shared" si="96"/>
        <v>-</v>
      </c>
      <c r="N953" s="819" t="str">
        <f t="shared" si="97"/>
        <v>OK</v>
      </c>
      <c r="O953" s="1840">
        <f t="shared" si="98"/>
        <v>9.1274696151206793</v>
      </c>
      <c r="T953" s="73"/>
      <c r="U953" s="73"/>
      <c r="V953" s="73"/>
      <c r="W953" s="73"/>
      <c r="X953" s="73"/>
      <c r="Y953" s="73"/>
      <c r="Z953" s="73"/>
      <c r="AA953" s="73"/>
      <c r="AD953" s="143"/>
      <c r="AE953" s="143"/>
      <c r="AF953" s="143"/>
      <c r="AG953" s="143"/>
      <c r="AH953" s="143"/>
      <c r="AI953" s="143"/>
      <c r="AJ953" s="143"/>
      <c r="AK953" s="143"/>
      <c r="AL953" s="143"/>
      <c r="AM953" s="143"/>
      <c r="AN953" s="143"/>
      <c r="AO953" s="143"/>
      <c r="AP953" s="143"/>
      <c r="AQ953" s="143"/>
      <c r="AR953" s="143"/>
      <c r="AS953" s="143"/>
    </row>
    <row r="954" spans="1:45" ht="15" customHeight="1">
      <c r="A954" s="482" t="str">
        <f t="shared" si="99"/>
        <v>126i</v>
      </c>
      <c r="B954" s="1019" t="str">
        <f t="shared" si="100"/>
        <v>Negative</v>
      </c>
      <c r="C954" s="595">
        <f>Stress!D882</f>
        <v>54.732700876711668</v>
      </c>
      <c r="D954" s="595">
        <f>Stress!E882</f>
        <v>-41.573222471301882</v>
      </c>
      <c r="E954" s="575">
        <f>IF(B954="Positive",input!CL53-input!H53,input!CU53-input!K53)</f>
        <v>1207.9677049338281</v>
      </c>
      <c r="F954" s="794" t="str">
        <f>IF(2*E954/COS(ATAN(input!BP53))/input!N53&lt;=5.7*SQRT(Es/input!BI53),"C","S")</f>
        <v>S</v>
      </c>
      <c r="G954" s="483">
        <f>IF(input!AJ53=1,0.2*input!M53,IF(input!AJ53=2,0.25*input!M53,0))</f>
        <v>700</v>
      </c>
      <c r="H954" s="575">
        <f>input!M53</f>
        <v>2800</v>
      </c>
      <c r="I954" s="21">
        <f t="shared" si="94"/>
        <v>-1.3165373676407648</v>
      </c>
      <c r="J954" s="21">
        <f>IF(input!AJ53=0,9/(E954/H954)^2,IF(input!AJ53=1,IF(AND(C954&lt;=0,D954&lt;=0),7.2,IF(G954/E954&gt;=0.4,MAX(5.17/(G954/H954)^2,9/(E954/H954)^2),11.64/((E954-G954)/H954)^2)),IF(I954&gt;=-1,247.8*((G954/E954)^1.8)*(1-I954)^2.7,247.8*(1-I954)^0.32)))</f>
        <v>324.2275251247861</v>
      </c>
      <c r="K954" s="21">
        <f>MIN(0.9*Es*J954/(input!BQ53/input!N53)^2,O366*input!BI53,input!BK53/0.7)</f>
        <v>379.4583249094602</v>
      </c>
      <c r="L954" s="819" t="str">
        <f t="shared" si="95"/>
        <v>-</v>
      </c>
      <c r="M954" s="819" t="str">
        <f t="shared" si="96"/>
        <v>-</v>
      </c>
      <c r="N954" s="819" t="str">
        <f t="shared" si="97"/>
        <v>OK</v>
      </c>
      <c r="O954" s="1840">
        <f t="shared" si="98"/>
        <v>9.1274696151206793</v>
      </c>
      <c r="T954" s="73"/>
      <c r="U954" s="73"/>
      <c r="V954" s="73"/>
      <c r="W954" s="73"/>
      <c r="X954" s="73"/>
      <c r="Y954" s="73"/>
      <c r="Z954" s="73"/>
      <c r="AA954" s="73"/>
      <c r="AD954" s="143"/>
      <c r="AE954" s="14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</row>
    <row r="955" spans="1:45" ht="15" customHeight="1">
      <c r="A955" s="482" t="str">
        <f t="shared" si="99"/>
        <v>126j</v>
      </c>
      <c r="B955" s="1019" t="str">
        <f t="shared" si="100"/>
        <v>Negative</v>
      </c>
      <c r="C955" s="595">
        <f>Stress!D883</f>
        <v>6.3753641260380745</v>
      </c>
      <c r="D955" s="595">
        <f>Stress!E883</f>
        <v>-4.8425242478781501</v>
      </c>
      <c r="E955" s="575">
        <f>IF(B955="Positive",input!CL54-input!H54,input!CU54-input!K54)</f>
        <v>1207.9677049338281</v>
      </c>
      <c r="F955" s="794" t="str">
        <f>IF(2*E955/COS(ATAN(input!BP54))/input!N54&lt;=5.7*SQRT(Es/input!BI54),"C","S")</f>
        <v>S</v>
      </c>
      <c r="G955" s="483">
        <f>IF(input!AJ54=1,0.2*input!M54,IF(input!AJ54=2,0.25*input!M54,0))</f>
        <v>700</v>
      </c>
      <c r="H955" s="575">
        <f>input!M54</f>
        <v>2800</v>
      </c>
      <c r="I955" s="21">
        <f t="shared" si="94"/>
        <v>-1.3165373676407648</v>
      </c>
      <c r="J955" s="21">
        <f>IF(input!AJ54=0,9/(E955/H955)^2,IF(input!AJ54=1,IF(AND(C955&lt;=0,D955&lt;=0),7.2,IF(G955/E955&gt;=0.4,MAX(5.17/(G955/H955)^2,9/(E955/H955)^2),11.64/((E955-G955)/H955)^2)),IF(I955&gt;=-1,247.8*((G955/E955)^1.8)*(1-I955)^2.7,247.8*(1-I955)^0.32)))</f>
        <v>324.2275251247861</v>
      </c>
      <c r="K955" s="21">
        <f>MIN(0.9*Es*J955/(input!BQ54/input!N54)^2,O367*input!BI54,input!BK54/0.7)</f>
        <v>379.4583249094602</v>
      </c>
      <c r="L955" s="819" t="str">
        <f t="shared" si="95"/>
        <v>-</v>
      </c>
      <c r="M955" s="819" t="str">
        <f t="shared" si="96"/>
        <v>-</v>
      </c>
      <c r="N955" s="819" t="str">
        <f t="shared" si="97"/>
        <v>OK</v>
      </c>
      <c r="O955" s="1840">
        <f t="shared" si="98"/>
        <v>78.359612773385194</v>
      </c>
      <c r="T955" s="73"/>
      <c r="U955" s="73"/>
      <c r="V955" s="73"/>
      <c r="W955" s="73"/>
      <c r="X955" s="73"/>
      <c r="Y955" s="73"/>
      <c r="Z955" s="73"/>
      <c r="AA955" s="73"/>
      <c r="AD955" s="143"/>
      <c r="AE955" s="143"/>
      <c r="AF955" s="143"/>
      <c r="AG955" s="143"/>
      <c r="AH955" s="143"/>
      <c r="AI955" s="143"/>
      <c r="AJ955" s="143"/>
      <c r="AK955" s="143"/>
      <c r="AL955" s="143"/>
      <c r="AM955" s="143"/>
      <c r="AN955" s="143"/>
      <c r="AO955" s="143"/>
      <c r="AP955" s="143"/>
      <c r="AQ955" s="143"/>
      <c r="AR955" s="143"/>
      <c r="AS955" s="143"/>
    </row>
    <row r="956" spans="1:45" ht="15" customHeight="1">
      <c r="A956" s="482" t="str">
        <f t="shared" si="99"/>
        <v>127i</v>
      </c>
      <c r="B956" s="1019" t="str">
        <f t="shared" si="100"/>
        <v>Negative</v>
      </c>
      <c r="C956" s="595">
        <f>Stress!D884</f>
        <v>6.833395799993057</v>
      </c>
      <c r="D956" s="595">
        <f>Stress!E884</f>
        <v>-6.5311181896425641</v>
      </c>
      <c r="E956" s="575">
        <f>IF(B956="Positive",input!CL55-input!H55,input!CU55-input!K55)</f>
        <v>1373.97301446291</v>
      </c>
      <c r="F956" s="794" t="str">
        <f>IF(2*E956/COS(ATAN(input!BP55))/input!N55&lt;=5.7*SQRT(Es/input!BI55),"C","S")</f>
        <v>S</v>
      </c>
      <c r="G956" s="483">
        <f>IF(input!AJ55=1,0.2*input!M55,IF(input!AJ55=2,0.25*input!M55,0))</f>
        <v>700</v>
      </c>
      <c r="H956" s="575">
        <f>input!M55</f>
        <v>2800</v>
      </c>
      <c r="I956" s="21">
        <f t="shared" si="94"/>
        <v>-1.0462826734371249</v>
      </c>
      <c r="J956" s="21">
        <f>IF(input!AJ55=0,9/(E956/H956)^2,IF(input!AJ55=1,IF(AND(C956&lt;=0,D956&lt;=0),7.2,IF(G956/E956&gt;=0.4,MAX(5.17/(G956/H956)^2,9/(E956/H956)^2),11.64/((E956-G956)/H956)^2)),IF(I956&gt;=-1,247.8*((G956/E956)^1.8)*(1-I956)^2.7,247.8*(1-I956)^0.32)))</f>
        <v>311.60922245365646</v>
      </c>
      <c r="K956" s="21">
        <f>MIN(0.9*Es*J956/(input!BQ55/input!N55)^2,O368*input!BI55,input!BK55/0.7)</f>
        <v>379.50317749469554</v>
      </c>
      <c r="L956" s="819" t="str">
        <f t="shared" si="95"/>
        <v>-</v>
      </c>
      <c r="M956" s="819" t="str">
        <f t="shared" si="96"/>
        <v>-</v>
      </c>
      <c r="N956" s="819" t="str">
        <f t="shared" si="97"/>
        <v>OK</v>
      </c>
      <c r="O956" s="1840">
        <f t="shared" si="98"/>
        <v>58.106922348539683</v>
      </c>
      <c r="T956" s="73"/>
      <c r="U956" s="73"/>
      <c r="V956" s="73"/>
      <c r="W956" s="73"/>
      <c r="X956" s="73"/>
      <c r="Y956" s="73"/>
      <c r="Z956" s="73"/>
      <c r="AA956" s="73"/>
      <c r="AD956" s="143"/>
      <c r="AE956" s="143"/>
      <c r="AF956" s="143"/>
      <c r="AG956" s="143"/>
      <c r="AH956" s="143"/>
      <c r="AI956" s="143"/>
      <c r="AJ956" s="143"/>
      <c r="AK956" s="143"/>
      <c r="AL956" s="143"/>
      <c r="AM956" s="143"/>
      <c r="AN956" s="143"/>
      <c r="AO956" s="143"/>
      <c r="AP956" s="143"/>
      <c r="AQ956" s="143"/>
      <c r="AR956" s="143"/>
      <c r="AS956" s="143"/>
    </row>
    <row r="957" spans="1:45" ht="15" customHeight="1">
      <c r="A957" s="482" t="str">
        <f t="shared" si="99"/>
        <v>127j</v>
      </c>
      <c r="B957" s="1019" t="str">
        <f t="shared" si="100"/>
        <v>Positive</v>
      </c>
      <c r="C957" s="595">
        <f>Stress!D885</f>
        <v>-22.047176849028361</v>
      </c>
      <c r="D957" s="595">
        <f>Stress!E885</f>
        <v>21.071912408337575</v>
      </c>
      <c r="E957" s="575">
        <f>IF(B957="Positive",input!CL56-input!H56,input!CU56-input!K56)</f>
        <v>1426.02698553709</v>
      </c>
      <c r="F957" s="794" t="str">
        <f>IF(2*E957/COS(ATAN(input!BP56))/input!N56&lt;=5.7*SQRT(Es/input!BI56),"C","S")</f>
        <v>S</v>
      </c>
      <c r="G957" s="483">
        <f>IF(input!AJ56=1,0.2*input!M56,IF(input!AJ56=2,0.25*input!M56,0))</f>
        <v>700</v>
      </c>
      <c r="H957" s="575">
        <f>input!M56</f>
        <v>2800</v>
      </c>
      <c r="I957" s="21">
        <f t="shared" si="94"/>
        <v>-0.95576465651955944</v>
      </c>
      <c r="J957" s="21">
        <f>IF(input!AJ56=0,9/(E957/H957)^2,IF(input!AJ56=1,IF(AND(C957&lt;=0,D957&lt;=0),7.2,IF(G957/E957&gt;=0.4,MAX(5.17/(G957/H957)^2,9/(E957/H957)^2),11.64/((E957-G957)/H957)^2)),IF(I957&gt;=-1,247.8*((G957/E957)^1.8)*(1-I957)^2.7,247.8*(1-I957)^0.32)))</f>
        <v>421.11686781846839</v>
      </c>
      <c r="K957" s="21">
        <f>MIN(0.9*Es*J957/(input!BQ56/input!N56)^2,O369*input!BI56,input!BK56/0.7)</f>
        <v>379.50317749469554</v>
      </c>
      <c r="L957" s="819" t="str">
        <f t="shared" si="95"/>
        <v>OK</v>
      </c>
      <c r="M957" s="819">
        <f t="shared" si="96"/>
        <v>17.213232337791158</v>
      </c>
      <c r="N957" s="819" t="str">
        <f t="shared" si="97"/>
        <v>-</v>
      </c>
      <c r="O957" s="1840" t="str">
        <f t="shared" si="98"/>
        <v>-</v>
      </c>
      <c r="T957" s="73"/>
      <c r="U957" s="73"/>
      <c r="V957" s="73"/>
      <c r="W957" s="73"/>
      <c r="X957" s="73"/>
      <c r="Y957" s="73"/>
      <c r="Z957" s="73"/>
      <c r="AA957" s="73"/>
      <c r="AD957" s="143"/>
      <c r="AE957" s="143"/>
      <c r="AF957" s="143"/>
      <c r="AG957" s="143"/>
      <c r="AH957" s="143"/>
      <c r="AI957" s="143"/>
      <c r="AJ957" s="143"/>
      <c r="AK957" s="143"/>
      <c r="AL957" s="143"/>
      <c r="AM957" s="143"/>
      <c r="AN957" s="143"/>
      <c r="AO957" s="143"/>
      <c r="AP957" s="143"/>
      <c r="AQ957" s="143"/>
      <c r="AR957" s="143"/>
      <c r="AS957" s="143"/>
    </row>
    <row r="958" spans="1:45" ht="15" customHeight="1">
      <c r="A958" s="482" t="str">
        <f t="shared" si="99"/>
        <v>128i</v>
      </c>
      <c r="B958" s="1019" t="str">
        <f t="shared" si="100"/>
        <v>Positive</v>
      </c>
      <c r="C958" s="595">
        <f>Stress!D886</f>
        <v>-22.047176849028361</v>
      </c>
      <c r="D958" s="595">
        <f>Stress!E886</f>
        <v>21.587072413656848</v>
      </c>
      <c r="E958" s="575">
        <f>IF(B958="Positive",input!CL57-input!H57,input!CU57-input!K57)</f>
        <v>1426.02698553709</v>
      </c>
      <c r="F958" s="794" t="str">
        <f>IF(2*E958/COS(ATAN(input!BP57))/input!N57&lt;=5.7*SQRT(Es/input!BI57),"C","S")</f>
        <v>S</v>
      </c>
      <c r="G958" s="483">
        <f>IF(input!AJ57=1,0.2*input!M57,IF(input!AJ57=2,0.25*input!M57,0))</f>
        <v>700</v>
      </c>
      <c r="H958" s="575">
        <f>input!M57</f>
        <v>2800</v>
      </c>
      <c r="I958" s="21">
        <f t="shared" si="94"/>
        <v>-0.9791309137436438</v>
      </c>
      <c r="J958" s="21">
        <f>IF(input!AJ57=0,9/(E958/H958)^2,IF(input!AJ57=1,IF(AND(C958&lt;=0,D958&lt;=0),7.2,IF(G958/E958&gt;=0.4,MAX(5.17/(G958/H958)^2,9/(E958/H958)^2),11.64/((E958-G958)/H958)^2)),IF(I958&gt;=-1,247.8*((G958/E958)^1.8)*(1-I958)^2.7,247.8*(1-I958)^0.32)))</f>
        <v>434.83955791205466</v>
      </c>
      <c r="K958" s="21">
        <f>MIN(0.9*Es*J958/(input!BQ57/input!N57)^2,O370*input!BI57,input!BK57/0.7)</f>
        <v>379.50317749469554</v>
      </c>
      <c r="L958" s="819" t="str">
        <f t="shared" si="95"/>
        <v>OK</v>
      </c>
      <c r="M958" s="819">
        <f t="shared" si="96"/>
        <v>17.213232337791158</v>
      </c>
      <c r="N958" s="819" t="str">
        <f t="shared" si="97"/>
        <v>-</v>
      </c>
      <c r="O958" s="1840" t="str">
        <f t="shared" si="98"/>
        <v>-</v>
      </c>
      <c r="T958" s="73"/>
      <c r="U958" s="73"/>
      <c r="V958" s="73"/>
      <c r="W958" s="73"/>
      <c r="X958" s="73"/>
      <c r="Y958" s="73"/>
      <c r="Z958" s="73"/>
      <c r="AA958" s="73"/>
      <c r="AD958" s="143"/>
      <c r="AE958" s="143"/>
      <c r="AF958" s="143"/>
      <c r="AG958" s="143"/>
      <c r="AH958" s="143"/>
      <c r="AI958" s="143"/>
      <c r="AJ958" s="143"/>
      <c r="AK958" s="143"/>
      <c r="AL958" s="143"/>
      <c r="AM958" s="143"/>
      <c r="AN958" s="143"/>
      <c r="AO958" s="143"/>
      <c r="AP958" s="143"/>
      <c r="AQ958" s="143"/>
      <c r="AR958" s="143"/>
      <c r="AS958" s="143"/>
    </row>
    <row r="959" spans="1:45" ht="15" customHeight="1">
      <c r="A959" s="482" t="str">
        <f t="shared" si="99"/>
        <v>128j</v>
      </c>
      <c r="B959" s="1019" t="str">
        <f t="shared" si="100"/>
        <v>Positive</v>
      </c>
      <c r="C959" s="595">
        <f>Stress!D887</f>
        <v>-34.662470817440934</v>
      </c>
      <c r="D959" s="595">
        <f>Stress!E887</f>
        <v>33.129164514950688</v>
      </c>
      <c r="E959" s="575">
        <f>IF(B959="Positive",input!CL58-input!H58,input!CU58-input!K58)</f>
        <v>1426.02698553709</v>
      </c>
      <c r="F959" s="794" t="str">
        <f>IF(2*E959/COS(ATAN(input!BP58))/input!N58&lt;=5.7*SQRT(Es/input!BI58),"C","S")</f>
        <v>S</v>
      </c>
      <c r="G959" s="483">
        <f>IF(input!AJ58=1,0.2*input!M58,IF(input!AJ58=2,0.25*input!M58,0))</f>
        <v>700</v>
      </c>
      <c r="H959" s="575">
        <f>input!M58</f>
        <v>2800</v>
      </c>
      <c r="I959" s="21">
        <f t="shared" si="94"/>
        <v>-0.95576465651955944</v>
      </c>
      <c r="J959" s="21">
        <f>IF(input!AJ58=0,9/(E959/H959)^2,IF(input!AJ58=1,IF(AND(C959&lt;=0,D959&lt;=0),7.2,IF(G959/E959&gt;=0.4,MAX(5.17/(G959/H959)^2,9/(E959/H959)^2),11.64/((E959-G959)/H959)^2)),IF(I959&gt;=-1,247.8*((G959/E959)^1.8)*(1-I959)^2.7,247.8*(1-I959)^0.32)))</f>
        <v>421.11686781846839</v>
      </c>
      <c r="K959" s="21">
        <f>MIN(0.9*Es*J959/(input!BQ58/input!N58)^2,O371*input!BI58,input!BK58/0.7)</f>
        <v>379.50317749469554</v>
      </c>
      <c r="L959" s="819" t="str">
        <f t="shared" si="95"/>
        <v>OK</v>
      </c>
      <c r="M959" s="819">
        <f t="shared" si="96"/>
        <v>10.948532188990489</v>
      </c>
      <c r="N959" s="819" t="str">
        <f t="shared" si="97"/>
        <v>-</v>
      </c>
      <c r="O959" s="1840" t="str">
        <f t="shared" si="98"/>
        <v>-</v>
      </c>
      <c r="T959" s="73"/>
      <c r="U959" s="73"/>
      <c r="V959" s="73"/>
      <c r="W959" s="73"/>
      <c r="X959" s="73"/>
      <c r="Y959" s="73"/>
      <c r="Z959" s="73"/>
      <c r="AA959" s="73"/>
      <c r="AD959" s="143"/>
      <c r="AE959" s="143"/>
      <c r="AF959" s="143"/>
      <c r="AG959" s="143"/>
      <c r="AH959" s="143"/>
      <c r="AI959" s="143"/>
      <c r="AJ959" s="143"/>
      <c r="AK959" s="143"/>
      <c r="AL959" s="143"/>
      <c r="AM959" s="143"/>
      <c r="AN959" s="143"/>
      <c r="AO959" s="143"/>
      <c r="AP959" s="143"/>
      <c r="AQ959" s="143"/>
      <c r="AR959" s="143"/>
      <c r="AS959" s="143"/>
    </row>
    <row r="960" spans="1:45" ht="15" customHeight="1">
      <c r="A960" s="482" t="str">
        <f t="shared" si="99"/>
        <v>129i</v>
      </c>
      <c r="B960" s="1019" t="str">
        <f t="shared" si="100"/>
        <v>Positive</v>
      </c>
      <c r="C960" s="595">
        <f>Stress!D888</f>
        <v>-34.66260469796444</v>
      </c>
      <c r="D960" s="595">
        <f>Stress!E888</f>
        <v>33.129292473223245</v>
      </c>
      <c r="E960" s="575">
        <f>IF(B960="Positive",input!CL59-input!H59,input!CU59-input!K59)</f>
        <v>1426.02698553709</v>
      </c>
      <c r="F960" s="794" t="str">
        <f>IF(2*E960/COS(ATAN(input!BP59))/input!N59&lt;=5.7*SQRT(Es/input!BI59),"C","S")</f>
        <v>S</v>
      </c>
      <c r="G960" s="483">
        <f>IF(input!AJ59=1,0.2*input!M59,IF(input!AJ59=2,0.25*input!M59,0))</f>
        <v>700</v>
      </c>
      <c r="H960" s="575">
        <f>input!M59</f>
        <v>2800</v>
      </c>
      <c r="I960" s="21">
        <f t="shared" si="94"/>
        <v>-0.95576465651955933</v>
      </c>
      <c r="J960" s="21">
        <f>IF(input!AJ59=0,9/(E960/H960)^2,IF(input!AJ59=1,IF(AND(C960&lt;=0,D960&lt;=0),7.2,IF(G960/E960&gt;=0.4,MAX(5.17/(G960/H960)^2,9/(E960/H960)^2),11.64/((E960-G960)/H960)^2)),IF(I960&gt;=-1,247.8*((G960/E960)^1.8)*(1-I960)^2.7,247.8*(1-I960)^0.32)))</f>
        <v>421.11686781846839</v>
      </c>
      <c r="K960" s="21">
        <f>MIN(0.9*Es*J960/(input!BQ59/input!N59)^2,O372*input!BI59,input!BK59/0.7)</f>
        <v>379.50317749469554</v>
      </c>
      <c r="L960" s="819" t="str">
        <f t="shared" si="95"/>
        <v>OK</v>
      </c>
      <c r="M960" s="819">
        <f t="shared" si="96"/>
        <v>10.948489901481116</v>
      </c>
      <c r="N960" s="819" t="str">
        <f t="shared" si="97"/>
        <v>-</v>
      </c>
      <c r="O960" s="1840" t="str">
        <f t="shared" si="98"/>
        <v>-</v>
      </c>
      <c r="T960" s="73"/>
      <c r="U960" s="73"/>
      <c r="V960" s="73"/>
      <c r="W960" s="73"/>
      <c r="X960" s="73"/>
      <c r="Y960" s="73"/>
      <c r="Z960" s="73"/>
      <c r="AA960" s="73"/>
      <c r="AD960" s="143"/>
      <c r="AE960" s="14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  <c r="AR960" s="143"/>
      <c r="AS960" s="143"/>
    </row>
    <row r="961" spans="1:45" ht="15" customHeight="1">
      <c r="A961" s="482" t="str">
        <f t="shared" si="99"/>
        <v>129j</v>
      </c>
      <c r="B961" s="1019" t="str">
        <f t="shared" si="100"/>
        <v>Positive</v>
      </c>
      <c r="C961" s="595">
        <f>Stress!D889</f>
        <v>-17.594980040016605</v>
      </c>
      <c r="D961" s="595">
        <f>Stress!E889</f>
        <v>16.816660054414978</v>
      </c>
      <c r="E961" s="575">
        <f>IF(B961="Positive",input!CL60-input!H60,input!CU60-input!K60)</f>
        <v>1426.02698553709</v>
      </c>
      <c r="F961" s="794" t="str">
        <f>IF(2*E961/COS(ATAN(input!BP60))/input!N60&lt;=5.7*SQRT(Es/input!BI60),"C","S")</f>
        <v>S</v>
      </c>
      <c r="G961" s="483">
        <f>IF(input!AJ60=1,0.2*input!M60,IF(input!AJ60=2,0.25*input!M60,0))</f>
        <v>700</v>
      </c>
      <c r="H961" s="575">
        <f>input!M60</f>
        <v>2800</v>
      </c>
      <c r="I961" s="21">
        <f t="shared" si="94"/>
        <v>-0.95576465651955966</v>
      </c>
      <c r="J961" s="21">
        <f>IF(input!AJ60=0,9/(E961/H961)^2,IF(input!AJ60=1,IF(AND(C961&lt;=0,D961&lt;=0),7.2,IF(G961/E961&gt;=0.4,MAX(5.17/(G961/H961)^2,9/(E961/H961)^2),11.64/((E961-G961)/H961)^2)),IF(I961&gt;=-1,247.8*((G961/E961)^1.8)*(1-I961)^2.7,247.8*(1-I961)^0.32)))</f>
        <v>421.11686781846845</v>
      </c>
      <c r="K961" s="21">
        <f>MIN(0.9*Es*J961/(input!BQ60/input!N60)^2,O373*input!BI60,input!BK60/0.7)</f>
        <v>379.50317749469554</v>
      </c>
      <c r="L961" s="819" t="str">
        <f t="shared" si="95"/>
        <v>OK</v>
      </c>
      <c r="M961" s="819">
        <f t="shared" si="96"/>
        <v>21.568832509703569</v>
      </c>
      <c r="N961" s="819" t="str">
        <f t="shared" si="97"/>
        <v>-</v>
      </c>
      <c r="O961" s="1840" t="str">
        <f t="shared" si="98"/>
        <v>-</v>
      </c>
      <c r="T961" s="73"/>
      <c r="U961" s="73"/>
      <c r="V961" s="73"/>
      <c r="W961" s="73"/>
      <c r="X961" s="73"/>
      <c r="Y961" s="73"/>
      <c r="Z961" s="73"/>
      <c r="AA961" s="73"/>
      <c r="AD961" s="143"/>
      <c r="AE961" s="143"/>
      <c r="AF961" s="143"/>
      <c r="AG961" s="143"/>
      <c r="AH961" s="143"/>
      <c r="AI961" s="143"/>
      <c r="AJ961" s="143"/>
      <c r="AK961" s="143"/>
      <c r="AL961" s="143"/>
      <c r="AM961" s="143"/>
      <c r="AN961" s="143"/>
      <c r="AO961" s="143"/>
      <c r="AP961" s="143"/>
      <c r="AQ961" s="143"/>
      <c r="AR961" s="143"/>
      <c r="AS961" s="143"/>
    </row>
    <row r="962" spans="1:45" ht="15" customHeight="1">
      <c r="A962" s="482" t="str">
        <f t="shared" si="99"/>
        <v>130i</v>
      </c>
      <c r="B962" s="1019" t="str">
        <f t="shared" si="100"/>
        <v>Positive</v>
      </c>
      <c r="C962" s="595">
        <f>Stress!D890</f>
        <v>-19.436278645970077</v>
      </c>
      <c r="D962" s="595">
        <f>Stress!E890</f>
        <v>18.545202789830768</v>
      </c>
      <c r="E962" s="575">
        <f>IF(B962="Positive",input!CL61-input!H61,input!CU61-input!K61)</f>
        <v>1324.8744099058233</v>
      </c>
      <c r="F962" s="794" t="str">
        <f>IF(2*E962/COS(ATAN(input!BP61))/input!N61&lt;=5.7*SQRT(Es/input!BI61),"C","S")</f>
        <v>S</v>
      </c>
      <c r="G962" s="483">
        <f>IF(input!AJ61=1,0.2*input!M61,IF(input!AJ61=2,0.25*input!M61,0))</f>
        <v>650</v>
      </c>
      <c r="H962" s="575">
        <f>input!M61</f>
        <v>2600</v>
      </c>
      <c r="I962" s="21">
        <f t="shared" si="94"/>
        <v>-0.95415398840641419</v>
      </c>
      <c r="J962" s="21">
        <f>IF(input!AJ61=0,9/(E962/H962)^2,IF(input!AJ61=1,IF(AND(C962&lt;=0,D962&lt;=0),7.2,IF(G962/E962&gt;=0.4,MAX(5.17/(G962/H962)^2,9/(E962/H962)^2),11.64/((E962-G962)/H962)^2)),IF(I962&gt;=-1,247.8*((G962/E962)^1.8)*(1-I962)^2.7,247.8*(1-I962)^0.32)))</f>
        <v>419.77790715301131</v>
      </c>
      <c r="K962" s="21">
        <f>MIN(0.9*Es*J962/(input!BQ61/input!N61)^2,O374*input!BI61,input!BK61/0.7)</f>
        <v>379.53157750434622</v>
      </c>
      <c r="L962" s="819" t="str">
        <f t="shared" si="95"/>
        <v>OK</v>
      </c>
      <c r="M962" s="819">
        <f t="shared" si="96"/>
        <v>19.526967297468662</v>
      </c>
      <c r="N962" s="819" t="str">
        <f t="shared" si="97"/>
        <v>-</v>
      </c>
      <c r="O962" s="1840" t="str">
        <f t="shared" si="98"/>
        <v>-</v>
      </c>
      <c r="T962" s="73"/>
      <c r="U962" s="73"/>
      <c r="V962" s="73"/>
      <c r="W962" s="73"/>
      <c r="X962" s="73"/>
      <c r="Y962" s="73"/>
      <c r="Z962" s="73"/>
      <c r="AA962" s="73"/>
      <c r="AD962" s="143"/>
      <c r="AE962" s="143"/>
      <c r="AF962" s="143"/>
      <c r="AG962" s="143"/>
      <c r="AH962" s="143"/>
      <c r="AI962" s="143"/>
      <c r="AJ962" s="143"/>
      <c r="AK962" s="143"/>
      <c r="AL962" s="143"/>
      <c r="AM962" s="143"/>
      <c r="AN962" s="143"/>
      <c r="AO962" s="143"/>
      <c r="AP962" s="143"/>
      <c r="AQ962" s="143"/>
      <c r="AR962" s="143"/>
      <c r="AS962" s="143"/>
    </row>
    <row r="963" spans="1:45" ht="15" customHeight="1">
      <c r="A963" s="482" t="str">
        <f t="shared" si="99"/>
        <v>130j</v>
      </c>
      <c r="B963" s="1019" t="str">
        <f t="shared" si="100"/>
        <v>Negative</v>
      </c>
      <c r="C963" s="595">
        <f>Stress!D891</f>
        <v>0.15794638417561513</v>
      </c>
      <c r="D963" s="595">
        <f>Stress!E891</f>
        <v>-0.15070517241553488</v>
      </c>
      <c r="E963" s="575">
        <f>IF(B963="Positive",input!CL62-input!H62,input!CU62-input!K62)</f>
        <v>1275.1255900941767</v>
      </c>
      <c r="F963" s="794" t="str">
        <f>IF(2*E963/COS(ATAN(input!BP62))/input!N62&lt;=5.7*SQRT(Es/input!BI62),"C","S")</f>
        <v>S</v>
      </c>
      <c r="G963" s="483">
        <f>IF(input!AJ62=1,0.2*input!M62,IF(input!AJ62=2,0.25*input!M62,0))</f>
        <v>650</v>
      </c>
      <c r="H963" s="575">
        <f>input!M62</f>
        <v>2600</v>
      </c>
      <c r="I963" s="21">
        <f t="shared" si="94"/>
        <v>-1.0480488601951516</v>
      </c>
      <c r="J963" s="21">
        <f>IF(input!AJ62=0,9/(E963/H963)^2,IF(input!AJ62=1,IF(AND(C963&lt;=0,D963&lt;=0),7.2,IF(G963/E963&gt;=0.4,MAX(5.17/(G963/H963)^2,9/(E963/H963)^2),11.64/((E963-G963)/H963)^2)),IF(I963&gt;=-1,247.8*((G963/E963)^1.8)*(1-I963)^2.7,247.8*(1-I963)^0.32)))</f>
        <v>311.69526314134777</v>
      </c>
      <c r="K963" s="21">
        <f>MIN(0.9*Es*J963/(input!BQ62/input!N62)^2,O375*input!BI62,input!BK62/0.7)</f>
        <v>379.53157750434622</v>
      </c>
      <c r="L963" s="819" t="str">
        <f t="shared" si="95"/>
        <v>-</v>
      </c>
      <c r="M963" s="819" t="str">
        <f t="shared" si="96"/>
        <v>-</v>
      </c>
      <c r="N963" s="819" t="str">
        <f t="shared" si="97"/>
        <v>OK</v>
      </c>
      <c r="O963" s="1840">
        <f t="shared" si="98"/>
        <v>2518.3712769849403</v>
      </c>
      <c r="T963" s="73"/>
      <c r="U963" s="73"/>
      <c r="V963" s="73"/>
      <c r="W963" s="73"/>
      <c r="X963" s="73"/>
      <c r="Y963" s="73"/>
      <c r="Z963" s="73"/>
      <c r="AA963" s="73"/>
      <c r="AD963" s="143"/>
      <c r="AE963" s="143"/>
      <c r="AF963" s="143"/>
      <c r="AG963" s="143"/>
      <c r="AH963" s="143"/>
      <c r="AI963" s="143"/>
      <c r="AJ963" s="143"/>
      <c r="AK963" s="143"/>
      <c r="AL963" s="143"/>
      <c r="AM963" s="143"/>
      <c r="AN963" s="143"/>
      <c r="AO963" s="143"/>
      <c r="AP963" s="143"/>
      <c r="AQ963" s="143"/>
      <c r="AR963" s="143"/>
      <c r="AS963" s="143"/>
    </row>
    <row r="964" spans="1:45" ht="15" customHeight="1">
      <c r="A964" s="482" t="str">
        <f t="shared" si="99"/>
        <v>131i</v>
      </c>
      <c r="B964" s="1019" t="str">
        <f t="shared" si="100"/>
        <v>Negative</v>
      </c>
      <c r="C964" s="595">
        <f>Stress!D892</f>
        <v>0.15853794366690957</v>
      </c>
      <c r="D964" s="595">
        <f>Stress!E892</f>
        <v>-0.15126961126353314</v>
      </c>
      <c r="E964" s="575">
        <f>IF(B964="Positive",input!CL63-input!H63,input!CU63-input!K63)</f>
        <v>1275.1255900941767</v>
      </c>
      <c r="F964" s="794" t="str">
        <f>IF(2*E964/COS(ATAN(input!BP63))/input!N63&lt;=5.7*SQRT(Es/input!BI63),"C","S")</f>
        <v>S</v>
      </c>
      <c r="G964" s="483">
        <f>IF(input!AJ63=1,0.2*input!M63,IF(input!AJ63=2,0.25*input!M63,0))</f>
        <v>650</v>
      </c>
      <c r="H964" s="575">
        <f>input!M63</f>
        <v>2600</v>
      </c>
      <c r="I964" s="21">
        <f t="shared" si="94"/>
        <v>-1.0480488601951516</v>
      </c>
      <c r="J964" s="21">
        <f>IF(input!AJ63=0,9/(E964/H964)^2,IF(input!AJ63=1,IF(AND(C964&lt;=0,D964&lt;=0),7.2,IF(G964/E964&gt;=0.4,MAX(5.17/(G964/H964)^2,9/(E964/H964)^2),11.64/((E964-G964)/H964)^2)),IF(I964&gt;=-1,247.8*((G964/E964)^1.8)*(1-I964)^2.7,247.8*(1-I964)^0.32)))</f>
        <v>311.69526314134777</v>
      </c>
      <c r="K964" s="21">
        <f>MIN(0.9*Es*J964/(input!BQ63/input!N63)^2,O376*input!BI63,input!BK63/0.7)</f>
        <v>379.53157750434622</v>
      </c>
      <c r="L964" s="819" t="str">
        <f t="shared" si="95"/>
        <v>-</v>
      </c>
      <c r="M964" s="819" t="str">
        <f t="shared" si="96"/>
        <v>-</v>
      </c>
      <c r="N964" s="819" t="str">
        <f t="shared" si="97"/>
        <v>OK</v>
      </c>
      <c r="O964" s="1840">
        <f t="shared" si="98"/>
        <v>2508.9743692349966</v>
      </c>
      <c r="T964" s="73"/>
      <c r="U964" s="73"/>
      <c r="V964" s="73"/>
      <c r="W964" s="73"/>
      <c r="X964" s="73"/>
      <c r="Y964" s="73"/>
      <c r="Z964" s="73"/>
      <c r="AA964" s="73"/>
      <c r="AD964" s="143"/>
      <c r="AE964" s="143"/>
      <c r="AF964" s="143"/>
      <c r="AG964" s="143"/>
      <c r="AH964" s="143"/>
      <c r="AI964" s="143"/>
      <c r="AJ964" s="143"/>
      <c r="AK964" s="143"/>
      <c r="AL964" s="143"/>
      <c r="AM964" s="143"/>
      <c r="AN964" s="143"/>
      <c r="AO964" s="143"/>
      <c r="AP964" s="143"/>
      <c r="AQ964" s="143"/>
      <c r="AR964" s="143"/>
      <c r="AS964" s="143"/>
    </row>
    <row r="965" spans="1:45" ht="15" customHeight="1">
      <c r="A965" s="482" t="str">
        <f t="shared" si="99"/>
        <v>131j</v>
      </c>
      <c r="B965" s="1019" t="str">
        <f t="shared" si="100"/>
        <v>Positive</v>
      </c>
      <c r="C965" s="595">
        <f>Stress!D893</f>
        <v>0</v>
      </c>
      <c r="D965" s="595">
        <f>Stress!E893</f>
        <v>0</v>
      </c>
      <c r="E965" s="575">
        <f>IF(B965="Positive",input!CL64-input!H64,input!CU64-input!K64)</f>
        <v>1324.8744099058233</v>
      </c>
      <c r="F965" s="794" t="str">
        <f>IF(2*E965/COS(ATAN(input!BP64))/input!N64&lt;=5.7*SQRT(Es/input!BI64),"C","S")</f>
        <v>S</v>
      </c>
      <c r="G965" s="483">
        <f>IF(input!AJ64=1,0.2*input!M64,IF(input!AJ64=2,0.25*input!M64,0))</f>
        <v>650</v>
      </c>
      <c r="H965" s="575">
        <f>input!M64</f>
        <v>2600</v>
      </c>
      <c r="I965" s="21">
        <f t="shared" si="94"/>
        <v>0</v>
      </c>
      <c r="J965" s="21">
        <f>IF(input!AJ64=0,9/(E965/H965)^2,IF(input!AJ64=1,IF(AND(C965&lt;=0,D965&lt;=0),7.2,IF(G965/E965&gt;=0.4,MAX(5.17/(G965/H965)^2,9/(E965/H965)^2),11.64/((E965-G965)/H965)^2)),IF(I965&gt;=-1,247.8*((G965/E965)^1.8)*(1-I965)^2.7,247.8*(1-I965)^0.32)))</f>
        <v>68.775041779013819</v>
      </c>
      <c r="K965" s="21">
        <f>MIN(0.9*Es*J965/(input!BQ64/input!N64)^2,O377*input!BI64,input!BK64/0.7)</f>
        <v>272.63090207484976</v>
      </c>
      <c r="L965" s="819" t="str">
        <f t="shared" si="95"/>
        <v>-</v>
      </c>
      <c r="M965" s="819" t="str">
        <f t="shared" si="96"/>
        <v>-</v>
      </c>
      <c r="N965" s="819" t="str">
        <f t="shared" si="97"/>
        <v>-</v>
      </c>
      <c r="O965" s="1840" t="str">
        <f t="shared" si="98"/>
        <v>-</v>
      </c>
      <c r="T965" s="73"/>
      <c r="U965" s="73"/>
      <c r="V965" s="73"/>
      <c r="W965" s="73"/>
      <c r="X965" s="73"/>
      <c r="Y965" s="73"/>
      <c r="Z965" s="73"/>
      <c r="AA965" s="73"/>
      <c r="AD965" s="143"/>
      <c r="AE965" s="14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S965" s="143"/>
    </row>
    <row r="966" spans="1:45" ht="15" customHeight="1">
      <c r="A966" s="170"/>
      <c r="B966" s="170"/>
      <c r="C966" s="170"/>
      <c r="D966" s="170"/>
      <c r="E966" s="170"/>
      <c r="F966" s="170"/>
      <c r="Q966" s="170"/>
      <c r="R966" s="170"/>
      <c r="S966" s="170"/>
      <c r="T966" s="170"/>
      <c r="U966" s="170"/>
      <c r="V966" s="170"/>
      <c r="W966" s="170"/>
      <c r="X966" s="170"/>
      <c r="Y966" s="203"/>
      <c r="Z966" s="170"/>
      <c r="AA966" s="170"/>
    </row>
    <row r="967" spans="1:45" ht="15" customHeight="1">
      <c r="A967" s="181"/>
      <c r="B967" s="181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217"/>
      <c r="T967" s="217"/>
      <c r="U967" s="207"/>
      <c r="V967" s="170"/>
      <c r="W967" s="170"/>
      <c r="X967" s="170"/>
      <c r="Y967" s="208"/>
      <c r="Z967" s="170"/>
      <c r="AA967" s="170"/>
    </row>
    <row r="968" spans="1:45" ht="15" customHeight="1">
      <c r="B968" s="170"/>
      <c r="C968" s="170"/>
      <c r="D968" s="170"/>
      <c r="E968" s="170"/>
      <c r="F968" s="170"/>
      <c r="G968" s="100"/>
      <c r="H968" s="170"/>
      <c r="I968" s="170"/>
      <c r="J968" s="170"/>
      <c r="K968" s="170"/>
      <c r="L968" s="189"/>
      <c r="M968" s="170"/>
      <c r="N968" s="170"/>
      <c r="O968" s="170"/>
      <c r="P968" s="170"/>
      <c r="Q968" s="170"/>
      <c r="R968" s="170"/>
      <c r="S968" s="170"/>
      <c r="T968" s="170"/>
      <c r="U968" s="170"/>
      <c r="V968" s="170"/>
      <c r="W968" s="170"/>
      <c r="X968" s="170"/>
      <c r="Y968" s="189"/>
      <c r="Z968" s="170"/>
      <c r="AA968" s="170"/>
    </row>
    <row r="969" spans="1:45" ht="15" customHeight="1">
      <c r="A969" s="207" t="s">
        <v>990</v>
      </c>
      <c r="B969" s="96"/>
      <c r="C969" s="170"/>
      <c r="D969" s="170"/>
      <c r="E969" s="170"/>
      <c r="F969" s="170"/>
      <c r="G969" s="100"/>
      <c r="H969" s="170"/>
      <c r="I969" s="170"/>
      <c r="J969" s="170"/>
      <c r="K969" s="170"/>
      <c r="L969" s="189"/>
      <c r="M969" s="170"/>
      <c r="N969" s="170"/>
      <c r="O969" s="108" t="s">
        <v>996</v>
      </c>
      <c r="P969" s="170"/>
      <c r="Q969" s="170"/>
      <c r="R969" s="170"/>
      <c r="S969" s="170"/>
      <c r="T969" s="170"/>
      <c r="U969" s="170"/>
      <c r="V969" s="170"/>
      <c r="W969" s="170"/>
      <c r="X969" s="170"/>
      <c r="Y969" s="189"/>
      <c r="Z969" s="170"/>
    </row>
    <row r="970" spans="1:45" ht="15" customHeight="1">
      <c r="A970" s="207"/>
      <c r="B970" s="96"/>
      <c r="C970" s="170"/>
      <c r="D970" s="170"/>
      <c r="E970" s="170"/>
      <c r="F970" s="170"/>
      <c r="G970" s="100"/>
      <c r="H970" s="170"/>
      <c r="I970" s="170"/>
      <c r="J970" s="170"/>
      <c r="K970" s="170"/>
      <c r="L970" s="208"/>
      <c r="M970" s="170"/>
      <c r="N970" s="170"/>
      <c r="O970" s="170"/>
      <c r="P970" s="170"/>
      <c r="Q970" s="170"/>
      <c r="R970" s="170"/>
      <c r="S970" s="170"/>
      <c r="T970" s="170"/>
      <c r="U970" s="170"/>
      <c r="V970" s="170"/>
      <c r="W970" s="170"/>
      <c r="X970" s="170"/>
      <c r="Y970" s="208"/>
      <c r="Z970" s="170"/>
      <c r="AA970" s="170"/>
    </row>
    <row r="971" spans="1:45" ht="15" customHeight="1">
      <c r="A971" s="170"/>
      <c r="B971" s="170"/>
      <c r="C971" s="147" t="s">
        <v>2995</v>
      </c>
      <c r="D971" s="170"/>
      <c r="E971" s="170"/>
      <c r="F971" s="170"/>
      <c r="G971" s="100"/>
      <c r="H971" s="170"/>
      <c r="I971" s="170"/>
      <c r="J971" s="170"/>
      <c r="K971" s="170"/>
      <c r="L971" s="189"/>
      <c r="M971" s="170"/>
      <c r="N971" s="170"/>
      <c r="O971" s="170"/>
      <c r="P971" s="170"/>
      <c r="Q971" s="170"/>
      <c r="R971" s="170"/>
      <c r="S971" s="170"/>
      <c r="T971" s="170"/>
      <c r="U971" s="170"/>
      <c r="V971" s="170"/>
      <c r="W971" s="170"/>
      <c r="X971" s="170"/>
      <c r="Y971" s="189"/>
      <c r="Z971" s="170"/>
      <c r="AA971" s="170"/>
    </row>
    <row r="972" spans="1:45" ht="15" customHeight="1">
      <c r="A972" s="134"/>
      <c r="B972" s="170" t="s">
        <v>428</v>
      </c>
      <c r="C972" s="170"/>
      <c r="D972" s="170"/>
      <c r="E972" s="170"/>
      <c r="F972" s="170"/>
      <c r="G972" s="100"/>
      <c r="H972" s="170"/>
      <c r="I972" s="170"/>
      <c r="J972" s="170"/>
      <c r="K972" s="170"/>
      <c r="L972" s="189"/>
      <c r="M972" s="170"/>
      <c r="N972" s="170"/>
      <c r="O972" s="170"/>
      <c r="P972" s="170"/>
      <c r="Q972" s="170"/>
      <c r="R972" s="170"/>
      <c r="S972" s="170"/>
      <c r="T972" s="170"/>
      <c r="U972" s="170"/>
      <c r="V972" s="170"/>
      <c r="W972" s="170"/>
      <c r="X972" s="170"/>
      <c r="Y972" s="189"/>
      <c r="Z972" s="170"/>
      <c r="AA972" s="170"/>
    </row>
    <row r="973" spans="1:45" ht="15" customHeight="1">
      <c r="A973" s="134"/>
      <c r="C973" s="143" t="s">
        <v>265</v>
      </c>
      <c r="D973" s="170"/>
      <c r="E973" s="170"/>
      <c r="F973" s="170"/>
      <c r="G973" s="100"/>
      <c r="H973" s="170"/>
      <c r="I973" s="170"/>
      <c r="J973" s="170"/>
      <c r="K973" s="170"/>
      <c r="L973" s="189"/>
      <c r="M973" s="170"/>
      <c r="N973" s="170"/>
      <c r="O973" s="170"/>
      <c r="P973" s="170"/>
      <c r="Q973" s="170"/>
      <c r="R973" s="170"/>
      <c r="S973" s="170"/>
      <c r="T973" s="170"/>
      <c r="U973" s="170"/>
      <c r="V973" s="170"/>
      <c r="W973" s="170"/>
      <c r="X973" s="170"/>
      <c r="Y973" s="189"/>
      <c r="Z973" s="170"/>
      <c r="AA973" s="170"/>
    </row>
    <row r="974" spans="1:45" ht="15" customHeight="1">
      <c r="A974" s="134"/>
      <c r="C974" s="170" t="s">
        <v>430</v>
      </c>
      <c r="D974" s="170"/>
      <c r="E974" s="170"/>
      <c r="F974" s="170"/>
      <c r="G974" s="100"/>
      <c r="H974" s="170"/>
      <c r="I974" s="170"/>
      <c r="J974" s="170"/>
      <c r="K974" s="170"/>
      <c r="L974" s="189"/>
      <c r="M974" s="170"/>
      <c r="N974" s="170"/>
      <c r="O974" s="170"/>
      <c r="P974" s="170"/>
      <c r="Q974" s="170"/>
      <c r="R974" s="170"/>
      <c r="S974" s="170"/>
      <c r="T974" s="170"/>
      <c r="U974" s="170"/>
      <c r="V974" s="170"/>
      <c r="W974" s="170"/>
      <c r="X974" s="170"/>
      <c r="Y974" s="189"/>
      <c r="Z974" s="170"/>
      <c r="AA974" s="170"/>
    </row>
    <row r="975" spans="1:45" ht="15" customHeight="1">
      <c r="A975" s="134"/>
      <c r="C975" s="170" t="s">
        <v>194</v>
      </c>
      <c r="D975" s="170"/>
      <c r="E975" s="170"/>
      <c r="F975" s="170"/>
      <c r="G975" s="100"/>
      <c r="H975" s="170"/>
      <c r="I975" s="170"/>
      <c r="J975" s="170"/>
      <c r="K975" s="170"/>
      <c r="L975" s="189"/>
      <c r="M975" s="170"/>
      <c r="N975" s="170"/>
      <c r="O975" s="170"/>
      <c r="P975" s="170"/>
      <c r="Q975" s="170"/>
      <c r="R975" s="170"/>
      <c r="S975" s="170"/>
      <c r="T975" s="170"/>
      <c r="U975" s="170"/>
      <c r="V975" s="170"/>
      <c r="W975" s="170"/>
      <c r="X975" s="170"/>
      <c r="Y975" s="189"/>
      <c r="Z975" s="170"/>
      <c r="AA975" s="170"/>
    </row>
    <row r="976" spans="1:45" ht="15" customHeight="1">
      <c r="A976" s="134"/>
      <c r="B976" s="136"/>
      <c r="C976" s="170"/>
      <c r="D976" s="170"/>
      <c r="E976" s="170"/>
      <c r="F976" s="170"/>
      <c r="G976" s="100"/>
      <c r="H976" s="170"/>
      <c r="I976" s="170"/>
      <c r="J976" s="170"/>
      <c r="K976" s="170"/>
      <c r="L976" s="189"/>
      <c r="M976" s="170"/>
      <c r="N976" s="170"/>
      <c r="O976" s="170"/>
      <c r="P976" s="170"/>
      <c r="Q976" s="170"/>
      <c r="R976" s="170"/>
      <c r="S976" s="170"/>
      <c r="T976" s="170"/>
      <c r="U976" s="170"/>
      <c r="V976" s="170"/>
      <c r="W976" s="170"/>
      <c r="X976" s="170"/>
      <c r="Y976" s="189"/>
      <c r="Z976" s="170"/>
      <c r="AA976" s="170"/>
    </row>
    <row r="977" spans="1:45" ht="15" customHeight="1">
      <c r="A977" s="134"/>
      <c r="C977" s="170" t="s">
        <v>2996</v>
      </c>
      <c r="D977" s="170"/>
      <c r="E977" s="170"/>
      <c r="F977" s="170"/>
      <c r="G977" s="100"/>
      <c r="H977" s="170"/>
      <c r="I977" s="170"/>
      <c r="J977" s="170"/>
      <c r="K977" s="170"/>
      <c r="L977" s="189"/>
      <c r="M977" s="170"/>
      <c r="N977" s="170"/>
      <c r="O977" s="170"/>
      <c r="P977" s="170"/>
      <c r="Q977" s="170"/>
      <c r="R977" s="170"/>
      <c r="S977" s="170"/>
      <c r="T977" s="170"/>
      <c r="U977" s="170"/>
      <c r="V977" s="170"/>
      <c r="W977" s="170"/>
      <c r="X977" s="170"/>
      <c r="Y977" s="189"/>
      <c r="Z977" s="170"/>
      <c r="AA977" s="170"/>
    </row>
    <row r="978" spans="1:45" ht="15" customHeight="1">
      <c r="A978" s="134"/>
      <c r="C978" s="170" t="s">
        <v>266</v>
      </c>
      <c r="D978" s="170"/>
      <c r="E978" s="170"/>
      <c r="F978" s="170"/>
      <c r="G978" s="100"/>
      <c r="H978" s="170"/>
      <c r="I978" s="170"/>
      <c r="J978" s="170"/>
      <c r="K978" s="170"/>
      <c r="L978" s="189"/>
      <c r="M978" s="170"/>
      <c r="N978" s="170"/>
      <c r="O978" s="170"/>
      <c r="P978" s="170"/>
      <c r="Q978" s="170"/>
      <c r="R978" s="170"/>
      <c r="S978" s="170"/>
      <c r="T978" s="170"/>
      <c r="U978" s="170"/>
      <c r="V978" s="170"/>
      <c r="W978" s="170"/>
      <c r="X978" s="170"/>
      <c r="Y978" s="189"/>
      <c r="Z978" s="170"/>
      <c r="AA978" s="170"/>
    </row>
    <row r="979" spans="1:45" ht="15" customHeight="1">
      <c r="A979" s="134"/>
      <c r="B979" s="170"/>
      <c r="C979" s="170"/>
      <c r="D979" s="170"/>
      <c r="E979" s="170"/>
      <c r="F979" s="170"/>
      <c r="G979" s="100"/>
      <c r="H979" s="170"/>
      <c r="I979" s="170"/>
      <c r="J979" s="170"/>
      <c r="K979" s="170"/>
      <c r="L979" s="189"/>
      <c r="M979" s="170"/>
      <c r="N979" s="170"/>
      <c r="O979" s="170"/>
      <c r="P979" s="170"/>
      <c r="Q979" s="170"/>
      <c r="R979" s="170"/>
      <c r="S979" s="170"/>
      <c r="T979" s="170"/>
      <c r="U979" s="170"/>
      <c r="V979" s="170"/>
      <c r="W979" s="170"/>
      <c r="X979" s="170"/>
      <c r="Y979" s="189"/>
      <c r="Z979" s="170"/>
      <c r="AA979" s="170"/>
    </row>
    <row r="980" spans="1:45" ht="15" customHeight="1">
      <c r="C980" s="143" t="s">
        <v>267</v>
      </c>
      <c r="D980" s="136"/>
      <c r="E980" s="147"/>
      <c r="F980" s="136"/>
      <c r="G980" s="136"/>
      <c r="H980" s="136"/>
      <c r="I980" s="170"/>
      <c r="J980" s="170"/>
      <c r="K980" s="170"/>
    </row>
    <row r="981" spans="1:45" ht="15" customHeight="1">
      <c r="B981" s="134" t="s">
        <v>32</v>
      </c>
      <c r="C981" s="148" t="s">
        <v>134</v>
      </c>
      <c r="D981" s="141"/>
      <c r="E981" s="148"/>
      <c r="F981" s="148"/>
      <c r="G981" s="148"/>
      <c r="H981" s="141"/>
      <c r="I981" s="148" t="s">
        <v>128</v>
      </c>
      <c r="J981" s="141"/>
      <c r="K981" s="141"/>
    </row>
    <row r="982" spans="1:45" ht="15" customHeight="1">
      <c r="C982" s="170" t="s">
        <v>1707</v>
      </c>
      <c r="D982" s="170"/>
      <c r="E982" s="170"/>
      <c r="F982" s="170"/>
      <c r="G982" s="170"/>
      <c r="H982" s="170"/>
      <c r="I982" s="142">
        <v>1</v>
      </c>
      <c r="J982" s="170"/>
      <c r="K982" s="170"/>
    </row>
    <row r="983" spans="1:45" ht="15" customHeight="1">
      <c r="C983" s="170" t="s">
        <v>1708</v>
      </c>
      <c r="D983" s="170"/>
      <c r="E983" s="147"/>
      <c r="F983" s="170"/>
      <c r="G983" s="170"/>
      <c r="H983" s="170"/>
      <c r="I983" s="170" t="s">
        <v>1709</v>
      </c>
      <c r="J983" s="170"/>
      <c r="K983" s="170"/>
    </row>
    <row r="984" spans="1:45" ht="15" customHeight="1">
      <c r="C984" s="145" t="s">
        <v>1710</v>
      </c>
      <c r="D984" s="145"/>
      <c r="E984" s="149"/>
      <c r="F984" s="145"/>
      <c r="G984" s="145"/>
      <c r="H984" s="145"/>
      <c r="I984" s="145" t="s">
        <v>1711</v>
      </c>
      <c r="J984" s="145"/>
      <c r="K984" s="145"/>
    </row>
    <row r="985" spans="1:45" ht="15" customHeight="1">
      <c r="C985" s="170"/>
      <c r="D985" s="170"/>
      <c r="E985" s="122"/>
      <c r="F985" s="170"/>
      <c r="G985" s="170"/>
      <c r="H985" s="170"/>
      <c r="I985" s="170"/>
      <c r="J985" s="170"/>
      <c r="K985" s="170"/>
      <c r="L985" s="1427"/>
      <c r="Y985" s="1427"/>
      <c r="AD985" s="1428"/>
      <c r="AF985" s="1428"/>
    </row>
    <row r="986" spans="1:45" ht="15" customHeight="1">
      <c r="B986" s="134" t="s">
        <v>32</v>
      </c>
      <c r="C986" s="143" t="s">
        <v>2146</v>
      </c>
      <c r="D986" s="136"/>
      <c r="E986" s="147"/>
      <c r="F986" s="136"/>
      <c r="G986" s="136"/>
      <c r="H986" s="170"/>
      <c r="I986" s="170"/>
      <c r="L986" s="1427"/>
      <c r="Y986" s="1427"/>
      <c r="Z986" s="1427"/>
      <c r="AB986" s="1427"/>
      <c r="AD986" s="73"/>
      <c r="AE986" s="1428"/>
      <c r="AF986" s="73"/>
      <c r="AR986" s="143"/>
      <c r="AS986" s="143"/>
    </row>
    <row r="987" spans="1:45" ht="15" customHeight="1">
      <c r="A987" s="170"/>
      <c r="C987" s="148" t="s">
        <v>134</v>
      </c>
      <c r="D987" s="141"/>
      <c r="E987" s="148"/>
      <c r="F987" s="148"/>
      <c r="G987" s="141"/>
      <c r="H987" s="141"/>
      <c r="I987" s="148" t="s">
        <v>425</v>
      </c>
      <c r="J987" s="141"/>
      <c r="K987" s="141"/>
      <c r="L987" s="143"/>
      <c r="Y987" s="1427"/>
      <c r="Z987" s="1427"/>
      <c r="AB987" s="1427"/>
      <c r="AD987" s="73"/>
      <c r="AE987" s="1428"/>
      <c r="AF987" s="73"/>
      <c r="AR987" s="143"/>
      <c r="AS987" s="143"/>
    </row>
    <row r="988" spans="1:45" ht="15" customHeight="1">
      <c r="A988" s="170"/>
      <c r="C988" s="170" t="s">
        <v>992</v>
      </c>
      <c r="D988" s="170"/>
      <c r="E988" s="170"/>
      <c r="F988" s="170"/>
      <c r="G988" s="170"/>
      <c r="H988" s="170"/>
      <c r="I988" s="142">
        <v>5</v>
      </c>
      <c r="J988" s="170"/>
      <c r="K988" s="170"/>
      <c r="L988" s="143"/>
      <c r="Y988" s="1427"/>
      <c r="AB988" s="143"/>
      <c r="AD988" s="1428"/>
      <c r="AF988" s="1428"/>
      <c r="AR988" s="143"/>
      <c r="AS988" s="143"/>
    </row>
    <row r="989" spans="1:45" ht="15" customHeight="1">
      <c r="A989" s="170"/>
      <c r="C989" s="145" t="s">
        <v>993</v>
      </c>
      <c r="D989" s="145"/>
      <c r="E989" s="98"/>
      <c r="F989" s="145"/>
      <c r="G989" s="145"/>
      <c r="H989" s="145"/>
      <c r="I989" s="145" t="s">
        <v>1777</v>
      </c>
      <c r="J989" s="145"/>
      <c r="K989" s="145"/>
      <c r="L989" s="143"/>
      <c r="Y989" s="1427"/>
      <c r="AB989" s="143"/>
      <c r="AD989" s="1428"/>
      <c r="AF989" s="1428"/>
      <c r="AR989" s="143"/>
      <c r="AS989" s="143"/>
    </row>
    <row r="990" spans="1:45" ht="15" customHeight="1">
      <c r="A990" s="170"/>
      <c r="C990" s="170" t="s">
        <v>429</v>
      </c>
      <c r="D990" s="170"/>
      <c r="E990" s="122"/>
      <c r="F990" s="170"/>
      <c r="G990" s="170"/>
      <c r="H990" s="170"/>
      <c r="I990" s="170"/>
      <c r="J990" s="170"/>
      <c r="K990" s="170"/>
      <c r="L990" s="170"/>
      <c r="Y990" s="1427"/>
      <c r="AB990" s="143"/>
      <c r="AD990" s="1428"/>
      <c r="AF990" s="1428"/>
      <c r="AR990" s="143"/>
      <c r="AS990" s="143"/>
    </row>
    <row r="991" spans="1:45" ht="15" customHeight="1">
      <c r="A991" s="170"/>
      <c r="B991" s="170"/>
      <c r="C991" s="170"/>
      <c r="D991" s="122"/>
      <c r="E991" s="170"/>
      <c r="F991" s="170"/>
      <c r="G991" s="170"/>
      <c r="H991" s="170"/>
      <c r="I991" s="170"/>
      <c r="J991" s="170"/>
      <c r="K991" s="170"/>
      <c r="L991" s="170"/>
      <c r="Y991" s="1427"/>
      <c r="AB991" s="143"/>
      <c r="AD991" s="1428"/>
      <c r="AF991" s="1428"/>
      <c r="AR991" s="143"/>
      <c r="AS991" s="143"/>
    </row>
    <row r="992" spans="1:45" ht="15" customHeight="1">
      <c r="B992" s="134" t="s">
        <v>32</v>
      </c>
      <c r="C992" s="170" t="s">
        <v>133</v>
      </c>
      <c r="D992" s="170"/>
      <c r="F992" s="170"/>
      <c r="G992" s="116"/>
      <c r="H992" s="116"/>
      <c r="I992" s="116"/>
      <c r="L992" s="1427"/>
      <c r="N992" s="137" t="s">
        <v>806</v>
      </c>
      <c r="Y992" s="143"/>
      <c r="Z992" s="1427"/>
      <c r="AB992" s="1427"/>
      <c r="AD992" s="73"/>
      <c r="AE992" s="1428"/>
      <c r="AF992" s="73"/>
      <c r="AR992" s="143"/>
      <c r="AS992" s="143"/>
    </row>
    <row r="993" spans="1:45" ht="15" customHeight="1">
      <c r="C993" s="141" t="s">
        <v>134</v>
      </c>
      <c r="D993" s="141"/>
      <c r="E993" s="141"/>
      <c r="F993" s="141"/>
      <c r="G993" s="250"/>
      <c r="H993" s="250"/>
      <c r="I993" s="250" t="s">
        <v>138</v>
      </c>
      <c r="J993" s="141"/>
      <c r="K993" s="141"/>
      <c r="L993" s="143"/>
      <c r="Y993" s="143"/>
      <c r="Z993" s="1427"/>
      <c r="AB993" s="1427"/>
      <c r="AD993" s="73"/>
      <c r="AE993" s="1428"/>
      <c r="AF993" s="73"/>
      <c r="AR993" s="143"/>
      <c r="AS993" s="143"/>
    </row>
    <row r="994" spans="1:45" ht="15" customHeight="1">
      <c r="C994" s="170" t="s">
        <v>847</v>
      </c>
      <c r="D994" s="170"/>
      <c r="E994" s="170"/>
      <c r="F994" s="170"/>
      <c r="G994" s="116"/>
      <c r="H994" s="116"/>
      <c r="I994" s="116" t="s">
        <v>135</v>
      </c>
      <c r="J994" s="170"/>
      <c r="K994" s="170"/>
      <c r="L994" s="143"/>
      <c r="Y994" s="143"/>
      <c r="Z994" s="1427"/>
      <c r="AB994" s="1427"/>
      <c r="AD994" s="73"/>
      <c r="AE994" s="1428"/>
      <c r="AF994" s="73"/>
      <c r="AR994" s="143"/>
      <c r="AS994" s="143"/>
    </row>
    <row r="995" spans="1:45" ht="15" customHeight="1">
      <c r="C995" s="170" t="s">
        <v>846</v>
      </c>
      <c r="D995" s="170"/>
      <c r="E995" s="170"/>
      <c r="F995" s="170"/>
      <c r="G995" s="116"/>
      <c r="H995" s="116"/>
      <c r="I995" s="116" t="s">
        <v>135</v>
      </c>
      <c r="J995" s="170"/>
      <c r="K995" s="170"/>
      <c r="L995" s="143"/>
      <c r="Y995" s="143"/>
      <c r="Z995" s="1427"/>
      <c r="AB995" s="1427"/>
      <c r="AD995" s="73"/>
      <c r="AE995" s="1428"/>
      <c r="AF995" s="73"/>
      <c r="AR995" s="143"/>
      <c r="AS995" s="143"/>
    </row>
    <row r="996" spans="1:45" ht="15" customHeight="1">
      <c r="C996" s="145" t="s">
        <v>136</v>
      </c>
      <c r="D996" s="145"/>
      <c r="E996" s="145"/>
      <c r="F996" s="145"/>
      <c r="G996" s="117"/>
      <c r="H996" s="117"/>
      <c r="I996" s="117" t="s">
        <v>137</v>
      </c>
      <c r="J996" s="145"/>
      <c r="K996" s="145"/>
      <c r="L996" s="143"/>
      <c r="Y996" s="143"/>
      <c r="Z996" s="1427"/>
      <c r="AB996" s="1427"/>
      <c r="AD996" s="73"/>
      <c r="AE996" s="1428"/>
      <c r="AF996" s="73"/>
      <c r="AR996" s="143"/>
      <c r="AS996" s="143"/>
    </row>
    <row r="997" spans="1:45" ht="15" customHeight="1">
      <c r="C997" s="170"/>
      <c r="D997" s="170"/>
      <c r="E997" s="170"/>
      <c r="F997" s="170"/>
      <c r="G997" s="170"/>
      <c r="H997" s="100"/>
      <c r="I997" s="170"/>
      <c r="J997" s="170"/>
      <c r="K997" s="170"/>
      <c r="L997" s="1427"/>
      <c r="N997" s="1427"/>
      <c r="Y997" s="1427"/>
      <c r="AD997" s="1428"/>
      <c r="AF997" s="1428"/>
    </row>
    <row r="998" spans="1:45" ht="15" customHeight="1">
      <c r="C998" s="170"/>
      <c r="D998" s="170"/>
      <c r="E998" s="170"/>
      <c r="F998" s="170"/>
      <c r="G998" s="170"/>
      <c r="H998" s="100"/>
      <c r="I998" s="170"/>
      <c r="J998" s="170"/>
      <c r="K998" s="170"/>
      <c r="L998" s="1427"/>
      <c r="N998" s="1427"/>
      <c r="Y998" s="1427"/>
      <c r="AD998" s="1428"/>
      <c r="AF998" s="1428"/>
    </row>
    <row r="999" spans="1:45" ht="15" customHeight="1" thickBot="1">
      <c r="A999" s="468" t="s">
        <v>1629</v>
      </c>
    </row>
    <row r="1000" spans="1:45" ht="15" customHeight="1">
      <c r="A1000" s="603" t="s">
        <v>422</v>
      </c>
      <c r="B1000" s="599" t="s">
        <v>431</v>
      </c>
      <c r="C1000" s="599" t="s">
        <v>1610</v>
      </c>
      <c r="D1000" s="599" t="s">
        <v>423</v>
      </c>
      <c r="E1000" s="599" t="s">
        <v>424</v>
      </c>
      <c r="F1000" s="660" t="s">
        <v>414</v>
      </c>
      <c r="G1000" s="660" t="s">
        <v>461</v>
      </c>
      <c r="H1000" s="599" t="s">
        <v>425</v>
      </c>
      <c r="I1000" s="599" t="s">
        <v>1619</v>
      </c>
      <c r="J1000" s="599" t="s">
        <v>995</v>
      </c>
      <c r="K1000" s="599" t="s">
        <v>426</v>
      </c>
      <c r="L1000" s="599" t="s">
        <v>427</v>
      </c>
      <c r="M1000" s="1629" t="s">
        <v>2997</v>
      </c>
      <c r="N1000" s="599" t="s">
        <v>432</v>
      </c>
      <c r="O1000" s="600" t="s">
        <v>498</v>
      </c>
      <c r="P1000" s="73"/>
      <c r="Q1000" s="46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C1000" s="73"/>
      <c r="AD1000" s="73"/>
      <c r="AF1000" s="143"/>
      <c r="AG1000" s="143"/>
      <c r="AH1000" s="143"/>
      <c r="AI1000" s="143"/>
      <c r="AJ1000" s="143"/>
      <c r="AK1000" s="143"/>
      <c r="AL1000" s="143"/>
      <c r="AM1000" s="143"/>
      <c r="AN1000" s="143"/>
      <c r="AO1000" s="143"/>
      <c r="AP1000" s="143"/>
      <c r="AQ1000" s="143"/>
      <c r="AR1000" s="143"/>
      <c r="AS1000" s="143"/>
    </row>
    <row r="1001" spans="1:45" ht="15" customHeight="1">
      <c r="A1001" s="604"/>
      <c r="B1001" s="601"/>
      <c r="C1001" s="601"/>
      <c r="D1001" s="601"/>
      <c r="E1001" s="601"/>
      <c r="F1001" s="662"/>
      <c r="G1001" s="662"/>
      <c r="H1001" s="601"/>
      <c r="I1001" s="601"/>
      <c r="J1001" s="601"/>
      <c r="K1001" s="601"/>
      <c r="L1001" s="601"/>
      <c r="M1001" s="601"/>
      <c r="N1001" s="601"/>
      <c r="O1001" s="608"/>
      <c r="P1001" s="73"/>
      <c r="Q1001" s="463"/>
      <c r="R1001" s="73"/>
      <c r="S1001" s="73"/>
      <c r="T1001" s="73"/>
      <c r="U1001" s="73"/>
      <c r="V1001" s="73"/>
      <c r="W1001" s="73"/>
      <c r="X1001" s="73"/>
      <c r="Y1001" s="73"/>
      <c r="Z1001" s="73"/>
      <c r="AA1001" s="73"/>
      <c r="AC1001" s="73"/>
      <c r="AD1001" s="73"/>
      <c r="AF1001" s="143"/>
      <c r="AG1001" s="143"/>
      <c r="AH1001" s="143"/>
      <c r="AI1001" s="143"/>
      <c r="AJ1001" s="143"/>
      <c r="AK1001" s="143"/>
      <c r="AL1001" s="143"/>
      <c r="AM1001" s="143"/>
      <c r="AN1001" s="143"/>
      <c r="AO1001" s="143"/>
      <c r="AP1001" s="143"/>
      <c r="AQ1001" s="143"/>
      <c r="AR1001" s="143"/>
      <c r="AS1001" s="143"/>
    </row>
    <row r="1002" spans="1:45" ht="15" customHeight="1">
      <c r="A1002" s="610" t="str">
        <f t="shared" ref="A1002:A1033" si="101">A95</f>
        <v>101i</v>
      </c>
      <c r="B1002" s="575">
        <f>+(MST!G4+MST!H4+MST!I4)*1.25/2</f>
        <v>0.23125000000000001</v>
      </c>
      <c r="C1002" s="21">
        <f t="shared" ref="C1002:C1033" si="102">COS(ATAN(G95))</f>
        <v>0.99227787671366763</v>
      </c>
      <c r="D1002" s="575">
        <f>+B1002/C1002</f>
        <v>0.23304963803675496</v>
      </c>
      <c r="E1002" s="575">
        <f>input!AK3</f>
        <v>2500</v>
      </c>
      <c r="F1002" s="575">
        <f>input!M3</f>
        <v>2600</v>
      </c>
      <c r="G1002" s="1630" t="str">
        <f>IF(OR(AND(E1002&lt;=3*F1002,input!AJ3=0),AND(E1002&lt;=1.5*F1002,input!AJ3&lt;&gt;0)),"Stiffened","Unstiffened")</f>
        <v>Stiffened</v>
      </c>
      <c r="H1002" s="575">
        <f>IF(G1002="Stiffened",5+5/(E1002/input!M3)^2,5)</f>
        <v>10.408000000000001</v>
      </c>
      <c r="I1002" s="575">
        <f>F1002/C1002</f>
        <v>2620.2337681970289</v>
      </c>
      <c r="J1002" s="575">
        <f>input!N3</f>
        <v>12</v>
      </c>
      <c r="K1002" s="1631">
        <f>IF(I1002/J1002&lt;=1.12*SQRT(Es*H1002/input!BK3),1,IF(I1002/J1002&lt;=1.4*SQRT(Es*H1002/input!BK3),1.12/(I1002/J1002)*SQRT(Es*H1002/input!BK3),1.57*SQRT(Es*H1002/input!BK3)^2/(I1002/J1002)^2))</f>
        <v>0.20274039632533478</v>
      </c>
      <c r="L1002" s="21">
        <f>0.58*input!BK3*1000*input!BQ3*input!N3/10^6</f>
        <v>6474.0735944612179</v>
      </c>
      <c r="M1002" s="575">
        <f>K1002*L1002</f>
        <v>1312.556246380452</v>
      </c>
      <c r="N1002" s="819" t="str">
        <f t="shared" ref="N1002:N1033" si="103">IF(1*M1002&gt;=ABS(D1002),"OK","NG")</f>
        <v>OK</v>
      </c>
      <c r="O1002" s="606">
        <f t="shared" ref="O1002:O1033" si="104">M1002/ABS(D1002)</f>
        <v>5632.0887577325684</v>
      </c>
      <c r="P1002" s="73"/>
      <c r="Q1002" s="73"/>
      <c r="R1002" s="1173"/>
      <c r="S1002" s="73"/>
      <c r="T1002" s="73"/>
      <c r="U1002" s="73"/>
      <c r="V1002" s="73"/>
      <c r="Y1002" s="143"/>
      <c r="AB1002" s="143"/>
      <c r="AD1002" s="143"/>
      <c r="AE1002" s="143"/>
      <c r="AF1002" s="143"/>
      <c r="AG1002" s="143"/>
      <c r="AH1002" s="143"/>
      <c r="AI1002" s="143"/>
      <c r="AJ1002" s="143"/>
      <c r="AK1002" s="143"/>
      <c r="AL1002" s="143"/>
      <c r="AM1002" s="143"/>
      <c r="AN1002" s="143"/>
      <c r="AO1002" s="143"/>
      <c r="AP1002" s="143"/>
      <c r="AQ1002" s="143"/>
      <c r="AR1002" s="143"/>
      <c r="AS1002" s="143"/>
    </row>
    <row r="1003" spans="1:45" ht="15" customHeight="1">
      <c r="A1003" s="610" t="str">
        <f t="shared" si="101"/>
        <v>101j</v>
      </c>
      <c r="B1003" s="575">
        <f>+(MST!G5+MST!H5+MST!I5)*1.25/2</f>
        <v>-24.243750000000006</v>
      </c>
      <c r="C1003" s="21">
        <f t="shared" si="102"/>
        <v>0.99227787671366763</v>
      </c>
      <c r="D1003" s="575">
        <f t="shared" ref="D1003:D1033" si="105">+B1003/C1003</f>
        <v>-24.432420160664126</v>
      </c>
      <c r="E1003" s="575">
        <f>input!AK4</f>
        <v>2500</v>
      </c>
      <c r="F1003" s="575">
        <f>input!M4</f>
        <v>2600</v>
      </c>
      <c r="G1003" s="1630" t="str">
        <f>IF(OR(AND(E1003&lt;=3*F1003,input!AJ4=0),AND(E1003&lt;=1.5*F1003,input!AJ4&lt;&gt;0)),"Stiffened","Unstiffened")</f>
        <v>Stiffened</v>
      </c>
      <c r="H1003" s="575">
        <f>IF(G1003="Stiffened",5+5/(E1003/input!M4)^2,5)</f>
        <v>10.408000000000001</v>
      </c>
      <c r="I1003" s="575">
        <f t="shared" ref="I1003:I1063" si="106">F1003/C1003</f>
        <v>2620.2337681970289</v>
      </c>
      <c r="J1003" s="575">
        <f>input!N4</f>
        <v>12</v>
      </c>
      <c r="K1003" s="1631">
        <f>IF(I1003/J1003&lt;=1.12*SQRT(Es*H1003/input!BK4),1,IF(I1003/J1003&lt;=1.4*SQRT(Es*H1003/input!BK4),1.12/(I1003/J1003)*SQRT(Es*H1003/input!BK4),1.57*SQRT(Es*H1003/input!BK4)^2/(I1003/J1003)^2))</f>
        <v>0.20274039632533478</v>
      </c>
      <c r="L1003" s="575">
        <f>0.58*input!BK4*1000*input!BQ4*input!N4/10^6</f>
        <v>6474.0735944612179</v>
      </c>
      <c r="M1003" s="575">
        <f t="shared" ref="M1003:M1033" si="107">K1003*L1003</f>
        <v>1312.556246380452</v>
      </c>
      <c r="N1003" s="819" t="str">
        <f t="shared" si="103"/>
        <v>OK</v>
      </c>
      <c r="O1003" s="607">
        <f t="shared" si="104"/>
        <v>53.721908748673627</v>
      </c>
      <c r="P1003" s="73"/>
      <c r="Q1003" s="73"/>
      <c r="R1003" s="1172"/>
      <c r="S1003" s="73"/>
      <c r="T1003" s="73"/>
      <c r="U1003" s="73"/>
      <c r="V1003" s="73"/>
      <c r="Y1003" s="143"/>
      <c r="AB1003" s="143"/>
      <c r="AD1003" s="143"/>
      <c r="AE1003" s="143"/>
      <c r="AF1003" s="143"/>
      <c r="AG1003" s="143"/>
      <c r="AH1003" s="143"/>
      <c r="AI1003" s="143"/>
      <c r="AJ1003" s="143"/>
      <c r="AK1003" s="143"/>
      <c r="AL1003" s="143"/>
      <c r="AM1003" s="143"/>
      <c r="AN1003" s="143"/>
      <c r="AO1003" s="143"/>
      <c r="AP1003" s="143"/>
      <c r="AQ1003" s="143"/>
      <c r="AR1003" s="143"/>
      <c r="AS1003" s="143"/>
    </row>
    <row r="1004" spans="1:45" ht="15" customHeight="1">
      <c r="A1004" s="610" t="str">
        <f t="shared" si="101"/>
        <v>102i</v>
      </c>
      <c r="B1004" s="575">
        <f>+(MST!G6+MST!H6+MST!I6)*1.25/2</f>
        <v>1312.1624999999999</v>
      </c>
      <c r="C1004" s="21">
        <f t="shared" si="102"/>
        <v>0.99227787671366763</v>
      </c>
      <c r="D1004" s="575">
        <f t="shared" si="105"/>
        <v>1322.3740353314745</v>
      </c>
      <c r="E1004" s="575">
        <f>input!AK5</f>
        <v>2500</v>
      </c>
      <c r="F1004" s="575">
        <f>input!M5</f>
        <v>2600</v>
      </c>
      <c r="G1004" s="1630" t="str">
        <f>IF(OR(AND(E1004&lt;=3*F1004,input!AJ5=0),AND(E1004&lt;=1.5*F1004,input!AJ5&lt;&gt;0)),"Stiffened","Unstiffened")</f>
        <v>Stiffened</v>
      </c>
      <c r="H1004" s="575">
        <f>IF(G1004="Stiffened",5+5/(E1004/input!M5)^2,5)</f>
        <v>10.408000000000001</v>
      </c>
      <c r="I1004" s="575">
        <f t="shared" si="106"/>
        <v>2620.2337681970289</v>
      </c>
      <c r="J1004" s="575">
        <f>input!N5</f>
        <v>12</v>
      </c>
      <c r="K1004" s="1631">
        <f>IF(I1004/J1004&lt;=1.12*SQRT(Es*H1004/input!BK5),1,IF(I1004/J1004&lt;=1.4*SQRT(Es*H1004/input!BK5),1.12/(I1004/J1004)*SQRT(Es*H1004/input!BK5),1.57*SQRT(Es*H1004/input!BK5)^2/(I1004/J1004)^2))</f>
        <v>0.20274039632533478</v>
      </c>
      <c r="L1004" s="575">
        <f>0.58*input!BK5*1000*input!BQ5*input!N5/10^6</f>
        <v>6474.0735944612179</v>
      </c>
      <c r="M1004" s="575">
        <f t="shared" si="107"/>
        <v>1312.556246380452</v>
      </c>
      <c r="N1004" s="819" t="str">
        <f t="shared" si="103"/>
        <v>NG</v>
      </c>
      <c r="O1004" s="607">
        <f t="shared" si="104"/>
        <v>0.99257563390636183</v>
      </c>
      <c r="P1004" s="73"/>
      <c r="Q1004" s="73"/>
      <c r="R1004" s="73"/>
      <c r="S1004" s="73"/>
      <c r="T1004" s="73"/>
      <c r="U1004" s="73"/>
      <c r="V1004" s="73"/>
      <c r="Y1004" s="143"/>
      <c r="AB1004" s="143"/>
      <c r="AD1004" s="143"/>
      <c r="AE1004" s="143"/>
      <c r="AF1004" s="143"/>
      <c r="AG1004" s="143"/>
      <c r="AH1004" s="143"/>
      <c r="AI1004" s="143"/>
      <c r="AJ1004" s="143"/>
      <c r="AK1004" s="143"/>
      <c r="AL1004" s="143"/>
      <c r="AM1004" s="143"/>
      <c r="AN1004" s="143"/>
      <c r="AO1004" s="143"/>
      <c r="AP1004" s="143"/>
      <c r="AQ1004" s="143"/>
      <c r="AR1004" s="143"/>
      <c r="AS1004" s="143"/>
    </row>
    <row r="1005" spans="1:45" ht="15" customHeight="1">
      <c r="A1005" s="610" t="str">
        <f t="shared" si="101"/>
        <v>102j</v>
      </c>
      <c r="B1005" s="575">
        <f>+(MST!G7+MST!H7+MST!I7)*1.25/2</f>
        <v>1194.2249999999999</v>
      </c>
      <c r="C1005" s="21">
        <f t="shared" si="102"/>
        <v>0.99227787671366763</v>
      </c>
      <c r="D1005" s="575">
        <f t="shared" si="105"/>
        <v>1203.5187199327293</v>
      </c>
      <c r="E1005" s="575">
        <f>input!AK6</f>
        <v>2500</v>
      </c>
      <c r="F1005" s="575">
        <f>input!M6</f>
        <v>2600</v>
      </c>
      <c r="G1005" s="1630" t="str">
        <f>IF(OR(AND(E1005&lt;=3*F1005,input!AJ6=0),AND(E1005&lt;=1.5*F1005,input!AJ6&lt;&gt;0)),"Stiffened","Unstiffened")</f>
        <v>Stiffened</v>
      </c>
      <c r="H1005" s="575">
        <f>IF(G1005="Stiffened",5+5/(E1005/input!M6)^2,5)</f>
        <v>10.408000000000001</v>
      </c>
      <c r="I1005" s="575">
        <f t="shared" si="106"/>
        <v>2620.2337681970289</v>
      </c>
      <c r="J1005" s="575">
        <f>input!N6</f>
        <v>12</v>
      </c>
      <c r="K1005" s="1631">
        <f>IF(I1005/J1005&lt;=1.12*SQRT(Es*H1005/input!BK6),1,IF(I1005/J1005&lt;=1.4*SQRT(Es*H1005/input!BK6),1.12/(I1005/J1005)*SQRT(Es*H1005/input!BK6),1.57*SQRT(Es*H1005/input!BK6)^2/(I1005/J1005)^2))</f>
        <v>0.20274039632533478</v>
      </c>
      <c r="L1005" s="575">
        <f>0.58*input!BK6*1000*input!BQ6*input!N6/10^6</f>
        <v>6474.0735944612179</v>
      </c>
      <c r="M1005" s="575">
        <f t="shared" si="107"/>
        <v>1312.556246380452</v>
      </c>
      <c r="N1005" s="819" t="str">
        <f t="shared" si="103"/>
        <v>OK</v>
      </c>
      <c r="O1005" s="607">
        <f t="shared" si="104"/>
        <v>1.0905989451113958</v>
      </c>
      <c r="P1005" s="73"/>
      <c r="Q1005" s="73"/>
      <c r="R1005" s="73"/>
      <c r="S1005" s="73"/>
      <c r="T1005" s="73"/>
      <c r="U1005" s="73"/>
      <c r="V1005" s="73"/>
      <c r="Y1005" s="143"/>
      <c r="AB1005" s="143"/>
      <c r="AD1005" s="143"/>
      <c r="AE1005" s="143"/>
      <c r="AF1005" s="143"/>
      <c r="AG1005" s="143"/>
      <c r="AH1005" s="143"/>
      <c r="AI1005" s="143"/>
      <c r="AJ1005" s="143"/>
      <c r="AK1005" s="143"/>
      <c r="AL1005" s="143"/>
      <c r="AM1005" s="143"/>
      <c r="AN1005" s="143"/>
      <c r="AO1005" s="143"/>
      <c r="AP1005" s="143"/>
      <c r="AQ1005" s="143"/>
      <c r="AR1005" s="143"/>
      <c r="AS1005" s="143"/>
    </row>
    <row r="1006" spans="1:45" ht="15" customHeight="1">
      <c r="A1006" s="610" t="str">
        <f t="shared" si="101"/>
        <v>103i</v>
      </c>
      <c r="B1006" s="575">
        <f>+(MST!G8+MST!H8+MST!I8)*1.25/2</f>
        <v>1194.2</v>
      </c>
      <c r="C1006" s="21">
        <f t="shared" si="102"/>
        <v>0.99227787671366763</v>
      </c>
      <c r="D1006" s="575">
        <f t="shared" si="105"/>
        <v>1203.493525377266</v>
      </c>
      <c r="E1006" s="575">
        <f>input!AK7</f>
        <v>2500</v>
      </c>
      <c r="F1006" s="575">
        <f>input!M7</f>
        <v>2800</v>
      </c>
      <c r="G1006" s="1630" t="str">
        <f>IF(OR(AND(E1006&lt;=3*F1006,input!AJ7=0),AND(E1006&lt;=1.5*F1006,input!AJ7&lt;&gt;0)),"Stiffened","Unstiffened")</f>
        <v>Stiffened</v>
      </c>
      <c r="H1006" s="575">
        <f>IF(G1006="Stiffened",5+5/(E1006/input!M7)^2,5)</f>
        <v>11.271999999999998</v>
      </c>
      <c r="I1006" s="575">
        <f t="shared" si="106"/>
        <v>2821.7902119044925</v>
      </c>
      <c r="J1006" s="575">
        <f>input!N7</f>
        <v>12</v>
      </c>
      <c r="K1006" s="1631">
        <f>IF(I1006/J1006&lt;=1.12*SQRT(Es*H1006/input!BK7),1,IF(I1006/J1006&lt;=1.4*SQRT(Es*H1006/input!BK7),1.12/(I1006/J1006)*SQRT(Es*H1006/input!BK7),1.57*SQRT(Es*H1006/input!BK7)^2/(I1006/J1006)^2))</f>
        <v>0.18932354199040394</v>
      </c>
      <c r="L1006" s="575">
        <f>0.58*input!BK7*1000*input!BQ7*input!N7/10^6</f>
        <v>6972.079255573618</v>
      </c>
      <c r="M1006" s="575">
        <f t="shared" si="107"/>
        <v>1319.9787397030161</v>
      </c>
      <c r="N1006" s="819" t="str">
        <f t="shared" si="103"/>
        <v>OK</v>
      </c>
      <c r="O1006" s="607">
        <f t="shared" si="104"/>
        <v>1.0967892322388979</v>
      </c>
      <c r="P1006" s="73"/>
      <c r="Q1006" s="73"/>
      <c r="R1006" s="73"/>
      <c r="S1006" s="73"/>
      <c r="T1006" s="73"/>
      <c r="U1006" s="73"/>
      <c r="V1006" s="73"/>
      <c r="Y1006" s="143"/>
      <c r="AB1006" s="143"/>
      <c r="AD1006" s="143"/>
      <c r="AE1006" s="143"/>
      <c r="AF1006" s="143"/>
      <c r="AG1006" s="143"/>
      <c r="AH1006" s="143"/>
      <c r="AI1006" s="143"/>
      <c r="AJ1006" s="143"/>
      <c r="AK1006" s="143"/>
      <c r="AL1006" s="143"/>
      <c r="AM1006" s="143"/>
      <c r="AN1006" s="143"/>
      <c r="AO1006" s="143"/>
      <c r="AP1006" s="143"/>
      <c r="AQ1006" s="143"/>
      <c r="AR1006" s="143"/>
      <c r="AS1006" s="143"/>
    </row>
    <row r="1007" spans="1:45" ht="15" customHeight="1">
      <c r="A1007" s="610" t="str">
        <f t="shared" si="101"/>
        <v>103j</v>
      </c>
      <c r="B1007" s="575">
        <f>+(MST!G9+MST!H9+MST!I9)*1.25/2</f>
        <v>1075.73125</v>
      </c>
      <c r="C1007" s="21">
        <f t="shared" si="102"/>
        <v>0.99227787671366763</v>
      </c>
      <c r="D1007" s="575">
        <f t="shared" si="105"/>
        <v>1084.102825674923</v>
      </c>
      <c r="E1007" s="575">
        <f>input!AK8</f>
        <v>2500</v>
      </c>
      <c r="F1007" s="575">
        <f>input!M8</f>
        <v>2800</v>
      </c>
      <c r="G1007" s="1630" t="str">
        <f>IF(OR(AND(E1007&lt;=3*F1007,input!AJ8=0),AND(E1007&lt;=1.5*F1007,input!AJ8&lt;&gt;0)),"Stiffened","Unstiffened")</f>
        <v>Stiffened</v>
      </c>
      <c r="H1007" s="575">
        <f>IF(G1007="Stiffened",5+5/(E1007/input!M8)^2,5)</f>
        <v>11.271999999999998</v>
      </c>
      <c r="I1007" s="575">
        <f t="shared" si="106"/>
        <v>2821.7902119044925</v>
      </c>
      <c r="J1007" s="575">
        <f>input!N8</f>
        <v>12</v>
      </c>
      <c r="K1007" s="1631">
        <f>IF(I1007/J1007&lt;=1.12*SQRT(Es*H1007/input!BK8),1,IF(I1007/J1007&lt;=1.4*SQRT(Es*H1007/input!BK8),1.12/(I1007/J1007)*SQRT(Es*H1007/input!BK8),1.57*SQRT(Es*H1007/input!BK8)^2/(I1007/J1007)^2))</f>
        <v>0.18932354199040394</v>
      </c>
      <c r="L1007" s="575">
        <f>0.58*input!BK8*1000*input!BQ8*input!N8/10^6</f>
        <v>6972.079255573618</v>
      </c>
      <c r="M1007" s="575">
        <f t="shared" si="107"/>
        <v>1319.9787397030161</v>
      </c>
      <c r="N1007" s="819" t="str">
        <f t="shared" si="103"/>
        <v>OK</v>
      </c>
      <c r="O1007" s="607">
        <f t="shared" si="104"/>
        <v>1.2175770678221831</v>
      </c>
      <c r="P1007" s="73"/>
      <c r="Q1007" s="463"/>
      <c r="R1007" s="73"/>
      <c r="S1007" s="73"/>
      <c r="T1007" s="73"/>
      <c r="U1007" s="73"/>
      <c r="V1007" s="73"/>
      <c r="Y1007" s="143"/>
      <c r="AB1007" s="143"/>
      <c r="AD1007" s="143"/>
      <c r="AE1007" s="143"/>
      <c r="AF1007" s="143"/>
      <c r="AG1007" s="143"/>
      <c r="AH1007" s="143"/>
      <c r="AI1007" s="143"/>
      <c r="AJ1007" s="143"/>
      <c r="AK1007" s="143"/>
      <c r="AL1007" s="143"/>
      <c r="AM1007" s="143"/>
      <c r="AN1007" s="143"/>
      <c r="AO1007" s="143"/>
      <c r="AP1007" s="143"/>
      <c r="AQ1007" s="143"/>
      <c r="AR1007" s="143"/>
      <c r="AS1007" s="143"/>
    </row>
    <row r="1008" spans="1:45" ht="15" customHeight="1">
      <c r="A1008" s="610" t="str">
        <f t="shared" si="101"/>
        <v>104i</v>
      </c>
      <c r="B1008" s="575">
        <f>+(MST!G10+MST!H10+MST!I10)*1.25/2</f>
        <v>1022.9875</v>
      </c>
      <c r="C1008" s="21">
        <f t="shared" si="102"/>
        <v>0.99227787671366763</v>
      </c>
      <c r="D1008" s="575">
        <f t="shared" si="105"/>
        <v>1030.9486122859453</v>
      </c>
      <c r="E1008" s="575">
        <f>input!AK9</f>
        <v>2500</v>
      </c>
      <c r="F1008" s="575">
        <f>input!M9</f>
        <v>2800</v>
      </c>
      <c r="G1008" s="1630" t="str">
        <f>IF(OR(AND(E1008&lt;=3*F1008,input!AJ9=0),AND(E1008&lt;=1.5*F1008,input!AJ9&lt;&gt;0)),"Stiffened","Unstiffened")</f>
        <v>Stiffened</v>
      </c>
      <c r="H1008" s="575">
        <f>IF(G1008="Stiffened",5+5/(E1008/input!M9)^2,5)</f>
        <v>11.271999999999998</v>
      </c>
      <c r="I1008" s="575">
        <f t="shared" si="106"/>
        <v>2821.7902119044925</v>
      </c>
      <c r="J1008" s="575">
        <f>input!N9</f>
        <v>12</v>
      </c>
      <c r="K1008" s="1631">
        <f>IF(I1008/J1008&lt;=1.12*SQRT(Es*H1008/input!BK9),1,IF(I1008/J1008&lt;=1.4*SQRT(Es*H1008/input!BK9),1.12/(I1008/J1008)*SQRT(Es*H1008/input!BK9),1.57*SQRT(Es*H1008/input!BK9)^2/(I1008/J1008)^2))</f>
        <v>0.18932354199040394</v>
      </c>
      <c r="L1008" s="575">
        <f>0.58*input!BK9*1000*input!BQ9*input!N9/10^6</f>
        <v>6972.079255573618</v>
      </c>
      <c r="M1008" s="575">
        <f t="shared" si="107"/>
        <v>1319.9787397030161</v>
      </c>
      <c r="N1008" s="819" t="str">
        <f t="shared" si="103"/>
        <v>OK</v>
      </c>
      <c r="O1008" s="607">
        <f t="shared" si="104"/>
        <v>1.2803535733718074</v>
      </c>
      <c r="P1008" s="73"/>
      <c r="Q1008" s="73"/>
      <c r="R1008" s="73"/>
      <c r="S1008" s="73"/>
      <c r="T1008" s="73"/>
      <c r="U1008" s="73"/>
      <c r="V1008" s="73"/>
      <c r="Y1008" s="143"/>
      <c r="AB1008" s="143"/>
      <c r="AD1008" s="143"/>
      <c r="AE1008" s="143"/>
      <c r="AF1008" s="143"/>
      <c r="AG1008" s="143"/>
      <c r="AH1008" s="143"/>
      <c r="AI1008" s="143"/>
      <c r="AJ1008" s="143"/>
      <c r="AK1008" s="143"/>
      <c r="AL1008" s="143"/>
      <c r="AM1008" s="143"/>
      <c r="AN1008" s="143"/>
      <c r="AO1008" s="143"/>
      <c r="AP1008" s="143"/>
      <c r="AQ1008" s="143"/>
      <c r="AR1008" s="143"/>
      <c r="AS1008" s="143"/>
    </row>
    <row r="1009" spans="1:45" ht="15" customHeight="1">
      <c r="A1009" s="610" t="str">
        <f t="shared" si="101"/>
        <v>104j</v>
      </c>
      <c r="B1009" s="575">
        <f>+(MST!G11+MST!H11+MST!I11)*1.25/2</f>
        <v>862.89375000000007</v>
      </c>
      <c r="C1009" s="21">
        <f t="shared" si="102"/>
        <v>0.99227787671366763</v>
      </c>
      <c r="D1009" s="575">
        <f t="shared" si="105"/>
        <v>869.6089777369865</v>
      </c>
      <c r="E1009" s="575">
        <f>input!AK10</f>
        <v>2500</v>
      </c>
      <c r="F1009" s="575">
        <f>input!M10</f>
        <v>2800</v>
      </c>
      <c r="G1009" s="1630" t="str">
        <f>IF(OR(AND(E1009&lt;=3*F1009,input!AJ10=0),AND(E1009&lt;=1.5*F1009,input!AJ10&lt;&gt;0)),"Stiffened","Unstiffened")</f>
        <v>Stiffened</v>
      </c>
      <c r="H1009" s="575">
        <f>IF(G1009="Stiffened",5+5/(E1009/input!M10)^2,5)</f>
        <v>11.271999999999998</v>
      </c>
      <c r="I1009" s="575">
        <f t="shared" si="106"/>
        <v>2821.7902119044925</v>
      </c>
      <c r="J1009" s="575">
        <f>input!N10</f>
        <v>12</v>
      </c>
      <c r="K1009" s="1631">
        <f>IF(I1009/J1009&lt;=1.12*SQRT(Es*H1009/input!BK10),1,IF(I1009/J1009&lt;=1.4*SQRT(Es*H1009/input!BK10),1.12/(I1009/J1009)*SQRT(Es*H1009/input!BK10),1.57*SQRT(Es*H1009/input!BK10)^2/(I1009/J1009)^2))</f>
        <v>0.18932354199040394</v>
      </c>
      <c r="L1009" s="575">
        <f>0.58*input!BK10*1000*input!BQ10*input!N10/10^6</f>
        <v>6972.079255573618</v>
      </c>
      <c r="M1009" s="575">
        <f t="shared" si="107"/>
        <v>1319.9787397030161</v>
      </c>
      <c r="N1009" s="819" t="str">
        <f t="shared" si="103"/>
        <v>OK</v>
      </c>
      <c r="O1009" s="607">
        <f t="shared" si="104"/>
        <v>1.5178991632975576</v>
      </c>
      <c r="P1009" s="73"/>
      <c r="Q1009" s="73"/>
      <c r="R1009" s="73"/>
      <c r="S1009" s="73"/>
      <c r="T1009" s="73"/>
      <c r="U1009" s="73"/>
      <c r="V1009" s="73"/>
      <c r="Y1009" s="143"/>
      <c r="AB1009" s="143"/>
      <c r="AD1009" s="143"/>
      <c r="AE1009" s="143"/>
      <c r="AF1009" s="143"/>
      <c r="AG1009" s="143"/>
      <c r="AH1009" s="143"/>
      <c r="AI1009" s="143"/>
      <c r="AJ1009" s="143"/>
      <c r="AK1009" s="143"/>
      <c r="AL1009" s="143"/>
      <c r="AM1009" s="143"/>
      <c r="AN1009" s="143"/>
      <c r="AO1009" s="143"/>
      <c r="AP1009" s="143"/>
      <c r="AQ1009" s="143"/>
      <c r="AR1009" s="143"/>
      <c r="AS1009" s="143"/>
    </row>
    <row r="1010" spans="1:45" ht="15" customHeight="1">
      <c r="A1010" s="610" t="str">
        <f t="shared" si="101"/>
        <v>105i</v>
      </c>
      <c r="B1010" s="575">
        <f>+(MST!G12+MST!H12+MST!I12)*1.25/2</f>
        <v>862.90625</v>
      </c>
      <c r="C1010" s="21">
        <f t="shared" si="102"/>
        <v>0.99227787671366763</v>
      </c>
      <c r="D1010" s="575">
        <f t="shared" si="105"/>
        <v>869.62157501471813</v>
      </c>
      <c r="E1010" s="575">
        <f>input!AK11</f>
        <v>2500</v>
      </c>
      <c r="F1010" s="575">
        <f>input!M11</f>
        <v>2800</v>
      </c>
      <c r="G1010" s="1630" t="str">
        <f>IF(OR(AND(E1010&lt;=3*F1010,input!AJ11=0),AND(E1010&lt;=1.5*F1010,input!AJ11&lt;&gt;0)),"Stiffened","Unstiffened")</f>
        <v>Stiffened</v>
      </c>
      <c r="H1010" s="575">
        <f>IF(G1010="Stiffened",5+5/(E1010/input!M11)^2,5)</f>
        <v>11.271999999999998</v>
      </c>
      <c r="I1010" s="575">
        <f t="shared" si="106"/>
        <v>2821.7902119044925</v>
      </c>
      <c r="J1010" s="575">
        <f>input!N11</f>
        <v>12</v>
      </c>
      <c r="K1010" s="1631">
        <f>IF(I1010/J1010&lt;=1.12*SQRT(Es*H1010/input!BK11),1,IF(I1010/J1010&lt;=1.4*SQRT(Es*H1010/input!BK11),1.12/(I1010/J1010)*SQRT(Es*H1010/input!BK11),1.57*SQRT(Es*H1010/input!BK11)^2/(I1010/J1010)^2))</f>
        <v>0.18932354199040394</v>
      </c>
      <c r="L1010" s="575">
        <f>0.58*input!BK11*1000*input!BQ11*input!N11/10^6</f>
        <v>6972.079255573618</v>
      </c>
      <c r="M1010" s="575">
        <f t="shared" si="107"/>
        <v>1319.9787397030161</v>
      </c>
      <c r="N1010" s="819" t="str">
        <f t="shared" si="103"/>
        <v>OK</v>
      </c>
      <c r="O1010" s="607">
        <f t="shared" si="104"/>
        <v>1.5178771751157114</v>
      </c>
      <c r="P1010" s="73"/>
      <c r="Q1010" s="73"/>
      <c r="R1010" s="73"/>
      <c r="S1010" s="73"/>
      <c r="T1010" s="73"/>
      <c r="U1010" s="73"/>
      <c r="V1010" s="73"/>
      <c r="Y1010" s="143"/>
      <c r="AB1010" s="143"/>
      <c r="AD1010" s="143"/>
      <c r="AE1010" s="143"/>
      <c r="AF1010" s="143"/>
      <c r="AG1010" s="143"/>
      <c r="AH1010" s="143"/>
      <c r="AI1010" s="143"/>
      <c r="AJ1010" s="143"/>
      <c r="AK1010" s="143"/>
      <c r="AL1010" s="143"/>
      <c r="AM1010" s="143"/>
      <c r="AN1010" s="143"/>
      <c r="AO1010" s="143"/>
      <c r="AP1010" s="143"/>
      <c r="AQ1010" s="143"/>
      <c r="AR1010" s="143"/>
      <c r="AS1010" s="143"/>
    </row>
    <row r="1011" spans="1:45" ht="15" customHeight="1">
      <c r="A1011" s="610" t="str">
        <f t="shared" si="101"/>
        <v>105j</v>
      </c>
      <c r="B1011" s="575">
        <f>+(MST!G13+MST!H13+MST!I13)*1.25/2</f>
        <v>689.15000000000009</v>
      </c>
      <c r="C1011" s="21">
        <f t="shared" si="102"/>
        <v>0.99227787671366763</v>
      </c>
      <c r="D1011" s="575">
        <f t="shared" si="105"/>
        <v>694.51311590499324</v>
      </c>
      <c r="E1011" s="575">
        <f>input!AK12</f>
        <v>2500</v>
      </c>
      <c r="F1011" s="575">
        <f>input!M12</f>
        <v>2800</v>
      </c>
      <c r="G1011" s="1630" t="str">
        <f>IF(OR(AND(E1011&lt;=3*F1011,input!AJ12=0),AND(E1011&lt;=1.5*F1011,input!AJ12&lt;&gt;0)),"Stiffened","Unstiffened")</f>
        <v>Stiffened</v>
      </c>
      <c r="H1011" s="575">
        <f>IF(G1011="Stiffened",5+5/(E1011/input!M12)^2,5)</f>
        <v>11.271999999999998</v>
      </c>
      <c r="I1011" s="575">
        <f t="shared" si="106"/>
        <v>2821.7902119044925</v>
      </c>
      <c r="J1011" s="575">
        <f>input!N12</f>
        <v>12</v>
      </c>
      <c r="K1011" s="1631">
        <f>IF(I1011/J1011&lt;=1.12*SQRT(Es*H1011/input!BK12),1,IF(I1011/J1011&lt;=1.4*SQRT(Es*H1011/input!BK12),1.12/(I1011/J1011)*SQRT(Es*H1011/input!BK12),1.57*SQRT(Es*H1011/input!BK12)^2/(I1011/J1011)^2))</f>
        <v>0.18932354199040394</v>
      </c>
      <c r="L1011" s="575">
        <f>0.58*input!BK12*1000*input!BQ12*input!N12/10^6</f>
        <v>6972.079255573618</v>
      </c>
      <c r="M1011" s="575">
        <f t="shared" si="107"/>
        <v>1319.9787397030161</v>
      </c>
      <c r="N1011" s="819" t="str">
        <f t="shared" si="103"/>
        <v>OK</v>
      </c>
      <c r="O1011" s="607">
        <f t="shared" si="104"/>
        <v>1.9005814425592276</v>
      </c>
      <c r="P1011" s="73"/>
      <c r="Q1011" s="73"/>
      <c r="R1011" s="73"/>
      <c r="S1011" s="73"/>
      <c r="T1011" s="73"/>
      <c r="U1011" s="73"/>
      <c r="V1011" s="73"/>
      <c r="Y1011" s="143"/>
      <c r="AB1011" s="143"/>
      <c r="AD1011" s="143"/>
      <c r="AE1011" s="143"/>
      <c r="AF1011" s="143"/>
      <c r="AG1011" s="143"/>
      <c r="AH1011" s="143"/>
      <c r="AI1011" s="143"/>
      <c r="AJ1011" s="143"/>
      <c r="AK1011" s="143"/>
      <c r="AL1011" s="143"/>
      <c r="AM1011" s="143"/>
      <c r="AN1011" s="143"/>
      <c r="AO1011" s="143"/>
      <c r="AP1011" s="143"/>
      <c r="AQ1011" s="143"/>
      <c r="AR1011" s="143"/>
      <c r="AS1011" s="143"/>
    </row>
    <row r="1012" spans="1:45" ht="15" customHeight="1">
      <c r="A1012" s="610" t="str">
        <f t="shared" si="101"/>
        <v>106i</v>
      </c>
      <c r="B1012" s="575">
        <f>+(MST!G14+MST!H14+MST!I14)*1.25/2</f>
        <v>626.40625</v>
      </c>
      <c r="C1012" s="21">
        <f t="shared" si="102"/>
        <v>0.99227787671366763</v>
      </c>
      <c r="D1012" s="575">
        <f t="shared" si="105"/>
        <v>631.28108033064234</v>
      </c>
      <c r="E1012" s="575">
        <f>input!AK13</f>
        <v>2500</v>
      </c>
      <c r="F1012" s="575">
        <f>input!M13</f>
        <v>2800</v>
      </c>
      <c r="G1012" s="1630" t="str">
        <f>IF(OR(AND(E1012&lt;=3*F1012,input!AJ13=0),AND(E1012&lt;=1.5*F1012,input!AJ13&lt;&gt;0)),"Stiffened","Unstiffened")</f>
        <v>Stiffened</v>
      </c>
      <c r="H1012" s="575">
        <f>IF(G1012="Stiffened",5+5/(E1012/input!M13)^2,5)</f>
        <v>11.271999999999998</v>
      </c>
      <c r="I1012" s="575">
        <f t="shared" si="106"/>
        <v>2821.7902119044925</v>
      </c>
      <c r="J1012" s="575">
        <f>input!N13</f>
        <v>12</v>
      </c>
      <c r="K1012" s="1631">
        <f>IF(I1012/J1012&lt;=1.12*SQRT(Es*H1012/input!BK13),1,IF(I1012/J1012&lt;=1.4*SQRT(Es*H1012/input!BK13),1.12/(I1012/J1012)*SQRT(Es*H1012/input!BK13),1.57*SQRT(Es*H1012/input!BK13)^2/(I1012/J1012)^2))</f>
        <v>0.18932354199040394</v>
      </c>
      <c r="L1012" s="575">
        <f>0.58*input!BK13*1000*input!BQ13*input!N13/10^6</f>
        <v>6972.079255573618</v>
      </c>
      <c r="M1012" s="575">
        <f t="shared" si="107"/>
        <v>1319.9787397030161</v>
      </c>
      <c r="N1012" s="819" t="str">
        <f t="shared" si="103"/>
        <v>OK</v>
      </c>
      <c r="O1012" s="607">
        <f t="shared" si="104"/>
        <v>2.0909524787463276</v>
      </c>
      <c r="P1012" s="73"/>
      <c r="Q1012" s="73"/>
      <c r="R1012" s="73"/>
      <c r="S1012" s="73"/>
      <c r="T1012" s="73"/>
      <c r="U1012" s="73"/>
      <c r="V1012" s="73"/>
      <c r="Y1012" s="143"/>
      <c r="AB1012" s="143"/>
      <c r="AD1012" s="143"/>
      <c r="AE1012" s="143"/>
      <c r="AF1012" s="143"/>
      <c r="AG1012" s="143"/>
      <c r="AH1012" s="143"/>
      <c r="AI1012" s="143"/>
      <c r="AJ1012" s="143"/>
      <c r="AK1012" s="143"/>
      <c r="AL1012" s="143"/>
      <c r="AM1012" s="143"/>
      <c r="AN1012" s="143"/>
      <c r="AO1012" s="143"/>
      <c r="AP1012" s="143"/>
      <c r="AQ1012" s="143"/>
      <c r="AR1012" s="143"/>
      <c r="AS1012" s="143"/>
    </row>
    <row r="1013" spans="1:45" ht="15" customHeight="1">
      <c r="A1013" s="610" t="str">
        <f t="shared" si="101"/>
        <v>106j</v>
      </c>
      <c r="B1013" s="575">
        <f>+(MST!G15+MST!H15+MST!I15)*1.25/2</f>
        <v>452.65625</v>
      </c>
      <c r="C1013" s="21">
        <f t="shared" si="102"/>
        <v>0.99227787671366763</v>
      </c>
      <c r="D1013" s="575">
        <f t="shared" si="105"/>
        <v>456.17891985978321</v>
      </c>
      <c r="E1013" s="575">
        <f>input!AK14</f>
        <v>2500</v>
      </c>
      <c r="F1013" s="575">
        <f>input!M14</f>
        <v>2800</v>
      </c>
      <c r="G1013" s="1630" t="str">
        <f>IF(OR(AND(E1013&lt;=3*F1013,input!AJ14=0),AND(E1013&lt;=1.5*F1013,input!AJ14&lt;&gt;0)),"Stiffened","Unstiffened")</f>
        <v>Stiffened</v>
      </c>
      <c r="H1013" s="575">
        <f>IF(G1013="Stiffened",5+5/(E1013/input!M14)^2,5)</f>
        <v>11.271999999999998</v>
      </c>
      <c r="I1013" s="575">
        <f t="shared" si="106"/>
        <v>2821.7902119044925</v>
      </c>
      <c r="J1013" s="575">
        <f>input!N14</f>
        <v>12</v>
      </c>
      <c r="K1013" s="1631">
        <f>IF(I1013/J1013&lt;=1.12*SQRT(Es*H1013/input!BK14),1,IF(I1013/J1013&lt;=1.4*SQRT(Es*H1013/input!BK14),1.12/(I1013/J1013)*SQRT(Es*H1013/input!BK14),1.57*SQRT(Es*H1013/input!BK14)^2/(I1013/J1013)^2))</f>
        <v>0.18932354199040394</v>
      </c>
      <c r="L1013" s="575">
        <f>0.58*input!BK14*1000*input!BQ14*input!N14/10^6</f>
        <v>6972.079255573618</v>
      </c>
      <c r="M1013" s="575">
        <f t="shared" si="107"/>
        <v>1319.9787397030161</v>
      </c>
      <c r="N1013" s="819" t="str">
        <f t="shared" si="103"/>
        <v>OK</v>
      </c>
      <c r="O1013" s="607">
        <f t="shared" si="104"/>
        <v>2.893554879977227</v>
      </c>
      <c r="P1013" s="560"/>
      <c r="Q1013" s="463"/>
      <c r="R1013" s="73"/>
      <c r="S1013" s="73"/>
      <c r="T1013" s="73"/>
      <c r="U1013" s="73"/>
      <c r="V1013" s="73"/>
      <c r="W1013" s="73"/>
      <c r="X1013" s="73"/>
      <c r="Y1013" s="73"/>
      <c r="Z1013" s="73"/>
      <c r="AA1013" s="73"/>
      <c r="AC1013" s="73"/>
      <c r="AD1013" s="73"/>
      <c r="AF1013" s="143"/>
      <c r="AG1013" s="143"/>
      <c r="AH1013" s="143"/>
      <c r="AI1013" s="143"/>
      <c r="AJ1013" s="143"/>
      <c r="AK1013" s="143"/>
      <c r="AL1013" s="143"/>
      <c r="AM1013" s="143"/>
      <c r="AN1013" s="143"/>
      <c r="AO1013" s="143"/>
      <c r="AP1013" s="143"/>
      <c r="AQ1013" s="143"/>
      <c r="AR1013" s="143"/>
      <c r="AS1013" s="143"/>
    </row>
    <row r="1014" spans="1:45" ht="15" customHeight="1">
      <c r="A1014" s="610" t="str">
        <f t="shared" si="101"/>
        <v>107i</v>
      </c>
      <c r="B1014" s="575">
        <f>+(MST!G16+MST!H16+MST!I16)*1.25/2</f>
        <v>452.68124999999998</v>
      </c>
      <c r="C1014" s="21">
        <f t="shared" si="102"/>
        <v>0.99227787671366763</v>
      </c>
      <c r="D1014" s="575">
        <f t="shared" si="105"/>
        <v>456.20411441524658</v>
      </c>
      <c r="E1014" s="575">
        <f>input!AK15</f>
        <v>2500</v>
      </c>
      <c r="F1014" s="575">
        <f>input!M15</f>
        <v>2800</v>
      </c>
      <c r="G1014" s="1630" t="str">
        <f>IF(OR(AND(E1014&lt;=3*F1014,input!AJ15=0),AND(E1014&lt;=1.5*F1014,input!AJ15&lt;&gt;0)),"Stiffened","Unstiffened")</f>
        <v>Stiffened</v>
      </c>
      <c r="H1014" s="575">
        <f>IF(G1014="Stiffened",5+5/(E1014/input!M15)^2,5)</f>
        <v>11.271999999999998</v>
      </c>
      <c r="I1014" s="575">
        <f t="shared" si="106"/>
        <v>2821.7902119044925</v>
      </c>
      <c r="J1014" s="575">
        <f>input!N15</f>
        <v>12</v>
      </c>
      <c r="K1014" s="1631">
        <f>IF(I1014/J1014&lt;=1.12*SQRT(Es*H1014/input!BK15),1,IF(I1014/J1014&lt;=1.4*SQRT(Es*H1014/input!BK15),1.12/(I1014/J1014)*SQRT(Es*H1014/input!BK15),1.57*SQRT(Es*H1014/input!BK15)^2/(I1014/J1014)^2))</f>
        <v>0.18932354199040394</v>
      </c>
      <c r="L1014" s="575">
        <f>0.58*input!BK15*1000*input!BQ15*input!N15/10^6</f>
        <v>6972.079255573618</v>
      </c>
      <c r="M1014" s="575">
        <f t="shared" si="107"/>
        <v>1319.9787397030161</v>
      </c>
      <c r="N1014" s="819" t="str">
        <f t="shared" si="103"/>
        <v>OK</v>
      </c>
      <c r="O1014" s="607">
        <f t="shared" si="104"/>
        <v>2.89339507907538</v>
      </c>
      <c r="P1014" s="560"/>
      <c r="Q1014" s="463"/>
      <c r="R1014" s="73"/>
      <c r="S1014" s="73"/>
      <c r="T1014" s="73"/>
      <c r="U1014" s="73"/>
      <c r="V1014" s="73"/>
      <c r="W1014" s="73"/>
      <c r="X1014" s="73"/>
      <c r="Y1014" s="73"/>
      <c r="Z1014" s="73"/>
      <c r="AA1014" s="73"/>
      <c r="AC1014" s="73"/>
      <c r="AD1014" s="73"/>
      <c r="AF1014" s="143"/>
      <c r="AG1014" s="143"/>
      <c r="AH1014" s="143"/>
      <c r="AI1014" s="143"/>
      <c r="AJ1014" s="143"/>
      <c r="AK1014" s="143"/>
      <c r="AL1014" s="143"/>
      <c r="AM1014" s="143"/>
      <c r="AN1014" s="143"/>
      <c r="AO1014" s="143"/>
      <c r="AP1014" s="143"/>
      <c r="AQ1014" s="143"/>
      <c r="AR1014" s="143"/>
      <c r="AS1014" s="143"/>
    </row>
    <row r="1015" spans="1:45" ht="15" customHeight="1">
      <c r="A1015" s="610" t="str">
        <f t="shared" si="101"/>
        <v>107j</v>
      </c>
      <c r="B1015" s="575">
        <f>+(MST!G17+MST!H17+MST!I17)*1.25/2</f>
        <v>271.34999999999997</v>
      </c>
      <c r="C1015" s="21">
        <f t="shared" si="102"/>
        <v>0.99227787671366763</v>
      </c>
      <c r="D1015" s="575">
        <f t="shared" si="105"/>
        <v>273.4617050001014</v>
      </c>
      <c r="E1015" s="575">
        <f>input!AK16</f>
        <v>2500</v>
      </c>
      <c r="F1015" s="575">
        <f>input!M16</f>
        <v>2800</v>
      </c>
      <c r="G1015" s="1630" t="str">
        <f>IF(OR(AND(E1015&lt;=3*F1015,input!AJ16=0),AND(E1015&lt;=1.5*F1015,input!AJ16&lt;&gt;0)),"Stiffened","Unstiffened")</f>
        <v>Stiffened</v>
      </c>
      <c r="H1015" s="575">
        <f>IF(G1015="Stiffened",5+5/(E1015/input!M16)^2,5)</f>
        <v>11.271999999999998</v>
      </c>
      <c r="I1015" s="575">
        <f t="shared" si="106"/>
        <v>2821.7902119044925</v>
      </c>
      <c r="J1015" s="575">
        <f>input!N16</f>
        <v>12</v>
      </c>
      <c r="K1015" s="1631">
        <f>IF(I1015/J1015&lt;=1.12*SQRT(Es*H1015/input!BK16),1,IF(I1015/J1015&lt;=1.4*SQRT(Es*H1015/input!BK16),1.12/(I1015/J1015)*SQRT(Es*H1015/input!BK16),1.57*SQRT(Es*H1015/input!BK16)^2/(I1015/J1015)^2))</f>
        <v>0.18932354199040394</v>
      </c>
      <c r="L1015" s="575">
        <f>0.58*input!BK16*1000*input!BQ16*input!N16/10^6</f>
        <v>6972.079255573618</v>
      </c>
      <c r="M1015" s="575">
        <f t="shared" si="107"/>
        <v>1319.9787397030161</v>
      </c>
      <c r="N1015" s="819" t="str">
        <f t="shared" si="103"/>
        <v>OK</v>
      </c>
      <c r="O1015" s="607">
        <f t="shared" si="104"/>
        <v>4.8269235346957506</v>
      </c>
      <c r="P1015" s="560"/>
      <c r="Q1015" s="463"/>
      <c r="R1015" s="73"/>
      <c r="S1015" s="73"/>
      <c r="T1015" s="73"/>
      <c r="U1015" s="73"/>
      <c r="V1015" s="73"/>
      <c r="W1015" s="73"/>
      <c r="X1015" s="73"/>
      <c r="Y1015" s="73"/>
      <c r="Z1015" s="73"/>
      <c r="AA1015" s="73"/>
      <c r="AC1015" s="73"/>
      <c r="AD1015" s="73"/>
      <c r="AF1015" s="143"/>
      <c r="AG1015" s="143"/>
      <c r="AH1015" s="143"/>
      <c r="AI1015" s="143"/>
      <c r="AJ1015" s="143"/>
      <c r="AK1015" s="143"/>
      <c r="AL1015" s="143"/>
      <c r="AM1015" s="143"/>
      <c r="AN1015" s="143"/>
      <c r="AO1015" s="143"/>
      <c r="AP1015" s="143"/>
      <c r="AQ1015" s="143"/>
      <c r="AR1015" s="143"/>
      <c r="AS1015" s="143"/>
    </row>
    <row r="1016" spans="1:45" ht="15" customHeight="1">
      <c r="A1016" s="610" t="str">
        <f t="shared" si="101"/>
        <v>108i</v>
      </c>
      <c r="B1016" s="575">
        <f>+(MST!G18+MST!H18+MST!I18)*1.25/2</f>
        <v>204.82500000000002</v>
      </c>
      <c r="C1016" s="21">
        <f t="shared" si="102"/>
        <v>0.99227787671366763</v>
      </c>
      <c r="D1016" s="575">
        <f t="shared" si="105"/>
        <v>206.41899291190632</v>
      </c>
      <c r="E1016" s="575">
        <f>input!AK17</f>
        <v>2500</v>
      </c>
      <c r="F1016" s="575">
        <f>input!M17</f>
        <v>2800</v>
      </c>
      <c r="G1016" s="1630" t="str">
        <f>IF(OR(AND(E1016&lt;=3*F1016,input!AJ17=0),AND(E1016&lt;=1.5*F1016,input!AJ17&lt;&gt;0)),"Stiffened","Unstiffened")</f>
        <v>Stiffened</v>
      </c>
      <c r="H1016" s="575">
        <f>IF(G1016="Stiffened",5+5/(E1016/input!M17)^2,5)</f>
        <v>11.271999999999998</v>
      </c>
      <c r="I1016" s="575">
        <f t="shared" si="106"/>
        <v>2821.7902119044925</v>
      </c>
      <c r="J1016" s="575">
        <f>input!N17</f>
        <v>12</v>
      </c>
      <c r="K1016" s="1631">
        <f>IF(I1016/J1016&lt;=1.12*SQRT(Es*H1016/input!BK17),1,IF(I1016/J1016&lt;=1.4*SQRT(Es*H1016/input!BK17),1.12/(I1016/J1016)*SQRT(Es*H1016/input!BK17),1.57*SQRT(Es*H1016/input!BK17)^2/(I1016/J1016)^2))</f>
        <v>0.18932354199040394</v>
      </c>
      <c r="L1016" s="575">
        <f>0.58*input!BK17*1000*input!BQ17*input!N17/10^6</f>
        <v>6972.079255573618</v>
      </c>
      <c r="M1016" s="575">
        <f t="shared" si="107"/>
        <v>1319.9787397030161</v>
      </c>
      <c r="N1016" s="819" t="str">
        <f t="shared" si="103"/>
        <v>OK</v>
      </c>
      <c r="O1016" s="607">
        <f t="shared" si="104"/>
        <v>6.3946573960194888</v>
      </c>
      <c r="P1016" s="560"/>
      <c r="Q1016" s="463"/>
      <c r="R1016" s="73"/>
      <c r="S1016" s="73"/>
      <c r="T1016" s="73"/>
      <c r="U1016" s="73"/>
      <c r="V1016" s="73"/>
      <c r="W1016" s="73"/>
      <c r="X1016" s="73"/>
      <c r="Y1016" s="73"/>
      <c r="Z1016" s="73"/>
      <c r="AA1016" s="73"/>
      <c r="AC1016" s="73"/>
      <c r="AD1016" s="73"/>
      <c r="AF1016" s="143"/>
      <c r="AG1016" s="143"/>
      <c r="AH1016" s="143"/>
      <c r="AI1016" s="143"/>
      <c r="AJ1016" s="143"/>
      <c r="AK1016" s="143"/>
      <c r="AL1016" s="143"/>
      <c r="AM1016" s="143"/>
      <c r="AN1016" s="143"/>
      <c r="AO1016" s="143"/>
      <c r="AP1016" s="143"/>
      <c r="AQ1016" s="143"/>
      <c r="AR1016" s="143"/>
      <c r="AS1016" s="143"/>
    </row>
    <row r="1017" spans="1:45" ht="15" customHeight="1">
      <c r="A1017" s="610" t="str">
        <f t="shared" si="101"/>
        <v>108j</v>
      </c>
      <c r="B1017" s="575">
        <f>+(MST!G19+MST!H19+MST!I19)*1.25/2</f>
        <v>23.493750000000002</v>
      </c>
      <c r="C1017" s="21">
        <f t="shared" si="102"/>
        <v>0.99227787671366763</v>
      </c>
      <c r="D1017" s="575">
        <f t="shared" si="105"/>
        <v>23.676583496761133</v>
      </c>
      <c r="E1017" s="575">
        <f>input!AK18</f>
        <v>2500</v>
      </c>
      <c r="F1017" s="575">
        <f>input!M18</f>
        <v>2800</v>
      </c>
      <c r="G1017" s="1630" t="str">
        <f>IF(OR(AND(E1017&lt;=3*F1017,input!AJ18=0),AND(E1017&lt;=1.5*F1017,input!AJ18&lt;&gt;0)),"Stiffened","Unstiffened")</f>
        <v>Stiffened</v>
      </c>
      <c r="H1017" s="575">
        <f>IF(G1017="Stiffened",5+5/(E1017/input!M18)^2,5)</f>
        <v>11.271999999999998</v>
      </c>
      <c r="I1017" s="575">
        <f t="shared" si="106"/>
        <v>2821.7902119044925</v>
      </c>
      <c r="J1017" s="575">
        <f>input!N18</f>
        <v>12</v>
      </c>
      <c r="K1017" s="1631">
        <f>IF(I1017/J1017&lt;=1.12*SQRT(Es*H1017/input!BK18),1,IF(I1017/J1017&lt;=1.4*SQRT(Es*H1017/input!BK18),1.12/(I1017/J1017)*SQRT(Es*H1017/input!BK18),1.57*SQRT(Es*H1017/input!BK18)^2/(I1017/J1017)^2))</f>
        <v>0.18932354199040394</v>
      </c>
      <c r="L1017" s="575">
        <f>0.58*input!BK18*1000*input!BQ18*input!N18/10^6</f>
        <v>6972.079255573618</v>
      </c>
      <c r="M1017" s="575">
        <f t="shared" si="107"/>
        <v>1319.9787397030161</v>
      </c>
      <c r="N1017" s="819" t="str">
        <f t="shared" si="103"/>
        <v>OK</v>
      </c>
      <c r="O1017" s="607">
        <f t="shared" si="104"/>
        <v>55.750388981737345</v>
      </c>
      <c r="P1017" s="560"/>
      <c r="Q1017" s="463"/>
      <c r="R1017" s="73"/>
      <c r="S1017" s="73"/>
      <c r="T1017" s="73"/>
      <c r="U1017" s="73"/>
      <c r="V1017" s="73"/>
      <c r="W1017" s="73"/>
      <c r="X1017" s="73"/>
      <c r="Y1017" s="73"/>
      <c r="Z1017" s="73"/>
      <c r="AA1017" s="73"/>
      <c r="AC1017" s="73"/>
      <c r="AD1017" s="73"/>
      <c r="AF1017" s="143"/>
      <c r="AG1017" s="143"/>
      <c r="AH1017" s="143"/>
      <c r="AI1017" s="143"/>
      <c r="AJ1017" s="143"/>
      <c r="AK1017" s="143"/>
      <c r="AL1017" s="143"/>
      <c r="AM1017" s="143"/>
      <c r="AN1017" s="143"/>
      <c r="AO1017" s="143"/>
      <c r="AP1017" s="143"/>
      <c r="AQ1017" s="143"/>
      <c r="AR1017" s="143"/>
      <c r="AS1017" s="143"/>
    </row>
    <row r="1018" spans="1:45" ht="15" customHeight="1">
      <c r="A1018" s="610" t="str">
        <f t="shared" si="101"/>
        <v>109i</v>
      </c>
      <c r="B1018" s="575">
        <f>+(MST!G20+MST!H20+MST!I20)*1.25/2</f>
        <v>23.493750000000002</v>
      </c>
      <c r="C1018" s="21">
        <f t="shared" si="102"/>
        <v>0.99227787671366763</v>
      </c>
      <c r="D1018" s="575">
        <f t="shared" si="105"/>
        <v>23.676583496761133</v>
      </c>
      <c r="E1018" s="575">
        <f>input!AK19</f>
        <v>2500</v>
      </c>
      <c r="F1018" s="575">
        <f>input!M19</f>
        <v>2800</v>
      </c>
      <c r="G1018" s="1630" t="str">
        <f>IF(OR(AND(E1018&lt;=3*F1018,input!AJ19=0),AND(E1018&lt;=1.5*F1018,input!AJ19&lt;&gt;0)),"Stiffened","Unstiffened")</f>
        <v>Stiffened</v>
      </c>
      <c r="H1018" s="575">
        <f>IF(G1018="Stiffened",5+5/(E1018/input!M19)^2,5)</f>
        <v>11.271999999999998</v>
      </c>
      <c r="I1018" s="575">
        <f t="shared" si="106"/>
        <v>2821.7902119044925</v>
      </c>
      <c r="J1018" s="575">
        <f>input!N19</f>
        <v>12</v>
      </c>
      <c r="K1018" s="1631">
        <f>IF(I1018/J1018&lt;=1.12*SQRT(Es*H1018/input!BK19),1,IF(I1018/J1018&lt;=1.4*SQRT(Es*H1018/input!BK19),1.12/(I1018/J1018)*SQRT(Es*H1018/input!BK19),1.57*SQRT(Es*H1018/input!BK19)^2/(I1018/J1018)^2))</f>
        <v>0.18932354199040394</v>
      </c>
      <c r="L1018" s="575">
        <f>0.58*input!BK19*1000*input!BQ19*input!N19/10^6</f>
        <v>6972.079255573618</v>
      </c>
      <c r="M1018" s="575">
        <f t="shared" si="107"/>
        <v>1319.9787397030161</v>
      </c>
      <c r="N1018" s="819" t="str">
        <f t="shared" si="103"/>
        <v>OK</v>
      </c>
      <c r="O1018" s="607">
        <f t="shared" si="104"/>
        <v>55.750388981737345</v>
      </c>
      <c r="P1018" s="560"/>
      <c r="Q1018" s="463"/>
      <c r="R1018" s="73"/>
      <c r="S1018" s="73"/>
      <c r="T1018" s="73"/>
      <c r="U1018" s="73"/>
      <c r="V1018" s="73"/>
      <c r="W1018" s="73"/>
      <c r="X1018" s="73"/>
      <c r="Y1018" s="73"/>
      <c r="Z1018" s="73"/>
      <c r="AA1018" s="73"/>
      <c r="AC1018" s="73"/>
      <c r="AD1018" s="73"/>
      <c r="AF1018" s="143"/>
      <c r="AG1018" s="143"/>
      <c r="AH1018" s="143"/>
      <c r="AI1018" s="143"/>
      <c r="AJ1018" s="143"/>
      <c r="AK1018" s="143"/>
      <c r="AL1018" s="143"/>
      <c r="AM1018" s="143"/>
      <c r="AN1018" s="143"/>
      <c r="AO1018" s="143"/>
      <c r="AP1018" s="143"/>
      <c r="AQ1018" s="143"/>
      <c r="AR1018" s="143"/>
      <c r="AS1018" s="143"/>
    </row>
    <row r="1019" spans="1:45" ht="15" customHeight="1">
      <c r="A1019" s="610" t="str">
        <f t="shared" si="101"/>
        <v>109j</v>
      </c>
      <c r="B1019" s="575">
        <f>+(MST!G21+MST!H21+MST!I21)*1.25/2</f>
        <v>-157.83750000000001</v>
      </c>
      <c r="C1019" s="21">
        <f t="shared" si="102"/>
        <v>0.99227787671366763</v>
      </c>
      <c r="D1019" s="575">
        <f t="shared" si="105"/>
        <v>-159.06582591838406</v>
      </c>
      <c r="E1019" s="575">
        <f>input!AK20</f>
        <v>2500</v>
      </c>
      <c r="F1019" s="575">
        <f>input!M20</f>
        <v>2800</v>
      </c>
      <c r="G1019" s="1630" t="str">
        <f>IF(OR(AND(E1019&lt;=3*F1019,input!AJ20=0),AND(E1019&lt;=1.5*F1019,input!AJ20&lt;&gt;0)),"Stiffened","Unstiffened")</f>
        <v>Stiffened</v>
      </c>
      <c r="H1019" s="575">
        <f>IF(G1019="Stiffened",5+5/(E1019/input!M20)^2,5)</f>
        <v>11.271999999999998</v>
      </c>
      <c r="I1019" s="575">
        <f t="shared" si="106"/>
        <v>2821.7902119044925</v>
      </c>
      <c r="J1019" s="575">
        <f>input!N20</f>
        <v>12</v>
      </c>
      <c r="K1019" s="1631">
        <f>IF(I1019/J1019&lt;=1.12*SQRT(Es*H1019/input!BK20),1,IF(I1019/J1019&lt;=1.4*SQRT(Es*H1019/input!BK20),1.12/(I1019/J1019)*SQRT(Es*H1019/input!BK20),1.57*SQRT(Es*H1019/input!BK20)^2/(I1019/J1019)^2))</f>
        <v>0.18932354199040394</v>
      </c>
      <c r="L1019" s="575">
        <f>0.58*input!BK20*1000*input!BQ20*input!N20/10^6</f>
        <v>6972.079255573618</v>
      </c>
      <c r="M1019" s="575">
        <f t="shared" si="107"/>
        <v>1319.9787397030161</v>
      </c>
      <c r="N1019" s="819" t="str">
        <f t="shared" si="103"/>
        <v>OK</v>
      </c>
      <c r="O1019" s="607">
        <f t="shared" si="104"/>
        <v>8.2983175806743752</v>
      </c>
      <c r="P1019" s="560"/>
      <c r="Q1019" s="463"/>
      <c r="R1019" s="73"/>
      <c r="S1019" s="73"/>
      <c r="T1019" s="73"/>
      <c r="U1019" s="73"/>
      <c r="V1019" s="73"/>
      <c r="W1019" s="73"/>
      <c r="X1019" s="73"/>
      <c r="Y1019" s="73"/>
      <c r="Z1019" s="73"/>
      <c r="AA1019" s="73"/>
      <c r="AC1019" s="73"/>
      <c r="AD1019" s="73"/>
      <c r="AF1019" s="143"/>
      <c r="AG1019" s="143"/>
      <c r="AH1019" s="143"/>
      <c r="AI1019" s="143"/>
      <c r="AJ1019" s="143"/>
      <c r="AK1019" s="143"/>
      <c r="AL1019" s="143"/>
      <c r="AM1019" s="143"/>
      <c r="AN1019" s="143"/>
      <c r="AO1019" s="143"/>
      <c r="AP1019" s="143"/>
      <c r="AQ1019" s="143"/>
      <c r="AR1019" s="143"/>
      <c r="AS1019" s="143"/>
    </row>
    <row r="1020" spans="1:45" ht="15" customHeight="1">
      <c r="A1020" s="610" t="str">
        <f t="shared" si="101"/>
        <v>110i</v>
      </c>
      <c r="B1020" s="575">
        <f>+(MST!G22+MST!H22+MST!I22)*1.25/2</f>
        <v>-203.23125000000002</v>
      </c>
      <c r="C1020" s="21">
        <f t="shared" si="102"/>
        <v>0.99227787671366763</v>
      </c>
      <c r="D1020" s="575">
        <f t="shared" si="105"/>
        <v>-204.81284000111248</v>
      </c>
      <c r="E1020" s="575">
        <f>input!AK21</f>
        <v>2500</v>
      </c>
      <c r="F1020" s="575">
        <f>input!M21</f>
        <v>2800</v>
      </c>
      <c r="G1020" s="1630" t="str">
        <f>IF(OR(AND(E1020&lt;=3*F1020,input!AJ21=0),AND(E1020&lt;=1.5*F1020,input!AJ21&lt;&gt;0)),"Stiffened","Unstiffened")</f>
        <v>Stiffened</v>
      </c>
      <c r="H1020" s="575">
        <f>IF(G1020="Stiffened",5+5/(E1020/input!M21)^2,5)</f>
        <v>11.271999999999998</v>
      </c>
      <c r="I1020" s="575">
        <f t="shared" si="106"/>
        <v>2821.7902119044925</v>
      </c>
      <c r="J1020" s="575">
        <f>input!N21</f>
        <v>12</v>
      </c>
      <c r="K1020" s="1631">
        <f>IF(I1020/J1020&lt;=1.12*SQRT(Es*H1020/input!BK21),1,IF(I1020/J1020&lt;=1.4*SQRT(Es*H1020/input!BK21),1.12/(I1020/J1020)*SQRT(Es*H1020/input!BK21),1.57*SQRT(Es*H1020/input!BK21)^2/(I1020/J1020)^2))</f>
        <v>0.18932354199040394</v>
      </c>
      <c r="L1020" s="575">
        <f>0.58*input!BK21*1000*input!BQ21*input!N21/10^6</f>
        <v>6972.079255573618</v>
      </c>
      <c r="M1020" s="575">
        <f t="shared" si="107"/>
        <v>1319.9787397030161</v>
      </c>
      <c r="N1020" s="819" t="str">
        <f t="shared" si="103"/>
        <v>OK</v>
      </c>
      <c r="O1020" s="607">
        <f t="shared" si="104"/>
        <v>6.4448046308807907</v>
      </c>
      <c r="P1020" s="560"/>
      <c r="Q1020" s="463"/>
      <c r="R1020" s="73"/>
      <c r="S1020" s="73"/>
      <c r="T1020" s="73"/>
      <c r="U1020" s="73"/>
      <c r="V1020" s="73"/>
      <c r="W1020" s="73"/>
      <c r="X1020" s="73"/>
      <c r="Y1020" s="73"/>
      <c r="Z1020" s="73"/>
      <c r="AA1020" s="73"/>
      <c r="AC1020" s="73"/>
      <c r="AD1020" s="73"/>
      <c r="AF1020" s="143"/>
      <c r="AG1020" s="143"/>
      <c r="AH1020" s="143"/>
      <c r="AI1020" s="143"/>
      <c r="AJ1020" s="143"/>
      <c r="AK1020" s="143"/>
      <c r="AL1020" s="143"/>
      <c r="AM1020" s="143"/>
      <c r="AN1020" s="143"/>
      <c r="AO1020" s="143"/>
      <c r="AP1020" s="143"/>
      <c r="AQ1020" s="143"/>
      <c r="AR1020" s="143"/>
      <c r="AS1020" s="143"/>
    </row>
    <row r="1021" spans="1:45" ht="15" customHeight="1">
      <c r="A1021" s="610" t="str">
        <f t="shared" si="101"/>
        <v>110j</v>
      </c>
      <c r="B1021" s="575">
        <f>+(MST!G23+MST!H23+MST!I23)*1.25/2</f>
        <v>-384.5625</v>
      </c>
      <c r="C1021" s="21">
        <f t="shared" si="102"/>
        <v>0.99227787671366763</v>
      </c>
      <c r="D1021" s="575">
        <f t="shared" si="105"/>
        <v>-387.55524941625765</v>
      </c>
      <c r="E1021" s="575">
        <f>input!AK22</f>
        <v>2500</v>
      </c>
      <c r="F1021" s="575">
        <f>input!M22</f>
        <v>2800</v>
      </c>
      <c r="G1021" s="1630" t="str">
        <f>IF(OR(AND(E1021&lt;=3*F1021,input!AJ22=0),AND(E1021&lt;=1.5*F1021,input!AJ22&lt;&gt;0)),"Stiffened","Unstiffened")</f>
        <v>Stiffened</v>
      </c>
      <c r="H1021" s="575">
        <f>IF(G1021="Stiffened",5+5/(E1021/input!M22)^2,5)</f>
        <v>11.271999999999998</v>
      </c>
      <c r="I1021" s="575">
        <f t="shared" si="106"/>
        <v>2821.7902119044925</v>
      </c>
      <c r="J1021" s="575">
        <f>input!N22</f>
        <v>12</v>
      </c>
      <c r="K1021" s="1631">
        <f>IF(I1021/J1021&lt;=1.12*SQRT(Es*H1021/input!BK22),1,IF(I1021/J1021&lt;=1.4*SQRT(Es*H1021/input!BK22),1.12/(I1021/J1021)*SQRT(Es*H1021/input!BK22),1.57*SQRT(Es*H1021/input!BK22)^2/(I1021/J1021)^2))</f>
        <v>0.18932354199040394</v>
      </c>
      <c r="L1021" s="575">
        <f>0.58*input!BK22*1000*input!BQ22*input!N22/10^6</f>
        <v>6972.079255573618</v>
      </c>
      <c r="M1021" s="575">
        <f t="shared" si="107"/>
        <v>1319.9787397030161</v>
      </c>
      <c r="N1021" s="819" t="str">
        <f t="shared" si="103"/>
        <v>OK</v>
      </c>
      <c r="O1021" s="607">
        <f t="shared" si="104"/>
        <v>3.4059111357443634</v>
      </c>
      <c r="P1021" s="560"/>
      <c r="Q1021" s="463"/>
      <c r="R1021" s="73"/>
      <c r="S1021" s="73"/>
      <c r="T1021" s="73"/>
      <c r="U1021" s="73"/>
      <c r="V1021" s="73"/>
      <c r="W1021" s="73"/>
      <c r="X1021" s="73"/>
      <c r="Y1021" s="73"/>
      <c r="Z1021" s="73"/>
      <c r="AA1021" s="73"/>
      <c r="AC1021" s="73"/>
      <c r="AD1021" s="73"/>
      <c r="AF1021" s="143"/>
      <c r="AG1021" s="143"/>
      <c r="AH1021" s="143"/>
      <c r="AI1021" s="143"/>
      <c r="AJ1021" s="143"/>
      <c r="AK1021" s="143"/>
      <c r="AL1021" s="143"/>
      <c r="AM1021" s="143"/>
      <c r="AN1021" s="143"/>
      <c r="AO1021" s="143"/>
      <c r="AP1021" s="143"/>
      <c r="AQ1021" s="143"/>
      <c r="AR1021" s="143"/>
      <c r="AS1021" s="143"/>
    </row>
    <row r="1022" spans="1:45" ht="15" customHeight="1">
      <c r="A1022" s="610" t="str">
        <f t="shared" si="101"/>
        <v>111i</v>
      </c>
      <c r="B1022" s="575">
        <f>+(MST!G24+MST!H24+MST!I24)*1.25/2</f>
        <v>-433.96874999999994</v>
      </c>
      <c r="C1022" s="21">
        <f t="shared" si="102"/>
        <v>0.99227787671366763</v>
      </c>
      <c r="D1022" s="575">
        <f t="shared" si="105"/>
        <v>-437.34598965086695</v>
      </c>
      <c r="E1022" s="575">
        <f>input!AK23</f>
        <v>2500</v>
      </c>
      <c r="F1022" s="575">
        <f>input!M23</f>
        <v>2800</v>
      </c>
      <c r="G1022" s="1630" t="str">
        <f>IF(OR(AND(E1022&lt;=3*F1022,input!AJ23=0),AND(E1022&lt;=1.5*F1022,input!AJ23&lt;&gt;0)),"Stiffened","Unstiffened")</f>
        <v>Stiffened</v>
      </c>
      <c r="H1022" s="575">
        <f>IF(G1022="Stiffened",5+5/(E1022/input!M23)^2,5)</f>
        <v>11.271999999999998</v>
      </c>
      <c r="I1022" s="575">
        <f t="shared" si="106"/>
        <v>2821.7902119044925</v>
      </c>
      <c r="J1022" s="575">
        <f>input!N23</f>
        <v>12</v>
      </c>
      <c r="K1022" s="1631">
        <f>IF(I1022/J1022&lt;=1.12*SQRT(Es*H1022/input!BK23),1,IF(I1022/J1022&lt;=1.4*SQRT(Es*H1022/input!BK23),1.12/(I1022/J1022)*SQRT(Es*H1022/input!BK23),1.57*SQRT(Es*H1022/input!BK23)^2/(I1022/J1022)^2))</f>
        <v>0.18932354199040394</v>
      </c>
      <c r="L1022" s="575">
        <f>0.58*input!BK23*1000*input!BQ23*input!N23/10^6</f>
        <v>6972.079255573618</v>
      </c>
      <c r="M1022" s="575">
        <f t="shared" si="107"/>
        <v>1319.9787397030161</v>
      </c>
      <c r="N1022" s="819" t="str">
        <f t="shared" si="103"/>
        <v>OK</v>
      </c>
      <c r="O1022" s="607">
        <f t="shared" si="104"/>
        <v>3.0181567247404151</v>
      </c>
      <c r="P1022" s="560"/>
      <c r="Q1022" s="463"/>
      <c r="R1022" s="73"/>
      <c r="S1022" s="73"/>
      <c r="T1022" s="73"/>
      <c r="U1022" s="73"/>
      <c r="V1022" s="73"/>
      <c r="W1022" s="73"/>
      <c r="X1022" s="73"/>
      <c r="Y1022" s="73"/>
      <c r="Z1022" s="73"/>
      <c r="AA1022" s="73"/>
      <c r="AC1022" s="73"/>
      <c r="AD1022" s="73"/>
      <c r="AF1022" s="143"/>
      <c r="AG1022" s="143"/>
      <c r="AH1022" s="143"/>
      <c r="AI1022" s="143"/>
      <c r="AJ1022" s="143"/>
      <c r="AK1022" s="143"/>
      <c r="AL1022" s="143"/>
      <c r="AM1022" s="143"/>
      <c r="AN1022" s="143"/>
      <c r="AO1022" s="143"/>
      <c r="AP1022" s="143"/>
      <c r="AQ1022" s="143"/>
      <c r="AR1022" s="143"/>
      <c r="AS1022" s="143"/>
    </row>
    <row r="1023" spans="1:45" ht="15" customHeight="1">
      <c r="A1023" s="610" t="str">
        <f t="shared" si="101"/>
        <v>111j</v>
      </c>
      <c r="B1023" s="575">
        <f>+(MST!G25+MST!H25+MST!I25)*1.25/2</f>
        <v>-615.29999999999995</v>
      </c>
      <c r="C1023" s="21">
        <f t="shared" si="102"/>
        <v>0.99227787671366763</v>
      </c>
      <c r="D1023" s="575">
        <f t="shared" si="105"/>
        <v>-620.08839906601213</v>
      </c>
      <c r="E1023" s="575">
        <f>input!AK24</f>
        <v>2500</v>
      </c>
      <c r="F1023" s="575">
        <f>input!M24</f>
        <v>2800</v>
      </c>
      <c r="G1023" s="1630" t="str">
        <f>IF(OR(AND(E1023&lt;=3*F1023,input!AJ24=0),AND(E1023&lt;=1.5*F1023,input!AJ24&lt;&gt;0)),"Stiffened","Unstiffened")</f>
        <v>Stiffened</v>
      </c>
      <c r="H1023" s="575">
        <f>IF(G1023="Stiffened",5+5/(E1023/input!M24)^2,5)</f>
        <v>11.271999999999998</v>
      </c>
      <c r="I1023" s="575">
        <f t="shared" si="106"/>
        <v>2821.7902119044925</v>
      </c>
      <c r="J1023" s="575">
        <f>input!N24</f>
        <v>12</v>
      </c>
      <c r="K1023" s="1631">
        <f>IF(I1023/J1023&lt;=1.12*SQRT(Es*H1023/input!BK24),1,IF(I1023/J1023&lt;=1.4*SQRT(Es*H1023/input!BK24),1.12/(I1023/J1023)*SQRT(Es*H1023/input!BK24),1.57*SQRT(Es*H1023/input!BK24)^2/(I1023/J1023)^2))</f>
        <v>0.18932354199040394</v>
      </c>
      <c r="L1023" s="575">
        <f>0.58*input!BK24*1000*input!BQ24*input!N24/10^6</f>
        <v>6972.079255573618</v>
      </c>
      <c r="M1023" s="575">
        <f t="shared" si="107"/>
        <v>1319.9787397030161</v>
      </c>
      <c r="N1023" s="819" t="str">
        <f t="shared" si="103"/>
        <v>OK</v>
      </c>
      <c r="O1023" s="607">
        <f t="shared" si="104"/>
        <v>2.1286944598402275</v>
      </c>
      <c r="P1023" s="560"/>
      <c r="Q1023" s="463"/>
      <c r="R1023" s="73"/>
      <c r="S1023" s="73"/>
      <c r="T1023" s="73"/>
      <c r="U1023" s="73"/>
      <c r="V1023" s="73"/>
      <c r="W1023" s="73"/>
      <c r="X1023" s="73"/>
      <c r="Y1023" s="73"/>
      <c r="Z1023" s="73"/>
      <c r="AA1023" s="73"/>
      <c r="AC1023" s="73"/>
      <c r="AD1023" s="73"/>
      <c r="AF1023" s="143"/>
      <c r="AG1023" s="143"/>
      <c r="AH1023" s="143"/>
      <c r="AI1023" s="143"/>
      <c r="AJ1023" s="143"/>
      <c r="AK1023" s="143"/>
      <c r="AL1023" s="143"/>
      <c r="AM1023" s="143"/>
      <c r="AN1023" s="143"/>
      <c r="AO1023" s="143"/>
      <c r="AP1023" s="143"/>
      <c r="AQ1023" s="143"/>
      <c r="AR1023" s="143"/>
      <c r="AS1023" s="143"/>
    </row>
    <row r="1024" spans="1:45" ht="15" customHeight="1">
      <c r="A1024" s="610" t="str">
        <f t="shared" si="101"/>
        <v>112i</v>
      </c>
      <c r="B1024" s="575">
        <f>+(MST!G26+MST!H26+MST!I26)*1.25/2</f>
        <v>-615.32500000000005</v>
      </c>
      <c r="C1024" s="21">
        <f t="shared" si="102"/>
        <v>0.99227787671366763</v>
      </c>
      <c r="D1024" s="575">
        <f t="shared" si="105"/>
        <v>-620.11359362147573</v>
      </c>
      <c r="E1024" s="575">
        <f>input!AK25</f>
        <v>2500</v>
      </c>
      <c r="F1024" s="575">
        <f>input!M25</f>
        <v>2800</v>
      </c>
      <c r="G1024" s="1630" t="str">
        <f>IF(OR(AND(E1024&lt;=3*F1024,input!AJ25=0),AND(E1024&lt;=1.5*F1024,input!AJ25&lt;&gt;0)),"Stiffened","Unstiffened")</f>
        <v>Stiffened</v>
      </c>
      <c r="H1024" s="575">
        <f>IF(G1024="Stiffened",5+5/(E1024/input!M25)^2,5)</f>
        <v>11.271999999999998</v>
      </c>
      <c r="I1024" s="575">
        <f t="shared" si="106"/>
        <v>2821.7902119044925</v>
      </c>
      <c r="J1024" s="575">
        <f>input!N25</f>
        <v>12</v>
      </c>
      <c r="K1024" s="1631">
        <f>IF(I1024/J1024&lt;=1.12*SQRT(Es*H1024/input!BK25),1,IF(I1024/J1024&lt;=1.4*SQRT(Es*H1024/input!BK25),1.12/(I1024/J1024)*SQRT(Es*H1024/input!BK25),1.57*SQRT(Es*H1024/input!BK25)^2/(I1024/J1024)^2))</f>
        <v>0.18932354199040394</v>
      </c>
      <c r="L1024" s="575">
        <f>0.58*input!BK25*1000*input!BQ25*input!N25/10^6</f>
        <v>6972.079255573618</v>
      </c>
      <c r="M1024" s="575">
        <f t="shared" si="107"/>
        <v>1319.9787397030161</v>
      </c>
      <c r="N1024" s="819" t="str">
        <f t="shared" si="103"/>
        <v>OK</v>
      </c>
      <c r="O1024" s="607">
        <f t="shared" si="104"/>
        <v>2.1286079732494074</v>
      </c>
      <c r="P1024" s="560"/>
      <c r="Q1024" s="463"/>
      <c r="R1024" s="73"/>
      <c r="S1024" s="73"/>
      <c r="T1024" s="73"/>
      <c r="U1024" s="73"/>
      <c r="V1024" s="73"/>
      <c r="W1024" s="73"/>
      <c r="X1024" s="73"/>
      <c r="Y1024" s="73"/>
      <c r="Z1024" s="73"/>
      <c r="AA1024" s="73"/>
      <c r="AC1024" s="73"/>
      <c r="AD1024" s="73"/>
      <c r="AF1024" s="143"/>
      <c r="AG1024" s="143"/>
      <c r="AH1024" s="143"/>
      <c r="AI1024" s="143"/>
      <c r="AJ1024" s="143"/>
      <c r="AK1024" s="143"/>
      <c r="AL1024" s="143"/>
      <c r="AM1024" s="143"/>
      <c r="AN1024" s="143"/>
      <c r="AO1024" s="143"/>
      <c r="AP1024" s="143"/>
      <c r="AQ1024" s="143"/>
      <c r="AR1024" s="143"/>
      <c r="AS1024" s="143"/>
    </row>
    <row r="1025" spans="1:45" ht="15" customHeight="1">
      <c r="A1025" s="610" t="str">
        <f t="shared" si="101"/>
        <v>112j</v>
      </c>
      <c r="B1025" s="575">
        <f>+(MST!G27+MST!H27+MST!I27)*1.25/2</f>
        <v>-787.02499999999998</v>
      </c>
      <c r="C1025" s="21">
        <f t="shared" si="102"/>
        <v>0.99227787671366763</v>
      </c>
      <c r="D1025" s="575">
        <f t="shared" si="105"/>
        <v>-793.14980054433329</v>
      </c>
      <c r="E1025" s="575">
        <f>input!AK26</f>
        <v>2500</v>
      </c>
      <c r="F1025" s="575">
        <f>input!M26</f>
        <v>2800</v>
      </c>
      <c r="G1025" s="1630" t="str">
        <f>IF(OR(AND(E1025&lt;=3*F1025,input!AJ26=0),AND(E1025&lt;=1.5*F1025,input!AJ26&lt;&gt;0)),"Stiffened","Unstiffened")</f>
        <v>Stiffened</v>
      </c>
      <c r="H1025" s="575">
        <f>IF(G1025="Stiffened",5+5/(E1025/input!M26)^2,5)</f>
        <v>11.271999999999998</v>
      </c>
      <c r="I1025" s="575">
        <f t="shared" si="106"/>
        <v>2821.7902119044925</v>
      </c>
      <c r="J1025" s="575">
        <f>input!N26</f>
        <v>12</v>
      </c>
      <c r="K1025" s="1631">
        <f>IF(I1025/J1025&lt;=1.12*SQRT(Es*H1025/input!BK26),1,IF(I1025/J1025&lt;=1.4*SQRT(Es*H1025/input!BK26),1.12/(I1025/J1025)*SQRT(Es*H1025/input!BK26),1.57*SQRT(Es*H1025/input!BK26)^2/(I1025/J1025)^2))</f>
        <v>0.18932354199040394</v>
      </c>
      <c r="L1025" s="575">
        <f>0.58*input!BK26*1000*input!BQ26*input!N26/10^6</f>
        <v>6972.079255573618</v>
      </c>
      <c r="M1025" s="575">
        <f t="shared" si="107"/>
        <v>1319.9787397030161</v>
      </c>
      <c r="N1025" s="819" t="str">
        <f t="shared" si="103"/>
        <v>OK</v>
      </c>
      <c r="O1025" s="607">
        <f t="shared" si="104"/>
        <v>1.6642237554584565</v>
      </c>
      <c r="P1025" s="560"/>
      <c r="Q1025" s="463"/>
      <c r="R1025" s="73"/>
      <c r="S1025" s="73"/>
      <c r="T1025" s="73"/>
      <c r="U1025" s="73"/>
      <c r="V1025" s="73"/>
      <c r="W1025" s="73"/>
      <c r="X1025" s="73"/>
      <c r="Y1025" s="73"/>
      <c r="Z1025" s="73"/>
      <c r="AA1025" s="73"/>
      <c r="AC1025" s="73"/>
      <c r="AD1025" s="73"/>
      <c r="AF1025" s="143"/>
      <c r="AG1025" s="143"/>
      <c r="AH1025" s="143"/>
      <c r="AI1025" s="143"/>
      <c r="AJ1025" s="143"/>
      <c r="AK1025" s="143"/>
      <c r="AL1025" s="143"/>
      <c r="AM1025" s="143"/>
      <c r="AN1025" s="143"/>
      <c r="AO1025" s="143"/>
      <c r="AP1025" s="143"/>
      <c r="AQ1025" s="143"/>
      <c r="AR1025" s="143"/>
      <c r="AS1025" s="143"/>
    </row>
    <row r="1026" spans="1:45" ht="15" customHeight="1">
      <c r="A1026" s="610" t="str">
        <f t="shared" si="101"/>
        <v>113i</v>
      </c>
      <c r="B1026" s="575">
        <f>+(MST!G28+MST!H28+MST!I28)*1.25/2</f>
        <v>-847.51250000000005</v>
      </c>
      <c r="C1026" s="21">
        <f t="shared" si="102"/>
        <v>0.99227787671366763</v>
      </c>
      <c r="D1026" s="575">
        <f t="shared" si="105"/>
        <v>-854.10802748810943</v>
      </c>
      <c r="E1026" s="575">
        <f>input!AK27</f>
        <v>2500</v>
      </c>
      <c r="F1026" s="575">
        <f>input!M27</f>
        <v>2800</v>
      </c>
      <c r="G1026" s="1630" t="str">
        <f>IF(OR(AND(E1026&lt;=3*F1026,input!AJ27=0),AND(E1026&lt;=1.5*F1026,input!AJ27&lt;&gt;0)),"Stiffened","Unstiffened")</f>
        <v>Stiffened</v>
      </c>
      <c r="H1026" s="575">
        <f>IF(G1026="Stiffened",5+5/(E1026/input!M27)^2,5)</f>
        <v>11.271999999999998</v>
      </c>
      <c r="I1026" s="575">
        <f t="shared" si="106"/>
        <v>2821.7902119044925</v>
      </c>
      <c r="J1026" s="575">
        <f>input!N27</f>
        <v>12</v>
      </c>
      <c r="K1026" s="1631">
        <f>IF(I1026/J1026&lt;=1.12*SQRT(Es*H1026/input!BK27),1,IF(I1026/J1026&lt;=1.4*SQRT(Es*H1026/input!BK27),1.12/(I1026/J1026)*SQRT(Es*H1026/input!BK27),1.57*SQRT(Es*H1026/input!BK27)^2/(I1026/J1026)^2))</f>
        <v>0.18932354199040394</v>
      </c>
      <c r="L1026" s="575">
        <f>0.58*input!BK27*1000*input!BQ27*input!N27/10^6</f>
        <v>6972.079255573618</v>
      </c>
      <c r="M1026" s="575">
        <f t="shared" si="107"/>
        <v>1319.9787397030161</v>
      </c>
      <c r="N1026" s="819" t="str">
        <f t="shared" si="103"/>
        <v>OK</v>
      </c>
      <c r="O1026" s="607">
        <f t="shared" si="104"/>
        <v>1.5454470596477239</v>
      </c>
      <c r="P1026" s="560"/>
      <c r="Q1026" s="463"/>
      <c r="R1026" s="73"/>
      <c r="S1026" s="73"/>
      <c r="T1026" s="73"/>
      <c r="U1026" s="73"/>
      <c r="V1026" s="73"/>
      <c r="W1026" s="73"/>
      <c r="X1026" s="73"/>
      <c r="Y1026" s="73"/>
      <c r="Z1026" s="73"/>
      <c r="AA1026" s="73"/>
      <c r="AC1026" s="73"/>
      <c r="AD1026" s="73"/>
      <c r="AF1026" s="143"/>
      <c r="AG1026" s="143"/>
      <c r="AH1026" s="143"/>
      <c r="AI1026" s="143"/>
      <c r="AJ1026" s="143"/>
      <c r="AK1026" s="143"/>
      <c r="AL1026" s="143"/>
      <c r="AM1026" s="143"/>
      <c r="AN1026" s="143"/>
      <c r="AO1026" s="143"/>
      <c r="AP1026" s="143"/>
      <c r="AQ1026" s="143"/>
      <c r="AR1026" s="143"/>
      <c r="AS1026" s="143"/>
    </row>
    <row r="1027" spans="1:45" ht="15" customHeight="1">
      <c r="A1027" s="610" t="str">
        <f t="shared" si="101"/>
        <v>113j</v>
      </c>
      <c r="B1027" s="575">
        <f>+(MST!G29+MST!H29+MST!I29)*1.25/2</f>
        <v>-1017.10625</v>
      </c>
      <c r="C1027" s="21">
        <f t="shared" si="102"/>
        <v>0.99227787671366763</v>
      </c>
      <c r="D1027" s="575">
        <f t="shared" si="105"/>
        <v>-1025.0215931131727</v>
      </c>
      <c r="E1027" s="575">
        <f>input!AK28</f>
        <v>2500</v>
      </c>
      <c r="F1027" s="575">
        <f>input!M28</f>
        <v>2800</v>
      </c>
      <c r="G1027" s="1630" t="str">
        <f>IF(OR(AND(E1027&lt;=3*F1027,input!AJ28=0),AND(E1027&lt;=1.5*F1027,input!AJ28&lt;&gt;0)),"Stiffened","Unstiffened")</f>
        <v>Stiffened</v>
      </c>
      <c r="H1027" s="575">
        <f>IF(G1027="Stiffened",5+5/(E1027/input!M28)^2,5)</f>
        <v>11.271999999999998</v>
      </c>
      <c r="I1027" s="575">
        <f t="shared" si="106"/>
        <v>2821.7902119044925</v>
      </c>
      <c r="J1027" s="575">
        <f>input!N28</f>
        <v>12</v>
      </c>
      <c r="K1027" s="1631">
        <f>IF(I1027/J1027&lt;=1.12*SQRT(Es*H1027/input!BK28),1,IF(I1027/J1027&lt;=1.4*SQRT(Es*H1027/input!BK28),1.12/(I1027/J1027)*SQRT(Es*H1027/input!BK28),1.57*SQRT(Es*H1027/input!BK28)^2/(I1027/J1027)^2))</f>
        <v>0.18932354199040394</v>
      </c>
      <c r="L1027" s="575">
        <f>0.58*input!BK28*1000*input!BQ28*input!N28/10^6</f>
        <v>6972.079255573618</v>
      </c>
      <c r="M1027" s="575">
        <f t="shared" si="107"/>
        <v>1319.9787397030161</v>
      </c>
      <c r="N1027" s="819" t="str">
        <f t="shared" si="103"/>
        <v>OK</v>
      </c>
      <c r="O1027" s="607">
        <f t="shared" si="104"/>
        <v>1.2877570078245923</v>
      </c>
      <c r="P1027" s="560"/>
      <c r="Q1027" s="463"/>
      <c r="R1027" s="73"/>
      <c r="S1027" s="73"/>
      <c r="T1027" s="73"/>
      <c r="U1027" s="73"/>
      <c r="V1027" s="73"/>
      <c r="W1027" s="73"/>
      <c r="X1027" s="73"/>
      <c r="Y1027" s="73"/>
      <c r="Z1027" s="73"/>
      <c r="AA1027" s="73"/>
      <c r="AC1027" s="73"/>
      <c r="AD1027" s="73"/>
      <c r="AF1027" s="143"/>
      <c r="AG1027" s="143"/>
      <c r="AH1027" s="143"/>
      <c r="AI1027" s="143"/>
      <c r="AJ1027" s="143"/>
      <c r="AK1027" s="143"/>
      <c r="AL1027" s="143"/>
      <c r="AM1027" s="143"/>
      <c r="AN1027" s="143"/>
      <c r="AO1027" s="143"/>
      <c r="AP1027" s="143"/>
      <c r="AQ1027" s="143"/>
      <c r="AR1027" s="143"/>
      <c r="AS1027" s="143"/>
    </row>
    <row r="1028" spans="1:45" ht="15" customHeight="1">
      <c r="A1028" s="610" t="str">
        <f t="shared" si="101"/>
        <v>114i</v>
      </c>
      <c r="B1028" s="575">
        <f>+(MST!G30+MST!H30+MST!I30)*1.25/2</f>
        <v>-1017.0812500000001</v>
      </c>
      <c r="C1028" s="21">
        <f t="shared" si="102"/>
        <v>0.99227787671366763</v>
      </c>
      <c r="D1028" s="575">
        <f t="shared" si="105"/>
        <v>-1024.9963985577094</v>
      </c>
      <c r="E1028" s="575">
        <f>input!AK29</f>
        <v>2500</v>
      </c>
      <c r="F1028" s="575">
        <f>input!M29</f>
        <v>2800</v>
      </c>
      <c r="G1028" s="1630" t="str">
        <f>IF(OR(AND(E1028&lt;=3*F1028,input!AJ29=0),AND(E1028&lt;=1.5*F1028,input!AJ29&lt;&gt;0)),"Stiffened","Unstiffened")</f>
        <v>Stiffened</v>
      </c>
      <c r="H1028" s="575">
        <f>IF(G1028="Stiffened",5+5/(E1028/input!M29)^2,5)</f>
        <v>11.271999999999998</v>
      </c>
      <c r="I1028" s="575">
        <f t="shared" si="106"/>
        <v>2821.7902119044925</v>
      </c>
      <c r="J1028" s="575">
        <f>input!N29</f>
        <v>12</v>
      </c>
      <c r="K1028" s="1631">
        <f>IF(I1028/J1028&lt;=1.12*SQRT(Es*H1028/input!BK29),1,IF(I1028/J1028&lt;=1.4*SQRT(Es*H1028/input!BK29),1.12/(I1028/J1028)*SQRT(Es*H1028/input!BK29),1.57*SQRT(Es*H1028/input!BK29)^2/(I1028/J1028)^2))</f>
        <v>0.18932354199040394</v>
      </c>
      <c r="L1028" s="575">
        <f>0.58*input!BK29*1000*input!BQ29*input!N29/10^6</f>
        <v>6972.079255573618</v>
      </c>
      <c r="M1028" s="575">
        <f t="shared" si="107"/>
        <v>1319.9787397030161</v>
      </c>
      <c r="N1028" s="819" t="str">
        <f t="shared" si="103"/>
        <v>OK</v>
      </c>
      <c r="O1028" s="607">
        <f t="shared" si="104"/>
        <v>1.2877886610727429</v>
      </c>
      <c r="P1028" s="560"/>
      <c r="Q1028" s="463"/>
      <c r="R1028" s="73"/>
      <c r="S1028" s="73"/>
      <c r="T1028" s="73"/>
      <c r="U1028" s="73"/>
      <c r="V1028" s="73"/>
      <c r="W1028" s="73"/>
      <c r="X1028" s="73"/>
      <c r="Y1028" s="73"/>
      <c r="Z1028" s="73"/>
      <c r="AA1028" s="73"/>
      <c r="AC1028" s="73"/>
      <c r="AD1028" s="73"/>
      <c r="AF1028" s="143"/>
      <c r="AG1028" s="143"/>
      <c r="AH1028" s="143"/>
      <c r="AI1028" s="143"/>
      <c r="AJ1028" s="143"/>
      <c r="AK1028" s="143"/>
      <c r="AL1028" s="143"/>
      <c r="AM1028" s="143"/>
      <c r="AN1028" s="143"/>
      <c r="AO1028" s="143"/>
      <c r="AP1028" s="143"/>
      <c r="AQ1028" s="143"/>
      <c r="AR1028" s="143"/>
      <c r="AS1028" s="143"/>
    </row>
    <row r="1029" spans="1:45" ht="15" customHeight="1">
      <c r="A1029" s="610" t="str">
        <f t="shared" si="101"/>
        <v>114j</v>
      </c>
      <c r="B1029" s="575">
        <f>+(MST!G31+MST!H31+MST!I31)*1.25/2</f>
        <v>-1186.6812500000001</v>
      </c>
      <c r="C1029" s="21">
        <f t="shared" si="102"/>
        <v>0.99227787671366763</v>
      </c>
      <c r="D1029" s="575">
        <f t="shared" si="105"/>
        <v>-1195.9162628216386</v>
      </c>
      <c r="E1029" s="575">
        <f>input!AK30</f>
        <v>2500</v>
      </c>
      <c r="F1029" s="575">
        <f>input!M30</f>
        <v>2800</v>
      </c>
      <c r="G1029" s="1630" t="str">
        <f>IF(OR(AND(E1029&lt;=3*F1029,input!AJ30=0),AND(E1029&lt;=1.5*F1029,input!AJ30&lt;&gt;0)),"Stiffened","Unstiffened")</f>
        <v>Stiffened</v>
      </c>
      <c r="H1029" s="575">
        <f>IF(G1029="Stiffened",5+5/(E1029/input!M30)^2,5)</f>
        <v>11.271999999999998</v>
      </c>
      <c r="I1029" s="575">
        <f t="shared" si="106"/>
        <v>2821.7902119044925</v>
      </c>
      <c r="J1029" s="575">
        <f>input!N30</f>
        <v>12</v>
      </c>
      <c r="K1029" s="1631">
        <f>IF(I1029/J1029&lt;=1.12*SQRT(Es*H1029/input!BK30),1,IF(I1029/J1029&lt;=1.4*SQRT(Es*H1029/input!BK30),1.12/(I1029/J1029)*SQRT(Es*H1029/input!BK30),1.57*SQRT(Es*H1029/input!BK30)^2/(I1029/J1029)^2))</f>
        <v>0.18932354199040394</v>
      </c>
      <c r="L1029" s="575">
        <f>0.58*input!BK30*1000*input!BQ30*input!N30/10^6</f>
        <v>6972.079255573618</v>
      </c>
      <c r="M1029" s="575">
        <f t="shared" si="107"/>
        <v>1319.9787397030161</v>
      </c>
      <c r="N1029" s="819" t="str">
        <f t="shared" si="103"/>
        <v>OK</v>
      </c>
      <c r="O1029" s="607">
        <f t="shared" si="104"/>
        <v>1.1037384311412115</v>
      </c>
      <c r="P1029" s="560"/>
      <c r="Q1029" s="463"/>
      <c r="R1029" s="73"/>
      <c r="S1029" s="73"/>
      <c r="T1029" s="73"/>
      <c r="U1029" s="73"/>
      <c r="V1029" s="73"/>
      <c r="W1029" s="73"/>
      <c r="X1029" s="73"/>
      <c r="Y1029" s="73"/>
      <c r="Z1029" s="73"/>
      <c r="AA1029" s="73"/>
      <c r="AC1029" s="73"/>
      <c r="AD1029" s="73"/>
      <c r="AF1029" s="143"/>
      <c r="AG1029" s="143"/>
      <c r="AH1029" s="143"/>
      <c r="AI1029" s="143"/>
      <c r="AJ1029" s="143"/>
      <c r="AK1029" s="143"/>
      <c r="AL1029" s="143"/>
      <c r="AM1029" s="143"/>
      <c r="AN1029" s="143"/>
      <c r="AO1029" s="143"/>
      <c r="AP1029" s="143"/>
      <c r="AQ1029" s="143"/>
      <c r="AR1029" s="143"/>
      <c r="AS1029" s="143"/>
    </row>
    <row r="1030" spans="1:45" ht="15" customHeight="1">
      <c r="A1030" s="610" t="str">
        <f t="shared" si="101"/>
        <v>115i</v>
      </c>
      <c r="B1030" s="575">
        <f>+(MST!G32+MST!H32+MST!I32)*1.25/2</f>
        <v>-1248.8062499999999</v>
      </c>
      <c r="C1030" s="21">
        <f t="shared" si="102"/>
        <v>0.99227787671366763</v>
      </c>
      <c r="D1030" s="575">
        <f t="shared" si="105"/>
        <v>-1258.5247331482694</v>
      </c>
      <c r="E1030" s="575">
        <f>input!AK31</f>
        <v>2500</v>
      </c>
      <c r="F1030" s="575">
        <f>input!M31</f>
        <v>2800</v>
      </c>
      <c r="G1030" s="1630" t="str">
        <f>IF(OR(AND(E1030&lt;=3*F1030,input!AJ31=0),AND(E1030&lt;=1.5*F1030,input!AJ31&lt;&gt;0)),"Stiffened","Unstiffened")</f>
        <v>Stiffened</v>
      </c>
      <c r="H1030" s="575">
        <f>IF(G1030="Stiffened",5+5/(E1030/input!M31)^2,5)</f>
        <v>11.271999999999998</v>
      </c>
      <c r="I1030" s="575">
        <f t="shared" si="106"/>
        <v>2821.7902119044925</v>
      </c>
      <c r="J1030" s="575">
        <f>input!N31</f>
        <v>12</v>
      </c>
      <c r="K1030" s="1631">
        <f>IF(I1030/J1030&lt;=1.12*SQRT(Es*H1030/input!BK31),1,IF(I1030/J1030&lt;=1.4*SQRT(Es*H1030/input!BK31),1.12/(I1030/J1030)*SQRT(Es*H1030/input!BK31),1.57*SQRT(Es*H1030/input!BK31)^2/(I1030/J1030)^2))</f>
        <v>0.18932354199040394</v>
      </c>
      <c r="L1030" s="575">
        <f>0.58*input!BK31*1000*input!BQ31*input!N31/10^6</f>
        <v>6972.079255573618</v>
      </c>
      <c r="M1030" s="575">
        <f t="shared" si="107"/>
        <v>1319.9787397030161</v>
      </c>
      <c r="N1030" s="819" t="str">
        <f t="shared" si="103"/>
        <v>OK</v>
      </c>
      <c r="O1030" s="607">
        <f t="shared" si="104"/>
        <v>1.0488301937467817</v>
      </c>
      <c r="P1030" s="560"/>
      <c r="Q1030" s="463"/>
      <c r="R1030" s="73"/>
      <c r="S1030" s="73"/>
      <c r="T1030" s="73"/>
      <c r="U1030" s="73"/>
      <c r="V1030" s="73"/>
      <c r="W1030" s="73"/>
      <c r="X1030" s="73"/>
      <c r="Y1030" s="73"/>
      <c r="Z1030" s="73"/>
      <c r="AA1030" s="73"/>
      <c r="AC1030" s="73"/>
      <c r="AD1030" s="73"/>
      <c r="AF1030" s="143"/>
      <c r="AG1030" s="143"/>
      <c r="AH1030" s="143"/>
      <c r="AI1030" s="143"/>
      <c r="AJ1030" s="143"/>
      <c r="AK1030" s="143"/>
      <c r="AL1030" s="143"/>
      <c r="AM1030" s="143"/>
      <c r="AN1030" s="143"/>
      <c r="AO1030" s="143"/>
      <c r="AP1030" s="143"/>
      <c r="AQ1030" s="143"/>
      <c r="AR1030" s="143"/>
      <c r="AS1030" s="143"/>
    </row>
    <row r="1031" spans="1:45" ht="15" customHeight="1">
      <c r="A1031" s="610" t="str">
        <f t="shared" si="101"/>
        <v>115j</v>
      </c>
      <c r="B1031" s="575">
        <f>+(MST!G33+MST!H33+MST!I33)*1.25/2</f>
        <v>-1406.1</v>
      </c>
      <c r="C1031" s="21">
        <f t="shared" si="102"/>
        <v>0.99227787671366763</v>
      </c>
      <c r="D1031" s="575">
        <f t="shared" si="105"/>
        <v>-1417.0425774853238</v>
      </c>
      <c r="E1031" s="575">
        <f>input!AK32</f>
        <v>2500</v>
      </c>
      <c r="F1031" s="575">
        <f>input!M32</f>
        <v>2800</v>
      </c>
      <c r="G1031" s="1630" t="str">
        <f>IF(OR(AND(E1031&lt;=3*F1031,input!AJ32=0),AND(E1031&lt;=1.5*F1031,input!AJ32&lt;&gt;0)),"Stiffened","Unstiffened")</f>
        <v>Stiffened</v>
      </c>
      <c r="H1031" s="575">
        <f>IF(G1031="Stiffened",5+5/(E1031/input!M32)^2,5)</f>
        <v>11.271999999999998</v>
      </c>
      <c r="I1031" s="575">
        <f t="shared" si="106"/>
        <v>2821.7902119044925</v>
      </c>
      <c r="J1031" s="575">
        <f>input!N32</f>
        <v>12</v>
      </c>
      <c r="K1031" s="1631">
        <f>IF(I1031/J1031&lt;=1.12*SQRT(Es*H1031/input!BK32),1,IF(I1031/J1031&lt;=1.4*SQRT(Es*H1031/input!BK32),1.12/(I1031/J1031)*SQRT(Es*H1031/input!BK32),1.57*SQRT(Es*H1031/input!BK32)^2/(I1031/J1031)^2))</f>
        <v>0.18932354199040394</v>
      </c>
      <c r="L1031" s="575">
        <f>0.58*input!BK32*1000*input!BQ32*input!N32/10^6</f>
        <v>6972.079255573618</v>
      </c>
      <c r="M1031" s="575">
        <f t="shared" si="107"/>
        <v>1319.9787397030161</v>
      </c>
      <c r="N1031" s="819" t="str">
        <f t="shared" si="103"/>
        <v>NG</v>
      </c>
      <c r="O1031" s="607">
        <f t="shared" si="104"/>
        <v>0.93150252552428126</v>
      </c>
      <c r="P1031" s="560"/>
      <c r="Q1031" s="463"/>
      <c r="R1031" s="73"/>
      <c r="S1031" s="73"/>
      <c r="T1031" s="73"/>
      <c r="U1031" s="73"/>
      <c r="V1031" s="73"/>
      <c r="W1031" s="73"/>
      <c r="X1031" s="73"/>
      <c r="Y1031" s="73"/>
      <c r="Z1031" s="73"/>
      <c r="AA1031" s="73"/>
      <c r="AC1031" s="73"/>
      <c r="AD1031" s="73"/>
      <c r="AF1031" s="143"/>
      <c r="AG1031" s="143"/>
      <c r="AH1031" s="143"/>
      <c r="AI1031" s="143"/>
      <c r="AJ1031" s="143"/>
      <c r="AK1031" s="143"/>
      <c r="AL1031" s="143"/>
      <c r="AM1031" s="143"/>
      <c r="AN1031" s="143"/>
      <c r="AO1031" s="143"/>
      <c r="AP1031" s="143"/>
      <c r="AQ1031" s="143"/>
      <c r="AR1031" s="143"/>
      <c r="AS1031" s="143"/>
    </row>
    <row r="1032" spans="1:45" ht="15" customHeight="1">
      <c r="A1032" s="610" t="str">
        <f t="shared" si="101"/>
        <v>116i</v>
      </c>
      <c r="B1032" s="575">
        <f>+(MST!G34+MST!H34+MST!I34)*1.25/2</f>
        <v>-1406.1125000000002</v>
      </c>
      <c r="C1032" s="21">
        <f t="shared" si="102"/>
        <v>0.99228872293878878</v>
      </c>
      <c r="D1032" s="575">
        <f t="shared" si="105"/>
        <v>-1417.0396856225675</v>
      </c>
      <c r="E1032" s="575">
        <f>input!AK33</f>
        <v>2500</v>
      </c>
      <c r="F1032" s="575">
        <f>input!M33</f>
        <v>2814</v>
      </c>
      <c r="G1032" s="1630" t="str">
        <f>IF(OR(AND(E1032&lt;=3*F1032,input!AJ33=0),AND(E1032&lt;=1.5*F1032,input!AJ33&lt;&gt;0)),"Stiffened","Unstiffened")</f>
        <v>Stiffened</v>
      </c>
      <c r="H1032" s="575">
        <f>IF(G1032="Stiffened",5+5/(E1032/input!M33)^2,5)</f>
        <v>11.3348768</v>
      </c>
      <c r="I1032" s="575">
        <f t="shared" si="106"/>
        <v>2835.8681651303891</v>
      </c>
      <c r="J1032" s="575">
        <f>input!N33</f>
        <v>12</v>
      </c>
      <c r="K1032" s="1631">
        <f>IF(I1032/J1032&lt;=1.12*SQRT(Es*H1032/input!BK33),1,IF(I1032/J1032&lt;=1.4*SQRT(Es*H1032/input!BK33),1.12/(I1032/J1032)*SQRT(Es*H1032/input!BK33),1.57*SQRT(Es*H1032/input!BK33)^2/(I1032/J1032)^2))</f>
        <v>0.1884941236845043</v>
      </c>
      <c r="L1032" s="575">
        <f>0.58*input!BK33*1000*input!BQ33*input!N33/10^6</f>
        <v>7006.8630624041652</v>
      </c>
      <c r="M1032" s="575">
        <f t="shared" si="107"/>
        <v>1320.7525127251954</v>
      </c>
      <c r="N1032" s="819" t="str">
        <f t="shared" si="103"/>
        <v>NG</v>
      </c>
      <c r="O1032" s="607">
        <f t="shared" si="104"/>
        <v>0.93205047545646613</v>
      </c>
      <c r="P1032" s="560"/>
      <c r="Q1032" s="463"/>
      <c r="R1032" s="73"/>
      <c r="S1032" s="73"/>
      <c r="T1032" s="73"/>
      <c r="U1032" s="73"/>
      <c r="V1032" s="73"/>
      <c r="W1032" s="73"/>
      <c r="X1032" s="73"/>
      <c r="Y1032" s="73"/>
      <c r="Z1032" s="73"/>
      <c r="AA1032" s="73"/>
      <c r="AC1032" s="73"/>
      <c r="AD1032" s="73"/>
      <c r="AF1032" s="143"/>
      <c r="AG1032" s="143"/>
      <c r="AH1032" s="143"/>
      <c r="AI1032" s="143"/>
      <c r="AJ1032" s="143"/>
      <c r="AK1032" s="143"/>
      <c r="AL1032" s="143"/>
      <c r="AM1032" s="143"/>
      <c r="AN1032" s="143"/>
      <c r="AO1032" s="143"/>
      <c r="AP1032" s="143"/>
      <c r="AQ1032" s="143"/>
      <c r="AR1032" s="143"/>
      <c r="AS1032" s="143"/>
    </row>
    <row r="1033" spans="1:45" ht="15" customHeight="1">
      <c r="A1033" s="610" t="str">
        <f t="shared" si="101"/>
        <v>116j</v>
      </c>
      <c r="B1033" s="575">
        <f>+(MST!G35+MST!H35+MST!I35)*1.25/2</f>
        <v>-1570.79375</v>
      </c>
      <c r="C1033" s="21">
        <f t="shared" si="102"/>
        <v>0.99228872293878878</v>
      </c>
      <c r="D1033" s="575">
        <f t="shared" si="105"/>
        <v>-1583.0007070400793</v>
      </c>
      <c r="E1033" s="575">
        <f>input!AK34</f>
        <v>2500</v>
      </c>
      <c r="F1033" s="575">
        <f>input!M34</f>
        <v>2814</v>
      </c>
      <c r="G1033" s="1630" t="str">
        <f>IF(OR(AND(E1033&lt;=3*F1033,input!AJ34=0),AND(E1033&lt;=1.5*F1033,input!AJ34&lt;&gt;0)),"Stiffened","Unstiffened")</f>
        <v>Stiffened</v>
      </c>
      <c r="H1033" s="575">
        <f>IF(G1033="Stiffened",5+5/(E1033/input!M34)^2,5)</f>
        <v>11.3348768</v>
      </c>
      <c r="I1033" s="575">
        <f t="shared" si="106"/>
        <v>2835.8681651303891</v>
      </c>
      <c r="J1033" s="575">
        <f>input!N34</f>
        <v>12</v>
      </c>
      <c r="K1033" s="1631">
        <f>IF(I1033/J1033&lt;=1.12*SQRT(Es*H1033/input!BK34),1,IF(I1033/J1033&lt;=1.4*SQRT(Es*H1033/input!BK34),1.12/(I1033/J1033)*SQRT(Es*H1033/input!BK34),1.57*SQRT(Es*H1033/input!BK34)^2/(I1033/J1033)^2))</f>
        <v>0.1884941236845043</v>
      </c>
      <c r="L1033" s="575">
        <f>0.58*input!BK34*1000*input!BQ34*input!N34/10^6</f>
        <v>7006.8630624041652</v>
      </c>
      <c r="M1033" s="575">
        <f t="shared" si="107"/>
        <v>1320.7525127251954</v>
      </c>
      <c r="N1033" s="819" t="str">
        <f t="shared" si="103"/>
        <v>NG</v>
      </c>
      <c r="O1033" s="607">
        <f t="shared" si="104"/>
        <v>0.83433475857048733</v>
      </c>
      <c r="P1033" s="560"/>
      <c r="Q1033" s="463"/>
      <c r="R1033" s="73"/>
      <c r="S1033" s="73"/>
      <c r="T1033" s="73"/>
      <c r="U1033" s="73"/>
      <c r="V1033" s="73"/>
      <c r="W1033" s="73"/>
      <c r="X1033" s="73"/>
      <c r="Y1033" s="73"/>
      <c r="Z1033" s="73"/>
      <c r="AA1033" s="73"/>
      <c r="AC1033" s="73"/>
      <c r="AD1033" s="73"/>
      <c r="AF1033" s="143"/>
      <c r="AG1033" s="143"/>
      <c r="AH1033" s="143"/>
      <c r="AI1033" s="143"/>
      <c r="AJ1033" s="143"/>
      <c r="AK1033" s="143"/>
      <c r="AL1033" s="143"/>
      <c r="AM1033" s="143"/>
      <c r="AN1033" s="143"/>
      <c r="AO1033" s="143"/>
      <c r="AP1033" s="143"/>
      <c r="AQ1033" s="143"/>
      <c r="AR1033" s="143"/>
      <c r="AS1033" s="143"/>
    </row>
    <row r="1034" spans="1:45" ht="15" customHeight="1">
      <c r="A1034" s="610" t="str">
        <f t="shared" ref="A1034:A1063" si="108">A127</f>
        <v>117i</v>
      </c>
      <c r="B1034" s="575">
        <f>+(MST!G36+MST!H36+MST!I36)*1.25/2</f>
        <v>-1645.40625</v>
      </c>
      <c r="C1034" s="21">
        <f t="shared" ref="C1034:C1063" si="109">COS(ATAN(G127))</f>
        <v>0.99227787671366763</v>
      </c>
      <c r="D1034" s="575">
        <f t="shared" ref="D1034:D1063" si="110">+B1034/C1034</f>
        <v>-1658.21116102017</v>
      </c>
      <c r="E1034" s="575">
        <f>input!AK35</f>
        <v>2500</v>
      </c>
      <c r="F1034" s="575">
        <f>input!M35</f>
        <v>2924</v>
      </c>
      <c r="G1034" s="1630" t="str">
        <f>IF(OR(AND(E1034&lt;=3*F1034,input!AJ35=0),AND(E1034&lt;=1.5*F1034,input!AJ35&lt;&gt;0)),"Stiffened","Unstiffened")</f>
        <v>Stiffened</v>
      </c>
      <c r="H1034" s="575">
        <f>IF(G1034="Stiffened",5+5/(E1034/input!M35)^2,5)</f>
        <v>11.8398208</v>
      </c>
      <c r="I1034" s="575">
        <f t="shared" si="106"/>
        <v>2946.7552070031202</v>
      </c>
      <c r="J1034" s="575">
        <f>input!N35</f>
        <v>12</v>
      </c>
      <c r="K1034" s="1631">
        <f>IF(I1034/J1034&lt;=1.12*SQRT(Es*H1034/input!BK35),1,IF(I1034/J1034&lt;=1.4*SQRT(Es*H1034/input!BK35),1.12/(I1034/J1034)*SQRT(Es*H1034/input!BK35),1.57*SQRT(Es*H1034/input!BK35)^2/(I1034/J1034)^2))</f>
        <v>0.18235181745845414</v>
      </c>
      <c r="L1034" s="575">
        <f>0.58*input!BK35*1000*input!BQ35*input!N35/10^6</f>
        <v>7280.8427654633069</v>
      </c>
      <c r="M1034" s="575">
        <f t="shared" ref="M1034:M1063" si="111">K1034*L1034</f>
        <v>1327.6749109114714</v>
      </c>
      <c r="N1034" s="819" t="str">
        <f t="shared" ref="N1034:N1063" si="112">IF(1*M1034&gt;=ABS(D1034),"OK","NG")</f>
        <v>NG</v>
      </c>
      <c r="O1034" s="607">
        <f t="shared" ref="O1034:O1063" si="113">M1034/ABS(D1034)</f>
        <v>0.80066697301365108</v>
      </c>
      <c r="P1034" s="560"/>
      <c r="Q1034" s="463"/>
      <c r="R1034" s="73"/>
      <c r="S1034" s="73"/>
      <c r="T1034" s="73"/>
      <c r="U1034" s="73"/>
      <c r="V1034" s="73"/>
      <c r="W1034" s="73"/>
      <c r="X1034" s="73"/>
      <c r="Y1034" s="73"/>
      <c r="Z1034" s="73"/>
      <c r="AA1034" s="73"/>
      <c r="AC1034" s="73"/>
      <c r="AD1034" s="73"/>
      <c r="AF1034" s="143"/>
      <c r="AG1034" s="143"/>
      <c r="AH1034" s="143"/>
      <c r="AI1034" s="143"/>
      <c r="AJ1034" s="143"/>
      <c r="AK1034" s="143"/>
      <c r="AL1034" s="143"/>
      <c r="AM1034" s="143"/>
      <c r="AN1034" s="143"/>
      <c r="AO1034" s="143"/>
      <c r="AP1034" s="143"/>
      <c r="AQ1034" s="143"/>
      <c r="AR1034" s="143"/>
      <c r="AS1034" s="143"/>
    </row>
    <row r="1035" spans="1:45" ht="15" customHeight="1">
      <c r="A1035" s="610" t="str">
        <f t="shared" si="108"/>
        <v>117j</v>
      </c>
      <c r="B1035" s="575">
        <f>+(MST!G37+MST!H37+MST!I37)*1.25/2</f>
        <v>-1871.9875</v>
      </c>
      <c r="C1035" s="21">
        <f t="shared" si="109"/>
        <v>0.99227787671366763</v>
      </c>
      <c r="D1035" s="575">
        <f t="shared" si="110"/>
        <v>-1886.5557158241288</v>
      </c>
      <c r="E1035" s="575">
        <f>input!AK36</f>
        <v>2500</v>
      </c>
      <c r="F1035" s="575">
        <f>input!M36</f>
        <v>2924</v>
      </c>
      <c r="G1035" s="1630" t="str">
        <f>IF(OR(AND(E1035&lt;=3*F1035,input!AJ36=0),AND(E1035&lt;=1.5*F1035,input!AJ36&lt;&gt;0)),"Stiffened","Unstiffened")</f>
        <v>Stiffened</v>
      </c>
      <c r="H1035" s="575">
        <f>IF(G1035="Stiffened",5+5/(E1035/input!M36)^2,5)</f>
        <v>11.8398208</v>
      </c>
      <c r="I1035" s="575">
        <f t="shared" si="106"/>
        <v>2946.7552070031202</v>
      </c>
      <c r="J1035" s="575">
        <f>input!N36</f>
        <v>12</v>
      </c>
      <c r="K1035" s="1631">
        <f>IF(I1035/J1035&lt;=1.12*SQRT(Es*H1035/input!BK36),1,IF(I1035/J1035&lt;=1.4*SQRT(Es*H1035/input!BK36),1.12/(I1035/J1035)*SQRT(Es*H1035/input!BK36),1.57*SQRT(Es*H1035/input!BK36)^2/(I1035/J1035)^2))</f>
        <v>0.18235181745845414</v>
      </c>
      <c r="L1035" s="575">
        <f>0.58*input!BK36*1000*input!BQ36*input!N36/10^6</f>
        <v>7280.8427654633069</v>
      </c>
      <c r="M1035" s="575">
        <f t="shared" si="111"/>
        <v>1327.6749109114714</v>
      </c>
      <c r="N1035" s="819" t="str">
        <f t="shared" si="112"/>
        <v>NG</v>
      </c>
      <c r="O1035" s="607">
        <f t="shared" si="113"/>
        <v>0.70375600348038803</v>
      </c>
      <c r="P1035" s="560"/>
      <c r="Q1035" s="463"/>
      <c r="R1035" s="73"/>
      <c r="S1035" s="73"/>
      <c r="T1035" s="73"/>
      <c r="U1035" s="73"/>
      <c r="V1035" s="73"/>
      <c r="W1035" s="73"/>
      <c r="X1035" s="73"/>
      <c r="Y1035" s="73"/>
      <c r="Z1035" s="73"/>
      <c r="AA1035" s="73"/>
      <c r="AC1035" s="73"/>
      <c r="AD1035" s="73"/>
      <c r="AF1035" s="143"/>
      <c r="AG1035" s="143"/>
      <c r="AH1035" s="143"/>
      <c r="AI1035" s="143"/>
      <c r="AJ1035" s="143"/>
      <c r="AK1035" s="143"/>
      <c r="AL1035" s="143"/>
      <c r="AM1035" s="143"/>
      <c r="AN1035" s="143"/>
      <c r="AO1035" s="143"/>
      <c r="AP1035" s="143"/>
      <c r="AQ1035" s="143"/>
      <c r="AR1035" s="143"/>
      <c r="AS1035" s="143"/>
    </row>
    <row r="1036" spans="1:45" ht="15" customHeight="1">
      <c r="A1036" s="610" t="str">
        <f t="shared" si="108"/>
        <v>118i</v>
      </c>
      <c r="B1036" s="575">
        <f>+(MST!G38+MST!H38+MST!I38)*1.25/2</f>
        <v>-1872.0375000000001</v>
      </c>
      <c r="C1036" s="21">
        <f t="shared" si="109"/>
        <v>0.99227295626256606</v>
      </c>
      <c r="D1036" s="575">
        <f t="shared" si="110"/>
        <v>-1886.6154601765031</v>
      </c>
      <c r="E1036" s="575">
        <f>input!AK37</f>
        <v>2500</v>
      </c>
      <c r="F1036" s="575">
        <f>input!M37</f>
        <v>3103</v>
      </c>
      <c r="G1036" s="1630" t="str">
        <f>IF(OR(AND(E1036&lt;=3*F1036,input!AJ37=0),AND(E1036&lt;=1.5*F1036,input!AJ37&lt;&gt;0)),"Stiffened","Unstiffened")</f>
        <v>Stiffened</v>
      </c>
      <c r="H1036" s="575">
        <f>IF(G1036="Stiffened",5+5/(E1036/input!M37)^2,5)</f>
        <v>12.702887199999999</v>
      </c>
      <c r="I1036" s="575">
        <f t="shared" si="106"/>
        <v>3127.1637309229586</v>
      </c>
      <c r="J1036" s="575">
        <f>input!N37</f>
        <v>14</v>
      </c>
      <c r="K1036" s="1631">
        <f>IF(I1036/J1036&lt;=1.12*SQRT(Es*H1036/input!BK37),1,IF(I1036/J1036&lt;=1.4*SQRT(Es*H1036/input!BK37),1.12/(I1036/J1036)*SQRT(Es*H1036/input!BK37),1.57*SQRT(Es*H1036/input!BK37)^2/(I1036/J1036)^2))</f>
        <v>0.23645465384839212</v>
      </c>
      <c r="L1036" s="575">
        <f>0.58*input!BK37*1000*input!BQ37*input!N37/10^6</f>
        <v>9014.3621707585226</v>
      </c>
      <c r="M1036" s="575">
        <f t="shared" si="111"/>
        <v>2131.4878867507468</v>
      </c>
      <c r="N1036" s="819" t="str">
        <f t="shared" si="112"/>
        <v>OK</v>
      </c>
      <c r="O1036" s="607">
        <f t="shared" si="113"/>
        <v>1.1297945616068124</v>
      </c>
      <c r="P1036" s="560"/>
      <c r="Q1036" s="463"/>
      <c r="R1036" s="73"/>
      <c r="S1036" s="73"/>
      <c r="T1036" s="73"/>
      <c r="U1036" s="73"/>
      <c r="V1036" s="73"/>
      <c r="W1036" s="73"/>
      <c r="X1036" s="73"/>
      <c r="Y1036" s="73"/>
      <c r="Z1036" s="73"/>
      <c r="AA1036" s="73"/>
      <c r="AC1036" s="73"/>
      <c r="AD1036" s="73"/>
      <c r="AF1036" s="143"/>
      <c r="AG1036" s="143"/>
      <c r="AH1036" s="143"/>
      <c r="AI1036" s="143"/>
      <c r="AJ1036" s="143"/>
      <c r="AK1036" s="143"/>
      <c r="AL1036" s="143"/>
      <c r="AM1036" s="143"/>
      <c r="AN1036" s="143"/>
      <c r="AO1036" s="143"/>
      <c r="AP1036" s="143"/>
      <c r="AQ1036" s="143"/>
      <c r="AR1036" s="143"/>
      <c r="AS1036" s="143"/>
    </row>
    <row r="1037" spans="1:45" ht="15" customHeight="1">
      <c r="A1037" s="610" t="str">
        <f t="shared" si="108"/>
        <v>118j</v>
      </c>
      <c r="B1037" s="575">
        <f>+(MST!G39+MST!H39+MST!I39)*1.25/2</f>
        <v>-2063.03125</v>
      </c>
      <c r="C1037" s="21">
        <f t="shared" si="109"/>
        <v>0.99227295626256606</v>
      </c>
      <c r="D1037" s="575">
        <f t="shared" si="110"/>
        <v>-2079.0965197423961</v>
      </c>
      <c r="E1037" s="575">
        <f>input!AK38</f>
        <v>2500</v>
      </c>
      <c r="F1037" s="575">
        <f>input!M38</f>
        <v>3103</v>
      </c>
      <c r="G1037" s="1630" t="str">
        <f>IF(OR(AND(E1037&lt;=3*F1037,input!AJ38=0),AND(E1037&lt;=1.5*F1037,input!AJ38&lt;&gt;0)),"Stiffened","Unstiffened")</f>
        <v>Stiffened</v>
      </c>
      <c r="H1037" s="575">
        <f>IF(G1037="Stiffened",5+5/(E1037/input!M38)^2,5)</f>
        <v>12.702887199999999</v>
      </c>
      <c r="I1037" s="575">
        <f t="shared" si="106"/>
        <v>3127.1637309229586</v>
      </c>
      <c r="J1037" s="575">
        <f>input!N38</f>
        <v>14</v>
      </c>
      <c r="K1037" s="1631">
        <f>IF(I1037/J1037&lt;=1.12*SQRT(Es*H1037/input!BK38),1,IF(I1037/J1037&lt;=1.4*SQRT(Es*H1037/input!BK38),1.12/(I1037/J1037)*SQRT(Es*H1037/input!BK38),1.57*SQRT(Es*H1037/input!BK38)^2/(I1037/J1037)^2))</f>
        <v>0.23645465384839212</v>
      </c>
      <c r="L1037" s="575">
        <f>0.58*input!BK38*1000*input!BQ38*input!N38/10^6</f>
        <v>9014.3621707585226</v>
      </c>
      <c r="M1037" s="575">
        <f t="shared" si="111"/>
        <v>2131.4878867507468</v>
      </c>
      <c r="N1037" s="819" t="str">
        <f t="shared" si="112"/>
        <v>OK</v>
      </c>
      <c r="O1037" s="607">
        <f t="shared" si="113"/>
        <v>1.0251991028366696</v>
      </c>
      <c r="P1037" s="560"/>
      <c r="Q1037" s="463"/>
      <c r="R1037" s="73"/>
      <c r="S1037" s="73"/>
      <c r="T1037" s="73"/>
      <c r="U1037" s="73"/>
      <c r="V1037" s="73"/>
      <c r="W1037" s="73"/>
      <c r="X1037" s="73"/>
      <c r="Y1037" s="73"/>
      <c r="Z1037" s="73"/>
      <c r="AA1037" s="73"/>
      <c r="AC1037" s="73"/>
      <c r="AD1037" s="73"/>
      <c r="AF1037" s="143"/>
      <c r="AG1037" s="143"/>
      <c r="AH1037" s="143"/>
      <c r="AI1037" s="143"/>
      <c r="AJ1037" s="143"/>
      <c r="AK1037" s="143"/>
      <c r="AL1037" s="143"/>
      <c r="AM1037" s="143"/>
      <c r="AN1037" s="143"/>
      <c r="AO1037" s="143"/>
      <c r="AP1037" s="143"/>
      <c r="AQ1037" s="143"/>
      <c r="AR1037" s="143"/>
      <c r="AS1037" s="143"/>
    </row>
    <row r="1038" spans="1:45" ht="15" customHeight="1">
      <c r="A1038" s="610" t="str">
        <f t="shared" si="108"/>
        <v>119i</v>
      </c>
      <c r="B1038" s="575">
        <f>+(MST!G40+MST!H40+MST!I40)*1.25/2</f>
        <v>-2062.875</v>
      </c>
      <c r="C1038" s="21">
        <f t="shared" si="109"/>
        <v>0.99227787671366763</v>
      </c>
      <c r="D1038" s="575">
        <f t="shared" si="110"/>
        <v>-2078.9287440651715</v>
      </c>
      <c r="E1038" s="575">
        <f>input!AK39</f>
        <v>2500</v>
      </c>
      <c r="F1038" s="575">
        <f>input!M39</f>
        <v>3200</v>
      </c>
      <c r="G1038" s="1630" t="str">
        <f>IF(OR(AND(E1038&lt;=3*F1038,input!AJ39=0),AND(E1038&lt;=1.5*F1038,input!AJ39&lt;&gt;0)),"Stiffened","Unstiffened")</f>
        <v>Stiffened</v>
      </c>
      <c r="H1038" s="575">
        <f>IF(G1038="Stiffened",5+5/(E1038/input!M39)^2,5)</f>
        <v>13.192</v>
      </c>
      <c r="I1038" s="575">
        <f t="shared" si="106"/>
        <v>3224.9030993194201</v>
      </c>
      <c r="J1038" s="575">
        <f>input!N39</f>
        <v>14</v>
      </c>
      <c r="K1038" s="1631">
        <f>IF(I1038/J1038&lt;=1.12*SQRT(Es*H1038/input!BK39),1,IF(I1038/J1038&lt;=1.4*SQRT(Es*H1038/input!BK39),1.12/(I1038/J1038)*SQRT(Es*H1038/input!BK39),1.57*SQRT(Es*H1038/input!BK39)^2/(I1038/J1038)^2))</f>
        <v>0.23090001906825564</v>
      </c>
      <c r="L1038" s="575">
        <f>0.58*input!BK39*1000*input!BQ39*input!N39/10^6</f>
        <v>9296.1056740981585</v>
      </c>
      <c r="M1038" s="575">
        <f t="shared" si="111"/>
        <v>2146.4709774097842</v>
      </c>
      <c r="N1038" s="819" t="str">
        <f t="shared" si="112"/>
        <v>OK</v>
      </c>
      <c r="O1038" s="607">
        <f t="shared" si="113"/>
        <v>1.0324889602577429</v>
      </c>
      <c r="P1038" s="560"/>
      <c r="Q1038" s="463"/>
      <c r="R1038" s="73"/>
      <c r="S1038" s="73"/>
      <c r="T1038" s="73"/>
      <c r="U1038" s="73"/>
      <c r="V1038" s="73"/>
      <c r="W1038" s="73"/>
      <c r="X1038" s="73"/>
      <c r="Y1038" s="73"/>
      <c r="Z1038" s="73"/>
      <c r="AA1038" s="73"/>
      <c r="AC1038" s="73"/>
      <c r="AD1038" s="73"/>
      <c r="AF1038" s="143"/>
      <c r="AG1038" s="143"/>
      <c r="AH1038" s="143"/>
      <c r="AI1038" s="143"/>
      <c r="AJ1038" s="143"/>
      <c r="AK1038" s="143"/>
      <c r="AL1038" s="143"/>
      <c r="AM1038" s="143"/>
      <c r="AN1038" s="143"/>
      <c r="AO1038" s="143"/>
      <c r="AP1038" s="143"/>
      <c r="AQ1038" s="143"/>
      <c r="AR1038" s="143"/>
      <c r="AS1038" s="143"/>
    </row>
    <row r="1039" spans="1:45" ht="15" customHeight="1">
      <c r="A1039" s="610" t="str">
        <f t="shared" si="108"/>
        <v>119j</v>
      </c>
      <c r="B1039" s="575">
        <f>+(MST!G41+MST!H41+MST!I41)*1.25/2</f>
        <v>-2147.9874999999997</v>
      </c>
      <c r="C1039" s="21">
        <f t="shared" si="109"/>
        <v>0.99227787671366763</v>
      </c>
      <c r="D1039" s="575">
        <f t="shared" si="110"/>
        <v>-2164.7036081404285</v>
      </c>
      <c r="E1039" s="575">
        <f>input!AK40</f>
        <v>2500</v>
      </c>
      <c r="F1039" s="575">
        <f>input!M40</f>
        <v>3200</v>
      </c>
      <c r="G1039" s="1630" t="str">
        <f>IF(OR(AND(E1039&lt;=3*F1039,input!AJ40=0),AND(E1039&lt;=1.5*F1039,input!AJ40&lt;&gt;0)),"Stiffened","Unstiffened")</f>
        <v>Stiffened</v>
      </c>
      <c r="H1039" s="575">
        <f>IF(G1039="Stiffened",5+5/(E1039/input!M40)^2,5)</f>
        <v>13.192</v>
      </c>
      <c r="I1039" s="575">
        <f t="shared" si="106"/>
        <v>3224.9030993194201</v>
      </c>
      <c r="J1039" s="575">
        <f>input!N40</f>
        <v>14</v>
      </c>
      <c r="K1039" s="1631">
        <f>IF(I1039/J1039&lt;=1.12*SQRT(Es*H1039/input!BK40),1,IF(I1039/J1039&lt;=1.4*SQRT(Es*H1039/input!BK40),1.12/(I1039/J1039)*SQRT(Es*H1039/input!BK40),1.57*SQRT(Es*H1039/input!BK40)^2/(I1039/J1039)^2))</f>
        <v>0.23090001906825564</v>
      </c>
      <c r="L1039" s="575">
        <f>0.58*input!BK40*1000*input!BQ40*input!N40/10^6</f>
        <v>9296.1056740981585</v>
      </c>
      <c r="M1039" s="575">
        <f t="shared" si="111"/>
        <v>2146.4709774097842</v>
      </c>
      <c r="N1039" s="819" t="str">
        <f t="shared" si="112"/>
        <v>NG</v>
      </c>
      <c r="O1039" s="607">
        <f t="shared" si="113"/>
        <v>0.99157730847674475</v>
      </c>
      <c r="P1039" s="560"/>
      <c r="Q1039" s="463"/>
      <c r="R1039" s="73"/>
      <c r="S1039" s="73"/>
      <c r="T1039" s="73"/>
      <c r="U1039" s="73"/>
      <c r="V1039" s="73"/>
      <c r="W1039" s="73"/>
      <c r="X1039" s="73"/>
      <c r="Y1039" s="73"/>
      <c r="Z1039" s="73"/>
      <c r="AA1039" s="73"/>
      <c r="AC1039" s="73"/>
      <c r="AD1039" s="73"/>
      <c r="AF1039" s="143"/>
      <c r="AG1039" s="143"/>
      <c r="AH1039" s="143"/>
      <c r="AI1039" s="143"/>
      <c r="AJ1039" s="143"/>
      <c r="AK1039" s="143"/>
      <c r="AL1039" s="143"/>
      <c r="AM1039" s="143"/>
      <c r="AN1039" s="143"/>
      <c r="AO1039" s="143"/>
      <c r="AP1039" s="143"/>
      <c r="AQ1039" s="143"/>
      <c r="AR1039" s="143"/>
      <c r="AS1039" s="143"/>
    </row>
    <row r="1040" spans="1:45" ht="15" customHeight="1">
      <c r="A1040" s="610" t="str">
        <f t="shared" si="108"/>
        <v>120i</v>
      </c>
      <c r="B1040" s="575">
        <f>+(MST!G42+MST!H42+MST!I42)*1.25/2</f>
        <v>1699.8125</v>
      </c>
      <c r="C1040" s="21">
        <f t="shared" si="109"/>
        <v>0.99227787671366763</v>
      </c>
      <c r="D1040" s="575">
        <f t="shared" si="110"/>
        <v>1713.040812347466</v>
      </c>
      <c r="E1040" s="575">
        <f>input!AK41</f>
        <v>2500</v>
      </c>
      <c r="F1040" s="575">
        <f>input!M41</f>
        <v>3200</v>
      </c>
      <c r="G1040" s="1630" t="str">
        <f>IF(OR(AND(E1040&lt;=3*F1040,input!AJ41=0),AND(E1040&lt;=1.5*F1040,input!AJ41&lt;&gt;0)),"Stiffened","Unstiffened")</f>
        <v>Stiffened</v>
      </c>
      <c r="H1040" s="575">
        <f>IF(G1040="Stiffened",5+5/(E1040/input!M41)^2,5)</f>
        <v>13.192</v>
      </c>
      <c r="I1040" s="575">
        <f t="shared" si="106"/>
        <v>3224.9030993194201</v>
      </c>
      <c r="J1040" s="575">
        <f>input!N41</f>
        <v>14</v>
      </c>
      <c r="K1040" s="1631">
        <f>IF(I1040/J1040&lt;=1.12*SQRT(Es*H1040/input!BK41),1,IF(I1040/J1040&lt;=1.4*SQRT(Es*H1040/input!BK41),1.12/(I1040/J1040)*SQRT(Es*H1040/input!BK41),1.57*SQRT(Es*H1040/input!BK41)^2/(I1040/J1040)^2))</f>
        <v>0.23090001906825564</v>
      </c>
      <c r="L1040" s="575">
        <f>0.58*input!BK41*1000*input!BQ41*input!N41/10^6</f>
        <v>9296.1056740981585</v>
      </c>
      <c r="M1040" s="575">
        <f t="shared" si="111"/>
        <v>2146.4709774097842</v>
      </c>
      <c r="N1040" s="819" t="str">
        <f t="shared" si="112"/>
        <v>OK</v>
      </c>
      <c r="O1040" s="607">
        <f t="shared" si="113"/>
        <v>1.2530180028042455</v>
      </c>
      <c r="P1040" s="560"/>
      <c r="Q1040" s="463"/>
      <c r="R1040" s="73"/>
      <c r="S1040" s="73"/>
      <c r="T1040" s="73"/>
      <c r="U1040" s="73"/>
      <c r="V1040" s="73"/>
      <c r="W1040" s="73"/>
      <c r="X1040" s="73"/>
      <c r="Y1040" s="73"/>
      <c r="Z1040" s="73"/>
      <c r="AA1040" s="73"/>
      <c r="AC1040" s="73"/>
      <c r="AD1040" s="73"/>
      <c r="AF1040" s="143"/>
      <c r="AG1040" s="143"/>
      <c r="AH1040" s="143"/>
      <c r="AI1040" s="143"/>
      <c r="AJ1040" s="143"/>
      <c r="AK1040" s="143"/>
      <c r="AL1040" s="143"/>
      <c r="AM1040" s="143"/>
      <c r="AN1040" s="143"/>
      <c r="AO1040" s="143"/>
      <c r="AP1040" s="143"/>
      <c r="AQ1040" s="143"/>
      <c r="AR1040" s="143"/>
      <c r="AS1040" s="143"/>
    </row>
    <row r="1041" spans="1:45" ht="15" customHeight="1">
      <c r="A1041" s="610" t="str">
        <f t="shared" si="108"/>
        <v>120j</v>
      </c>
      <c r="B1041" s="575">
        <f>+(MST!G43+MST!H43+MST!I43)*1.25/2</f>
        <v>1614.7</v>
      </c>
      <c r="C1041" s="21">
        <f t="shared" si="109"/>
        <v>0.99227787671366763</v>
      </c>
      <c r="D1041" s="575">
        <f t="shared" si="110"/>
        <v>1627.2659482722086</v>
      </c>
      <c r="E1041" s="575">
        <f>input!AK42</f>
        <v>2500</v>
      </c>
      <c r="F1041" s="575">
        <f>input!M42</f>
        <v>3200</v>
      </c>
      <c r="G1041" s="1630" t="str">
        <f>IF(OR(AND(E1041&lt;=3*F1041,input!AJ42=0),AND(E1041&lt;=1.5*F1041,input!AJ42&lt;&gt;0)),"Stiffened","Unstiffened")</f>
        <v>Stiffened</v>
      </c>
      <c r="H1041" s="575">
        <f>IF(G1041="Stiffened",5+5/(E1041/input!M42)^2,5)</f>
        <v>13.192</v>
      </c>
      <c r="I1041" s="575">
        <f t="shared" si="106"/>
        <v>3224.9030993194201</v>
      </c>
      <c r="J1041" s="575">
        <f>input!N42</f>
        <v>14</v>
      </c>
      <c r="K1041" s="1631">
        <f>IF(I1041/J1041&lt;=1.12*SQRT(Es*H1041/input!BK42),1,IF(I1041/J1041&lt;=1.4*SQRT(Es*H1041/input!BK42),1.12/(I1041/J1041)*SQRT(Es*H1041/input!BK42),1.57*SQRT(Es*H1041/input!BK42)^2/(I1041/J1041)^2))</f>
        <v>0.23090001906825564</v>
      </c>
      <c r="L1041" s="575">
        <f>0.58*input!BK42*1000*input!BQ42*input!N42/10^6</f>
        <v>9296.1056740981585</v>
      </c>
      <c r="M1041" s="575">
        <f t="shared" si="111"/>
        <v>2146.4709774097842</v>
      </c>
      <c r="N1041" s="819" t="str">
        <f t="shared" si="112"/>
        <v>OK</v>
      </c>
      <c r="O1041" s="607">
        <f t="shared" si="113"/>
        <v>1.3190658722311832</v>
      </c>
      <c r="P1041" s="560"/>
      <c r="Q1041" s="463"/>
      <c r="R1041" s="73"/>
      <c r="S1041" s="73"/>
      <c r="T1041" s="73"/>
      <c r="U1041" s="73"/>
      <c r="V1041" s="73"/>
      <c r="W1041" s="73"/>
      <c r="X1041" s="73"/>
      <c r="Y1041" s="73"/>
      <c r="Z1041" s="73"/>
      <c r="AA1041" s="73"/>
      <c r="AC1041" s="73"/>
      <c r="AD1041" s="73"/>
      <c r="AF1041" s="143"/>
      <c r="AG1041" s="143"/>
      <c r="AH1041" s="143"/>
      <c r="AI1041" s="143"/>
      <c r="AJ1041" s="143"/>
      <c r="AK1041" s="143"/>
      <c r="AL1041" s="143"/>
      <c r="AM1041" s="143"/>
      <c r="AN1041" s="143"/>
      <c r="AO1041" s="143"/>
      <c r="AP1041" s="143"/>
      <c r="AQ1041" s="143"/>
      <c r="AR1041" s="143"/>
      <c r="AS1041" s="143"/>
    </row>
    <row r="1042" spans="1:45" ht="15" customHeight="1">
      <c r="A1042" s="610" t="str">
        <f t="shared" si="108"/>
        <v>121i</v>
      </c>
      <c r="B1042" s="575">
        <f>+(MST!G44+MST!H44+MST!I44)*1.25/2</f>
        <v>1614.6624999999999</v>
      </c>
      <c r="C1042" s="21">
        <f t="shared" si="109"/>
        <v>0.99227295626256606</v>
      </c>
      <c r="D1042" s="575">
        <f t="shared" si="110"/>
        <v>1627.2362254854629</v>
      </c>
      <c r="E1042" s="575">
        <f>input!AK43</f>
        <v>2500</v>
      </c>
      <c r="F1042" s="575">
        <f>input!M43</f>
        <v>3103</v>
      </c>
      <c r="G1042" s="1630" t="str">
        <f>IF(OR(AND(E1042&lt;=3*F1042,input!AJ43=0),AND(E1042&lt;=1.5*F1042,input!AJ43&lt;&gt;0)),"Stiffened","Unstiffened")</f>
        <v>Stiffened</v>
      </c>
      <c r="H1042" s="575">
        <f>IF(G1042="Stiffened",5+5/(E1042/input!M43)^2,5)</f>
        <v>12.702887199999999</v>
      </c>
      <c r="I1042" s="575">
        <f t="shared" si="106"/>
        <v>3127.1637309229586</v>
      </c>
      <c r="J1042" s="575">
        <f>input!N43</f>
        <v>14</v>
      </c>
      <c r="K1042" s="1631">
        <f>IF(I1042/J1042&lt;=1.12*SQRT(Es*H1042/input!BK43),1,IF(I1042/J1042&lt;=1.4*SQRT(Es*H1042/input!BK43),1.12/(I1042/J1042)*SQRT(Es*H1042/input!BK43),1.57*SQRT(Es*H1042/input!BK43)^2/(I1042/J1042)^2))</f>
        <v>0.23645465384839212</v>
      </c>
      <c r="L1042" s="575">
        <f>0.58*input!BK43*1000*input!BQ43*input!N43/10^6</f>
        <v>9014.3621707585226</v>
      </c>
      <c r="M1042" s="575">
        <f t="shared" si="111"/>
        <v>2131.4878867507468</v>
      </c>
      <c r="N1042" s="819" t="str">
        <f t="shared" si="112"/>
        <v>OK</v>
      </c>
      <c r="O1042" s="607">
        <f t="shared" si="113"/>
        <v>1.3098822736169407</v>
      </c>
      <c r="P1042" s="560"/>
      <c r="Q1042" s="463"/>
      <c r="R1042" s="73"/>
      <c r="S1042" s="73"/>
      <c r="T1042" s="73"/>
      <c r="U1042" s="73"/>
      <c r="V1042" s="73"/>
      <c r="W1042" s="73"/>
      <c r="X1042" s="73"/>
      <c r="Y1042" s="73"/>
      <c r="Z1042" s="73"/>
      <c r="AA1042" s="73"/>
      <c r="AC1042" s="73"/>
      <c r="AD1042" s="73"/>
      <c r="AF1042" s="143"/>
      <c r="AG1042" s="143"/>
      <c r="AH1042" s="143"/>
      <c r="AI1042" s="143"/>
      <c r="AJ1042" s="143"/>
      <c r="AK1042" s="143"/>
      <c r="AL1042" s="143"/>
      <c r="AM1042" s="143"/>
      <c r="AN1042" s="143"/>
      <c r="AO1042" s="143"/>
      <c r="AP1042" s="143"/>
      <c r="AQ1042" s="143"/>
      <c r="AR1042" s="143"/>
      <c r="AS1042" s="143"/>
    </row>
    <row r="1043" spans="1:45" ht="15" customHeight="1">
      <c r="A1043" s="610" t="str">
        <f t="shared" si="108"/>
        <v>121j</v>
      </c>
      <c r="B1043" s="575">
        <f>+(MST!G45+MST!H45+MST!I45)*1.25/2</f>
        <v>1424.1624999999999</v>
      </c>
      <c r="C1043" s="21">
        <f t="shared" si="109"/>
        <v>0.99227295626256606</v>
      </c>
      <c r="D1043" s="575">
        <f t="shared" si="110"/>
        <v>1435.252760857418</v>
      </c>
      <c r="E1043" s="575">
        <f>input!AK44</f>
        <v>2500</v>
      </c>
      <c r="F1043" s="575">
        <f>input!M44</f>
        <v>3103</v>
      </c>
      <c r="G1043" s="1630" t="str">
        <f>IF(OR(AND(E1043&lt;=3*F1043,input!AJ44=0),AND(E1043&lt;=1.5*F1043,input!AJ44&lt;&gt;0)),"Stiffened","Unstiffened")</f>
        <v>Stiffened</v>
      </c>
      <c r="H1043" s="575">
        <f>IF(G1043="Stiffened",5+5/(E1043/input!M44)^2,5)</f>
        <v>12.702887199999999</v>
      </c>
      <c r="I1043" s="575">
        <f t="shared" si="106"/>
        <v>3127.1637309229586</v>
      </c>
      <c r="J1043" s="575">
        <f>input!N44</f>
        <v>14</v>
      </c>
      <c r="K1043" s="1631">
        <f>IF(I1043/J1043&lt;=1.12*SQRT(Es*H1043/input!BK44),1,IF(I1043/J1043&lt;=1.4*SQRT(Es*H1043/input!BK44),1.12/(I1043/J1043)*SQRT(Es*H1043/input!BK44),1.57*SQRT(Es*H1043/input!BK44)^2/(I1043/J1043)^2))</f>
        <v>0.23645465384839212</v>
      </c>
      <c r="L1043" s="575">
        <f>0.58*input!BK44*1000*input!BQ44*input!N44/10^6</f>
        <v>9014.3621707585226</v>
      </c>
      <c r="M1043" s="575">
        <f t="shared" si="111"/>
        <v>2131.4878867507468</v>
      </c>
      <c r="N1043" s="819" t="str">
        <f t="shared" si="112"/>
        <v>OK</v>
      </c>
      <c r="O1043" s="607">
        <f t="shared" si="113"/>
        <v>1.4850958276348474</v>
      </c>
      <c r="P1043" s="560"/>
      <c r="Q1043" s="463"/>
      <c r="R1043" s="73"/>
      <c r="S1043" s="73"/>
      <c r="T1043" s="73"/>
      <c r="U1043" s="73"/>
      <c r="V1043" s="73"/>
      <c r="W1043" s="73"/>
      <c r="X1043" s="73"/>
      <c r="Y1043" s="73"/>
      <c r="Z1043" s="73"/>
      <c r="AA1043" s="73"/>
      <c r="AC1043" s="73"/>
      <c r="AD1043" s="73"/>
      <c r="AF1043" s="143"/>
      <c r="AG1043" s="143"/>
      <c r="AH1043" s="143"/>
      <c r="AI1043" s="143"/>
      <c r="AJ1043" s="143"/>
      <c r="AK1043" s="143"/>
      <c r="AL1043" s="143"/>
      <c r="AM1043" s="143"/>
      <c r="AN1043" s="143"/>
      <c r="AO1043" s="143"/>
      <c r="AP1043" s="143"/>
      <c r="AQ1043" s="143"/>
      <c r="AR1043" s="143"/>
      <c r="AS1043" s="143"/>
    </row>
    <row r="1044" spans="1:45" ht="15" customHeight="1">
      <c r="A1044" s="610" t="str">
        <f t="shared" si="108"/>
        <v>122i</v>
      </c>
      <c r="B1044" s="575">
        <f>+(MST!G46+MST!H46+MST!I46)*1.25/2</f>
        <v>1424.16875</v>
      </c>
      <c r="C1044" s="21">
        <f t="shared" si="109"/>
        <v>0.99227787671366763</v>
      </c>
      <c r="D1044" s="575">
        <f t="shared" si="110"/>
        <v>1435.2519424465202</v>
      </c>
      <c r="E1044" s="575">
        <f>input!AK45</f>
        <v>2500</v>
      </c>
      <c r="F1044" s="575">
        <f>input!M45</f>
        <v>2924</v>
      </c>
      <c r="G1044" s="1630" t="str">
        <f>IF(OR(AND(E1044&lt;=3*F1044,input!AJ45=0),AND(E1044&lt;=1.5*F1044,input!AJ45&lt;&gt;0)),"Stiffened","Unstiffened")</f>
        <v>Stiffened</v>
      </c>
      <c r="H1044" s="575">
        <f>IF(G1044="Stiffened",5+5/(E1044/input!M45)^2,5)</f>
        <v>11.8398208</v>
      </c>
      <c r="I1044" s="575">
        <f t="shared" si="106"/>
        <v>2946.7552070031202</v>
      </c>
      <c r="J1044" s="575">
        <f>input!N45</f>
        <v>12</v>
      </c>
      <c r="K1044" s="1631">
        <f>IF(I1044/J1044&lt;=1.12*SQRT(Es*H1044/input!BK45),1,IF(I1044/J1044&lt;=1.4*SQRT(Es*H1044/input!BK45),1.12/(I1044/J1044)*SQRT(Es*H1044/input!BK45),1.57*SQRT(Es*H1044/input!BK45)^2/(I1044/J1044)^2))</f>
        <v>0.18235181745845414</v>
      </c>
      <c r="L1044" s="575">
        <f>0.58*input!BK45*1000*input!BQ45*input!N45/10^6</f>
        <v>7280.8427654633069</v>
      </c>
      <c r="M1044" s="575">
        <f t="shared" si="111"/>
        <v>1327.6749109114714</v>
      </c>
      <c r="N1044" s="819" t="str">
        <f t="shared" si="112"/>
        <v>NG</v>
      </c>
      <c r="O1044" s="607">
        <f t="shared" si="113"/>
        <v>0.92504658704612264</v>
      </c>
      <c r="P1044" s="560"/>
      <c r="Q1044" s="463"/>
      <c r="R1044" s="73"/>
      <c r="S1044" s="73"/>
      <c r="T1044" s="73"/>
      <c r="U1044" s="73"/>
      <c r="V1044" s="73"/>
      <c r="W1044" s="73"/>
      <c r="X1044" s="73"/>
      <c r="Y1044" s="73"/>
      <c r="Z1044" s="73"/>
      <c r="AA1044" s="73"/>
      <c r="AC1044" s="73"/>
      <c r="AD1044" s="73"/>
      <c r="AF1044" s="143"/>
      <c r="AG1044" s="143"/>
      <c r="AH1044" s="143"/>
      <c r="AI1044" s="143"/>
      <c r="AJ1044" s="143"/>
      <c r="AK1044" s="143"/>
      <c r="AL1044" s="143"/>
      <c r="AM1044" s="143"/>
      <c r="AN1044" s="143"/>
      <c r="AO1044" s="143"/>
      <c r="AP1044" s="143"/>
      <c r="AQ1044" s="143"/>
      <c r="AR1044" s="143"/>
      <c r="AS1044" s="143"/>
    </row>
    <row r="1045" spans="1:45" ht="15" customHeight="1">
      <c r="A1045" s="610" t="str">
        <f t="shared" si="108"/>
        <v>122j</v>
      </c>
      <c r="B1045" s="575">
        <f>+(MST!G47+MST!H47+MST!I47)*1.25/2</f>
        <v>1194.0125</v>
      </c>
      <c r="C1045" s="21">
        <f t="shared" si="109"/>
        <v>0.99227787671366763</v>
      </c>
      <c r="D1045" s="575">
        <f t="shared" si="110"/>
        <v>1203.3045662112904</v>
      </c>
      <c r="E1045" s="575">
        <f>input!AK46</f>
        <v>2500</v>
      </c>
      <c r="F1045" s="575">
        <f>input!M46</f>
        <v>2924</v>
      </c>
      <c r="G1045" s="1630" t="str">
        <f>IF(OR(AND(E1045&lt;=3*F1045,input!AJ46=0),AND(E1045&lt;=1.5*F1045,input!AJ46&lt;&gt;0)),"Stiffened","Unstiffened")</f>
        <v>Stiffened</v>
      </c>
      <c r="H1045" s="575">
        <f>IF(G1045="Stiffened",5+5/(E1045/input!M46)^2,5)</f>
        <v>11.8398208</v>
      </c>
      <c r="I1045" s="575">
        <f t="shared" si="106"/>
        <v>2946.7552070031202</v>
      </c>
      <c r="J1045" s="575">
        <f>input!N46</f>
        <v>12</v>
      </c>
      <c r="K1045" s="1631">
        <f>IF(I1045/J1045&lt;=1.12*SQRT(Es*H1045/input!BK46),1,IF(I1045/J1045&lt;=1.4*SQRT(Es*H1045/input!BK46),1.12/(I1045/J1045)*SQRT(Es*H1045/input!BK46),1.57*SQRT(Es*H1045/input!BK46)^2/(I1045/J1045)^2))</f>
        <v>0.18235181745845414</v>
      </c>
      <c r="L1045" s="575">
        <f>0.58*input!BK46*1000*input!BQ46*input!N46/10^6</f>
        <v>7280.8427654633069</v>
      </c>
      <c r="M1045" s="575">
        <f t="shared" si="111"/>
        <v>1327.6749109114714</v>
      </c>
      <c r="N1045" s="819" t="str">
        <f t="shared" si="112"/>
        <v>OK</v>
      </c>
      <c r="O1045" s="607">
        <f t="shared" si="113"/>
        <v>1.1033573279720628</v>
      </c>
      <c r="P1045" s="560"/>
      <c r="Q1045" s="463"/>
      <c r="R1045" s="73"/>
      <c r="S1045" s="73"/>
      <c r="T1045" s="73"/>
      <c r="U1045" s="73"/>
      <c r="V1045" s="73"/>
      <c r="W1045" s="73"/>
      <c r="X1045" s="73"/>
      <c r="Y1045" s="73"/>
      <c r="Z1045" s="73"/>
      <c r="AA1045" s="73"/>
      <c r="AC1045" s="73"/>
      <c r="AD1045" s="73"/>
      <c r="AF1045" s="143"/>
      <c r="AG1045" s="143"/>
      <c r="AH1045" s="143"/>
      <c r="AI1045" s="143"/>
      <c r="AJ1045" s="143"/>
      <c r="AK1045" s="143"/>
      <c r="AL1045" s="143"/>
      <c r="AM1045" s="143"/>
      <c r="AN1045" s="143"/>
      <c r="AO1045" s="143"/>
      <c r="AP1045" s="143"/>
      <c r="AQ1045" s="143"/>
      <c r="AR1045" s="143"/>
      <c r="AS1045" s="143"/>
    </row>
    <row r="1046" spans="1:45" ht="15" customHeight="1">
      <c r="A1046" s="610" t="str">
        <f t="shared" si="108"/>
        <v>123i</v>
      </c>
      <c r="B1046" s="575">
        <f>+(MST!G48+MST!H48+MST!I48)*1.25/2</f>
        <v>1125.8812500000001</v>
      </c>
      <c r="C1046" s="21">
        <f t="shared" si="109"/>
        <v>0.99228872293878878</v>
      </c>
      <c r="D1046" s="575">
        <f t="shared" si="110"/>
        <v>1134.6307017029883</v>
      </c>
      <c r="E1046" s="575">
        <f>input!AK47</f>
        <v>2500</v>
      </c>
      <c r="F1046" s="575">
        <f>input!M47</f>
        <v>2814</v>
      </c>
      <c r="G1046" s="1630" t="str">
        <f>IF(OR(AND(E1046&lt;=3*F1046,input!AJ47=0),AND(E1046&lt;=1.5*F1046,input!AJ47&lt;&gt;0)),"Stiffened","Unstiffened")</f>
        <v>Stiffened</v>
      </c>
      <c r="H1046" s="575">
        <f>IF(G1046="Stiffened",5+5/(E1046/input!M47)^2,5)</f>
        <v>11.3348768</v>
      </c>
      <c r="I1046" s="575">
        <f t="shared" si="106"/>
        <v>2835.8681651303891</v>
      </c>
      <c r="J1046" s="575">
        <f>input!N47</f>
        <v>12</v>
      </c>
      <c r="K1046" s="1631">
        <f>IF(I1046/J1046&lt;=1.12*SQRT(Es*H1046/input!BK47),1,IF(I1046/J1046&lt;=1.4*SQRT(Es*H1046/input!BK47),1.12/(I1046/J1046)*SQRT(Es*H1046/input!BK47),1.57*SQRT(Es*H1046/input!BK47)^2/(I1046/J1046)^2))</f>
        <v>0.1884941236845043</v>
      </c>
      <c r="L1046" s="575">
        <f>0.58*input!BK47*1000*input!BQ47*input!N47/10^6</f>
        <v>7006.8630624041652</v>
      </c>
      <c r="M1046" s="575">
        <f t="shared" si="111"/>
        <v>1320.7525127251954</v>
      </c>
      <c r="N1046" s="819" t="str">
        <f t="shared" si="112"/>
        <v>OK</v>
      </c>
      <c r="O1046" s="607">
        <f t="shared" si="113"/>
        <v>1.1640373477844848</v>
      </c>
      <c r="P1046" s="560"/>
      <c r="Q1046" s="463"/>
      <c r="R1046" s="73"/>
      <c r="S1046" s="73"/>
      <c r="T1046" s="73"/>
      <c r="U1046" s="73"/>
      <c r="V1046" s="73"/>
      <c r="W1046" s="73"/>
      <c r="X1046" s="73"/>
      <c r="Y1046" s="73"/>
      <c r="Z1046" s="73"/>
      <c r="AA1046" s="73"/>
      <c r="AC1046" s="73"/>
      <c r="AD1046" s="73"/>
      <c r="AF1046" s="143"/>
      <c r="AG1046" s="143"/>
      <c r="AH1046" s="143"/>
      <c r="AI1046" s="143"/>
      <c r="AJ1046" s="143"/>
      <c r="AK1046" s="143"/>
      <c r="AL1046" s="143"/>
      <c r="AM1046" s="143"/>
      <c r="AN1046" s="143"/>
      <c r="AO1046" s="143"/>
      <c r="AP1046" s="143"/>
      <c r="AQ1046" s="143"/>
      <c r="AR1046" s="143"/>
      <c r="AS1046" s="143"/>
    </row>
    <row r="1047" spans="1:45" ht="15" customHeight="1">
      <c r="A1047" s="610" t="str">
        <f t="shared" si="108"/>
        <v>123j</v>
      </c>
      <c r="B1047" s="575">
        <f>+(MST!G49+MST!H49+MST!I49)*1.25/2</f>
        <v>951.25625000000002</v>
      </c>
      <c r="C1047" s="21">
        <f t="shared" si="109"/>
        <v>0.99228872293878878</v>
      </c>
      <c r="D1047" s="575">
        <f t="shared" si="110"/>
        <v>958.64865538603942</v>
      </c>
      <c r="E1047" s="575">
        <f>input!AK48</f>
        <v>2500</v>
      </c>
      <c r="F1047" s="575">
        <f>input!M48</f>
        <v>2814</v>
      </c>
      <c r="G1047" s="1630" t="str">
        <f>IF(OR(AND(E1047&lt;=3*F1047,input!AJ48=0),AND(E1047&lt;=1.5*F1047,input!AJ48&lt;&gt;0)),"Stiffened","Unstiffened")</f>
        <v>Stiffened</v>
      </c>
      <c r="H1047" s="575">
        <f>IF(G1047="Stiffened",5+5/(E1047/input!M48)^2,5)</f>
        <v>11.3348768</v>
      </c>
      <c r="I1047" s="575">
        <f t="shared" si="106"/>
        <v>2835.8681651303891</v>
      </c>
      <c r="J1047" s="575">
        <f>input!N48</f>
        <v>12</v>
      </c>
      <c r="K1047" s="1631">
        <f>IF(I1047/J1047&lt;=1.12*SQRT(Es*H1047/input!BK48),1,IF(I1047/J1047&lt;=1.4*SQRT(Es*H1047/input!BK48),1.12/(I1047/J1047)*SQRT(Es*H1047/input!BK48),1.57*SQRT(Es*H1047/input!BK48)^2/(I1047/J1047)^2))</f>
        <v>0.1884941236845043</v>
      </c>
      <c r="L1047" s="575">
        <f>0.58*input!BK48*1000*input!BQ48*input!N48/10^6</f>
        <v>7006.8630624041652</v>
      </c>
      <c r="M1047" s="575">
        <f t="shared" si="111"/>
        <v>1320.7525127251954</v>
      </c>
      <c r="N1047" s="819" t="str">
        <f t="shared" si="112"/>
        <v>OK</v>
      </c>
      <c r="O1047" s="607">
        <f t="shared" si="113"/>
        <v>1.377723220394379</v>
      </c>
      <c r="P1047" s="560"/>
      <c r="Q1047" s="463"/>
      <c r="R1047" s="73"/>
      <c r="S1047" s="73"/>
      <c r="T1047" s="73"/>
      <c r="U1047" s="73"/>
      <c r="V1047" s="73"/>
      <c r="W1047" s="73"/>
      <c r="X1047" s="73"/>
      <c r="Y1047" s="73"/>
      <c r="Z1047" s="73"/>
      <c r="AA1047" s="73"/>
      <c r="AC1047" s="73"/>
      <c r="AD1047" s="73"/>
      <c r="AF1047" s="143"/>
      <c r="AG1047" s="143"/>
      <c r="AH1047" s="143"/>
      <c r="AI1047" s="143"/>
      <c r="AJ1047" s="143"/>
      <c r="AK1047" s="143"/>
      <c r="AL1047" s="143"/>
      <c r="AM1047" s="143"/>
      <c r="AN1047" s="143"/>
      <c r="AO1047" s="143"/>
      <c r="AP1047" s="143"/>
      <c r="AQ1047" s="143"/>
      <c r="AR1047" s="143"/>
      <c r="AS1047" s="143"/>
    </row>
    <row r="1048" spans="1:45" ht="15" customHeight="1">
      <c r="A1048" s="610" t="str">
        <f t="shared" si="108"/>
        <v>124i</v>
      </c>
      <c r="B1048" s="575">
        <f>+(MST!G50+MST!H50+MST!I50)*1.25/2</f>
        <v>951.25</v>
      </c>
      <c r="C1048" s="21">
        <f t="shared" si="109"/>
        <v>0.99227787671366763</v>
      </c>
      <c r="D1048" s="575">
        <f t="shared" si="110"/>
        <v>958.65283538362439</v>
      </c>
      <c r="E1048" s="575">
        <f>input!AK49</f>
        <v>2500</v>
      </c>
      <c r="F1048" s="575">
        <f>input!M49</f>
        <v>2800</v>
      </c>
      <c r="G1048" s="1630" t="str">
        <f>IF(OR(AND(E1048&lt;=3*F1048,input!AJ49=0),AND(E1048&lt;=1.5*F1048,input!AJ49&lt;&gt;0)),"Stiffened","Unstiffened")</f>
        <v>Stiffened</v>
      </c>
      <c r="H1048" s="575">
        <f>IF(G1048="Stiffened",5+5/(E1048/input!M49)^2,5)</f>
        <v>11.271999999999998</v>
      </c>
      <c r="I1048" s="575">
        <f t="shared" si="106"/>
        <v>2821.7902119044925</v>
      </c>
      <c r="J1048" s="575">
        <f>input!N49</f>
        <v>12</v>
      </c>
      <c r="K1048" s="1631">
        <f>IF(I1048/J1048&lt;=1.12*SQRT(Es*H1048/input!BK49),1,IF(I1048/J1048&lt;=1.4*SQRT(Es*H1048/input!BK49),1.12/(I1048/J1048)*SQRT(Es*H1048/input!BK49),1.57*SQRT(Es*H1048/input!BK49)^2/(I1048/J1048)^2))</f>
        <v>0.18932354199040394</v>
      </c>
      <c r="L1048" s="575">
        <f>0.58*input!BK49*1000*input!BQ49*input!N49/10^6</f>
        <v>6972.079255573618</v>
      </c>
      <c r="M1048" s="575">
        <f t="shared" si="111"/>
        <v>1319.9787397030161</v>
      </c>
      <c r="N1048" s="819" t="str">
        <f t="shared" si="112"/>
        <v>OK</v>
      </c>
      <c r="O1048" s="607">
        <f t="shared" si="113"/>
        <v>1.3769100669011216</v>
      </c>
      <c r="P1048" s="560"/>
      <c r="Q1048" s="463"/>
      <c r="R1048" s="73"/>
      <c r="S1048" s="73"/>
      <c r="T1048" s="73"/>
      <c r="U1048" s="73"/>
      <c r="V1048" s="73"/>
      <c r="W1048" s="73"/>
      <c r="X1048" s="73"/>
      <c r="Y1048" s="73"/>
      <c r="Z1048" s="73"/>
      <c r="AA1048" s="73"/>
      <c r="AC1048" s="73"/>
      <c r="AD1048" s="73"/>
      <c r="AF1048" s="143"/>
      <c r="AG1048" s="143"/>
      <c r="AH1048" s="143"/>
      <c r="AI1048" s="143"/>
      <c r="AJ1048" s="143"/>
      <c r="AK1048" s="143"/>
      <c r="AL1048" s="143"/>
      <c r="AM1048" s="143"/>
      <c r="AN1048" s="143"/>
      <c r="AO1048" s="143"/>
      <c r="AP1048" s="143"/>
      <c r="AQ1048" s="143"/>
      <c r="AR1048" s="143"/>
      <c r="AS1048" s="143"/>
    </row>
    <row r="1049" spans="1:45" ht="15" customHeight="1">
      <c r="A1049" s="610" t="str">
        <f t="shared" si="108"/>
        <v>124j</v>
      </c>
      <c r="B1049" s="575">
        <f>+(MST!G51+MST!H51+MST!I51)*1.25/2</f>
        <v>788.48125000000005</v>
      </c>
      <c r="C1049" s="21">
        <f t="shared" si="109"/>
        <v>0.99227787671366763</v>
      </c>
      <c r="D1049" s="575">
        <f t="shared" si="110"/>
        <v>794.61738340007832</v>
      </c>
      <c r="E1049" s="575">
        <f>input!AK50</f>
        <v>2500</v>
      </c>
      <c r="F1049" s="575">
        <f>input!M50</f>
        <v>2800</v>
      </c>
      <c r="G1049" s="1630" t="str">
        <f>IF(OR(AND(E1049&lt;=3*F1049,input!AJ50=0),AND(E1049&lt;=1.5*F1049,input!AJ50&lt;&gt;0)),"Stiffened","Unstiffened")</f>
        <v>Stiffened</v>
      </c>
      <c r="H1049" s="575">
        <f>IF(G1049="Stiffened",5+5/(E1049/input!M50)^2,5)</f>
        <v>11.271999999999998</v>
      </c>
      <c r="I1049" s="575">
        <f t="shared" si="106"/>
        <v>2821.7902119044925</v>
      </c>
      <c r="J1049" s="575">
        <f>input!N50</f>
        <v>12</v>
      </c>
      <c r="K1049" s="1631">
        <f>IF(I1049/J1049&lt;=1.12*SQRT(Es*H1049/input!BK50),1,IF(I1049/J1049&lt;=1.4*SQRT(Es*H1049/input!BK50),1.12/(I1049/J1049)*SQRT(Es*H1049/input!BK50),1.57*SQRT(Es*H1049/input!BK50)^2/(I1049/J1049)^2))</f>
        <v>0.18932354199040394</v>
      </c>
      <c r="L1049" s="575">
        <f>0.58*input!BK50*1000*input!BQ50*input!N50/10^6</f>
        <v>6972.079255573618</v>
      </c>
      <c r="M1049" s="575">
        <f t="shared" si="111"/>
        <v>1319.9787397030161</v>
      </c>
      <c r="N1049" s="819" t="str">
        <f t="shared" si="112"/>
        <v>OK</v>
      </c>
      <c r="O1049" s="607">
        <f t="shared" si="113"/>
        <v>1.6611500922053526</v>
      </c>
      <c r="P1049" s="560"/>
      <c r="Q1049" s="463"/>
      <c r="R1049" s="73"/>
      <c r="S1049" s="73"/>
      <c r="T1049" s="73"/>
      <c r="U1049" s="73"/>
      <c r="V1049" s="73"/>
      <c r="W1049" s="73"/>
      <c r="X1049" s="73"/>
      <c r="Y1049" s="73"/>
      <c r="Z1049" s="73"/>
      <c r="AA1049" s="73"/>
      <c r="AC1049" s="73"/>
      <c r="AD1049" s="73"/>
      <c r="AF1049" s="143"/>
      <c r="AG1049" s="143"/>
      <c r="AH1049" s="143"/>
      <c r="AI1049" s="143"/>
      <c r="AJ1049" s="143"/>
      <c r="AK1049" s="143"/>
      <c r="AL1049" s="143"/>
      <c r="AM1049" s="143"/>
      <c r="AN1049" s="143"/>
      <c r="AO1049" s="143"/>
      <c r="AP1049" s="143"/>
      <c r="AQ1049" s="143"/>
      <c r="AR1049" s="143"/>
      <c r="AS1049" s="143"/>
    </row>
    <row r="1050" spans="1:45" ht="15" customHeight="1">
      <c r="A1050" s="610" t="str">
        <f t="shared" si="108"/>
        <v>125i</v>
      </c>
      <c r="B1050" s="575">
        <f>+(MST!G52+MST!H52+MST!I52)*1.25/2</f>
        <v>719.85625000000005</v>
      </c>
      <c r="C1050" s="21">
        <f t="shared" si="109"/>
        <v>0.99227787671366763</v>
      </c>
      <c r="D1050" s="575">
        <f t="shared" si="110"/>
        <v>725.45832865295483</v>
      </c>
      <c r="E1050" s="575">
        <f>input!AK51</f>
        <v>2500</v>
      </c>
      <c r="F1050" s="575">
        <f>input!M51</f>
        <v>2800</v>
      </c>
      <c r="G1050" s="1630" t="str">
        <f>IF(OR(AND(E1050&lt;=3*F1050,input!AJ51=0),AND(E1050&lt;=1.5*F1050,input!AJ51&lt;&gt;0)),"Stiffened","Unstiffened")</f>
        <v>Stiffened</v>
      </c>
      <c r="H1050" s="575">
        <f>IF(G1050="Stiffened",5+5/(E1050/input!M51)^2,5)</f>
        <v>11.271999999999998</v>
      </c>
      <c r="I1050" s="575">
        <f t="shared" si="106"/>
        <v>2821.7902119044925</v>
      </c>
      <c r="J1050" s="575">
        <f>input!N51</f>
        <v>12</v>
      </c>
      <c r="K1050" s="1631">
        <f>IF(I1050/J1050&lt;=1.12*SQRT(Es*H1050/input!BK51),1,IF(I1050/J1050&lt;=1.4*SQRT(Es*H1050/input!BK51),1.12/(I1050/J1050)*SQRT(Es*H1050/input!BK51),1.57*SQRT(Es*H1050/input!BK51)^2/(I1050/J1050)^2))</f>
        <v>0.18932354199040394</v>
      </c>
      <c r="L1050" s="575">
        <f>0.58*input!BK51*1000*input!BQ51*input!N51/10^6</f>
        <v>6972.079255573618</v>
      </c>
      <c r="M1050" s="575">
        <f t="shared" si="111"/>
        <v>1319.9787397030161</v>
      </c>
      <c r="N1050" s="819" t="str">
        <f t="shared" si="112"/>
        <v>OK</v>
      </c>
      <c r="O1050" s="607">
        <f t="shared" si="113"/>
        <v>1.819510077379604</v>
      </c>
      <c r="P1050" s="560"/>
      <c r="Q1050" s="463"/>
      <c r="R1050" s="73"/>
      <c r="S1050" s="73"/>
      <c r="T1050" s="73"/>
      <c r="U1050" s="73"/>
      <c r="V1050" s="73"/>
      <c r="W1050" s="73"/>
      <c r="X1050" s="73"/>
      <c r="Y1050" s="73"/>
      <c r="Z1050" s="73"/>
      <c r="AA1050" s="73"/>
      <c r="AC1050" s="73"/>
      <c r="AD1050" s="73"/>
      <c r="AF1050" s="143"/>
      <c r="AG1050" s="143"/>
      <c r="AH1050" s="143"/>
      <c r="AI1050" s="143"/>
      <c r="AJ1050" s="143"/>
      <c r="AK1050" s="143"/>
      <c r="AL1050" s="143"/>
      <c r="AM1050" s="143"/>
      <c r="AN1050" s="143"/>
      <c r="AO1050" s="143"/>
      <c r="AP1050" s="143"/>
      <c r="AQ1050" s="143"/>
      <c r="AR1050" s="143"/>
      <c r="AS1050" s="143"/>
    </row>
    <row r="1051" spans="1:45" ht="15" customHeight="1">
      <c r="A1051" s="610" t="str">
        <f t="shared" si="108"/>
        <v>125j</v>
      </c>
      <c r="B1051" s="575">
        <f>+(MST!G53+MST!H53+MST!I53)*1.25/2</f>
        <v>562.56250000000011</v>
      </c>
      <c r="C1051" s="21">
        <f t="shared" si="109"/>
        <v>0.99227787671366763</v>
      </c>
      <c r="D1051" s="575">
        <f t="shared" si="110"/>
        <v>566.94048431590045</v>
      </c>
      <c r="E1051" s="575">
        <f>input!AK52</f>
        <v>2500</v>
      </c>
      <c r="F1051" s="575">
        <f>input!M52</f>
        <v>2800</v>
      </c>
      <c r="G1051" s="1630" t="str">
        <f>IF(OR(AND(E1051&lt;=3*F1051,input!AJ52=0),AND(E1051&lt;=1.5*F1051,input!AJ52&lt;&gt;0)),"Stiffened","Unstiffened")</f>
        <v>Stiffened</v>
      </c>
      <c r="H1051" s="575">
        <f>IF(G1051="Stiffened",5+5/(E1051/input!M52)^2,5)</f>
        <v>11.271999999999998</v>
      </c>
      <c r="I1051" s="575">
        <f t="shared" si="106"/>
        <v>2821.7902119044925</v>
      </c>
      <c r="J1051" s="575">
        <f>input!N52</f>
        <v>12</v>
      </c>
      <c r="K1051" s="1631">
        <f>IF(I1051/J1051&lt;=1.12*SQRT(Es*H1051/input!BK52),1,IF(I1051/J1051&lt;=1.4*SQRT(Es*H1051/input!BK52),1.12/(I1051/J1051)*SQRT(Es*H1051/input!BK52),1.57*SQRT(Es*H1051/input!BK52)^2/(I1051/J1051)^2))</f>
        <v>0.18932354199040394</v>
      </c>
      <c r="L1051" s="575">
        <f>0.58*input!BK52*1000*input!BQ52*input!N52/10^6</f>
        <v>6972.079255573618</v>
      </c>
      <c r="M1051" s="575">
        <f t="shared" si="111"/>
        <v>1319.9787397030161</v>
      </c>
      <c r="N1051" s="819" t="str">
        <f t="shared" si="112"/>
        <v>OK</v>
      </c>
      <c r="O1051" s="607">
        <f t="shared" si="113"/>
        <v>2.3282492187795873</v>
      </c>
      <c r="P1051" s="560"/>
      <c r="Q1051" s="463"/>
      <c r="R1051" s="73"/>
      <c r="S1051" s="73"/>
      <c r="T1051" s="73"/>
      <c r="U1051" s="73"/>
      <c r="V1051" s="73"/>
      <c r="W1051" s="73"/>
      <c r="X1051" s="73"/>
      <c r="Y1051" s="73"/>
      <c r="Z1051" s="73"/>
      <c r="AA1051" s="73"/>
      <c r="AC1051" s="73"/>
      <c r="AD1051" s="73"/>
      <c r="AF1051" s="143"/>
      <c r="AG1051" s="143"/>
      <c r="AH1051" s="143"/>
      <c r="AI1051" s="143"/>
      <c r="AJ1051" s="143"/>
      <c r="AK1051" s="143"/>
      <c r="AL1051" s="143"/>
      <c r="AM1051" s="143"/>
      <c r="AN1051" s="143"/>
      <c r="AO1051" s="143"/>
      <c r="AP1051" s="143"/>
      <c r="AQ1051" s="143"/>
      <c r="AR1051" s="143"/>
      <c r="AS1051" s="143"/>
    </row>
    <row r="1052" spans="1:45" ht="15" customHeight="1">
      <c r="A1052" s="610" t="str">
        <f t="shared" si="108"/>
        <v>126i</v>
      </c>
      <c r="B1052" s="575">
        <f>+(MST!G54+MST!H54+MST!I54)*1.25/2</f>
        <v>562.56875000000014</v>
      </c>
      <c r="C1052" s="21">
        <f t="shared" si="109"/>
        <v>0.99227787671366763</v>
      </c>
      <c r="D1052" s="575">
        <f t="shared" si="110"/>
        <v>566.94678295476638</v>
      </c>
      <c r="E1052" s="575">
        <f>input!AK53</f>
        <v>2500</v>
      </c>
      <c r="F1052" s="575">
        <f>input!M53</f>
        <v>2800</v>
      </c>
      <c r="G1052" s="1630" t="str">
        <f>IF(OR(AND(E1052&lt;=3*F1052,input!AJ53=0),AND(E1052&lt;=1.5*F1052,input!AJ53&lt;&gt;0)),"Stiffened","Unstiffened")</f>
        <v>Stiffened</v>
      </c>
      <c r="H1052" s="575">
        <f>IF(G1052="Stiffened",5+5/(E1052/input!M53)^2,5)</f>
        <v>11.271999999999998</v>
      </c>
      <c r="I1052" s="575">
        <f t="shared" si="106"/>
        <v>2821.7902119044925</v>
      </c>
      <c r="J1052" s="575">
        <f>input!N53</f>
        <v>12</v>
      </c>
      <c r="K1052" s="1631">
        <f>IF(I1052/J1052&lt;=1.12*SQRT(Es*H1052/input!BK53),1,IF(I1052/J1052&lt;=1.4*SQRT(Es*H1052/input!BK53),1.12/(I1052/J1052)*SQRT(Es*H1052/input!BK53),1.57*SQRT(Es*H1052/input!BK53)^2/(I1052/J1052)^2))</f>
        <v>0.18932354199040394</v>
      </c>
      <c r="L1052" s="575">
        <f>0.58*input!BK53*1000*input!BQ53*input!N53/10^6</f>
        <v>6972.079255573618</v>
      </c>
      <c r="M1052" s="575">
        <f t="shared" si="111"/>
        <v>1319.9787397030161</v>
      </c>
      <c r="N1052" s="819" t="str">
        <f t="shared" si="112"/>
        <v>OK</v>
      </c>
      <c r="O1052" s="607">
        <f t="shared" si="113"/>
        <v>2.3282233525052565</v>
      </c>
      <c r="P1052" s="560"/>
      <c r="Q1052" s="463"/>
      <c r="R1052" s="73"/>
      <c r="S1052" s="73"/>
      <c r="T1052" s="73"/>
      <c r="U1052" s="73"/>
      <c r="V1052" s="73"/>
      <c r="W1052" s="73"/>
      <c r="X1052" s="73"/>
      <c r="Y1052" s="73"/>
      <c r="Z1052" s="73"/>
      <c r="AA1052" s="73"/>
      <c r="AC1052" s="73"/>
      <c r="AD1052" s="73"/>
      <c r="AF1052" s="143"/>
      <c r="AG1052" s="143"/>
      <c r="AH1052" s="143"/>
      <c r="AI1052" s="143"/>
      <c r="AJ1052" s="143"/>
      <c r="AK1052" s="143"/>
      <c r="AL1052" s="143"/>
      <c r="AM1052" s="143"/>
      <c r="AN1052" s="143"/>
      <c r="AO1052" s="143"/>
      <c r="AP1052" s="143"/>
      <c r="AQ1052" s="143"/>
      <c r="AR1052" s="143"/>
      <c r="AS1052" s="143"/>
    </row>
    <row r="1053" spans="1:45" ht="15" customHeight="1">
      <c r="A1053" s="610" t="str">
        <f t="shared" si="108"/>
        <v>126j</v>
      </c>
      <c r="B1053" s="575">
        <f>+(MST!G55+MST!H55+MST!I55)*1.25/2</f>
        <v>405.27499999999998</v>
      </c>
      <c r="C1053" s="21">
        <f t="shared" si="109"/>
        <v>0.99227787671366763</v>
      </c>
      <c r="D1053" s="575">
        <f t="shared" si="110"/>
        <v>408.42893861771182</v>
      </c>
      <c r="E1053" s="575">
        <f>input!AK54</f>
        <v>2500</v>
      </c>
      <c r="F1053" s="575">
        <f>input!M54</f>
        <v>2800</v>
      </c>
      <c r="G1053" s="1630" t="str">
        <f>IF(OR(AND(E1053&lt;=3*F1053,input!AJ54=0),AND(E1053&lt;=1.5*F1053,input!AJ54&lt;&gt;0)),"Stiffened","Unstiffened")</f>
        <v>Stiffened</v>
      </c>
      <c r="H1053" s="575">
        <f>IF(G1053="Stiffened",5+5/(E1053/input!M54)^2,5)</f>
        <v>11.271999999999998</v>
      </c>
      <c r="I1053" s="575">
        <f t="shared" si="106"/>
        <v>2821.7902119044925</v>
      </c>
      <c r="J1053" s="575">
        <f>input!N54</f>
        <v>12</v>
      </c>
      <c r="K1053" s="1631">
        <f>IF(I1053/J1053&lt;=1.12*SQRT(Es*H1053/input!BK54),1,IF(I1053/J1053&lt;=1.4*SQRT(Es*H1053/input!BK54),1.12/(I1053/J1053)*SQRT(Es*H1053/input!BK54),1.57*SQRT(Es*H1053/input!BK54)^2/(I1053/J1053)^2))</f>
        <v>0.18932354199040394</v>
      </c>
      <c r="L1053" s="575">
        <f>0.58*input!BK54*1000*input!BQ54*input!N54/10^6</f>
        <v>6972.079255573618</v>
      </c>
      <c r="M1053" s="575">
        <f t="shared" si="111"/>
        <v>1319.9787397030161</v>
      </c>
      <c r="N1053" s="819" t="str">
        <f t="shared" si="112"/>
        <v>OK</v>
      </c>
      <c r="O1053" s="607">
        <f t="shared" si="113"/>
        <v>3.2318443060630235</v>
      </c>
      <c r="P1053" s="560"/>
      <c r="Q1053" s="463"/>
      <c r="R1053" s="73"/>
      <c r="S1053" s="73"/>
      <c r="T1053" s="73"/>
      <c r="U1053" s="73"/>
      <c r="V1053" s="73"/>
      <c r="W1053" s="73"/>
      <c r="X1053" s="73"/>
      <c r="Y1053" s="73"/>
      <c r="Z1053" s="73"/>
      <c r="AA1053" s="73"/>
      <c r="AC1053" s="73"/>
      <c r="AD1053" s="73"/>
      <c r="AF1053" s="143"/>
      <c r="AG1053" s="143"/>
      <c r="AH1053" s="143"/>
      <c r="AI1053" s="143"/>
      <c r="AJ1053" s="143"/>
      <c r="AK1053" s="143"/>
      <c r="AL1053" s="143"/>
      <c r="AM1053" s="143"/>
      <c r="AN1053" s="143"/>
      <c r="AO1053" s="143"/>
      <c r="AP1053" s="143"/>
      <c r="AQ1053" s="143"/>
      <c r="AR1053" s="143"/>
      <c r="AS1053" s="143"/>
    </row>
    <row r="1054" spans="1:45" ht="15" customHeight="1">
      <c r="A1054" s="610" t="str">
        <f t="shared" si="108"/>
        <v>127i</v>
      </c>
      <c r="B1054" s="575">
        <f>+(MST!G56+MST!H56+MST!I56)*1.25/2</f>
        <v>345.57499999999999</v>
      </c>
      <c r="C1054" s="21">
        <f t="shared" si="109"/>
        <v>0.99227787671366763</v>
      </c>
      <c r="D1054" s="575">
        <f t="shared" si="110"/>
        <v>348.26434017103389</v>
      </c>
      <c r="E1054" s="575">
        <f>input!AK55</f>
        <v>2500</v>
      </c>
      <c r="F1054" s="575">
        <f>input!M55</f>
        <v>2800</v>
      </c>
      <c r="G1054" s="1630" t="str">
        <f>IF(OR(AND(E1054&lt;=3*F1054,input!AJ55=0),AND(E1054&lt;=1.5*F1054,input!AJ55&lt;&gt;0)),"Stiffened","Unstiffened")</f>
        <v>Stiffened</v>
      </c>
      <c r="H1054" s="575">
        <f>IF(G1054="Stiffened",5+5/(E1054/input!M55)^2,5)</f>
        <v>11.271999999999998</v>
      </c>
      <c r="I1054" s="575">
        <f t="shared" si="106"/>
        <v>2821.7902119044925</v>
      </c>
      <c r="J1054" s="575">
        <f>input!N55</f>
        <v>12</v>
      </c>
      <c r="K1054" s="1631">
        <f>IF(I1054/J1054&lt;=1.12*SQRT(Es*H1054/input!BK55),1,IF(I1054/J1054&lt;=1.4*SQRT(Es*H1054/input!BK55),1.12/(I1054/J1054)*SQRT(Es*H1054/input!BK55),1.57*SQRT(Es*H1054/input!BK55)^2/(I1054/J1054)^2))</f>
        <v>0.18932354199040394</v>
      </c>
      <c r="L1054" s="575">
        <f>0.58*input!BK55*1000*input!BQ55*input!N55/10^6</f>
        <v>6972.079255573618</v>
      </c>
      <c r="M1054" s="575">
        <f t="shared" si="111"/>
        <v>1319.9787397030161</v>
      </c>
      <c r="N1054" s="819" t="str">
        <f t="shared" si="112"/>
        <v>OK</v>
      </c>
      <c r="O1054" s="607">
        <f t="shared" si="113"/>
        <v>3.7901633542348026</v>
      </c>
      <c r="P1054" s="560"/>
      <c r="Q1054" s="463"/>
      <c r="R1054" s="73"/>
      <c r="S1054" s="73"/>
      <c r="T1054" s="73"/>
      <c r="U1054" s="73"/>
      <c r="V1054" s="73"/>
      <c r="W1054" s="73"/>
      <c r="X1054" s="73"/>
      <c r="Y1054" s="73"/>
      <c r="Z1054" s="73"/>
      <c r="AA1054" s="73"/>
      <c r="AC1054" s="73"/>
      <c r="AD1054" s="73"/>
      <c r="AF1054" s="143"/>
      <c r="AG1054" s="143"/>
      <c r="AH1054" s="143"/>
      <c r="AI1054" s="143"/>
      <c r="AJ1054" s="143"/>
      <c r="AK1054" s="143"/>
      <c r="AL1054" s="143"/>
      <c r="AM1054" s="143"/>
      <c r="AN1054" s="143"/>
      <c r="AO1054" s="143"/>
      <c r="AP1054" s="143"/>
      <c r="AQ1054" s="143"/>
      <c r="AR1054" s="143"/>
      <c r="AS1054" s="143"/>
    </row>
    <row r="1055" spans="1:45" ht="15" customHeight="1">
      <c r="A1055" s="610" t="str">
        <f t="shared" si="108"/>
        <v>127j</v>
      </c>
      <c r="B1055" s="575">
        <f>+(MST!G57+MST!H57+MST!I57)*1.25/2</f>
        <v>193.71875</v>
      </c>
      <c r="C1055" s="21">
        <f t="shared" si="109"/>
        <v>0.99227787671366763</v>
      </c>
      <c r="D1055" s="575">
        <f t="shared" si="110"/>
        <v>195.22631164727622</v>
      </c>
      <c r="E1055" s="575">
        <f>input!AK56</f>
        <v>2500</v>
      </c>
      <c r="F1055" s="575">
        <f>input!M56</f>
        <v>2800</v>
      </c>
      <c r="G1055" s="1630" t="str">
        <f>IF(OR(AND(E1055&lt;=3*F1055,input!AJ56=0),AND(E1055&lt;=1.5*F1055,input!AJ56&lt;&gt;0)),"Stiffened","Unstiffened")</f>
        <v>Stiffened</v>
      </c>
      <c r="H1055" s="575">
        <f>IF(G1055="Stiffened",5+5/(E1055/input!M56)^2,5)</f>
        <v>11.271999999999998</v>
      </c>
      <c r="I1055" s="575">
        <f t="shared" si="106"/>
        <v>2821.7902119044925</v>
      </c>
      <c r="J1055" s="575">
        <f>input!N56</f>
        <v>12</v>
      </c>
      <c r="K1055" s="1631">
        <f>IF(I1055/J1055&lt;=1.12*SQRT(Es*H1055/input!BK56),1,IF(I1055/J1055&lt;=1.4*SQRT(Es*H1055/input!BK56),1.12/(I1055/J1055)*SQRT(Es*H1055/input!BK56),1.57*SQRT(Es*H1055/input!BK56)^2/(I1055/J1055)^2))</f>
        <v>0.18932354199040394</v>
      </c>
      <c r="L1055" s="575">
        <f>0.58*input!BK56*1000*input!BQ56*input!N56/10^6</f>
        <v>6972.079255573618</v>
      </c>
      <c r="M1055" s="575">
        <f t="shared" si="111"/>
        <v>1319.9787397030161</v>
      </c>
      <c r="N1055" s="819" t="str">
        <f t="shared" si="112"/>
        <v>OK</v>
      </c>
      <c r="O1055" s="607">
        <f t="shared" si="113"/>
        <v>6.7612747921390763</v>
      </c>
      <c r="P1055" s="560"/>
      <c r="Q1055" s="463"/>
      <c r="R1055" s="73"/>
      <c r="S1055" s="73"/>
      <c r="T1055" s="73"/>
      <c r="U1055" s="73"/>
      <c r="V1055" s="73"/>
      <c r="W1055" s="73"/>
      <c r="X1055" s="73"/>
      <c r="Y1055" s="73"/>
      <c r="Z1055" s="73"/>
      <c r="AA1055" s="73"/>
      <c r="AC1055" s="73"/>
      <c r="AD1055" s="73"/>
      <c r="AF1055" s="143"/>
      <c r="AG1055" s="143"/>
      <c r="AH1055" s="143"/>
      <c r="AI1055" s="143"/>
      <c r="AJ1055" s="143"/>
      <c r="AK1055" s="143"/>
      <c r="AL1055" s="143"/>
      <c r="AM1055" s="143"/>
      <c r="AN1055" s="143"/>
      <c r="AO1055" s="143"/>
      <c r="AP1055" s="143"/>
      <c r="AQ1055" s="143"/>
      <c r="AR1055" s="143"/>
      <c r="AS1055" s="143"/>
    </row>
    <row r="1056" spans="1:45" ht="15" customHeight="1">
      <c r="A1056" s="610" t="str">
        <f t="shared" si="108"/>
        <v>128i</v>
      </c>
      <c r="B1056" s="575">
        <f>+(MST!G58+MST!H58+MST!I58)*1.25/2</f>
        <v>193.71875</v>
      </c>
      <c r="C1056" s="21">
        <f t="shared" si="109"/>
        <v>0.99227787671366763</v>
      </c>
      <c r="D1056" s="575">
        <f t="shared" si="110"/>
        <v>195.22631164727622</v>
      </c>
      <c r="E1056" s="575">
        <f>input!AK57</f>
        <v>2500</v>
      </c>
      <c r="F1056" s="575">
        <f>input!M57</f>
        <v>2800</v>
      </c>
      <c r="G1056" s="1630" t="str">
        <f>IF(OR(AND(E1056&lt;=3*F1056,input!AJ57=0),AND(E1056&lt;=1.5*F1056,input!AJ57&lt;&gt;0)),"Stiffened","Unstiffened")</f>
        <v>Stiffened</v>
      </c>
      <c r="H1056" s="575">
        <f>IF(G1056="Stiffened",5+5/(E1056/input!M57)^2,5)</f>
        <v>11.271999999999998</v>
      </c>
      <c r="I1056" s="575">
        <f t="shared" si="106"/>
        <v>2821.7902119044925</v>
      </c>
      <c r="J1056" s="575">
        <f>input!N57</f>
        <v>12</v>
      </c>
      <c r="K1056" s="1631">
        <f>IF(I1056/J1056&lt;=1.12*SQRT(Es*H1056/input!BK57),1,IF(I1056/J1056&lt;=1.4*SQRT(Es*H1056/input!BK57),1.12/(I1056/J1056)*SQRT(Es*H1056/input!BK57),1.57*SQRT(Es*H1056/input!BK57)^2/(I1056/J1056)^2))</f>
        <v>0.18932354199040394</v>
      </c>
      <c r="L1056" s="575">
        <f>0.58*input!BK57*1000*input!BQ57*input!N57/10^6</f>
        <v>6972.079255573618</v>
      </c>
      <c r="M1056" s="575">
        <f t="shared" si="111"/>
        <v>1319.9787397030161</v>
      </c>
      <c r="N1056" s="819" t="str">
        <f t="shared" si="112"/>
        <v>OK</v>
      </c>
      <c r="O1056" s="607">
        <f t="shared" si="113"/>
        <v>6.7612747921390763</v>
      </c>
      <c r="P1056" s="560"/>
      <c r="Q1056" s="463"/>
      <c r="R1056" s="73"/>
      <c r="S1056" s="73"/>
      <c r="T1056" s="73"/>
      <c r="U1056" s="73"/>
      <c r="V1056" s="73"/>
      <c r="W1056" s="73"/>
      <c r="X1056" s="73"/>
      <c r="Y1056" s="73"/>
      <c r="Z1056" s="73"/>
      <c r="AA1056" s="73"/>
      <c r="AC1056" s="73"/>
      <c r="AD1056" s="73"/>
      <c r="AF1056" s="143"/>
      <c r="AG1056" s="143"/>
      <c r="AH1056" s="143"/>
      <c r="AI1056" s="143"/>
      <c r="AJ1056" s="143"/>
      <c r="AK1056" s="143"/>
      <c r="AL1056" s="143"/>
      <c r="AM1056" s="143"/>
      <c r="AN1056" s="143"/>
      <c r="AO1056" s="143"/>
      <c r="AP1056" s="143"/>
      <c r="AQ1056" s="143"/>
      <c r="AR1056" s="143"/>
      <c r="AS1056" s="143"/>
    </row>
    <row r="1057" spans="1:45" ht="15" customHeight="1">
      <c r="A1057" s="610" t="str">
        <f t="shared" si="108"/>
        <v>128j</v>
      </c>
      <c r="B1057" s="575">
        <f>+(MST!G59+MST!H59+MST!I59)*1.25/2</f>
        <v>41.856250000000003</v>
      </c>
      <c r="C1057" s="21">
        <f t="shared" si="109"/>
        <v>0.99227787671366763</v>
      </c>
      <c r="D1057" s="575">
        <f t="shared" si="110"/>
        <v>42.181984484652652</v>
      </c>
      <c r="E1057" s="575">
        <f>input!AK58</f>
        <v>2500</v>
      </c>
      <c r="F1057" s="575">
        <f>input!M58</f>
        <v>2800</v>
      </c>
      <c r="G1057" s="1630" t="str">
        <f>IF(OR(AND(E1057&lt;=3*F1057,input!AJ58=0),AND(E1057&lt;=1.5*F1057,input!AJ58&lt;&gt;0)),"Stiffened","Unstiffened")</f>
        <v>Stiffened</v>
      </c>
      <c r="H1057" s="575">
        <f>IF(G1057="Stiffened",5+5/(E1057/input!M58)^2,5)</f>
        <v>11.271999999999998</v>
      </c>
      <c r="I1057" s="575">
        <f t="shared" si="106"/>
        <v>2821.7902119044925</v>
      </c>
      <c r="J1057" s="575">
        <f>input!N58</f>
        <v>12</v>
      </c>
      <c r="K1057" s="1631">
        <f>IF(I1057/J1057&lt;=1.12*SQRT(Es*H1057/input!BK58),1,IF(I1057/J1057&lt;=1.4*SQRT(Es*H1057/input!BK58),1.12/(I1057/J1057)*SQRT(Es*H1057/input!BK58),1.57*SQRT(Es*H1057/input!BK58)^2/(I1057/J1057)^2))</f>
        <v>0.18932354199040394</v>
      </c>
      <c r="L1057" s="575">
        <f>0.58*input!BK58*1000*input!BQ58*input!N58/10^6</f>
        <v>6972.079255573618</v>
      </c>
      <c r="M1057" s="575">
        <f t="shared" si="111"/>
        <v>1319.9787397030161</v>
      </c>
      <c r="N1057" s="819" t="str">
        <f t="shared" si="112"/>
        <v>OK</v>
      </c>
      <c r="O1057" s="607">
        <f t="shared" si="113"/>
        <v>31.292476061273803</v>
      </c>
      <c r="P1057" s="560"/>
      <c r="Q1057" s="463"/>
      <c r="R1057" s="73"/>
      <c r="S1057" s="73"/>
      <c r="T1057" s="73"/>
      <c r="U1057" s="73"/>
      <c r="V1057" s="73"/>
      <c r="W1057" s="73"/>
      <c r="X1057" s="73"/>
      <c r="Y1057" s="73"/>
      <c r="Z1057" s="73"/>
      <c r="AA1057" s="73"/>
      <c r="AC1057" s="73"/>
      <c r="AD1057" s="73"/>
      <c r="AF1057" s="143"/>
      <c r="AG1057" s="143"/>
      <c r="AH1057" s="143"/>
      <c r="AI1057" s="143"/>
      <c r="AJ1057" s="143"/>
      <c r="AK1057" s="143"/>
      <c r="AL1057" s="143"/>
      <c r="AM1057" s="143"/>
      <c r="AN1057" s="143"/>
      <c r="AO1057" s="143"/>
      <c r="AP1057" s="143"/>
      <c r="AQ1057" s="143"/>
      <c r="AR1057" s="143"/>
      <c r="AS1057" s="143"/>
    </row>
    <row r="1058" spans="1:45" ht="15" customHeight="1">
      <c r="A1058" s="610" t="str">
        <f t="shared" si="108"/>
        <v>129i</v>
      </c>
      <c r="B1058" s="575">
        <f>+(MST!G60+MST!H60+MST!I60)*1.25/2</f>
        <v>-24.900000000000002</v>
      </c>
      <c r="C1058" s="21">
        <f t="shared" si="109"/>
        <v>0.99227787671366763</v>
      </c>
      <c r="D1058" s="575">
        <f t="shared" si="110"/>
        <v>-25.09377724157924</v>
      </c>
      <c r="E1058" s="575">
        <f>input!AK59</f>
        <v>2500</v>
      </c>
      <c r="F1058" s="575">
        <f>input!M59</f>
        <v>2800</v>
      </c>
      <c r="G1058" s="1630" t="str">
        <f>IF(OR(AND(E1058&lt;=3*F1058,input!AJ59=0),AND(E1058&lt;=1.5*F1058,input!AJ59&lt;&gt;0)),"Stiffened","Unstiffened")</f>
        <v>Stiffened</v>
      </c>
      <c r="H1058" s="575">
        <f>IF(G1058="Stiffened",5+5/(E1058/input!M59)^2,5)</f>
        <v>11.271999999999998</v>
      </c>
      <c r="I1058" s="575">
        <f t="shared" si="106"/>
        <v>2821.7902119044925</v>
      </c>
      <c r="J1058" s="575">
        <f>input!N59</f>
        <v>12</v>
      </c>
      <c r="K1058" s="1631">
        <f>IF(I1058/J1058&lt;=1.12*SQRT(Es*H1058/input!BK59),1,IF(I1058/J1058&lt;=1.4*SQRT(Es*H1058/input!BK59),1.12/(I1058/J1058)*SQRT(Es*H1058/input!BK59),1.57*SQRT(Es*H1058/input!BK59)^2/(I1058/J1058)^2))</f>
        <v>0.18932354199040394</v>
      </c>
      <c r="L1058" s="575">
        <f>0.58*input!BK59*1000*input!BQ59*input!N59/10^6</f>
        <v>6972.079255573618</v>
      </c>
      <c r="M1058" s="575">
        <f t="shared" si="111"/>
        <v>1319.9787397030161</v>
      </c>
      <c r="N1058" s="819" t="str">
        <f t="shared" si="112"/>
        <v>OK</v>
      </c>
      <c r="O1058" s="607">
        <f t="shared" si="113"/>
        <v>52.601835387136212</v>
      </c>
      <c r="P1058" s="560"/>
      <c r="Q1058" s="463"/>
      <c r="R1058" s="73"/>
      <c r="S1058" s="73"/>
      <c r="T1058" s="73"/>
      <c r="U1058" s="73"/>
      <c r="V1058" s="73"/>
      <c r="W1058" s="73"/>
      <c r="X1058" s="73"/>
      <c r="Y1058" s="73"/>
      <c r="Z1058" s="73"/>
      <c r="AA1058" s="73"/>
      <c r="AC1058" s="73"/>
      <c r="AD1058" s="73"/>
      <c r="AF1058" s="143"/>
      <c r="AG1058" s="143"/>
      <c r="AH1058" s="143"/>
      <c r="AI1058" s="143"/>
      <c r="AJ1058" s="143"/>
      <c r="AK1058" s="143"/>
      <c r="AL1058" s="143"/>
      <c r="AM1058" s="143"/>
      <c r="AN1058" s="143"/>
      <c r="AO1058" s="143"/>
      <c r="AP1058" s="143"/>
      <c r="AQ1058" s="143"/>
      <c r="AR1058" s="143"/>
      <c r="AS1058" s="143"/>
    </row>
    <row r="1059" spans="1:45" ht="15" customHeight="1">
      <c r="A1059" s="610" t="str">
        <f t="shared" si="108"/>
        <v>129j</v>
      </c>
      <c r="B1059" s="575">
        <f>+(MST!G61+MST!H61+MST!I61)*1.25/2</f>
        <v>-221.40625</v>
      </c>
      <c r="C1059" s="21">
        <f t="shared" si="109"/>
        <v>0.99227787671366763</v>
      </c>
      <c r="D1059" s="575">
        <f t="shared" si="110"/>
        <v>-223.12928182302824</v>
      </c>
      <c r="E1059" s="575">
        <f>input!AK60</f>
        <v>2500</v>
      </c>
      <c r="F1059" s="575">
        <f>input!M60</f>
        <v>2800</v>
      </c>
      <c r="G1059" s="1630" t="str">
        <f>IF(OR(AND(E1059&lt;=3*F1059,input!AJ60=0),AND(E1059&lt;=1.5*F1059,input!AJ60&lt;&gt;0)),"Stiffened","Unstiffened")</f>
        <v>Stiffened</v>
      </c>
      <c r="H1059" s="575">
        <f>IF(G1059="Stiffened",5+5/(E1059/input!M60)^2,5)</f>
        <v>11.271999999999998</v>
      </c>
      <c r="I1059" s="575">
        <f t="shared" si="106"/>
        <v>2821.7902119044925</v>
      </c>
      <c r="J1059" s="575">
        <f>input!N60</f>
        <v>12</v>
      </c>
      <c r="K1059" s="1631">
        <f>IF(I1059/J1059&lt;=1.12*SQRT(Es*H1059/input!BK60),1,IF(I1059/J1059&lt;=1.4*SQRT(Es*H1059/input!BK60),1.12/(I1059/J1059)*SQRT(Es*H1059/input!BK60),1.57*SQRT(Es*H1059/input!BK60)^2/(I1059/J1059)^2))</f>
        <v>0.18932354199040394</v>
      </c>
      <c r="L1059" s="575">
        <f>0.58*input!BK60*1000*input!BQ60*input!N60/10^6</f>
        <v>6972.079255573618</v>
      </c>
      <c r="M1059" s="575">
        <f t="shared" si="111"/>
        <v>1319.9787397030161</v>
      </c>
      <c r="N1059" s="819" t="str">
        <f t="shared" si="112"/>
        <v>OK</v>
      </c>
      <c r="O1059" s="607">
        <f t="shared" si="113"/>
        <v>5.9157575774834346</v>
      </c>
      <c r="P1059" s="560"/>
      <c r="Q1059" s="463"/>
      <c r="R1059" s="73"/>
      <c r="S1059" s="73"/>
      <c r="T1059" s="73"/>
      <c r="U1059" s="73"/>
      <c r="V1059" s="73"/>
      <c r="W1059" s="73"/>
      <c r="X1059" s="73"/>
      <c r="Y1059" s="73"/>
      <c r="Z1059" s="73"/>
      <c r="AA1059" s="73"/>
      <c r="AC1059" s="73"/>
      <c r="AD1059" s="73"/>
      <c r="AF1059" s="143"/>
      <c r="AG1059" s="143"/>
      <c r="AH1059" s="143"/>
      <c r="AI1059" s="143"/>
      <c r="AJ1059" s="143"/>
      <c r="AK1059" s="143"/>
      <c r="AL1059" s="143"/>
      <c r="AM1059" s="143"/>
      <c r="AN1059" s="143"/>
      <c r="AO1059" s="143"/>
      <c r="AP1059" s="143"/>
      <c r="AQ1059" s="143"/>
      <c r="AR1059" s="143"/>
      <c r="AS1059" s="143"/>
    </row>
    <row r="1060" spans="1:45" ht="15" customHeight="1">
      <c r="A1060" s="610" t="str">
        <f t="shared" si="108"/>
        <v>130i</v>
      </c>
      <c r="B1060" s="575">
        <f>+(MST!G62+MST!H62+MST!I62)*1.25/2</f>
        <v>-221.40625</v>
      </c>
      <c r="C1060" s="21">
        <f t="shared" si="109"/>
        <v>0.99227787671366763</v>
      </c>
      <c r="D1060" s="575">
        <f t="shared" si="110"/>
        <v>-223.12928182302824</v>
      </c>
      <c r="E1060" s="575">
        <f>input!AK61</f>
        <v>2500</v>
      </c>
      <c r="F1060" s="575">
        <f>input!M61</f>
        <v>2600</v>
      </c>
      <c r="G1060" s="1630" t="str">
        <f>IF(OR(AND(E1060&lt;=3*F1060,input!AJ61=0),AND(E1060&lt;=1.5*F1060,input!AJ61&lt;&gt;0)),"Stiffened","Unstiffened")</f>
        <v>Stiffened</v>
      </c>
      <c r="H1060" s="575">
        <f>IF(G1060="Stiffened",5+5/(E1060/input!M61)^2,5)</f>
        <v>10.408000000000001</v>
      </c>
      <c r="I1060" s="575">
        <f t="shared" si="106"/>
        <v>2620.2337681970289</v>
      </c>
      <c r="J1060" s="575">
        <f>input!N61</f>
        <v>12</v>
      </c>
      <c r="K1060" s="1631">
        <f>IF(I1060/J1060&lt;=1.12*SQRT(Es*H1060/input!BK61),1,IF(I1060/J1060&lt;=1.4*SQRT(Es*H1060/input!BK61),1.12/(I1060/J1060)*SQRT(Es*H1060/input!BK61),1.57*SQRT(Es*H1060/input!BK61)^2/(I1060/J1060)^2))</f>
        <v>0.20274039632533478</v>
      </c>
      <c r="L1060" s="575">
        <f>0.58*input!BK61*1000*input!BQ61*input!N61/10^6</f>
        <v>6474.0735944612179</v>
      </c>
      <c r="M1060" s="575">
        <f t="shared" si="111"/>
        <v>1312.556246380452</v>
      </c>
      <c r="N1060" s="819" t="str">
        <f t="shared" si="112"/>
        <v>OK</v>
      </c>
      <c r="O1060" s="607">
        <f t="shared" si="113"/>
        <v>5.8824921393395915</v>
      </c>
      <c r="P1060" s="560"/>
      <c r="Q1060" s="463"/>
      <c r="R1060" s="73"/>
      <c r="S1060" s="73"/>
      <c r="T1060" s="73"/>
      <c r="U1060" s="73"/>
      <c r="V1060" s="73"/>
      <c r="W1060" s="73"/>
      <c r="X1060" s="73"/>
      <c r="Y1060" s="73"/>
      <c r="Z1060" s="73"/>
      <c r="AA1060" s="73"/>
      <c r="AC1060" s="73"/>
      <c r="AD1060" s="73"/>
      <c r="AF1060" s="143"/>
      <c r="AG1060" s="143"/>
      <c r="AH1060" s="143"/>
      <c r="AI1060" s="143"/>
      <c r="AJ1060" s="143"/>
      <c r="AK1060" s="143"/>
      <c r="AL1060" s="143"/>
      <c r="AM1060" s="143"/>
      <c r="AN1060" s="143"/>
      <c r="AO1060" s="143"/>
      <c r="AP1060" s="143"/>
      <c r="AQ1060" s="143"/>
      <c r="AR1060" s="143"/>
      <c r="AS1060" s="143"/>
    </row>
    <row r="1061" spans="1:45" ht="15" customHeight="1">
      <c r="A1061" s="610" t="str">
        <f t="shared" si="108"/>
        <v>130j</v>
      </c>
      <c r="B1061" s="575">
        <f>+(MST!G63+MST!H63+MST!I63)*1.25/2</f>
        <v>-349.68124999999998</v>
      </c>
      <c r="C1061" s="21">
        <f t="shared" si="109"/>
        <v>0.99227787671366763</v>
      </c>
      <c r="D1061" s="575">
        <f t="shared" si="110"/>
        <v>-352.40254590590274</v>
      </c>
      <c r="E1061" s="575">
        <f>input!AK62</f>
        <v>2500</v>
      </c>
      <c r="F1061" s="575">
        <f>input!M62</f>
        <v>2600</v>
      </c>
      <c r="G1061" s="1630" t="str">
        <f>IF(OR(AND(E1061&lt;=3*F1061,input!AJ62=0),AND(E1061&lt;=1.5*F1061,input!AJ62&lt;&gt;0)),"Stiffened","Unstiffened")</f>
        <v>Stiffened</v>
      </c>
      <c r="H1061" s="575">
        <f>IF(G1061="Stiffened",5+5/(E1061/input!M62)^2,5)</f>
        <v>10.408000000000001</v>
      </c>
      <c r="I1061" s="575">
        <f t="shared" si="106"/>
        <v>2620.2337681970289</v>
      </c>
      <c r="J1061" s="575">
        <f>input!N62</f>
        <v>12</v>
      </c>
      <c r="K1061" s="1631">
        <f>IF(I1061/J1061&lt;=1.12*SQRT(Es*H1061/input!BK62),1,IF(I1061/J1061&lt;=1.4*SQRT(Es*H1061/input!BK62),1.12/(I1061/J1061)*SQRT(Es*H1061/input!BK62),1.57*SQRT(Es*H1061/input!BK62)^2/(I1061/J1061)^2))</f>
        <v>0.20274039632533478</v>
      </c>
      <c r="L1061" s="575">
        <f>0.58*input!BK62*1000*input!BQ62*input!N62/10^6</f>
        <v>6474.0735944612179</v>
      </c>
      <c r="M1061" s="575">
        <f t="shared" si="111"/>
        <v>1312.556246380452</v>
      </c>
      <c r="N1061" s="819" t="str">
        <f t="shared" si="112"/>
        <v>OK</v>
      </c>
      <c r="O1061" s="607">
        <f t="shared" si="113"/>
        <v>3.724593541191175</v>
      </c>
      <c r="P1061" s="560"/>
      <c r="Q1061" s="463"/>
      <c r="R1061" s="73"/>
      <c r="S1061" s="73"/>
      <c r="T1061" s="73"/>
      <c r="U1061" s="73"/>
      <c r="V1061" s="73"/>
      <c r="W1061" s="73"/>
      <c r="X1061" s="73"/>
      <c r="Y1061" s="73"/>
      <c r="Z1061" s="73"/>
      <c r="AA1061" s="73"/>
      <c r="AC1061" s="73"/>
      <c r="AD1061" s="73"/>
      <c r="AF1061" s="143"/>
      <c r="AG1061" s="143"/>
      <c r="AH1061" s="143"/>
      <c r="AI1061" s="143"/>
      <c r="AJ1061" s="143"/>
      <c r="AK1061" s="143"/>
      <c r="AL1061" s="143"/>
      <c r="AM1061" s="143"/>
      <c r="AN1061" s="143"/>
      <c r="AO1061" s="143"/>
      <c r="AP1061" s="143"/>
      <c r="AQ1061" s="143"/>
      <c r="AR1061" s="143"/>
      <c r="AS1061" s="143"/>
    </row>
    <row r="1062" spans="1:45" ht="15" customHeight="1">
      <c r="A1062" s="610" t="str">
        <f t="shared" si="108"/>
        <v>131i</v>
      </c>
      <c r="B1062" s="575">
        <f>+(MST!G64+MST!H64+MST!I64)*1.25/2</f>
        <v>24.337500000000002</v>
      </c>
      <c r="C1062" s="21">
        <f t="shared" si="109"/>
        <v>0.99227787671366763</v>
      </c>
      <c r="D1062" s="575">
        <f t="shared" si="110"/>
        <v>24.526899743651995</v>
      </c>
      <c r="E1062" s="575">
        <f>input!AK63</f>
        <v>2500</v>
      </c>
      <c r="F1062" s="575">
        <f>input!M63</f>
        <v>2600</v>
      </c>
      <c r="G1062" s="1630" t="str">
        <f>IF(OR(AND(E1062&lt;=3*F1062,input!AJ63=0),AND(E1062&lt;=1.5*F1062,input!AJ63&lt;&gt;0)),"Stiffened","Unstiffened")</f>
        <v>Stiffened</v>
      </c>
      <c r="H1062" s="575">
        <f>IF(G1062="Stiffened",5+5/(E1062/input!M63)^2,5)</f>
        <v>10.408000000000001</v>
      </c>
      <c r="I1062" s="575">
        <f t="shared" si="106"/>
        <v>2620.2337681970289</v>
      </c>
      <c r="J1062" s="575">
        <f>input!N63</f>
        <v>12</v>
      </c>
      <c r="K1062" s="1631">
        <f>IF(I1062/J1062&lt;=1.12*SQRT(Es*H1062/input!BK63),1,IF(I1062/J1062&lt;=1.4*SQRT(Es*H1062/input!BK63),1.12/(I1062/J1062)*SQRT(Es*H1062/input!BK63),1.57*SQRT(Es*H1062/input!BK63)^2/(I1062/J1062)^2))</f>
        <v>0.20274039632533478</v>
      </c>
      <c r="L1062" s="575">
        <f>0.58*input!BK63*1000*input!BQ63*input!N63/10^6</f>
        <v>6474.0735944612179</v>
      </c>
      <c r="M1062" s="575">
        <f t="shared" si="111"/>
        <v>1312.556246380452</v>
      </c>
      <c r="N1062" s="819" t="str">
        <f t="shared" si="112"/>
        <v>OK</v>
      </c>
      <c r="O1062" s="607">
        <f t="shared" si="113"/>
        <v>53.514967651798926</v>
      </c>
      <c r="P1062" s="560"/>
      <c r="Q1062" s="463"/>
      <c r="R1062" s="73"/>
      <c r="S1062" s="73"/>
      <c r="T1062" s="73"/>
      <c r="U1062" s="73"/>
      <c r="V1062" s="73"/>
      <c r="W1062" s="73"/>
      <c r="X1062" s="73"/>
      <c r="Y1062" s="73"/>
      <c r="Z1062" s="73"/>
      <c r="AA1062" s="73"/>
      <c r="AC1062" s="73"/>
      <c r="AD1062" s="73"/>
      <c r="AF1062" s="143"/>
      <c r="AG1062" s="143"/>
      <c r="AH1062" s="143"/>
      <c r="AI1062" s="143"/>
      <c r="AJ1062" s="143"/>
      <c r="AK1062" s="143"/>
      <c r="AL1062" s="143"/>
      <c r="AM1062" s="143"/>
      <c r="AN1062" s="143"/>
      <c r="AO1062" s="143"/>
      <c r="AP1062" s="143"/>
      <c r="AQ1062" s="143"/>
      <c r="AR1062" s="143"/>
      <c r="AS1062" s="143"/>
    </row>
    <row r="1063" spans="1:45" ht="15" customHeight="1">
      <c r="A1063" s="610" t="str">
        <f t="shared" si="108"/>
        <v>131j</v>
      </c>
      <c r="B1063" s="575">
        <f>+(MST!G65+MST!H65+MST!I65)*1.25/2</f>
        <v>6.2500000000000003E-3</v>
      </c>
      <c r="C1063" s="21">
        <f t="shared" si="109"/>
        <v>0.99227787671366763</v>
      </c>
      <c r="D1063" s="575">
        <f t="shared" si="110"/>
        <v>6.2986388658582424E-3</v>
      </c>
      <c r="E1063" s="575">
        <f>input!AK64</f>
        <v>2500</v>
      </c>
      <c r="F1063" s="575">
        <f>input!M64</f>
        <v>2600</v>
      </c>
      <c r="G1063" s="1630" t="str">
        <f>IF(OR(AND(E1063&lt;=3*F1063,input!AJ64=0),AND(E1063&lt;=1.5*F1063,input!AJ64&lt;&gt;0)),"Stiffened","Unstiffened")</f>
        <v>Stiffened</v>
      </c>
      <c r="H1063" s="575">
        <f>IF(G1063="Stiffened",5+5/(E1063/input!M64)^2,5)</f>
        <v>10.408000000000001</v>
      </c>
      <c r="I1063" s="575">
        <f t="shared" si="106"/>
        <v>2620.2337681970289</v>
      </c>
      <c r="J1063" s="575">
        <f>input!N64</f>
        <v>12</v>
      </c>
      <c r="K1063" s="1631">
        <f>IF(I1063/J1063&lt;=1.12*SQRT(Es*H1063/input!BK64),1,IF(I1063/J1063&lt;=1.4*SQRT(Es*H1063/input!BK64),1.12/(I1063/J1063)*SQRT(Es*H1063/input!BK64),1.57*SQRT(Es*H1063/input!BK64)^2/(I1063/J1063)^2))</f>
        <v>0.20274039632533478</v>
      </c>
      <c r="L1063" s="575">
        <f>0.58*input!BK64*1000*input!BQ64*input!N64/10^6</f>
        <v>6474.0735944612179</v>
      </c>
      <c r="M1063" s="575">
        <f t="shared" si="111"/>
        <v>1312.556246380452</v>
      </c>
      <c r="N1063" s="819" t="str">
        <f t="shared" si="112"/>
        <v>OK</v>
      </c>
      <c r="O1063" s="606">
        <f t="shared" si="113"/>
        <v>208387.28403610503</v>
      </c>
      <c r="P1063" s="560"/>
      <c r="Q1063" s="463"/>
      <c r="R1063" s="73"/>
      <c r="S1063" s="73"/>
      <c r="T1063" s="73"/>
      <c r="U1063" s="73"/>
      <c r="V1063" s="73"/>
      <c r="W1063" s="73"/>
      <c r="X1063" s="73"/>
      <c r="Y1063" s="73"/>
      <c r="Z1063" s="73"/>
      <c r="AA1063" s="73"/>
      <c r="AC1063" s="73"/>
      <c r="AD1063" s="73"/>
      <c r="AF1063" s="143"/>
      <c r="AG1063" s="143"/>
      <c r="AH1063" s="143"/>
      <c r="AI1063" s="143"/>
      <c r="AJ1063" s="143"/>
      <c r="AK1063" s="143"/>
      <c r="AL1063" s="143"/>
      <c r="AM1063" s="143"/>
      <c r="AN1063" s="143"/>
      <c r="AO1063" s="143"/>
      <c r="AP1063" s="143"/>
      <c r="AQ1063" s="143"/>
      <c r="AR1063" s="143"/>
      <c r="AS1063" s="143"/>
    </row>
  </sheetData>
  <mergeCells count="44">
    <mergeCell ref="D83:D84"/>
    <mergeCell ref="C83:C84"/>
    <mergeCell ref="F235:F236"/>
    <mergeCell ref="G788:J788"/>
    <mergeCell ref="C647:F647"/>
    <mergeCell ref="G647:K647"/>
    <mergeCell ref="C722:G722"/>
    <mergeCell ref="H722:K722"/>
    <mergeCell ref="K314:L314"/>
    <mergeCell ref="D380:G380"/>
    <mergeCell ref="H380:L380"/>
    <mergeCell ref="C271:E272"/>
    <mergeCell ref="D861:E862"/>
    <mergeCell ref="H861:K862"/>
    <mergeCell ref="C788:F788"/>
    <mergeCell ref="L722:O722"/>
    <mergeCell ref="B93:H93"/>
    <mergeCell ref="C867:D868"/>
    <mergeCell ref="C281:E282"/>
    <mergeCell ref="C260:E261"/>
    <mergeCell ref="F867:I868"/>
    <mergeCell ref="B314:F314"/>
    <mergeCell ref="D863:E864"/>
    <mergeCell ref="H863:K864"/>
    <mergeCell ref="I93:K93"/>
    <mergeCell ref="B159:C159"/>
    <mergeCell ref="D235:E235"/>
    <mergeCell ref="C235:C236"/>
    <mergeCell ref="L902:M902"/>
    <mergeCell ref="N902:O902"/>
    <mergeCell ref="H876:I876"/>
    <mergeCell ref="C902:D902"/>
    <mergeCell ref="I35:K36"/>
    <mergeCell ref="I447:K447"/>
    <mergeCell ref="D581:G581"/>
    <mergeCell ref="B714:D715"/>
    <mergeCell ref="B716:D716"/>
    <mergeCell ref="C85:C86"/>
    <mergeCell ref="D85:D86"/>
    <mergeCell ref="D236:E236"/>
    <mergeCell ref="C514:G514"/>
    <mergeCell ref="G314:J314"/>
    <mergeCell ref="B447:H447"/>
    <mergeCell ref="E35:F36"/>
  </mergeCells>
  <phoneticPr fontId="34" type="noConversion"/>
  <conditionalFormatting sqref="S967:T967 N852:O852 I790:J851">
    <cfRule type="cellIs" dxfId="139" priority="43" operator="equal">
      <formula>"NG"</formula>
    </cfRule>
  </conditionalFormatting>
  <conditionalFormatting sqref="N1002:N1063">
    <cfRule type="cellIs" dxfId="138" priority="40" operator="equal">
      <formula>"NG"</formula>
    </cfRule>
  </conditionalFormatting>
  <conditionalFormatting sqref="L904:L965">
    <cfRule type="cellIs" dxfId="137" priority="38" operator="equal">
      <formula>"NG"</formula>
    </cfRule>
  </conditionalFormatting>
  <conditionalFormatting sqref="M904:M965">
    <cfRule type="cellIs" dxfId="136" priority="31" operator="equal">
      <formula>"NG"</formula>
    </cfRule>
  </conditionalFormatting>
  <conditionalFormatting sqref="O1002:O1063">
    <cfRule type="cellIs" dxfId="135" priority="30" operator="equal">
      <formula>"NG"</formula>
    </cfRule>
  </conditionalFormatting>
  <conditionalFormatting sqref="N724:N785">
    <cfRule type="cellIs" dxfId="134" priority="16" operator="equal">
      <formula>"NG"</formula>
    </cfRule>
  </conditionalFormatting>
  <conditionalFormatting sqref="O724:O785">
    <cfRule type="cellIs" dxfId="133" priority="14" operator="equal">
      <formula>"NG"</formula>
    </cfRule>
  </conditionalFormatting>
  <conditionalFormatting sqref="G724:G785">
    <cfRule type="cellIs" dxfId="132" priority="12" operator="equal">
      <formula>"NG"</formula>
    </cfRule>
  </conditionalFormatting>
  <conditionalFormatting sqref="J724:J785">
    <cfRule type="cellIs" dxfId="131" priority="11" operator="equal">
      <formula>"NG"</formula>
    </cfRule>
  </conditionalFormatting>
  <conditionalFormatting sqref="K724:K785">
    <cfRule type="cellIs" dxfId="130" priority="10" operator="equal">
      <formula>"NG"</formula>
    </cfRule>
  </conditionalFormatting>
  <conditionalFormatting sqref="G852">
    <cfRule type="cellIs" dxfId="129" priority="7" operator="equal">
      <formula>"NG"</formula>
    </cfRule>
  </conditionalFormatting>
  <conditionalFormatting sqref="J852">
    <cfRule type="cellIs" dxfId="128" priority="6" operator="equal">
      <formula>"NG"</formula>
    </cfRule>
  </conditionalFormatting>
  <conditionalFormatting sqref="K852">
    <cfRule type="cellIs" dxfId="127" priority="5" operator="equal">
      <formula>"NG"</formula>
    </cfRule>
  </conditionalFormatting>
  <conditionalFormatting sqref="E790:E851">
    <cfRule type="cellIs" dxfId="126" priority="4" operator="equal">
      <formula>"NG"</formula>
    </cfRule>
  </conditionalFormatting>
  <conditionalFormatting sqref="F790:F851">
    <cfRule type="cellIs" dxfId="125" priority="3" operator="equal">
      <formula>"NG"</formula>
    </cfRule>
  </conditionalFormatting>
  <conditionalFormatting sqref="N904:N965">
    <cfRule type="cellIs" dxfId="124" priority="2" operator="equal">
      <formula>"NG"</formula>
    </cfRule>
  </conditionalFormatting>
  <conditionalFormatting sqref="O904:O965">
    <cfRule type="cellIs" dxfId="123" priority="1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3" orientation="portrait" r:id="rId1"/>
  <rowBreaks count="13" manualBreakCount="13">
    <brk id="26" max="14" man="1"/>
    <brk id="74" max="14" man="1"/>
    <brk id="157" max="14" man="1"/>
    <brk id="224" max="14" man="1"/>
    <brk id="312" max="14" man="1"/>
    <brk id="378" max="14" man="1"/>
    <brk id="445" max="14" man="1"/>
    <brk id="512" max="14" man="1"/>
    <brk id="579" max="14" man="1"/>
    <brk id="711" max="14" man="1"/>
    <brk id="853" max="14" man="1"/>
    <brk id="900" max="14" man="1"/>
    <brk id="968" max="14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2:CJ1478"/>
  <sheetViews>
    <sheetView showGridLines="0" tabSelected="1" view="pageBreakPreview" topLeftCell="A1345" zoomScale="112" zoomScaleNormal="100" zoomScaleSheetLayoutView="112" workbookViewId="0">
      <selection activeCell="P1356" sqref="P1356"/>
    </sheetView>
  </sheetViews>
  <sheetFormatPr defaultColWidth="9.77734375" defaultRowHeight="15" customHeight="1"/>
  <cols>
    <col min="1" max="11" width="5.77734375" style="143" customWidth="1"/>
    <col min="12" max="12" width="5.77734375" style="257" customWidth="1"/>
    <col min="13" max="14" width="5.77734375" style="143" customWidth="1"/>
    <col min="15" max="15" width="6.88671875" style="143" customWidth="1"/>
    <col min="16" max="16" width="5.77734375" style="143" customWidth="1"/>
    <col min="17" max="25" width="4.77734375" style="143" customWidth="1"/>
    <col min="26" max="26" width="4.77734375" style="257" customWidth="1"/>
    <col min="27" max="27" width="4.77734375" style="143" customWidth="1"/>
    <col min="28" max="28" width="5.33203125" style="257" customWidth="1"/>
    <col min="29" max="29" width="5.33203125" style="143" customWidth="1"/>
    <col min="30" max="30" width="5.33203125" style="73" customWidth="1"/>
    <col min="31" max="31" width="6.77734375" style="559" customWidth="1"/>
    <col min="32" max="32" width="6.21875" style="73" customWidth="1"/>
    <col min="33" max="33" width="6.5546875" style="73" customWidth="1"/>
    <col min="34" max="35" width="6.77734375" style="73" customWidth="1"/>
    <col min="36" max="36" width="6" style="73" customWidth="1"/>
    <col min="37" max="37" width="5.44140625" style="73" customWidth="1"/>
    <col min="38" max="38" width="6" style="73" customWidth="1"/>
    <col min="39" max="39" width="6.44140625" style="73" customWidth="1"/>
    <col min="40" max="40" width="5.33203125" style="73" customWidth="1"/>
    <col min="41" max="42" width="6.109375" style="73" customWidth="1"/>
    <col min="43" max="43" width="6.6640625" style="73" customWidth="1"/>
    <col min="44" max="45" width="5.33203125" style="143" customWidth="1"/>
    <col min="46" max="46" width="6" style="143" customWidth="1"/>
    <col min="47" max="52" width="5.33203125" style="143" customWidth="1"/>
    <col min="53" max="53" width="9.88671875" style="143" customWidth="1"/>
    <col min="54" max="54" width="6.77734375" style="143" customWidth="1"/>
    <col min="55" max="62" width="5.33203125" style="143" customWidth="1"/>
    <col min="63" max="63" width="6.5546875" style="143" customWidth="1"/>
    <col min="64" max="70" width="5.33203125" style="143" customWidth="1"/>
    <col min="71" max="71" width="6.5546875" style="143" customWidth="1"/>
    <col min="72" max="76" width="5.33203125" style="143" customWidth="1"/>
    <col min="77" max="91" width="2.77734375" style="143" customWidth="1"/>
    <col min="92" max="16384" width="9.77734375" style="143"/>
  </cols>
  <sheetData>
    <row r="2" spans="1:51" ht="15" customHeight="1">
      <c r="A2" s="206" t="s">
        <v>451</v>
      </c>
      <c r="B2" s="133"/>
      <c r="N2" s="137" t="s">
        <v>4</v>
      </c>
      <c r="AY2" s="138"/>
    </row>
    <row r="3" spans="1:51" ht="15" customHeight="1">
      <c r="A3" s="206"/>
      <c r="B3" s="133"/>
      <c r="AA3" s="137"/>
      <c r="AY3" s="138"/>
    </row>
    <row r="4" spans="1:51" ht="15" customHeight="1" thickBot="1">
      <c r="A4" s="206"/>
      <c r="B4" s="64" t="s">
        <v>121</v>
      </c>
      <c r="C4" s="170"/>
      <c r="D4" s="170"/>
      <c r="E4" s="170"/>
      <c r="F4" s="170"/>
      <c r="G4" s="170"/>
      <c r="H4" s="170"/>
      <c r="I4" s="170"/>
      <c r="J4" s="170"/>
      <c r="K4" s="253"/>
      <c r="L4" s="170"/>
      <c r="M4" s="170"/>
      <c r="O4" s="170"/>
      <c r="P4" s="170"/>
      <c r="Q4" s="170"/>
      <c r="R4" s="170"/>
      <c r="S4" s="170"/>
      <c r="T4" s="170"/>
      <c r="U4" s="170"/>
      <c r="V4" s="170"/>
      <c r="AA4" s="137"/>
      <c r="AY4" s="138"/>
    </row>
    <row r="5" spans="1:51" ht="15" customHeight="1">
      <c r="A5" s="206"/>
      <c r="B5" s="35" t="s">
        <v>139</v>
      </c>
      <c r="C5" s="36"/>
      <c r="D5" s="36"/>
      <c r="E5" s="36"/>
      <c r="F5" s="36"/>
      <c r="G5" s="36"/>
      <c r="H5" s="224"/>
      <c r="I5" s="36"/>
      <c r="J5" s="36"/>
      <c r="K5" s="36"/>
      <c r="L5" s="36"/>
      <c r="M5" s="43"/>
      <c r="AA5" s="137"/>
      <c r="AY5" s="138"/>
    </row>
    <row r="6" spans="1:51" ht="15" customHeight="1">
      <c r="A6" s="206"/>
      <c r="B6" s="225"/>
      <c r="C6" s="9"/>
      <c r="D6" s="9"/>
      <c r="E6" s="9"/>
      <c r="F6" s="31"/>
      <c r="G6" s="33" t="s">
        <v>1712</v>
      </c>
      <c r="H6" s="195"/>
      <c r="I6" s="9"/>
      <c r="J6" s="9"/>
      <c r="K6" s="9"/>
      <c r="L6" s="9"/>
      <c r="M6" s="38" t="s">
        <v>177</v>
      </c>
      <c r="AA6" s="137"/>
      <c r="AY6" s="138"/>
    </row>
    <row r="7" spans="1:51" ht="15" customHeight="1">
      <c r="A7" s="206"/>
      <c r="B7" s="226"/>
      <c r="C7" s="11"/>
      <c r="D7" s="11"/>
      <c r="E7" s="11"/>
      <c r="F7" s="11"/>
      <c r="G7" s="34"/>
      <c r="H7" s="197"/>
      <c r="I7" s="11"/>
      <c r="J7" s="11"/>
      <c r="K7" s="11"/>
      <c r="L7" s="11"/>
      <c r="M7" s="227"/>
      <c r="AA7" s="137"/>
      <c r="AY7" s="138"/>
    </row>
    <row r="8" spans="1:51" ht="15" customHeight="1">
      <c r="A8" s="206"/>
      <c r="B8" s="72" t="s">
        <v>217</v>
      </c>
      <c r="C8" s="9"/>
      <c r="D8" s="9"/>
      <c r="E8" s="9"/>
      <c r="F8" s="9"/>
      <c r="G8" s="62"/>
      <c r="H8" s="196"/>
      <c r="I8" s="9"/>
      <c r="J8" s="9"/>
      <c r="K8" s="9"/>
      <c r="L8" s="9"/>
      <c r="M8" s="228"/>
      <c r="AA8" s="137"/>
      <c r="AY8" s="138"/>
    </row>
    <row r="9" spans="1:51" ht="15" customHeight="1">
      <c r="A9" s="206"/>
      <c r="B9" s="229"/>
      <c r="C9" s="9"/>
      <c r="D9" s="9"/>
      <c r="E9" s="9"/>
      <c r="F9" s="31"/>
      <c r="G9" s="33" t="s">
        <v>1713</v>
      </c>
      <c r="H9" s="195"/>
      <c r="I9" s="9"/>
      <c r="J9" s="9"/>
      <c r="K9" s="9"/>
      <c r="L9" s="9"/>
      <c r="M9" s="77" t="s">
        <v>202</v>
      </c>
      <c r="AA9" s="137"/>
      <c r="AY9" s="138"/>
    </row>
    <row r="10" spans="1:51" ht="15" customHeight="1">
      <c r="A10" s="206"/>
      <c r="B10" s="37"/>
      <c r="C10" s="9"/>
      <c r="D10" s="9"/>
      <c r="E10" s="9"/>
      <c r="F10" s="31"/>
      <c r="G10" s="33" t="s">
        <v>219</v>
      </c>
      <c r="H10" s="195"/>
      <c r="I10" s="9"/>
      <c r="J10" s="9"/>
      <c r="K10" s="9"/>
      <c r="L10" s="9"/>
      <c r="M10" s="38"/>
      <c r="AA10" s="137"/>
      <c r="AY10" s="138"/>
    </row>
    <row r="11" spans="1:51" ht="15" customHeight="1">
      <c r="A11" s="206"/>
      <c r="B11" s="233"/>
      <c r="C11" s="11"/>
      <c r="D11" s="11"/>
      <c r="E11" s="11"/>
      <c r="F11" s="234"/>
      <c r="G11" s="34"/>
      <c r="H11" s="235"/>
      <c r="I11" s="11"/>
      <c r="J11" s="11"/>
      <c r="K11" s="11"/>
      <c r="L11" s="11"/>
      <c r="M11" s="236"/>
      <c r="Z11" s="283"/>
      <c r="AA11" s="137"/>
      <c r="AB11" s="283"/>
      <c r="AY11" s="138"/>
    </row>
    <row r="12" spans="1:51" ht="15" customHeight="1">
      <c r="A12" s="206"/>
      <c r="B12" s="71" t="s">
        <v>220</v>
      </c>
      <c r="C12" s="9"/>
      <c r="D12" s="9"/>
      <c r="E12" s="31"/>
      <c r="F12" s="31"/>
      <c r="G12" s="198"/>
      <c r="H12" s="195"/>
      <c r="I12" s="9"/>
      <c r="J12" s="9"/>
      <c r="K12" s="9"/>
      <c r="L12" s="9"/>
      <c r="M12" s="38" t="s">
        <v>181</v>
      </c>
      <c r="AA12" s="137"/>
      <c r="AY12" s="138"/>
    </row>
    <row r="13" spans="1:51" ht="15" customHeight="1">
      <c r="A13" s="206"/>
      <c r="B13" s="71" t="s">
        <v>118</v>
      </c>
      <c r="C13" s="9"/>
      <c r="D13" s="9"/>
      <c r="E13" s="9"/>
      <c r="F13" s="9"/>
      <c r="G13" s="33" t="s">
        <v>1714</v>
      </c>
      <c r="H13" s="196"/>
      <c r="I13" s="9"/>
      <c r="J13" s="9"/>
      <c r="K13" s="9"/>
      <c r="L13" s="9"/>
      <c r="M13" s="38" t="s">
        <v>182</v>
      </c>
      <c r="AA13" s="137"/>
      <c r="AY13" s="138"/>
    </row>
    <row r="14" spans="1:51" ht="15" customHeight="1">
      <c r="A14" s="206"/>
      <c r="B14" s="39" t="s">
        <v>119</v>
      </c>
      <c r="C14" s="9"/>
      <c r="D14" s="9"/>
      <c r="E14" s="31"/>
      <c r="F14" s="31"/>
      <c r="G14" s="33" t="s">
        <v>1715</v>
      </c>
      <c r="H14" s="195"/>
      <c r="I14" s="9"/>
      <c r="J14" s="9"/>
      <c r="K14" s="9"/>
      <c r="L14" s="9"/>
      <c r="M14" s="38"/>
      <c r="AA14" s="137"/>
      <c r="AY14" s="138"/>
    </row>
    <row r="15" spans="1:51" ht="15" customHeight="1">
      <c r="A15" s="206"/>
      <c r="B15" s="37"/>
      <c r="C15" s="9"/>
      <c r="D15" s="9"/>
      <c r="E15" s="31"/>
      <c r="F15" s="31"/>
      <c r="G15" s="33"/>
      <c r="H15" s="195"/>
      <c r="I15" s="9"/>
      <c r="J15" s="9"/>
      <c r="K15" s="9"/>
      <c r="L15" s="9"/>
      <c r="M15" s="38"/>
      <c r="AA15" s="137"/>
      <c r="AY15" s="138"/>
    </row>
    <row r="16" spans="1:51" ht="15" customHeight="1">
      <c r="A16" s="206"/>
      <c r="B16" s="46"/>
      <c r="C16" s="11"/>
      <c r="D16" s="11"/>
      <c r="E16" s="11"/>
      <c r="F16" s="11"/>
      <c r="G16" s="34"/>
      <c r="H16" s="197"/>
      <c r="I16" s="11"/>
      <c r="J16" s="11"/>
      <c r="K16" s="11"/>
      <c r="L16" s="11"/>
      <c r="M16" s="227"/>
      <c r="AA16" s="137"/>
      <c r="AY16" s="138"/>
    </row>
    <row r="17" spans="1:51" ht="15" customHeight="1">
      <c r="A17" s="206"/>
      <c r="B17" s="72" t="s">
        <v>221</v>
      </c>
      <c r="C17" s="9"/>
      <c r="D17" s="9"/>
      <c r="E17" s="9"/>
      <c r="F17" s="9"/>
      <c r="G17" s="33"/>
      <c r="H17" s="196"/>
      <c r="I17" s="9"/>
      <c r="J17" s="9"/>
      <c r="K17" s="9"/>
      <c r="L17" s="9"/>
      <c r="M17" s="228"/>
      <c r="AA17" s="137"/>
      <c r="AY17" s="138"/>
    </row>
    <row r="18" spans="1:51" ht="15" customHeight="1">
      <c r="A18" s="206"/>
      <c r="B18" s="230"/>
      <c r="C18" s="9"/>
      <c r="D18" s="9"/>
      <c r="E18" s="9"/>
      <c r="F18" s="31"/>
      <c r="G18" s="33" t="s">
        <v>1716</v>
      </c>
      <c r="H18" s="195"/>
      <c r="I18" s="9"/>
      <c r="J18" s="9"/>
      <c r="K18" s="9"/>
      <c r="L18" s="9"/>
      <c r="M18" s="38" t="s">
        <v>218</v>
      </c>
      <c r="AA18" s="137"/>
      <c r="AY18" s="138"/>
    </row>
    <row r="19" spans="1:51" ht="15" customHeight="1">
      <c r="A19" s="206"/>
      <c r="B19" s="46"/>
      <c r="C19" s="11"/>
      <c r="D19" s="11"/>
      <c r="E19" s="11"/>
      <c r="F19" s="11"/>
      <c r="G19" s="34"/>
      <c r="H19" s="197"/>
      <c r="I19" s="11"/>
      <c r="J19" s="11"/>
      <c r="K19" s="11"/>
      <c r="L19" s="11"/>
      <c r="M19" s="227"/>
      <c r="AA19" s="137"/>
      <c r="AY19" s="138"/>
    </row>
    <row r="20" spans="1:51" ht="15" customHeight="1">
      <c r="A20" s="206"/>
      <c r="B20" s="39" t="s">
        <v>120</v>
      </c>
      <c r="C20" s="9"/>
      <c r="D20" s="9"/>
      <c r="E20" s="9"/>
      <c r="F20" s="9"/>
      <c r="G20" s="33"/>
      <c r="H20" s="196"/>
      <c r="I20" s="9"/>
      <c r="J20" s="9"/>
      <c r="K20" s="9"/>
      <c r="L20" s="9"/>
      <c r="M20" s="228"/>
      <c r="AA20" s="137"/>
      <c r="AY20" s="138"/>
    </row>
    <row r="21" spans="1:51" ht="15" customHeight="1">
      <c r="A21" s="206"/>
      <c r="B21" s="37"/>
      <c r="C21" s="9"/>
      <c r="D21" s="9"/>
      <c r="E21" s="9"/>
      <c r="F21" s="31"/>
      <c r="G21" s="33" t="s">
        <v>1717</v>
      </c>
      <c r="H21" s="195"/>
      <c r="I21" s="9"/>
      <c r="J21" s="9"/>
      <c r="K21" s="9"/>
      <c r="L21" s="9"/>
      <c r="M21" s="38" t="s">
        <v>183</v>
      </c>
      <c r="AA21" s="137"/>
      <c r="AY21" s="138"/>
    </row>
    <row r="22" spans="1:51" ht="15" customHeight="1" thickBot="1">
      <c r="A22" s="206"/>
      <c r="B22" s="40"/>
      <c r="C22" s="41"/>
      <c r="D22" s="41"/>
      <c r="E22" s="41"/>
      <c r="F22" s="42"/>
      <c r="G22" s="41"/>
      <c r="H22" s="232"/>
      <c r="I22" s="41"/>
      <c r="J22" s="41"/>
      <c r="K22" s="41"/>
      <c r="L22" s="41"/>
      <c r="M22" s="45"/>
      <c r="AA22" s="137"/>
      <c r="AY22" s="138"/>
    </row>
    <row r="23" spans="1:51" ht="15" customHeight="1">
      <c r="A23" s="206"/>
      <c r="B23" s="133"/>
      <c r="C23" s="122"/>
      <c r="D23" s="122"/>
      <c r="E23" s="122"/>
      <c r="F23" s="122"/>
      <c r="G23" s="87"/>
      <c r="H23" s="122"/>
      <c r="I23" s="122"/>
      <c r="J23" s="122"/>
      <c r="K23" s="122"/>
      <c r="L23" s="314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Z23" s="310"/>
      <c r="AA23" s="137"/>
      <c r="AB23" s="310"/>
      <c r="AY23" s="138"/>
    </row>
    <row r="24" spans="1:51" ht="15" customHeight="1">
      <c r="A24" s="206"/>
      <c r="B24" s="133"/>
      <c r="C24" s="122"/>
      <c r="D24" s="122"/>
      <c r="E24" s="122"/>
      <c r="F24" s="122"/>
      <c r="G24" s="87"/>
      <c r="H24" s="122"/>
      <c r="I24" s="122"/>
      <c r="J24" s="122"/>
      <c r="K24" s="122"/>
      <c r="L24" s="314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Z24" s="310"/>
      <c r="AA24" s="137"/>
      <c r="AB24" s="310"/>
      <c r="AY24" s="138"/>
    </row>
    <row r="25" spans="1:51" ht="15" customHeight="1">
      <c r="A25" s="206"/>
      <c r="B25" s="133"/>
      <c r="C25" s="122"/>
      <c r="D25" s="122"/>
      <c r="E25" s="122"/>
      <c r="F25" s="122"/>
      <c r="G25" s="87"/>
      <c r="H25" s="122"/>
      <c r="I25" s="122"/>
      <c r="J25" s="122"/>
      <c r="K25" s="122"/>
      <c r="L25" s="314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Z25" s="310"/>
      <c r="AA25" s="137"/>
      <c r="AB25" s="310"/>
      <c r="AY25" s="138"/>
    </row>
    <row r="26" spans="1:51" ht="15" customHeight="1">
      <c r="A26" s="206"/>
      <c r="B26" s="133"/>
      <c r="C26" s="122"/>
      <c r="D26" s="122"/>
      <c r="E26" s="122"/>
      <c r="F26" s="122"/>
      <c r="G26" s="87"/>
      <c r="H26" s="122"/>
      <c r="I26" s="122"/>
      <c r="J26" s="122"/>
      <c r="K26" s="122"/>
      <c r="L26" s="314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Z26" s="310"/>
      <c r="AA26" s="137"/>
      <c r="AB26" s="310"/>
      <c r="AY26" s="138"/>
    </row>
    <row r="27" spans="1:51" ht="15" customHeight="1">
      <c r="A27" s="206"/>
      <c r="B27" s="133"/>
      <c r="C27" s="122"/>
      <c r="D27" s="122"/>
      <c r="E27" s="122"/>
      <c r="F27" s="122"/>
      <c r="G27" s="87"/>
      <c r="H27" s="122"/>
      <c r="I27" s="122"/>
      <c r="J27" s="122"/>
      <c r="K27" s="122"/>
      <c r="L27" s="314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Z27" s="310"/>
      <c r="AA27" s="137"/>
      <c r="AB27" s="310"/>
      <c r="AY27" s="138"/>
    </row>
    <row r="28" spans="1:51" ht="15" customHeight="1">
      <c r="A28" s="206"/>
      <c r="B28" s="133"/>
      <c r="C28" s="122"/>
      <c r="D28" s="122"/>
      <c r="E28" s="122"/>
      <c r="F28" s="122"/>
      <c r="G28" s="87"/>
      <c r="H28" s="122"/>
      <c r="I28" s="122"/>
      <c r="J28" s="122"/>
      <c r="K28" s="122"/>
      <c r="L28" s="314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Z28" s="310"/>
      <c r="AA28" s="137"/>
      <c r="AB28" s="310"/>
      <c r="AY28" s="138"/>
    </row>
    <row r="29" spans="1:51" ht="15" customHeight="1">
      <c r="A29" s="206"/>
      <c r="B29" s="133"/>
      <c r="C29" s="122"/>
      <c r="D29" s="122"/>
      <c r="E29" s="122"/>
      <c r="F29" s="122"/>
      <c r="G29" s="87"/>
      <c r="H29" s="122"/>
      <c r="I29" s="122"/>
      <c r="J29" s="122"/>
      <c r="K29" s="122"/>
      <c r="L29" s="314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Z29" s="310"/>
      <c r="AA29" s="137"/>
      <c r="AB29" s="310"/>
      <c r="AY29" s="138"/>
    </row>
    <row r="30" spans="1:51" ht="15" customHeight="1">
      <c r="A30" s="206"/>
      <c r="B30" s="133"/>
      <c r="C30" s="122"/>
      <c r="D30" s="122"/>
      <c r="E30" s="122"/>
      <c r="F30" s="122"/>
      <c r="G30" s="87"/>
      <c r="H30" s="122"/>
      <c r="I30" s="122"/>
      <c r="J30" s="122"/>
      <c r="K30" s="122"/>
      <c r="L30" s="314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Z30" s="310"/>
      <c r="AA30" s="137"/>
      <c r="AB30" s="310"/>
      <c r="AY30" s="138"/>
    </row>
    <row r="31" spans="1:51" ht="15" customHeight="1">
      <c r="A31" s="206"/>
      <c r="B31" s="133"/>
      <c r="C31" s="122"/>
      <c r="D31" s="122"/>
      <c r="E31" s="122"/>
      <c r="F31" s="122"/>
      <c r="G31" s="87"/>
      <c r="H31" s="122"/>
      <c r="I31" s="122"/>
      <c r="J31" s="122"/>
      <c r="K31" s="122"/>
      <c r="L31" s="314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Z31" s="310"/>
      <c r="AA31" s="137"/>
      <c r="AB31" s="310"/>
      <c r="AY31" s="138"/>
    </row>
    <row r="32" spans="1:51" ht="15" customHeight="1">
      <c r="A32" s="206"/>
      <c r="B32" s="133"/>
      <c r="C32" s="122"/>
      <c r="D32" s="122"/>
      <c r="E32" s="122"/>
      <c r="F32" s="122"/>
      <c r="G32" s="87"/>
      <c r="H32" s="122"/>
      <c r="I32" s="122"/>
      <c r="J32" s="122"/>
      <c r="K32" s="122"/>
      <c r="L32" s="314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Z32" s="310"/>
      <c r="AA32" s="137"/>
      <c r="AB32" s="310"/>
      <c r="AY32" s="138"/>
    </row>
    <row r="33" spans="1:51" ht="15" customHeight="1">
      <c r="A33" s="206"/>
      <c r="B33" s="133"/>
      <c r="C33" s="122"/>
      <c r="D33" s="122"/>
      <c r="E33" s="122"/>
      <c r="F33" s="122"/>
      <c r="G33" s="87"/>
      <c r="H33" s="122"/>
      <c r="I33" s="122"/>
      <c r="J33" s="122"/>
      <c r="K33" s="122"/>
      <c r="L33" s="314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Z33" s="310"/>
      <c r="AA33" s="137"/>
      <c r="AB33" s="310"/>
      <c r="AY33" s="138"/>
    </row>
    <row r="34" spans="1:51" ht="15" customHeight="1">
      <c r="A34" s="206"/>
      <c r="B34" s="133"/>
      <c r="C34" s="122"/>
      <c r="D34" s="122"/>
      <c r="E34" s="122"/>
      <c r="F34" s="122"/>
      <c r="G34" s="87"/>
      <c r="H34" s="122"/>
      <c r="I34" s="122"/>
      <c r="J34" s="122"/>
      <c r="K34" s="122"/>
      <c r="L34" s="314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Z34" s="310"/>
      <c r="AA34" s="137"/>
      <c r="AB34" s="310"/>
      <c r="AY34" s="138"/>
    </row>
    <row r="35" spans="1:51" ht="15" customHeight="1">
      <c r="A35" s="206"/>
      <c r="B35" s="133"/>
      <c r="C35" s="122"/>
      <c r="D35" s="122"/>
      <c r="E35" s="122"/>
      <c r="F35" s="122"/>
      <c r="G35" s="87"/>
      <c r="H35" s="122"/>
      <c r="I35" s="122"/>
      <c r="J35" s="122"/>
      <c r="K35" s="122"/>
      <c r="L35" s="314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Z35" s="310"/>
      <c r="AA35" s="137"/>
      <c r="AB35" s="310"/>
      <c r="AY35" s="138"/>
    </row>
    <row r="36" spans="1:51" ht="15" customHeight="1">
      <c r="A36" s="206"/>
      <c r="B36" s="133"/>
      <c r="C36" s="122"/>
      <c r="D36" s="122"/>
      <c r="E36" s="122"/>
      <c r="F36" s="122"/>
      <c r="G36" s="87"/>
      <c r="H36" s="122"/>
      <c r="I36" s="122"/>
      <c r="J36" s="122"/>
      <c r="K36" s="122"/>
      <c r="L36" s="314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Z36" s="310"/>
      <c r="AA36" s="137"/>
      <c r="AB36" s="310"/>
      <c r="AY36" s="138"/>
    </row>
    <row r="37" spans="1:51" ht="15" customHeight="1">
      <c r="A37" s="206"/>
      <c r="B37" s="133"/>
      <c r="AA37" s="137"/>
      <c r="AY37" s="138"/>
    </row>
    <row r="39" spans="1:51" ht="15" customHeight="1">
      <c r="A39" s="207" t="s">
        <v>522</v>
      </c>
      <c r="B39" s="97"/>
      <c r="G39" s="4"/>
      <c r="H39" s="4"/>
      <c r="I39" s="4"/>
      <c r="N39" s="137" t="s">
        <v>741</v>
      </c>
    </row>
    <row r="40" spans="1:51" ht="15" customHeight="1">
      <c r="A40" s="207"/>
      <c r="B40" s="97"/>
      <c r="G40" s="4"/>
      <c r="H40" s="4"/>
      <c r="I40" s="4"/>
      <c r="L40" s="798"/>
      <c r="N40" s="137"/>
      <c r="Z40" s="798"/>
      <c r="AB40" s="798"/>
    </row>
    <row r="41" spans="1:51" ht="15" customHeight="1">
      <c r="A41" s="170"/>
      <c r="B41" s="170"/>
      <c r="G41" s="4"/>
      <c r="H41" s="4"/>
      <c r="I41" s="4"/>
    </row>
    <row r="42" spans="1:51" ht="15" customHeight="1">
      <c r="A42" s="170"/>
      <c r="B42" s="170"/>
      <c r="G42" s="4"/>
      <c r="H42" s="4"/>
      <c r="I42" s="4"/>
    </row>
    <row r="43" spans="1:51" ht="15" customHeight="1">
      <c r="A43" s="170"/>
      <c r="B43" s="170"/>
      <c r="G43" s="4"/>
      <c r="H43" s="4"/>
      <c r="I43" s="4"/>
    </row>
    <row r="44" spans="1:51" ht="15" customHeight="1">
      <c r="A44" s="170"/>
      <c r="B44" s="170"/>
      <c r="G44" s="4"/>
      <c r="H44" s="4"/>
      <c r="I44" s="4"/>
    </row>
    <row r="45" spans="1:51" ht="15" customHeight="1">
      <c r="A45" s="170"/>
      <c r="B45" s="170"/>
      <c r="G45" s="4"/>
      <c r="H45" s="4"/>
      <c r="I45" s="4"/>
    </row>
    <row r="46" spans="1:51" ht="15" customHeight="1">
      <c r="A46" s="170"/>
      <c r="B46" s="170"/>
      <c r="G46" s="4"/>
      <c r="H46" s="4"/>
      <c r="I46" s="4"/>
    </row>
    <row r="47" spans="1:51" ht="15" customHeight="1">
      <c r="A47" s="170"/>
      <c r="B47" s="170"/>
      <c r="G47" s="4"/>
      <c r="H47" s="4"/>
      <c r="I47" s="4"/>
    </row>
    <row r="48" spans="1:51" ht="15" customHeight="1">
      <c r="A48" s="170"/>
      <c r="B48" s="170"/>
      <c r="G48" s="4"/>
      <c r="H48" s="4"/>
      <c r="I48" s="4"/>
    </row>
    <row r="49" spans="1:31" ht="15" customHeight="1">
      <c r="A49" s="170"/>
      <c r="B49" s="170"/>
      <c r="G49" s="4"/>
      <c r="H49" s="4"/>
      <c r="I49" s="4"/>
      <c r="AE49" s="637"/>
    </row>
    <row r="50" spans="1:31" ht="15" customHeight="1">
      <c r="A50" s="170"/>
      <c r="B50" s="170"/>
      <c r="G50" s="4"/>
      <c r="H50" s="4"/>
      <c r="I50" s="4"/>
      <c r="AE50" s="637"/>
    </row>
    <row r="51" spans="1:31" ht="15" customHeight="1">
      <c r="A51" s="170"/>
      <c r="B51" s="170"/>
      <c r="G51" s="4"/>
      <c r="H51" s="4"/>
      <c r="I51" s="4"/>
      <c r="AE51" s="637"/>
    </row>
    <row r="52" spans="1:31" ht="15" customHeight="1">
      <c r="A52" s="170"/>
      <c r="B52" s="170" t="s">
        <v>509</v>
      </c>
      <c r="C52" s="138" t="s">
        <v>324</v>
      </c>
      <c r="D52" s="143" t="s">
        <v>510</v>
      </c>
      <c r="F52" s="143" t="s">
        <v>1341</v>
      </c>
      <c r="L52" s="272"/>
      <c r="Z52" s="272"/>
      <c r="AB52" s="272"/>
      <c r="AE52" s="637"/>
    </row>
    <row r="53" spans="1:31" ht="15" customHeight="1">
      <c r="A53" s="170"/>
      <c r="B53" s="170" t="s">
        <v>511</v>
      </c>
      <c r="C53" s="138" t="s">
        <v>324</v>
      </c>
      <c r="D53" s="143" t="s">
        <v>512</v>
      </c>
      <c r="F53" s="143" t="s">
        <v>1342</v>
      </c>
      <c r="L53" s="272"/>
      <c r="Z53" s="272"/>
      <c r="AB53" s="272"/>
      <c r="AE53" s="637"/>
    </row>
    <row r="54" spans="1:31" ht="15" customHeight="1">
      <c r="A54" s="170"/>
      <c r="B54" s="170" t="s">
        <v>1340</v>
      </c>
      <c r="C54" s="138" t="s">
        <v>324</v>
      </c>
      <c r="D54" s="143" t="s">
        <v>1343</v>
      </c>
      <c r="F54" s="143" t="s">
        <v>513</v>
      </c>
      <c r="L54" s="272"/>
      <c r="Z54" s="272"/>
      <c r="AB54" s="272"/>
      <c r="AE54" s="637"/>
    </row>
    <row r="55" spans="1:31" ht="15" customHeight="1">
      <c r="A55" s="170"/>
      <c r="B55" s="170" t="s">
        <v>514</v>
      </c>
      <c r="C55" s="138" t="s">
        <v>324</v>
      </c>
      <c r="D55" s="143" t="s">
        <v>515</v>
      </c>
      <c r="F55" s="143" t="s">
        <v>347</v>
      </c>
      <c r="L55" s="272"/>
      <c r="Z55" s="272"/>
      <c r="AB55" s="272"/>
      <c r="AE55" s="637"/>
    </row>
    <row r="56" spans="1:31" ht="15" customHeight="1">
      <c r="A56" s="170"/>
      <c r="B56" s="170" t="s">
        <v>516</v>
      </c>
      <c r="C56" s="138" t="s">
        <v>324</v>
      </c>
      <c r="D56" s="143" t="s">
        <v>517</v>
      </c>
      <c r="F56" s="143" t="s">
        <v>577</v>
      </c>
      <c r="L56" s="272"/>
      <c r="Z56" s="272"/>
      <c r="AB56" s="272"/>
      <c r="AE56" s="637"/>
    </row>
    <row r="57" spans="1:31" ht="15" customHeight="1">
      <c r="A57" s="170"/>
      <c r="B57" s="170" t="s">
        <v>1336</v>
      </c>
      <c r="C57" s="138" t="s">
        <v>324</v>
      </c>
      <c r="D57" s="143" t="s">
        <v>1339</v>
      </c>
      <c r="F57" s="143" t="s">
        <v>518</v>
      </c>
      <c r="L57" s="272"/>
      <c r="Z57" s="272"/>
      <c r="AB57" s="272"/>
      <c r="AE57" s="637"/>
    </row>
    <row r="58" spans="1:31" ht="15" customHeight="1">
      <c r="A58" s="170"/>
      <c r="B58" s="170" t="s">
        <v>1337</v>
      </c>
      <c r="C58" s="138" t="s">
        <v>324</v>
      </c>
      <c r="D58" s="143" t="s">
        <v>1338</v>
      </c>
      <c r="F58" s="143" t="s">
        <v>519</v>
      </c>
      <c r="L58" s="272"/>
      <c r="Z58" s="272"/>
      <c r="AB58" s="272"/>
      <c r="AE58" s="637"/>
    </row>
    <row r="59" spans="1:31" ht="15" customHeight="1">
      <c r="A59" s="170"/>
      <c r="B59" s="170" t="s">
        <v>1332</v>
      </c>
      <c r="C59" s="138" t="s">
        <v>324</v>
      </c>
      <c r="D59" s="143" t="s">
        <v>1334</v>
      </c>
      <c r="F59" s="143" t="s">
        <v>520</v>
      </c>
      <c r="L59" s="272"/>
      <c r="Z59" s="272"/>
      <c r="AB59" s="272"/>
      <c r="AE59" s="637"/>
    </row>
    <row r="60" spans="1:31" ht="15" customHeight="1">
      <c r="A60" s="170"/>
      <c r="B60" s="170" t="s">
        <v>1333</v>
      </c>
      <c r="C60" s="138" t="s">
        <v>324</v>
      </c>
      <c r="D60" s="143" t="s">
        <v>1335</v>
      </c>
      <c r="F60" s="143" t="s">
        <v>521</v>
      </c>
      <c r="L60" s="272"/>
      <c r="Z60" s="272"/>
      <c r="AB60" s="272"/>
    </row>
    <row r="61" spans="1:31" ht="15" customHeight="1">
      <c r="A61" s="170"/>
      <c r="B61" s="170" t="s">
        <v>1718</v>
      </c>
      <c r="C61" s="138" t="s">
        <v>324</v>
      </c>
      <c r="F61" s="143" t="s">
        <v>1719</v>
      </c>
      <c r="L61" s="280"/>
      <c r="Z61" s="280"/>
      <c r="AB61" s="280"/>
    </row>
    <row r="62" spans="1:31" ht="15" customHeight="1">
      <c r="A62" s="170"/>
      <c r="B62" s="170" t="s">
        <v>1355</v>
      </c>
      <c r="C62" s="138" t="s">
        <v>324</v>
      </c>
      <c r="F62" s="143" t="s">
        <v>1356</v>
      </c>
      <c r="L62" s="272"/>
      <c r="Z62" s="272"/>
      <c r="AB62" s="272"/>
    </row>
    <row r="63" spans="1:31" ht="15" customHeight="1">
      <c r="A63" s="170"/>
      <c r="B63" s="170" t="s">
        <v>578</v>
      </c>
      <c r="C63" s="138" t="s">
        <v>324</v>
      </c>
      <c r="F63" s="143" t="s">
        <v>580</v>
      </c>
      <c r="L63" s="272"/>
      <c r="Z63" s="272"/>
      <c r="AB63" s="272"/>
    </row>
    <row r="64" spans="1:31" ht="15" customHeight="1">
      <c r="A64" s="170"/>
      <c r="B64" s="170" t="s">
        <v>1608</v>
      </c>
      <c r="C64" s="138" t="s">
        <v>324</v>
      </c>
      <c r="F64" s="143" t="s">
        <v>581</v>
      </c>
      <c r="L64" s="272"/>
      <c r="Z64" s="272"/>
      <c r="AB64" s="272"/>
    </row>
    <row r="65" spans="1:28" ht="15" customHeight="1">
      <c r="A65" s="170"/>
      <c r="B65" s="170" t="s">
        <v>579</v>
      </c>
      <c r="C65" s="138" t="s">
        <v>324</v>
      </c>
      <c r="F65" s="143" t="s">
        <v>582</v>
      </c>
      <c r="L65" s="272"/>
      <c r="Z65" s="272"/>
      <c r="AB65" s="272"/>
    </row>
    <row r="66" spans="1:28" ht="15" customHeight="1">
      <c r="A66" s="170"/>
      <c r="B66" s="170" t="s">
        <v>1330</v>
      </c>
      <c r="C66" s="138" t="s">
        <v>324</v>
      </c>
      <c r="F66" s="143" t="s">
        <v>1239</v>
      </c>
      <c r="L66" s="272"/>
      <c r="Z66" s="272"/>
      <c r="AB66" s="272"/>
    </row>
    <row r="67" spans="1:28" ht="15" customHeight="1">
      <c r="A67" s="170"/>
      <c r="B67" s="170" t="s">
        <v>1726</v>
      </c>
      <c r="C67" s="138" t="s">
        <v>1727</v>
      </c>
      <c r="D67" s="143" t="s">
        <v>1728</v>
      </c>
      <c r="F67" s="143" t="s">
        <v>1729</v>
      </c>
      <c r="L67" s="798"/>
      <c r="Z67" s="798"/>
      <c r="AB67" s="798"/>
    </row>
    <row r="68" spans="1:28" ht="15" customHeight="1">
      <c r="A68" s="170"/>
      <c r="B68" s="170"/>
      <c r="C68" s="138"/>
      <c r="L68" s="798"/>
      <c r="Z68" s="798"/>
      <c r="AB68" s="798"/>
    </row>
    <row r="69" spans="1:28" ht="15" customHeight="1">
      <c r="A69" s="170"/>
      <c r="H69" s="4"/>
      <c r="I69" s="4"/>
      <c r="L69" s="272"/>
      <c r="Z69" s="272"/>
      <c r="AB69" s="272"/>
    </row>
    <row r="70" spans="1:28" ht="15" customHeight="1">
      <c r="A70" s="170"/>
      <c r="B70" s="170"/>
      <c r="C70" s="138"/>
      <c r="H70" s="4"/>
      <c r="I70" s="4"/>
      <c r="L70" s="272"/>
      <c r="Z70" s="272"/>
      <c r="AB70" s="272"/>
    </row>
    <row r="71" spans="1:28" ht="15" customHeight="1">
      <c r="A71" s="170"/>
      <c r="B71" s="170"/>
      <c r="C71" s="138"/>
      <c r="H71" s="4"/>
      <c r="I71" s="4"/>
      <c r="L71" s="272"/>
      <c r="Z71" s="272"/>
      <c r="AB71" s="272"/>
    </row>
    <row r="72" spans="1:28" ht="15" customHeight="1">
      <c r="A72" s="170"/>
      <c r="B72" s="170"/>
      <c r="C72" s="138"/>
      <c r="H72" s="4"/>
      <c r="I72" s="4"/>
      <c r="L72" s="272"/>
      <c r="Z72" s="272"/>
      <c r="AB72" s="272"/>
    </row>
    <row r="73" spans="1:28" ht="15" customHeight="1">
      <c r="A73" s="170"/>
      <c r="B73" s="170"/>
      <c r="C73" s="138"/>
      <c r="H73" s="4"/>
      <c r="I73" s="4"/>
      <c r="L73" s="272"/>
      <c r="Z73" s="272"/>
      <c r="AB73" s="272"/>
    </row>
    <row r="74" spans="1:28" ht="15" customHeight="1">
      <c r="A74" s="170"/>
      <c r="B74" s="170"/>
      <c r="C74" s="138"/>
      <c r="H74" s="4"/>
      <c r="I74" s="4"/>
      <c r="L74" s="272"/>
      <c r="Z74" s="272"/>
      <c r="AB74" s="272"/>
    </row>
    <row r="75" spans="1:28" ht="15" customHeight="1">
      <c r="A75" s="170"/>
      <c r="B75" s="170"/>
      <c r="C75" s="138"/>
      <c r="H75" s="4"/>
      <c r="I75" s="4"/>
      <c r="L75" s="272"/>
      <c r="Z75" s="272"/>
      <c r="AB75" s="272"/>
    </row>
    <row r="76" spans="1:28" ht="15" customHeight="1">
      <c r="A76" s="170"/>
      <c r="B76" s="170"/>
      <c r="C76" s="138"/>
      <c r="H76" s="450"/>
      <c r="I76" s="4"/>
      <c r="L76" s="272"/>
      <c r="Z76" s="272"/>
      <c r="AB76" s="272"/>
    </row>
    <row r="77" spans="1:28" ht="15" customHeight="1">
      <c r="A77" s="170"/>
      <c r="B77" s="170"/>
      <c r="C77" s="138"/>
      <c r="H77" s="4"/>
      <c r="I77" s="4"/>
      <c r="L77" s="272"/>
      <c r="Z77" s="272"/>
      <c r="AB77" s="272"/>
    </row>
    <row r="78" spans="1:28" ht="15" customHeight="1">
      <c r="A78" s="170"/>
      <c r="B78" s="170"/>
      <c r="C78" s="138"/>
      <c r="H78" s="4"/>
      <c r="I78" s="4"/>
      <c r="L78" s="272"/>
      <c r="Z78" s="272"/>
      <c r="AB78" s="272"/>
    </row>
    <row r="79" spans="1:28" ht="15" customHeight="1">
      <c r="A79" s="170"/>
      <c r="B79" s="170"/>
      <c r="C79" s="138"/>
      <c r="H79" s="4"/>
      <c r="I79" s="4"/>
      <c r="L79" s="272"/>
      <c r="Z79" s="272"/>
      <c r="AB79" s="272"/>
    </row>
    <row r="80" spans="1:28" ht="15" customHeight="1">
      <c r="A80" s="170"/>
      <c r="B80" s="96" t="s">
        <v>583</v>
      </c>
      <c r="C80" s="138"/>
      <c r="H80" s="4"/>
      <c r="I80" s="4"/>
      <c r="L80" s="275"/>
      <c r="Z80" s="275"/>
      <c r="AB80" s="275"/>
    </row>
    <row r="81" spans="1:51" ht="15" customHeight="1">
      <c r="A81" s="96"/>
      <c r="B81" s="96" t="s">
        <v>507</v>
      </c>
      <c r="L81" s="143"/>
      <c r="P81" s="170"/>
      <c r="Z81" s="612"/>
      <c r="AB81" s="280"/>
      <c r="AV81" s="137"/>
      <c r="AY81" s="138"/>
    </row>
    <row r="82" spans="1:51" ht="15" customHeight="1">
      <c r="A82" s="259"/>
      <c r="B82" s="260" t="s">
        <v>506</v>
      </c>
      <c r="C82" s="260"/>
      <c r="D82" s="260"/>
      <c r="E82" s="260"/>
      <c r="F82" s="260" t="s">
        <v>523</v>
      </c>
      <c r="G82" s="107"/>
      <c r="H82" s="260"/>
      <c r="I82" s="260"/>
      <c r="J82" s="260"/>
      <c r="K82" s="260" t="s">
        <v>593</v>
      </c>
      <c r="L82" s="107"/>
      <c r="M82" s="107"/>
      <c r="N82" s="260"/>
      <c r="Z82" s="612"/>
      <c r="AB82" s="280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115"/>
      <c r="AS82" s="115"/>
      <c r="AT82" s="115"/>
      <c r="AU82" s="115"/>
      <c r="AV82" s="115"/>
      <c r="AY82" s="138"/>
    </row>
    <row r="83" spans="1:51" ht="15" customHeight="1">
      <c r="A83" s="124" t="s">
        <v>417</v>
      </c>
      <c r="B83" s="170" t="s">
        <v>203</v>
      </c>
      <c r="C83" s="170"/>
      <c r="D83" s="170"/>
      <c r="E83" s="170"/>
      <c r="H83" s="170"/>
      <c r="I83" s="170"/>
      <c r="J83" s="170"/>
      <c r="K83" s="170" t="s">
        <v>594</v>
      </c>
      <c r="N83" s="170"/>
      <c r="Z83" s="612"/>
      <c r="AB83" s="280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115"/>
      <c r="AS83" s="115"/>
      <c r="AT83" s="115"/>
      <c r="AU83" s="115"/>
      <c r="AV83" s="115"/>
      <c r="AW83" s="170"/>
      <c r="AX83" s="170"/>
      <c r="AY83" s="138"/>
    </row>
    <row r="84" spans="1:51" ht="15" customHeight="1">
      <c r="A84" s="170" t="s">
        <v>1346</v>
      </c>
      <c r="C84" s="170"/>
      <c r="D84" s="170"/>
      <c r="E84" s="170"/>
      <c r="F84" s="170"/>
      <c r="H84" s="170"/>
      <c r="I84" s="170"/>
      <c r="J84" s="170"/>
      <c r="K84" s="170" t="s">
        <v>595</v>
      </c>
      <c r="N84" s="170"/>
      <c r="Z84" s="612"/>
      <c r="AB84" s="280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115"/>
      <c r="AS84" s="115"/>
      <c r="AT84" s="115"/>
      <c r="AU84" s="115"/>
      <c r="AV84" s="115"/>
      <c r="AW84" s="170"/>
      <c r="AX84" s="170"/>
      <c r="AY84" s="138"/>
    </row>
    <row r="85" spans="1:51" ht="15" customHeight="1">
      <c r="A85" s="124"/>
      <c r="B85" s="170"/>
      <c r="C85" s="170"/>
      <c r="D85" s="170"/>
      <c r="E85" s="170"/>
      <c r="F85" s="170"/>
      <c r="H85" s="170"/>
      <c r="I85" s="170"/>
      <c r="J85" s="170"/>
      <c r="K85" s="170" t="s">
        <v>1981</v>
      </c>
      <c r="N85" s="170"/>
      <c r="Z85" s="612"/>
      <c r="AB85" s="280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115"/>
      <c r="AS85" s="115"/>
      <c r="AT85" s="115"/>
      <c r="AU85" s="115"/>
      <c r="AV85" s="115"/>
      <c r="AW85" s="170"/>
      <c r="AX85" s="170"/>
      <c r="AY85" s="138"/>
    </row>
    <row r="86" spans="1:51" ht="15" customHeight="1">
      <c r="A86" s="124"/>
      <c r="B86" s="170"/>
      <c r="C86" s="170"/>
      <c r="D86" s="170"/>
      <c r="E86" s="170"/>
      <c r="F86" s="170"/>
      <c r="G86" s="170"/>
      <c r="H86" s="170"/>
      <c r="I86" s="170"/>
      <c r="J86" s="170"/>
      <c r="K86" s="170" t="s">
        <v>1982</v>
      </c>
      <c r="N86" s="170"/>
      <c r="Z86" s="612"/>
      <c r="AB86" s="280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115"/>
      <c r="AS86" s="115"/>
      <c r="AT86" s="115"/>
      <c r="AU86" s="115"/>
      <c r="AV86" s="115"/>
      <c r="AW86" s="170"/>
      <c r="AX86" s="170"/>
      <c r="AY86" s="138"/>
    </row>
    <row r="87" spans="1:51" ht="15" customHeight="1">
      <c r="A87" s="124"/>
      <c r="B87" s="170"/>
      <c r="C87" s="170"/>
      <c r="D87" s="170"/>
      <c r="E87" s="170"/>
      <c r="F87" s="170"/>
      <c r="G87" s="170"/>
      <c r="H87" s="170"/>
      <c r="I87" s="170"/>
      <c r="J87" s="170"/>
      <c r="K87" s="170" t="s">
        <v>1983</v>
      </c>
      <c r="N87" s="170"/>
      <c r="Z87" s="612"/>
      <c r="AB87" s="280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115"/>
      <c r="AS87" s="115"/>
      <c r="AT87" s="115"/>
      <c r="AU87" s="115"/>
      <c r="AV87" s="115"/>
      <c r="AW87" s="170"/>
      <c r="AX87" s="170"/>
      <c r="AY87" s="138"/>
    </row>
    <row r="88" spans="1:51" ht="15" customHeight="1">
      <c r="A88" s="124"/>
      <c r="B88" s="170"/>
      <c r="C88" s="170"/>
      <c r="D88" s="170"/>
      <c r="E88" s="170"/>
      <c r="F88" s="170"/>
      <c r="G88" s="170"/>
      <c r="H88" s="170"/>
      <c r="I88" s="170"/>
      <c r="J88" s="170"/>
      <c r="K88" s="170" t="s">
        <v>1984</v>
      </c>
      <c r="N88" s="170"/>
      <c r="Z88" s="612"/>
      <c r="AB88" s="280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115"/>
      <c r="AS88" s="115"/>
      <c r="AT88" s="115"/>
      <c r="AU88" s="115"/>
      <c r="AV88" s="115"/>
      <c r="AW88" s="170"/>
      <c r="AX88" s="170"/>
      <c r="AY88" s="138"/>
    </row>
    <row r="89" spans="1:51" ht="15" customHeight="1">
      <c r="A89" s="124"/>
      <c r="B89" s="170"/>
      <c r="C89" s="170"/>
      <c r="D89" s="170"/>
      <c r="E89" s="170"/>
      <c r="F89" s="170"/>
      <c r="G89" s="170"/>
      <c r="H89" s="170"/>
      <c r="I89" s="170"/>
      <c r="J89" s="170"/>
      <c r="K89" s="170" t="s">
        <v>1985</v>
      </c>
      <c r="N89" s="170"/>
      <c r="Z89" s="612"/>
      <c r="AB89" s="280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115"/>
      <c r="AS89" s="115"/>
      <c r="AT89" s="115"/>
      <c r="AU89" s="115"/>
      <c r="AV89" s="115"/>
      <c r="AW89" s="170"/>
      <c r="AX89" s="170"/>
      <c r="AY89" s="138"/>
    </row>
    <row r="90" spans="1:51" ht="15" customHeight="1">
      <c r="A90" s="145"/>
      <c r="B90" s="145"/>
      <c r="C90" s="145"/>
      <c r="D90" s="145"/>
      <c r="E90" s="145"/>
      <c r="F90" s="145"/>
      <c r="G90" s="145"/>
      <c r="H90" s="145"/>
      <c r="I90" s="145"/>
      <c r="J90" s="145"/>
      <c r="K90" s="145" t="s">
        <v>1720</v>
      </c>
      <c r="L90" s="797"/>
      <c r="M90" s="145"/>
      <c r="N90" s="145"/>
      <c r="Z90" s="612"/>
      <c r="AB90" s="280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115"/>
      <c r="AS90" s="115"/>
      <c r="AT90" s="115"/>
      <c r="AU90" s="115"/>
      <c r="AV90" s="115"/>
      <c r="AW90" s="170"/>
      <c r="AX90" s="170"/>
      <c r="AY90" s="138"/>
    </row>
    <row r="91" spans="1:51" ht="15" customHeight="1">
      <c r="A91" s="124" t="s">
        <v>447</v>
      </c>
      <c r="B91" s="170" t="s">
        <v>230</v>
      </c>
      <c r="C91" s="170"/>
      <c r="D91" s="170"/>
      <c r="E91" s="170"/>
      <c r="F91" s="170"/>
      <c r="H91" s="170"/>
      <c r="I91" s="170"/>
      <c r="J91" s="170"/>
      <c r="K91" s="170" t="s">
        <v>596</v>
      </c>
      <c r="N91" s="170"/>
      <c r="Z91" s="612"/>
      <c r="AB91" s="280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115"/>
      <c r="AS91" s="115"/>
      <c r="AT91" s="115"/>
      <c r="AU91" s="115"/>
      <c r="AV91" s="115"/>
      <c r="AW91" s="170"/>
      <c r="AX91" s="170"/>
      <c r="AY91" s="138"/>
    </row>
    <row r="92" spans="1:51" ht="15" customHeight="1">
      <c r="A92" s="170" t="s">
        <v>1344</v>
      </c>
      <c r="B92" s="170"/>
      <c r="C92" s="170"/>
      <c r="D92" s="170"/>
      <c r="E92" s="170"/>
      <c r="F92" s="170"/>
      <c r="G92" s="170"/>
      <c r="H92" s="170"/>
      <c r="I92" s="170"/>
      <c r="J92" s="170"/>
      <c r="K92" s="170" t="s">
        <v>597</v>
      </c>
      <c r="N92" s="170"/>
      <c r="Z92" s="612"/>
      <c r="AB92" s="280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115"/>
      <c r="AS92" s="115"/>
      <c r="AT92" s="115"/>
      <c r="AU92" s="115"/>
      <c r="AV92" s="115"/>
      <c r="AW92" s="170"/>
      <c r="AX92" s="170"/>
      <c r="AY92" s="138"/>
    </row>
    <row r="93" spans="1:51" ht="15" customHeight="1">
      <c r="A93" s="124"/>
      <c r="B93" s="170"/>
      <c r="C93" s="170"/>
      <c r="D93" s="170"/>
      <c r="E93" s="170"/>
      <c r="F93" s="170"/>
      <c r="G93" s="170"/>
      <c r="H93" s="170"/>
      <c r="I93" s="170"/>
      <c r="J93" s="170"/>
      <c r="K93" s="170" t="s">
        <v>1986</v>
      </c>
      <c r="N93" s="170"/>
      <c r="Z93" s="612"/>
      <c r="AB93" s="280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115"/>
      <c r="AS93" s="115"/>
      <c r="AT93" s="115"/>
      <c r="AU93" s="115"/>
      <c r="AV93" s="115"/>
      <c r="AW93" s="170"/>
      <c r="AX93" s="170"/>
      <c r="AY93" s="138"/>
    </row>
    <row r="94" spans="1:51" ht="15" customHeight="1">
      <c r="A94" s="170"/>
      <c r="B94" s="170"/>
      <c r="C94" s="170"/>
      <c r="D94" s="170"/>
      <c r="E94" s="170"/>
      <c r="F94" s="170"/>
      <c r="G94" s="170"/>
      <c r="H94" s="170"/>
      <c r="I94" s="170"/>
      <c r="J94" s="170"/>
      <c r="K94" s="170" t="s">
        <v>1987</v>
      </c>
      <c r="N94" s="170"/>
      <c r="Z94" s="612"/>
      <c r="AB94" s="280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115"/>
      <c r="AS94" s="115"/>
      <c r="AT94" s="115"/>
      <c r="AU94" s="115"/>
      <c r="AV94" s="115"/>
      <c r="AW94" s="170"/>
      <c r="AX94" s="170"/>
      <c r="AY94" s="138"/>
    </row>
    <row r="95" spans="1:51" ht="15" customHeight="1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 t="s">
        <v>1988</v>
      </c>
      <c r="N95" s="170"/>
      <c r="Z95" s="612"/>
      <c r="AB95" s="280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115"/>
      <c r="AS95" s="115"/>
      <c r="AT95" s="115"/>
      <c r="AU95" s="115"/>
      <c r="AV95" s="115"/>
      <c r="AW95" s="170"/>
      <c r="AX95" s="170"/>
      <c r="AY95" s="138"/>
    </row>
    <row r="96" spans="1:51" ht="15" customHeight="1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 t="s">
        <v>1989</v>
      </c>
      <c r="N96" s="170"/>
      <c r="Z96" s="612"/>
      <c r="AB96" s="280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115"/>
      <c r="AS96" s="115"/>
      <c r="AT96" s="115"/>
      <c r="AU96" s="115"/>
      <c r="AV96" s="115"/>
      <c r="AW96" s="170"/>
      <c r="AX96" s="170"/>
      <c r="AY96" s="138"/>
    </row>
    <row r="97" spans="1:51" ht="15" customHeight="1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 t="s">
        <v>1990</v>
      </c>
      <c r="N97" s="170"/>
      <c r="Z97" s="612"/>
      <c r="AB97" s="280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115"/>
      <c r="AS97" s="115"/>
      <c r="AT97" s="115"/>
      <c r="AU97" s="115"/>
      <c r="AV97" s="115"/>
      <c r="AW97" s="170"/>
      <c r="AX97" s="170"/>
      <c r="AY97" s="138"/>
    </row>
    <row r="98" spans="1:51" ht="15" customHeight="1">
      <c r="A98" s="145"/>
      <c r="B98" s="145"/>
      <c r="C98" s="145"/>
      <c r="D98" s="145"/>
      <c r="E98" s="145"/>
      <c r="F98" s="145"/>
      <c r="G98" s="145"/>
      <c r="H98" s="145"/>
      <c r="I98" s="145"/>
      <c r="J98" s="145"/>
      <c r="K98" s="145" t="s">
        <v>1721</v>
      </c>
      <c r="L98" s="797"/>
      <c r="M98" s="145"/>
      <c r="N98" s="145"/>
      <c r="Z98" s="612"/>
      <c r="AB98" s="280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115"/>
      <c r="AS98" s="115"/>
      <c r="AT98" s="115"/>
      <c r="AU98" s="115"/>
      <c r="AV98" s="115"/>
      <c r="AW98" s="170"/>
      <c r="AX98" s="170"/>
      <c r="AY98" s="138"/>
    </row>
    <row r="99" spans="1:51" ht="15" customHeight="1">
      <c r="A99" s="124" t="s">
        <v>584</v>
      </c>
      <c r="B99" s="170" t="s">
        <v>222</v>
      </c>
      <c r="C99" s="170"/>
      <c r="D99" s="170"/>
      <c r="E99" s="170"/>
      <c r="F99" s="170"/>
      <c r="H99" s="170"/>
      <c r="I99" s="170"/>
      <c r="J99" s="170"/>
      <c r="K99" s="170" t="s">
        <v>1993</v>
      </c>
      <c r="N99" s="170"/>
      <c r="Z99" s="612"/>
      <c r="AB99" s="280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115"/>
      <c r="AS99" s="115"/>
      <c r="AT99" s="115"/>
      <c r="AU99" s="115"/>
      <c r="AV99" s="115"/>
      <c r="AW99" s="170"/>
      <c r="AX99" s="170"/>
      <c r="AY99" s="138"/>
    </row>
    <row r="100" spans="1:51" ht="15" customHeight="1">
      <c r="A100" s="170" t="s">
        <v>1345</v>
      </c>
      <c r="B100" s="170"/>
      <c r="C100" s="170"/>
      <c r="D100" s="170"/>
      <c r="E100" s="170"/>
      <c r="F100" s="170"/>
      <c r="G100" s="170"/>
      <c r="H100" s="170"/>
      <c r="I100" s="170"/>
      <c r="J100" s="170"/>
      <c r="K100" s="170" t="s">
        <v>1994</v>
      </c>
      <c r="N100" s="170"/>
      <c r="Z100" s="612"/>
      <c r="AB100" s="280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115"/>
      <c r="AS100" s="115"/>
      <c r="AT100" s="115"/>
      <c r="AU100" s="115"/>
      <c r="AV100" s="115"/>
      <c r="AW100" s="170"/>
      <c r="AX100" s="170"/>
      <c r="AY100" s="138"/>
    </row>
    <row r="101" spans="1:51" ht="15" customHeight="1">
      <c r="A101" s="170"/>
      <c r="B101" s="170"/>
      <c r="C101" s="170"/>
      <c r="D101" s="170"/>
      <c r="E101" s="170"/>
      <c r="F101" s="170"/>
      <c r="G101" s="170"/>
      <c r="H101" s="170"/>
      <c r="I101" s="170"/>
      <c r="J101" s="170"/>
      <c r="K101" s="170" t="s">
        <v>1995</v>
      </c>
      <c r="N101" s="170"/>
      <c r="Z101" s="612"/>
      <c r="AB101" s="280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115"/>
      <c r="AS101" s="115"/>
      <c r="AT101" s="115"/>
      <c r="AU101" s="115"/>
      <c r="AV101" s="115"/>
      <c r="AW101" s="170"/>
      <c r="AX101" s="170"/>
      <c r="AY101" s="138"/>
    </row>
    <row r="102" spans="1:51" ht="15" customHeight="1">
      <c r="A102" s="170"/>
      <c r="B102" s="170"/>
      <c r="C102" s="170"/>
      <c r="D102" s="170"/>
      <c r="E102" s="170"/>
      <c r="F102" s="170"/>
      <c r="G102" s="170"/>
      <c r="H102" s="170"/>
      <c r="I102" s="170"/>
      <c r="J102" s="170"/>
      <c r="K102" s="170" t="s">
        <v>1996</v>
      </c>
      <c r="N102" s="170"/>
      <c r="Z102" s="612"/>
      <c r="AB102" s="280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115"/>
      <c r="AS102" s="115"/>
      <c r="AT102" s="115"/>
      <c r="AU102" s="115"/>
      <c r="AV102" s="115"/>
      <c r="AW102" s="170"/>
      <c r="AX102" s="170"/>
      <c r="AY102" s="138"/>
    </row>
    <row r="103" spans="1:51" ht="15" customHeight="1">
      <c r="A103" s="170"/>
      <c r="B103" s="170"/>
      <c r="C103" s="170"/>
      <c r="D103" s="170"/>
      <c r="E103" s="170"/>
      <c r="F103" s="170"/>
      <c r="G103" s="170"/>
      <c r="H103" s="170"/>
      <c r="I103" s="170"/>
      <c r="J103" s="170"/>
      <c r="K103" s="170" t="s">
        <v>1997</v>
      </c>
      <c r="N103" s="170"/>
      <c r="Z103" s="612"/>
      <c r="AB103" s="280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115"/>
      <c r="AS103" s="115"/>
      <c r="AT103" s="115"/>
      <c r="AU103" s="115"/>
      <c r="AV103" s="115"/>
      <c r="AW103" s="170"/>
      <c r="AX103" s="170"/>
      <c r="AY103" s="138"/>
    </row>
    <row r="104" spans="1:51" ht="15" customHeight="1">
      <c r="A104" s="170"/>
      <c r="B104" s="170"/>
      <c r="C104" s="170"/>
      <c r="D104" s="170"/>
      <c r="E104" s="170"/>
      <c r="F104" s="170"/>
      <c r="G104" s="170"/>
      <c r="H104" s="170"/>
      <c r="I104" s="170"/>
      <c r="J104" s="170"/>
      <c r="K104" s="170" t="s">
        <v>598</v>
      </c>
      <c r="N104" s="170"/>
      <c r="Z104" s="612"/>
      <c r="AB104" s="280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115"/>
      <c r="AS104" s="115"/>
      <c r="AT104" s="115"/>
      <c r="AU104" s="115"/>
      <c r="AV104" s="115"/>
      <c r="AW104" s="170"/>
      <c r="AX104" s="170"/>
      <c r="AY104" s="138"/>
    </row>
    <row r="105" spans="1:51" ht="15" customHeight="1">
      <c r="A105" s="170"/>
      <c r="B105" s="170"/>
      <c r="C105" s="170"/>
      <c r="D105" s="170"/>
      <c r="E105" s="170"/>
      <c r="F105" s="170"/>
      <c r="G105" s="170"/>
      <c r="H105" s="170"/>
      <c r="I105" s="170"/>
      <c r="J105" s="170"/>
      <c r="K105" s="170" t="s">
        <v>599</v>
      </c>
      <c r="N105" s="170"/>
      <c r="Z105" s="612"/>
      <c r="AB105" s="280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115"/>
      <c r="AS105" s="115"/>
      <c r="AT105" s="115"/>
      <c r="AU105" s="115"/>
      <c r="AV105" s="115"/>
      <c r="AW105" s="170"/>
      <c r="AX105" s="170"/>
      <c r="AY105" s="138"/>
    </row>
    <row r="106" spans="1:51" ht="15" customHeight="1">
      <c r="A106" s="145"/>
      <c r="B106" s="145"/>
      <c r="C106" s="145"/>
      <c r="D106" s="145"/>
      <c r="E106" s="145"/>
      <c r="F106" s="145"/>
      <c r="G106" s="145"/>
      <c r="H106" s="145"/>
      <c r="I106" s="145"/>
      <c r="J106" s="145"/>
      <c r="K106" s="145" t="s">
        <v>1998</v>
      </c>
      <c r="L106" s="797"/>
      <c r="M106" s="145"/>
      <c r="N106" s="145"/>
      <c r="Z106" s="612"/>
      <c r="AB106" s="280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115"/>
      <c r="AS106" s="115"/>
      <c r="AT106" s="115"/>
      <c r="AU106" s="115"/>
      <c r="AV106" s="115"/>
      <c r="AW106" s="170"/>
      <c r="AX106" s="170"/>
      <c r="AY106" s="138"/>
    </row>
    <row r="107" spans="1:51" ht="15" customHeight="1">
      <c r="A107" s="124" t="s">
        <v>585</v>
      </c>
      <c r="B107" s="170" t="s">
        <v>223</v>
      </c>
      <c r="C107" s="170"/>
      <c r="D107" s="170"/>
      <c r="E107" s="170"/>
      <c r="F107" s="170"/>
      <c r="H107" s="170"/>
      <c r="I107" s="170"/>
      <c r="J107" s="170"/>
      <c r="K107" s="170" t="s">
        <v>1993</v>
      </c>
      <c r="N107" s="170"/>
      <c r="Z107" s="612"/>
      <c r="AB107" s="280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115"/>
      <c r="AS107" s="115"/>
      <c r="AT107" s="115"/>
      <c r="AU107" s="115"/>
      <c r="AV107" s="115"/>
      <c r="AW107" s="170"/>
      <c r="AX107" s="170"/>
      <c r="AY107" s="138"/>
    </row>
    <row r="108" spans="1:51" ht="15" customHeight="1">
      <c r="A108" s="170" t="s">
        <v>1347</v>
      </c>
      <c r="B108" s="170"/>
      <c r="C108" s="170"/>
      <c r="D108" s="170"/>
      <c r="E108" s="170"/>
      <c r="F108" s="170"/>
      <c r="G108" s="170"/>
      <c r="H108" s="170"/>
      <c r="I108" s="170"/>
      <c r="J108" s="170"/>
      <c r="K108" s="170" t="s">
        <v>1994</v>
      </c>
      <c r="N108" s="170"/>
      <c r="Z108" s="612"/>
      <c r="AB108" s="280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115"/>
      <c r="AS108" s="115"/>
      <c r="AT108" s="115"/>
      <c r="AU108" s="115"/>
      <c r="AV108" s="115"/>
      <c r="AW108" s="170"/>
      <c r="AX108" s="170"/>
      <c r="AY108" s="138"/>
    </row>
    <row r="109" spans="1:51" ht="15" customHeight="1">
      <c r="A109" s="170"/>
      <c r="B109" s="170"/>
      <c r="C109" s="170"/>
      <c r="D109" s="170"/>
      <c r="E109" s="170"/>
      <c r="F109" s="170"/>
      <c r="G109" s="170"/>
      <c r="H109" s="170"/>
      <c r="I109" s="170"/>
      <c r="J109" s="170"/>
      <c r="K109" s="170" t="s">
        <v>1995</v>
      </c>
      <c r="N109" s="170"/>
      <c r="Z109" s="612"/>
      <c r="AB109" s="280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115"/>
      <c r="AS109" s="115"/>
      <c r="AT109" s="115"/>
      <c r="AU109" s="115"/>
      <c r="AV109" s="115"/>
      <c r="AW109" s="170"/>
      <c r="AX109" s="170"/>
      <c r="AY109" s="138"/>
    </row>
    <row r="110" spans="1:51" ht="15" customHeight="1">
      <c r="A110" s="170" t="s">
        <v>1723</v>
      </c>
      <c r="B110" s="170"/>
      <c r="C110" s="170"/>
      <c r="D110" s="170"/>
      <c r="E110" s="170"/>
      <c r="F110" s="170"/>
      <c r="G110" s="170"/>
      <c r="H110" s="170"/>
      <c r="I110" s="170"/>
      <c r="J110" s="170"/>
      <c r="K110" s="170" t="s">
        <v>1996</v>
      </c>
      <c r="N110" s="170"/>
      <c r="Z110" s="612"/>
      <c r="AB110" s="280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115"/>
      <c r="AS110" s="115"/>
      <c r="AT110" s="115"/>
      <c r="AU110" s="115"/>
      <c r="AV110" s="115"/>
      <c r="AW110" s="170"/>
      <c r="AX110" s="170"/>
      <c r="AY110" s="138"/>
    </row>
    <row r="111" spans="1:51" ht="15" customHeight="1">
      <c r="A111" s="170"/>
      <c r="B111" s="170"/>
      <c r="C111" s="170"/>
      <c r="D111" s="170"/>
      <c r="E111" s="170"/>
      <c r="F111" s="170"/>
      <c r="G111" s="170"/>
      <c r="H111" s="170"/>
      <c r="I111" s="170"/>
      <c r="J111" s="170"/>
      <c r="K111" s="170" t="s">
        <v>1997</v>
      </c>
      <c r="N111" s="170"/>
      <c r="Z111" s="612"/>
      <c r="AB111" s="280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115"/>
      <c r="AS111" s="115"/>
      <c r="AT111" s="115"/>
      <c r="AU111" s="115"/>
      <c r="AV111" s="115"/>
      <c r="AW111" s="170"/>
      <c r="AX111" s="170"/>
      <c r="AY111" s="138"/>
    </row>
    <row r="112" spans="1:51" ht="15" customHeight="1">
      <c r="A112" s="170"/>
      <c r="B112" s="170"/>
      <c r="C112" s="170"/>
      <c r="D112" s="170"/>
      <c r="E112" s="170"/>
      <c r="F112" s="170"/>
      <c r="G112" s="170"/>
      <c r="H112" s="170"/>
      <c r="I112" s="170"/>
      <c r="J112" s="170"/>
      <c r="K112" s="170" t="s">
        <v>599</v>
      </c>
      <c r="N112" s="170"/>
      <c r="Z112" s="612"/>
      <c r="AB112" s="280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115"/>
      <c r="AS112" s="115"/>
      <c r="AT112" s="115"/>
      <c r="AU112" s="115"/>
      <c r="AV112" s="115"/>
      <c r="AW112" s="170"/>
      <c r="AX112" s="170"/>
      <c r="AY112" s="138"/>
    </row>
    <row r="113" spans="1:51" ht="15" customHeight="1">
      <c r="A113" s="145"/>
      <c r="B113" s="145"/>
      <c r="C113" s="145"/>
      <c r="D113" s="145"/>
      <c r="E113" s="145"/>
      <c r="F113" s="145"/>
      <c r="G113" s="145"/>
      <c r="H113" s="145"/>
      <c r="I113" s="145"/>
      <c r="J113" s="145"/>
      <c r="K113" s="145" t="s">
        <v>1999</v>
      </c>
      <c r="L113" s="797"/>
      <c r="M113" s="145"/>
      <c r="N113" s="145"/>
      <c r="Z113" s="612"/>
      <c r="AB113" s="280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115"/>
      <c r="AS113" s="115"/>
      <c r="AT113" s="115"/>
      <c r="AU113" s="115"/>
      <c r="AV113" s="115"/>
      <c r="AW113" s="170"/>
      <c r="AX113" s="170"/>
      <c r="AY113" s="138"/>
    </row>
    <row r="114" spans="1:51" ht="15" customHeight="1">
      <c r="A114" s="124" t="s">
        <v>586</v>
      </c>
      <c r="B114" s="170" t="s">
        <v>224</v>
      </c>
      <c r="C114" s="170"/>
      <c r="D114" s="170"/>
      <c r="E114" s="170"/>
      <c r="F114" s="170"/>
      <c r="H114" s="170"/>
      <c r="I114" s="170"/>
      <c r="J114" s="170"/>
      <c r="K114" s="170" t="s">
        <v>1993</v>
      </c>
      <c r="N114" s="170"/>
      <c r="Z114" s="612"/>
      <c r="AB114" s="280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115"/>
      <c r="AS114" s="115"/>
      <c r="AT114" s="115"/>
      <c r="AU114" s="115"/>
      <c r="AV114" s="115"/>
      <c r="AW114" s="170"/>
      <c r="AX114" s="170"/>
      <c r="AY114" s="138"/>
    </row>
    <row r="115" spans="1:51" ht="15" customHeight="1">
      <c r="A115" s="170" t="s">
        <v>1348</v>
      </c>
      <c r="B115" s="170"/>
      <c r="C115" s="170"/>
      <c r="D115" s="170"/>
      <c r="E115" s="170"/>
      <c r="F115" s="170"/>
      <c r="G115" s="170"/>
      <c r="H115" s="170"/>
      <c r="I115" s="170"/>
      <c r="J115" s="170"/>
      <c r="K115" s="170" t="s">
        <v>1994</v>
      </c>
      <c r="N115" s="170"/>
      <c r="Z115" s="612"/>
      <c r="AB115" s="280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115"/>
      <c r="AS115" s="115"/>
      <c r="AT115" s="115"/>
      <c r="AU115" s="115"/>
      <c r="AV115" s="115"/>
      <c r="AW115" s="170"/>
      <c r="AX115" s="170"/>
      <c r="AY115" s="138"/>
    </row>
    <row r="116" spans="1:51" ht="15" customHeight="1">
      <c r="A116" s="124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 t="s">
        <v>1995</v>
      </c>
      <c r="N116" s="170"/>
      <c r="Z116" s="612"/>
      <c r="AB116" s="280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115"/>
      <c r="AS116" s="115"/>
      <c r="AT116" s="115"/>
      <c r="AU116" s="115"/>
      <c r="AV116" s="115"/>
      <c r="AW116" s="170"/>
      <c r="AX116" s="170"/>
      <c r="AY116" s="138"/>
    </row>
    <row r="117" spans="1:51" ht="15" customHeight="1">
      <c r="A117" s="124"/>
      <c r="B117" s="170"/>
      <c r="C117" s="170"/>
      <c r="D117" s="170"/>
      <c r="E117" s="170"/>
      <c r="F117" s="170"/>
      <c r="G117" s="170"/>
      <c r="H117" s="170"/>
      <c r="I117" s="170"/>
      <c r="J117" s="170"/>
      <c r="K117" s="170" t="s">
        <v>1997</v>
      </c>
      <c r="N117" s="170"/>
      <c r="Z117" s="612"/>
      <c r="AB117" s="280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115"/>
      <c r="AS117" s="115"/>
      <c r="AT117" s="115"/>
      <c r="AU117" s="115"/>
      <c r="AV117" s="115"/>
      <c r="AW117" s="170"/>
      <c r="AX117" s="170"/>
      <c r="AY117" s="138"/>
    </row>
    <row r="118" spans="1:51" ht="15" customHeight="1">
      <c r="A118" s="124"/>
      <c r="B118" s="170"/>
      <c r="C118" s="170"/>
      <c r="D118" s="170"/>
      <c r="E118" s="170"/>
      <c r="F118" s="170"/>
      <c r="G118" s="170"/>
      <c r="H118" s="170"/>
      <c r="I118" s="170"/>
      <c r="J118" s="170"/>
      <c r="K118" s="170" t="s">
        <v>2005</v>
      </c>
      <c r="N118" s="170"/>
      <c r="Z118" s="612"/>
      <c r="AB118" s="280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115"/>
      <c r="AS118" s="115"/>
      <c r="AT118" s="115"/>
      <c r="AU118" s="115"/>
      <c r="AV118" s="115"/>
      <c r="AW118" s="170"/>
      <c r="AX118" s="170"/>
      <c r="AY118" s="138"/>
    </row>
    <row r="119" spans="1:51" ht="15" customHeight="1">
      <c r="A119" s="124"/>
      <c r="B119" s="170"/>
      <c r="C119" s="170"/>
      <c r="D119" s="170"/>
      <c r="E119" s="170"/>
      <c r="F119" s="170"/>
      <c r="G119" s="170"/>
      <c r="H119" s="170"/>
      <c r="I119" s="170"/>
      <c r="J119" s="170"/>
      <c r="K119" s="170" t="s">
        <v>600</v>
      </c>
      <c r="N119" s="170"/>
      <c r="Z119" s="612"/>
      <c r="AB119" s="280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115"/>
      <c r="AS119" s="115"/>
      <c r="AT119" s="115"/>
      <c r="AU119" s="115"/>
      <c r="AV119" s="115"/>
      <c r="AW119" s="170"/>
      <c r="AX119" s="170"/>
      <c r="AY119" s="138"/>
    </row>
    <row r="120" spans="1:51" ht="15" customHeight="1">
      <c r="A120" s="124"/>
      <c r="B120" s="170"/>
      <c r="C120" s="170"/>
      <c r="D120" s="170"/>
      <c r="E120" s="170"/>
      <c r="F120" s="170"/>
      <c r="G120" s="170"/>
      <c r="H120" s="170"/>
      <c r="I120" s="170"/>
      <c r="J120" s="170"/>
      <c r="K120" s="170" t="s">
        <v>599</v>
      </c>
      <c r="N120" s="170"/>
      <c r="Z120" s="612"/>
      <c r="AB120" s="280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115"/>
      <c r="AS120" s="115"/>
      <c r="AT120" s="115"/>
      <c r="AU120" s="115"/>
      <c r="AV120" s="115"/>
      <c r="AW120" s="170"/>
      <c r="AX120" s="170"/>
      <c r="AY120" s="138"/>
    </row>
    <row r="121" spans="1:51" ht="15" customHeight="1">
      <c r="A121" s="145"/>
      <c r="B121" s="145"/>
      <c r="C121" s="145"/>
      <c r="D121" s="145"/>
      <c r="E121" s="145"/>
      <c r="F121" s="145"/>
      <c r="G121" s="145"/>
      <c r="H121" s="145"/>
      <c r="I121" s="145"/>
      <c r="J121" s="145"/>
      <c r="K121" s="145" t="s">
        <v>1998</v>
      </c>
      <c r="L121" s="797"/>
      <c r="M121" s="145"/>
      <c r="N121" s="145"/>
      <c r="Z121" s="612"/>
      <c r="AB121" s="280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115"/>
      <c r="AS121" s="115"/>
      <c r="AT121" s="115"/>
      <c r="AU121" s="115"/>
      <c r="AV121" s="115"/>
      <c r="AW121" s="170"/>
      <c r="AX121" s="170"/>
      <c r="AY121" s="138"/>
    </row>
    <row r="122" spans="1:51" ht="15" customHeight="1">
      <c r="A122" s="124" t="s">
        <v>500</v>
      </c>
      <c r="B122" s="170" t="s">
        <v>225</v>
      </c>
      <c r="C122" s="170"/>
      <c r="D122" s="170"/>
      <c r="E122" s="170"/>
      <c r="F122" s="170"/>
      <c r="H122" s="170"/>
      <c r="I122" s="170"/>
      <c r="J122" s="170"/>
      <c r="K122" s="170" t="s">
        <v>1993</v>
      </c>
      <c r="N122" s="170"/>
      <c r="Z122" s="612"/>
      <c r="AB122" s="280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115"/>
      <c r="AS122" s="115"/>
      <c r="AT122" s="115"/>
      <c r="AU122" s="115"/>
      <c r="AV122" s="115"/>
      <c r="AW122" s="170"/>
      <c r="AX122" s="170"/>
      <c r="AY122" s="138"/>
    </row>
    <row r="123" spans="1:51" ht="15" customHeight="1">
      <c r="A123" s="170" t="s">
        <v>1349</v>
      </c>
      <c r="B123" s="170"/>
      <c r="C123" s="170"/>
      <c r="D123" s="170"/>
      <c r="E123" s="170"/>
      <c r="F123" s="170"/>
      <c r="G123" s="170"/>
      <c r="H123" s="170"/>
      <c r="I123" s="170"/>
      <c r="J123" s="170"/>
      <c r="K123" s="170" t="s">
        <v>1994</v>
      </c>
      <c r="N123" s="170"/>
      <c r="Z123" s="612"/>
      <c r="AB123" s="280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115"/>
      <c r="AS123" s="115"/>
      <c r="AT123" s="115"/>
      <c r="AU123" s="115"/>
      <c r="AV123" s="115"/>
      <c r="AW123" s="170"/>
      <c r="AX123" s="170"/>
      <c r="AY123" s="138"/>
    </row>
    <row r="124" spans="1:51" ht="15" customHeight="1">
      <c r="A124" s="124"/>
      <c r="B124" s="170"/>
      <c r="C124" s="170"/>
      <c r="D124" s="170"/>
      <c r="E124" s="170"/>
      <c r="F124" s="170"/>
      <c r="G124" s="170"/>
      <c r="H124" s="170"/>
      <c r="I124" s="170"/>
      <c r="J124" s="170"/>
      <c r="K124" s="170" t="s">
        <v>1995</v>
      </c>
      <c r="N124" s="170"/>
      <c r="Z124" s="612"/>
      <c r="AB124" s="280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115"/>
      <c r="AS124" s="115"/>
      <c r="AT124" s="115"/>
      <c r="AU124" s="115"/>
      <c r="AV124" s="115"/>
      <c r="AW124" s="170"/>
      <c r="AX124" s="170"/>
      <c r="AY124" s="138"/>
    </row>
    <row r="125" spans="1:51" ht="15" customHeight="1">
      <c r="A125" s="124" t="s">
        <v>1722</v>
      </c>
      <c r="B125" s="170"/>
      <c r="C125" s="170"/>
      <c r="D125" s="170"/>
      <c r="E125" s="170"/>
      <c r="F125" s="170"/>
      <c r="G125" s="170"/>
      <c r="H125" s="170"/>
      <c r="I125" s="170"/>
      <c r="J125" s="170"/>
      <c r="K125" s="170" t="s">
        <v>2004</v>
      </c>
      <c r="N125" s="170"/>
      <c r="Z125" s="612"/>
      <c r="AB125" s="280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115"/>
      <c r="AS125" s="115"/>
      <c r="AT125" s="115"/>
      <c r="AU125" s="115"/>
      <c r="AV125" s="115"/>
      <c r="AW125" s="170"/>
      <c r="AX125" s="170"/>
      <c r="AY125" s="138"/>
    </row>
    <row r="126" spans="1:51" ht="15" customHeight="1">
      <c r="A126" s="124"/>
      <c r="B126" s="170"/>
      <c r="C126" s="170"/>
      <c r="D126" s="170"/>
      <c r="E126" s="170"/>
      <c r="F126" s="170"/>
      <c r="G126" s="170"/>
      <c r="H126" s="170"/>
      <c r="I126" s="170"/>
      <c r="J126" s="170"/>
      <c r="K126" s="170" t="s">
        <v>2006</v>
      </c>
      <c r="N126" s="170"/>
      <c r="Z126" s="612"/>
      <c r="AB126" s="280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115"/>
      <c r="AS126" s="115"/>
      <c r="AT126" s="115"/>
      <c r="AU126" s="115"/>
      <c r="AV126" s="115"/>
      <c r="AW126" s="170"/>
      <c r="AX126" s="170"/>
      <c r="AY126" s="138"/>
    </row>
    <row r="127" spans="1:51" ht="15" customHeight="1">
      <c r="A127" s="124"/>
      <c r="B127" s="170"/>
      <c r="C127" s="170"/>
      <c r="D127" s="170"/>
      <c r="E127" s="170"/>
      <c r="F127" s="170"/>
      <c r="G127" s="170"/>
      <c r="H127" s="170"/>
      <c r="I127" s="170"/>
      <c r="J127" s="170"/>
      <c r="K127" s="170" t="s">
        <v>601</v>
      </c>
      <c r="N127" s="170"/>
      <c r="Z127" s="612"/>
      <c r="AB127" s="280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115"/>
      <c r="AS127" s="115"/>
      <c r="AT127" s="115"/>
      <c r="AU127" s="115"/>
      <c r="AV127" s="115"/>
      <c r="AW127" s="170"/>
      <c r="AX127" s="170"/>
      <c r="AY127" s="138"/>
    </row>
    <row r="128" spans="1:51" ht="15" customHeight="1">
      <c r="A128" s="261"/>
      <c r="B128" s="145"/>
      <c r="C128" s="145"/>
      <c r="D128" s="145"/>
      <c r="E128" s="145"/>
      <c r="F128" s="145"/>
      <c r="G128" s="145"/>
      <c r="H128" s="145"/>
      <c r="I128" s="145"/>
      <c r="J128" s="145"/>
      <c r="K128" s="145" t="s">
        <v>1998</v>
      </c>
      <c r="L128" s="885"/>
      <c r="M128" s="145"/>
      <c r="N128" s="145"/>
      <c r="Z128" s="612"/>
      <c r="AB128" s="280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115"/>
      <c r="AS128" s="115"/>
      <c r="AT128" s="115"/>
      <c r="AU128" s="115"/>
      <c r="AV128" s="115"/>
      <c r="AW128" s="170"/>
      <c r="AX128" s="170"/>
      <c r="AY128" s="138"/>
    </row>
    <row r="129" spans="1:51" ht="15" customHeight="1">
      <c r="A129" s="1022" t="s">
        <v>587</v>
      </c>
      <c r="B129" s="93" t="s">
        <v>226</v>
      </c>
      <c r="C129" s="93"/>
      <c r="D129" s="93"/>
      <c r="E129" s="93"/>
      <c r="F129" s="93"/>
      <c r="G129" s="93"/>
      <c r="H129" s="93"/>
      <c r="I129" s="93"/>
      <c r="J129" s="93"/>
      <c r="K129" s="93" t="s">
        <v>1993</v>
      </c>
      <c r="L129" s="887"/>
      <c r="M129" s="93"/>
      <c r="N129" s="93"/>
      <c r="Z129" s="612"/>
      <c r="AB129" s="280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115"/>
      <c r="AS129" s="115"/>
      <c r="AT129" s="115"/>
      <c r="AU129" s="115"/>
      <c r="AV129" s="115"/>
      <c r="AW129" s="170"/>
      <c r="AX129" s="170"/>
      <c r="AY129" s="138"/>
    </row>
    <row r="130" spans="1:51" ht="15" customHeight="1">
      <c r="A130" s="170" t="s">
        <v>1350</v>
      </c>
      <c r="B130" s="170"/>
      <c r="C130" s="170"/>
      <c r="D130" s="170"/>
      <c r="E130" s="170"/>
      <c r="F130" s="170"/>
      <c r="G130" s="170"/>
      <c r="H130" s="170"/>
      <c r="I130" s="170"/>
      <c r="J130" s="170"/>
      <c r="K130" s="170" t="s">
        <v>1994</v>
      </c>
      <c r="N130" s="170"/>
      <c r="Z130" s="612"/>
      <c r="AB130" s="280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115"/>
      <c r="AS130" s="115"/>
      <c r="AT130" s="115"/>
      <c r="AU130" s="115"/>
      <c r="AV130" s="115"/>
      <c r="AW130" s="170"/>
      <c r="AX130" s="170"/>
      <c r="AY130" s="138"/>
    </row>
    <row r="131" spans="1:51" ht="15" customHeight="1">
      <c r="A131" s="124"/>
      <c r="B131" s="170"/>
      <c r="C131" s="170"/>
      <c r="D131" s="170"/>
      <c r="E131" s="170"/>
      <c r="F131" s="170"/>
      <c r="G131" s="170"/>
      <c r="H131" s="170"/>
      <c r="I131" s="170"/>
      <c r="J131" s="170"/>
      <c r="K131" s="170" t="s">
        <v>1995</v>
      </c>
      <c r="N131" s="170"/>
      <c r="Z131" s="612"/>
      <c r="AB131" s="280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115"/>
      <c r="AS131" s="115"/>
      <c r="AT131" s="115"/>
      <c r="AU131" s="115"/>
      <c r="AV131" s="115"/>
      <c r="AW131" s="170"/>
      <c r="AX131" s="170"/>
      <c r="AY131" s="138"/>
    </row>
    <row r="132" spans="1:51" ht="15" customHeight="1">
      <c r="A132" s="124"/>
      <c r="B132" s="170"/>
      <c r="C132" s="170"/>
      <c r="D132" s="170"/>
      <c r="E132" s="170"/>
      <c r="F132" s="170"/>
      <c r="G132" s="170"/>
      <c r="H132" s="170"/>
      <c r="I132" s="170"/>
      <c r="J132" s="170"/>
      <c r="K132" s="170" t="s">
        <v>1997</v>
      </c>
      <c r="N132" s="170"/>
      <c r="Z132" s="612"/>
      <c r="AB132" s="280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115"/>
      <c r="AS132" s="115"/>
      <c r="AT132" s="115"/>
      <c r="AU132" s="115"/>
      <c r="AV132" s="115"/>
      <c r="AW132" s="170"/>
      <c r="AX132" s="170"/>
      <c r="AY132" s="138"/>
    </row>
    <row r="133" spans="1:51" ht="15" customHeight="1">
      <c r="A133" s="124"/>
      <c r="B133" s="170"/>
      <c r="C133" s="170"/>
      <c r="D133" s="170"/>
      <c r="E133" s="170"/>
      <c r="F133" s="170"/>
      <c r="G133" s="170"/>
      <c r="H133" s="170"/>
      <c r="I133" s="170"/>
      <c r="J133" s="170"/>
      <c r="K133" s="170" t="s">
        <v>1996</v>
      </c>
      <c r="N133" s="170"/>
      <c r="Z133" s="612"/>
      <c r="AB133" s="280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115"/>
      <c r="AS133" s="115"/>
      <c r="AT133" s="115"/>
      <c r="AU133" s="115"/>
      <c r="AV133" s="115"/>
      <c r="AW133" s="170"/>
      <c r="AX133" s="170"/>
      <c r="AY133" s="138"/>
    </row>
    <row r="134" spans="1:51" ht="15" customHeight="1">
      <c r="A134" s="124"/>
      <c r="B134" s="170"/>
      <c r="C134" s="170"/>
      <c r="D134" s="170"/>
      <c r="E134" s="170"/>
      <c r="F134" s="170"/>
      <c r="G134" s="170"/>
      <c r="H134" s="170"/>
      <c r="I134" s="170"/>
      <c r="J134" s="170"/>
      <c r="K134" s="170" t="s">
        <v>600</v>
      </c>
      <c r="N134" s="170"/>
      <c r="Z134" s="612"/>
      <c r="AB134" s="280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115"/>
      <c r="AS134" s="115"/>
      <c r="AT134" s="115"/>
      <c r="AU134" s="115"/>
      <c r="AV134" s="115"/>
      <c r="AW134" s="170"/>
      <c r="AX134" s="170"/>
      <c r="AY134" s="138"/>
    </row>
    <row r="135" spans="1:51" ht="15" customHeight="1">
      <c r="A135" s="124"/>
      <c r="B135" s="170"/>
      <c r="C135" s="170"/>
      <c r="D135" s="170"/>
      <c r="E135" s="170"/>
      <c r="F135" s="170"/>
      <c r="G135" s="170"/>
      <c r="H135" s="170"/>
      <c r="I135" s="170"/>
      <c r="J135" s="170"/>
      <c r="K135" s="170" t="s">
        <v>602</v>
      </c>
      <c r="N135" s="170"/>
      <c r="Z135" s="612"/>
      <c r="AB135" s="280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115"/>
      <c r="AS135" s="115"/>
      <c r="AT135" s="115"/>
      <c r="AU135" s="115"/>
      <c r="AV135" s="115"/>
      <c r="AW135" s="170"/>
      <c r="AX135" s="170"/>
      <c r="AY135" s="138"/>
    </row>
    <row r="136" spans="1:51" ht="15" customHeight="1">
      <c r="A136" s="246"/>
      <c r="B136" s="145"/>
      <c r="C136" s="145"/>
      <c r="D136" s="145"/>
      <c r="E136" s="145"/>
      <c r="F136" s="145"/>
      <c r="G136" s="145"/>
      <c r="H136" s="145"/>
      <c r="I136" s="145"/>
      <c r="J136" s="145"/>
      <c r="K136" s="145" t="s">
        <v>1998</v>
      </c>
      <c r="L136" s="797"/>
      <c r="M136" s="145"/>
      <c r="N136" s="145"/>
      <c r="Z136" s="612"/>
      <c r="AB136" s="280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115"/>
      <c r="AS136" s="115"/>
      <c r="AT136" s="115"/>
      <c r="AU136" s="115"/>
      <c r="AV136" s="115"/>
      <c r="AW136" s="170"/>
      <c r="AX136" s="170"/>
      <c r="AY136" s="138"/>
    </row>
    <row r="137" spans="1:51" ht="15" customHeight="1">
      <c r="A137" s="134"/>
      <c r="B137" s="170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  <c r="N137" s="170"/>
      <c r="P137" s="170"/>
      <c r="Z137" s="612"/>
      <c r="AB137" s="280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115"/>
      <c r="AS137" s="115"/>
      <c r="AT137" s="115"/>
      <c r="AU137" s="115"/>
      <c r="AV137" s="115"/>
      <c r="AW137" s="170"/>
      <c r="AX137" s="170"/>
      <c r="AY137" s="138"/>
    </row>
    <row r="138" spans="1:51" ht="15" customHeight="1">
      <c r="A138" s="96" t="s">
        <v>508</v>
      </c>
      <c r="B138" s="170"/>
      <c r="C138" s="170"/>
      <c r="D138" s="170"/>
      <c r="E138" s="170"/>
      <c r="F138" s="170"/>
      <c r="G138" s="170"/>
      <c r="H138" s="170"/>
      <c r="I138" s="170"/>
      <c r="J138" s="170"/>
      <c r="K138" s="170"/>
      <c r="L138" s="170"/>
      <c r="M138" s="170"/>
      <c r="N138" s="170"/>
      <c r="Z138" s="612"/>
      <c r="AB138" s="612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115"/>
      <c r="AS138" s="115"/>
      <c r="AT138" s="115"/>
      <c r="AU138" s="115"/>
      <c r="AV138" s="115"/>
      <c r="AW138" s="170"/>
      <c r="AX138" s="170"/>
      <c r="AY138" s="138"/>
    </row>
    <row r="139" spans="1:51" ht="15" customHeight="1">
      <c r="A139" s="259"/>
      <c r="B139" s="260" t="s">
        <v>506</v>
      </c>
      <c r="C139" s="260"/>
      <c r="D139" s="260"/>
      <c r="E139" s="260"/>
      <c r="F139" s="260" t="s">
        <v>505</v>
      </c>
      <c r="G139" s="107"/>
      <c r="H139" s="260"/>
      <c r="I139" s="260"/>
      <c r="J139" s="260"/>
      <c r="K139" s="260" t="s">
        <v>593</v>
      </c>
      <c r="L139" s="107"/>
      <c r="M139" s="107"/>
      <c r="N139" s="260"/>
      <c r="Z139" s="612"/>
      <c r="AB139" s="612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115"/>
      <c r="AS139" s="115"/>
      <c r="AT139" s="115"/>
      <c r="AU139" s="115"/>
      <c r="AV139" s="115"/>
      <c r="AW139" s="170"/>
      <c r="AX139" s="170"/>
      <c r="AY139" s="138"/>
    </row>
    <row r="140" spans="1:51" ht="15" customHeight="1">
      <c r="A140" s="124" t="s">
        <v>528</v>
      </c>
      <c r="B140" s="170" t="s">
        <v>203</v>
      </c>
      <c r="C140" s="170"/>
      <c r="D140" s="170"/>
      <c r="E140" s="170"/>
      <c r="F140" s="170"/>
      <c r="H140" s="170"/>
      <c r="I140" s="170"/>
      <c r="J140" s="170"/>
      <c r="K140" s="170" t="s">
        <v>603</v>
      </c>
      <c r="N140" s="170"/>
      <c r="Z140" s="612"/>
      <c r="AB140" s="612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115"/>
      <c r="AS140" s="115"/>
      <c r="AT140" s="115"/>
      <c r="AU140" s="115"/>
      <c r="AV140" s="115"/>
      <c r="AW140" s="170"/>
      <c r="AX140" s="170"/>
      <c r="AY140" s="138"/>
    </row>
    <row r="141" spans="1:51" ht="15" customHeight="1">
      <c r="A141" s="170" t="s">
        <v>1351</v>
      </c>
      <c r="B141" s="170"/>
      <c r="C141" s="170"/>
      <c r="D141" s="170"/>
      <c r="E141" s="170"/>
      <c r="F141" s="170"/>
      <c r="G141" s="170"/>
      <c r="H141" s="170"/>
      <c r="I141" s="170"/>
      <c r="J141" s="170"/>
      <c r="K141" s="170" t="s">
        <v>604</v>
      </c>
      <c r="N141" s="170"/>
      <c r="P141" s="170"/>
      <c r="Z141" s="612"/>
      <c r="AB141" s="612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115"/>
      <c r="AS141" s="115"/>
      <c r="AT141" s="115"/>
      <c r="AU141" s="115"/>
      <c r="AV141" s="115"/>
      <c r="AW141" s="170"/>
      <c r="AX141" s="170"/>
      <c r="AY141" s="138"/>
    </row>
    <row r="142" spans="1:51" ht="15" customHeight="1">
      <c r="A142" s="124"/>
      <c r="B142" s="170"/>
      <c r="C142" s="170"/>
      <c r="D142" s="170"/>
      <c r="E142" s="170"/>
      <c r="F142" s="170"/>
      <c r="G142" s="170"/>
      <c r="H142" s="170"/>
      <c r="I142" s="170"/>
      <c r="J142" s="170"/>
      <c r="K142" s="170" t="s">
        <v>1982</v>
      </c>
      <c r="N142" s="170"/>
      <c r="P142" s="170"/>
      <c r="Z142" s="612"/>
      <c r="AB142" s="612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115"/>
      <c r="AS142" s="115"/>
      <c r="AT142" s="115"/>
      <c r="AU142" s="115"/>
      <c r="AV142" s="115"/>
      <c r="AW142" s="170"/>
      <c r="AX142" s="170"/>
      <c r="AY142" s="138"/>
    </row>
    <row r="143" spans="1:51" ht="15" customHeight="1">
      <c r="A143" s="124"/>
      <c r="B143" s="170"/>
      <c r="C143" s="170"/>
      <c r="D143" s="170"/>
      <c r="E143" s="170"/>
      <c r="F143" s="170"/>
      <c r="G143" s="170"/>
      <c r="H143" s="170"/>
      <c r="I143" s="170"/>
      <c r="J143" s="170"/>
      <c r="K143" s="170" t="s">
        <v>1981</v>
      </c>
      <c r="N143" s="170"/>
      <c r="P143" s="170"/>
      <c r="Z143" s="612"/>
      <c r="AB143" s="612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115"/>
      <c r="AS143" s="115"/>
      <c r="AT143" s="115"/>
      <c r="AU143" s="115"/>
      <c r="AV143" s="115"/>
      <c r="AW143" s="170"/>
      <c r="AX143" s="170"/>
      <c r="AY143" s="138"/>
    </row>
    <row r="144" spans="1:51" ht="15" customHeight="1">
      <c r="A144" s="124"/>
      <c r="B144" s="170"/>
      <c r="C144" s="170"/>
      <c r="D144" s="170"/>
      <c r="E144" s="170"/>
      <c r="F144" s="170"/>
      <c r="G144" s="170"/>
      <c r="H144" s="170"/>
      <c r="I144" s="170"/>
      <c r="J144" s="170"/>
      <c r="K144" s="170" t="s">
        <v>1992</v>
      </c>
      <c r="N144" s="170"/>
      <c r="P144" s="170"/>
      <c r="Z144" s="612"/>
      <c r="AB144" s="612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115"/>
      <c r="AS144" s="115"/>
      <c r="AT144" s="115"/>
      <c r="AU144" s="115"/>
      <c r="AV144" s="115"/>
      <c r="AW144" s="170"/>
      <c r="AX144" s="170"/>
      <c r="AY144" s="138"/>
    </row>
    <row r="145" spans="1:51" ht="15" customHeight="1">
      <c r="A145" s="124"/>
      <c r="B145" s="170"/>
      <c r="C145" s="170"/>
      <c r="D145" s="170"/>
      <c r="E145" s="170"/>
      <c r="F145" s="170"/>
      <c r="G145" s="170"/>
      <c r="H145" s="170"/>
      <c r="I145" s="170"/>
      <c r="J145" s="170"/>
      <c r="K145" s="170" t="s">
        <v>1985</v>
      </c>
      <c r="N145" s="170"/>
      <c r="P145" s="170"/>
      <c r="Z145" s="612"/>
      <c r="AB145" s="612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115"/>
      <c r="AS145" s="115"/>
      <c r="AT145" s="115"/>
      <c r="AU145" s="115"/>
      <c r="AV145" s="115"/>
      <c r="AW145" s="170"/>
      <c r="AX145" s="170"/>
      <c r="AY145" s="138"/>
    </row>
    <row r="146" spans="1:51" ht="15" customHeight="1">
      <c r="A146" s="124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 t="s">
        <v>2007</v>
      </c>
      <c r="P146" s="170"/>
      <c r="Z146" s="612"/>
      <c r="AB146" s="612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115"/>
      <c r="AS146" s="115"/>
      <c r="AT146" s="115"/>
      <c r="AU146" s="115"/>
      <c r="AV146" s="115"/>
      <c r="AW146" s="170"/>
      <c r="AX146" s="170"/>
      <c r="AY146" s="138"/>
    </row>
    <row r="147" spans="1:51" ht="15" customHeight="1">
      <c r="A147" s="145"/>
      <c r="B147" s="145"/>
      <c r="C147" s="145"/>
      <c r="D147" s="145"/>
      <c r="E147" s="145"/>
      <c r="F147" s="145"/>
      <c r="G147" s="145"/>
      <c r="H147" s="145"/>
      <c r="I147" s="145"/>
      <c r="J147" s="145"/>
      <c r="K147" s="145" t="s">
        <v>1720</v>
      </c>
      <c r="L147" s="797"/>
      <c r="M147" s="145"/>
      <c r="N147" s="145"/>
      <c r="Z147" s="612"/>
      <c r="AB147" s="612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115"/>
      <c r="AS147" s="115"/>
      <c r="AT147" s="115"/>
      <c r="AU147" s="115"/>
      <c r="AV147" s="115"/>
      <c r="AW147" s="170"/>
      <c r="AX147" s="170"/>
      <c r="AY147" s="138"/>
    </row>
    <row r="148" spans="1:51" ht="15" customHeight="1">
      <c r="A148" s="124" t="s">
        <v>588</v>
      </c>
      <c r="B148" s="170" t="s">
        <v>504</v>
      </c>
      <c r="C148" s="170"/>
      <c r="D148" s="170"/>
      <c r="E148" s="170"/>
      <c r="F148" s="170"/>
      <c r="H148" s="170"/>
      <c r="I148" s="170"/>
      <c r="J148" s="170"/>
      <c r="K148" s="170" t="s">
        <v>605</v>
      </c>
      <c r="N148" s="170"/>
      <c r="Z148" s="612"/>
      <c r="AB148" s="612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115"/>
      <c r="AS148" s="115"/>
      <c r="AT148" s="115"/>
      <c r="AU148" s="115"/>
      <c r="AV148" s="115"/>
      <c r="AW148" s="170"/>
      <c r="AX148" s="170"/>
      <c r="AY148" s="138"/>
    </row>
    <row r="149" spans="1:51" ht="15" customHeight="1">
      <c r="A149" s="170" t="s">
        <v>1352</v>
      </c>
      <c r="B149" s="170"/>
      <c r="C149" s="170"/>
      <c r="D149" s="170"/>
      <c r="E149" s="170"/>
      <c r="F149" s="170"/>
      <c r="G149" s="170"/>
      <c r="H149" s="170"/>
      <c r="I149" s="170"/>
      <c r="J149" s="170"/>
      <c r="K149" s="170" t="s">
        <v>606</v>
      </c>
      <c r="N149" s="170"/>
      <c r="O149" s="170"/>
      <c r="Z149" s="612"/>
      <c r="AB149" s="612"/>
      <c r="AH149" s="348"/>
      <c r="AI149" s="348"/>
      <c r="AJ149" s="122"/>
      <c r="AK149" s="122"/>
      <c r="AL149" s="122"/>
      <c r="AM149" s="122"/>
      <c r="AN149" s="122"/>
      <c r="AO149" s="122"/>
      <c r="AP149" s="122"/>
      <c r="AQ149" s="348"/>
      <c r="AR149" s="170"/>
      <c r="AS149" s="170"/>
      <c r="AT149" s="170"/>
      <c r="AU149" s="170"/>
      <c r="AV149" s="170"/>
      <c r="AW149" s="170"/>
      <c r="AX149" s="170"/>
      <c r="AY149" s="138"/>
    </row>
    <row r="150" spans="1:51" ht="15" customHeight="1">
      <c r="A150" s="124"/>
      <c r="B150" s="170"/>
      <c r="C150" s="170"/>
      <c r="D150" s="170"/>
      <c r="E150" s="170"/>
      <c r="F150" s="170"/>
      <c r="G150" s="170"/>
      <c r="H150" s="170"/>
      <c r="I150" s="170"/>
      <c r="J150" s="170"/>
      <c r="K150" s="170" t="s">
        <v>2010</v>
      </c>
      <c r="N150" s="170"/>
      <c r="O150" s="170"/>
      <c r="Z150" s="612"/>
      <c r="AB150" s="612"/>
      <c r="AH150" s="348"/>
      <c r="AI150" s="348"/>
      <c r="AJ150" s="122"/>
      <c r="AK150" s="122"/>
      <c r="AL150" s="122"/>
      <c r="AM150" s="122"/>
      <c r="AN150" s="122"/>
      <c r="AO150" s="122"/>
      <c r="AP150" s="122"/>
      <c r="AQ150" s="348"/>
      <c r="AR150" s="170"/>
      <c r="AS150" s="170"/>
      <c r="AT150" s="170"/>
      <c r="AU150" s="170"/>
      <c r="AV150" s="170"/>
      <c r="AW150" s="170"/>
      <c r="AX150" s="170"/>
      <c r="AY150" s="138"/>
    </row>
    <row r="151" spans="1:51" ht="15" customHeight="1">
      <c r="A151" s="124"/>
      <c r="B151" s="170"/>
      <c r="C151" s="170"/>
      <c r="D151" s="170"/>
      <c r="E151" s="170"/>
      <c r="F151" s="170"/>
      <c r="G151" s="170"/>
      <c r="H151" s="170"/>
      <c r="I151" s="170"/>
      <c r="J151" s="170"/>
      <c r="K151" s="170" t="s">
        <v>2008</v>
      </c>
      <c r="N151" s="170"/>
      <c r="O151" s="170"/>
      <c r="Z151" s="612"/>
      <c r="AB151" s="612"/>
      <c r="AH151" s="348"/>
      <c r="AI151" s="348"/>
      <c r="AJ151" s="122"/>
      <c r="AK151" s="122"/>
      <c r="AL151" s="122"/>
      <c r="AM151" s="122"/>
      <c r="AN151" s="122"/>
      <c r="AO151" s="122"/>
      <c r="AP151" s="122"/>
      <c r="AQ151" s="348"/>
      <c r="AR151" s="170"/>
      <c r="AS151" s="170"/>
      <c r="AT151" s="170"/>
      <c r="AU151" s="170"/>
      <c r="AV151" s="170"/>
      <c r="AW151" s="170"/>
      <c r="AX151" s="170"/>
      <c r="AY151" s="138"/>
    </row>
    <row r="152" spans="1:51" ht="15" customHeight="1">
      <c r="A152" s="124"/>
      <c r="B152" s="170"/>
      <c r="C152" s="170"/>
      <c r="D152" s="170"/>
      <c r="E152" s="170"/>
      <c r="F152" s="170"/>
      <c r="G152" s="170"/>
      <c r="H152" s="170"/>
      <c r="I152" s="170"/>
      <c r="J152" s="170"/>
      <c r="K152" s="170" t="s">
        <v>2009</v>
      </c>
      <c r="N152" s="170"/>
      <c r="O152" s="170"/>
      <c r="Z152" s="612"/>
      <c r="AB152" s="612"/>
      <c r="AH152" s="348"/>
      <c r="AI152" s="348"/>
      <c r="AJ152" s="122"/>
      <c r="AK152" s="122"/>
      <c r="AL152" s="122"/>
      <c r="AM152" s="122"/>
      <c r="AN152" s="122"/>
      <c r="AO152" s="122"/>
      <c r="AP152" s="122"/>
      <c r="AQ152" s="348"/>
      <c r="AR152" s="170"/>
      <c r="AS152" s="170"/>
      <c r="AT152" s="170"/>
      <c r="AU152" s="170"/>
      <c r="AV152" s="170"/>
      <c r="AW152" s="170"/>
      <c r="AX152" s="170"/>
      <c r="AY152" s="138"/>
    </row>
    <row r="153" spans="1:51" ht="15" customHeight="1">
      <c r="A153" s="124"/>
      <c r="B153" s="170"/>
      <c r="C153" s="170"/>
      <c r="D153" s="170"/>
      <c r="E153" s="170"/>
      <c r="F153" s="170"/>
      <c r="G153" s="170"/>
      <c r="H153" s="170"/>
      <c r="I153" s="170"/>
      <c r="J153" s="170"/>
      <c r="K153" s="170" t="s">
        <v>2011</v>
      </c>
      <c r="N153" s="170"/>
      <c r="O153" s="170"/>
      <c r="Z153" s="612"/>
      <c r="AB153" s="612"/>
      <c r="AH153" s="348"/>
      <c r="AI153" s="348"/>
      <c r="AJ153" s="122"/>
      <c r="AK153" s="122"/>
      <c r="AL153" s="122"/>
      <c r="AM153" s="122"/>
      <c r="AN153" s="122"/>
      <c r="AO153" s="122"/>
      <c r="AP153" s="122"/>
      <c r="AQ153" s="348"/>
      <c r="AR153" s="170"/>
      <c r="AS153" s="170"/>
      <c r="AT153" s="170"/>
      <c r="AU153" s="170"/>
      <c r="AV153" s="170"/>
      <c r="AW153" s="170"/>
      <c r="AX153" s="170"/>
      <c r="AY153" s="138"/>
    </row>
    <row r="154" spans="1:51" ht="15" customHeight="1">
      <c r="A154" s="124"/>
      <c r="B154" s="170"/>
      <c r="C154" s="170"/>
      <c r="D154" s="170"/>
      <c r="E154" s="170"/>
      <c r="F154" s="170"/>
      <c r="G154" s="170"/>
      <c r="H154" s="170"/>
      <c r="I154" s="170"/>
      <c r="J154" s="170"/>
      <c r="K154" s="170" t="s">
        <v>607</v>
      </c>
      <c r="O154" s="170"/>
      <c r="Z154" s="612"/>
      <c r="AB154" s="612"/>
      <c r="AH154" s="348"/>
      <c r="AI154" s="348"/>
      <c r="AJ154" s="122"/>
      <c r="AK154" s="122"/>
      <c r="AL154" s="122"/>
      <c r="AM154" s="122"/>
      <c r="AN154" s="122"/>
      <c r="AO154" s="122"/>
      <c r="AP154" s="122"/>
      <c r="AQ154" s="348"/>
      <c r="AR154" s="170"/>
      <c r="AS154" s="170"/>
      <c r="AT154" s="170"/>
      <c r="AU154" s="170"/>
      <c r="AV154" s="170"/>
      <c r="AW154" s="170"/>
      <c r="AX154" s="170"/>
      <c r="AY154" s="138"/>
    </row>
    <row r="155" spans="1:51" ht="15" customHeight="1">
      <c r="A155" s="261"/>
      <c r="B155" s="145"/>
      <c r="C155" s="145"/>
      <c r="D155" s="145"/>
      <c r="E155" s="145"/>
      <c r="F155" s="145"/>
      <c r="G155" s="145"/>
      <c r="H155" s="145"/>
      <c r="I155" s="145"/>
      <c r="J155" s="145"/>
      <c r="K155" s="145" t="s">
        <v>2012</v>
      </c>
      <c r="L155" s="797"/>
      <c r="M155" s="145"/>
      <c r="N155" s="145"/>
      <c r="Z155" s="612"/>
      <c r="AB155" s="612"/>
      <c r="AH155" s="348"/>
      <c r="AI155" s="348"/>
      <c r="AJ155" s="122"/>
      <c r="AK155" s="122"/>
      <c r="AL155" s="122"/>
      <c r="AM155" s="122"/>
      <c r="AN155" s="122"/>
      <c r="AO155" s="122"/>
      <c r="AP155" s="122"/>
      <c r="AQ155" s="348"/>
      <c r="AR155" s="170"/>
      <c r="AS155" s="170"/>
      <c r="AT155" s="170"/>
      <c r="AU155" s="170"/>
      <c r="AV155" s="170"/>
      <c r="AW155" s="170"/>
      <c r="AX155" s="170"/>
      <c r="AY155" s="138"/>
    </row>
    <row r="156" spans="1:51" ht="15" customHeight="1">
      <c r="A156" s="124"/>
      <c r="B156" s="170"/>
      <c r="C156" s="170"/>
      <c r="D156" s="170"/>
      <c r="E156" s="170"/>
      <c r="F156" s="170"/>
      <c r="G156" s="170"/>
      <c r="H156" s="170"/>
      <c r="I156" s="170"/>
      <c r="J156" s="170"/>
      <c r="K156" s="170"/>
      <c r="M156" s="170"/>
      <c r="N156" s="170"/>
      <c r="Z156" s="612"/>
      <c r="AB156" s="612"/>
      <c r="AH156" s="348"/>
      <c r="AI156" s="348"/>
      <c r="AJ156" s="122"/>
      <c r="AK156" s="122"/>
      <c r="AL156" s="122"/>
      <c r="AM156" s="122"/>
      <c r="AN156" s="122"/>
      <c r="AO156" s="122"/>
      <c r="AP156" s="122"/>
      <c r="AQ156" s="348"/>
      <c r="AR156" s="170"/>
      <c r="AS156" s="170"/>
      <c r="AT156" s="170"/>
      <c r="AU156" s="170"/>
      <c r="AV156" s="170"/>
      <c r="AW156" s="170"/>
      <c r="AX156" s="170"/>
      <c r="AY156" s="138"/>
    </row>
    <row r="157" spans="1:51" ht="15" customHeight="1">
      <c r="A157" s="124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70"/>
      <c r="Z157" s="170"/>
      <c r="AA157" s="170"/>
      <c r="AB157" s="280"/>
      <c r="AH157" s="348"/>
      <c r="AI157" s="348"/>
      <c r="AJ157" s="122"/>
      <c r="AK157" s="122"/>
      <c r="AL157" s="122"/>
      <c r="AM157" s="122"/>
      <c r="AN157" s="122"/>
      <c r="AO157" s="122"/>
      <c r="AP157" s="122"/>
      <c r="AQ157" s="348"/>
      <c r="AR157" s="170"/>
      <c r="AS157" s="170"/>
      <c r="AT157" s="170"/>
      <c r="AU157" s="170"/>
      <c r="AV157" s="170"/>
      <c r="AW157" s="170"/>
      <c r="AX157" s="170"/>
      <c r="AY157" s="138"/>
    </row>
    <row r="158" spans="1:51" ht="15" customHeight="1">
      <c r="A158" s="124"/>
      <c r="B158" s="96" t="s">
        <v>589</v>
      </c>
      <c r="C158" s="170"/>
      <c r="D158" s="170"/>
      <c r="E158" s="170"/>
      <c r="F158" s="170"/>
      <c r="G158" s="170"/>
      <c r="H158" s="170"/>
      <c r="I158" s="170"/>
      <c r="J158" s="170"/>
      <c r="K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280"/>
      <c r="AH158" s="348"/>
      <c r="AI158" s="348"/>
      <c r="AJ158" s="122"/>
      <c r="AK158" s="122"/>
      <c r="AL158" s="122"/>
      <c r="AM158" s="122"/>
      <c r="AN158" s="122"/>
      <c r="AO158" s="122"/>
      <c r="AP158" s="122"/>
      <c r="AQ158" s="348"/>
      <c r="AR158" s="170"/>
      <c r="AS158" s="170"/>
      <c r="AT158" s="170"/>
      <c r="AU158" s="170"/>
      <c r="AV158" s="170"/>
      <c r="AW158" s="170"/>
      <c r="AX158" s="170"/>
      <c r="AY158" s="138"/>
    </row>
    <row r="159" spans="1:51" ht="15" customHeight="1">
      <c r="A159" s="96"/>
      <c r="B159" s="96" t="s">
        <v>507</v>
      </c>
      <c r="L159" s="797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273"/>
      <c r="AA159" s="170"/>
      <c r="AB159" s="280"/>
      <c r="AV159" s="137"/>
      <c r="AY159" s="138"/>
    </row>
    <row r="160" spans="1:51" ht="15" customHeight="1">
      <c r="A160" s="259"/>
      <c r="B160" s="260" t="s">
        <v>506</v>
      </c>
      <c r="C160" s="260"/>
      <c r="D160" s="260"/>
      <c r="E160" s="260"/>
      <c r="F160" s="260" t="s">
        <v>523</v>
      </c>
      <c r="G160" s="107"/>
      <c r="H160" s="260"/>
      <c r="I160" s="260"/>
      <c r="J160" s="260"/>
      <c r="K160" s="260" t="s">
        <v>593</v>
      </c>
      <c r="L160" s="797"/>
      <c r="M160" s="107"/>
      <c r="N160" s="260"/>
      <c r="O160" s="170"/>
      <c r="P160" s="170"/>
      <c r="Q160" s="170"/>
      <c r="R160" s="170"/>
      <c r="S160" s="170"/>
      <c r="T160" s="170"/>
      <c r="U160" s="170"/>
      <c r="V160" s="170"/>
      <c r="W160" s="170"/>
      <c r="X160" s="170"/>
      <c r="Y160" s="170"/>
      <c r="Z160" s="170"/>
      <c r="AA160" s="170"/>
      <c r="AB160" s="612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115"/>
      <c r="AS160" s="115"/>
      <c r="AT160" s="115"/>
      <c r="AU160" s="115"/>
      <c r="AV160" s="115"/>
      <c r="AY160" s="138"/>
    </row>
    <row r="161" spans="1:51" ht="15" customHeight="1">
      <c r="A161" s="124" t="s">
        <v>590</v>
      </c>
      <c r="B161" s="170" t="s">
        <v>501</v>
      </c>
      <c r="C161" s="170"/>
      <c r="D161" s="170"/>
      <c r="E161" s="170"/>
      <c r="F161" s="170"/>
      <c r="H161" s="170"/>
      <c r="I161" s="170"/>
      <c r="J161" s="170"/>
      <c r="K161" s="170" t="s">
        <v>608</v>
      </c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611"/>
      <c r="AA161" s="170"/>
      <c r="AB161" s="612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115"/>
      <c r="AS161" s="115"/>
      <c r="AT161" s="115"/>
      <c r="AU161" s="115"/>
      <c r="AV161" s="115"/>
      <c r="AW161" s="170"/>
      <c r="AX161" s="170"/>
      <c r="AY161" s="138"/>
    </row>
    <row r="162" spans="1:51" ht="15" customHeight="1">
      <c r="A162" s="274" t="s">
        <v>1353</v>
      </c>
      <c r="B162" s="170"/>
      <c r="C162" s="170"/>
      <c r="D162" s="170"/>
      <c r="E162" s="170"/>
      <c r="F162" s="170"/>
      <c r="G162" s="170"/>
      <c r="H162" s="170"/>
      <c r="I162" s="170"/>
      <c r="J162" s="170"/>
      <c r="K162" s="170" t="s">
        <v>609</v>
      </c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612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115"/>
      <c r="AS162" s="115"/>
      <c r="AT162" s="115"/>
      <c r="AU162" s="115"/>
      <c r="AV162" s="115"/>
      <c r="AW162" s="170"/>
      <c r="AX162" s="170"/>
      <c r="AY162" s="138"/>
    </row>
    <row r="163" spans="1:51" ht="15" customHeight="1">
      <c r="A163" s="124"/>
      <c r="B163" s="170"/>
      <c r="C163" s="170"/>
      <c r="D163" s="170"/>
      <c r="E163" s="170"/>
      <c r="F163" s="170"/>
      <c r="G163" s="170"/>
      <c r="H163" s="170"/>
      <c r="I163" s="170"/>
      <c r="J163" s="170"/>
      <c r="K163" s="170" t="s">
        <v>1981</v>
      </c>
      <c r="N163" s="170"/>
      <c r="O163" s="170"/>
      <c r="P163" s="170"/>
      <c r="Q163" s="170"/>
      <c r="R163" s="170"/>
      <c r="S163" s="170"/>
      <c r="T163" s="170"/>
      <c r="U163" s="170"/>
      <c r="V163" s="170"/>
      <c r="W163" s="170"/>
      <c r="X163" s="170"/>
      <c r="Y163" s="170"/>
      <c r="Z163" s="611"/>
      <c r="AA163" s="170"/>
      <c r="AB163" s="612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115"/>
      <c r="AS163" s="115"/>
      <c r="AT163" s="115"/>
      <c r="AU163" s="115"/>
      <c r="AV163" s="115"/>
      <c r="AW163" s="170"/>
      <c r="AX163" s="170"/>
      <c r="AY163" s="138"/>
    </row>
    <row r="164" spans="1:51" ht="15" customHeight="1">
      <c r="A164" s="124"/>
      <c r="B164" s="170"/>
      <c r="C164" s="170"/>
      <c r="D164" s="170"/>
      <c r="E164" s="170"/>
      <c r="F164" s="170"/>
      <c r="G164" s="170"/>
      <c r="H164" s="170"/>
      <c r="I164" s="170"/>
      <c r="J164" s="170"/>
      <c r="K164" s="170" t="s">
        <v>1983</v>
      </c>
      <c r="N164" s="170"/>
      <c r="O164" s="170"/>
      <c r="P164" s="170"/>
      <c r="Q164" s="170"/>
      <c r="R164" s="170"/>
      <c r="S164" s="170"/>
      <c r="T164" s="170"/>
      <c r="U164" s="170"/>
      <c r="V164" s="170"/>
      <c r="W164" s="170"/>
      <c r="X164" s="170"/>
      <c r="Y164" s="170"/>
      <c r="Z164" s="170"/>
      <c r="AA164" s="170"/>
      <c r="AB164" s="612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115"/>
      <c r="AS164" s="115"/>
      <c r="AT164" s="115"/>
      <c r="AU164" s="115"/>
      <c r="AV164" s="115"/>
      <c r="AW164" s="170"/>
      <c r="AX164" s="170"/>
      <c r="AY164" s="138"/>
    </row>
    <row r="165" spans="1:51" ht="15" customHeight="1">
      <c r="A165" s="124"/>
      <c r="B165" s="170"/>
      <c r="C165" s="170"/>
      <c r="D165" s="170"/>
      <c r="E165" s="170"/>
      <c r="F165" s="170"/>
      <c r="G165" s="170"/>
      <c r="H165" s="170"/>
      <c r="I165" s="170"/>
      <c r="J165" s="170"/>
      <c r="K165" s="170" t="s">
        <v>1991</v>
      </c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611"/>
      <c r="AA165" s="170"/>
      <c r="AB165" s="612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115"/>
      <c r="AS165" s="115"/>
      <c r="AT165" s="115"/>
      <c r="AU165" s="115"/>
      <c r="AV165" s="115"/>
      <c r="AW165" s="170"/>
      <c r="AX165" s="170"/>
      <c r="AY165" s="138"/>
    </row>
    <row r="166" spans="1:51" ht="15" customHeight="1">
      <c r="A166" s="124"/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 t="s">
        <v>1992</v>
      </c>
      <c r="O166" s="170"/>
      <c r="P166" s="170"/>
      <c r="Q166" s="170"/>
      <c r="R166" s="170"/>
      <c r="S166" s="170"/>
      <c r="T166" s="170"/>
      <c r="U166" s="170"/>
      <c r="V166" s="170"/>
      <c r="W166" s="170"/>
      <c r="X166" s="170"/>
      <c r="Y166" s="170"/>
      <c r="Z166" s="170"/>
      <c r="AA166" s="170"/>
      <c r="AB166" s="612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115"/>
      <c r="AS166" s="115"/>
      <c r="AT166" s="115"/>
      <c r="AU166" s="115"/>
      <c r="AV166" s="115"/>
      <c r="AW166" s="170"/>
      <c r="AX166" s="170"/>
      <c r="AY166" s="138"/>
    </row>
    <row r="167" spans="1:51" ht="15" customHeight="1">
      <c r="A167" s="145"/>
      <c r="B167" s="145"/>
      <c r="C167" s="145"/>
      <c r="D167" s="145"/>
      <c r="E167" s="145"/>
      <c r="F167" s="145"/>
      <c r="G167" s="145"/>
      <c r="H167" s="145"/>
      <c r="I167" s="145"/>
      <c r="J167" s="145"/>
      <c r="K167" s="145"/>
      <c r="L167" s="145" t="s">
        <v>1720</v>
      </c>
      <c r="M167" s="145"/>
      <c r="N167" s="145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611"/>
      <c r="AA167" s="170"/>
      <c r="AB167" s="612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115"/>
      <c r="AS167" s="115"/>
      <c r="AT167" s="115"/>
      <c r="AU167" s="115"/>
      <c r="AV167" s="115"/>
      <c r="AW167" s="170"/>
      <c r="AX167" s="170"/>
      <c r="AY167" s="138"/>
    </row>
    <row r="168" spans="1:51" ht="15" customHeight="1">
      <c r="A168" s="134"/>
      <c r="B168" s="170"/>
      <c r="C168" s="170"/>
      <c r="D168" s="170"/>
      <c r="E168" s="170"/>
      <c r="F168" s="170"/>
      <c r="G168" s="170"/>
      <c r="H168" s="170"/>
      <c r="I168" s="170"/>
      <c r="J168" s="170"/>
      <c r="K168" s="170"/>
      <c r="L168" s="170"/>
      <c r="M168" s="170"/>
      <c r="N168" s="170"/>
      <c r="O168" s="170"/>
      <c r="P168" s="170"/>
      <c r="Q168" s="170"/>
      <c r="R168" s="170"/>
      <c r="S168" s="170"/>
      <c r="T168" s="170"/>
      <c r="U168" s="170"/>
      <c r="V168" s="170"/>
      <c r="W168" s="170"/>
      <c r="X168" s="170"/>
      <c r="Y168" s="170"/>
      <c r="Z168" s="170"/>
      <c r="AA168" s="170"/>
      <c r="AB168" s="612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115"/>
      <c r="AS168" s="115"/>
      <c r="AT168" s="115"/>
      <c r="AU168" s="115"/>
      <c r="AV168" s="115"/>
      <c r="AW168" s="170"/>
      <c r="AX168" s="170"/>
      <c r="AY168" s="138"/>
    </row>
    <row r="169" spans="1:51" ht="15" customHeight="1">
      <c r="A169" s="96" t="s">
        <v>508</v>
      </c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  <c r="N169" s="170"/>
      <c r="O169" s="170"/>
      <c r="P169" s="170"/>
      <c r="Q169" s="170"/>
      <c r="R169" s="170"/>
      <c r="S169" s="170"/>
      <c r="T169" s="170"/>
      <c r="U169" s="170"/>
      <c r="V169" s="170"/>
      <c r="W169" s="170"/>
      <c r="X169" s="170"/>
      <c r="Y169" s="170"/>
      <c r="Z169" s="170"/>
      <c r="AA169" s="170"/>
      <c r="AB169" s="280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115"/>
      <c r="AS169" s="115"/>
      <c r="AT169" s="115"/>
      <c r="AU169" s="115"/>
      <c r="AV169" s="115"/>
      <c r="AW169" s="170"/>
      <c r="AX169" s="170"/>
      <c r="AY169" s="138"/>
    </row>
    <row r="170" spans="1:51" ht="15" customHeight="1">
      <c r="A170" s="259"/>
      <c r="B170" s="260" t="s">
        <v>506</v>
      </c>
      <c r="C170" s="260"/>
      <c r="D170" s="260"/>
      <c r="E170" s="260"/>
      <c r="F170" s="260" t="s">
        <v>505</v>
      </c>
      <c r="G170" s="107"/>
      <c r="H170" s="260"/>
      <c r="I170" s="260"/>
      <c r="J170" s="260"/>
      <c r="K170" s="260" t="s">
        <v>593</v>
      </c>
      <c r="L170" s="107"/>
      <c r="M170" s="107"/>
      <c r="N170" s="260"/>
      <c r="Q170" s="170"/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/>
      <c r="AB170" s="280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115"/>
      <c r="AS170" s="115"/>
      <c r="AT170" s="115"/>
      <c r="AU170" s="115"/>
      <c r="AV170" s="115"/>
      <c r="AW170" s="170"/>
      <c r="AX170" s="170"/>
      <c r="AY170" s="138"/>
    </row>
    <row r="171" spans="1:51" ht="15" customHeight="1">
      <c r="A171" s="124" t="s">
        <v>591</v>
      </c>
      <c r="B171" s="170" t="s">
        <v>502</v>
      </c>
      <c r="C171" s="170"/>
      <c r="D171" s="170"/>
      <c r="E171" s="170"/>
      <c r="F171" s="170"/>
      <c r="H171" s="170"/>
      <c r="I171" s="170"/>
      <c r="J171" s="170"/>
      <c r="K171" s="170" t="s">
        <v>610</v>
      </c>
      <c r="N171" s="170"/>
      <c r="Q171" s="170"/>
      <c r="R171" s="170"/>
      <c r="S171" s="170"/>
      <c r="T171" s="170"/>
      <c r="U171" s="170"/>
      <c r="V171" s="170"/>
      <c r="W171" s="170"/>
      <c r="X171" s="170"/>
      <c r="Y171" s="170"/>
      <c r="Z171" s="170"/>
      <c r="AA171" s="170"/>
      <c r="AB171" s="280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115"/>
      <c r="AS171" s="115"/>
      <c r="AT171" s="115"/>
      <c r="AU171" s="115"/>
      <c r="AV171" s="115"/>
      <c r="AW171" s="170"/>
      <c r="AX171" s="170"/>
      <c r="AY171" s="138"/>
    </row>
    <row r="172" spans="1:51" ht="15" customHeight="1">
      <c r="A172" s="170" t="s">
        <v>1724</v>
      </c>
      <c r="B172" s="170"/>
      <c r="C172" s="170"/>
      <c r="D172" s="170"/>
      <c r="E172" s="170"/>
      <c r="F172" s="170"/>
      <c r="G172" s="170"/>
      <c r="H172" s="170"/>
      <c r="I172" s="170"/>
      <c r="J172" s="170"/>
      <c r="K172" s="170" t="s">
        <v>611</v>
      </c>
      <c r="N172" s="170"/>
      <c r="Q172" s="170"/>
      <c r="R172" s="170"/>
      <c r="S172" s="170"/>
      <c r="T172" s="170"/>
      <c r="U172" s="170"/>
      <c r="V172" s="170"/>
      <c r="W172" s="170"/>
      <c r="X172" s="170"/>
      <c r="Y172" s="170"/>
      <c r="Z172" s="170"/>
      <c r="AA172" s="170"/>
      <c r="AB172" s="280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115"/>
      <c r="AS172" s="115"/>
      <c r="AT172" s="115"/>
      <c r="AU172" s="115"/>
      <c r="AV172" s="115"/>
      <c r="AW172" s="170"/>
      <c r="AX172" s="170"/>
      <c r="AY172" s="138"/>
    </row>
    <row r="173" spans="1:51" ht="15" customHeight="1">
      <c r="A173" s="124"/>
      <c r="B173" s="170"/>
      <c r="C173" s="170"/>
      <c r="D173" s="170"/>
      <c r="E173" s="170"/>
      <c r="F173" s="170"/>
      <c r="G173" s="170"/>
      <c r="H173" s="170"/>
      <c r="I173" s="170"/>
      <c r="J173" s="170"/>
      <c r="K173" s="170" t="s">
        <v>1982</v>
      </c>
      <c r="N173" s="170"/>
      <c r="O173" s="170"/>
      <c r="Q173" s="170"/>
      <c r="R173" s="170"/>
      <c r="S173" s="170"/>
      <c r="T173" s="170"/>
      <c r="U173" s="170"/>
      <c r="V173" s="170"/>
      <c r="W173" s="170"/>
      <c r="X173" s="170"/>
      <c r="Y173" s="170"/>
      <c r="Z173" s="170"/>
      <c r="AA173" s="170"/>
      <c r="AB173" s="280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115"/>
      <c r="AS173" s="115"/>
      <c r="AT173" s="115"/>
      <c r="AU173" s="115"/>
      <c r="AV173" s="115"/>
      <c r="AW173" s="170"/>
      <c r="AX173" s="170"/>
      <c r="AY173" s="138"/>
    </row>
    <row r="174" spans="1:51" ht="15" customHeight="1">
      <c r="A174" s="124"/>
      <c r="B174" s="170"/>
      <c r="C174" s="170"/>
      <c r="D174" s="170"/>
      <c r="E174" s="170"/>
      <c r="F174" s="170"/>
      <c r="G174" s="170"/>
      <c r="H174" s="170"/>
      <c r="I174" s="170"/>
      <c r="J174" s="170"/>
      <c r="K174" s="170" t="s">
        <v>1992</v>
      </c>
      <c r="N174" s="170"/>
      <c r="O174" s="170"/>
      <c r="Q174" s="170"/>
      <c r="R174" s="170"/>
      <c r="S174" s="170"/>
      <c r="T174" s="170"/>
      <c r="U174" s="170"/>
      <c r="V174" s="170"/>
      <c r="W174" s="170"/>
      <c r="X174" s="170"/>
      <c r="Y174" s="170"/>
      <c r="Z174" s="170"/>
      <c r="AA174" s="170"/>
      <c r="AB174" s="280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115"/>
      <c r="AS174" s="115"/>
      <c r="AT174" s="115"/>
      <c r="AU174" s="115"/>
      <c r="AV174" s="115"/>
      <c r="AW174" s="170"/>
      <c r="AX174" s="170"/>
      <c r="AY174" s="138"/>
    </row>
    <row r="175" spans="1:51" ht="15" customHeight="1">
      <c r="A175" s="124"/>
      <c r="B175" s="170"/>
      <c r="C175" s="170"/>
      <c r="D175" s="170"/>
      <c r="E175" s="170"/>
      <c r="F175" s="170"/>
      <c r="G175" s="170"/>
      <c r="H175" s="170"/>
      <c r="I175" s="170"/>
      <c r="J175" s="170"/>
      <c r="K175" s="170" t="s">
        <v>1985</v>
      </c>
      <c r="N175" s="170"/>
      <c r="O175" s="170"/>
      <c r="Q175" s="170"/>
      <c r="R175" s="170"/>
      <c r="S175" s="170"/>
      <c r="T175" s="170"/>
      <c r="U175" s="170"/>
      <c r="V175" s="170"/>
      <c r="W175" s="170"/>
      <c r="X175" s="170"/>
      <c r="Y175" s="170"/>
      <c r="Z175" s="170"/>
      <c r="AA175" s="170"/>
      <c r="AB175" s="280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115"/>
      <c r="AS175" s="115"/>
      <c r="AT175" s="115"/>
      <c r="AU175" s="115"/>
      <c r="AV175" s="115"/>
      <c r="AW175" s="170"/>
      <c r="AX175" s="170"/>
      <c r="AY175" s="138"/>
    </row>
    <row r="176" spans="1:51" ht="15" customHeight="1">
      <c r="A176" s="124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 t="s">
        <v>1720</v>
      </c>
      <c r="N176" s="170"/>
      <c r="O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280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115"/>
      <c r="AS176" s="115"/>
      <c r="AT176" s="115"/>
      <c r="AU176" s="115"/>
      <c r="AV176" s="115"/>
      <c r="AW176" s="170"/>
      <c r="AX176" s="170"/>
      <c r="AY176" s="138"/>
    </row>
    <row r="177" spans="1:51" ht="15" customHeight="1">
      <c r="A177" s="124"/>
      <c r="B177" s="170"/>
      <c r="C177" s="170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0"/>
      <c r="V177" s="170"/>
      <c r="W177" s="170"/>
      <c r="X177" s="170"/>
      <c r="Y177" s="170"/>
      <c r="Z177" s="170"/>
      <c r="AA177" s="170"/>
      <c r="AB177" s="280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115"/>
      <c r="AS177" s="115"/>
      <c r="AT177" s="115"/>
      <c r="AU177" s="115"/>
      <c r="AV177" s="115"/>
      <c r="AW177" s="170"/>
      <c r="AX177" s="170"/>
      <c r="AY177" s="138"/>
    </row>
    <row r="178" spans="1:51" ht="15" customHeight="1">
      <c r="A178" s="261"/>
      <c r="B178" s="145"/>
      <c r="C178" s="145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70"/>
      <c r="P178" s="170"/>
      <c r="Q178" s="170"/>
      <c r="R178" s="170"/>
      <c r="S178" s="170"/>
      <c r="T178" s="170"/>
      <c r="U178" s="170"/>
      <c r="V178" s="170"/>
      <c r="W178" s="170"/>
      <c r="X178" s="170"/>
      <c r="Y178" s="170"/>
      <c r="Z178" s="170"/>
      <c r="AA178" s="170"/>
      <c r="AB178" s="280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115"/>
      <c r="AS178" s="115"/>
      <c r="AT178" s="115"/>
      <c r="AU178" s="115"/>
      <c r="AV178" s="115"/>
      <c r="AW178" s="170"/>
      <c r="AX178" s="170"/>
      <c r="AY178" s="138"/>
    </row>
    <row r="179" spans="1:51" ht="15" customHeight="1">
      <c r="A179" s="124" t="s">
        <v>592</v>
      </c>
      <c r="B179" s="170" t="s">
        <v>503</v>
      </c>
      <c r="C179" s="170"/>
      <c r="D179" s="170"/>
      <c r="E179" s="170"/>
      <c r="F179" s="170"/>
      <c r="H179" s="170"/>
      <c r="I179" s="170"/>
      <c r="J179" s="170"/>
      <c r="K179" s="170" t="s">
        <v>603</v>
      </c>
      <c r="N179" s="170"/>
      <c r="O179" s="170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280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115"/>
      <c r="AS179" s="115"/>
      <c r="AT179" s="115"/>
      <c r="AU179" s="115"/>
      <c r="AV179" s="115"/>
      <c r="AW179" s="170"/>
      <c r="AX179" s="170"/>
      <c r="AY179" s="138"/>
    </row>
    <row r="180" spans="1:51" ht="15" customHeight="1">
      <c r="A180" s="170" t="s">
        <v>1725</v>
      </c>
      <c r="C180" s="170"/>
      <c r="D180" s="170"/>
      <c r="E180" s="170"/>
      <c r="F180" s="170"/>
      <c r="G180" s="170"/>
      <c r="H180" s="170"/>
      <c r="I180" s="170"/>
      <c r="J180" s="170"/>
      <c r="K180" s="170" t="s">
        <v>604</v>
      </c>
      <c r="N180" s="170"/>
      <c r="O180" s="170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280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115"/>
      <c r="AS180" s="115"/>
      <c r="AT180" s="115"/>
      <c r="AU180" s="115"/>
      <c r="AV180" s="115"/>
      <c r="AW180" s="170"/>
      <c r="AX180" s="170"/>
      <c r="AY180" s="138"/>
    </row>
    <row r="181" spans="1:51" ht="15" customHeight="1">
      <c r="A181" s="124"/>
      <c r="B181" s="170"/>
      <c r="C181" s="170"/>
      <c r="D181" s="170"/>
      <c r="E181" s="170"/>
      <c r="F181" s="170"/>
      <c r="G181" s="170"/>
      <c r="H181" s="170"/>
      <c r="I181" s="170"/>
      <c r="J181" s="170"/>
      <c r="K181" s="170" t="s">
        <v>1982</v>
      </c>
      <c r="N181" s="170"/>
      <c r="O181" s="170"/>
      <c r="P181" s="170"/>
      <c r="Q181" s="170"/>
      <c r="R181" s="170"/>
      <c r="S181" s="170"/>
      <c r="T181" s="170"/>
      <c r="U181" s="170"/>
      <c r="V181" s="170"/>
      <c r="W181" s="170"/>
      <c r="X181" s="170"/>
      <c r="Y181" s="170"/>
      <c r="Z181" s="170"/>
      <c r="AA181" s="170"/>
      <c r="AB181" s="280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115"/>
      <c r="AS181" s="115"/>
      <c r="AT181" s="115"/>
      <c r="AU181" s="115"/>
      <c r="AV181" s="115"/>
      <c r="AW181" s="170"/>
      <c r="AX181" s="170"/>
      <c r="AY181" s="138"/>
    </row>
    <row r="182" spans="1:51" ht="15" customHeight="1">
      <c r="A182" s="124"/>
      <c r="B182" s="170"/>
      <c r="C182" s="170"/>
      <c r="D182" s="170"/>
      <c r="E182" s="170"/>
      <c r="F182" s="170"/>
      <c r="G182" s="170"/>
      <c r="H182" s="170"/>
      <c r="I182" s="170"/>
      <c r="J182" s="170"/>
      <c r="K182" s="170" t="s">
        <v>1981</v>
      </c>
      <c r="N182" s="170"/>
      <c r="O182" s="170"/>
      <c r="P182" s="170"/>
      <c r="Q182" s="170"/>
      <c r="R182" s="170"/>
      <c r="S182" s="170"/>
      <c r="T182" s="170"/>
      <c r="U182" s="170"/>
      <c r="V182" s="170"/>
      <c r="W182" s="170"/>
      <c r="X182" s="170"/>
      <c r="Y182" s="170"/>
      <c r="Z182" s="170"/>
      <c r="AA182" s="170"/>
      <c r="AB182" s="280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115"/>
      <c r="AS182" s="115"/>
      <c r="AT182" s="115"/>
      <c r="AU182" s="115"/>
      <c r="AV182" s="115"/>
      <c r="AW182" s="170"/>
      <c r="AX182" s="170"/>
      <c r="AY182" s="138"/>
    </row>
    <row r="183" spans="1:51" ht="15" customHeight="1">
      <c r="A183" s="124"/>
      <c r="B183" s="170"/>
      <c r="C183" s="170"/>
      <c r="D183" s="170"/>
      <c r="E183" s="170"/>
      <c r="F183" s="170"/>
      <c r="G183" s="170"/>
      <c r="H183" s="170"/>
      <c r="I183" s="170"/>
      <c r="J183" s="170"/>
      <c r="K183" s="170" t="s">
        <v>1992</v>
      </c>
      <c r="N183" s="170"/>
      <c r="O183" s="170"/>
      <c r="P183" s="170"/>
      <c r="Q183" s="170"/>
      <c r="R183" s="170"/>
      <c r="S183" s="170"/>
      <c r="T183" s="170"/>
      <c r="U183" s="170"/>
      <c r="V183" s="170"/>
      <c r="W183" s="170"/>
      <c r="X183" s="170"/>
      <c r="Y183" s="170"/>
      <c r="Z183" s="170"/>
      <c r="AA183" s="170"/>
      <c r="AB183" s="280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115"/>
      <c r="AS183" s="115"/>
      <c r="AT183" s="115"/>
      <c r="AU183" s="115"/>
      <c r="AV183" s="115"/>
      <c r="AW183" s="170"/>
      <c r="AX183" s="170"/>
      <c r="AY183" s="138"/>
    </row>
    <row r="184" spans="1:51" ht="15" customHeight="1">
      <c r="A184" s="124"/>
      <c r="B184" s="170"/>
      <c r="C184" s="170"/>
      <c r="D184" s="170"/>
      <c r="E184" s="170"/>
      <c r="F184" s="170"/>
      <c r="G184" s="170"/>
      <c r="H184" s="170"/>
      <c r="I184" s="170"/>
      <c r="J184" s="170"/>
      <c r="K184" s="170" t="s">
        <v>1985</v>
      </c>
      <c r="N184" s="170"/>
      <c r="O184" s="170"/>
      <c r="P184" s="170"/>
      <c r="Q184" s="170"/>
      <c r="R184" s="170"/>
      <c r="S184" s="170"/>
      <c r="T184" s="170"/>
      <c r="U184" s="170"/>
      <c r="V184" s="170"/>
      <c r="W184" s="170"/>
      <c r="X184" s="170"/>
      <c r="Y184" s="170"/>
      <c r="Z184" s="170"/>
      <c r="AA184" s="170"/>
      <c r="AB184" s="280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115"/>
      <c r="AS184" s="115"/>
      <c r="AT184" s="115"/>
      <c r="AU184" s="115"/>
      <c r="AV184" s="115"/>
      <c r="AW184" s="170"/>
      <c r="AX184" s="170"/>
      <c r="AY184" s="138"/>
    </row>
    <row r="185" spans="1:51" ht="15" customHeight="1">
      <c r="A185" s="124"/>
      <c r="B185" s="170"/>
      <c r="C185" s="170"/>
      <c r="D185" s="170"/>
      <c r="E185" s="170"/>
      <c r="F185" s="170"/>
      <c r="G185" s="170"/>
      <c r="H185" s="170"/>
      <c r="I185" s="170"/>
      <c r="J185" s="170"/>
      <c r="K185" s="170"/>
      <c r="L185" s="170" t="s">
        <v>1720</v>
      </c>
      <c r="M185" s="170"/>
      <c r="O185" s="170"/>
      <c r="P185" s="170"/>
      <c r="Q185" s="170"/>
      <c r="R185" s="170"/>
      <c r="S185" s="170"/>
      <c r="T185" s="170"/>
      <c r="U185" s="170"/>
      <c r="V185" s="170"/>
      <c r="W185" s="170"/>
      <c r="X185" s="170"/>
      <c r="Y185" s="170"/>
      <c r="Z185" s="170"/>
      <c r="AA185" s="170"/>
      <c r="AB185" s="280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115"/>
      <c r="AS185" s="115"/>
      <c r="AT185" s="115"/>
      <c r="AU185" s="115"/>
      <c r="AV185" s="115"/>
      <c r="AW185" s="170"/>
      <c r="AX185" s="170"/>
      <c r="AY185" s="138"/>
    </row>
    <row r="186" spans="1:51" ht="15" customHeight="1">
      <c r="A186" s="261"/>
      <c r="B186" s="145"/>
      <c r="C186" s="145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  <c r="N186" s="145"/>
      <c r="O186" s="170"/>
      <c r="P186" s="170"/>
      <c r="Q186" s="170"/>
      <c r="R186" s="170"/>
      <c r="S186" s="170"/>
      <c r="T186" s="170"/>
      <c r="U186" s="170"/>
      <c r="V186" s="170"/>
      <c r="W186" s="170"/>
      <c r="X186" s="170"/>
      <c r="Y186" s="170"/>
      <c r="Z186" s="170"/>
      <c r="AA186" s="170"/>
      <c r="AB186" s="280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115"/>
      <c r="AS186" s="115"/>
      <c r="AT186" s="115"/>
      <c r="AU186" s="115"/>
      <c r="AV186" s="115"/>
      <c r="AW186" s="170"/>
      <c r="AX186" s="170"/>
      <c r="AY186" s="138"/>
    </row>
    <row r="187" spans="1:51" ht="15" customHeight="1">
      <c r="A187" s="124" t="s">
        <v>613</v>
      </c>
      <c r="B187" s="170" t="s">
        <v>501</v>
      </c>
      <c r="C187" s="170"/>
      <c r="D187" s="170"/>
      <c r="E187" s="170"/>
      <c r="F187" s="170"/>
      <c r="H187" s="170"/>
      <c r="I187" s="170"/>
      <c r="J187" s="170"/>
      <c r="K187" s="170" t="s">
        <v>603</v>
      </c>
      <c r="N187" s="170"/>
      <c r="O187" s="170"/>
      <c r="P187" s="170"/>
      <c r="Q187" s="170"/>
      <c r="R187" s="170"/>
      <c r="S187" s="170"/>
      <c r="T187" s="170"/>
      <c r="U187" s="170"/>
      <c r="V187" s="170"/>
      <c r="W187" s="170"/>
      <c r="X187" s="170"/>
      <c r="Y187" s="170"/>
      <c r="Z187" s="170"/>
      <c r="AA187" s="170"/>
      <c r="AB187" s="280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115"/>
      <c r="AS187" s="115"/>
      <c r="AT187" s="115"/>
      <c r="AU187" s="115"/>
      <c r="AV187" s="115"/>
      <c r="AW187" s="170"/>
      <c r="AX187" s="170"/>
      <c r="AY187" s="138"/>
    </row>
    <row r="188" spans="1:51" ht="15" customHeight="1">
      <c r="A188" s="170" t="s">
        <v>1354</v>
      </c>
      <c r="B188" s="170"/>
      <c r="C188" s="170"/>
      <c r="D188" s="170"/>
      <c r="E188" s="170"/>
      <c r="F188" s="170"/>
      <c r="G188" s="170"/>
      <c r="H188" s="170"/>
      <c r="I188" s="170"/>
      <c r="J188" s="170"/>
      <c r="K188" s="170" t="s">
        <v>604</v>
      </c>
      <c r="N188" s="170"/>
      <c r="O188" s="170"/>
      <c r="P188" s="170"/>
      <c r="Q188" s="170"/>
      <c r="R188" s="170"/>
      <c r="S188" s="170"/>
      <c r="T188" s="170"/>
      <c r="U188" s="170"/>
      <c r="V188" s="170"/>
      <c r="W188" s="170"/>
      <c r="X188" s="170"/>
      <c r="Y188" s="170"/>
      <c r="Z188" s="170"/>
      <c r="AA188" s="170"/>
      <c r="AB188" s="280"/>
      <c r="AF188" s="638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115"/>
      <c r="AS188" s="115"/>
      <c r="AT188" s="115"/>
      <c r="AU188" s="115"/>
      <c r="AV188" s="115"/>
      <c r="AW188" s="170"/>
      <c r="AX188" s="170"/>
      <c r="AY188" s="138"/>
    </row>
    <row r="189" spans="1:51" ht="15" customHeight="1">
      <c r="A189" s="124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 t="s">
        <v>1981</v>
      </c>
      <c r="N189" s="170"/>
      <c r="O189" s="170"/>
      <c r="P189" s="170"/>
      <c r="Q189" s="170"/>
      <c r="R189" s="170"/>
      <c r="S189" s="170"/>
      <c r="T189" s="170"/>
      <c r="U189" s="170"/>
      <c r="V189" s="170"/>
      <c r="W189" s="170"/>
      <c r="X189" s="170"/>
      <c r="Y189" s="170"/>
      <c r="Z189" s="170"/>
      <c r="AA189" s="170"/>
      <c r="AB189" s="280"/>
      <c r="AF189" s="638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115"/>
      <c r="AS189" s="115"/>
      <c r="AT189" s="115"/>
      <c r="AU189" s="115"/>
      <c r="AV189" s="115"/>
      <c r="AW189" s="170"/>
      <c r="AX189" s="170"/>
      <c r="AY189" s="138"/>
    </row>
    <row r="190" spans="1:51" ht="15" customHeight="1">
      <c r="A190" s="124"/>
      <c r="B190" s="170"/>
      <c r="C190" s="170"/>
      <c r="D190" s="170"/>
      <c r="E190" s="170"/>
      <c r="F190" s="170"/>
      <c r="G190" s="170"/>
      <c r="H190" s="170"/>
      <c r="I190" s="170"/>
      <c r="J190" s="170"/>
      <c r="K190" s="170" t="s">
        <v>1992</v>
      </c>
      <c r="N190" s="170"/>
      <c r="O190" s="170"/>
      <c r="P190" s="170"/>
      <c r="Q190" s="170"/>
      <c r="R190" s="170"/>
      <c r="S190" s="170"/>
      <c r="T190" s="170"/>
      <c r="U190" s="170"/>
      <c r="V190" s="170"/>
      <c r="W190" s="170"/>
      <c r="X190" s="170"/>
      <c r="Y190" s="170"/>
      <c r="Z190" s="170"/>
      <c r="AA190" s="170"/>
      <c r="AB190" s="280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115"/>
      <c r="AS190" s="115"/>
      <c r="AT190" s="115"/>
      <c r="AU190" s="115"/>
      <c r="AV190" s="115"/>
      <c r="AW190" s="170"/>
      <c r="AX190" s="170"/>
      <c r="AY190" s="138"/>
    </row>
    <row r="191" spans="1:51" ht="15" customHeight="1">
      <c r="A191" s="124"/>
      <c r="B191" s="170"/>
      <c r="C191" s="170"/>
      <c r="D191" s="170"/>
      <c r="E191" s="170"/>
      <c r="F191" s="170"/>
      <c r="G191" s="170"/>
      <c r="H191" s="170"/>
      <c r="I191" s="170"/>
      <c r="J191" s="170"/>
      <c r="K191" s="170" t="s">
        <v>1985</v>
      </c>
      <c r="N191" s="170"/>
      <c r="O191" s="170"/>
      <c r="P191" s="170"/>
      <c r="Q191" s="170"/>
      <c r="R191" s="170"/>
      <c r="S191" s="170"/>
      <c r="T191" s="170"/>
      <c r="U191" s="170"/>
      <c r="V191" s="170"/>
      <c r="W191" s="170"/>
      <c r="X191" s="170"/>
      <c r="Y191" s="170"/>
      <c r="Z191" s="170"/>
      <c r="AA191" s="170"/>
      <c r="AB191" s="280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115"/>
      <c r="AS191" s="115"/>
      <c r="AT191" s="115"/>
      <c r="AU191" s="115"/>
      <c r="AV191" s="115"/>
      <c r="AW191" s="170"/>
      <c r="AX191" s="170"/>
      <c r="AY191" s="138"/>
    </row>
    <row r="192" spans="1:51" ht="15" customHeight="1">
      <c r="A192" s="124"/>
      <c r="B192" s="170"/>
      <c r="C192" s="170"/>
      <c r="D192" s="170"/>
      <c r="E192" s="170"/>
      <c r="F192" s="170"/>
      <c r="G192" s="170"/>
      <c r="H192" s="170"/>
      <c r="I192" s="170"/>
      <c r="J192" s="170"/>
      <c r="K192" s="170" t="s">
        <v>2007</v>
      </c>
      <c r="N192" s="170"/>
      <c r="O192" s="170"/>
      <c r="P192" s="170"/>
      <c r="Q192" s="170"/>
      <c r="R192" s="170"/>
      <c r="S192" s="170"/>
      <c r="T192" s="170"/>
      <c r="U192" s="170"/>
      <c r="V192" s="170"/>
      <c r="W192" s="170"/>
      <c r="X192" s="170"/>
      <c r="Y192" s="170"/>
      <c r="Z192" s="170"/>
      <c r="AA192" s="170"/>
      <c r="AB192" s="280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115"/>
      <c r="AS192" s="115"/>
      <c r="AT192" s="115"/>
      <c r="AU192" s="115"/>
      <c r="AV192" s="115"/>
      <c r="AW192" s="170"/>
      <c r="AX192" s="170"/>
      <c r="AY192" s="138"/>
    </row>
    <row r="193" spans="1:53" ht="15" customHeight="1">
      <c r="A193" s="124"/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L193" s="170" t="s">
        <v>1720</v>
      </c>
      <c r="N193" s="170"/>
      <c r="O193" s="170"/>
      <c r="P193" s="170"/>
      <c r="Q193" s="170"/>
      <c r="R193" s="170"/>
      <c r="S193" s="170"/>
      <c r="T193" s="170"/>
      <c r="U193" s="170"/>
      <c r="V193" s="170"/>
      <c r="W193" s="170"/>
      <c r="X193" s="170"/>
      <c r="Y193" s="170"/>
      <c r="Z193" s="170"/>
      <c r="AA193" s="170"/>
      <c r="AB193" s="280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115"/>
      <c r="AS193" s="115"/>
      <c r="AT193" s="115"/>
      <c r="AU193" s="115"/>
      <c r="AV193" s="115"/>
      <c r="AW193" s="170"/>
      <c r="AX193" s="170"/>
      <c r="AY193" s="138"/>
    </row>
    <row r="194" spans="1:53" ht="15" customHeight="1">
      <c r="A194" s="261"/>
      <c r="B194" s="145"/>
      <c r="C194" s="145"/>
      <c r="D194" s="145"/>
      <c r="E194" s="145"/>
      <c r="F194" s="145"/>
      <c r="G194" s="145"/>
      <c r="H194" s="145"/>
      <c r="I194" s="145"/>
      <c r="J194" s="145"/>
      <c r="K194" s="145"/>
      <c r="L194" s="145"/>
      <c r="M194" s="145"/>
      <c r="N194" s="145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280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115"/>
      <c r="AS194" s="115"/>
      <c r="AT194" s="115"/>
      <c r="AU194" s="115"/>
      <c r="AV194" s="115"/>
      <c r="AW194" s="170"/>
      <c r="AX194" s="170"/>
      <c r="AY194" s="138"/>
    </row>
    <row r="195" spans="1:53" ht="15" customHeight="1">
      <c r="A195" s="124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0"/>
      <c r="V195" s="170"/>
      <c r="W195" s="170"/>
      <c r="X195" s="170"/>
      <c r="Y195" s="170"/>
      <c r="Z195" s="170"/>
      <c r="AA195" s="170"/>
      <c r="AB195" s="886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115"/>
      <c r="AS195" s="115"/>
      <c r="AT195" s="115"/>
      <c r="AU195" s="115"/>
      <c r="AV195" s="115"/>
      <c r="AW195" s="170"/>
      <c r="AX195" s="170"/>
      <c r="AY195" s="138"/>
    </row>
    <row r="196" spans="1:53" ht="15" customHeight="1">
      <c r="A196" s="124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886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115"/>
      <c r="AS196" s="115"/>
      <c r="AT196" s="115"/>
      <c r="AU196" s="115"/>
      <c r="AV196" s="115"/>
      <c r="AW196" s="170"/>
      <c r="AX196" s="170"/>
      <c r="AY196" s="138"/>
    </row>
    <row r="197" spans="1:53" ht="15" customHeight="1" thickBot="1">
      <c r="A197" s="445" t="s">
        <v>1630</v>
      </c>
      <c r="B197" s="170"/>
      <c r="G197" s="4"/>
      <c r="H197" s="4"/>
      <c r="I197" s="4"/>
      <c r="AB197" s="143"/>
      <c r="AE197" s="73"/>
    </row>
    <row r="198" spans="1:53" ht="15" customHeight="1">
      <c r="A198" s="535" t="s">
        <v>16</v>
      </c>
      <c r="B198" s="536" t="s">
        <v>154</v>
      </c>
      <c r="C198" s="536" t="s">
        <v>155</v>
      </c>
      <c r="D198" s="536" t="s">
        <v>156</v>
      </c>
      <c r="E198" s="536" t="s">
        <v>157</v>
      </c>
      <c r="F198" s="536" t="s">
        <v>1357</v>
      </c>
      <c r="G198" s="536" t="s">
        <v>1358</v>
      </c>
      <c r="H198" s="536" t="s">
        <v>227</v>
      </c>
      <c r="I198" s="536" t="s">
        <v>228</v>
      </c>
      <c r="J198" s="536" t="s">
        <v>1731</v>
      </c>
      <c r="K198" s="536" t="s">
        <v>229</v>
      </c>
      <c r="L198" s="536" t="s">
        <v>527</v>
      </c>
      <c r="M198" s="536" t="s">
        <v>472</v>
      </c>
      <c r="N198" s="478" t="s">
        <v>473</v>
      </c>
      <c r="Q198" s="257"/>
      <c r="S198" s="73"/>
      <c r="T198" s="73" t="s">
        <v>620</v>
      </c>
      <c r="U198" s="73"/>
      <c r="V198" s="73"/>
      <c r="W198" s="73"/>
      <c r="X198" s="73"/>
      <c r="Y198" s="73"/>
      <c r="Z198" s="73"/>
      <c r="AA198" s="73"/>
      <c r="AB198" s="73"/>
      <c r="AC198" s="73"/>
      <c r="AE198" s="73"/>
      <c r="AG198" s="143"/>
      <c r="AH198" s="143" t="s">
        <v>474</v>
      </c>
      <c r="AI198" s="143"/>
      <c r="AJ198" s="143"/>
      <c r="AK198" s="143"/>
      <c r="AL198" s="143"/>
      <c r="AM198" s="143"/>
      <c r="AN198" s="143"/>
      <c r="AO198" s="143"/>
      <c r="AP198" s="143"/>
      <c r="AQ198" s="143"/>
      <c r="AT198" s="143" t="s">
        <v>621</v>
      </c>
    </row>
    <row r="199" spans="1:53" ht="15" customHeight="1">
      <c r="A199" s="537"/>
      <c r="B199" s="262"/>
      <c r="C199" s="262"/>
      <c r="D199" s="262"/>
      <c r="E199" s="262"/>
      <c r="F199" s="262"/>
      <c r="G199" s="262"/>
      <c r="H199" s="262"/>
      <c r="I199" s="262"/>
      <c r="J199" s="262"/>
      <c r="K199" s="262"/>
      <c r="L199" s="262" t="s">
        <v>471</v>
      </c>
      <c r="M199" s="262"/>
      <c r="N199" s="481"/>
      <c r="Q199" s="73">
        <v>1</v>
      </c>
      <c r="R199" s="638" t="s">
        <v>616</v>
      </c>
      <c r="S199" s="73">
        <v>2</v>
      </c>
      <c r="T199" s="73">
        <v>3</v>
      </c>
      <c r="U199" s="73">
        <v>4</v>
      </c>
      <c r="V199" s="73">
        <v>5</v>
      </c>
      <c r="W199" s="73">
        <v>6</v>
      </c>
      <c r="X199" s="73">
        <v>7</v>
      </c>
      <c r="Y199" s="638" t="s">
        <v>617</v>
      </c>
      <c r="Z199" s="638" t="s">
        <v>618</v>
      </c>
      <c r="AA199" s="638">
        <v>8</v>
      </c>
      <c r="AB199" s="638" t="s">
        <v>619</v>
      </c>
      <c r="AC199" s="287">
        <v>9</v>
      </c>
      <c r="AD199" s="143" t="s">
        <v>464</v>
      </c>
      <c r="AE199" s="143" t="s">
        <v>465</v>
      </c>
      <c r="AF199" s="143" t="s">
        <v>466</v>
      </c>
      <c r="AG199" s="143" t="s">
        <v>467</v>
      </c>
      <c r="AH199" s="143" t="s">
        <v>1733</v>
      </c>
      <c r="AI199" s="143" t="s">
        <v>1734</v>
      </c>
      <c r="AJ199" s="143" t="s">
        <v>468</v>
      </c>
      <c r="AK199" s="143" t="s">
        <v>469</v>
      </c>
      <c r="AL199" s="143" t="s">
        <v>470</v>
      </c>
      <c r="AM199" s="143" t="s">
        <v>1732</v>
      </c>
      <c r="AN199" s="143">
        <v>1</v>
      </c>
      <c r="AO199" s="287" t="s">
        <v>616</v>
      </c>
      <c r="AP199" s="143">
        <v>2</v>
      </c>
      <c r="AQ199" s="143">
        <v>3</v>
      </c>
      <c r="AR199" s="143">
        <v>4</v>
      </c>
      <c r="AS199" s="143">
        <v>5</v>
      </c>
      <c r="AT199" s="143">
        <v>6</v>
      </c>
      <c r="AU199" s="143">
        <v>7</v>
      </c>
      <c r="AV199" s="287" t="s">
        <v>617</v>
      </c>
      <c r="AW199" s="287" t="s">
        <v>618</v>
      </c>
      <c r="AX199" s="287">
        <v>8</v>
      </c>
      <c r="AY199" s="287" t="s">
        <v>619</v>
      </c>
      <c r="AZ199" s="287">
        <v>9</v>
      </c>
    </row>
    <row r="200" spans="1:53" ht="15" customHeight="1">
      <c r="A200" s="579" t="str">
        <f>+input!B3</f>
        <v>101i</v>
      </c>
      <c r="B200" s="642">
        <f>+input!J3*input!K3*input!BJ3/1000</f>
        <v>8846.4</v>
      </c>
      <c r="C200" s="642">
        <f>+input!BQ3*input!N3*2*input!BK3/1000</f>
        <v>22324.391705038681</v>
      </c>
      <c r="D200" s="642">
        <f>+input!F3*input!G3*input!H3*input!BI3/1000</f>
        <v>8360</v>
      </c>
      <c r="E200" s="642">
        <f>0.85*Fck*input!P3*input!Q3/1000</f>
        <v>47019.875</v>
      </c>
      <c r="F200" s="642">
        <f>input!AD3*input!AE3*input!AF3*input!BN3/1000</f>
        <v>1945.6</v>
      </c>
      <c r="G200" s="642">
        <f>input!AG3*input!AH3*input!AI3*input!BM3/1000</f>
        <v>0</v>
      </c>
      <c r="H200" s="642">
        <f>input!CB3*Fys/1000</f>
        <v>2171.4688421612645</v>
      </c>
      <c r="I200" s="642">
        <f>input!BZ3*Fys/1000</f>
        <v>3062.1103594539709</v>
      </c>
      <c r="J200" s="642">
        <f>input!AC3*Fys/1000</f>
        <v>0</v>
      </c>
      <c r="K200" s="642">
        <f>input!BT3*0.85*Fckb/1000</f>
        <v>0</v>
      </c>
      <c r="L200" s="795">
        <f>IF(Stress!F832&lt;=0,IF(B200+F200+(input!M3-2*input!AH3)/input!M3*C200+J200&gt;=G200+D200+E200+H200+I200,1,IF(B200+F200+C200+G200+J200&gt;=D200+E200+H200+I200,"a",IF(B200+F200+C200+G200+D200+J200&gt;=E200+H200+I200,2,IF(B200+F200+C200+G200+D200+J200&gt;=(input!P3-input!AB3)/input!P3*E200+H200+I200,3,IF(B200+F200+C200+G200+D200+H200+J200&gt;=(input!P3-input!AB3)/input!P3*E200+I200,4,IF(B200+F200+C200+G200+D200+H200+J200&gt;=input!Y3/input!P3*E200+I200,5,IF(B200+F200+C200+G200+D200+H200+I200+J200&gt;=input!Y3/input!P3*E200,6,7))))))),IF(B200+F200+IF(input!O3=0,0,input!AE3/input!O3)*K200+input!AE3/input!M3*C200&gt;=(input!M3-input!AE3)*C200/input!M3+G200+D200+H200+I200,"b",IF(B200+F200+K200+input!O3/input!M3*C200&gt;=(input!M3-input!O3)/input!M3*C200+G200+D200+H200+I200,"c",IF(B200+F200+J200+K200+(input!M3-input!AH3)/input!M3*C200&gt;=G200+D200+H200+I200,8,IF(B200+F200+J200+K200+C200+G200&gt;=D200+H200+I200,"d",9)))))</f>
        <v>8</v>
      </c>
      <c r="M200" s="643">
        <f t="shared" ref="M200:M231" si="0">INDEX($Q$200:$AC$261,(ROW(L200)-ROW($L$200)+1),MATCH(L200,$Q$199:$AC$199,0))</f>
        <v>1136.8576841769991</v>
      </c>
      <c r="N200" s="493">
        <f t="shared" ref="N200:N231" si="1">INDEX($AN$200:$AZ$261,(ROW(L200)-ROW($L$200)+1),MATCH(L200,$AN$199:$AZ$199,0))/1000</f>
        <v>46794.735150873828</v>
      </c>
      <c r="O200" s="766"/>
      <c r="Q200" s="73">
        <f>input!M3/2*((B200+F200+J200-G200-D200-E200-H200-I200)/C200+1)</f>
        <v>-1601.2163609134986</v>
      </c>
      <c r="R200" s="73">
        <f>(B200+F200+J200+C200+G200-D200-E200-H200-I200)/(2/input!M3*C200+IF(input!AH3=0,0,2/input!AH3)*G200)</f>
        <v>-1601.2163609134982</v>
      </c>
      <c r="S200" s="73">
        <f>input!H3/2*(B200+F200+J200+C200+G200-E200-H200-I200+D200)/D200</f>
        <v>-14.180345390232308</v>
      </c>
      <c r="T200" s="558">
        <f>input!P3*(B200+F200+J200+C200+G200+D200-H200-I200)/E200</f>
        <v>223.53133916227546</v>
      </c>
      <c r="U200" s="73">
        <f>input!P3-input!AB3</f>
        <v>250</v>
      </c>
      <c r="V200" s="558">
        <f>input!P3*(B200+F200+J200+C200+G200+D200+H200-I200)/E200</f>
        <v>250.31686184717276</v>
      </c>
      <c r="W200" s="73">
        <f>input!Y3</f>
        <v>50</v>
      </c>
      <c r="X200" s="558">
        <f>input!P3*(B200+F200+J200+C200+G200+D200+H200+I200)/E200</f>
        <v>288.08863407079747</v>
      </c>
      <c r="Y200" s="73">
        <f>(B200+C200+IF(input!O3=0,0,input!M3/input!O3)*K200+(IF(input!AE3=0,0,2*input!M3/input!AE3)-1)*F200-D200-G200-H200-I200)/(IF(input!AE3=0,0,2/input!AE3)*F200+IF(input!O3=0,0,1/input!O3)*K200+2/input!M3*C200)</f>
        <v>1900.6665137893986</v>
      </c>
      <c r="Z200" s="73">
        <f>(B200+C200+F200+IF(input!O3=0,0,input!M3/input!O3)*K200-D200-G200-H200-I200)/(IF(input!O3=0,0,1/input!O3)*K200+2/input!M3*C200)</f>
        <v>1136.8576841769989</v>
      </c>
      <c r="AA200" s="73">
        <f>input!M3/2*(B200+F200+J200+K200-G200-D200-H200-I200+C200)/C200</f>
        <v>1136.8576841769991</v>
      </c>
      <c r="AB200" s="73">
        <f>(B200+F200+J200+K200+G200+C200-D200-H200-I200)/(IF(input!AH3=0,0,2/input!AH3)*G200+2/input!M3*C200)</f>
        <v>1136.8576841769989</v>
      </c>
      <c r="AC200" s="143">
        <f>input!H3/2*(B200+F200+K200+G200+C200-H200-I200+D200+J200)/D200</f>
        <v>47.687911188715056</v>
      </c>
      <c r="AD200" s="165">
        <f>IF(OR(L200=1,L200=8,L200="a",L200="b",L200="c",L200="d"),input!M3-M200+input!K3/2,IF(OR(L200=2,L200=9),input!H3-M200+input!M3+input!K3/2,input!R3+input!P3-M200+input!M3+input!K3/2))</f>
        <v>1469.1423158230009</v>
      </c>
      <c r="AE200" s="143">
        <f>IF(OR(L200=1,L200=8,L200="a",L200="b",L200="c",L200="d"),ABS(input!M3/2-M200),IF(OR(L200=2,L200=9),input!H3-M200+input!M3/2,input!R3+input!P3-M200+input!M3/2))</f>
        <v>163.1423158230009</v>
      </c>
      <c r="AF200" s="143">
        <f>IF(OR(L200=1,L200=8,L200="a",L200="b",L200="c",L200="d"),M200+input!H3/2,IF(OR(L200=2,L200=9),ABS(input!H3/2-M200),input!R3+input!P3-M200-input!H3/2))</f>
        <v>1147.8576841769991</v>
      </c>
      <c r="AG200" s="143">
        <f>IF(OR(L200=1,L200=8,L200="a",L200="b",L200="c",L200="d"),input!R3+input!P3/2+M200,IF(OR(L200=2,L200=9),input!R3+input!P3/2-input!H3+M200,ABS(input!P3/2-M200)))</f>
        <v>1281.8576841769991</v>
      </c>
      <c r="AH200" s="143">
        <f>IF(OR(L200=1,L200=8,L200="a",L200="b",L200="c",L200="d"),input!M3-M200-input!AE3/2,IF(OR(L200=2,L200=9),input!H3-M200+input!M3-input!AE3/2,input!R3+input!P3-M200+input!M3-input!AE3/2))</f>
        <v>1383.1423158230009</v>
      </c>
      <c r="AI200" s="143">
        <f>IF(OR(L200=1,L200=8,L200="a",L200="b",L200="c",L200="d"),M200-input!AH3/2,IF(OR(L200=2,L200=9),input!H3-M200+input!AH3/2,input!R3+input!P3-M200+input!AH3/2))</f>
        <v>1136.8576841769991</v>
      </c>
      <c r="AJ200" s="143">
        <f>IF(OR(L200=1,L200=8,L200="a",L200="b",L200="c",L200="d"),M200+input!R3+input!AB3,IF(OR(L200=2,L200=9),input!R3+input!AB3-input!H3+M200,IF(L200=3,input!AB3-(input!P3-M200),ABS(input!P3-input!AB3-M200))))</f>
        <v>1176.8576841769991</v>
      </c>
      <c r="AK200" s="143">
        <f>IF(OR(L200=1,L200=8,L200="a",L200="b",L200="c",L200="d"),M200+input!R3+input!P3-input!Y3,IF(OR(L200=2,L200=9),input!R3+input!P3-input!Y3-input!H3+M200,ABS(input!Y3-M200)))</f>
        <v>1376.8576841769991</v>
      </c>
      <c r="AL200" s="143">
        <f>IF(OR(L200=1,L200=8,L200="a",L200="b",L200="c",L200="d"),input!M3-M200-input!O3/2,IF(OR(L200=2,L200=9),input!H3-M200+input!M3-input!O3/2,0))</f>
        <v>1463.1423158230009</v>
      </c>
      <c r="AM200" s="143">
        <f>IF(OR(L200=1,L200=8,L200="a",L200="b",L200="c",L200="d"),input!M3-M200-input!O3/2,IF(OR(L200=2,L200=9),input!H3-M200+input!M3-input!O3/2,input!R3+input!P3-M200+input!M3-input!O3/2))</f>
        <v>1463.1423158230009</v>
      </c>
      <c r="AN200" s="143">
        <f>C200/2/input!M3*(M200^2+(input!M3-M200)^2)+B200*AD200+D200*AF200+E200*AG200+F200*AH200+G200*AI200+H200*AJ200+I200*AK200+J200*AM200</f>
        <v>107067523.22866578</v>
      </c>
      <c r="AO200" s="143">
        <f>IF(input!AH3=0,0,1/2/input!AH3)*G200*(M200^2+(input!AH3-M200)^2)+D200*AF200+F200*AH200+C200/2/input!M3*(M200^2+(input!M3-M200)^2)+B200*AD200+E200*AG200+H200*AJ200+I200*AK200+J200*AM200</f>
        <v>107067523.22866578</v>
      </c>
      <c r="AP200" s="143">
        <f>+D200/2/input!H3*(M200^2+(input!H3-M200)^2)+B200*AD200+F200*AH200+G200*AI200+C200*AE200+E200*AG200+H200*AJ200+I200*AK200+J200*AM200</f>
        <v>568091182.7910645</v>
      </c>
      <c r="AQ200" s="143">
        <f>+(M200^2)/2/input!P3*E200+D200*AF200+F200*AH200+G200*AI200+C200*AE200+B200*AD200+H200*AJ200+I200*AK200+J200*AM200</f>
        <v>140474337.98593986</v>
      </c>
      <c r="AR200" s="143">
        <f>+(M200^2)/2/input!P3*E200+D200*AF200+F200*AH200+G200*AI200+C200*AE200+B200*AD200+I200*AK200+J200*AM200</f>
        <v>137918828.19309145</v>
      </c>
      <c r="AS200" s="143">
        <f>+(M200^2)/2/input!P3*E200+D200*AF200+F200*AH200+G200*AI200+C200*AE200+B200*AD200+H200*AJ200+I200*AK200+J200*AM200</f>
        <v>140474337.98593986</v>
      </c>
      <c r="AT200" s="143">
        <f>+(M200^2)/2/input!P3*E200+D200*AF200+F200*AH200+G200*AI200+C200*AE200+B200*AD200+H200*AJ200+J200*AM200</f>
        <v>136258247.80772766</v>
      </c>
      <c r="AU200" s="143">
        <f>+(M200^2)/2/input!P3*E200+D200*AF200+F200*AH200+G200*AI200+C200*AE200+B200*AD200+H200*AJ200+I200*AK200+J200*AM200</f>
        <v>140474337.98593986</v>
      </c>
      <c r="AV200" s="143">
        <f>IF(input!AE3=0,0,1/2/input!AE3)*F200*((input!M3-M200)^2+(input!AE3-input!M3+M200)^2)+C200/2/input!M3*(M200^2+(M200-input!M3)^2)+IF(input!O3=0,0,1/2/input!O3)*K200*(input!M3-M200)^2+B200*AD200+G200*AI200+D200*AF200+H200*AJ200+I200*AK200+J200*AM200</f>
        <v>67444602.677582383</v>
      </c>
      <c r="AW200" s="143">
        <f>+C200/2/input!M3*(M200^2+(M200-input!M3)^2)+IF(input!O3=0,0,1/2/input!O3)*K200*(input!M3-M200)^2+B200*AD200+F200*AH200+G200*AI200+D200*AF200+H200*AJ200+I200*AK200+J200*AM200</f>
        <v>46794735.150873825</v>
      </c>
      <c r="AX200" s="143">
        <f>C200/2/input!M3*(M200^2+(M200-input!M3)^2)+K200*AL200+B200*AD200+F200*AH200+G200*AI200+D200*AF200+H200*AJ200+I200*AK200+J200*AM200</f>
        <v>46794735.150873825</v>
      </c>
      <c r="AY200" s="143">
        <f>C200/2/input!M3*(M200^2+(M200-input!M3)^2)+IF(input!AH3=0,0,1/2/input!AH3)*G200*(M200^2+(input!AH3-M200)^2)+K200*AL200+B200*AD200+F200*AH200+D200*AF200+H200*AJ200+I200*AK200+J200*AM200</f>
        <v>46794735.150873825</v>
      </c>
      <c r="AZ200" s="143">
        <f>D200/2/input!H3*(M200^2+(input!H3-M200)^2)+B200*AD200+K200*AL200+F200*AH200+C200*AE200+G200*AI200+H200*AJ200+I200*AK200+J200*AM200</f>
        <v>507818394.71327251</v>
      </c>
      <c r="BA200" s="185"/>
    </row>
    <row r="201" spans="1:53" ht="15" customHeight="1">
      <c r="A201" s="579" t="str">
        <f>+input!B4</f>
        <v>101j</v>
      </c>
      <c r="B201" s="642">
        <f>+input!J4*input!K4*input!BJ4/1000</f>
        <v>8846.4</v>
      </c>
      <c r="C201" s="642">
        <f>+input!BQ4*input!N4*2*input!BK4/1000</f>
        <v>22324.391705038681</v>
      </c>
      <c r="D201" s="642">
        <f>+input!F4*input!G4*input!H4*input!BI4/1000</f>
        <v>8360</v>
      </c>
      <c r="E201" s="642">
        <f>0.85*Fck*input!P4*input!Q4/1000</f>
        <v>47019.875</v>
      </c>
      <c r="F201" s="642">
        <f>input!AD4*input!AE4*input!AF4*input!BN4/1000</f>
        <v>1945.6</v>
      </c>
      <c r="G201" s="642">
        <f>input!AG4*input!AH4*input!AI4*input!BM4/1000</f>
        <v>0</v>
      </c>
      <c r="H201" s="642">
        <f>input!CB4*Fys/1000</f>
        <v>2171.4688421612645</v>
      </c>
      <c r="I201" s="642">
        <f>input!BZ4*Fys/1000</f>
        <v>3062.1103594539709</v>
      </c>
      <c r="J201" s="642">
        <f>input!AC4*Fys/1000</f>
        <v>0</v>
      </c>
      <c r="K201" s="642">
        <f>input!BT4*0.85*Fckb/1000</f>
        <v>0</v>
      </c>
      <c r="L201" s="795">
        <f>IF(Stress!F833&lt;=0,IF(B201+F201+(input!M4-2*input!AH4)/input!M4*C201+J201&gt;=G201+D201+E201+H201+I201,1,IF(B201+F201+C201+G201+J201&gt;=D201+E201+H201+I201,"a",IF(B201+F201+C201+G201+D201+J201&gt;=E201+H201+I201,2,IF(B201+F201+C201+G201+D201+J201&gt;=(input!P4-input!AB4)/input!P4*E201+H201+I201,3,IF(B201+F201+C201+G201+D201+H201+J201&gt;=(input!P4-input!AB4)/input!P4*E201+I201,4,IF(B201+F201+C201+G201+D201+H201+J201&gt;=input!Y4/input!P4*E201+I201,5,IF(B201+F201+C201+G201+D201+H201+I201+J201&gt;=input!Y4/input!P4*E201,6,7))))))),IF(B201+F201+IF(input!O4=0,0,input!AE4/input!O4)*K201+input!AE4/input!M4*C201&gt;=(input!M4-input!AE4)*C201/input!M4+G201+D201+H201+I201,"b",IF(B201+F201+K201+input!O4/input!M4*C201&gt;=(input!M4-input!O4)/input!M4*C201+G201+D201+H201+I201,"c",IF(B201+F201+J201+K201+(input!M4-input!AH4)/input!M4*C201&gt;=G201+D201+H201+I201,8,IF(B201+F201+J201+K201+C201+G201&gt;=D201+H201+I201,"d",9)))))</f>
        <v>8</v>
      </c>
      <c r="M201" s="643">
        <f t="shared" si="0"/>
        <v>1136.8576841769991</v>
      </c>
      <c r="N201" s="493">
        <f t="shared" si="1"/>
        <v>46794.735150873828</v>
      </c>
      <c r="O201" s="766"/>
      <c r="Q201" s="73">
        <f>input!M4/2*((B201+F201+J201-G201-D201-E201-H201-I201)/C201+1)</f>
        <v>-1601.2163609134986</v>
      </c>
      <c r="R201" s="73">
        <f>(B201+F201+J201+C201+G201-D201-E201-H201-I201)/(2/input!M4*C201+IF(input!AH4=0,0,2/input!AH4)*G201)</f>
        <v>-1601.2163609134982</v>
      </c>
      <c r="S201" s="73">
        <f>input!H4/2*(B201+F201+J201+C201+G201-E201-H201-I201+D201)/D201</f>
        <v>-14.180345390232308</v>
      </c>
      <c r="T201" s="558">
        <f>input!P4*(B201+F201+J201+C201+G201+D201-H201-I201)/E201</f>
        <v>223.53133916227546</v>
      </c>
      <c r="U201" s="73">
        <f>input!P4-input!AB4</f>
        <v>250</v>
      </c>
      <c r="V201" s="558">
        <f>input!P4*(B201+F201+J201+C201+G201+D201+H201-I201)/E201</f>
        <v>250.31686184717276</v>
      </c>
      <c r="W201" s="73">
        <f>input!Y4</f>
        <v>50</v>
      </c>
      <c r="X201" s="558">
        <f>input!P4*(B201+F201+J201+C201+G201+D201+H201+I201)/E201</f>
        <v>288.08863407079747</v>
      </c>
      <c r="Y201" s="73">
        <f>(B201+C201+IF(input!O4=0,0,input!M4/input!O4)*K201+(IF(input!AE4=0,0,2*input!M4/input!AE4)-1)*F201-D201-G201-H201-I201)/(IF(input!AE4=0,0,2/input!AE4)*F201+IF(input!O4=0,0,1/input!O4)*K201+2/input!M4*C201)</f>
        <v>1900.6665137893986</v>
      </c>
      <c r="Z201" s="73">
        <f>(B201+C201+F201+IF(input!O4=0,0,input!M4/input!O4)*K201-D201-G201-H201-I201)/(IF(input!O4=0,0,1/input!O4)*K201+2/input!M4*C201)</f>
        <v>1136.8576841769989</v>
      </c>
      <c r="AA201" s="73">
        <f>input!M4/2*(B201+F201+J201+K201-G201-D201-H201-I201+C201)/C201</f>
        <v>1136.8576841769991</v>
      </c>
      <c r="AB201" s="73">
        <f>(B201+F201+J201+K201+G201+C201-D201-H201-I201)/(IF(input!AH4=0,0,2/input!AH4)*G201+2/input!M4*C201)</f>
        <v>1136.8576841769989</v>
      </c>
      <c r="AC201" s="143">
        <f>input!H4/2*(B201+F201+K201+G201+C201-H201-I201+D201+J201)/D201</f>
        <v>47.687911188715056</v>
      </c>
      <c r="AD201" s="165">
        <f>IF(OR(L201=1,L201=8,L201="a",L201="b",L201="c",L201="d"),input!M4-M201+input!K4/2,IF(OR(L201=2,L201=9),input!H4-M201+input!M4+input!K4/2,input!R4+input!P4-M201+input!M4+input!K4/2))</f>
        <v>1469.1423158230009</v>
      </c>
      <c r="AE201" s="143">
        <f>IF(OR(L201=1,L201=8,L201="a",L201="b",L201="c",L201="d"),ABS(input!M4/2-M201),IF(OR(L201=2,L201=9),input!H4-M201+input!M4/2,input!R4+input!P4-M201+input!M4/2))</f>
        <v>163.1423158230009</v>
      </c>
      <c r="AF201" s="143">
        <f>IF(OR(L201=1,L201=8,L201="a",L201="b",L201="c",L201="d"),M201+input!H4/2,IF(OR(L201=2,L201=9),ABS(input!H4/2-M201),input!R4+input!P4-M201-input!H4/2))</f>
        <v>1147.8576841769991</v>
      </c>
      <c r="AG201" s="143">
        <f>IF(OR(L201=1,L201=8,L201="a",L201="b",L201="c",L201="d"),input!R4+input!P4/2+M201,IF(OR(L201=2,L201=9),input!R4+input!P4/2-input!H4+M201,ABS(input!P4/2-M201)))</f>
        <v>1281.8576841769991</v>
      </c>
      <c r="AH201" s="143">
        <f>IF(OR(L201=1,L201=8,L201="a",L201="b",L201="c",L201="d"),input!M4-M201-input!AE4/2,IF(OR(L201=2,L201=9),input!H4-M201+input!M4-input!AE4/2,input!R4+input!P4-M201+input!M4-input!AE4/2))</f>
        <v>1383.1423158230009</v>
      </c>
      <c r="AI201" s="143">
        <f>IF(OR(L201=1,L201=8,L201="a",L201="b",L201="c",L201="d"),M201-input!AH4/2,IF(OR(L201=2,L201=9),input!H4-M201+input!AH4/2,input!R4+input!P4-M201+input!AH4/2))</f>
        <v>1136.8576841769991</v>
      </c>
      <c r="AJ201" s="143">
        <f>IF(OR(L201=1,L201=8,L201="a",L201="b",L201="c",L201="d"),M201+input!R4+input!AB4,IF(OR(L201=2,L201=9),input!R4+input!AB4-input!H4+M201,IF(L201=3,input!AB4-(input!P4-M201),ABS(input!P4-input!AB4-M201))))</f>
        <v>1176.8576841769991</v>
      </c>
      <c r="AK201" s="143">
        <f>IF(OR(L201=1,L201=8,L201="a",L201="b",L201="c",L201="d"),M201+input!R4+input!P4-input!Y4,IF(OR(L201=2,L201=9),input!R4+input!P4-input!Y4-input!H4+M201,ABS(input!Y4-M201)))</f>
        <v>1376.8576841769991</v>
      </c>
      <c r="AL201" s="143">
        <f>IF(OR(L201=1,L201=8,L201="a",L201="b",L201="c",L201="d"),input!M4-M201-input!O4/2,IF(OR(L201=2,L201=9),input!H4-M201+input!M4-input!O4/2,0))</f>
        <v>1463.1423158230009</v>
      </c>
      <c r="AM201" s="143">
        <f>IF(OR(L201=1,L201=8,L201="a",L201="b",L201="c",L201="d"),input!M4-M201-input!O4/2,IF(OR(L201=2,L201=9),input!H4-M201+input!M4-input!O4/2,input!R4+input!P4-M201+input!M4-input!O4/2))</f>
        <v>1463.1423158230009</v>
      </c>
      <c r="AN201" s="143">
        <f>C201/2/input!M4*(M201^2+(input!M4-M201)^2)+B201*AD201+D201*AF201+E201*AG201+F201*AH201+G201*AI201+H201*AJ201+I201*AK201+J201*AM201</f>
        <v>107067523.22866578</v>
      </c>
      <c r="AO201" s="143">
        <f>IF(input!AH4=0,0,1/2/input!AH4)*G201*(M201^2+(input!AH4-M201)^2)+D201*AF201+F201*AH201+C201/2/input!M4*(M201^2+(input!M4-M201)^2)+B201*AD201+E201*AG201+H201*AJ201+I201*AK201+J201*AM201</f>
        <v>107067523.22866578</v>
      </c>
      <c r="AP201" s="143">
        <f>+D201/2/input!H4*(M201^2+(input!H4-M201)^2)+B201*AD201+F201*AH201+G201*AI201+C201*AE201+E201*AG201+H201*AJ201+I201*AK201+J201*AM201</f>
        <v>568091182.7910645</v>
      </c>
      <c r="AQ201" s="143">
        <f>+(M201^2)/2/input!P4*E201+D201*AF201+F201*AH201+G201*AI201+C201*AE201+B201*AD201+H201*AJ201+I201*AK201+J201*AM201</f>
        <v>140474337.98593986</v>
      </c>
      <c r="AR201" s="143">
        <f>+(M201^2)/2/input!P4*E201+D201*AF201+F201*AH201+G201*AI201+C201*AE201+B201*AD201+I201*AK201+J201*AM201</f>
        <v>137918828.19309145</v>
      </c>
      <c r="AS201" s="143">
        <f>+(M201^2)/2/input!P4*E201+D201*AF201+F201*AH201+G201*AI201+C201*AE201+B201*AD201+H201*AJ201+I201*AK201+J201*AM201</f>
        <v>140474337.98593986</v>
      </c>
      <c r="AT201" s="143">
        <f>+(M201^2)/2/input!P4*E201+D201*AF201+F201*AH201+G201*AI201+C201*AE201+B201*AD201+H201*AJ201+J201*AM201</f>
        <v>136258247.80772766</v>
      </c>
      <c r="AU201" s="143">
        <f>+(M201^2)/2/input!P4*E201+D201*AF201+F201*AH201+G201*AI201+C201*AE201+B201*AD201+H201*AJ201+I201*AK201+J201*AM201</f>
        <v>140474337.98593986</v>
      </c>
      <c r="AV201" s="143">
        <f>IF(input!AE4=0,0,1/2/input!AE4)*F201*((input!M4-M201)^2+(input!AE4-input!M4+M201)^2)+C201/2/input!M4*(M201^2+(M201-input!M4)^2)+IF(input!O4=0,0,1/2/input!O4)*K201*(input!M4-M201)^2+B201*AD201+G201*AI201+D201*AF201+H201*AJ201+I201*AK201+J201*AM201</f>
        <v>67444602.677582383</v>
      </c>
      <c r="AW201" s="143">
        <f>+C201/2/input!M4*(M201^2+(M201-input!M4)^2)+IF(input!O4=0,0,1/2/input!O4)*K201*(input!M4-M201)^2+B201*AD201+F201*AH201+G201*AI201+D201*AF201+H201*AJ201+I201*AK201+J201*AM201</f>
        <v>46794735.150873825</v>
      </c>
      <c r="AX201" s="143">
        <f>C201/2/input!M4*(M201^2+(M201-input!M4)^2)+K201*AL201+B201*AD201+F201*AH201+G201*AI201+D201*AF201+H201*AJ201+I201*AK201+J201*AM201</f>
        <v>46794735.150873825</v>
      </c>
      <c r="AY201" s="143">
        <f>C201/2/input!M4*(M201^2+(M201-input!M4)^2)+IF(input!AH4=0,0,1/2/input!AH4)*G201*(M201^2+(input!AH4-M201)^2)+K201*AL201+B201*AD201+F201*AH201+D201*AF201+H201*AJ201+I201*AK201+J201*AM201</f>
        <v>46794735.150873825</v>
      </c>
      <c r="AZ201" s="143">
        <f>D201/2/input!H4*(M201^2+(input!H4-M201)^2)+B201*AD201+K201*AL201+F201*AH201+C201*AE201+G201*AI201+H201*AJ201+I201*AK201+J201*AM201</f>
        <v>507818394.71327251</v>
      </c>
      <c r="BA201" s="185"/>
    </row>
    <row r="202" spans="1:53" ht="15" customHeight="1">
      <c r="A202" s="579" t="str">
        <f>+input!B5</f>
        <v>102i</v>
      </c>
      <c r="B202" s="642">
        <f>+input!J5*input!K5*input!BJ5/1000</f>
        <v>8846.4</v>
      </c>
      <c r="C202" s="642">
        <f>+input!BQ5*input!N5*2*input!BK5/1000</f>
        <v>22324.391705038681</v>
      </c>
      <c r="D202" s="642">
        <f>+input!F5*input!G5*input!H5*input!BI5/1000</f>
        <v>8360</v>
      </c>
      <c r="E202" s="642">
        <f>0.85*Fck*input!P5*input!Q5/1000</f>
        <v>47019.875</v>
      </c>
      <c r="F202" s="642">
        <f>input!AD5*input!AE5*input!AF5*input!BN5/1000</f>
        <v>1945.6</v>
      </c>
      <c r="G202" s="642">
        <f>input!AG5*input!AH5*input!AI5*input!BM5/1000</f>
        <v>0</v>
      </c>
      <c r="H202" s="642">
        <f>input!CB5*Fys/1000</f>
        <v>2171.4688421612645</v>
      </c>
      <c r="I202" s="642">
        <f>input!BZ5*Fys/1000</f>
        <v>3062.1103594539709</v>
      </c>
      <c r="J202" s="642">
        <f>input!AC5*Fys/1000</f>
        <v>0</v>
      </c>
      <c r="K202" s="642">
        <f>input!BT5*0.85*Fckb/1000</f>
        <v>0</v>
      </c>
      <c r="L202" s="795">
        <f>IF(Stress!F834&lt;=0,IF(B202+F202+(input!M5-2*input!AH5)/input!M5*C202+J202&gt;=G202+D202+E202+H202+I202,1,IF(B202+F202+C202+G202+J202&gt;=D202+E202+H202+I202,"a",IF(B202+F202+C202+G202+D202+J202&gt;=E202+H202+I202,2,IF(B202+F202+C202+G202+D202+J202&gt;=(input!P5-input!AB5)/input!P5*E202+H202+I202,3,IF(B202+F202+C202+G202+D202+H202+J202&gt;=(input!P5-input!AB5)/input!P5*E202+I202,4,IF(B202+F202+C202+G202+D202+H202+J202&gt;=input!Y5/input!P5*E202+I202,5,IF(B202+F202+C202+G202+D202+H202+I202+J202&gt;=input!Y5/input!P5*E202,6,7))))))),IF(B202+F202+IF(input!O5=0,0,input!AE5/input!O5)*K202+input!AE5/input!M5*C202&gt;=(input!M5-input!AE5)*C202/input!M5+G202+D202+H202+I202,"b",IF(B202+F202+K202+input!O5/input!M5*C202&gt;=(input!M5-input!O5)/input!M5*C202+G202+D202+H202+I202,"c",IF(B202+F202+J202+K202+(input!M5-input!AH5)/input!M5*C202&gt;=G202+D202+H202+I202,8,IF(B202+F202+J202+K202+C202+G202&gt;=D202+H202+I202,"d",9)))))</f>
        <v>8</v>
      </c>
      <c r="M202" s="643">
        <f t="shared" si="0"/>
        <v>1136.8576841769991</v>
      </c>
      <c r="N202" s="493">
        <f t="shared" si="1"/>
        <v>46794.735150873828</v>
      </c>
      <c r="O202" s="766"/>
      <c r="Q202" s="73">
        <f>input!M5/2*((B202+F202+J202-G202-D202-E202-H202-I202)/C202+1)</f>
        <v>-1601.2163609134986</v>
      </c>
      <c r="R202" s="73">
        <f>(B202+F202+J202+C202+G202-D202-E202-H202-I202)/(2/input!M5*C202+IF(input!AH5=0,0,2/input!AH5)*G202)</f>
        <v>-1601.2163609134982</v>
      </c>
      <c r="S202" s="73">
        <f>input!H5/2*(B202+F202+J202+C202+G202-E202-H202-I202+D202)/D202</f>
        <v>-14.180345390232308</v>
      </c>
      <c r="T202" s="558">
        <f>input!P5*(B202+F202+J202+C202+G202+D202-H202-I202)/E202</f>
        <v>223.53133916227546</v>
      </c>
      <c r="U202" s="73">
        <f>input!P5-input!AB5</f>
        <v>250</v>
      </c>
      <c r="V202" s="558">
        <f>input!P5*(B202+F202+J202+C202+G202+D202+H202-I202)/E202</f>
        <v>250.31686184717276</v>
      </c>
      <c r="W202" s="73">
        <f>input!Y5</f>
        <v>50</v>
      </c>
      <c r="X202" s="558">
        <f>input!P5*(B202+F202+J202+C202+G202+D202+H202+I202)/E202</f>
        <v>288.08863407079747</v>
      </c>
      <c r="Y202" s="73">
        <f>(B202+C202+IF(input!O5=0,0,input!M5/input!O5)*K202+(IF(input!AE5=0,0,2*input!M5/input!AE5)-1)*F202-D202-G202-H202-I202)/(IF(input!AE5=0,0,2/input!AE5)*F202+IF(input!O5=0,0,1/input!O5)*K202+2/input!M5*C202)</f>
        <v>1900.6665137893986</v>
      </c>
      <c r="Z202" s="73">
        <f>(B202+C202+F202+IF(input!O5=0,0,input!M5/input!O5)*K202-D202-G202-H202-I202)/(IF(input!O5=0,0,1/input!O5)*K202+2/input!M5*C202)</f>
        <v>1136.8576841769989</v>
      </c>
      <c r="AA202" s="73">
        <f>input!M5/2*(B202+F202+J202+K202-G202-D202-H202-I202+C202)/C202</f>
        <v>1136.8576841769991</v>
      </c>
      <c r="AB202" s="73">
        <f>(B202+F202+J202+K202+G202+C202-D202-H202-I202)/(IF(input!AH5=0,0,2/input!AH5)*G202+2/input!M5*C202)</f>
        <v>1136.8576841769989</v>
      </c>
      <c r="AC202" s="143">
        <f>input!H5/2*(B202+F202+K202+G202+C202-H202-I202+D202+J202)/D202</f>
        <v>47.687911188715056</v>
      </c>
      <c r="AD202" s="165">
        <f>IF(OR(L202=1,L202=8,L202="a",L202="b",L202="c",L202="d"),input!M5-M202+input!K5/2,IF(OR(L202=2,L202=9),input!H5-M202+input!M5+input!K5/2,input!R5+input!P5-M202+input!M5+input!K5/2))</f>
        <v>1469.1423158230009</v>
      </c>
      <c r="AE202" s="143">
        <f>IF(OR(L202=1,L202=8,L202="a",L202="b",L202="c",L202="d"),ABS(input!M5/2-M202),IF(OR(L202=2,L202=9),input!H5-M202+input!M5/2,input!R5+input!P5-M202+input!M5/2))</f>
        <v>163.1423158230009</v>
      </c>
      <c r="AF202" s="143">
        <f>IF(OR(L202=1,L202=8,L202="a",L202="b",L202="c",L202="d"),M202+input!H5/2,IF(OR(L202=2,L202=9),ABS(input!H5/2-M202),input!R5+input!P5-M202-input!H5/2))</f>
        <v>1147.8576841769991</v>
      </c>
      <c r="AG202" s="143">
        <f>IF(OR(L202=1,L202=8,L202="a",L202="b",L202="c",L202="d"),input!R5+input!P5/2+M202,IF(OR(L202=2,L202=9),input!R5+input!P5/2-input!H5+M202,ABS(input!P5/2-M202)))</f>
        <v>1281.8576841769991</v>
      </c>
      <c r="AH202" s="143">
        <f>IF(OR(L202=1,L202=8,L202="a",L202="b",L202="c",L202="d"),input!M5-M202-input!AE5/2,IF(OR(L202=2,L202=9),input!H5-M202+input!M5-input!AE5/2,input!R5+input!P5-M202+input!M5-input!AE5/2))</f>
        <v>1383.1423158230009</v>
      </c>
      <c r="AI202" s="143">
        <f>IF(OR(L202=1,L202=8,L202="a",L202="b",L202="c",L202="d"),M202-input!AH5/2,IF(OR(L202=2,L202=9),input!H5-M202+input!AH5/2,input!R5+input!P5-M202+input!AH5/2))</f>
        <v>1136.8576841769991</v>
      </c>
      <c r="AJ202" s="143">
        <f>IF(OR(L202=1,L202=8,L202="a",L202="b",L202="c",L202="d"),M202+input!R5+input!AB5,IF(OR(L202=2,L202=9),input!R5+input!AB5-input!H5+M202,IF(L202=3,input!AB5-(input!P5-M202),ABS(input!P5-input!AB5-M202))))</f>
        <v>1176.8576841769991</v>
      </c>
      <c r="AK202" s="143">
        <f>IF(OR(L202=1,L202=8,L202="a",L202="b",L202="c",L202="d"),M202+input!R5+input!P5-input!Y5,IF(OR(L202=2,L202=9),input!R5+input!P5-input!Y5-input!H5+M202,ABS(input!Y5-M202)))</f>
        <v>1376.8576841769991</v>
      </c>
      <c r="AL202" s="143">
        <f>IF(OR(L202=1,L202=8,L202="a",L202="b",L202="c",L202="d"),input!M5-M202-input!O5/2,IF(OR(L202=2,L202=9),input!H5-M202+input!M5-input!O5/2,0))</f>
        <v>1463.1423158230009</v>
      </c>
      <c r="AM202" s="143">
        <f>IF(OR(L202=1,L202=8,L202="a",L202="b",L202="c",L202="d"),input!M5-M202-input!O5/2,IF(OR(L202=2,L202=9),input!H5-M202+input!M5-input!O5/2,input!R5+input!P5-M202+input!M5-input!O5/2))</f>
        <v>1463.1423158230009</v>
      </c>
      <c r="AN202" s="143">
        <f>C202/2/input!M5*(M202^2+(input!M5-M202)^2)+B202*AD202+D202*AF202+E202*AG202+F202*AH202+G202*AI202+H202*AJ202+I202*AK202+J202*AM202</f>
        <v>107067523.22866578</v>
      </c>
      <c r="AO202" s="143">
        <f>IF(input!AH5=0,0,1/2/input!AH5)*G202*(M202^2+(input!AH5-M202)^2)+D202*AF202+F202*AH202+C202/2/input!M5*(M202^2+(input!M5-M202)^2)+B202*AD202+E202*AG202+H202*AJ202+I202*AK202+J202*AM202</f>
        <v>107067523.22866578</v>
      </c>
      <c r="AP202" s="143">
        <f>+D202/2/input!H5*(M202^2+(input!H5-M202)^2)+B202*AD202+F202*AH202+G202*AI202+C202*AE202+E202*AG202+H202*AJ202+I202*AK202+J202*AM202</f>
        <v>568091182.7910645</v>
      </c>
      <c r="AQ202" s="143">
        <f>+(M202^2)/2/input!P5*E202+D202*AF202+F202*AH202+G202*AI202+C202*AE202+B202*AD202+H202*AJ202+I202*AK202+J202*AM202</f>
        <v>140474337.98593986</v>
      </c>
      <c r="AR202" s="143">
        <f>+(M202^2)/2/input!P5*E202+D202*AF202+F202*AH202+G202*AI202+C202*AE202+B202*AD202+I202*AK202+J202*AM202</f>
        <v>137918828.19309145</v>
      </c>
      <c r="AS202" s="143">
        <f>+(M202^2)/2/input!P5*E202+D202*AF202+F202*AH202+G202*AI202+C202*AE202+B202*AD202+H202*AJ202+I202*AK202+J202*AM202</f>
        <v>140474337.98593986</v>
      </c>
      <c r="AT202" s="143">
        <f>+(M202^2)/2/input!P5*E202+D202*AF202+F202*AH202+G202*AI202+C202*AE202+B202*AD202+H202*AJ202+J202*AM202</f>
        <v>136258247.80772766</v>
      </c>
      <c r="AU202" s="143">
        <f>+(M202^2)/2/input!P5*E202+D202*AF202+F202*AH202+G202*AI202+C202*AE202+B202*AD202+H202*AJ202+I202*AK202+J202*AM202</f>
        <v>140474337.98593986</v>
      </c>
      <c r="AV202" s="143">
        <f>IF(input!AE5=0,0,1/2/input!AE5)*F202*((input!M5-M202)^2+(input!AE5-input!M5+M202)^2)+C202/2/input!M5*(M202^2+(M202-input!M5)^2)+IF(input!O5=0,0,1/2/input!O5)*K202*(input!M5-M202)^2+B202*AD202+G202*AI202+D202*AF202+H202*AJ202+I202*AK202+J202*AM202</f>
        <v>67444602.677582383</v>
      </c>
      <c r="AW202" s="143">
        <f>+C202/2/input!M5*(M202^2+(M202-input!M5)^2)+IF(input!O5=0,0,1/2/input!O5)*K202*(input!M5-M202)^2+B202*AD202+F202*AH202+G202*AI202+D202*AF202+H202*AJ202+I202*AK202+J202*AM202</f>
        <v>46794735.150873825</v>
      </c>
      <c r="AX202" s="143">
        <f>C202/2/input!M5*(M202^2+(M202-input!M5)^2)+K202*AL202+B202*AD202+F202*AH202+G202*AI202+D202*AF202+H202*AJ202+I202*AK202+J202*AM202</f>
        <v>46794735.150873825</v>
      </c>
      <c r="AY202" s="143">
        <f>C202/2/input!M5*(M202^2+(M202-input!M5)^2)+IF(input!AH5=0,0,1/2/input!AH5)*G202*(M202^2+(input!AH5-M202)^2)+K202*AL202+B202*AD202+F202*AH202+D202*AF202+H202*AJ202+I202*AK202+J202*AM202</f>
        <v>46794735.150873825</v>
      </c>
      <c r="AZ202" s="143">
        <f>D202/2/input!H5*(M202^2+(input!H5-M202)^2)+B202*AD202+K202*AL202+F202*AH202+C202*AE202+G202*AI202+H202*AJ202+I202*AK202+J202*AM202</f>
        <v>507818394.71327251</v>
      </c>
      <c r="BA202" s="185"/>
    </row>
    <row r="203" spans="1:53" ht="15" customHeight="1">
      <c r="A203" s="579" t="str">
        <f>+input!B6</f>
        <v>102j</v>
      </c>
      <c r="B203" s="642">
        <f>+input!J6*input!K6*input!BJ6/1000</f>
        <v>8846.4</v>
      </c>
      <c r="C203" s="642">
        <f>+input!BQ6*input!N6*2*input!BK6/1000</f>
        <v>22324.391705038681</v>
      </c>
      <c r="D203" s="642">
        <f>+input!F6*input!G6*input!H6*input!BI6/1000</f>
        <v>8360</v>
      </c>
      <c r="E203" s="642">
        <f>0.85*Fck*input!P6*input!Q6/1000</f>
        <v>47019.875</v>
      </c>
      <c r="F203" s="642">
        <f>input!AD6*input!AE6*input!AF6*input!BN6/1000</f>
        <v>1945.6</v>
      </c>
      <c r="G203" s="642">
        <f>input!AG6*input!AH6*input!AI6*input!BM6/1000</f>
        <v>0</v>
      </c>
      <c r="H203" s="642">
        <f>input!CB6*Fys/1000</f>
        <v>2171.4688421612645</v>
      </c>
      <c r="I203" s="642">
        <f>input!BZ6*Fys/1000</f>
        <v>3062.1103594539709</v>
      </c>
      <c r="J203" s="642">
        <f>input!AC6*Fys/1000</f>
        <v>0</v>
      </c>
      <c r="K203" s="642">
        <f>input!BT6*0.85*Fckb/1000</f>
        <v>0</v>
      </c>
      <c r="L203" s="795">
        <f>IF(Stress!F835&lt;=0,IF(B203+F203+(input!M6-2*input!AH6)/input!M6*C203+J203&gt;=G203+D203+E203+H203+I203,1,IF(B203+F203+C203+G203+J203&gt;=D203+E203+H203+I203,"a",IF(B203+F203+C203+G203+D203+J203&gt;=E203+H203+I203,2,IF(B203+F203+C203+G203+D203+J203&gt;=(input!P6-input!AB6)/input!P6*E203+H203+I203,3,IF(B203+F203+C203+G203+D203+H203+J203&gt;=(input!P6-input!AB6)/input!P6*E203+I203,4,IF(B203+F203+C203+G203+D203+H203+J203&gt;=input!Y6/input!P6*E203+I203,5,IF(B203+F203+C203+G203+D203+H203+I203+J203&gt;=input!Y6/input!P6*E203,6,7))))))),IF(B203+F203+IF(input!O6=0,0,input!AE6/input!O6)*K203+input!AE6/input!M6*C203&gt;=(input!M6-input!AE6)*C203/input!M6+G203+D203+H203+I203,"b",IF(B203+F203+K203+input!O6/input!M6*C203&gt;=(input!M6-input!O6)/input!M6*C203+G203+D203+H203+I203,"c",IF(B203+F203+J203+K203+(input!M6-input!AH6)/input!M6*C203&gt;=G203+D203+H203+I203,8,IF(B203+F203+J203+K203+C203+G203&gt;=D203+H203+I203,"d",9)))))</f>
        <v>4</v>
      </c>
      <c r="M203" s="643">
        <f t="shared" si="0"/>
        <v>250</v>
      </c>
      <c r="N203" s="493">
        <f t="shared" si="1"/>
        <v>64224.654231642628</v>
      </c>
      <c r="O203" s="766"/>
      <c r="Q203" s="73">
        <f>input!M6/2*((B203+F203+J203-G203-D203-E203-H203-I203)/C203+1)</f>
        <v>-1601.2163609134986</v>
      </c>
      <c r="R203" s="73">
        <f>(B203+F203+J203+C203+G203-D203-E203-H203-I203)/(2/input!M6*C203+IF(input!AH6=0,0,2/input!AH6)*G203)</f>
        <v>-1601.2163609134982</v>
      </c>
      <c r="S203" s="73">
        <f>input!H6/2*(B203+F203+J203+C203+G203-E203-H203-I203+D203)/D203</f>
        <v>-14.180345390232308</v>
      </c>
      <c r="T203" s="558">
        <f>input!P6*(B203+F203+J203+C203+G203+D203-H203-I203)/E203</f>
        <v>223.53133916227546</v>
      </c>
      <c r="U203" s="73">
        <f>input!P6-input!AB6</f>
        <v>250</v>
      </c>
      <c r="V203" s="558">
        <f>input!P6*(B203+F203+J203+C203+G203+D203+H203-I203)/E203</f>
        <v>250.31686184717276</v>
      </c>
      <c r="W203" s="73">
        <f>input!Y6</f>
        <v>50</v>
      </c>
      <c r="X203" s="558">
        <f>input!P6*(B203+F203+J203+C203+G203+D203+H203+I203)/E203</f>
        <v>288.08863407079747</v>
      </c>
      <c r="Y203" s="73">
        <f>(B203+C203+IF(input!O6=0,0,input!M6/input!O6)*K203+(IF(input!AE6=0,0,2*input!M6/input!AE6)-1)*F203-D203-G203-H203-I203)/(IF(input!AE6=0,0,2/input!AE6)*F203+IF(input!O6=0,0,1/input!O6)*K203+2/input!M6*C203)</f>
        <v>1900.6665137893986</v>
      </c>
      <c r="Z203" s="73">
        <f>(B203+C203+F203+IF(input!O6=0,0,input!M6/input!O6)*K203-D203-G203-H203-I203)/(IF(input!O6=0,0,1/input!O6)*K203+2/input!M6*C203)</f>
        <v>1136.8576841769989</v>
      </c>
      <c r="AA203" s="73">
        <f>input!M6/2*(B203+F203+J203+K203-G203-D203-H203-I203+C203)/C203</f>
        <v>1136.8576841769991</v>
      </c>
      <c r="AB203" s="73">
        <f>(B203+F203+J203+K203+G203+C203-D203-H203-I203)/(IF(input!AH6=0,0,2/input!AH6)*G203+2/input!M6*C203)</f>
        <v>1136.8576841769989</v>
      </c>
      <c r="AC203" s="143">
        <f>input!H6/2*(B203+F203+K203+G203+C203-H203-I203+D203+J203)/D203</f>
        <v>47.687911188715056</v>
      </c>
      <c r="AD203" s="165">
        <f>IF(OR(L203=1,L203=8,L203="a",L203="b",L203="c",L203="d"),input!M6-M203+input!K6/2,IF(OR(L203=2,L203=9),input!H6-M203+input!M6+input!K6/2,input!R6+input!P6-M203+input!M6+input!K6/2))</f>
        <v>2646</v>
      </c>
      <c r="AE203" s="143">
        <f>IF(OR(L203=1,L203=8,L203="a",L203="b",L203="c",L203="d"),ABS(input!M6/2-M203),IF(OR(L203=2,L203=9),input!H6-M203+input!M6/2,input!R6+input!P6-M203+input!M6/2))</f>
        <v>1340</v>
      </c>
      <c r="AF203" s="143">
        <f>IF(OR(L203=1,L203=8,L203="a",L203="b",L203="c",L203="d"),M203+input!H6/2,IF(OR(L203=2,L203=9),ABS(input!H6/2-M203),input!R6+input!P6-M203-input!H6/2))</f>
        <v>29</v>
      </c>
      <c r="AG203" s="143">
        <f>IF(OR(L203=1,L203=8,L203="a",L203="b",L203="c",L203="d"),input!R6+input!P6/2+M203,IF(OR(L203=2,L203=9),input!R6+input!P6/2-input!H6+M203,ABS(input!P6/2-M203)))</f>
        <v>105</v>
      </c>
      <c r="AH203" s="143">
        <f>IF(OR(L203=1,L203=8,L203="a",L203="b",L203="c",L203="d"),input!M6-M203-input!AE6/2,IF(OR(L203=2,L203=9),input!H6-M203+input!M6-input!AE6/2,input!R6+input!P6-M203+input!M6-input!AE6/2))</f>
        <v>2560</v>
      </c>
      <c r="AI203" s="143">
        <f>IF(OR(L203=1,L203=8,L203="a",L203="b",L203="c",L203="d"),M203-input!AH6/2,IF(OR(L203=2,L203=9),input!H6-M203+input!AH6/2,input!R6+input!P6-M203+input!AH6/2))</f>
        <v>40</v>
      </c>
      <c r="AJ203" s="143">
        <f>IF(OR(L203=1,L203=8,L203="a",L203="b",L203="c",L203="d"),M203+input!R6+input!AB6,IF(OR(L203=2,L203=9),input!R6+input!AB6-input!H6+M203,IF(L203=3,input!AB6-(input!P6-M203),ABS(input!P6-input!AB6-M203))))</f>
        <v>0</v>
      </c>
      <c r="AK203" s="143">
        <f>IF(OR(L203=1,L203=8,L203="a",L203="b",L203="c",L203="d"),M203+input!R6+input!P6-input!Y6,IF(OR(L203=2,L203=9),input!R6+input!P6-input!Y6-input!H6+M203,ABS(input!Y6-M203)))</f>
        <v>200</v>
      </c>
      <c r="AL203" s="143">
        <f>IF(OR(L203=1,L203=8,L203="a",L203="b",L203="c",L203="d"),input!M6-M203-input!O6/2,IF(OR(L203=2,L203=9),input!H6-M203+input!M6-input!O6/2,0))</f>
        <v>0</v>
      </c>
      <c r="AM203" s="143">
        <f>IF(OR(L203=1,L203=8,L203="a",L203="b",L203="c",L203="d"),input!M6-M203-input!O6/2,IF(OR(L203=2,L203=9),input!H6-M203+input!M6-input!O6/2,input!R6+input!P6-M203+input!M6-input!O6/2))</f>
        <v>2640</v>
      </c>
      <c r="AN203" s="143">
        <f>C203/2/input!M6*(M203^2+(input!M6-M203)^2)+B203*AD203+D203*AF203+E203*AG203+F203*AH203+G203*AI203+H203*AJ203+I203*AK203+J203*AM203</f>
        <v>58157514.668552525</v>
      </c>
      <c r="AO203" s="143">
        <f>IF(input!AH6=0,0,1/2/input!AH6)*G203*(M203^2+(input!AH6-M203)^2)+D203*AF203+F203*AH203+C203/2/input!M6*(M203^2+(input!M6-M203)^2)+B203*AD203+E203*AG203+H203*AJ203+I203*AK203+J203*AM203</f>
        <v>58157514.668552525</v>
      </c>
      <c r="AP203" s="143">
        <f>+D203/2/input!H6*(M203^2+(input!H6-M203)^2)+B203*AD203+F203*AH203+G203*AI203+C203*AE203+E203*AG203+H203*AJ203+I203*AK203+J203*AM203</f>
        <v>85604464.231642634</v>
      </c>
      <c r="AQ203" s="143">
        <f>+(M203^2)/2/input!P6*E203+D203*AF203+F203*AH203+G203*AI203+C203*AE203+B203*AD203+H203*AJ203+I203*AK203+J203*AM203</f>
        <v>64224654.231642626</v>
      </c>
      <c r="AR203" s="143">
        <f>+(M203^2)/2/input!P6*E203+D203*AF203+F203*AH203+G203*AI203+C203*AE203+B203*AD203+I203*AK203+J203*AM203</f>
        <v>64224654.231642626</v>
      </c>
      <c r="AS203" s="143">
        <f>+(M203^2)/2/input!P6*E203+D203*AF203+F203*AH203+G203*AI203+C203*AE203+B203*AD203+H203*AJ203+I203*AK203+J203*AM203</f>
        <v>64224654.231642626</v>
      </c>
      <c r="AT203" s="143">
        <f>+(M203^2)/2/input!P6*E203+D203*AF203+F203*AH203+G203*AI203+C203*AE203+B203*AD203+H203*AJ203+J203*AM203</f>
        <v>63612232.159751832</v>
      </c>
      <c r="AU203" s="143">
        <f>+(M203^2)/2/input!P6*E203+D203*AF203+F203*AH203+G203*AI203+C203*AE203+B203*AD203+H203*AJ203+I203*AK203+J203*AM203</f>
        <v>64224654.231642626</v>
      </c>
      <c r="AV203" s="143">
        <f>IF(input!AE6=0,0,1/2/input!AE6)*F203*((input!M6-M203)^2+(input!AE6-input!M6+M203)^2)+C203/2/input!M6*(M203^2+(M203-input!M6)^2)+IF(input!O6=0,0,1/2/input!O6)*K203*(input!M6-M203)^2+B203*AD203+G203*AI203+D203*AF203+H203*AJ203+I203*AK203+J203*AM203</f>
        <v>110976779.79355255</v>
      </c>
      <c r="AW203" s="143">
        <f>+C203/2/input!M6*(M203^2+(M203-input!M6)^2)+IF(input!O6=0,0,1/2/input!O6)*K203*(input!M6-M203)^2+B203*AD203+F203*AH203+G203*AI203+D203*AF203+H203*AJ203+I203*AK203+J203*AM203</f>
        <v>53220427.793552525</v>
      </c>
      <c r="AX203" s="143">
        <f>C203/2/input!M6*(M203^2+(M203-input!M6)^2)+K203*AL203+B203*AD203+F203*AH203+G203*AI203+D203*AF203+H203*AJ203+I203*AK203+J203*AM203</f>
        <v>53220427.793552525</v>
      </c>
      <c r="AY203" s="143">
        <f>C203/2/input!M6*(M203^2+(M203-input!M6)^2)+IF(input!AH6=0,0,1/2/input!AH6)*G203*(M203^2+(input!AH6-M203)^2)+K203*AL203+B203*AD203+F203*AH203+D203*AF203+H203*AJ203+I203*AK203+J203*AM203</f>
        <v>53220427.793552525</v>
      </c>
      <c r="AZ203" s="143">
        <f>D203/2/input!H6*(M203^2+(input!H6-M203)^2)+B203*AD203+K203*AL203+F203*AH203+C203*AE203+G203*AI203+H203*AJ203+I203*AK203+J203*AM203</f>
        <v>80667377.356642634</v>
      </c>
      <c r="BA203" s="185"/>
    </row>
    <row r="204" spans="1:53" ht="15" customHeight="1">
      <c r="A204" s="579" t="str">
        <f>+input!B7</f>
        <v>103i</v>
      </c>
      <c r="B204" s="642">
        <f>+input!J7*input!K7*input!BJ7/1000</f>
        <v>13269.6</v>
      </c>
      <c r="C204" s="642">
        <f>+input!BQ7*input!N7*2*input!BK7/1000</f>
        <v>24041.652605426279</v>
      </c>
      <c r="D204" s="642">
        <f>+input!F7*input!G7*input!H7*input!BI7/1000</f>
        <v>11400</v>
      </c>
      <c r="E204" s="642">
        <f>0.85*Fck*input!P7*input!Q7/1000</f>
        <v>47451.25</v>
      </c>
      <c r="F204" s="642">
        <f>input!AD7*input!AE7*input!AF7*input!BN7/1000</f>
        <v>1945.6</v>
      </c>
      <c r="G204" s="642">
        <f>input!AG7*input!AH7*input!AI7*input!BM7/1000</f>
        <v>0</v>
      </c>
      <c r="H204" s="642">
        <f>input!CB7*Fys/1000</f>
        <v>2171.4688421612645</v>
      </c>
      <c r="I204" s="642">
        <f>input!BZ7*Fys/1000</f>
        <v>3062.1103594539709</v>
      </c>
      <c r="J204" s="642">
        <f>input!AC7*Fys/1000</f>
        <v>0</v>
      </c>
      <c r="K204" s="642">
        <f>input!BT7*0.85*Fckb/1000</f>
        <v>0</v>
      </c>
      <c r="L204" s="795">
        <f>IF(Stress!F836&lt;=0,IF(B204+F204+(input!M7-2*input!AH7)/input!M7*C204+J204&gt;=G204+D204+E204+H204+I204,1,IF(B204+F204+C204+G204+J204&gt;=D204+E204+H204+I204,"a",IF(B204+F204+C204+G204+D204+J204&gt;=E204+H204+I204,2,IF(B204+F204+C204+G204+D204+J204&gt;=(input!P7-input!AB7)/input!P7*E204+H204+I204,3,IF(B204+F204+C204+G204+D204+H204+J204&gt;=(input!P7-input!AB7)/input!P7*E204+I204,4,IF(B204+F204+C204+G204+D204+H204+J204&gt;=input!Y7/input!P7*E204+I204,5,IF(B204+F204+C204+G204+D204+H204+I204+J204&gt;=input!Y7/input!P7*E204,6,7))))))),IF(B204+F204+IF(input!O7=0,0,input!AE7/input!O7)*K204+input!AE7/input!M7*C204&gt;=(input!M7-input!AE7)*C204/input!M7+G204+D204+H204+I204,"b",IF(B204+F204+K204+input!O7/input!M7*C204&gt;=(input!M7-input!O7)/input!M7*C204+G204+D204+H204+I204,"c",IF(B204+F204+J204+K204+(input!M7-input!AH7)/input!M7*C204&gt;=G204+D204+H204+I204,8,IF(B204+F204+J204+K204+C204+G204&gt;=D204+H204+I204,"d",9)))))</f>
        <v>3</v>
      </c>
      <c r="M204" s="643">
        <f t="shared" si="0"/>
        <v>277.60594899196968</v>
      </c>
      <c r="N204" s="493">
        <f t="shared" si="1"/>
        <v>83743.281114864061</v>
      </c>
      <c r="O204" s="766"/>
      <c r="Q204" s="73">
        <f>input!M7/2*((B204+F204+J204-G204-D204-E204-H204-I204)/C204+1)</f>
        <v>-1445.789430749003</v>
      </c>
      <c r="R204" s="73">
        <f>(B204+F204+J204+C204+G204-D204-E204-H204-I204)/(2/input!M7*C204+IF(input!AH7=0,0,2/input!AH7)*G204)</f>
        <v>-1445.789430749003</v>
      </c>
      <c r="S204" s="73">
        <f>input!H7/2*(B204+F204+J204+C204+G204-E204-H204-I204+D204)/D204</f>
        <v>-2.6683902581433672</v>
      </c>
      <c r="T204" s="558">
        <f>input!P7*(B204+F204+J204+C204+G204+D204-H204-I204)/E204</f>
        <v>277.60594899196968</v>
      </c>
      <c r="U204" s="73">
        <f>input!P7-input!AB7</f>
        <v>250</v>
      </c>
      <c r="V204" s="558">
        <f>input!P7*(B204+F204+J204+C204+G204+D204+H204-I204)/E204</f>
        <v>304.1479669251861</v>
      </c>
      <c r="W204" s="73">
        <f>input!Y7</f>
        <v>50</v>
      </c>
      <c r="X204" s="558">
        <f>input!P7*(B204+F204+J204+C204+G204+D204+H204+I204)/E204</f>
        <v>341.57635940132326</v>
      </c>
      <c r="Y204" s="73">
        <f>(B204+C204+IF(input!O7=0,0,input!M7/input!O7)*K204+(IF(input!AE7=0,0,2*input!M7/input!AE7)-1)*F204-D204-G204-H204-I204)/(IF(input!AE7=0,0,2/input!AE7)*F204+IF(input!O7=0,0,1/input!O7)*K204+2/input!M7*C204)</f>
        <v>2092.6154196690845</v>
      </c>
      <c r="Z204" s="73">
        <f>(B204+C204+F204+IF(input!O7=0,0,input!M7/input!O7)*K204-D204-G204-H204-I204)/(IF(input!O7=0,0,1/input!O7)*K204+2/input!M7*C204)</f>
        <v>1317.4045597092961</v>
      </c>
      <c r="AA204" s="73">
        <f>input!M7/2*(B204+F204+J204+K204-G204-D204-H204-I204+C204)/C204</f>
        <v>1317.4045597092961</v>
      </c>
      <c r="AB204" s="73">
        <f>(B204+F204+J204+K204+G204+C204-D204-H204-I204)/(IF(input!AH7=0,0,2/input!AH7)*G204+2/input!M7*C204)</f>
        <v>1317.4045597092961</v>
      </c>
      <c r="AC204" s="143">
        <f>input!H7/2*(B204+F204+K204+G204+C204-H204-I204+D204+J204)/D204</f>
        <v>59.767465005014522</v>
      </c>
      <c r="AD204" s="165">
        <f>IF(OR(L204=1,L204=8,L204="a",L204="b",L204="c",L204="d"),input!M7-M204+input!K7/2,IF(OR(L204=2,L204=9),input!H7-M204+input!M7+input!K7/2,input!R7+input!P7-M204+input!M7+input!K7/2))</f>
        <v>2821.3940510080301</v>
      </c>
      <c r="AE204" s="143">
        <f>IF(OR(L204=1,L204=8,L204="a",L204="b",L204="c",L204="d"),ABS(input!M7/2-M204),IF(OR(L204=2,L204=9),input!H7-M204+input!M7/2,input!R7+input!P7-M204+input!M7/2))</f>
        <v>1412.3940510080304</v>
      </c>
      <c r="AF204" s="143">
        <f>IF(OR(L204=1,L204=8,L204="a",L204="b",L204="c",L204="d"),M204+input!H7/2,IF(OR(L204=2,L204=9),ABS(input!H7/2-M204),input!R7+input!P7-M204-input!H7/2))</f>
        <v>-2.605948991969683</v>
      </c>
      <c r="AG204" s="143">
        <f>IF(OR(L204=1,L204=8,L204="a",L204="b",L204="c",L204="d"),input!R7+input!P7/2+M204,IF(OR(L204=2,L204=9),input!R7+input!P7/2-input!H7+M204,ABS(input!P7/2-M204)))</f>
        <v>132.60594899196968</v>
      </c>
      <c r="AH204" s="143">
        <f>IF(OR(L204=1,L204=8,L204="a",L204="b",L204="c",L204="d"),input!M7-M204-input!AE7/2,IF(OR(L204=2,L204=9),input!H7-M204+input!M7-input!AE7/2,input!R7+input!P7-M204+input!M7-input!AE7/2))</f>
        <v>2732.3940510080301</v>
      </c>
      <c r="AI204" s="143">
        <f>IF(OR(L204=1,L204=8,L204="a",L204="b",L204="c",L204="d"),M204-input!AH7/2,IF(OR(L204=2,L204=9),input!H7-M204+input!AH7/2,input!R7+input!P7-M204+input!AH7/2))</f>
        <v>12.394051008030317</v>
      </c>
      <c r="AJ204" s="143">
        <f>IF(OR(L204=1,L204=8,L204="a",L204="b",L204="c",L204="d"),M204+input!R7+input!AB7,IF(OR(L204=2,L204=9),input!R7+input!AB7-input!H7+M204,IF(L204=3,input!AB7-(input!P7-M204),ABS(input!P7-input!AB7-M204))))</f>
        <v>27.605948991969683</v>
      </c>
      <c r="AK204" s="143">
        <f>IF(OR(L204=1,L204=8,L204="a",L204="b",L204="c",L204="d"),M204+input!R7+input!P7-input!Y7,IF(OR(L204=2,L204=9),input!R7+input!P7-input!Y7-input!H7+M204,ABS(input!Y7-M204)))</f>
        <v>227.60594899196968</v>
      </c>
      <c r="AL204" s="143">
        <f>IF(OR(L204=1,L204=8,L204="a",L204="b",L204="c",L204="d"),input!M7-M204-input!O7/2,IF(OR(L204=2,L204=9),input!H7-M204+input!M7-input!O7/2,0))</f>
        <v>0</v>
      </c>
      <c r="AM204" s="143">
        <f>IF(OR(L204=1,L204=8,L204="a",L204="b",L204="c",L204="d"),input!M7-M204-input!O7/2,IF(OR(L204=2,L204=9),input!H7-M204+input!M7-input!O7/2,input!R7+input!P7-M204+input!M7-input!O7/2))</f>
        <v>2812.3940510080301</v>
      </c>
      <c r="AN204" s="143">
        <f>C204/2/input!M7*(M204^2+(input!M7-M204)^2)+B204*AD204+D204*AF204+E204*AG204+F204*AH204+G204*AI204+H204*AJ204+I204*AK204+J204*AM204</f>
        <v>77420338.533257782</v>
      </c>
      <c r="AO204" s="143">
        <f>IF(input!AH7=0,0,1/2/input!AH7)*G204*(M204^2+(input!AH7-M204)^2)+D204*AF204+F204*AH204+C204/2/input!M7*(M204^2+(input!M7-M204)^2)+B204*AD204+E204*AG204+H204*AJ204+I204*AK204+J204*AM204</f>
        <v>77420338.533257782</v>
      </c>
      <c r="AP204" s="143">
        <f>+D204/2/input!H7*(M204^2+(input!H7-M204)^2)+B204*AD204+F204*AH204+G204*AI204+C204*AE204+E204*AG204+H204*AJ204+I204*AK204+J204*AM204</f>
        <v>110051437.60015412</v>
      </c>
      <c r="AQ204" s="143">
        <f>+(M204^2)/2/input!P7*E204+D204*AF204+F204*AH204+G204*AI204+C204*AE204+B204*AD204+H204*AJ204+I204*AK204+J204*AM204</f>
        <v>83743281.114864066</v>
      </c>
      <c r="AR204" s="143">
        <f>+(M204^2)/2/input!P7*E204+D204*AF204+F204*AH204+G204*AI204+C204*AE204+B204*AD204+I204*AK204+J204*AM204</f>
        <v>83683335.656769708</v>
      </c>
      <c r="AS204" s="143">
        <f>+(M204^2)/2/input!P7*E204+D204*AF204+F204*AH204+G204*AI204+C204*AE204+B204*AD204+H204*AJ204+I204*AK204+J204*AM204</f>
        <v>83743281.114864066</v>
      </c>
      <c r="AT204" s="143">
        <f>+(M204^2)/2/input!P7*E204+D204*AF204+F204*AH204+G204*AI204+C204*AE204+B204*AD204+H204*AJ204+J204*AM204</f>
        <v>83046326.58058241</v>
      </c>
      <c r="AU204" s="143">
        <f>+(M204^2)/2/input!P7*E204+D204*AF204+F204*AH204+G204*AI204+C204*AE204+B204*AD204+H204*AJ204+I204*AK204+J204*AM204</f>
        <v>83743281.114864066</v>
      </c>
      <c r="AV204" s="143">
        <f>IF(input!AE7=0,0,1/2/input!AE7)*F204*((input!M7-M204)^2+(input!AE7-input!M7+M204)^2)+C204/2/input!M7*(M204^2+(M204-input!M7)^2)+IF(input!O7=0,0,1/2/input!O7)*K204*(input!M7-M204)^2+B204*AD204+G204*AI204+D204*AF204+H204*AJ204+I204*AK204+J204*AM204</f>
        <v>138427609.22736827</v>
      </c>
      <c r="AW204" s="143">
        <f>+C204/2/input!M7*(M204^2+(M204-input!M7)^2)+IF(input!O7=0,0,1/2/input!O7)*K204*(input!M7-M204)^2+B204*AD204+F204*AH204+G204*AI204+D204*AF204+H204*AJ204+I204*AK204+J204*AM204</f>
        <v>71128020.49615258</v>
      </c>
      <c r="AX204" s="143">
        <f>C204/2/input!M7*(M204^2+(M204-input!M7)^2)+K204*AL204+B204*AD204+F204*AH204+G204*AI204+D204*AF204+H204*AJ204+I204*AK204+J204*AM204</f>
        <v>71128020.49615258</v>
      </c>
      <c r="AY204" s="143">
        <f>C204/2/input!M7*(M204^2+(M204-input!M7)^2)+IF(input!AH7=0,0,1/2/input!AH7)*G204*(M204^2+(input!AH7-M204)^2)+K204*AL204+B204*AD204+F204*AH204+D204*AF204+H204*AJ204+I204*AK204+J204*AM204</f>
        <v>71128020.49615258</v>
      </c>
      <c r="AZ204" s="143">
        <f>D204/2/input!H7*(M204^2+(input!H7-M204)^2)+B204*AD204+K204*AL204+F204*AH204+C204*AE204+G204*AI204+H204*AJ204+I204*AK204+J204*AM204</f>
        <v>103759119.56304891</v>
      </c>
      <c r="BA204" s="185"/>
    </row>
    <row r="205" spans="1:53" ht="15" customHeight="1">
      <c r="A205" s="579" t="str">
        <f>+input!B8</f>
        <v>103j</v>
      </c>
      <c r="B205" s="642">
        <f>+input!J8*input!K8*input!BJ8/1000</f>
        <v>13269.6</v>
      </c>
      <c r="C205" s="642">
        <f>+input!BQ8*input!N8*2*input!BK8/1000</f>
        <v>24041.652605426279</v>
      </c>
      <c r="D205" s="642">
        <f>+input!F8*input!G8*input!H8*input!BI8/1000</f>
        <v>11400</v>
      </c>
      <c r="E205" s="642">
        <f>0.85*Fck*input!P8*input!Q8/1000</f>
        <v>47451.25</v>
      </c>
      <c r="F205" s="642">
        <f>input!AD8*input!AE8*input!AF8*input!BN8/1000</f>
        <v>1945.6</v>
      </c>
      <c r="G205" s="642">
        <f>input!AG8*input!AH8*input!AI8*input!BM8/1000</f>
        <v>0</v>
      </c>
      <c r="H205" s="642">
        <f>input!CB8*Fys/1000</f>
        <v>2171.4688421612645</v>
      </c>
      <c r="I205" s="642">
        <f>input!BZ8*Fys/1000</f>
        <v>3062.1103594539709</v>
      </c>
      <c r="J205" s="642">
        <f>input!AC8*Fys/1000</f>
        <v>0</v>
      </c>
      <c r="K205" s="642">
        <f>input!BT8*0.85*Fckb/1000</f>
        <v>0</v>
      </c>
      <c r="L205" s="795">
        <f>IF(Stress!F837&lt;=0,IF(B205+F205+(input!M8-2*input!AH8)/input!M8*C205+J205&gt;=G205+D205+E205+H205+I205,1,IF(B205+F205+C205+G205+J205&gt;=D205+E205+H205+I205,"a",IF(B205+F205+C205+G205+D205+J205&gt;=E205+H205+I205,2,IF(B205+F205+C205+G205+D205+J205&gt;=(input!P8-input!AB8)/input!P8*E205+H205+I205,3,IF(B205+F205+C205+G205+D205+H205+J205&gt;=(input!P8-input!AB8)/input!P8*E205+I205,4,IF(B205+F205+C205+G205+D205+H205+J205&gt;=input!Y8/input!P8*E205+I205,5,IF(B205+F205+C205+G205+D205+H205+I205+J205&gt;=input!Y8/input!P8*E205,6,7))))))),IF(B205+F205+IF(input!O8=0,0,input!AE8/input!O8)*K205+input!AE8/input!M8*C205&gt;=(input!M8-input!AE8)*C205/input!M8+G205+D205+H205+I205,"b",IF(B205+F205+K205+input!O8/input!M8*C205&gt;=(input!M8-input!O8)/input!M8*C205+G205+D205+H205+I205,"c",IF(B205+F205+J205+K205+(input!M8-input!AH8)/input!M8*C205&gt;=G205+D205+H205+I205,8,IF(B205+F205+J205+K205+C205+G205&gt;=D205+H205+I205,"d",9)))))</f>
        <v>3</v>
      </c>
      <c r="M205" s="643">
        <f t="shared" si="0"/>
        <v>277.60594899196968</v>
      </c>
      <c r="N205" s="493">
        <f t="shared" si="1"/>
        <v>83743.281114864061</v>
      </c>
      <c r="O205" s="766"/>
      <c r="Q205" s="73">
        <f>input!M8/2*((B205+F205+J205-G205-D205-E205-H205-I205)/C205+1)</f>
        <v>-1445.789430749003</v>
      </c>
      <c r="R205" s="73">
        <f>(B205+F205+J205+C205+G205-D205-E205-H205-I205)/(2/input!M8*C205+IF(input!AH8=0,0,2/input!AH8)*G205)</f>
        <v>-1445.789430749003</v>
      </c>
      <c r="S205" s="73">
        <f>input!H8/2*(B205+F205+J205+C205+G205-E205-H205-I205+D205)/D205</f>
        <v>-2.6683902581433672</v>
      </c>
      <c r="T205" s="558">
        <f>input!P8*(B205+F205+J205+C205+G205+D205-H205-I205)/E205</f>
        <v>277.60594899196968</v>
      </c>
      <c r="U205" s="73">
        <f>input!P8-input!AB8</f>
        <v>250</v>
      </c>
      <c r="V205" s="558">
        <f>input!P8*(B205+F205+J205+C205+G205+D205+H205-I205)/E205</f>
        <v>304.1479669251861</v>
      </c>
      <c r="W205" s="73">
        <f>input!Y8</f>
        <v>50</v>
      </c>
      <c r="X205" s="558">
        <f>input!P8*(B205+F205+J205+C205+G205+D205+H205+I205)/E205</f>
        <v>341.57635940132326</v>
      </c>
      <c r="Y205" s="73">
        <f>(B205+C205+IF(input!O8=0,0,input!M8/input!O8)*K205+(IF(input!AE8=0,0,2*input!M8/input!AE8)-1)*F205-D205-G205-H205-I205)/(IF(input!AE8=0,0,2/input!AE8)*F205+IF(input!O8=0,0,1/input!O8)*K205+2/input!M8*C205)</f>
        <v>2092.6154196690845</v>
      </c>
      <c r="Z205" s="73">
        <f>(B205+C205+F205+IF(input!O8=0,0,input!M8/input!O8)*K205-D205-G205-H205-I205)/(IF(input!O8=0,0,1/input!O8)*K205+2/input!M8*C205)</f>
        <v>1317.4045597092961</v>
      </c>
      <c r="AA205" s="73">
        <f>input!M8/2*(B205+F205+J205+K205-G205-D205-H205-I205+C205)/C205</f>
        <v>1317.4045597092961</v>
      </c>
      <c r="AB205" s="73">
        <f>(B205+F205+J205+K205+G205+C205-D205-H205-I205)/(IF(input!AH8=0,0,2/input!AH8)*G205+2/input!M8*C205)</f>
        <v>1317.4045597092961</v>
      </c>
      <c r="AC205" s="143">
        <f>input!H8/2*(B205+F205+K205+G205+C205-H205-I205+D205+J205)/D205</f>
        <v>59.767465005014522</v>
      </c>
      <c r="AD205" s="165">
        <f>IF(OR(L205=1,L205=8,L205="a",L205="b",L205="c",L205="d"),input!M8-M205+input!K8/2,IF(OR(L205=2,L205=9),input!H8-M205+input!M8+input!K8/2,input!R8+input!P8-M205+input!M8+input!K8/2))</f>
        <v>2821.3940510080301</v>
      </c>
      <c r="AE205" s="143">
        <f>IF(OR(L205=1,L205=8,L205="a",L205="b",L205="c",L205="d"),ABS(input!M8/2-M205),IF(OR(L205=2,L205=9),input!H8-M205+input!M8/2,input!R8+input!P8-M205+input!M8/2))</f>
        <v>1412.3940510080304</v>
      </c>
      <c r="AF205" s="143">
        <f>IF(OR(L205=1,L205=8,L205="a",L205="b",L205="c",L205="d"),M205+input!H8/2,IF(OR(L205=2,L205=9),ABS(input!H8/2-M205),input!R8+input!P8-M205-input!H8/2))</f>
        <v>-2.605948991969683</v>
      </c>
      <c r="AG205" s="143">
        <f>IF(OR(L205=1,L205=8,L205="a",L205="b",L205="c",L205="d"),input!R8+input!P8/2+M205,IF(OR(L205=2,L205=9),input!R8+input!P8/2-input!H8+M205,ABS(input!P8/2-M205)))</f>
        <v>132.60594899196968</v>
      </c>
      <c r="AH205" s="143">
        <f>IF(OR(L205=1,L205=8,L205="a",L205="b",L205="c",L205="d"),input!M8-M205-input!AE8/2,IF(OR(L205=2,L205=9),input!H8-M205+input!M8-input!AE8/2,input!R8+input!P8-M205+input!M8-input!AE8/2))</f>
        <v>2732.3940510080301</v>
      </c>
      <c r="AI205" s="143">
        <f>IF(OR(L205=1,L205=8,L205="a",L205="b",L205="c",L205="d"),M205-input!AH8/2,IF(OR(L205=2,L205=9),input!H8-M205+input!AH8/2,input!R8+input!P8-M205+input!AH8/2))</f>
        <v>12.394051008030317</v>
      </c>
      <c r="AJ205" s="143">
        <f>IF(OR(L205=1,L205=8,L205="a",L205="b",L205="c",L205="d"),M205+input!R8+input!AB8,IF(OR(L205=2,L205=9),input!R8+input!AB8-input!H8+M205,IF(L205=3,input!AB8-(input!P8-M205),ABS(input!P8-input!AB8-M205))))</f>
        <v>27.605948991969683</v>
      </c>
      <c r="AK205" s="143">
        <f>IF(OR(L205=1,L205=8,L205="a",L205="b",L205="c",L205="d"),M205+input!R8+input!P8-input!Y8,IF(OR(L205=2,L205=9),input!R8+input!P8-input!Y8-input!H8+M205,ABS(input!Y8-M205)))</f>
        <v>227.60594899196968</v>
      </c>
      <c r="AL205" s="143">
        <f>IF(OR(L205=1,L205=8,L205="a",L205="b",L205="c",L205="d"),input!M8-M205-input!O8/2,IF(OR(L205=2,L205=9),input!H8-M205+input!M8-input!O8/2,0))</f>
        <v>0</v>
      </c>
      <c r="AM205" s="143">
        <f>IF(OR(L205=1,L205=8,L205="a",L205="b",L205="c",L205="d"),input!M8-M205-input!O8/2,IF(OR(L205=2,L205=9),input!H8-M205+input!M8-input!O8/2,input!R8+input!P8-M205+input!M8-input!O8/2))</f>
        <v>2812.3940510080301</v>
      </c>
      <c r="AN205" s="143">
        <f>C205/2/input!M8*(M205^2+(input!M8-M205)^2)+B205*AD205+D205*AF205+E205*AG205+F205*AH205+G205*AI205+H205*AJ205+I205*AK205+J205*AM205</f>
        <v>77420338.533257782</v>
      </c>
      <c r="AO205" s="143">
        <f>IF(input!AH8=0,0,1/2/input!AH8)*G205*(M205^2+(input!AH8-M205)^2)+D205*AF205+F205*AH205+C205/2/input!M8*(M205^2+(input!M8-M205)^2)+B205*AD205+E205*AG205+H205*AJ205+I205*AK205+J205*AM205</f>
        <v>77420338.533257782</v>
      </c>
      <c r="AP205" s="143">
        <f>+D205/2/input!H8*(M205^2+(input!H8-M205)^2)+B205*AD205+F205*AH205+G205*AI205+C205*AE205+E205*AG205+H205*AJ205+I205*AK205+J205*AM205</f>
        <v>110051437.60015412</v>
      </c>
      <c r="AQ205" s="143">
        <f>+(M205^2)/2/input!P8*E205+D205*AF205+F205*AH205+G205*AI205+C205*AE205+B205*AD205+H205*AJ205+I205*AK205+J205*AM205</f>
        <v>83743281.114864066</v>
      </c>
      <c r="AR205" s="143">
        <f>+(M205^2)/2/input!P8*E205+D205*AF205+F205*AH205+G205*AI205+C205*AE205+B205*AD205+I205*AK205+J205*AM205</f>
        <v>83683335.656769708</v>
      </c>
      <c r="AS205" s="143">
        <f>+(M205^2)/2/input!P8*E205+D205*AF205+F205*AH205+G205*AI205+C205*AE205+B205*AD205+H205*AJ205+I205*AK205+J205*AM205</f>
        <v>83743281.114864066</v>
      </c>
      <c r="AT205" s="143">
        <f>+(M205^2)/2/input!P8*E205+D205*AF205+F205*AH205+G205*AI205+C205*AE205+B205*AD205+H205*AJ205+J205*AM205</f>
        <v>83046326.58058241</v>
      </c>
      <c r="AU205" s="143">
        <f>+(M205^2)/2/input!P8*E205+D205*AF205+F205*AH205+G205*AI205+C205*AE205+B205*AD205+H205*AJ205+I205*AK205+J205*AM205</f>
        <v>83743281.114864066</v>
      </c>
      <c r="AV205" s="143">
        <f>IF(input!AE8=0,0,1/2/input!AE8)*F205*((input!M8-M205)^2+(input!AE8-input!M8+M205)^2)+C205/2/input!M8*(M205^2+(M205-input!M8)^2)+IF(input!O8=0,0,1/2/input!O8)*K205*(input!M8-M205)^2+B205*AD205+G205*AI205+D205*AF205+H205*AJ205+I205*AK205+J205*AM205</f>
        <v>138427609.22736827</v>
      </c>
      <c r="AW205" s="143">
        <f>+C205/2/input!M8*(M205^2+(M205-input!M8)^2)+IF(input!O8=0,0,1/2/input!O8)*K205*(input!M8-M205)^2+B205*AD205+F205*AH205+G205*AI205+D205*AF205+H205*AJ205+I205*AK205+J205*AM205</f>
        <v>71128020.49615258</v>
      </c>
      <c r="AX205" s="143">
        <f>C205/2/input!M8*(M205^2+(M205-input!M8)^2)+K205*AL205+B205*AD205+F205*AH205+G205*AI205+D205*AF205+H205*AJ205+I205*AK205+J205*AM205</f>
        <v>71128020.49615258</v>
      </c>
      <c r="AY205" s="143">
        <f>C205/2/input!M8*(M205^2+(M205-input!M8)^2)+IF(input!AH8=0,0,1/2/input!AH8)*G205*(M205^2+(input!AH8-M205)^2)+K205*AL205+B205*AD205+F205*AH205+D205*AF205+H205*AJ205+I205*AK205+J205*AM205</f>
        <v>71128020.49615258</v>
      </c>
      <c r="AZ205" s="143">
        <f>D205/2/input!H8*(M205^2+(input!H8-M205)^2)+B205*AD205+K205*AL205+F205*AH205+C205*AE205+G205*AI205+H205*AJ205+I205*AK205+J205*AM205</f>
        <v>103759119.56304891</v>
      </c>
      <c r="BA205" s="185"/>
    </row>
    <row r="206" spans="1:53" ht="15" customHeight="1">
      <c r="A206" s="579" t="str">
        <f>+input!B9</f>
        <v>104i</v>
      </c>
      <c r="B206" s="642">
        <f>+input!J9*input!K9*input!BJ9/1000</f>
        <v>13269.6</v>
      </c>
      <c r="C206" s="642">
        <f>+input!BQ9*input!N9*2*input!BK9/1000</f>
        <v>24041.652605426279</v>
      </c>
      <c r="D206" s="642">
        <f>+input!F9*input!G9*input!H9*input!BI9/1000</f>
        <v>11400</v>
      </c>
      <c r="E206" s="642">
        <f>0.85*Fck*input!P9*input!Q9/1000</f>
        <v>47451.25</v>
      </c>
      <c r="F206" s="642">
        <f>input!AD9*input!AE9*input!AF9*input!BN9/1000</f>
        <v>1945.6</v>
      </c>
      <c r="G206" s="642">
        <f>input!AG9*input!AH9*input!AI9*input!BM9/1000</f>
        <v>0</v>
      </c>
      <c r="H206" s="642">
        <f>input!CB9*Fys/1000</f>
        <v>2171.4688421612645</v>
      </c>
      <c r="I206" s="642">
        <f>input!BZ9*Fys/1000</f>
        <v>3062.1103594539709</v>
      </c>
      <c r="J206" s="642">
        <f>input!AC9*Fys/1000</f>
        <v>0</v>
      </c>
      <c r="K206" s="642">
        <f>input!BT9*0.85*Fckb/1000</f>
        <v>0</v>
      </c>
      <c r="L206" s="795">
        <f>IF(Stress!F838&lt;=0,IF(B206+F206+(input!M9-2*input!AH9)/input!M9*C206+J206&gt;=G206+D206+E206+H206+I206,1,IF(B206+F206+C206+G206+J206&gt;=D206+E206+H206+I206,"a",IF(B206+F206+C206+G206+D206+J206&gt;=E206+H206+I206,2,IF(B206+F206+C206+G206+D206+J206&gt;=(input!P9-input!AB9)/input!P9*E206+H206+I206,3,IF(B206+F206+C206+G206+D206+H206+J206&gt;=(input!P9-input!AB9)/input!P9*E206+I206,4,IF(B206+F206+C206+G206+D206+H206+J206&gt;=input!Y9/input!P9*E206+I206,5,IF(B206+F206+C206+G206+D206+H206+I206+J206&gt;=input!Y9/input!P9*E206,6,7))))))),IF(B206+F206+IF(input!O9=0,0,input!AE9/input!O9)*K206+input!AE9/input!M9*C206&gt;=(input!M9-input!AE9)*C206/input!M9+G206+D206+H206+I206,"b",IF(B206+F206+K206+input!O9/input!M9*C206&gt;=(input!M9-input!O9)/input!M9*C206+G206+D206+H206+I206,"c",IF(B206+F206+J206+K206+(input!M9-input!AH9)/input!M9*C206&gt;=G206+D206+H206+I206,8,IF(B206+F206+J206+K206+C206+G206&gt;=D206+H206+I206,"d",9)))))</f>
        <v>3</v>
      </c>
      <c r="M206" s="643">
        <f t="shared" si="0"/>
        <v>277.60594899196968</v>
      </c>
      <c r="N206" s="493">
        <f t="shared" si="1"/>
        <v>83743.281114864061</v>
      </c>
      <c r="O206" s="766"/>
      <c r="Q206" s="73">
        <f>input!M9/2*((B206+F206+J206-G206-D206-E206-H206-I206)/C206+1)</f>
        <v>-1445.789430749003</v>
      </c>
      <c r="R206" s="73">
        <f>(B206+F206+J206+C206+G206-D206-E206-H206-I206)/(2/input!M9*C206+IF(input!AH9=0,0,2/input!AH9)*G206)</f>
        <v>-1445.789430749003</v>
      </c>
      <c r="S206" s="73">
        <f>input!H9/2*(B206+F206+J206+C206+G206-E206-H206-I206+D206)/D206</f>
        <v>-2.6683902581433672</v>
      </c>
      <c r="T206" s="558">
        <f>input!P9*(B206+F206+J206+C206+G206+D206-H206-I206)/E206</f>
        <v>277.60594899196968</v>
      </c>
      <c r="U206" s="73">
        <f>input!P9-input!AB9</f>
        <v>250</v>
      </c>
      <c r="V206" s="558">
        <f>input!P9*(B206+F206+J206+C206+G206+D206+H206-I206)/E206</f>
        <v>304.1479669251861</v>
      </c>
      <c r="W206" s="73">
        <f>input!Y9</f>
        <v>50</v>
      </c>
      <c r="X206" s="558">
        <f>input!P9*(B206+F206+J206+C206+G206+D206+H206+I206)/E206</f>
        <v>341.57635940132326</v>
      </c>
      <c r="Y206" s="73">
        <f>(B206+C206+IF(input!O9=0,0,input!M9/input!O9)*K206+(IF(input!AE9=0,0,2*input!M9/input!AE9)-1)*F206-D206-G206-H206-I206)/(IF(input!AE9=0,0,2/input!AE9)*F206+IF(input!O9=0,0,1/input!O9)*K206+2/input!M9*C206)</f>
        <v>2092.6154196690845</v>
      </c>
      <c r="Z206" s="73">
        <f>(B206+C206+F206+IF(input!O9=0,0,input!M9/input!O9)*K206-D206-G206-H206-I206)/(IF(input!O9=0,0,1/input!O9)*K206+2/input!M9*C206)</f>
        <v>1317.4045597092961</v>
      </c>
      <c r="AA206" s="73">
        <f>input!M9/2*(B206+F206+J206+K206-G206-D206-H206-I206+C206)/C206</f>
        <v>1317.4045597092961</v>
      </c>
      <c r="AB206" s="73">
        <f>(B206+F206+J206+K206+G206+C206-D206-H206-I206)/(IF(input!AH9=0,0,2/input!AH9)*G206+2/input!M9*C206)</f>
        <v>1317.4045597092961</v>
      </c>
      <c r="AC206" s="143">
        <f>input!H9/2*(B206+F206+K206+G206+C206-H206-I206+D206+J206)/D206</f>
        <v>59.767465005014522</v>
      </c>
      <c r="AD206" s="165">
        <f>IF(OR(L206=1,L206=8,L206="a",L206="b",L206="c",L206="d"),input!M9-M206+input!K9/2,IF(OR(L206=2,L206=9),input!H9-M206+input!M9+input!K9/2,input!R9+input!P9-M206+input!M9+input!K9/2))</f>
        <v>2821.3940510080301</v>
      </c>
      <c r="AE206" s="143">
        <f>IF(OR(L206=1,L206=8,L206="a",L206="b",L206="c",L206="d"),ABS(input!M9/2-M206),IF(OR(L206=2,L206=9),input!H9-M206+input!M9/2,input!R9+input!P9-M206+input!M9/2))</f>
        <v>1412.3940510080304</v>
      </c>
      <c r="AF206" s="143">
        <f>IF(OR(L206=1,L206=8,L206="a",L206="b",L206="c",L206="d"),M206+input!H9/2,IF(OR(L206=2,L206=9),ABS(input!H9/2-M206),input!R9+input!P9-M206-input!H9/2))</f>
        <v>-2.605948991969683</v>
      </c>
      <c r="AG206" s="143">
        <f>IF(OR(L206=1,L206=8,L206="a",L206="b",L206="c",L206="d"),input!R9+input!P9/2+M206,IF(OR(L206=2,L206=9),input!R9+input!P9/2-input!H9+M206,ABS(input!P9/2-M206)))</f>
        <v>132.60594899196968</v>
      </c>
      <c r="AH206" s="143">
        <f>IF(OR(L206=1,L206=8,L206="a",L206="b",L206="c",L206="d"),input!M9-M206-input!AE9/2,IF(OR(L206=2,L206=9),input!H9-M206+input!M9-input!AE9/2,input!R9+input!P9-M206+input!M9-input!AE9/2))</f>
        <v>2732.3940510080301</v>
      </c>
      <c r="AI206" s="143">
        <f>IF(OR(L206=1,L206=8,L206="a",L206="b",L206="c",L206="d"),M206-input!AH9/2,IF(OR(L206=2,L206=9),input!H9-M206+input!AH9/2,input!R9+input!P9-M206+input!AH9/2))</f>
        <v>12.394051008030317</v>
      </c>
      <c r="AJ206" s="143">
        <f>IF(OR(L206=1,L206=8,L206="a",L206="b",L206="c",L206="d"),M206+input!R9+input!AB9,IF(OR(L206=2,L206=9),input!R9+input!AB9-input!H9+M206,IF(L206=3,input!AB9-(input!P9-M206),ABS(input!P9-input!AB9-M206))))</f>
        <v>27.605948991969683</v>
      </c>
      <c r="AK206" s="143">
        <f>IF(OR(L206=1,L206=8,L206="a",L206="b",L206="c",L206="d"),M206+input!R9+input!P9-input!Y9,IF(OR(L206=2,L206=9),input!R9+input!P9-input!Y9-input!H9+M206,ABS(input!Y9-M206)))</f>
        <v>227.60594899196968</v>
      </c>
      <c r="AL206" s="143">
        <f>IF(OR(L206=1,L206=8,L206="a",L206="b",L206="c",L206="d"),input!M9-M206-input!O9/2,IF(OR(L206=2,L206=9),input!H9-M206+input!M9-input!O9/2,0))</f>
        <v>0</v>
      </c>
      <c r="AM206" s="143">
        <f>IF(OR(L206=1,L206=8,L206="a",L206="b",L206="c",L206="d"),input!M9-M206-input!O9/2,IF(OR(L206=2,L206=9),input!H9-M206+input!M9-input!O9/2,input!R9+input!P9-M206+input!M9-input!O9/2))</f>
        <v>2812.3940510080301</v>
      </c>
      <c r="AN206" s="143">
        <f>C206/2/input!M9*(M206^2+(input!M9-M206)^2)+B206*AD206+D206*AF206+E206*AG206+F206*AH206+G206*AI206+H206*AJ206+I206*AK206+J206*AM206</f>
        <v>77420338.533257782</v>
      </c>
      <c r="AO206" s="143">
        <f>IF(input!AH9=0,0,1/2/input!AH9)*G206*(M206^2+(input!AH9-M206)^2)+D206*AF206+F206*AH206+C206/2/input!M9*(M206^2+(input!M9-M206)^2)+B206*AD206+E206*AG206+H206*AJ206+I206*AK206+J206*AM206</f>
        <v>77420338.533257782</v>
      </c>
      <c r="AP206" s="143">
        <f>+D206/2/input!H9*(M206^2+(input!H9-M206)^2)+B206*AD206+F206*AH206+G206*AI206+C206*AE206+E206*AG206+H206*AJ206+I206*AK206+J206*AM206</f>
        <v>110051437.60015412</v>
      </c>
      <c r="AQ206" s="143">
        <f>+(M206^2)/2/input!P9*E206+D206*AF206+F206*AH206+G206*AI206+C206*AE206+B206*AD206+H206*AJ206+I206*AK206+J206*AM206</f>
        <v>83743281.114864066</v>
      </c>
      <c r="AR206" s="143">
        <f>+(M206^2)/2/input!P9*E206+D206*AF206+F206*AH206+G206*AI206+C206*AE206+B206*AD206+I206*AK206+J206*AM206</f>
        <v>83683335.656769708</v>
      </c>
      <c r="AS206" s="143">
        <f>+(M206^2)/2/input!P9*E206+D206*AF206+F206*AH206+G206*AI206+C206*AE206+B206*AD206+H206*AJ206+I206*AK206+J206*AM206</f>
        <v>83743281.114864066</v>
      </c>
      <c r="AT206" s="143">
        <f>+(M206^2)/2/input!P9*E206+D206*AF206+F206*AH206+G206*AI206+C206*AE206+B206*AD206+H206*AJ206+J206*AM206</f>
        <v>83046326.58058241</v>
      </c>
      <c r="AU206" s="143">
        <f>+(M206^2)/2/input!P9*E206+D206*AF206+F206*AH206+G206*AI206+C206*AE206+B206*AD206+H206*AJ206+I206*AK206+J206*AM206</f>
        <v>83743281.114864066</v>
      </c>
      <c r="AV206" s="143">
        <f>IF(input!AE9=0,0,1/2/input!AE9)*F206*((input!M9-M206)^2+(input!AE9-input!M9+M206)^2)+C206/2/input!M9*(M206^2+(M206-input!M9)^2)+IF(input!O9=0,0,1/2/input!O9)*K206*(input!M9-M206)^2+B206*AD206+G206*AI206+D206*AF206+H206*AJ206+I206*AK206+J206*AM206</f>
        <v>138427609.22736827</v>
      </c>
      <c r="AW206" s="143">
        <f>+C206/2/input!M9*(M206^2+(M206-input!M9)^2)+IF(input!O9=0,0,1/2/input!O9)*K206*(input!M9-M206)^2+B206*AD206+F206*AH206+G206*AI206+D206*AF206+H206*AJ206+I206*AK206+J206*AM206</f>
        <v>71128020.49615258</v>
      </c>
      <c r="AX206" s="143">
        <f>C206/2/input!M9*(M206^2+(M206-input!M9)^2)+K206*AL206+B206*AD206+F206*AH206+G206*AI206+D206*AF206+H206*AJ206+I206*AK206+J206*AM206</f>
        <v>71128020.49615258</v>
      </c>
      <c r="AY206" s="143">
        <f>C206/2/input!M9*(M206^2+(M206-input!M9)^2)+IF(input!AH9=0,0,1/2/input!AH9)*G206*(M206^2+(input!AH9-M206)^2)+K206*AL206+B206*AD206+F206*AH206+D206*AF206+H206*AJ206+I206*AK206+J206*AM206</f>
        <v>71128020.49615258</v>
      </c>
      <c r="AZ206" s="143">
        <f>D206/2/input!H9*(M206^2+(input!H9-M206)^2)+B206*AD206+K206*AL206+F206*AH206+C206*AE206+G206*AI206+H206*AJ206+I206*AK206+J206*AM206</f>
        <v>103759119.56304891</v>
      </c>
      <c r="BA206" s="185"/>
    </row>
    <row r="207" spans="1:53" ht="15" customHeight="1">
      <c r="A207" s="579" t="str">
        <f>+input!B10</f>
        <v>104j</v>
      </c>
      <c r="B207" s="642">
        <f>+input!J10*input!K10*input!BJ10/1000</f>
        <v>13269.6</v>
      </c>
      <c r="C207" s="642">
        <f>+input!BQ10*input!N10*2*input!BK10/1000</f>
        <v>24041.652605426279</v>
      </c>
      <c r="D207" s="642">
        <f>+input!F10*input!G10*input!H10*input!BI10/1000</f>
        <v>11400</v>
      </c>
      <c r="E207" s="642">
        <f>0.85*Fck*input!P10*input!Q10/1000</f>
        <v>47451.25</v>
      </c>
      <c r="F207" s="642">
        <f>input!AD10*input!AE10*input!AF10*input!BN10/1000</f>
        <v>1945.6</v>
      </c>
      <c r="G207" s="642">
        <f>input!AG10*input!AH10*input!AI10*input!BM10/1000</f>
        <v>0</v>
      </c>
      <c r="H207" s="642">
        <f>input!CB10*Fys/1000</f>
        <v>2171.4688421612645</v>
      </c>
      <c r="I207" s="642">
        <f>input!BZ10*Fys/1000</f>
        <v>3062.1103594539709</v>
      </c>
      <c r="J207" s="642">
        <f>input!AC10*Fys/1000</f>
        <v>0</v>
      </c>
      <c r="K207" s="642">
        <f>input!BT10*0.85*Fckb/1000</f>
        <v>0</v>
      </c>
      <c r="L207" s="795">
        <f>IF(Stress!F839&lt;=0,IF(B207+F207+(input!M10-2*input!AH10)/input!M10*C207+J207&gt;=G207+D207+E207+H207+I207,1,IF(B207+F207+C207+G207+J207&gt;=D207+E207+H207+I207,"a",IF(B207+F207+C207+G207+D207+J207&gt;=E207+H207+I207,2,IF(B207+F207+C207+G207+D207+J207&gt;=(input!P10-input!AB10)/input!P10*E207+H207+I207,3,IF(B207+F207+C207+G207+D207+H207+J207&gt;=(input!P10-input!AB10)/input!P10*E207+I207,4,IF(B207+F207+C207+G207+D207+H207+J207&gt;=input!Y10/input!P10*E207+I207,5,IF(B207+F207+C207+G207+D207+H207+I207+J207&gt;=input!Y10/input!P10*E207,6,7))))))),IF(B207+F207+IF(input!O10=0,0,input!AE10/input!O10)*K207+input!AE10/input!M10*C207&gt;=(input!M10-input!AE10)*C207/input!M10+G207+D207+H207+I207,"b",IF(B207+F207+K207+input!O10/input!M10*C207&gt;=(input!M10-input!O10)/input!M10*C207+G207+D207+H207+I207,"c",IF(B207+F207+J207+K207+(input!M10-input!AH10)/input!M10*C207&gt;=G207+D207+H207+I207,8,IF(B207+F207+J207+K207+C207+G207&gt;=D207+H207+I207,"d",9)))))</f>
        <v>3</v>
      </c>
      <c r="M207" s="643">
        <f t="shared" si="0"/>
        <v>277.60594899196968</v>
      </c>
      <c r="N207" s="493">
        <f t="shared" si="1"/>
        <v>83743.281114864061</v>
      </c>
      <c r="O207" s="766"/>
      <c r="Q207" s="73">
        <f>input!M10/2*((B207+F207+J207-G207-D207-E207-H207-I207)/C207+1)</f>
        <v>-1445.789430749003</v>
      </c>
      <c r="R207" s="73">
        <f>(B207+F207+J207+C207+G207-D207-E207-H207-I207)/(2/input!M10*C207+IF(input!AH10=0,0,2/input!AH10)*G207)</f>
        <v>-1445.789430749003</v>
      </c>
      <c r="S207" s="73">
        <f>input!H10/2*(B207+F207+J207+C207+G207-E207-H207-I207+D207)/D207</f>
        <v>-2.6683902581433672</v>
      </c>
      <c r="T207" s="558">
        <f>input!P10*(B207+F207+J207+C207+G207+D207-H207-I207)/E207</f>
        <v>277.60594899196968</v>
      </c>
      <c r="U207" s="73">
        <f>input!P10-input!AB10</f>
        <v>250</v>
      </c>
      <c r="V207" s="558">
        <f>input!P10*(B207+F207+J207+C207+G207+D207+H207-I207)/E207</f>
        <v>304.1479669251861</v>
      </c>
      <c r="W207" s="73">
        <f>input!Y10</f>
        <v>50</v>
      </c>
      <c r="X207" s="558">
        <f>input!P10*(B207+F207+J207+C207+G207+D207+H207+I207)/E207</f>
        <v>341.57635940132326</v>
      </c>
      <c r="Y207" s="73">
        <f>(B207+C207+IF(input!O10=0,0,input!M10/input!O10)*K207+(IF(input!AE10=0,0,2*input!M10/input!AE10)-1)*F207-D207-G207-H207-I207)/(IF(input!AE10=0,0,2/input!AE10)*F207+IF(input!O10=0,0,1/input!O10)*K207+2/input!M10*C207)</f>
        <v>2092.6154196690845</v>
      </c>
      <c r="Z207" s="73">
        <f>(B207+C207+F207+IF(input!O10=0,0,input!M10/input!O10)*K207-D207-G207-H207-I207)/(IF(input!O10=0,0,1/input!O10)*K207+2/input!M10*C207)</f>
        <v>1317.4045597092961</v>
      </c>
      <c r="AA207" s="73">
        <f>input!M10/2*(B207+F207+J207+K207-G207-D207-H207-I207+C207)/C207</f>
        <v>1317.4045597092961</v>
      </c>
      <c r="AB207" s="73">
        <f>(B207+F207+J207+K207+G207+C207-D207-H207-I207)/(IF(input!AH10=0,0,2/input!AH10)*G207+2/input!M10*C207)</f>
        <v>1317.4045597092961</v>
      </c>
      <c r="AC207" s="143">
        <f>input!H10/2*(B207+F207+K207+G207+C207-H207-I207+D207+J207)/D207</f>
        <v>59.767465005014522</v>
      </c>
      <c r="AD207" s="165">
        <f>IF(OR(L207=1,L207=8,L207="a",L207="b",L207="c",L207="d"),input!M10-M207+input!K10/2,IF(OR(L207=2,L207=9),input!H10-M207+input!M10+input!K10/2,input!R10+input!P10-M207+input!M10+input!K10/2))</f>
        <v>2821.3940510080301</v>
      </c>
      <c r="AE207" s="143">
        <f>IF(OR(L207=1,L207=8,L207="a",L207="b",L207="c",L207="d"),ABS(input!M10/2-M207),IF(OR(L207=2,L207=9),input!H10-M207+input!M10/2,input!R10+input!P10-M207+input!M10/2))</f>
        <v>1412.3940510080304</v>
      </c>
      <c r="AF207" s="143">
        <f>IF(OR(L207=1,L207=8,L207="a",L207="b",L207="c",L207="d"),M207+input!H10/2,IF(OR(L207=2,L207=9),ABS(input!H10/2-M207),input!R10+input!P10-M207-input!H10/2))</f>
        <v>-2.605948991969683</v>
      </c>
      <c r="AG207" s="143">
        <f>IF(OR(L207=1,L207=8,L207="a",L207="b",L207="c",L207="d"),input!R10+input!P10/2+M207,IF(OR(L207=2,L207=9),input!R10+input!P10/2-input!H10+M207,ABS(input!P10/2-M207)))</f>
        <v>132.60594899196968</v>
      </c>
      <c r="AH207" s="143">
        <f>IF(OR(L207=1,L207=8,L207="a",L207="b",L207="c",L207="d"),input!M10-M207-input!AE10/2,IF(OR(L207=2,L207=9),input!H10-M207+input!M10-input!AE10/2,input!R10+input!P10-M207+input!M10-input!AE10/2))</f>
        <v>2732.3940510080301</v>
      </c>
      <c r="AI207" s="143">
        <f>IF(OR(L207=1,L207=8,L207="a",L207="b",L207="c",L207="d"),M207-input!AH10/2,IF(OR(L207=2,L207=9),input!H10-M207+input!AH10/2,input!R10+input!P10-M207+input!AH10/2))</f>
        <v>12.394051008030317</v>
      </c>
      <c r="AJ207" s="143">
        <f>IF(OR(L207=1,L207=8,L207="a",L207="b",L207="c",L207="d"),M207+input!R10+input!AB10,IF(OR(L207=2,L207=9),input!R10+input!AB10-input!H10+M207,IF(L207=3,input!AB10-(input!P10-M207),ABS(input!P10-input!AB10-M207))))</f>
        <v>27.605948991969683</v>
      </c>
      <c r="AK207" s="143">
        <f>IF(OR(L207=1,L207=8,L207="a",L207="b",L207="c",L207="d"),M207+input!R10+input!P10-input!Y10,IF(OR(L207=2,L207=9),input!R10+input!P10-input!Y10-input!H10+M207,ABS(input!Y10-M207)))</f>
        <v>227.60594899196968</v>
      </c>
      <c r="AL207" s="143">
        <f>IF(OR(L207=1,L207=8,L207="a",L207="b",L207="c",L207="d"),input!M10-M207-input!O10/2,IF(OR(L207=2,L207=9),input!H10-M207+input!M10-input!O10/2,0))</f>
        <v>0</v>
      </c>
      <c r="AM207" s="143">
        <f>IF(OR(L207=1,L207=8,L207="a",L207="b",L207="c",L207="d"),input!M10-M207-input!O10/2,IF(OR(L207=2,L207=9),input!H10-M207+input!M10-input!O10/2,input!R10+input!P10-M207+input!M10-input!O10/2))</f>
        <v>2812.3940510080301</v>
      </c>
      <c r="AN207" s="143">
        <f>C207/2/input!M10*(M207^2+(input!M10-M207)^2)+B207*AD207+D207*AF207+E207*AG207+F207*AH207+G207*AI207+H207*AJ207+I207*AK207+J207*AM207</f>
        <v>77420338.533257782</v>
      </c>
      <c r="AO207" s="143">
        <f>IF(input!AH10=0,0,1/2/input!AH10)*G207*(M207^2+(input!AH10-M207)^2)+D207*AF207+F207*AH207+C207/2/input!M10*(M207^2+(input!M10-M207)^2)+B207*AD207+E207*AG207+H207*AJ207+I207*AK207+J207*AM207</f>
        <v>77420338.533257782</v>
      </c>
      <c r="AP207" s="143">
        <f>+D207/2/input!H10*(M207^2+(input!H10-M207)^2)+B207*AD207+F207*AH207+G207*AI207+C207*AE207+E207*AG207+H207*AJ207+I207*AK207+J207*AM207</f>
        <v>110051437.60015412</v>
      </c>
      <c r="AQ207" s="143">
        <f>+(M207^2)/2/input!P10*E207+D207*AF207+F207*AH207+G207*AI207+C207*AE207+B207*AD207+H207*AJ207+I207*AK207+J207*AM207</f>
        <v>83743281.114864066</v>
      </c>
      <c r="AR207" s="143">
        <f>+(M207^2)/2/input!P10*E207+D207*AF207+F207*AH207+G207*AI207+C207*AE207+B207*AD207+I207*AK207+J207*AM207</f>
        <v>83683335.656769708</v>
      </c>
      <c r="AS207" s="143">
        <f>+(M207^2)/2/input!P10*E207+D207*AF207+F207*AH207+G207*AI207+C207*AE207+B207*AD207+H207*AJ207+I207*AK207+J207*AM207</f>
        <v>83743281.114864066</v>
      </c>
      <c r="AT207" s="143">
        <f>+(M207^2)/2/input!P10*E207+D207*AF207+F207*AH207+G207*AI207+C207*AE207+B207*AD207+H207*AJ207+J207*AM207</f>
        <v>83046326.58058241</v>
      </c>
      <c r="AU207" s="143">
        <f>+(M207^2)/2/input!P10*E207+D207*AF207+F207*AH207+G207*AI207+C207*AE207+B207*AD207+H207*AJ207+I207*AK207+J207*AM207</f>
        <v>83743281.114864066</v>
      </c>
      <c r="AV207" s="143">
        <f>IF(input!AE10=0,0,1/2/input!AE10)*F207*((input!M10-M207)^2+(input!AE10-input!M10+M207)^2)+C207/2/input!M10*(M207^2+(M207-input!M10)^2)+IF(input!O10=0,0,1/2/input!O10)*K207*(input!M10-M207)^2+B207*AD207+G207*AI207+D207*AF207+H207*AJ207+I207*AK207+J207*AM207</f>
        <v>138427609.22736827</v>
      </c>
      <c r="AW207" s="143">
        <f>+C207/2/input!M10*(M207^2+(M207-input!M10)^2)+IF(input!O10=0,0,1/2/input!O10)*K207*(input!M10-M207)^2+B207*AD207+F207*AH207+G207*AI207+D207*AF207+H207*AJ207+I207*AK207+J207*AM207</f>
        <v>71128020.49615258</v>
      </c>
      <c r="AX207" s="143">
        <f>C207/2/input!M10*(M207^2+(M207-input!M10)^2)+K207*AL207+B207*AD207+F207*AH207+G207*AI207+D207*AF207+H207*AJ207+I207*AK207+J207*AM207</f>
        <v>71128020.49615258</v>
      </c>
      <c r="AY207" s="143">
        <f>C207/2/input!M10*(M207^2+(M207-input!M10)^2)+IF(input!AH10=0,0,1/2/input!AH10)*G207*(M207^2+(input!AH10-M207)^2)+K207*AL207+B207*AD207+F207*AH207+D207*AF207+H207*AJ207+I207*AK207+J207*AM207</f>
        <v>71128020.49615258</v>
      </c>
      <c r="AZ207" s="143">
        <f>D207/2/input!H10*(M207^2+(input!H10-M207)^2)+B207*AD207+K207*AL207+F207*AH207+C207*AE207+G207*AI207+H207*AJ207+I207*AK207+J207*AM207</f>
        <v>103759119.56304891</v>
      </c>
      <c r="BA207" s="185"/>
    </row>
    <row r="208" spans="1:53" ht="15" customHeight="1">
      <c r="A208" s="579" t="str">
        <f>+input!B11</f>
        <v>105i</v>
      </c>
      <c r="B208" s="642">
        <f>+input!J11*input!K11*input!BJ11/1000</f>
        <v>25064.799999999999</v>
      </c>
      <c r="C208" s="642">
        <f>+input!BQ11*input!N11*2*input!BK11/1000</f>
        <v>24041.652605426279</v>
      </c>
      <c r="D208" s="642">
        <f>+input!F11*input!G11*input!H11*input!BI11/1000</f>
        <v>14440</v>
      </c>
      <c r="E208" s="642">
        <f>0.85*Fck*input!P11*input!Q11/1000</f>
        <v>47451.25</v>
      </c>
      <c r="F208" s="642">
        <f>input!AD11*input!AE11*input!AF11*input!BN11/1000</f>
        <v>1945.6</v>
      </c>
      <c r="G208" s="642">
        <f>input!AG11*input!AH11*input!AI11*input!BM11/1000</f>
        <v>0</v>
      </c>
      <c r="H208" s="642">
        <f>input!CB11*Fys/1000</f>
        <v>2171.4688421612645</v>
      </c>
      <c r="I208" s="642">
        <f>input!BZ11*Fys/1000</f>
        <v>3062.1103594539709</v>
      </c>
      <c r="J208" s="642">
        <f>input!AC11*Fys/1000</f>
        <v>0</v>
      </c>
      <c r="K208" s="642">
        <f>input!BT11*0.85*Fckb/1000</f>
        <v>0</v>
      </c>
      <c r="L208" s="795">
        <f>IF(Stress!F840&lt;=0,IF(B208+F208+(input!M11-2*input!AH11)/input!M11*C208+J208&gt;=G208+D208+E208+H208+I208,1,IF(B208+F208+C208+G208+J208&gt;=D208+E208+H208+I208,"a",IF(B208+F208+C208+G208+D208+J208&gt;=E208+H208+I208,2,IF(B208+F208+C208+G208+D208+J208&gt;=(input!P11-input!AB11)/input!P11*E208+H208+I208,3,IF(B208+F208+C208+G208+D208+H208+J208&gt;=(input!P11-input!AB11)/input!P11*E208+I208,4,IF(B208+F208+C208+G208+D208+H208+J208&gt;=input!Y11/input!P11*E208+I208,5,IF(B208+F208+C208+G208+D208+H208+I208+J208&gt;=input!Y11/input!P11*E208,6,7))))))),IF(B208+F208+IF(input!O11=0,0,input!AE11/input!O11)*K208+input!AE11/input!M11*C208&gt;=(input!M11-input!AE11)*C208/input!M11+G208+D208+H208+I208,"b",IF(B208+F208+K208+input!O11/input!M11*C208&gt;=(input!M11-input!O11)/input!M11*C208+G208+D208+H208+I208,"c",IF(B208+F208+J208+K208+(input!M11-input!AH11)/input!M11*C208&gt;=G208+D208+H208+I208,8,IF(B208+F208+J208+K208+C208+G208&gt;=D208+H208+I208,"d",9)))))</f>
        <v>2</v>
      </c>
      <c r="M208" s="643">
        <f t="shared" si="0"/>
        <v>16.851609741856628</v>
      </c>
      <c r="N208" s="493">
        <f>INDEX($AN$200:$AZ$261,(ROW(L208)-ROW($L$200)+1),MATCH(L208,$AN$199:$AZ$199,0))/1000</f>
        <v>117364.48706155812</v>
      </c>
      <c r="O208" s="766"/>
      <c r="Q208" s="73">
        <f>input!M11/2*((B208+F208+J208-G208-D208-E208-H208-I208)/C208+1)</f>
        <v>-935.95426254457266</v>
      </c>
      <c r="R208" s="73">
        <f>(B208+F208+J208+C208+G208-D208-E208-H208-I208)/(2/input!M11*C208+IF(input!AH11=0,0,2/input!AH11)*G208)</f>
        <v>-935.95426254457232</v>
      </c>
      <c r="S208" s="73">
        <f>input!H11/2*(B208+F208+J208+C208+G208-E208-H208-I208+D208)/D208</f>
        <v>16.851609741856628</v>
      </c>
      <c r="T208" s="558">
        <f>input!P11*(B208+F208+J208+C208+G208+D208-H208-I208)/E208</f>
        <v>368.27180078723319</v>
      </c>
      <c r="U208" s="73">
        <f>input!P11-input!AB11</f>
        <v>250</v>
      </c>
      <c r="V208" s="558">
        <f>input!P11*(B208+F208+J208+C208+G208+D208+H208-I208)/E208</f>
        <v>394.8138187204496</v>
      </c>
      <c r="W208" s="73">
        <f>input!Y11</f>
        <v>50</v>
      </c>
      <c r="X208" s="558">
        <f>input!P11*(B208+F208+J208+C208+G208+D208+H208+I208)/E208</f>
        <v>432.24221119658682</v>
      </c>
      <c r="Y208" s="73">
        <f>(B208+C208+IF(input!O11=0,0,input!M11/input!O11)*K208+(IF(input!AE11=0,0,2*input!M11/input!AE11)-1)*F208-D208-G208-H208-I208)/(IF(input!AE11=0,0,2/input!AE11)*F208+IF(input!O11=0,0,1/input!O11)*K208+2/input!M11*C208)</f>
        <v>2303.6216737993605</v>
      </c>
      <c r="Z208" s="73">
        <f>(B208+C208+F208+IF(input!O11=0,0,input!M11/input!O11)*K208-D208-G208-H208-I208)/(IF(input!O11=0,0,1/input!O11)*K208+2/input!M11*C208)</f>
        <v>1827.2397279137272</v>
      </c>
      <c r="AA208" s="73">
        <f>input!M11/2*(B208+F208+J208+K208-G208-D208-H208-I208+C208)/C208</f>
        <v>1827.2397279137267</v>
      </c>
      <c r="AB208" s="73">
        <f>(B208+F208+J208+K208+G208+C208-D208-H208-I208)/(IF(input!AH11=0,0,2/input!AH11)*G208+2/input!M11*C208)</f>
        <v>1827.2397279137267</v>
      </c>
      <c r="AC208" s="143">
        <f>input!H11/2*(B208+F208+K208+G208+C208-H208-I208+D208+J208)/D208</f>
        <v>79.287465005014525</v>
      </c>
      <c r="AD208" s="165">
        <f>IF(OR(L208=1,L208=8,L208="a",L208="b",L208="c",L208="d"),input!M11-M208+input!K11/2,IF(OR(L208=2,L208=9),input!H11-M208+input!M11+input!K11/2,input!R11+input!P11-M208+input!M11+input!K11/2))</f>
        <v>2838.1483902581435</v>
      </c>
      <c r="AE208" s="143">
        <f>IF(OR(L208=1,L208=8,L208="a",L208="b",L208="c",L208="d"),ABS(input!M11/2-M208),IF(OR(L208=2,L208=9),input!H11-M208+input!M11/2,input!R11+input!P11-M208+input!M11/2))</f>
        <v>1421.1483902581433</v>
      </c>
      <c r="AF208" s="143">
        <f>IF(OR(L208=1,L208=8,L208="a",L208="b",L208="c",L208="d"),M208+input!H11/2,IF(OR(L208=2,L208=9),ABS(input!H11/2-M208),input!R11+input!P11-M208-input!H11/2))</f>
        <v>2.1483902581433725</v>
      </c>
      <c r="AG208" s="143">
        <f>IF(OR(L208=1,L208=8,L208="a",L208="b",L208="c",L208="d"),input!R11+input!P11/2+M208,IF(OR(L208=2,L208=9),input!R11+input!P11/2-input!H11+M208,ABS(input!P11/2-M208)))</f>
        <v>123.85160974185663</v>
      </c>
      <c r="AH208" s="143">
        <f>IF(OR(L208=1,L208=8,L208="a",L208="b",L208="c",L208="d"),input!M11-M208-input!AE11/2,IF(OR(L208=2,L208=9),input!H11-M208+input!M11-input!AE11/2,input!R11+input!P11-M208+input!M11-input!AE11/2))</f>
        <v>2741.1483902581435</v>
      </c>
      <c r="AI208" s="143">
        <f>IF(OR(L208=1,L208=8,L208="a",L208="b",L208="c",L208="d"),M208-input!AH11/2,IF(OR(L208=2,L208=9),input!H11-M208+input!AH11/2,input!R11+input!P11-M208+input!AH11/2))</f>
        <v>21.148390258143372</v>
      </c>
      <c r="AJ208" s="143">
        <f>IF(OR(L208=1,L208=8,L208="a",L208="b",L208="c",L208="d"),M208+input!R11+input!AB11,IF(OR(L208=2,L208=9),input!R11+input!AB11-input!H11+M208,IF(L208=3,input!AB11-(input!P11-M208),ABS(input!P11-input!AB11-M208))))</f>
        <v>18.851609741856628</v>
      </c>
      <c r="AK208" s="143">
        <f>IF(OR(L208=1,L208=8,L208="a",L208="b",L208="c",L208="d"),M208+input!R11+input!P11-input!Y11,IF(OR(L208=2,L208=9),input!R11+input!P11-input!Y11-input!H11+M208,ABS(input!Y11-M208)))</f>
        <v>218.85160974185663</v>
      </c>
      <c r="AL208" s="143">
        <f>IF(OR(L208=1,L208=8,L208="a",L208="b",L208="c",L208="d"),input!M11-M208-input!O11/2,IF(OR(L208=2,L208=9),input!H11-M208+input!M11-input!O11/2,0))</f>
        <v>2821.1483902581435</v>
      </c>
      <c r="AM208" s="143">
        <f>IF(OR(L208=1,L208=8,L208="a",L208="b",L208="c",L208="d"),input!M11-M208-input!O11/2,IF(OR(L208=2,L208=9),input!H11-M208+input!M11-input!O11/2,input!R11+input!P11-M208+input!M11-input!O11/2))</f>
        <v>2821.1483902581435</v>
      </c>
      <c r="AN208" s="143">
        <f>C208/2/input!M11*(M208^2+(input!M11-M208)^2)+B208*AD208+D208*AF208+E208*AG208+F208*AH208+G208*AI208+H208*AJ208+I208*AK208+J208*AM208</f>
        <v>116345431.40806766</v>
      </c>
      <c r="AO208" s="143">
        <f>IF(input!AH11=0,0,1/2/input!AH11)*G208*(M208^2+(input!AH11-M208)^2)+D208*AF208+F208*AH208+C208/2/input!M11*(M208^2+(input!M11-M208)^2)+B208*AD208+E208*AG208+H208*AJ208+I208*AK208+J208*AM208</f>
        <v>116345431.40806764</v>
      </c>
      <c r="AP208" s="143">
        <f>+D208/2/input!H11*(M208^2+(input!H11-M208)^2)+B208*AD208+F208*AH208+G208*AI208+C208*AE208+E208*AG208+H208*AJ208+I208*AK208+J208*AM208</f>
        <v>117364487.06155811</v>
      </c>
      <c r="AQ208" s="143">
        <f>+(M208^2)/2/input!P11*E208+D208*AF208+F208*AH208+G208*AI208+C208*AE208+B208*AD208+H208*AJ208+I208*AK208+J208*AM208</f>
        <v>111402895.04738829</v>
      </c>
      <c r="AR208" s="143">
        <f>+(M208^2)/2/input!P11*E208+D208*AF208+F208*AH208+G208*AI208+C208*AE208+B208*AD208+I208*AK208+J208*AM208</f>
        <v>111361959.36420926</v>
      </c>
      <c r="AS208" s="143">
        <f>+(M208^2)/2/input!P11*E208+D208*AF208+F208*AH208+G208*AI208+C208*AE208+B208*AD208+H208*AJ208+I208*AK208+J208*AM208</f>
        <v>111402895.04738829</v>
      </c>
      <c r="AT208" s="143">
        <f>+(M208^2)/2/input!P11*E208+D208*AF208+F208*AH208+G208*AI208+C208*AE208+B208*AD208+H208*AJ208+J208*AM208</f>
        <v>110732747.26601458</v>
      </c>
      <c r="AU208" s="143">
        <f>+(M208^2)/2/input!P11*E208+D208*AF208+F208*AH208+G208*AI208+C208*AE208+B208*AD208+H208*AJ208+I208*AK208+J208*AM208</f>
        <v>111402895.04738829</v>
      </c>
      <c r="AV208" s="143">
        <f>IF(input!AE11=0,0,1/2/input!AE11)*F208*((input!M11-M208)^2+(input!AE11-input!M11+M208)^2)+C208/2/input!M11*(M208^2+(M208-input!M11)^2)+IF(input!O11=0,0,1/2/input!O11)*K208*(input!M11-M208)^2+B208*AD208+G208*AI208+D208*AF208+H208*AJ208+I208*AK208+J208*AM208</f>
        <v>194066419.83544126</v>
      </c>
      <c r="AW208" s="143">
        <f>+C208/2/input!M11*(M208^2+(M208-input!M11)^2)+IF(input!O11=0,0,1/2/input!O11)*K208*(input!M11-M208)^2+B208*AD208+F208*AH208+G208*AI208+D208*AF208+H208*AJ208+I208*AK208+J208*AM208</f>
        <v>110468517.71130438</v>
      </c>
      <c r="AX208" s="143">
        <f>C208/2/input!M11*(M208^2+(M208-input!M11)^2)+K208*AL208+B208*AD208+F208*AH208+G208*AI208+D208*AF208+H208*AJ208+I208*AK208+J208*AM208</f>
        <v>110468517.71130438</v>
      </c>
      <c r="AY208" s="143">
        <f>C208/2/input!M11*(M208^2+(M208-input!M11)^2)+IF(input!AH11=0,0,1/2/input!AH11)*G208*(M208^2+(input!AH11-M208)^2)+K208*AL208+B208*AD208+F208*AH208+D208*AF208+H208*AJ208+I208*AK208+J208*AM208</f>
        <v>110468517.71130438</v>
      </c>
      <c r="AZ208" s="143">
        <f>D208/2/input!H11*(M208^2+(input!H11-M208)^2)+B208*AD208+K208*AL208+F208*AH208+C208*AE208+G208*AI208+H208*AJ208+I208*AK208+J208*AM208</f>
        <v>111487573.36479484</v>
      </c>
      <c r="BA208" s="185"/>
    </row>
    <row r="209" spans="1:54" ht="15" customHeight="1">
      <c r="A209" s="579" t="str">
        <f>+input!B12</f>
        <v>105j</v>
      </c>
      <c r="B209" s="642">
        <f>+input!J12*input!K12*input!BJ12/1000</f>
        <v>25064.799999999999</v>
      </c>
      <c r="C209" s="642">
        <f>+input!BQ12*input!N12*2*input!BK12/1000</f>
        <v>24041.652605426279</v>
      </c>
      <c r="D209" s="642">
        <f>+input!F12*input!G12*input!H12*input!BI12/1000</f>
        <v>14440</v>
      </c>
      <c r="E209" s="642">
        <f>0.85*Fck*input!P12*input!Q12/1000</f>
        <v>47451.25</v>
      </c>
      <c r="F209" s="642">
        <f>input!AD12*input!AE12*input!AF12*input!BN12/1000</f>
        <v>1945.6</v>
      </c>
      <c r="G209" s="642">
        <f>input!AG12*input!AH12*input!AI12*input!BM12/1000</f>
        <v>0</v>
      </c>
      <c r="H209" s="642">
        <f>input!CB12*Fys/1000</f>
        <v>2171.4688421612645</v>
      </c>
      <c r="I209" s="642">
        <f>input!BZ12*Fys/1000</f>
        <v>3062.1103594539709</v>
      </c>
      <c r="J209" s="642">
        <f>input!AC12*Fys/1000</f>
        <v>0</v>
      </c>
      <c r="K209" s="642">
        <f>input!BT12*0.85*Fckb/1000</f>
        <v>0</v>
      </c>
      <c r="L209" s="795">
        <f>IF(Stress!F841&lt;=0,IF(B209+F209+(input!M12-2*input!AH12)/input!M12*C209+J209&gt;=G209+D209+E209+H209+I209,1,IF(B209+F209+C209+G209+J209&gt;=D209+E209+H209+I209,"a",IF(B209+F209+C209+G209+D209+J209&gt;=E209+H209+I209,2,IF(B209+F209+C209+G209+D209+J209&gt;=(input!P12-input!AB12)/input!P12*E209+H209+I209,3,IF(B209+F209+C209+G209+D209+H209+J209&gt;=(input!P12-input!AB12)/input!P12*E209+I209,4,IF(B209+F209+C209+G209+D209+H209+J209&gt;=input!Y12/input!P12*E209+I209,5,IF(B209+F209+C209+G209+D209+H209+I209+J209&gt;=input!Y12/input!P12*E209,6,7))))))),IF(B209+F209+IF(input!O12=0,0,input!AE12/input!O12)*K209+input!AE12/input!M12*C209&gt;=(input!M12-input!AE12)*C209/input!M12+G209+D209+H209+I209,"b",IF(B209+F209+K209+input!O12/input!M12*C209&gt;=(input!M12-input!O12)/input!M12*C209+G209+D209+H209+I209,"c",IF(B209+F209+J209+K209+(input!M12-input!AH12)/input!M12*C209&gt;=G209+D209+H209+I209,8,IF(B209+F209+J209+K209+C209+G209&gt;=D209+H209+I209,"d",9)))))</f>
        <v>2</v>
      </c>
      <c r="M209" s="643">
        <f t="shared" si="0"/>
        <v>16.851609741856628</v>
      </c>
      <c r="N209" s="493">
        <f t="shared" si="1"/>
        <v>117364.48706155812</v>
      </c>
      <c r="O209" s="766"/>
      <c r="Q209" s="73">
        <f>input!M12/2*((B209+F209+J209-G209-D209-E209-H209-I209)/C209+1)</f>
        <v>-935.95426254457266</v>
      </c>
      <c r="R209" s="73">
        <f>(B209+F209+J209+C209+G209-D209-E209-H209-I209)/(2/input!M12*C209+IF(input!AH12=0,0,2/input!AH12)*G209)</f>
        <v>-935.95426254457232</v>
      </c>
      <c r="S209" s="73">
        <f>input!H12/2*(B209+F209+J209+C209+G209-E209-H209-I209+D209)/D209</f>
        <v>16.851609741856628</v>
      </c>
      <c r="T209" s="558">
        <f>input!P12*(B209+F209+J209+C209+G209+D209-H209-I209)/E209</f>
        <v>368.27180078723319</v>
      </c>
      <c r="U209" s="73">
        <f>input!P12-input!AB12</f>
        <v>250</v>
      </c>
      <c r="V209" s="558">
        <f>input!P12*(B209+F209+J209+C209+G209+D209+H209-I209)/E209</f>
        <v>394.8138187204496</v>
      </c>
      <c r="W209" s="73">
        <f>input!Y12</f>
        <v>50</v>
      </c>
      <c r="X209" s="558">
        <f>input!P12*(B209+F209+J209+C209+G209+D209+H209+I209)/E209</f>
        <v>432.24221119658682</v>
      </c>
      <c r="Y209" s="73">
        <f>(B209+C209+IF(input!O12=0,0,input!M12/input!O12)*K209+(IF(input!AE12=0,0,2*input!M12/input!AE12)-1)*F209-D209-G209-H209-I209)/(IF(input!AE12=0,0,2/input!AE12)*F209+IF(input!O12=0,0,1/input!O12)*K209+2/input!M12*C209)</f>
        <v>2303.6216737993605</v>
      </c>
      <c r="Z209" s="73">
        <f>(B209+C209+F209+IF(input!O12=0,0,input!M12/input!O12)*K209-D209-G209-H209-I209)/(IF(input!O12=0,0,1/input!O12)*K209+2/input!M12*C209)</f>
        <v>1827.2397279137272</v>
      </c>
      <c r="AA209" s="73">
        <f>input!M12/2*(B209+F209+J209+K209-G209-D209-H209-I209+C209)/C209</f>
        <v>1827.2397279137267</v>
      </c>
      <c r="AB209" s="73">
        <f>(B209+F209+J209+K209+G209+C209-D209-H209-I209)/(IF(input!AH12=0,0,2/input!AH12)*G209+2/input!M12*C209)</f>
        <v>1827.2397279137267</v>
      </c>
      <c r="AC209" s="143">
        <f>input!H12/2*(B209+F209+K209+G209+C209-H209-I209+D209+J209)/D209</f>
        <v>79.287465005014525</v>
      </c>
      <c r="AD209" s="165">
        <f>IF(OR(L209=1,L209=8,L209="a",L209="b",L209="c",L209="d"),input!M12-M209+input!K12/2,IF(OR(L209=2,L209=9),input!H12-M209+input!M12+input!K12/2,input!R12+input!P12-M209+input!M12+input!K12/2))</f>
        <v>2838.1483902581435</v>
      </c>
      <c r="AE209" s="143">
        <f>IF(OR(L209=1,L209=8,L209="a",L209="b",L209="c",L209="d"),ABS(input!M12/2-M209),IF(OR(L209=2,L209=9),input!H12-M209+input!M12/2,input!R12+input!P12-M209+input!M12/2))</f>
        <v>1421.1483902581433</v>
      </c>
      <c r="AF209" s="143">
        <f>IF(OR(L209=1,L209=8,L209="a",L209="b",L209="c",L209="d"),M209+input!H12/2,IF(OR(L209=2,L209=9),ABS(input!H12/2-M209),input!R12+input!P12-M209-input!H12/2))</f>
        <v>2.1483902581433725</v>
      </c>
      <c r="AG209" s="143">
        <f>IF(OR(L209=1,L209=8,L209="a",L209="b",L209="c",L209="d"),input!R12+input!P12/2+M209,IF(OR(L209=2,L209=9),input!R12+input!P12/2-input!H12+M209,ABS(input!P12/2-M209)))</f>
        <v>123.85160974185663</v>
      </c>
      <c r="AH209" s="143">
        <f>IF(OR(L209=1,L209=8,L209="a",L209="b",L209="c",L209="d"),input!M12-M209-input!AE12/2,IF(OR(L209=2,L209=9),input!H12-M209+input!M12-input!AE12/2,input!R12+input!P12-M209+input!M12-input!AE12/2))</f>
        <v>2741.1483902581435</v>
      </c>
      <c r="AI209" s="143">
        <f>IF(OR(L209=1,L209=8,L209="a",L209="b",L209="c",L209="d"),M209-input!AH12/2,IF(OR(L209=2,L209=9),input!H12-M209+input!AH12/2,input!R12+input!P12-M209+input!AH12/2))</f>
        <v>21.148390258143372</v>
      </c>
      <c r="AJ209" s="143">
        <f>IF(OR(L209=1,L209=8,L209="a",L209="b",L209="c",L209="d"),M209+input!R12+input!AB12,IF(OR(L209=2,L209=9),input!R12+input!AB12-input!H12+M209,IF(L209=3,input!AB12-(input!P12-M209),ABS(input!P12-input!AB12-M209))))</f>
        <v>18.851609741856628</v>
      </c>
      <c r="AK209" s="143">
        <f>IF(OR(L209=1,L209=8,L209="a",L209="b",L209="c",L209="d"),M209+input!R12+input!P12-input!Y12,IF(OR(L209=2,L209=9),input!R12+input!P12-input!Y12-input!H12+M209,ABS(input!Y12-M209)))</f>
        <v>218.85160974185663</v>
      </c>
      <c r="AL209" s="143">
        <f>IF(OR(L209=1,L209=8,L209="a",L209="b",L209="c",L209="d"),input!M12-M209-input!O12/2,IF(OR(L209=2,L209=9),input!H12-M209+input!M12-input!O12/2,0))</f>
        <v>2821.1483902581435</v>
      </c>
      <c r="AM209" s="143">
        <f>IF(OR(L209=1,L209=8,L209="a",L209="b",L209="c",L209="d"),input!M12-M209-input!O12/2,IF(OR(L209=2,L209=9),input!H12-M209+input!M12-input!O12/2,input!R12+input!P12-M209+input!M12-input!O12/2))</f>
        <v>2821.1483902581435</v>
      </c>
      <c r="AN209" s="143">
        <f>C209/2/input!M12*(M209^2+(input!M12-M209)^2)+B209*AD209+D209*AF209+E209*AG209+F209*AH209+G209*AI209+H209*AJ209+I209*AK209+J209*AM209</f>
        <v>116345431.40806766</v>
      </c>
      <c r="AO209" s="143">
        <f>IF(input!AH12=0,0,1/2/input!AH12)*G209*(M209^2+(input!AH12-M209)^2)+D209*AF209+F209*AH209+C209/2/input!M12*(M209^2+(input!M12-M209)^2)+B209*AD209+E209*AG209+H209*AJ209+I209*AK209+J209*AM209</f>
        <v>116345431.40806764</v>
      </c>
      <c r="AP209" s="143">
        <f>+D209/2/input!H12*(M209^2+(input!H12-M209)^2)+B209*AD209+F209*AH209+G209*AI209+C209*AE209+E209*AG209+H209*AJ209+I209*AK209+J209*AM209</f>
        <v>117364487.06155811</v>
      </c>
      <c r="AQ209" s="143">
        <f>+(M209^2)/2/input!P12*E209+D209*AF209+F209*AH209+G209*AI209+C209*AE209+B209*AD209+H209*AJ209+I209*AK209+J209*AM209</f>
        <v>111402895.04738829</v>
      </c>
      <c r="AR209" s="143">
        <f>+(M209^2)/2/input!P12*E209+D209*AF209+F209*AH209+G209*AI209+C209*AE209+B209*AD209+I209*AK209+J209*AM209</f>
        <v>111361959.36420926</v>
      </c>
      <c r="AS209" s="143">
        <f>+(M209^2)/2/input!P12*E209+D209*AF209+F209*AH209+G209*AI209+C209*AE209+B209*AD209+H209*AJ209+I209*AK209+J209*AM209</f>
        <v>111402895.04738829</v>
      </c>
      <c r="AT209" s="143">
        <f>+(M209^2)/2/input!P12*E209+D209*AF209+F209*AH209+G209*AI209+C209*AE209+B209*AD209+H209*AJ209+J209*AM209</f>
        <v>110732747.26601458</v>
      </c>
      <c r="AU209" s="143">
        <f>+(M209^2)/2/input!P12*E209+D209*AF209+F209*AH209+G209*AI209+C209*AE209+B209*AD209+H209*AJ209+I209*AK209+J209*AM209</f>
        <v>111402895.04738829</v>
      </c>
      <c r="AV209" s="143">
        <f>IF(input!AE12=0,0,1/2/input!AE12)*F209*((input!M12-M209)^2+(input!AE12-input!M12+M209)^2)+C209/2/input!M12*(M209^2+(M209-input!M12)^2)+IF(input!O12=0,0,1/2/input!O12)*K209*(input!M12-M209)^2+B209*AD209+G209*AI209+D209*AF209+H209*AJ209+I209*AK209+J209*AM209</f>
        <v>194066419.83544126</v>
      </c>
      <c r="AW209" s="143">
        <f>+C209/2/input!M12*(M209^2+(M209-input!M12)^2)+IF(input!O12=0,0,1/2/input!O12)*K209*(input!M12-M209)^2+B209*AD209+F209*AH209+G209*AI209+D209*AF209+H209*AJ209+I209*AK209+J209*AM209</f>
        <v>110468517.71130438</v>
      </c>
      <c r="AX209" s="143">
        <f>C209/2/input!M12*(M209^2+(M209-input!M12)^2)+K209*AL209+B209*AD209+F209*AH209+G209*AI209+D209*AF209+H209*AJ209+I209*AK209+J209*AM209</f>
        <v>110468517.71130438</v>
      </c>
      <c r="AY209" s="143">
        <f>C209/2/input!M12*(M209^2+(M209-input!M12)^2)+IF(input!AH12=0,0,1/2/input!AH12)*G209*(M209^2+(input!AH12-M209)^2)+K209*AL209+B209*AD209+F209*AH209+D209*AF209+H209*AJ209+I209*AK209+J209*AM209</f>
        <v>110468517.71130438</v>
      </c>
      <c r="AZ209" s="143">
        <f>D209/2/input!H12*(M209^2+(input!H12-M209)^2)+B209*AD209+K209*AL209+F209*AH209+C209*AE209+G209*AI209+H209*AJ209+I209*AK209+J209*AM209</f>
        <v>111487573.36479484</v>
      </c>
      <c r="BA209" s="185"/>
    </row>
    <row r="210" spans="1:54" ht="15" customHeight="1">
      <c r="A210" s="579" t="str">
        <f>+input!B13</f>
        <v>106i</v>
      </c>
      <c r="B210" s="642">
        <f>+input!J13*input!K13*input!BJ13/1000</f>
        <v>25064.799999999999</v>
      </c>
      <c r="C210" s="642">
        <f>+input!BQ13*input!N13*2*input!BK13/1000</f>
        <v>24041.652605426279</v>
      </c>
      <c r="D210" s="642">
        <f>+input!F13*input!G13*input!H13*input!BI13/1000</f>
        <v>14440</v>
      </c>
      <c r="E210" s="642">
        <f>0.85*Fck*input!P13*input!Q13/1000</f>
        <v>47451.25</v>
      </c>
      <c r="F210" s="642">
        <f>input!AD13*input!AE13*input!AF13*input!BN13/1000</f>
        <v>1945.6</v>
      </c>
      <c r="G210" s="642">
        <f>input!AG13*input!AH13*input!AI13*input!BM13/1000</f>
        <v>0</v>
      </c>
      <c r="H210" s="642">
        <f>input!CB13*Fys/1000</f>
        <v>2171.4688421612645</v>
      </c>
      <c r="I210" s="642">
        <f>input!BZ13*Fys/1000</f>
        <v>3062.1103594539709</v>
      </c>
      <c r="J210" s="642">
        <f>input!AC13*Fys/1000</f>
        <v>0</v>
      </c>
      <c r="K210" s="642">
        <f>input!BT13*0.85*Fckb/1000</f>
        <v>0</v>
      </c>
      <c r="L210" s="795">
        <f>IF(Stress!F842&lt;=0,IF(B210+F210+(input!M13-2*input!AH13)/input!M13*C210+J210&gt;=G210+D210+E210+H210+I210,1,IF(B210+F210+C210+G210+J210&gt;=D210+E210+H210+I210,"a",IF(B210+F210+C210+G210+D210+J210&gt;=E210+H210+I210,2,IF(B210+F210+C210+G210+D210+J210&gt;=(input!P13-input!AB13)/input!P13*E210+H210+I210,3,IF(B210+F210+C210+G210+D210+H210+J210&gt;=(input!P13-input!AB13)/input!P13*E210+I210,4,IF(B210+F210+C210+G210+D210+H210+J210&gt;=input!Y13/input!P13*E210+I210,5,IF(B210+F210+C210+G210+D210+H210+I210+J210&gt;=input!Y13/input!P13*E210,6,7))))))),IF(B210+F210+IF(input!O13=0,0,input!AE13/input!O13)*K210+input!AE13/input!M13*C210&gt;=(input!M13-input!AE13)*C210/input!M13+G210+D210+H210+I210,"b",IF(B210+F210+K210+input!O13/input!M13*C210&gt;=(input!M13-input!O13)/input!M13*C210+G210+D210+H210+I210,"c",IF(B210+F210+J210+K210+(input!M13-input!AH13)/input!M13*C210&gt;=G210+D210+H210+I210,8,IF(B210+F210+J210+K210+C210+G210&gt;=D210+H210+I210,"d",9)))))</f>
        <v>2</v>
      </c>
      <c r="M210" s="643">
        <f t="shared" si="0"/>
        <v>16.851609741856628</v>
      </c>
      <c r="N210" s="493">
        <f t="shared" si="1"/>
        <v>117364.48706155812</v>
      </c>
      <c r="O210" s="766"/>
      <c r="Q210" s="73">
        <f>input!M13/2*((B210+F210+J210-G210-D210-E210-H210-I210)/C210+1)</f>
        <v>-935.95426254457266</v>
      </c>
      <c r="R210" s="73">
        <f>(B210+F210+J210+C210+G210-D210-E210-H210-I210)/(2/input!M13*C210+IF(input!AH13=0,0,2/input!AH13)*G210)</f>
        <v>-935.95426254457232</v>
      </c>
      <c r="S210" s="73">
        <f>input!H13/2*(B210+F210+J210+C210+G210-E210-H210-I210+D210)/D210</f>
        <v>16.851609741856628</v>
      </c>
      <c r="T210" s="558">
        <f>input!P13*(B210+F210+J210+C210+G210+D210-H210-I210)/E210</f>
        <v>368.27180078723319</v>
      </c>
      <c r="U210" s="73">
        <f>input!P13-input!AB13</f>
        <v>250</v>
      </c>
      <c r="V210" s="558">
        <f>input!P13*(B210+F210+J210+C210+G210+D210+H210-I210)/E210</f>
        <v>394.8138187204496</v>
      </c>
      <c r="W210" s="73">
        <f>input!Y13</f>
        <v>50</v>
      </c>
      <c r="X210" s="558">
        <f>input!P13*(B210+F210+J210+C210+G210+D210+H210+I210)/E210</f>
        <v>432.24221119658682</v>
      </c>
      <c r="Y210" s="73">
        <f>(B210+C210+IF(input!O13=0,0,input!M13/input!O13)*K210+(IF(input!AE13=0,0,2*input!M13/input!AE13)-1)*F210-D210-G210-H210-I210)/(IF(input!AE13=0,0,2/input!AE13)*F210+IF(input!O13=0,0,1/input!O13)*K210+2/input!M13*C210)</f>
        <v>2303.6216737993605</v>
      </c>
      <c r="Z210" s="73">
        <f>(B210+C210+F210+IF(input!O13=0,0,input!M13/input!O13)*K210-D210-G210-H210-I210)/(IF(input!O13=0,0,1/input!O13)*K210+2/input!M13*C210)</f>
        <v>1827.2397279137272</v>
      </c>
      <c r="AA210" s="73">
        <f>input!M13/2*(B210+F210+J210+K210-G210-D210-H210-I210+C210)/C210</f>
        <v>1827.2397279137267</v>
      </c>
      <c r="AB210" s="73">
        <f>(B210+F210+J210+K210+G210+C210-D210-H210-I210)/(IF(input!AH13=0,0,2/input!AH13)*G210+2/input!M13*C210)</f>
        <v>1827.2397279137267</v>
      </c>
      <c r="AC210" s="143">
        <f>input!H13/2*(B210+F210+K210+G210+C210-H210-I210+D210+J210)/D210</f>
        <v>79.287465005014525</v>
      </c>
      <c r="AD210" s="165">
        <f>IF(OR(L210=1,L210=8,L210="a",L210="b",L210="c",L210="d"),input!M13-M210+input!K13/2,IF(OR(L210=2,L210=9),input!H13-M210+input!M13+input!K13/2,input!R13+input!P13-M210+input!M13+input!K13/2))</f>
        <v>2838.1483902581435</v>
      </c>
      <c r="AE210" s="143">
        <f>IF(OR(L210=1,L210=8,L210="a",L210="b",L210="c",L210="d"),ABS(input!M13/2-M210),IF(OR(L210=2,L210=9),input!H13-M210+input!M13/2,input!R13+input!P13-M210+input!M13/2))</f>
        <v>1421.1483902581433</v>
      </c>
      <c r="AF210" s="143">
        <f>IF(OR(L210=1,L210=8,L210="a",L210="b",L210="c",L210="d"),M210+input!H13/2,IF(OR(L210=2,L210=9),ABS(input!H13/2-M210),input!R13+input!P13-M210-input!H13/2))</f>
        <v>2.1483902581433725</v>
      </c>
      <c r="AG210" s="143">
        <f>IF(OR(L210=1,L210=8,L210="a",L210="b",L210="c",L210="d"),input!R13+input!P13/2+M210,IF(OR(L210=2,L210=9),input!R13+input!P13/2-input!H13+M210,ABS(input!P13/2-M210)))</f>
        <v>123.85160974185663</v>
      </c>
      <c r="AH210" s="143">
        <f>IF(OR(L210=1,L210=8,L210="a",L210="b",L210="c",L210="d"),input!M13-M210-input!AE13/2,IF(OR(L210=2,L210=9),input!H13-M210+input!M13-input!AE13/2,input!R13+input!P13-M210+input!M13-input!AE13/2))</f>
        <v>2741.1483902581435</v>
      </c>
      <c r="AI210" s="143">
        <f>IF(OR(L210=1,L210=8,L210="a",L210="b",L210="c",L210="d"),M210-input!AH13/2,IF(OR(L210=2,L210=9),input!H13-M210+input!AH13/2,input!R13+input!P13-M210+input!AH13/2))</f>
        <v>21.148390258143372</v>
      </c>
      <c r="AJ210" s="143">
        <f>IF(OR(L210=1,L210=8,L210="a",L210="b",L210="c",L210="d"),M210+input!R13+input!AB13,IF(OR(L210=2,L210=9),input!R13+input!AB13-input!H13+M210,IF(L210=3,input!AB13-(input!P13-M210),ABS(input!P13-input!AB13-M210))))</f>
        <v>18.851609741856628</v>
      </c>
      <c r="AK210" s="143">
        <f>IF(OR(L210=1,L210=8,L210="a",L210="b",L210="c",L210="d"),M210+input!R13+input!P13-input!Y13,IF(OR(L210=2,L210=9),input!R13+input!P13-input!Y13-input!H13+M210,ABS(input!Y13-M210)))</f>
        <v>218.85160974185663</v>
      </c>
      <c r="AL210" s="143">
        <f>IF(OR(L210=1,L210=8,L210="a",L210="b",L210="c",L210="d"),input!M13-M210-input!O13/2,IF(OR(L210=2,L210=9),input!H13-M210+input!M13-input!O13/2,0))</f>
        <v>2821.1483902581435</v>
      </c>
      <c r="AM210" s="143">
        <f>IF(OR(L210=1,L210=8,L210="a",L210="b",L210="c",L210="d"),input!M13-M210-input!O13/2,IF(OR(L210=2,L210=9),input!H13-M210+input!M13-input!O13/2,input!R13+input!P13-M210+input!M13-input!O13/2))</f>
        <v>2821.1483902581435</v>
      </c>
      <c r="AN210" s="143">
        <f>C210/2/input!M13*(M210^2+(input!M13-M210)^2)+B210*AD210+D210*AF210+E210*AG210+F210*AH210+G210*AI210+H210*AJ210+I210*AK210+J210*AM210</f>
        <v>116345431.40806766</v>
      </c>
      <c r="AO210" s="143">
        <f>IF(input!AH13=0,0,1/2/input!AH13)*G210*(M210^2+(input!AH13-M210)^2)+D210*AF210+F210*AH210+C210/2/input!M13*(M210^2+(input!M13-M210)^2)+B210*AD210+E210*AG210+H210*AJ210+I210*AK210+J210*AM210</f>
        <v>116345431.40806764</v>
      </c>
      <c r="AP210" s="143">
        <f>+D210/2/input!H13*(M210^2+(input!H13-M210)^2)+B210*AD210+F210*AH210+G210*AI210+C210*AE210+E210*AG210+H210*AJ210+I210*AK210+J210*AM210</f>
        <v>117364487.06155811</v>
      </c>
      <c r="AQ210" s="143">
        <f>+(M210^2)/2/input!P13*E210+D210*AF210+F210*AH210+G210*AI210+C210*AE210+B210*AD210+H210*AJ210+I210*AK210+J210*AM210</f>
        <v>111402895.04738829</v>
      </c>
      <c r="AR210" s="143">
        <f>+(M210^2)/2/input!P13*E210+D210*AF210+F210*AH210+G210*AI210+C210*AE210+B210*AD210+I210*AK210+J210*AM210</f>
        <v>111361959.36420926</v>
      </c>
      <c r="AS210" s="143">
        <f>+(M210^2)/2/input!P13*E210+D210*AF210+F210*AH210+G210*AI210+C210*AE210+B210*AD210+H210*AJ210+I210*AK210+J210*AM210</f>
        <v>111402895.04738829</v>
      </c>
      <c r="AT210" s="143">
        <f>+(M210^2)/2/input!P13*E210+D210*AF210+F210*AH210+G210*AI210+C210*AE210+B210*AD210+H210*AJ210+J210*AM210</f>
        <v>110732747.26601458</v>
      </c>
      <c r="AU210" s="143">
        <f>+(M210^2)/2/input!P13*E210+D210*AF210+F210*AH210+G210*AI210+C210*AE210+B210*AD210+H210*AJ210+I210*AK210+J210*AM210</f>
        <v>111402895.04738829</v>
      </c>
      <c r="AV210" s="143">
        <f>IF(input!AE13=0,0,1/2/input!AE13)*F210*((input!M13-M210)^2+(input!AE13-input!M13+M210)^2)+C210/2/input!M13*(M210^2+(M210-input!M13)^2)+IF(input!O13=0,0,1/2/input!O13)*K210*(input!M13-M210)^2+B210*AD210+G210*AI210+D210*AF210+H210*AJ210+I210*AK210+J210*AM210</f>
        <v>194066419.83544126</v>
      </c>
      <c r="AW210" s="143">
        <f>+C210/2/input!M13*(M210^2+(M210-input!M13)^2)+IF(input!O13=0,0,1/2/input!O13)*K210*(input!M13-M210)^2+B210*AD210+F210*AH210+G210*AI210+D210*AF210+H210*AJ210+I210*AK210+J210*AM210</f>
        <v>110468517.71130438</v>
      </c>
      <c r="AX210" s="143">
        <f>C210/2/input!M13*(M210^2+(M210-input!M13)^2)+K210*AL210+B210*AD210+F210*AH210+G210*AI210+D210*AF210+H210*AJ210+I210*AK210+J210*AM210</f>
        <v>110468517.71130438</v>
      </c>
      <c r="AY210" s="143">
        <f>C210/2/input!M13*(M210^2+(M210-input!M13)^2)+IF(input!AH13=0,0,1/2/input!AH13)*G210*(M210^2+(input!AH13-M210)^2)+K210*AL210+B210*AD210+F210*AH210+D210*AF210+H210*AJ210+I210*AK210+J210*AM210</f>
        <v>110468517.71130438</v>
      </c>
      <c r="AZ210" s="143">
        <f>D210/2/input!H13*(M210^2+(input!H13-M210)^2)+B210*AD210+K210*AL210+F210*AH210+C210*AE210+G210*AI210+H210*AJ210+I210*AK210+J210*AM210</f>
        <v>111487573.36479484</v>
      </c>
      <c r="BA210" s="185"/>
    </row>
    <row r="211" spans="1:54" ht="15" customHeight="1">
      <c r="A211" s="579" t="str">
        <f>+input!B14</f>
        <v>106j</v>
      </c>
      <c r="B211" s="642">
        <f>+input!J14*input!K14*input!BJ14/1000</f>
        <v>25064.799999999999</v>
      </c>
      <c r="C211" s="642">
        <f>+input!BQ14*input!N14*2*input!BK14/1000</f>
        <v>24041.652605426279</v>
      </c>
      <c r="D211" s="642">
        <f>+input!F14*input!G14*input!H14*input!BI14/1000</f>
        <v>14440</v>
      </c>
      <c r="E211" s="642">
        <f>0.85*Fck*input!P14*input!Q14/1000</f>
        <v>47451.25</v>
      </c>
      <c r="F211" s="642">
        <f>input!AD14*input!AE14*input!AF14*input!BN14/1000</f>
        <v>1945.6</v>
      </c>
      <c r="G211" s="642">
        <f>input!AG14*input!AH14*input!AI14*input!BM14/1000</f>
        <v>0</v>
      </c>
      <c r="H211" s="642">
        <f>input!CB14*Fys/1000</f>
        <v>2171.4688421612645</v>
      </c>
      <c r="I211" s="642">
        <f>input!BZ14*Fys/1000</f>
        <v>3062.1103594539709</v>
      </c>
      <c r="J211" s="642">
        <f>input!AC14*Fys/1000</f>
        <v>0</v>
      </c>
      <c r="K211" s="642">
        <f>input!BT14*0.85*Fckb/1000</f>
        <v>0</v>
      </c>
      <c r="L211" s="795">
        <f>IF(Stress!F843&lt;=0,IF(B211+F211+(input!M14-2*input!AH14)/input!M14*C211+J211&gt;=G211+D211+E211+H211+I211,1,IF(B211+F211+C211+G211+J211&gt;=D211+E211+H211+I211,"a",IF(B211+F211+C211+G211+D211+J211&gt;=E211+H211+I211,2,IF(B211+F211+C211+G211+D211+J211&gt;=(input!P14-input!AB14)/input!P14*E211+H211+I211,3,IF(B211+F211+C211+G211+D211+H211+J211&gt;=(input!P14-input!AB14)/input!P14*E211+I211,4,IF(B211+F211+C211+G211+D211+H211+J211&gt;=input!Y14/input!P14*E211+I211,5,IF(B211+F211+C211+G211+D211+H211+I211+J211&gt;=input!Y14/input!P14*E211,6,7))))))),IF(B211+F211+IF(input!O14=0,0,input!AE14/input!O14)*K211+input!AE14/input!M14*C211&gt;=(input!M14-input!AE14)*C211/input!M14+G211+D211+H211+I211,"b",IF(B211+F211+K211+input!O14/input!M14*C211&gt;=(input!M14-input!O14)/input!M14*C211+G211+D211+H211+I211,"c",IF(B211+F211+J211+K211+(input!M14-input!AH14)/input!M14*C211&gt;=G211+D211+H211+I211,8,IF(B211+F211+J211+K211+C211+G211&gt;=D211+H211+I211,"d",9)))))</f>
        <v>2</v>
      </c>
      <c r="M211" s="643">
        <f t="shared" si="0"/>
        <v>16.851609741856628</v>
      </c>
      <c r="N211" s="493">
        <f t="shared" si="1"/>
        <v>117364.48706155812</v>
      </c>
      <c r="O211" s="766"/>
      <c r="Q211" s="73">
        <f>input!M14/2*((B211+F211+J211-G211-D211-E211-H211-I211)/C211+1)</f>
        <v>-935.95426254457266</v>
      </c>
      <c r="R211" s="73">
        <f>(B211+F211+J211+C211+G211-D211-E211-H211-I211)/(2/input!M14*C211+IF(input!AH14=0,0,2/input!AH14)*G211)</f>
        <v>-935.95426254457232</v>
      </c>
      <c r="S211" s="73">
        <f>input!H14/2*(B211+F211+J211+C211+G211-E211-H211-I211+D211)/D211</f>
        <v>16.851609741856628</v>
      </c>
      <c r="T211" s="558">
        <f>input!P14*(B211+F211+J211+C211+G211+D211-H211-I211)/E211</f>
        <v>368.27180078723319</v>
      </c>
      <c r="U211" s="73">
        <f>input!P14-input!AB14</f>
        <v>250</v>
      </c>
      <c r="V211" s="558">
        <f>input!P14*(B211+F211+J211+C211+G211+D211+H211-I211)/E211</f>
        <v>394.8138187204496</v>
      </c>
      <c r="W211" s="73">
        <f>input!Y14</f>
        <v>50</v>
      </c>
      <c r="X211" s="558">
        <f>input!P14*(B211+F211+J211+C211+G211+D211+H211+I211)/E211</f>
        <v>432.24221119658682</v>
      </c>
      <c r="Y211" s="73">
        <f>(B211+C211+IF(input!O14=0,0,input!M14/input!O14)*K211+(IF(input!AE14=0,0,2*input!M14/input!AE14)-1)*F211-D211-G211-H211-I211)/(IF(input!AE14=0,0,2/input!AE14)*F211+IF(input!O14=0,0,1/input!O14)*K211+2/input!M14*C211)</f>
        <v>2303.6216737993605</v>
      </c>
      <c r="Z211" s="73">
        <f>(B211+C211+F211+IF(input!O14=0,0,input!M14/input!O14)*K211-D211-G211-H211-I211)/(IF(input!O14=0,0,1/input!O14)*K211+2/input!M14*C211)</f>
        <v>1827.2397279137272</v>
      </c>
      <c r="AA211" s="73">
        <f>input!M14/2*(B211+F211+J211+K211-G211-D211-H211-I211+C211)/C211</f>
        <v>1827.2397279137267</v>
      </c>
      <c r="AB211" s="73">
        <f>(B211+F211+J211+K211+G211+C211-D211-H211-I211)/(IF(input!AH14=0,0,2/input!AH14)*G211+2/input!M14*C211)</f>
        <v>1827.2397279137267</v>
      </c>
      <c r="AC211" s="143">
        <f>input!H14/2*(B211+F211+K211+G211+C211-H211-I211+D211+J211)/D211</f>
        <v>79.287465005014525</v>
      </c>
      <c r="AD211" s="165">
        <f>IF(OR(L211=1,L211=8,L211="a",L211="b",L211="c",L211="d"),input!M14-M211+input!K14/2,IF(OR(L211=2,L211=9),input!H14-M211+input!M14+input!K14/2,input!R14+input!P14-M211+input!M14+input!K14/2))</f>
        <v>2838.1483902581435</v>
      </c>
      <c r="AE211" s="143">
        <f>IF(OR(L211=1,L211=8,L211="a",L211="b",L211="c",L211="d"),ABS(input!M14/2-M211),IF(OR(L211=2,L211=9),input!H14-M211+input!M14/2,input!R14+input!P14-M211+input!M14/2))</f>
        <v>1421.1483902581433</v>
      </c>
      <c r="AF211" s="143">
        <f>IF(OR(L211=1,L211=8,L211="a",L211="b",L211="c",L211="d"),M211+input!H14/2,IF(OR(L211=2,L211=9),ABS(input!H14/2-M211),input!R14+input!P14-M211-input!H14/2))</f>
        <v>2.1483902581433725</v>
      </c>
      <c r="AG211" s="143">
        <f>IF(OR(L211=1,L211=8,L211="a",L211="b",L211="c",L211="d"),input!R14+input!P14/2+M211,IF(OR(L211=2,L211=9),input!R14+input!P14/2-input!H14+M211,ABS(input!P14/2-M211)))</f>
        <v>123.85160974185663</v>
      </c>
      <c r="AH211" s="143">
        <f>IF(OR(L211=1,L211=8,L211="a",L211="b",L211="c",L211="d"),input!M14-M211-input!AE14/2,IF(OR(L211=2,L211=9),input!H14-M211+input!M14-input!AE14/2,input!R14+input!P14-M211+input!M14-input!AE14/2))</f>
        <v>2741.1483902581435</v>
      </c>
      <c r="AI211" s="143">
        <f>IF(OR(L211=1,L211=8,L211="a",L211="b",L211="c",L211="d"),M211-input!AH14/2,IF(OR(L211=2,L211=9),input!H14-M211+input!AH14/2,input!R14+input!P14-M211+input!AH14/2))</f>
        <v>21.148390258143372</v>
      </c>
      <c r="AJ211" s="143">
        <f>IF(OR(L211=1,L211=8,L211="a",L211="b",L211="c",L211="d"),M211+input!R14+input!AB14,IF(OR(L211=2,L211=9),input!R14+input!AB14-input!H14+M211,IF(L211=3,input!AB14-(input!P14-M211),ABS(input!P14-input!AB14-M211))))</f>
        <v>18.851609741856628</v>
      </c>
      <c r="AK211" s="143">
        <f>IF(OR(L211=1,L211=8,L211="a",L211="b",L211="c",L211="d"),M211+input!R14+input!P14-input!Y14,IF(OR(L211=2,L211=9),input!R14+input!P14-input!Y14-input!H14+M211,ABS(input!Y14-M211)))</f>
        <v>218.85160974185663</v>
      </c>
      <c r="AL211" s="143">
        <f>IF(OR(L211=1,L211=8,L211="a",L211="b",L211="c",L211="d"),input!M14-M211-input!O14/2,IF(OR(L211=2,L211=9),input!H14-M211+input!M14-input!O14/2,0))</f>
        <v>2821.1483902581435</v>
      </c>
      <c r="AM211" s="143">
        <f>IF(OR(L211=1,L211=8,L211="a",L211="b",L211="c",L211="d"),input!M14-M211-input!O14/2,IF(OR(L211=2,L211=9),input!H14-M211+input!M14-input!O14/2,input!R14+input!P14-M211+input!M14-input!O14/2))</f>
        <v>2821.1483902581435</v>
      </c>
      <c r="AN211" s="143">
        <f>C211/2/input!M14*(M211^2+(input!M14-M211)^2)+B211*AD211+D211*AF211+E211*AG211+F211*AH211+G211*AI211+H211*AJ211+I211*AK211+J211*AM211</f>
        <v>116345431.40806766</v>
      </c>
      <c r="AO211" s="143">
        <f>IF(input!AH14=0,0,1/2/input!AH14)*G211*(M211^2+(input!AH14-M211)^2)+D211*AF211+F211*AH211+C211/2/input!M14*(M211^2+(input!M14-M211)^2)+B211*AD211+E211*AG211+H211*AJ211+I211*AK211+J211*AM211</f>
        <v>116345431.40806764</v>
      </c>
      <c r="AP211" s="143">
        <f>+D211/2/input!H14*(M211^2+(input!H14-M211)^2)+B211*AD211+F211*AH211+G211*AI211+C211*AE211+E211*AG211+H211*AJ211+I211*AK211+J211*AM211</f>
        <v>117364487.06155811</v>
      </c>
      <c r="AQ211" s="143">
        <f>+(M211^2)/2/input!P14*E211+D211*AF211+F211*AH211+G211*AI211+C211*AE211+B211*AD211+H211*AJ211+I211*AK211+J211*AM211</f>
        <v>111402895.04738829</v>
      </c>
      <c r="AR211" s="143">
        <f>+(M211^2)/2/input!P14*E211+D211*AF211+F211*AH211+G211*AI211+C211*AE211+B211*AD211+I211*AK211+J211*AM211</f>
        <v>111361959.36420926</v>
      </c>
      <c r="AS211" s="143">
        <f>+(M211^2)/2/input!P14*E211+D211*AF211+F211*AH211+G211*AI211+C211*AE211+B211*AD211+H211*AJ211+I211*AK211+J211*AM211</f>
        <v>111402895.04738829</v>
      </c>
      <c r="AT211" s="143">
        <f>+(M211^2)/2/input!P14*E211+D211*AF211+F211*AH211+G211*AI211+C211*AE211+B211*AD211+H211*AJ211+J211*AM211</f>
        <v>110732747.26601458</v>
      </c>
      <c r="AU211" s="143">
        <f>+(M211^2)/2/input!P14*E211+D211*AF211+F211*AH211+G211*AI211+C211*AE211+B211*AD211+H211*AJ211+I211*AK211+J211*AM211</f>
        <v>111402895.04738829</v>
      </c>
      <c r="AV211" s="143">
        <f>IF(input!AE14=0,0,1/2/input!AE14)*F211*((input!M14-M211)^2+(input!AE14-input!M14+M211)^2)+C211/2/input!M14*(M211^2+(M211-input!M14)^2)+IF(input!O14=0,0,1/2/input!O14)*K211*(input!M14-M211)^2+B211*AD211+G211*AI211+D211*AF211+H211*AJ211+I211*AK211+J211*AM211</f>
        <v>194066419.83544126</v>
      </c>
      <c r="AW211" s="143">
        <f>+C211/2/input!M14*(M211^2+(M211-input!M14)^2)+IF(input!O14=0,0,1/2/input!O14)*K211*(input!M14-M211)^2+B211*AD211+F211*AH211+G211*AI211+D211*AF211+H211*AJ211+I211*AK211+J211*AM211</f>
        <v>110468517.71130438</v>
      </c>
      <c r="AX211" s="143">
        <f>C211/2/input!M14*(M211^2+(M211-input!M14)^2)+K211*AL211+B211*AD211+F211*AH211+G211*AI211+D211*AF211+H211*AJ211+I211*AK211+J211*AM211</f>
        <v>110468517.71130438</v>
      </c>
      <c r="AY211" s="143">
        <f>C211/2/input!M14*(M211^2+(M211-input!M14)^2)+IF(input!AH14=0,0,1/2/input!AH14)*G211*(M211^2+(input!AH14-M211)^2)+K211*AL211+B211*AD211+F211*AH211+D211*AF211+H211*AJ211+I211*AK211+J211*AM211</f>
        <v>110468517.71130438</v>
      </c>
      <c r="AZ211" s="143">
        <f>D211/2/input!H14*(M211^2+(input!H14-M211)^2)+B211*AD211+K211*AL211+F211*AH211+C211*AE211+G211*AI211+H211*AJ211+I211*AK211+J211*AM211</f>
        <v>111487573.36479484</v>
      </c>
      <c r="BA211" s="185"/>
    </row>
    <row r="212" spans="1:54" s="73" customFormat="1" ht="15" customHeight="1">
      <c r="A212" s="593" t="str">
        <f>+input!B15</f>
        <v>107i</v>
      </c>
      <c r="B212" s="642">
        <f>+input!J15*input!K15*input!BJ15/1000</f>
        <v>29488</v>
      </c>
      <c r="C212" s="642">
        <f>+input!BQ15*input!N15*2*input!BK15/1000</f>
        <v>24041.652605426279</v>
      </c>
      <c r="D212" s="642">
        <f>+input!F15*input!G15*input!H15*input!BI15/1000</f>
        <v>18240</v>
      </c>
      <c r="E212" s="598">
        <f>0.85*Fck*input!P15*input!Q15/1000</f>
        <v>47451.25</v>
      </c>
      <c r="F212" s="642">
        <f>input!AD15*input!AE15*input!AF15*input!BN15/1000</f>
        <v>1945.6</v>
      </c>
      <c r="G212" s="642">
        <f>input!AG15*input!AH15*input!AI15*input!BM15/1000</f>
        <v>0</v>
      </c>
      <c r="H212" s="598">
        <f>input!CB15*Fys/1000</f>
        <v>2171.4688421612645</v>
      </c>
      <c r="I212" s="598">
        <f>input!BZ15*Fys/1000</f>
        <v>3062.1103594539709</v>
      </c>
      <c r="J212" s="598">
        <f>input!AC15*Fys/1000</f>
        <v>0</v>
      </c>
      <c r="K212" s="598">
        <f>input!BT15*0.85*Fckb/1000</f>
        <v>0</v>
      </c>
      <c r="L212" s="795">
        <f>IF(Stress!F844&lt;=0,IF(B212+F212+(input!M15-2*input!AH15)/input!M15*C212+J212&gt;=G212+D212+E212+H212+I212,1,IF(B212+F212+C212+G212+J212&gt;=D212+E212+H212+I212,"a",IF(B212+F212+C212+G212+D212+J212&gt;=E212+H212+I212,2,IF(B212+F212+C212+G212+D212+J212&gt;=(input!P15-input!AB15)/input!P15*E212+H212+I212,3,IF(B212+F212+C212+G212+D212+H212+J212&gt;=(input!P15-input!AB15)/input!P15*E212+I212,4,IF(B212+F212+C212+G212+D212+H212+J212&gt;=input!Y15/input!P15*E212+I212,5,IF(B212+F212+C212+G212+D212+H212+I212+J212&gt;=input!Y15/input!P15*E212,6,7))))))),IF(B212+F212+IF(input!O15=0,0,input!AE15/input!O15)*K212+input!AE15/input!M15*C212&gt;=(input!M15-input!AE15)*C212/input!M15+G212+D212+H212+I212,"b",IF(B212+F212+K212+input!O15/input!M15*C212&gt;=(input!M15-input!O15)/input!M15*C212+G212+D212+H212+I212,"c",IF(B212+F212+J212+K212+(input!M15-input!AH15)/input!M15*C212&gt;=G212+D212+H212+I212,8,IF(B212+F212+J212+K212+C212+G212&gt;=D212+H212+I212,"d",9)))))</f>
        <v>2</v>
      </c>
      <c r="M212" s="643">
        <f t="shared" si="0"/>
        <v>23.059674784880531</v>
      </c>
      <c r="N212" s="493">
        <f t="shared" si="1"/>
        <v>130042.64171156453</v>
      </c>
      <c r="O212" s="766"/>
      <c r="Q212" s="73">
        <f>input!M15/2*((B212+F212+J212-G212-D212-E212-H212-I212)/C212+1)</f>
        <v>-899.66391203002024</v>
      </c>
      <c r="R212" s="73">
        <f>(B212+F212+J212+C212+G212-D212-E212-H212-I212)/(2/input!M15*C212+IF(input!AH15=0,0,2/input!AH15)*G212)</f>
        <v>-899.66391203002058</v>
      </c>
      <c r="S212" s="73">
        <f>input!H15/2*(B212+F212+J212+C212+G212-E212-H212-I212+D212)/D212</f>
        <v>23.059674784880531</v>
      </c>
      <c r="T212" s="558">
        <f>input!P15*(B212+F212+J212+C212+G212+D212-H212-I212)/E212</f>
        <v>418.52817970243564</v>
      </c>
      <c r="U212" s="73">
        <f>input!P15-input!AB15</f>
        <v>250</v>
      </c>
      <c r="V212" s="558">
        <f>input!P15*(B212+F212+J212+C212+G212+D212+H212-I212)/E212</f>
        <v>445.07019763565205</v>
      </c>
      <c r="W212" s="73">
        <f>input!Y15</f>
        <v>50</v>
      </c>
      <c r="X212" s="558">
        <f>input!P15*(B212+F212+J212+C212+G212+D212+H212+I212)/E212</f>
        <v>482.49859011178927</v>
      </c>
      <c r="Y212" s="73">
        <f>(B212+C212+IF(input!O15=0,0,input!M15/input!O15)*K212+(IF(input!AE15=0,0,2*input!M15/input!AE15)-1)*F212-D212-G212-H212-I212)/(IF(input!AE15=0,0,2/input!AE15)*F212+IF(input!O15=0,0,1/input!O15)*K212+2/input!M15*C212)</f>
        <v>2318.6412161940498</v>
      </c>
      <c r="Z212" s="73">
        <f>(B212+C212+F212+IF(input!O15=0,0,input!M15/input!O15)*K212-D212-G212-H212-I212)/(IF(input!O15=0,0,1/input!O15)*K212+2/input!M15*C212)</f>
        <v>1863.5300784282786</v>
      </c>
      <c r="AA212" s="73">
        <f>input!M15/2*(B212+F212+J212+K212-G212-D212-H212-I212+C212)/C212</f>
        <v>1863.5300784282786</v>
      </c>
      <c r="AB212" s="73">
        <f>(B212+F212+J212+K212+G212+C212-D212-H212-I212)/(IF(input!AH15=0,0,2/input!AH15)*G212+2/input!M15*C212)</f>
        <v>1863.5300784282786</v>
      </c>
      <c r="AC212" s="143">
        <f>input!H15/2*(B212+F212+K212+G212+C212-H212-I212+D212+J212)/D212</f>
        <v>75.089554170845446</v>
      </c>
      <c r="AD212" s="558">
        <f>IF(OR(L212=1,L212=8,L212="a",L212="b",L212="c",L212="d"),input!M15-M212+input!K15/2,IF(OR(L212=2,L212=9),input!H15-M212+input!M15+input!K15/2,input!R15+input!P15-M212+input!M15+input!K15/2))</f>
        <v>2836.9403252151196</v>
      </c>
      <c r="AE212" s="73">
        <f>IF(OR(L212=1,L212=8,L212="a",L212="b",L212="c",L212="d"),ABS(input!M15/2-M212),IF(OR(L212=2,L212=9),input!H15-M212+input!M15/2,input!R15+input!P15-M212+input!M15/2))</f>
        <v>1416.9403252151194</v>
      </c>
      <c r="AF212" s="73">
        <f>IF(OR(L212=1,L212=8,L212="a",L212="b",L212="c",L212="d"),M212+input!H15/2,IF(OR(L212=2,L212=9),ABS(input!H15/2-M212),input!R15+input!P15-M212-input!H15/2))</f>
        <v>3.0596747848805315</v>
      </c>
      <c r="AG212" s="73">
        <f>IF(OR(L212=1,L212=8,L212="a",L212="b",L212="c",L212="d"),input!R15+input!P15/2+M212,IF(OR(L212=2,L212=9),input!R15+input!P15/2-input!H15+M212,ABS(input!P15/2-M212)))</f>
        <v>128.05967478488054</v>
      </c>
      <c r="AH212" s="73">
        <f>IF(OR(L212=1,L212=8,L212="a",L212="b",L212="c",L212="d"),input!M15-M212-input!AE15/2,IF(OR(L212=2,L212=9),input!H15-M212+input!M15-input!AE15/2,input!R15+input!P15-M212+input!M15-input!AE15/2))</f>
        <v>2736.9403252151196</v>
      </c>
      <c r="AI212" s="73">
        <f>IF(OR(L212=1,L212=8,L212="a",L212="b",L212="c",L212="d"),M212-input!AH15/2,IF(OR(L212=2,L212=9),input!H15-M212+input!AH15/2,input!R15+input!P15-M212+input!AH15/2))</f>
        <v>16.940325215119469</v>
      </c>
      <c r="AJ212" s="143">
        <f>IF(OR(L212=1,L212=8,L212="a",L212="b",L212="c",L212="d"),M212+input!R15+input!AB15,IF(OR(L212=2,L212=9),input!R15+input!AB15-input!H15+M212,IF(L212=3,input!AB15-(input!P15-M212),ABS(input!P15-input!AB15-M212))))</f>
        <v>23.059674784880531</v>
      </c>
      <c r="AK212" s="73">
        <f>IF(OR(L212=1,L212=8,L212="a",L212="b",L212="c",L212="d"),M212+input!R15+input!P15-input!Y15,IF(OR(L212=2,L212=9),input!R15+input!P15-input!Y15-input!H15+M212,ABS(input!Y15-M212)))</f>
        <v>223.05967478488054</v>
      </c>
      <c r="AL212" s="73">
        <f>IF(OR(L212=1,L212=8,L212="a",L212="b",L212="c",L212="d"),input!M15-M212-input!O15/2,IF(OR(L212=2,L212=9),input!H15-M212+input!M15-input!O15/2,0))</f>
        <v>2816.9403252151196</v>
      </c>
      <c r="AM212" s="73">
        <f>IF(OR(L212=1,L212=8,L212="a",L212="b",L212="c",L212="d"),input!M15-M212-input!O15/2,IF(OR(L212=2,L212=9),input!H15-M212+input!M15-input!O15/2,input!R15+input!P15-M212+input!M15-input!O15/2))</f>
        <v>2816.9403252151196</v>
      </c>
      <c r="AN212" s="73">
        <f>C212/2/input!M15*(M212^2+(input!M15-M212)^2)+B212*AD212+D212*AF212+E212*AG212+F212*AH212+G212*AI212+H212*AJ212+I212*AK212+J212*AM212</f>
        <v>128954680.93676805</v>
      </c>
      <c r="AO212" s="73">
        <f>IF(input!AH15=0,0,1/2/input!AH15)*G212*(M212^2+(input!AH15-M212)^2)+D212*AF212+F212*AH212+C212/2/input!M15*(M212^2+(input!M15-M212)^2)+B212*AD212+E212*AG212+H212*AJ212+I212*AK212+J212*AM212</f>
        <v>128954680.93676807</v>
      </c>
      <c r="AP212" s="143">
        <f>+D212/2/input!H15*(M212^2+(input!H15-M212)^2)+B212*AD212+F212*AH212+G212*AI212+C212*AE212+E212*AG212+H212*AJ212+I212*AK212+J212*AM212</f>
        <v>130042641.71156453</v>
      </c>
      <c r="AQ212" s="73">
        <f>+(M212^2)/2/input!P15*E212+D212*AF212+F212*AH212+G212*AI212+C212*AE212+B212*AD212+H212*AJ212+I212*AK212+J212*AM212</f>
        <v>123878693.32487521</v>
      </c>
      <c r="AR212" s="73">
        <f>+(M212^2)/2/input!P15*E212+D212*AF212+F212*AH212+G212*AI212+C212*AE212+B212*AD212+I212*AK212+J212*AM212</f>
        <v>123828619.95956947</v>
      </c>
      <c r="AS212" s="73">
        <f>+(M212^2)/2/input!P15*E212+D212*AF212+F212*AH212+G212*AI212+C212*AE212+B212*AD212+H212*AJ212+I212*AK212+J212*AM212</f>
        <v>123878693.32487521</v>
      </c>
      <c r="AT212" s="73">
        <f>+(M212^2)/2/input!P15*E212+D212*AF212+F212*AH212+G212*AI212+C212*AE212+B212*AD212+H212*AJ212+J212*AM212</f>
        <v>123195659.98393999</v>
      </c>
      <c r="AU212" s="73">
        <f>+(M212^2)/2/input!P15*E212+D212*AF212+F212*AH212+G212*AI212+C212*AE212+B212*AD212+H212*AJ212+I212*AK212+J212*AM212</f>
        <v>123878693.32487521</v>
      </c>
      <c r="AV212" s="73">
        <f>IF(input!AE15=0,0,1/2/input!AE15)*F212*((input!M15-M212)^2+(input!AE15-input!M15+M212)^2)+C212/2/input!M15*(M212^2+(M212-input!M15)^2)+IF(input!O15=0,0,1/2/input!O15)*K212*(input!M15-M212)^2+B212*AD212+G212*AI212+D212*AF212+H212*AJ212+I212*AK212+J212*AM212</f>
        <v>206076525.54899415</v>
      </c>
      <c r="AW212" s="73">
        <f>+C212/2/input!M15*(M212^2+(M212-input!M15)^2)+IF(input!O15=0,0,1/2/input!O15)*K212*(input!M15-M212)^2+B212*AD212+F212*AH212+G212*AI212+D212*AF212+H212*AJ212+I212*AK212+J212*AM212</f>
        <v>122878089.29363199</v>
      </c>
      <c r="AX212" s="73">
        <f>C212/2/input!M15*(M212^2+(M212-input!M15)^2)+K212*AL212+B212*AD212+F212*AH212+G212*AI212+D212*AF212+H212*AJ212+I212*AK212+J212*AM212</f>
        <v>122878089.29363199</v>
      </c>
      <c r="AY212" s="73">
        <f>C212/2/input!M15*(M212^2+(M212-input!M15)^2)+IF(input!AH15=0,0,1/2/input!AH15)*G212*(M212^2+(input!AH15-M212)^2)+K212*AL212+B212*AD212+F212*AH212+D212*AF212+H212*AJ212+I212*AK212+J212*AM212</f>
        <v>122878089.29363199</v>
      </c>
      <c r="AZ212" s="73">
        <f>D212/2/input!H15*(M212^2+(input!H15-M212)^2)+B212*AD212+K212*AL212+F212*AH212+C212*AE212+G212*AI212+H212*AJ212+I212*AK212+J212*AM212</f>
        <v>123966050.06842846</v>
      </c>
      <c r="BA212" s="511"/>
      <c r="BB212" s="767"/>
    </row>
    <row r="213" spans="1:54" ht="15" customHeight="1">
      <c r="A213" s="579" t="str">
        <f>+input!B16</f>
        <v>107j</v>
      </c>
      <c r="B213" s="642">
        <f>+input!J16*input!K16*input!BJ16/1000</f>
        <v>29488</v>
      </c>
      <c r="C213" s="642">
        <f>+input!BQ16*input!N16*2*input!BK16/1000</f>
        <v>24041.652605426279</v>
      </c>
      <c r="D213" s="642">
        <f>+input!F16*input!G16*input!H16*input!BI16/1000</f>
        <v>18240</v>
      </c>
      <c r="E213" s="642">
        <f>0.85*Fck*input!P16*input!Q16/1000</f>
        <v>47451.25</v>
      </c>
      <c r="F213" s="642">
        <f>input!AD16*input!AE16*input!AF16*input!BN16/1000</f>
        <v>1945.6</v>
      </c>
      <c r="G213" s="642">
        <f>input!AG16*input!AH16*input!AI16*input!BM16/1000</f>
        <v>0</v>
      </c>
      <c r="H213" s="642">
        <f>input!CB16*Fys/1000</f>
        <v>2171.4688421612645</v>
      </c>
      <c r="I213" s="642">
        <f>input!BZ16*Fys/1000</f>
        <v>3062.1103594539709</v>
      </c>
      <c r="J213" s="642">
        <f>input!AC16*Fys/1000</f>
        <v>0</v>
      </c>
      <c r="K213" s="642">
        <f>input!BT16*0.85*Fckb/1000</f>
        <v>0</v>
      </c>
      <c r="L213" s="795">
        <f>IF(Stress!F845&lt;=0,IF(B213+F213+(input!M16-2*input!AH16)/input!M16*C213+J213&gt;=G213+D213+E213+H213+I213,1,IF(B213+F213+C213+G213+J213&gt;=D213+E213+H213+I213,"a",IF(B213+F213+C213+G213+D213+J213&gt;=E213+H213+I213,2,IF(B213+F213+C213+G213+D213+J213&gt;=(input!P16-input!AB16)/input!P16*E213+H213+I213,3,IF(B213+F213+C213+G213+D213+H213+J213&gt;=(input!P16-input!AB16)/input!P16*E213+I213,4,IF(B213+F213+C213+G213+D213+H213+J213&gt;=input!Y16/input!P16*E213+I213,5,IF(B213+F213+C213+G213+D213+H213+I213+J213&gt;=input!Y16/input!P16*E213,6,7))))))),IF(B213+F213+IF(input!O16=0,0,input!AE16/input!O16)*K213+input!AE16/input!M16*C213&gt;=(input!M16-input!AE16)*C213/input!M16+G213+D213+H213+I213,"b",IF(B213+F213+K213+input!O16/input!M16*C213&gt;=(input!M16-input!O16)/input!M16*C213+G213+D213+H213+I213,"c",IF(B213+F213+J213+K213+(input!M16-input!AH16)/input!M16*C213&gt;=G213+D213+H213+I213,8,IF(B213+F213+J213+K213+C213+G213&gt;=D213+H213+I213,"d",9)))))</f>
        <v>2</v>
      </c>
      <c r="M213" s="643">
        <f t="shared" si="0"/>
        <v>23.059674784880531</v>
      </c>
      <c r="N213" s="493">
        <f t="shared" si="1"/>
        <v>130042.64171156453</v>
      </c>
      <c r="O213" s="766"/>
      <c r="Q213" s="73">
        <f>input!M16/2*((B213+F213+J213-G213-D213-E213-H213-I213)/C213+1)</f>
        <v>-899.66391203002024</v>
      </c>
      <c r="R213" s="73">
        <f>(B213+F213+J213+C213+G213-D213-E213-H213-I213)/(2/input!M16*C213+IF(input!AH16=0,0,2/input!AH16)*G213)</f>
        <v>-899.66391203002058</v>
      </c>
      <c r="S213" s="73">
        <f>input!H16/2*(B213+F213+J213+C213+G213-E213-H213-I213+D213)/D213</f>
        <v>23.059674784880531</v>
      </c>
      <c r="T213" s="558">
        <f>input!P16*(B213+F213+J213+C213+G213+D213-H213-I213)/E213</f>
        <v>418.52817970243564</v>
      </c>
      <c r="U213" s="73">
        <f>input!P16-input!AB16</f>
        <v>250</v>
      </c>
      <c r="V213" s="558">
        <f>input!P16*(B213+F213+J213+C213+G213+D213+H213-I213)/E213</f>
        <v>445.07019763565205</v>
      </c>
      <c r="W213" s="73">
        <f>input!Y16</f>
        <v>50</v>
      </c>
      <c r="X213" s="558">
        <f>input!P16*(B213+F213+J213+C213+G213+D213+H213+I213)/E213</f>
        <v>482.49859011178927</v>
      </c>
      <c r="Y213" s="73">
        <f>(B213+C213+IF(input!O16=0,0,input!M16/input!O16)*K213+(IF(input!AE16=0,0,2*input!M16/input!AE16)-1)*F213-D213-G213-H213-I213)/(IF(input!AE16=0,0,2/input!AE16)*F213+IF(input!O16=0,0,1/input!O16)*K213+2/input!M16*C213)</f>
        <v>2318.6412161940498</v>
      </c>
      <c r="Z213" s="73">
        <f>(B213+C213+F213+IF(input!O16=0,0,input!M16/input!O16)*K213-D213-G213-H213-I213)/(IF(input!O16=0,0,1/input!O16)*K213+2/input!M16*C213)</f>
        <v>1863.5300784282786</v>
      </c>
      <c r="AA213" s="73">
        <f>input!M16/2*(B213+F213+J213+K213-G213-D213-H213-I213+C213)/C213</f>
        <v>1863.5300784282786</v>
      </c>
      <c r="AB213" s="73">
        <f>(B213+F213+J213+K213+G213+C213-D213-H213-I213)/(IF(input!AH16=0,0,2/input!AH16)*G213+2/input!M16*C213)</f>
        <v>1863.5300784282786</v>
      </c>
      <c r="AC213" s="143">
        <f>input!H16/2*(B213+F213+K213+G213+C213-H213-I213+D213+J213)/D213</f>
        <v>75.089554170845446</v>
      </c>
      <c r="AD213" s="165">
        <f>IF(OR(L213=1,L213=8,L213="a",L213="b",L213="c",L213="d"),input!M16-M213+input!K16/2,IF(OR(L213=2,L213=9),input!H16-M213+input!M16+input!K16/2,input!R16+input!P16-M213+input!M16+input!K16/2))</f>
        <v>2836.9403252151196</v>
      </c>
      <c r="AE213" s="143">
        <f>IF(OR(L213=1,L213=8,L213="a",L213="b",L213="c",L213="d"),ABS(input!M16/2-M213),IF(OR(L213=2,L213=9),input!H16-M213+input!M16/2,input!R16+input!P16-M213+input!M16/2))</f>
        <v>1416.9403252151194</v>
      </c>
      <c r="AF213" s="143">
        <f>IF(OR(L213=1,L213=8,L213="a",L213="b",L213="c",L213="d"),M213+input!H16/2,IF(OR(L213=2,L213=9),ABS(input!H16/2-M213),input!R16+input!P16-M213-input!H16/2))</f>
        <v>3.0596747848805315</v>
      </c>
      <c r="AG213" s="143">
        <f>IF(OR(L213=1,L213=8,L213="a",L213="b",L213="c",L213="d"),input!R16+input!P16/2+M213,IF(OR(L213=2,L213=9),input!R16+input!P16/2-input!H16+M213,ABS(input!P16/2-M213)))</f>
        <v>128.05967478488054</v>
      </c>
      <c r="AH213" s="143">
        <f>IF(OR(L213=1,L213=8,L213="a",L213="b",L213="c",L213="d"),input!M16-M213-input!AE16/2,IF(OR(L213=2,L213=9),input!H16-M213+input!M16-input!AE16/2,input!R16+input!P16-M213+input!M16-input!AE16/2))</f>
        <v>2736.9403252151196</v>
      </c>
      <c r="AI213" s="143">
        <f>IF(OR(L213=1,L213=8,L213="a",L213="b",L213="c",L213="d"),M213-input!AH16/2,IF(OR(L213=2,L213=9),input!H16-M213+input!AH16/2,input!R16+input!P16-M213+input!AH16/2))</f>
        <v>16.940325215119469</v>
      </c>
      <c r="AJ213" s="143">
        <f>IF(OR(L213=1,L213=8,L213="a",L213="b",L213="c",L213="d"),M213+input!R16+input!AB16,IF(OR(L213=2,L213=9),input!R16+input!AB16-input!H16+M213,IF(L213=3,input!AB16-(input!P16-M213),ABS(input!P16-input!AB16-M213))))</f>
        <v>23.059674784880531</v>
      </c>
      <c r="AK213" s="143">
        <f>IF(OR(L213=1,L213=8,L213="a",L213="b",L213="c",L213="d"),M213+input!R16+input!P16-input!Y16,IF(OR(L213=2,L213=9),input!R16+input!P16-input!Y16-input!H16+M213,ABS(input!Y16-M213)))</f>
        <v>223.05967478488054</v>
      </c>
      <c r="AL213" s="143">
        <f>IF(OR(L213=1,L213=8,L213="a",L213="b",L213="c",L213="d"),input!M16-M213-input!O16/2,IF(OR(L213=2,L213=9),input!H16-M213+input!M16-input!O16/2,0))</f>
        <v>2816.9403252151196</v>
      </c>
      <c r="AM213" s="143">
        <f>IF(OR(L213=1,L213=8,L213="a",L213="b",L213="c",L213="d"),input!M16-M213-input!O16/2,IF(OR(L213=2,L213=9),input!H16-M213+input!M16-input!O16/2,input!R16+input!P16-M213+input!M16-input!O16/2))</f>
        <v>2816.9403252151196</v>
      </c>
      <c r="AN213" s="143">
        <f>C213/2/input!M16*(M213^2+(input!M16-M213)^2)+B213*AD213+D213*AF213+E213*AG213+F213*AH213+G213*AI213+H213*AJ213+I213*AK213+J213*AM213</f>
        <v>128954680.93676805</v>
      </c>
      <c r="AO213" s="143">
        <f>IF(input!AH16=0,0,1/2/input!AH16)*G213*(M213^2+(input!AH16-M213)^2)+D213*AF213+F213*AH213+C213/2/input!M16*(M213^2+(input!M16-M213)^2)+B213*AD213+E213*AG213+H213*AJ213+I213*AK213+J213*AM213</f>
        <v>128954680.93676807</v>
      </c>
      <c r="AP213" s="143">
        <f>+D213/2/input!H16*(M213^2+(input!H16-M213)^2)+B213*AD213+F213*AH213+G213*AI213+C213*AE213+E213*AG213+H213*AJ213+I213*AK213+J213*AM213</f>
        <v>130042641.71156453</v>
      </c>
      <c r="AQ213" s="143">
        <f>+(M213^2)/2/input!P16*E213+D213*AF213+F213*AH213+G213*AI213+C213*AE213+B213*AD213+H213*AJ213+I213*AK213+J213*AM213</f>
        <v>123878693.32487521</v>
      </c>
      <c r="AR213" s="143">
        <f>+(M213^2)/2/input!P16*E213+D213*AF213+F213*AH213+G213*AI213+C213*AE213+B213*AD213+I213*AK213+J213*AM213</f>
        <v>123828619.95956947</v>
      </c>
      <c r="AS213" s="143">
        <f>+(M213^2)/2/input!P16*E213+D213*AF213+F213*AH213+G213*AI213+C213*AE213+B213*AD213+H213*AJ213+I213*AK213+J213*AM213</f>
        <v>123878693.32487521</v>
      </c>
      <c r="AT213" s="143">
        <f>+(M213^2)/2/input!P16*E213+D213*AF213+F213*AH213+G213*AI213+C213*AE213+B213*AD213+H213*AJ213+J213*AM213</f>
        <v>123195659.98393999</v>
      </c>
      <c r="AU213" s="143">
        <f>+(M213^2)/2/input!P16*E213+D213*AF213+F213*AH213+G213*AI213+C213*AE213+B213*AD213+H213*AJ213+I213*AK213+J213*AM213</f>
        <v>123878693.32487521</v>
      </c>
      <c r="AV213" s="143">
        <f>IF(input!AE16=0,0,1/2/input!AE16)*F213*((input!M16-M213)^2+(input!AE16-input!M16+M213)^2)+C213/2/input!M16*(M213^2+(M213-input!M16)^2)+IF(input!O16=0,0,1/2/input!O16)*K213*(input!M16-M213)^2+B213*AD213+G213*AI213+D213*AF213+H213*AJ213+I213*AK213+J213*AM213</f>
        <v>206076525.54899415</v>
      </c>
      <c r="AW213" s="143">
        <f>+C213/2/input!M16*(M213^2+(M213-input!M16)^2)+IF(input!O16=0,0,1/2/input!O16)*K213*(input!M16-M213)^2+B213*AD213+F213*AH213+G213*AI213+D213*AF213+H213*AJ213+I213*AK213+J213*AM213</f>
        <v>122878089.29363199</v>
      </c>
      <c r="AX213" s="143">
        <f>C213/2/input!M16*(M213^2+(M213-input!M16)^2)+K213*AL213+B213*AD213+F213*AH213+G213*AI213+D213*AF213+H213*AJ213+I213*AK213+J213*AM213</f>
        <v>122878089.29363199</v>
      </c>
      <c r="AY213" s="143">
        <f>C213/2/input!M16*(M213^2+(M213-input!M16)^2)+IF(input!AH16=0,0,1/2/input!AH16)*G213*(M213^2+(input!AH16-M213)^2)+K213*AL213+B213*AD213+F213*AH213+D213*AF213+H213*AJ213+I213*AK213+J213*AM213</f>
        <v>122878089.29363199</v>
      </c>
      <c r="AZ213" s="143">
        <f>D213/2/input!H16*(M213^2+(input!H16-M213)^2)+B213*AD213+K213*AL213+F213*AH213+C213*AE213+G213*AI213+H213*AJ213+I213*AK213+J213*AM213</f>
        <v>123966050.06842846</v>
      </c>
      <c r="BA213" s="185"/>
    </row>
    <row r="214" spans="1:54" ht="15" customHeight="1">
      <c r="A214" s="579" t="str">
        <f>+input!B17</f>
        <v>108i</v>
      </c>
      <c r="B214" s="642">
        <f>+input!J17*input!K17*input!BJ17/1000</f>
        <v>29488</v>
      </c>
      <c r="C214" s="642">
        <f>+input!BQ17*input!N17*2*input!BK17/1000</f>
        <v>24041.652605426279</v>
      </c>
      <c r="D214" s="642">
        <f>+input!F17*input!G17*input!H17*input!BI17/1000</f>
        <v>18240</v>
      </c>
      <c r="E214" s="642">
        <f>0.85*Fck*input!P17*input!Q17/1000</f>
        <v>47451.25</v>
      </c>
      <c r="F214" s="642">
        <f>input!AD17*input!AE17*input!AF17*input!BN17/1000</f>
        <v>1945.6</v>
      </c>
      <c r="G214" s="642">
        <f>input!AG17*input!AH17*input!AI17*input!BM17/1000</f>
        <v>0</v>
      </c>
      <c r="H214" s="642">
        <f>input!CB17*Fys/1000</f>
        <v>2171.4688421612645</v>
      </c>
      <c r="I214" s="642">
        <f>input!BZ17*Fys/1000</f>
        <v>3062.1103594539709</v>
      </c>
      <c r="J214" s="642">
        <f>input!AC17*Fys/1000</f>
        <v>0</v>
      </c>
      <c r="K214" s="642">
        <f>input!BT17*0.85*Fckb/1000</f>
        <v>0</v>
      </c>
      <c r="L214" s="795">
        <f>IF(Stress!F846&lt;=0,IF(B214+F214+(input!M17-2*input!AH17)/input!M17*C214+J214&gt;=G214+D214+E214+H214+I214,1,IF(B214+F214+C214+G214+J214&gt;=D214+E214+H214+I214,"a",IF(B214+F214+C214+G214+D214+J214&gt;=E214+H214+I214,2,IF(B214+F214+C214+G214+D214+J214&gt;=(input!P17-input!AB17)/input!P17*E214+H214+I214,3,IF(B214+F214+C214+G214+D214+H214+J214&gt;=(input!P17-input!AB17)/input!P17*E214+I214,4,IF(B214+F214+C214+G214+D214+H214+J214&gt;=input!Y17/input!P17*E214+I214,5,IF(B214+F214+C214+G214+D214+H214+I214+J214&gt;=input!Y17/input!P17*E214,6,7))))))),IF(B214+F214+IF(input!O17=0,0,input!AE17/input!O17)*K214+input!AE17/input!M17*C214&gt;=(input!M17-input!AE17)*C214/input!M17+G214+D214+H214+I214,"b",IF(B214+F214+K214+input!O17/input!M17*C214&gt;=(input!M17-input!O17)/input!M17*C214+G214+D214+H214+I214,"c",IF(B214+F214+J214+K214+(input!M17-input!AH17)/input!M17*C214&gt;=G214+D214+H214+I214,8,IF(B214+F214+J214+K214+C214+G214&gt;=D214+H214+I214,"d",9)))))</f>
        <v>2</v>
      </c>
      <c r="M214" s="643">
        <f t="shared" si="0"/>
        <v>23.059674784880531</v>
      </c>
      <c r="N214" s="493">
        <f t="shared" si="1"/>
        <v>130042.64171156453</v>
      </c>
      <c r="O214" s="766"/>
      <c r="Q214" s="73">
        <f>input!M17/2*((B214+F214+J214-G214-D214-E214-H214-I214)/C214+1)</f>
        <v>-899.66391203002024</v>
      </c>
      <c r="R214" s="73">
        <f>(B214+F214+J214+C214+G214-D214-E214-H214-I214)/(2/input!M17*C214+IF(input!AH17=0,0,2/input!AH17)*G214)</f>
        <v>-899.66391203002058</v>
      </c>
      <c r="S214" s="73">
        <f>input!H17/2*(B214+F214+J214+C214+G214-E214-H214-I214+D214)/D214</f>
        <v>23.059674784880531</v>
      </c>
      <c r="T214" s="558">
        <f>input!P17*(B214+F214+J214+C214+G214+D214-H214-I214)/E214</f>
        <v>418.52817970243564</v>
      </c>
      <c r="U214" s="73">
        <f>input!P17-input!AB17</f>
        <v>250</v>
      </c>
      <c r="V214" s="558">
        <f>input!P17*(B214+F214+J214+C214+G214+D214+H214-I214)/E214</f>
        <v>445.07019763565205</v>
      </c>
      <c r="W214" s="73">
        <f>input!Y17</f>
        <v>50</v>
      </c>
      <c r="X214" s="558">
        <f>input!P17*(B214+F214+J214+C214+G214+D214+H214+I214)/E214</f>
        <v>482.49859011178927</v>
      </c>
      <c r="Y214" s="73">
        <f>(B214+C214+IF(input!O17=0,0,input!M17/input!O17)*K214+(IF(input!AE17=0,0,2*input!M17/input!AE17)-1)*F214-D214-G214-H214-I214)/(IF(input!AE17=0,0,2/input!AE17)*F214+IF(input!O17=0,0,1/input!O17)*K214+2/input!M17*C214)</f>
        <v>2318.6412161940498</v>
      </c>
      <c r="Z214" s="73">
        <f>(B214+C214+F214+IF(input!O17=0,0,input!M17/input!O17)*K214-D214-G214-H214-I214)/(IF(input!O17=0,0,1/input!O17)*K214+2/input!M17*C214)</f>
        <v>1863.5300784282786</v>
      </c>
      <c r="AA214" s="73">
        <f>input!M17/2*(B214+F214+J214+K214-G214-D214-H214-I214+C214)/C214</f>
        <v>1863.5300784282786</v>
      </c>
      <c r="AB214" s="73">
        <f>(B214+F214+J214+K214+G214+C214-D214-H214-I214)/(IF(input!AH17=0,0,2/input!AH17)*G214+2/input!M17*C214)</f>
        <v>1863.5300784282786</v>
      </c>
      <c r="AC214" s="143">
        <f>input!H17/2*(B214+F214+K214+G214+C214-H214-I214+D214+J214)/D214</f>
        <v>75.089554170845446</v>
      </c>
      <c r="AD214" s="165">
        <f>IF(OR(L214=1,L214=8,L214="a",L214="b",L214="c",L214="d"),input!M17-M214+input!K17/2,IF(OR(L214=2,L214=9),input!H17-M214+input!M17+input!K17/2,input!R17+input!P17-M214+input!M17+input!K17/2))</f>
        <v>2836.9403252151196</v>
      </c>
      <c r="AE214" s="143">
        <f>IF(OR(L214=1,L214=8,L214="a",L214="b",L214="c",L214="d"),ABS(input!M17/2-M214),IF(OR(L214=2,L214=9),input!H17-M214+input!M17/2,input!R17+input!P17-M214+input!M17/2))</f>
        <v>1416.9403252151194</v>
      </c>
      <c r="AF214" s="143">
        <f>IF(OR(L214=1,L214=8,L214="a",L214="b",L214="c",L214="d"),M214+input!H17/2,IF(OR(L214=2,L214=9),ABS(input!H17/2-M214),input!R17+input!P17-M214-input!H17/2))</f>
        <v>3.0596747848805315</v>
      </c>
      <c r="AG214" s="143">
        <f>IF(OR(L214=1,L214=8,L214="a",L214="b",L214="c",L214="d"),input!R17+input!P17/2+M214,IF(OR(L214=2,L214=9),input!R17+input!P17/2-input!H17+M214,ABS(input!P17/2-M214)))</f>
        <v>128.05967478488054</v>
      </c>
      <c r="AH214" s="143">
        <f>IF(OR(L214=1,L214=8,L214="a",L214="b",L214="c",L214="d"),input!M17-M214-input!AE17/2,IF(OR(L214=2,L214=9),input!H17-M214+input!M17-input!AE17/2,input!R17+input!P17-M214+input!M17-input!AE17/2))</f>
        <v>2736.9403252151196</v>
      </c>
      <c r="AI214" s="143">
        <f>IF(OR(L214=1,L214=8,L214="a",L214="b",L214="c",L214="d"),M214-input!AH17/2,IF(OR(L214=2,L214=9),input!H17-M214+input!AH17/2,input!R17+input!P17-M214+input!AH17/2))</f>
        <v>16.940325215119469</v>
      </c>
      <c r="AJ214" s="143">
        <f>IF(OR(L214=1,L214=8,L214="a",L214="b",L214="c",L214="d"),M214+input!R17+input!AB17,IF(OR(L214=2,L214=9),input!R17+input!AB17-input!H17+M214,IF(L214=3,input!AB17-(input!P17-M214),ABS(input!P17-input!AB17-M214))))</f>
        <v>23.059674784880531</v>
      </c>
      <c r="AK214" s="143">
        <f>IF(OR(L214=1,L214=8,L214="a",L214="b",L214="c",L214="d"),M214+input!R17+input!P17-input!Y17,IF(OR(L214=2,L214=9),input!R17+input!P17-input!Y17-input!H17+M214,ABS(input!Y17-M214)))</f>
        <v>223.05967478488054</v>
      </c>
      <c r="AL214" s="143">
        <f>IF(OR(L214=1,L214=8,L214="a",L214="b",L214="c",L214="d"),input!M17-M214-input!O17/2,IF(OR(L214=2,L214=9),input!H17-M214+input!M17-input!O17/2,0))</f>
        <v>2816.9403252151196</v>
      </c>
      <c r="AM214" s="143">
        <f>IF(OR(L214=1,L214=8,L214="a",L214="b",L214="c",L214="d"),input!M17-M214-input!O17/2,IF(OR(L214=2,L214=9),input!H17-M214+input!M17-input!O17/2,input!R17+input!P17-M214+input!M17-input!O17/2))</f>
        <v>2816.9403252151196</v>
      </c>
      <c r="AN214" s="143">
        <f>C214/2/input!M17*(M214^2+(input!M17-M214)^2)+B214*AD214+D214*AF214+E214*AG214+F214*AH214+G214*AI214+H214*AJ214+I214*AK214+J214*AM214</f>
        <v>128954680.93676805</v>
      </c>
      <c r="AO214" s="143">
        <f>IF(input!AH17=0,0,1/2/input!AH17)*G214*(M214^2+(input!AH17-M214)^2)+D214*AF214+F214*AH214+C214/2/input!M17*(M214^2+(input!M17-M214)^2)+B214*AD214+E214*AG214+H214*AJ214+I214*AK214+J214*AM214</f>
        <v>128954680.93676807</v>
      </c>
      <c r="AP214" s="143">
        <f>+D214/2/input!H17*(M214^2+(input!H17-M214)^2)+B214*AD214+F214*AH214+G214*AI214+C214*AE214+E214*AG214+H214*AJ214+I214*AK214+J214*AM214</f>
        <v>130042641.71156453</v>
      </c>
      <c r="AQ214" s="143">
        <f>+(M214^2)/2/input!P17*E214+D214*AF214+F214*AH214+G214*AI214+C214*AE214+B214*AD214+H214*AJ214+I214*AK214+J214*AM214</f>
        <v>123878693.32487521</v>
      </c>
      <c r="AR214" s="143">
        <f>+(M214^2)/2/input!P17*E214+D214*AF214+F214*AH214+G214*AI214+C214*AE214+B214*AD214+I214*AK214+J214*AM214</f>
        <v>123828619.95956947</v>
      </c>
      <c r="AS214" s="143">
        <f>+(M214^2)/2/input!P17*E214+D214*AF214+F214*AH214+G214*AI214+C214*AE214+B214*AD214+H214*AJ214+I214*AK214+J214*AM214</f>
        <v>123878693.32487521</v>
      </c>
      <c r="AT214" s="143">
        <f>+(M214^2)/2/input!P17*E214+D214*AF214+F214*AH214+G214*AI214+C214*AE214+B214*AD214+H214*AJ214+J214*AM214</f>
        <v>123195659.98393999</v>
      </c>
      <c r="AU214" s="143">
        <f>+(M214^2)/2/input!P17*E214+D214*AF214+F214*AH214+G214*AI214+C214*AE214+B214*AD214+H214*AJ214+I214*AK214+J214*AM214</f>
        <v>123878693.32487521</v>
      </c>
      <c r="AV214" s="143">
        <f>IF(input!AE17=0,0,1/2/input!AE17)*F214*((input!M17-M214)^2+(input!AE17-input!M17+M214)^2)+C214/2/input!M17*(M214^2+(M214-input!M17)^2)+IF(input!O17=0,0,1/2/input!O17)*K214*(input!M17-M214)^2+B214*AD214+G214*AI214+D214*AF214+H214*AJ214+I214*AK214+J214*AM214</f>
        <v>206076525.54899415</v>
      </c>
      <c r="AW214" s="143">
        <f>+C214/2/input!M17*(M214^2+(M214-input!M17)^2)+IF(input!O17=0,0,1/2/input!O17)*K214*(input!M17-M214)^2+B214*AD214+F214*AH214+G214*AI214+D214*AF214+H214*AJ214+I214*AK214+J214*AM214</f>
        <v>122878089.29363199</v>
      </c>
      <c r="AX214" s="143">
        <f>C214/2/input!M17*(M214^2+(M214-input!M17)^2)+K214*AL214+B214*AD214+F214*AH214+G214*AI214+D214*AF214+H214*AJ214+I214*AK214+J214*AM214</f>
        <v>122878089.29363199</v>
      </c>
      <c r="AY214" s="143">
        <f>C214/2/input!M17*(M214^2+(M214-input!M17)^2)+IF(input!AH17=0,0,1/2/input!AH17)*G214*(M214^2+(input!AH17-M214)^2)+K214*AL214+B214*AD214+F214*AH214+D214*AF214+H214*AJ214+I214*AK214+J214*AM214</f>
        <v>122878089.29363199</v>
      </c>
      <c r="AZ214" s="143">
        <f>D214/2/input!H17*(M214^2+(input!H17-M214)^2)+B214*AD214+K214*AL214+F214*AH214+C214*AE214+G214*AI214+H214*AJ214+I214*AK214+J214*AM214</f>
        <v>123966050.06842846</v>
      </c>
      <c r="BA214" s="185"/>
    </row>
    <row r="215" spans="1:54" ht="15" customHeight="1">
      <c r="A215" s="579" t="str">
        <f>+input!B18</f>
        <v>108j</v>
      </c>
      <c r="B215" s="642">
        <f>+input!J18*input!K18*input!BJ18/1000</f>
        <v>29488</v>
      </c>
      <c r="C215" s="642">
        <f>+input!BQ18*input!N18*2*input!BK18/1000</f>
        <v>24041.652605426279</v>
      </c>
      <c r="D215" s="642">
        <f>+input!F18*input!G18*input!H18*input!BI18/1000</f>
        <v>18240</v>
      </c>
      <c r="E215" s="642">
        <f>0.85*Fck*input!P18*input!Q18/1000</f>
        <v>47451.25</v>
      </c>
      <c r="F215" s="642">
        <f>input!AD18*input!AE18*input!AF18*input!BN18/1000</f>
        <v>1945.6</v>
      </c>
      <c r="G215" s="642">
        <f>input!AG18*input!AH18*input!AI18*input!BM18/1000</f>
        <v>0</v>
      </c>
      <c r="H215" s="642">
        <f>input!CB18*Fys/1000</f>
        <v>2171.4688421612645</v>
      </c>
      <c r="I215" s="642">
        <f>input!BZ18*Fys/1000</f>
        <v>3062.1103594539709</v>
      </c>
      <c r="J215" s="642">
        <f>input!AC18*Fys/1000</f>
        <v>0</v>
      </c>
      <c r="K215" s="642">
        <f>input!BT18*0.85*Fckb/1000</f>
        <v>0</v>
      </c>
      <c r="L215" s="795">
        <f>IF(Stress!F847&lt;=0,IF(B215+F215+(input!M18-2*input!AH18)/input!M18*C215+J215&gt;=G215+D215+E215+H215+I215,1,IF(B215+F215+C215+G215+J215&gt;=D215+E215+H215+I215,"a",IF(B215+F215+C215+G215+D215+J215&gt;=E215+H215+I215,2,IF(B215+F215+C215+G215+D215+J215&gt;=(input!P18-input!AB18)/input!P18*E215+H215+I215,3,IF(B215+F215+C215+G215+D215+H215+J215&gt;=(input!P18-input!AB18)/input!P18*E215+I215,4,IF(B215+F215+C215+G215+D215+H215+J215&gt;=input!Y18/input!P18*E215+I215,5,IF(B215+F215+C215+G215+D215+H215+I215+J215&gt;=input!Y18/input!P18*E215,6,7))))))),IF(B215+F215+IF(input!O18=0,0,input!AE18/input!O18)*K215+input!AE18/input!M18*C215&gt;=(input!M18-input!AE18)*C215/input!M18+G215+D215+H215+I215,"b",IF(B215+F215+K215+input!O18/input!M18*C215&gt;=(input!M18-input!O18)/input!M18*C215+G215+D215+H215+I215,"c",IF(B215+F215+J215+K215+(input!M18-input!AH18)/input!M18*C215&gt;=G215+D215+H215+I215,8,IF(B215+F215+J215+K215+C215+G215&gt;=D215+H215+I215,"d",9)))))</f>
        <v>2</v>
      </c>
      <c r="M215" s="643">
        <f t="shared" si="0"/>
        <v>23.059674784880531</v>
      </c>
      <c r="N215" s="493">
        <f t="shared" si="1"/>
        <v>130042.64171156453</v>
      </c>
      <c r="O215" s="766"/>
      <c r="Q215" s="73">
        <f>input!M18/2*((B215+F215+J215-G215-D215-E215-H215-I215)/C215+1)</f>
        <v>-899.66391203002024</v>
      </c>
      <c r="R215" s="73">
        <f>(B215+F215+J215+C215+G215-D215-E215-H215-I215)/(2/input!M18*C215+IF(input!AH18=0,0,2/input!AH18)*G215)</f>
        <v>-899.66391203002058</v>
      </c>
      <c r="S215" s="73">
        <f>input!H18/2*(B215+F215+J215+C215+G215-E215-H215-I215+D215)/D215</f>
        <v>23.059674784880531</v>
      </c>
      <c r="T215" s="558">
        <f>input!P18*(B215+F215+J215+C215+G215+D215-H215-I215)/E215</f>
        <v>418.52817970243564</v>
      </c>
      <c r="U215" s="73">
        <f>input!P18-input!AB18</f>
        <v>250</v>
      </c>
      <c r="V215" s="558">
        <f>input!P18*(B215+F215+J215+C215+G215+D215+H215-I215)/E215</f>
        <v>445.07019763565205</v>
      </c>
      <c r="W215" s="73">
        <f>input!Y18</f>
        <v>50</v>
      </c>
      <c r="X215" s="558">
        <f>input!P18*(B215+F215+J215+C215+G215+D215+H215+I215)/E215</f>
        <v>482.49859011178927</v>
      </c>
      <c r="Y215" s="73">
        <f>(B215+C215+IF(input!O18=0,0,input!M18/input!O18)*K215+(IF(input!AE18=0,0,2*input!M18/input!AE18)-1)*F215-D215-G215-H215-I215)/(IF(input!AE18=0,0,2/input!AE18)*F215+IF(input!O18=0,0,1/input!O18)*K215+2/input!M18*C215)</f>
        <v>2318.6412161940498</v>
      </c>
      <c r="Z215" s="73">
        <f>(B215+C215+F215+IF(input!O18=0,0,input!M18/input!O18)*K215-D215-G215-H215-I215)/(IF(input!O18=0,0,1/input!O18)*K215+2/input!M18*C215)</f>
        <v>1863.5300784282786</v>
      </c>
      <c r="AA215" s="73">
        <f>input!M18/2*(B215+F215+J215+K215-G215-D215-H215-I215+C215)/C215</f>
        <v>1863.5300784282786</v>
      </c>
      <c r="AB215" s="73">
        <f>(B215+F215+J215+K215+G215+C215-D215-H215-I215)/(IF(input!AH18=0,0,2/input!AH18)*G215+2/input!M18*C215)</f>
        <v>1863.5300784282786</v>
      </c>
      <c r="AC215" s="143">
        <f>input!H18/2*(B215+F215+K215+G215+C215-H215-I215+D215+J215)/D215</f>
        <v>75.089554170845446</v>
      </c>
      <c r="AD215" s="165">
        <f>IF(OR(L215=1,L215=8,L215="a",L215="b",L215="c",L215="d"),input!M18-M215+input!K18/2,IF(OR(L215=2,L215=9),input!H18-M215+input!M18+input!K18/2,input!R18+input!P18-M215+input!M18+input!K18/2))</f>
        <v>2836.9403252151196</v>
      </c>
      <c r="AE215" s="143">
        <f>IF(OR(L215=1,L215=8,L215="a",L215="b",L215="c",L215="d"),ABS(input!M18/2-M215),IF(OR(L215=2,L215=9),input!H18-M215+input!M18/2,input!R18+input!P18-M215+input!M18/2))</f>
        <v>1416.9403252151194</v>
      </c>
      <c r="AF215" s="143">
        <f>IF(OR(L215=1,L215=8,L215="a",L215="b",L215="c",L215="d"),M215+input!H18/2,IF(OR(L215=2,L215=9),ABS(input!H18/2-M215),input!R18+input!P18-M215-input!H18/2))</f>
        <v>3.0596747848805315</v>
      </c>
      <c r="AG215" s="143">
        <f>IF(OR(L215=1,L215=8,L215="a",L215="b",L215="c",L215="d"),input!R18+input!P18/2+M215,IF(OR(L215=2,L215=9),input!R18+input!P18/2-input!H18+M215,ABS(input!P18/2-M215)))</f>
        <v>128.05967478488054</v>
      </c>
      <c r="AH215" s="143">
        <f>IF(OR(L215=1,L215=8,L215="a",L215="b",L215="c",L215="d"),input!M18-M215-input!AE18/2,IF(OR(L215=2,L215=9),input!H18-M215+input!M18-input!AE18/2,input!R18+input!P18-M215+input!M18-input!AE18/2))</f>
        <v>2736.9403252151196</v>
      </c>
      <c r="AI215" s="143">
        <f>IF(OR(L215=1,L215=8,L215="a",L215="b",L215="c",L215="d"),M215-input!AH18/2,IF(OR(L215=2,L215=9),input!H18-M215+input!AH18/2,input!R18+input!P18-M215+input!AH18/2))</f>
        <v>16.940325215119469</v>
      </c>
      <c r="AJ215" s="143">
        <f>IF(OR(L215=1,L215=8,L215="a",L215="b",L215="c",L215="d"),M215+input!R18+input!AB18,IF(OR(L215=2,L215=9),input!R18+input!AB18-input!H18+M215,IF(L215=3,input!AB18-(input!P18-M215),ABS(input!P18-input!AB18-M215))))</f>
        <v>23.059674784880531</v>
      </c>
      <c r="AK215" s="143">
        <f>IF(OR(L215=1,L215=8,L215="a",L215="b",L215="c",L215="d"),M215+input!R18+input!P18-input!Y18,IF(OR(L215=2,L215=9),input!R18+input!P18-input!Y18-input!H18+M215,ABS(input!Y18-M215)))</f>
        <v>223.05967478488054</v>
      </c>
      <c r="AL215" s="143">
        <f>IF(OR(L215=1,L215=8,L215="a",L215="b",L215="c",L215="d"),input!M18-M215-input!O18/2,IF(OR(L215=2,L215=9),input!H18-M215+input!M18-input!O18/2,0))</f>
        <v>2816.9403252151196</v>
      </c>
      <c r="AM215" s="143">
        <f>IF(OR(L215=1,L215=8,L215="a",L215="b",L215="c",L215="d"),input!M18-M215-input!O18/2,IF(OR(L215=2,L215=9),input!H18-M215+input!M18-input!O18/2,input!R18+input!P18-M215+input!M18-input!O18/2))</f>
        <v>2816.9403252151196</v>
      </c>
      <c r="AN215" s="143">
        <f>C215/2/input!M18*(M215^2+(input!M18-M215)^2)+B215*AD215+D215*AF215+E215*AG215+F215*AH215+G215*AI215+H215*AJ215+I215*AK215+J215*AM215</f>
        <v>128954680.93676805</v>
      </c>
      <c r="AO215" s="143">
        <f>IF(input!AH18=0,0,1/2/input!AH18)*G215*(M215^2+(input!AH18-M215)^2)+D215*AF215+F215*AH215+C215/2/input!M18*(M215^2+(input!M18-M215)^2)+B215*AD215+E215*AG215+H215*AJ215+I215*AK215+J215*AM215</f>
        <v>128954680.93676807</v>
      </c>
      <c r="AP215" s="143">
        <f>+D215/2/input!H18*(M215^2+(input!H18-M215)^2)+B215*AD215+F215*AH215+G215*AI215+C215*AE215+E215*AG215+H215*AJ215+I215*AK215+J215*AM215</f>
        <v>130042641.71156453</v>
      </c>
      <c r="AQ215" s="143">
        <f>+(M215^2)/2/input!P18*E215+D215*AF215+F215*AH215+G215*AI215+C215*AE215+B215*AD215+H215*AJ215+I215*AK215+J215*AM215</f>
        <v>123878693.32487521</v>
      </c>
      <c r="AR215" s="143">
        <f>+(M215^2)/2/input!P18*E215+D215*AF215+F215*AH215+G215*AI215+C215*AE215+B215*AD215+I215*AK215+J215*AM215</f>
        <v>123828619.95956947</v>
      </c>
      <c r="AS215" s="143">
        <f>+(M215^2)/2/input!P18*E215+D215*AF215+F215*AH215+G215*AI215+C215*AE215+B215*AD215+H215*AJ215+I215*AK215+J215*AM215</f>
        <v>123878693.32487521</v>
      </c>
      <c r="AT215" s="143">
        <f>+(M215^2)/2/input!P18*E215+D215*AF215+F215*AH215+G215*AI215+C215*AE215+B215*AD215+H215*AJ215+J215*AM215</f>
        <v>123195659.98393999</v>
      </c>
      <c r="AU215" s="143">
        <f>+(M215^2)/2/input!P18*E215+D215*AF215+F215*AH215+G215*AI215+C215*AE215+B215*AD215+H215*AJ215+I215*AK215+J215*AM215</f>
        <v>123878693.32487521</v>
      </c>
      <c r="AV215" s="143">
        <f>IF(input!AE18=0,0,1/2/input!AE18)*F215*((input!M18-M215)^2+(input!AE18-input!M18+M215)^2)+C215/2/input!M18*(M215^2+(M215-input!M18)^2)+IF(input!O18=0,0,1/2/input!O18)*K215*(input!M18-M215)^2+B215*AD215+G215*AI215+D215*AF215+H215*AJ215+I215*AK215+J215*AM215</f>
        <v>206076525.54899415</v>
      </c>
      <c r="AW215" s="143">
        <f>+C215/2/input!M18*(M215^2+(M215-input!M18)^2)+IF(input!O18=0,0,1/2/input!O18)*K215*(input!M18-M215)^2+B215*AD215+F215*AH215+G215*AI215+D215*AF215+H215*AJ215+I215*AK215+J215*AM215</f>
        <v>122878089.29363199</v>
      </c>
      <c r="AX215" s="143">
        <f>C215/2/input!M18*(M215^2+(M215-input!M18)^2)+K215*AL215+B215*AD215+F215*AH215+G215*AI215+D215*AF215+H215*AJ215+I215*AK215+J215*AM215</f>
        <v>122878089.29363199</v>
      </c>
      <c r="AY215" s="143">
        <f>C215/2/input!M18*(M215^2+(M215-input!M18)^2)+IF(input!AH18=0,0,1/2/input!AH18)*G215*(M215^2+(input!AH18-M215)^2)+K215*AL215+B215*AD215+F215*AH215+D215*AF215+H215*AJ215+I215*AK215+J215*AM215</f>
        <v>122878089.29363199</v>
      </c>
      <c r="AZ215" s="143">
        <f>D215/2/input!H18*(M215^2+(input!H18-M215)^2)+B215*AD215+K215*AL215+F215*AH215+C215*AE215+G215*AI215+H215*AJ215+I215*AK215+J215*AM215</f>
        <v>123966050.06842846</v>
      </c>
      <c r="BA215" s="185"/>
    </row>
    <row r="216" spans="1:54" ht="15" customHeight="1">
      <c r="A216" s="579" t="str">
        <f>+input!B19</f>
        <v>109i</v>
      </c>
      <c r="B216" s="642">
        <f>+input!J19*input!K19*input!BJ19/1000</f>
        <v>29488</v>
      </c>
      <c r="C216" s="642">
        <f>+input!BQ19*input!N19*2*input!BK19/1000</f>
        <v>24041.652605426279</v>
      </c>
      <c r="D216" s="642">
        <f>+input!F19*input!G19*input!H19*input!BI19/1000</f>
        <v>18240</v>
      </c>
      <c r="E216" s="642">
        <f>0.85*Fck*input!P19*input!Q19/1000</f>
        <v>47451.25</v>
      </c>
      <c r="F216" s="642">
        <f>input!AD19*input!AE19*input!AF19*input!BN19/1000</f>
        <v>1945.6</v>
      </c>
      <c r="G216" s="642">
        <f>input!AG19*input!AH19*input!AI19*input!BM19/1000</f>
        <v>0</v>
      </c>
      <c r="H216" s="642">
        <f>input!CB19*Fys/1000</f>
        <v>2171.4688421612645</v>
      </c>
      <c r="I216" s="642">
        <f>input!BZ19*Fys/1000</f>
        <v>3062.1103594539709</v>
      </c>
      <c r="J216" s="642">
        <f>input!AC19*Fys/1000</f>
        <v>0</v>
      </c>
      <c r="K216" s="642">
        <f>input!BT19*0.85*Fckb/1000</f>
        <v>0</v>
      </c>
      <c r="L216" s="795">
        <f>IF(Stress!F848&lt;=0,IF(B216+F216+(input!M19-2*input!AH19)/input!M19*C216+J216&gt;=G216+D216+E216+H216+I216,1,IF(B216+F216+C216+G216+J216&gt;=D216+E216+H216+I216,"a",IF(B216+F216+C216+G216+D216+J216&gt;=E216+H216+I216,2,IF(B216+F216+C216+G216+D216+J216&gt;=(input!P19-input!AB19)/input!P19*E216+H216+I216,3,IF(B216+F216+C216+G216+D216+H216+J216&gt;=(input!P19-input!AB19)/input!P19*E216+I216,4,IF(B216+F216+C216+G216+D216+H216+J216&gt;=input!Y19/input!P19*E216+I216,5,IF(B216+F216+C216+G216+D216+H216+I216+J216&gt;=input!Y19/input!P19*E216,6,7))))))),IF(B216+F216+IF(input!O19=0,0,input!AE19/input!O19)*K216+input!AE19/input!M19*C216&gt;=(input!M19-input!AE19)*C216/input!M19+G216+D216+H216+I216,"b",IF(B216+F216+K216+input!O19/input!M19*C216&gt;=(input!M19-input!O19)/input!M19*C216+G216+D216+H216+I216,"c",IF(B216+F216+J216+K216+(input!M19-input!AH19)/input!M19*C216&gt;=G216+D216+H216+I216,8,IF(B216+F216+J216+K216+C216+G216&gt;=D216+H216+I216,"d",9)))))</f>
        <v>2</v>
      </c>
      <c r="M216" s="643">
        <f t="shared" si="0"/>
        <v>23.059674784880531</v>
      </c>
      <c r="N216" s="493">
        <f t="shared" si="1"/>
        <v>130042.64171156453</v>
      </c>
      <c r="O216" s="766"/>
      <c r="Q216" s="73">
        <f>input!M19/2*((B216+F216+J216-G216-D216-E216-H216-I216)/C216+1)</f>
        <v>-899.66391203002024</v>
      </c>
      <c r="R216" s="73">
        <f>(B216+F216+J216+C216+G216-D216-E216-H216-I216)/(2/input!M19*C216+IF(input!AH19=0,0,2/input!AH19)*G216)</f>
        <v>-899.66391203002058</v>
      </c>
      <c r="S216" s="73">
        <f>input!H19/2*(B216+F216+J216+C216+G216-E216-H216-I216+D216)/D216</f>
        <v>23.059674784880531</v>
      </c>
      <c r="T216" s="558">
        <f>input!P19*(B216+F216+J216+C216+G216+D216-H216-I216)/E216</f>
        <v>418.52817970243564</v>
      </c>
      <c r="U216" s="73">
        <f>input!P19-input!AB19</f>
        <v>250</v>
      </c>
      <c r="V216" s="558">
        <f>input!P19*(B216+F216+J216+C216+G216+D216+H216-I216)/E216</f>
        <v>445.07019763565205</v>
      </c>
      <c r="W216" s="73">
        <f>input!Y19</f>
        <v>50</v>
      </c>
      <c r="X216" s="558">
        <f>input!P19*(B216+F216+J216+C216+G216+D216+H216+I216)/E216</f>
        <v>482.49859011178927</v>
      </c>
      <c r="Y216" s="73">
        <f>(B216+C216+IF(input!O19=0,0,input!M19/input!O19)*K216+(IF(input!AE19=0,0,2*input!M19/input!AE19)-1)*F216-D216-G216-H216-I216)/(IF(input!AE19=0,0,2/input!AE19)*F216+IF(input!O19=0,0,1/input!O19)*K216+2/input!M19*C216)</f>
        <v>2318.6412161940498</v>
      </c>
      <c r="Z216" s="73">
        <f>(B216+C216+F216+IF(input!O19=0,0,input!M19/input!O19)*K216-D216-G216-H216-I216)/(IF(input!O19=0,0,1/input!O19)*K216+2/input!M19*C216)</f>
        <v>1863.5300784282786</v>
      </c>
      <c r="AA216" s="73">
        <f>input!M19/2*(B216+F216+J216+K216-G216-D216-H216-I216+C216)/C216</f>
        <v>1863.5300784282786</v>
      </c>
      <c r="AB216" s="73">
        <f>(B216+F216+J216+K216+G216+C216-D216-H216-I216)/(IF(input!AH19=0,0,2/input!AH19)*G216+2/input!M19*C216)</f>
        <v>1863.5300784282786</v>
      </c>
      <c r="AC216" s="143">
        <f>input!H19/2*(B216+F216+K216+G216+C216-H216-I216+D216+J216)/D216</f>
        <v>75.089554170845446</v>
      </c>
      <c r="AD216" s="165">
        <f>IF(OR(L216=1,L216=8,L216="a",L216="b",L216="c",L216="d"),input!M19-M216+input!K19/2,IF(OR(L216=2,L216=9),input!H19-M216+input!M19+input!K19/2,input!R19+input!P19-M216+input!M19+input!K19/2))</f>
        <v>2836.9403252151196</v>
      </c>
      <c r="AE216" s="143">
        <f>IF(OR(L216=1,L216=8,L216="a",L216="b",L216="c",L216="d"),ABS(input!M19/2-M216),IF(OR(L216=2,L216=9),input!H19-M216+input!M19/2,input!R19+input!P19-M216+input!M19/2))</f>
        <v>1416.9403252151194</v>
      </c>
      <c r="AF216" s="143">
        <f>IF(OR(L216=1,L216=8,L216="a",L216="b",L216="c",L216="d"),M216+input!H19/2,IF(OR(L216=2,L216=9),ABS(input!H19/2-M216),input!R19+input!P19-M216-input!H19/2))</f>
        <v>3.0596747848805315</v>
      </c>
      <c r="AG216" s="143">
        <f>IF(OR(L216=1,L216=8,L216="a",L216="b",L216="c",L216="d"),input!R19+input!P19/2+M216,IF(OR(L216=2,L216=9),input!R19+input!P19/2-input!H19+M216,ABS(input!P19/2-M216)))</f>
        <v>128.05967478488054</v>
      </c>
      <c r="AH216" s="143">
        <f>IF(OR(L216=1,L216=8,L216="a",L216="b",L216="c",L216="d"),input!M19-M216-input!AE19/2,IF(OR(L216=2,L216=9),input!H19-M216+input!M19-input!AE19/2,input!R19+input!P19-M216+input!M19-input!AE19/2))</f>
        <v>2736.9403252151196</v>
      </c>
      <c r="AI216" s="143">
        <f>IF(OR(L216=1,L216=8,L216="a",L216="b",L216="c",L216="d"),M216-input!AH19/2,IF(OR(L216=2,L216=9),input!H19-M216+input!AH19/2,input!R19+input!P19-M216+input!AH19/2))</f>
        <v>16.940325215119469</v>
      </c>
      <c r="AJ216" s="143">
        <f>IF(OR(L216=1,L216=8,L216="a",L216="b",L216="c",L216="d"),M216+input!R19+input!AB19,IF(OR(L216=2,L216=9),input!R19+input!AB19-input!H19+M216,IF(L216=3,input!AB19-(input!P19-M216),ABS(input!P19-input!AB19-M216))))</f>
        <v>23.059674784880531</v>
      </c>
      <c r="AK216" s="143">
        <f>IF(OR(L216=1,L216=8,L216="a",L216="b",L216="c",L216="d"),M216+input!R19+input!P19-input!Y19,IF(OR(L216=2,L216=9),input!R19+input!P19-input!Y19-input!H19+M216,ABS(input!Y19-M216)))</f>
        <v>223.05967478488054</v>
      </c>
      <c r="AL216" s="143">
        <f>IF(OR(L216=1,L216=8,L216="a",L216="b",L216="c",L216="d"),input!M19-M216-input!O19/2,IF(OR(L216=2,L216=9),input!H19-M216+input!M19-input!O19/2,0))</f>
        <v>2816.9403252151196</v>
      </c>
      <c r="AM216" s="143">
        <f>IF(OR(L216=1,L216=8,L216="a",L216="b",L216="c",L216="d"),input!M19-M216-input!O19/2,IF(OR(L216=2,L216=9),input!H19-M216+input!M19-input!O19/2,input!R19+input!P19-M216+input!M19-input!O19/2))</f>
        <v>2816.9403252151196</v>
      </c>
      <c r="AN216" s="143">
        <f>C216/2/input!M19*(M216^2+(input!M19-M216)^2)+B216*AD216+D216*AF216+E216*AG216+F216*AH216+G216*AI216+H216*AJ216+I216*AK216+J216*AM216</f>
        <v>128954680.93676805</v>
      </c>
      <c r="AO216" s="143">
        <f>IF(input!AH19=0,0,1/2/input!AH19)*G216*(M216^2+(input!AH19-M216)^2)+D216*AF216+F216*AH216+C216/2/input!M19*(M216^2+(input!M19-M216)^2)+B216*AD216+E216*AG216+H216*AJ216+I216*AK216+J216*AM216</f>
        <v>128954680.93676807</v>
      </c>
      <c r="AP216" s="143">
        <f>+D216/2/input!H19*(M216^2+(input!H19-M216)^2)+B216*AD216+F216*AH216+G216*AI216+C216*AE216+E216*AG216+H216*AJ216+I216*AK216+J216*AM216</f>
        <v>130042641.71156453</v>
      </c>
      <c r="AQ216" s="143">
        <f>+(M216^2)/2/input!P19*E216+D216*AF216+F216*AH216+G216*AI216+C216*AE216+B216*AD216+H216*AJ216+I216*AK216+J216*AM216</f>
        <v>123878693.32487521</v>
      </c>
      <c r="AR216" s="143">
        <f>+(M216^2)/2/input!P19*E216+D216*AF216+F216*AH216+G216*AI216+C216*AE216+B216*AD216+I216*AK216+J216*AM216</f>
        <v>123828619.95956947</v>
      </c>
      <c r="AS216" s="143">
        <f>+(M216^2)/2/input!P19*E216+D216*AF216+F216*AH216+G216*AI216+C216*AE216+B216*AD216+H216*AJ216+I216*AK216+J216*AM216</f>
        <v>123878693.32487521</v>
      </c>
      <c r="AT216" s="143">
        <f>+(M216^2)/2/input!P19*E216+D216*AF216+F216*AH216+G216*AI216+C216*AE216+B216*AD216+H216*AJ216+J216*AM216</f>
        <v>123195659.98393999</v>
      </c>
      <c r="AU216" s="143">
        <f>+(M216^2)/2/input!P19*E216+D216*AF216+F216*AH216+G216*AI216+C216*AE216+B216*AD216+H216*AJ216+I216*AK216+J216*AM216</f>
        <v>123878693.32487521</v>
      </c>
      <c r="AV216" s="143">
        <f>IF(input!AE19=0,0,1/2/input!AE19)*F216*((input!M19-M216)^2+(input!AE19-input!M19+M216)^2)+C216/2/input!M19*(M216^2+(M216-input!M19)^2)+IF(input!O19=0,0,1/2/input!O19)*K216*(input!M19-M216)^2+B216*AD216+G216*AI216+D216*AF216+H216*AJ216+I216*AK216+J216*AM216</f>
        <v>206076525.54899415</v>
      </c>
      <c r="AW216" s="143">
        <f>+C216/2/input!M19*(M216^2+(M216-input!M19)^2)+IF(input!O19=0,0,1/2/input!O19)*K216*(input!M19-M216)^2+B216*AD216+F216*AH216+G216*AI216+D216*AF216+H216*AJ216+I216*AK216+J216*AM216</f>
        <v>122878089.29363199</v>
      </c>
      <c r="AX216" s="143">
        <f>C216/2/input!M19*(M216^2+(M216-input!M19)^2)+K216*AL216+B216*AD216+F216*AH216+G216*AI216+D216*AF216+H216*AJ216+I216*AK216+J216*AM216</f>
        <v>122878089.29363199</v>
      </c>
      <c r="AY216" s="143">
        <f>C216/2/input!M19*(M216^2+(M216-input!M19)^2)+IF(input!AH19=0,0,1/2/input!AH19)*G216*(M216^2+(input!AH19-M216)^2)+K216*AL216+B216*AD216+F216*AH216+D216*AF216+H216*AJ216+I216*AK216+J216*AM216</f>
        <v>122878089.29363199</v>
      </c>
      <c r="AZ216" s="143">
        <f>D216/2/input!H19*(M216^2+(input!H19-M216)^2)+B216*AD216+K216*AL216+F216*AH216+C216*AE216+G216*AI216+H216*AJ216+I216*AK216+J216*AM216</f>
        <v>123966050.06842846</v>
      </c>
      <c r="BA216" s="185"/>
    </row>
    <row r="217" spans="1:54" ht="15" customHeight="1">
      <c r="A217" s="579" t="str">
        <f>+input!B20</f>
        <v>109j</v>
      </c>
      <c r="B217" s="642">
        <f>+input!J20*input!K20*input!BJ20/1000</f>
        <v>29488</v>
      </c>
      <c r="C217" s="642">
        <f>+input!BQ20*input!N20*2*input!BK20/1000</f>
        <v>24041.652605426279</v>
      </c>
      <c r="D217" s="642">
        <f>+input!F20*input!G20*input!H20*input!BI20/1000</f>
        <v>18240</v>
      </c>
      <c r="E217" s="642">
        <f>0.85*Fck*input!P20*input!Q20/1000</f>
        <v>47451.25</v>
      </c>
      <c r="F217" s="642">
        <f>input!AD20*input!AE20*input!AF20*input!BN20/1000</f>
        <v>1945.6</v>
      </c>
      <c r="G217" s="642">
        <f>input!AG20*input!AH20*input!AI20*input!BM20/1000</f>
        <v>0</v>
      </c>
      <c r="H217" s="642">
        <f>input!CB20*Fys/1000</f>
        <v>2171.4688421612645</v>
      </c>
      <c r="I217" s="642">
        <f>input!BZ20*Fys/1000</f>
        <v>3062.1103594539709</v>
      </c>
      <c r="J217" s="642">
        <f>input!AC20*Fys/1000</f>
        <v>0</v>
      </c>
      <c r="K217" s="642">
        <f>input!BT20*0.85*Fckb/1000</f>
        <v>0</v>
      </c>
      <c r="L217" s="795">
        <f>IF(Stress!F849&lt;=0,IF(B217+F217+(input!M20-2*input!AH20)/input!M20*C217+J217&gt;=G217+D217+E217+H217+I217,1,IF(B217+F217+C217+G217+J217&gt;=D217+E217+H217+I217,"a",IF(B217+F217+C217+G217+D217+J217&gt;=E217+H217+I217,2,IF(B217+F217+C217+G217+D217+J217&gt;=(input!P20-input!AB20)/input!P20*E217+H217+I217,3,IF(B217+F217+C217+G217+D217+H217+J217&gt;=(input!P20-input!AB20)/input!P20*E217+I217,4,IF(B217+F217+C217+G217+D217+H217+J217&gt;=input!Y20/input!P20*E217+I217,5,IF(B217+F217+C217+G217+D217+H217+I217+J217&gt;=input!Y20/input!P20*E217,6,7))))))),IF(B217+F217+IF(input!O20=0,0,input!AE20/input!O20)*K217+input!AE20/input!M20*C217&gt;=(input!M20-input!AE20)*C217/input!M20+G217+D217+H217+I217,"b",IF(B217+F217+K217+input!O20/input!M20*C217&gt;=(input!M20-input!O20)/input!M20*C217+G217+D217+H217+I217,"c",IF(B217+F217+J217+K217+(input!M20-input!AH20)/input!M20*C217&gt;=G217+D217+H217+I217,8,IF(B217+F217+J217+K217+C217+G217&gt;=D217+H217+I217,"d",9)))))</f>
        <v>2</v>
      </c>
      <c r="M217" s="643">
        <f t="shared" si="0"/>
        <v>23.059674784880531</v>
      </c>
      <c r="N217" s="493">
        <f t="shared" si="1"/>
        <v>130042.64171156453</v>
      </c>
      <c r="O217" s="766"/>
      <c r="Q217" s="73">
        <f>input!M20/2*((B217+F217+J217-G217-D217-E217-H217-I217)/C217+1)</f>
        <v>-899.66391203002024</v>
      </c>
      <c r="R217" s="73">
        <f>(B217+F217+J217+C217+G217-D217-E217-H217-I217)/(2/input!M20*C217+IF(input!AH20=0,0,2/input!AH20)*G217)</f>
        <v>-899.66391203002058</v>
      </c>
      <c r="S217" s="73">
        <f>input!H20/2*(B217+F217+J217+C217+G217-E217-H217-I217+D217)/D217</f>
        <v>23.059674784880531</v>
      </c>
      <c r="T217" s="558">
        <f>input!P20*(B217+F217+J217+C217+G217+D217-H217-I217)/E217</f>
        <v>418.52817970243564</v>
      </c>
      <c r="U217" s="73">
        <f>input!P20-input!AB20</f>
        <v>250</v>
      </c>
      <c r="V217" s="558">
        <f>input!P20*(B217+F217+J217+C217+G217+D217+H217-I217)/E217</f>
        <v>445.07019763565205</v>
      </c>
      <c r="W217" s="73">
        <f>input!Y20</f>
        <v>50</v>
      </c>
      <c r="X217" s="558">
        <f>input!P20*(B217+F217+J217+C217+G217+D217+H217+I217)/E217</f>
        <v>482.49859011178927</v>
      </c>
      <c r="Y217" s="73">
        <f>(B217+C217+IF(input!O20=0,0,input!M20/input!O20)*K217+(IF(input!AE20=0,0,2*input!M20/input!AE20)-1)*F217-D217-G217-H217-I217)/(IF(input!AE20=0,0,2/input!AE20)*F217+IF(input!O20=0,0,1/input!O20)*K217+2/input!M20*C217)</f>
        <v>2318.6412161940498</v>
      </c>
      <c r="Z217" s="73">
        <f>(B217+C217+F217+IF(input!O20=0,0,input!M20/input!O20)*K217-D217-G217-H217-I217)/(IF(input!O20=0,0,1/input!O20)*K217+2/input!M20*C217)</f>
        <v>1863.5300784282786</v>
      </c>
      <c r="AA217" s="73">
        <f>input!M20/2*(B217+F217+J217+K217-G217-D217-H217-I217+C217)/C217</f>
        <v>1863.5300784282786</v>
      </c>
      <c r="AB217" s="73">
        <f>(B217+F217+J217+K217+G217+C217-D217-H217-I217)/(IF(input!AH20=0,0,2/input!AH20)*G217+2/input!M20*C217)</f>
        <v>1863.5300784282786</v>
      </c>
      <c r="AC217" s="143">
        <f>input!H20/2*(B217+F217+K217+G217+C217-H217-I217+D217+J217)/D217</f>
        <v>75.089554170845446</v>
      </c>
      <c r="AD217" s="165">
        <f>IF(OR(L217=1,L217=8,L217="a",L217="b",L217="c",L217="d"),input!M20-M217+input!K20/2,IF(OR(L217=2,L217=9),input!H20-M217+input!M20+input!K20/2,input!R20+input!P20-M217+input!M20+input!K20/2))</f>
        <v>2836.9403252151196</v>
      </c>
      <c r="AE217" s="143">
        <f>IF(OR(L217=1,L217=8,L217="a",L217="b",L217="c",L217="d"),ABS(input!M20/2-M217),IF(OR(L217=2,L217=9),input!H20-M217+input!M20/2,input!R20+input!P20-M217+input!M20/2))</f>
        <v>1416.9403252151194</v>
      </c>
      <c r="AF217" s="143">
        <f>IF(OR(L217=1,L217=8,L217="a",L217="b",L217="c",L217="d"),M217+input!H20/2,IF(OR(L217=2,L217=9),ABS(input!H20/2-M217),input!R20+input!P20-M217-input!H20/2))</f>
        <v>3.0596747848805315</v>
      </c>
      <c r="AG217" s="143">
        <f>IF(OR(L217=1,L217=8,L217="a",L217="b",L217="c",L217="d"),input!R20+input!P20/2+M217,IF(OR(L217=2,L217=9),input!R20+input!P20/2-input!H20+M217,ABS(input!P20/2-M217)))</f>
        <v>128.05967478488054</v>
      </c>
      <c r="AH217" s="143">
        <f>IF(OR(L217=1,L217=8,L217="a",L217="b",L217="c",L217="d"),input!M20-M217-input!AE20/2,IF(OR(L217=2,L217=9),input!H20-M217+input!M20-input!AE20/2,input!R20+input!P20-M217+input!M20-input!AE20/2))</f>
        <v>2736.9403252151196</v>
      </c>
      <c r="AI217" s="143">
        <f>IF(OR(L217=1,L217=8,L217="a",L217="b",L217="c",L217="d"),M217-input!AH20/2,IF(OR(L217=2,L217=9),input!H20-M217+input!AH20/2,input!R20+input!P20-M217+input!AH20/2))</f>
        <v>16.940325215119469</v>
      </c>
      <c r="AJ217" s="143">
        <f>IF(OR(L217=1,L217=8,L217="a",L217="b",L217="c",L217="d"),M217+input!R20+input!AB20,IF(OR(L217=2,L217=9),input!R20+input!AB20-input!H20+M217,IF(L217=3,input!AB20-(input!P20-M217),ABS(input!P20-input!AB20-M217))))</f>
        <v>23.059674784880531</v>
      </c>
      <c r="AK217" s="143">
        <f>IF(OR(L217=1,L217=8,L217="a",L217="b",L217="c",L217="d"),M217+input!R20+input!P20-input!Y20,IF(OR(L217=2,L217=9),input!R20+input!P20-input!Y20-input!H20+M217,ABS(input!Y20-M217)))</f>
        <v>223.05967478488054</v>
      </c>
      <c r="AL217" s="143">
        <f>IF(OR(L217=1,L217=8,L217="a",L217="b",L217="c",L217="d"),input!M20-M217-input!O20/2,IF(OR(L217=2,L217=9),input!H20-M217+input!M20-input!O20/2,0))</f>
        <v>2816.9403252151196</v>
      </c>
      <c r="AM217" s="143">
        <f>IF(OR(L217=1,L217=8,L217="a",L217="b",L217="c",L217="d"),input!M20-M217-input!O20/2,IF(OR(L217=2,L217=9),input!H20-M217+input!M20-input!O20/2,input!R20+input!P20-M217+input!M20-input!O20/2))</f>
        <v>2816.9403252151196</v>
      </c>
      <c r="AN217" s="143">
        <f>C217/2/input!M20*(M217^2+(input!M20-M217)^2)+B217*AD217+D217*AF217+E217*AG217+F217*AH217+G217*AI217+H217*AJ217+I217*AK217+J217*AM217</f>
        <v>128954680.93676805</v>
      </c>
      <c r="AO217" s="143">
        <f>IF(input!AH20=0,0,1/2/input!AH20)*G217*(M217^2+(input!AH20-M217)^2)+D217*AF217+F217*AH217+C217/2/input!M20*(M217^2+(input!M20-M217)^2)+B217*AD217+E217*AG217+H217*AJ217+I217*AK217+J217*AM217</f>
        <v>128954680.93676807</v>
      </c>
      <c r="AP217" s="143">
        <f>+D217/2/input!H20*(M217^2+(input!H20-M217)^2)+B217*AD217+F217*AH217+G217*AI217+C217*AE217+E217*AG217+H217*AJ217+I217*AK217+J217*AM217</f>
        <v>130042641.71156453</v>
      </c>
      <c r="AQ217" s="143">
        <f>+(M217^2)/2/input!P20*E217+D217*AF217+F217*AH217+G217*AI217+C217*AE217+B217*AD217+H217*AJ217+I217*AK217+J217*AM217</f>
        <v>123878693.32487521</v>
      </c>
      <c r="AR217" s="143">
        <f>+(M217^2)/2/input!P20*E217+D217*AF217+F217*AH217+G217*AI217+C217*AE217+B217*AD217+I217*AK217+J217*AM217</f>
        <v>123828619.95956947</v>
      </c>
      <c r="AS217" s="143">
        <f>+(M217^2)/2/input!P20*E217+D217*AF217+F217*AH217+G217*AI217+C217*AE217+B217*AD217+H217*AJ217+I217*AK217+J217*AM217</f>
        <v>123878693.32487521</v>
      </c>
      <c r="AT217" s="143">
        <f>+(M217^2)/2/input!P20*E217+D217*AF217+F217*AH217+G217*AI217+C217*AE217+B217*AD217+H217*AJ217+J217*AM217</f>
        <v>123195659.98393999</v>
      </c>
      <c r="AU217" s="143">
        <f>+(M217^2)/2/input!P20*E217+D217*AF217+F217*AH217+G217*AI217+C217*AE217+B217*AD217+H217*AJ217+I217*AK217+J217*AM217</f>
        <v>123878693.32487521</v>
      </c>
      <c r="AV217" s="143">
        <f>IF(input!AE20=0,0,1/2/input!AE20)*F217*((input!M20-M217)^2+(input!AE20-input!M20+M217)^2)+C217/2/input!M20*(M217^2+(M217-input!M20)^2)+IF(input!O20=0,0,1/2/input!O20)*K217*(input!M20-M217)^2+B217*AD217+G217*AI217+D217*AF217+H217*AJ217+I217*AK217+J217*AM217</f>
        <v>206076525.54899415</v>
      </c>
      <c r="AW217" s="143">
        <f>+C217/2/input!M20*(M217^2+(M217-input!M20)^2)+IF(input!O20=0,0,1/2/input!O20)*K217*(input!M20-M217)^2+B217*AD217+F217*AH217+G217*AI217+D217*AF217+H217*AJ217+I217*AK217+J217*AM217</f>
        <v>122878089.29363199</v>
      </c>
      <c r="AX217" s="143">
        <f>C217/2/input!M20*(M217^2+(M217-input!M20)^2)+K217*AL217+B217*AD217+F217*AH217+G217*AI217+D217*AF217+H217*AJ217+I217*AK217+J217*AM217</f>
        <v>122878089.29363199</v>
      </c>
      <c r="AY217" s="143">
        <f>C217/2/input!M20*(M217^2+(M217-input!M20)^2)+IF(input!AH20=0,0,1/2/input!AH20)*G217*(M217^2+(input!AH20-M217)^2)+K217*AL217+B217*AD217+F217*AH217+D217*AF217+H217*AJ217+I217*AK217+J217*AM217</f>
        <v>122878089.29363199</v>
      </c>
      <c r="AZ217" s="143">
        <f>D217/2/input!H20*(M217^2+(input!H20-M217)^2)+B217*AD217+K217*AL217+F217*AH217+C217*AE217+G217*AI217+H217*AJ217+I217*AK217+J217*AM217</f>
        <v>123966050.06842846</v>
      </c>
      <c r="BA217" s="185"/>
    </row>
    <row r="218" spans="1:54" ht="15" customHeight="1">
      <c r="A218" s="579" t="str">
        <f>+input!B21</f>
        <v>110i</v>
      </c>
      <c r="B218" s="642">
        <f>+input!J21*input!K21*input!BJ21/1000</f>
        <v>29488</v>
      </c>
      <c r="C218" s="642">
        <f>+input!BQ21*input!N21*2*input!BK21/1000</f>
        <v>24041.652605426279</v>
      </c>
      <c r="D218" s="642">
        <f>+input!F21*input!G21*input!H21*input!BI21/1000</f>
        <v>18240</v>
      </c>
      <c r="E218" s="642">
        <f>0.85*Fck*input!P21*input!Q21/1000</f>
        <v>47451.25</v>
      </c>
      <c r="F218" s="642">
        <f>input!AD21*input!AE21*input!AF21*input!BN21/1000</f>
        <v>1945.6</v>
      </c>
      <c r="G218" s="642">
        <f>input!AG21*input!AH21*input!AI21*input!BM21/1000</f>
        <v>0</v>
      </c>
      <c r="H218" s="642">
        <f>input!CB21*Fys/1000</f>
        <v>2171.4688421612645</v>
      </c>
      <c r="I218" s="642">
        <f>input!BZ21*Fys/1000</f>
        <v>3062.1103594539709</v>
      </c>
      <c r="J218" s="642">
        <f>input!AC21*Fys/1000</f>
        <v>0</v>
      </c>
      <c r="K218" s="642">
        <f>input!BT21*0.85*Fckb/1000</f>
        <v>0</v>
      </c>
      <c r="L218" s="795">
        <f>IF(Stress!F850&lt;=0,IF(B218+F218+(input!M21-2*input!AH21)/input!M21*C218+J218&gt;=G218+D218+E218+H218+I218,1,IF(B218+F218+C218+G218+J218&gt;=D218+E218+H218+I218,"a",IF(B218+F218+C218+G218+D218+J218&gt;=E218+H218+I218,2,IF(B218+F218+C218+G218+D218+J218&gt;=(input!P21-input!AB21)/input!P21*E218+H218+I218,3,IF(B218+F218+C218+G218+D218+H218+J218&gt;=(input!P21-input!AB21)/input!P21*E218+I218,4,IF(B218+F218+C218+G218+D218+H218+J218&gt;=input!Y21/input!P21*E218+I218,5,IF(B218+F218+C218+G218+D218+H218+I218+J218&gt;=input!Y21/input!P21*E218,6,7))))))),IF(B218+F218+IF(input!O21=0,0,input!AE21/input!O21)*K218+input!AE21/input!M21*C218&gt;=(input!M21-input!AE21)*C218/input!M21+G218+D218+H218+I218,"b",IF(B218+F218+K218+input!O21/input!M21*C218&gt;=(input!M21-input!O21)/input!M21*C218+G218+D218+H218+I218,"c",IF(B218+F218+J218+K218+(input!M21-input!AH21)/input!M21*C218&gt;=G218+D218+H218+I218,8,IF(B218+F218+J218+K218+C218+G218&gt;=D218+H218+I218,"d",9)))))</f>
        <v>2</v>
      </c>
      <c r="M218" s="643">
        <f t="shared" si="0"/>
        <v>23.059674784880531</v>
      </c>
      <c r="N218" s="493">
        <f t="shared" si="1"/>
        <v>130042.64171156453</v>
      </c>
      <c r="O218" s="766"/>
      <c r="Q218" s="73">
        <f>input!M21/2*((B218+F218+J218-G218-D218-E218-H218-I218)/C218+1)</f>
        <v>-899.66391203002024</v>
      </c>
      <c r="R218" s="73">
        <f>(B218+F218+J218+C218+G218-D218-E218-H218-I218)/(2/input!M21*C218+IF(input!AH21=0,0,2/input!AH21)*G218)</f>
        <v>-899.66391203002058</v>
      </c>
      <c r="S218" s="73">
        <f>input!H21/2*(B218+F218+J218+C218+G218-E218-H218-I218+D218)/D218</f>
        <v>23.059674784880531</v>
      </c>
      <c r="T218" s="558">
        <f>input!P21*(B218+F218+J218+C218+G218+D218-H218-I218)/E218</f>
        <v>418.52817970243564</v>
      </c>
      <c r="U218" s="73">
        <f>input!P21-input!AB21</f>
        <v>250</v>
      </c>
      <c r="V218" s="558">
        <f>input!P21*(B218+F218+J218+C218+G218+D218+H218-I218)/E218</f>
        <v>445.07019763565205</v>
      </c>
      <c r="W218" s="73">
        <f>input!Y21</f>
        <v>50</v>
      </c>
      <c r="X218" s="558">
        <f>input!P21*(B218+F218+J218+C218+G218+D218+H218+I218)/E218</f>
        <v>482.49859011178927</v>
      </c>
      <c r="Y218" s="73">
        <f>(B218+C218+IF(input!O21=0,0,input!M21/input!O21)*K218+(IF(input!AE21=0,0,2*input!M21/input!AE21)-1)*F218-D218-G218-H218-I218)/(IF(input!AE21=0,0,2/input!AE21)*F218+IF(input!O21=0,0,1/input!O21)*K218+2/input!M21*C218)</f>
        <v>2318.6412161940498</v>
      </c>
      <c r="Z218" s="73">
        <f>(B218+C218+F218+IF(input!O21=0,0,input!M21/input!O21)*K218-D218-G218-H218-I218)/(IF(input!O21=0,0,1/input!O21)*K218+2/input!M21*C218)</f>
        <v>1863.5300784282786</v>
      </c>
      <c r="AA218" s="73">
        <f>input!M21/2*(B218+F218+J218+K218-G218-D218-H218-I218+C218)/C218</f>
        <v>1863.5300784282786</v>
      </c>
      <c r="AB218" s="73">
        <f>(B218+F218+J218+K218+G218+C218-D218-H218-I218)/(IF(input!AH21=0,0,2/input!AH21)*G218+2/input!M21*C218)</f>
        <v>1863.5300784282786</v>
      </c>
      <c r="AC218" s="143">
        <f>input!H21/2*(B218+F218+K218+G218+C218-H218-I218+D218+J218)/D218</f>
        <v>75.089554170845446</v>
      </c>
      <c r="AD218" s="165">
        <f>IF(OR(L218=1,L218=8,L218="a",L218="b",L218="c",L218="d"),input!M21-M218+input!K21/2,IF(OR(L218=2,L218=9),input!H21-M218+input!M21+input!K21/2,input!R21+input!P21-M218+input!M21+input!K21/2))</f>
        <v>2836.9403252151196</v>
      </c>
      <c r="AE218" s="143">
        <f>IF(OR(L218=1,L218=8,L218="a",L218="b",L218="c",L218="d"),ABS(input!M21/2-M218),IF(OR(L218=2,L218=9),input!H21-M218+input!M21/2,input!R21+input!P21-M218+input!M21/2))</f>
        <v>1416.9403252151194</v>
      </c>
      <c r="AF218" s="143">
        <f>IF(OR(L218=1,L218=8,L218="a",L218="b",L218="c",L218="d"),M218+input!H21/2,IF(OR(L218=2,L218=9),ABS(input!H21/2-M218),input!R21+input!P21-M218-input!H21/2))</f>
        <v>3.0596747848805315</v>
      </c>
      <c r="AG218" s="143">
        <f>IF(OR(L218=1,L218=8,L218="a",L218="b",L218="c",L218="d"),input!R21+input!P21/2+M218,IF(OR(L218=2,L218=9),input!R21+input!P21/2-input!H21+M218,ABS(input!P21/2-M218)))</f>
        <v>128.05967478488054</v>
      </c>
      <c r="AH218" s="143">
        <f>IF(OR(L218=1,L218=8,L218="a",L218="b",L218="c",L218="d"),input!M21-M218-input!AE21/2,IF(OR(L218=2,L218=9),input!H21-M218+input!M21-input!AE21/2,input!R21+input!P21-M218+input!M21-input!AE21/2))</f>
        <v>2736.9403252151196</v>
      </c>
      <c r="AI218" s="143">
        <f>IF(OR(L218=1,L218=8,L218="a",L218="b",L218="c",L218="d"),M218-input!AH21/2,IF(OR(L218=2,L218=9),input!H21-M218+input!AH21/2,input!R21+input!P21-M218+input!AH21/2))</f>
        <v>16.940325215119469</v>
      </c>
      <c r="AJ218" s="143">
        <f>IF(OR(L218=1,L218=8,L218="a",L218="b",L218="c",L218="d"),M218+input!R21+input!AB21,IF(OR(L218=2,L218=9),input!R21+input!AB21-input!H21+M218,IF(L218=3,input!AB21-(input!P21-M218),ABS(input!P21-input!AB21-M218))))</f>
        <v>23.059674784880531</v>
      </c>
      <c r="AK218" s="143">
        <f>IF(OR(L218=1,L218=8,L218="a",L218="b",L218="c",L218="d"),M218+input!R21+input!P21-input!Y21,IF(OR(L218=2,L218=9),input!R21+input!P21-input!Y21-input!H21+M218,ABS(input!Y21-M218)))</f>
        <v>223.05967478488054</v>
      </c>
      <c r="AL218" s="143">
        <f>IF(OR(L218=1,L218=8,L218="a",L218="b",L218="c",L218="d"),input!M21-M218-input!O21/2,IF(OR(L218=2,L218=9),input!H21-M218+input!M21-input!O21/2,0))</f>
        <v>2816.9403252151196</v>
      </c>
      <c r="AM218" s="143">
        <f>IF(OR(L218=1,L218=8,L218="a",L218="b",L218="c",L218="d"),input!M21-M218-input!O21/2,IF(OR(L218=2,L218=9),input!H21-M218+input!M21-input!O21/2,input!R21+input!P21-M218+input!M21-input!O21/2))</f>
        <v>2816.9403252151196</v>
      </c>
      <c r="AN218" s="143">
        <f>C218/2/input!M21*(M218^2+(input!M21-M218)^2)+B218*AD218+D218*AF218+E218*AG218+F218*AH218+G218*AI218+H218*AJ218+I218*AK218+J218*AM218</f>
        <v>128954680.93676805</v>
      </c>
      <c r="AO218" s="143">
        <f>IF(input!AH21=0,0,1/2/input!AH21)*G218*(M218^2+(input!AH21-M218)^2)+D218*AF218+F218*AH218+C218/2/input!M21*(M218^2+(input!M21-M218)^2)+B218*AD218+E218*AG218+H218*AJ218+I218*AK218+J218*AM218</f>
        <v>128954680.93676807</v>
      </c>
      <c r="AP218" s="143">
        <f>+D218/2/input!H21*(M218^2+(input!H21-M218)^2)+B218*AD218+F218*AH218+G218*AI218+C218*AE218+E218*AG218+H218*AJ218+I218*AK218+J218*AM218</f>
        <v>130042641.71156453</v>
      </c>
      <c r="AQ218" s="143">
        <f>+(M218^2)/2/input!P21*E218+D218*AF218+F218*AH218+G218*AI218+C218*AE218+B218*AD218+H218*AJ218+I218*AK218+J218*AM218</f>
        <v>123878693.32487521</v>
      </c>
      <c r="AR218" s="143">
        <f>+(M218^2)/2/input!P21*E218+D218*AF218+F218*AH218+G218*AI218+C218*AE218+B218*AD218+I218*AK218+J218*AM218</f>
        <v>123828619.95956947</v>
      </c>
      <c r="AS218" s="143">
        <f>+(M218^2)/2/input!P21*E218+D218*AF218+F218*AH218+G218*AI218+C218*AE218+B218*AD218+H218*AJ218+I218*AK218+J218*AM218</f>
        <v>123878693.32487521</v>
      </c>
      <c r="AT218" s="143">
        <f>+(M218^2)/2/input!P21*E218+D218*AF218+F218*AH218+G218*AI218+C218*AE218+B218*AD218+H218*AJ218+J218*AM218</f>
        <v>123195659.98393999</v>
      </c>
      <c r="AU218" s="143">
        <f>+(M218^2)/2/input!P21*E218+D218*AF218+F218*AH218+G218*AI218+C218*AE218+B218*AD218+H218*AJ218+I218*AK218+J218*AM218</f>
        <v>123878693.32487521</v>
      </c>
      <c r="AV218" s="143">
        <f>IF(input!AE21=0,0,1/2/input!AE21)*F218*((input!M21-M218)^2+(input!AE21-input!M21+M218)^2)+C218/2/input!M21*(M218^2+(M218-input!M21)^2)+IF(input!O21=0,0,1/2/input!O21)*K218*(input!M21-M218)^2+B218*AD218+G218*AI218+D218*AF218+H218*AJ218+I218*AK218+J218*AM218</f>
        <v>206076525.54899415</v>
      </c>
      <c r="AW218" s="143">
        <f>+C218/2/input!M21*(M218^2+(M218-input!M21)^2)+IF(input!O21=0,0,1/2/input!O21)*K218*(input!M21-M218)^2+B218*AD218+F218*AH218+G218*AI218+D218*AF218+H218*AJ218+I218*AK218+J218*AM218</f>
        <v>122878089.29363199</v>
      </c>
      <c r="AX218" s="143">
        <f>C218/2/input!M21*(M218^2+(M218-input!M21)^2)+K218*AL218+B218*AD218+F218*AH218+G218*AI218+D218*AF218+H218*AJ218+I218*AK218+J218*AM218</f>
        <v>122878089.29363199</v>
      </c>
      <c r="AY218" s="143">
        <f>C218/2/input!M21*(M218^2+(M218-input!M21)^2)+IF(input!AH21=0,0,1/2/input!AH21)*G218*(M218^2+(input!AH21-M218)^2)+K218*AL218+B218*AD218+F218*AH218+D218*AF218+H218*AJ218+I218*AK218+J218*AM218</f>
        <v>122878089.29363199</v>
      </c>
      <c r="AZ218" s="143">
        <f>D218/2/input!H21*(M218^2+(input!H21-M218)^2)+B218*AD218+K218*AL218+F218*AH218+C218*AE218+G218*AI218+H218*AJ218+I218*AK218+J218*AM218</f>
        <v>123966050.06842846</v>
      </c>
      <c r="BA218" s="185"/>
    </row>
    <row r="219" spans="1:54" ht="15" customHeight="1">
      <c r="A219" s="579" t="str">
        <f>+input!B22</f>
        <v>110j</v>
      </c>
      <c r="B219" s="642">
        <f>+input!J22*input!K22*input!BJ22/1000</f>
        <v>29488</v>
      </c>
      <c r="C219" s="642">
        <f>+input!BQ22*input!N22*2*input!BK22/1000</f>
        <v>24041.652605426279</v>
      </c>
      <c r="D219" s="642">
        <f>+input!F22*input!G22*input!H22*input!BI22/1000</f>
        <v>18240</v>
      </c>
      <c r="E219" s="642">
        <f>0.85*Fck*input!P22*input!Q22/1000</f>
        <v>47451.25</v>
      </c>
      <c r="F219" s="642">
        <f>input!AD22*input!AE22*input!AF22*input!BN22/1000</f>
        <v>1945.6</v>
      </c>
      <c r="G219" s="642">
        <f>input!AG22*input!AH22*input!AI22*input!BM22/1000</f>
        <v>0</v>
      </c>
      <c r="H219" s="642">
        <f>input!CB22*Fys/1000</f>
        <v>2171.4688421612645</v>
      </c>
      <c r="I219" s="642">
        <f>input!BZ22*Fys/1000</f>
        <v>3062.1103594539709</v>
      </c>
      <c r="J219" s="642">
        <f>input!AC22*Fys/1000</f>
        <v>0</v>
      </c>
      <c r="K219" s="642">
        <f>input!BT22*0.85*Fckb/1000</f>
        <v>0</v>
      </c>
      <c r="L219" s="795">
        <f>IF(Stress!F851&lt;=0,IF(B219+F219+(input!M22-2*input!AH22)/input!M22*C219+J219&gt;=G219+D219+E219+H219+I219,1,IF(B219+F219+C219+G219+J219&gt;=D219+E219+H219+I219,"a",IF(B219+F219+C219+G219+D219+J219&gt;=E219+H219+I219,2,IF(B219+F219+C219+G219+D219+J219&gt;=(input!P22-input!AB22)/input!P22*E219+H219+I219,3,IF(B219+F219+C219+G219+D219+H219+J219&gt;=(input!P22-input!AB22)/input!P22*E219+I219,4,IF(B219+F219+C219+G219+D219+H219+J219&gt;=input!Y22/input!P22*E219+I219,5,IF(B219+F219+C219+G219+D219+H219+I219+J219&gt;=input!Y22/input!P22*E219,6,7))))))),IF(B219+F219+IF(input!O22=0,0,input!AE22/input!O22)*K219+input!AE22/input!M22*C219&gt;=(input!M22-input!AE22)*C219/input!M22+G219+D219+H219+I219,"b",IF(B219+F219+K219+input!O22/input!M22*C219&gt;=(input!M22-input!O22)/input!M22*C219+G219+D219+H219+I219,"c",IF(B219+F219+J219+K219+(input!M22-input!AH22)/input!M22*C219&gt;=G219+D219+H219+I219,8,IF(B219+F219+J219+K219+C219+G219&gt;=D219+H219+I219,"d",9)))))</f>
        <v>2</v>
      </c>
      <c r="M219" s="643">
        <f t="shared" si="0"/>
        <v>23.059674784880531</v>
      </c>
      <c r="N219" s="493">
        <f t="shared" si="1"/>
        <v>130042.64171156453</v>
      </c>
      <c r="O219" s="766"/>
      <c r="Q219" s="73">
        <f>input!M22/2*((B219+F219+J219-G219-D219-E219-H219-I219)/C219+1)</f>
        <v>-899.66391203002024</v>
      </c>
      <c r="R219" s="73">
        <f>(B219+F219+J219+C219+G219-D219-E219-H219-I219)/(2/input!M22*C219+IF(input!AH22=0,0,2/input!AH22)*G219)</f>
        <v>-899.66391203002058</v>
      </c>
      <c r="S219" s="73">
        <f>input!H22/2*(B219+F219+J219+C219+G219-E219-H219-I219+D219)/D219</f>
        <v>23.059674784880531</v>
      </c>
      <c r="T219" s="558">
        <f>input!P22*(B219+F219+J219+C219+G219+D219-H219-I219)/E219</f>
        <v>418.52817970243564</v>
      </c>
      <c r="U219" s="73">
        <f>input!P22-input!AB22</f>
        <v>250</v>
      </c>
      <c r="V219" s="558">
        <f>input!P22*(B219+F219+J219+C219+G219+D219+H219-I219)/E219</f>
        <v>445.07019763565205</v>
      </c>
      <c r="W219" s="73">
        <f>input!Y22</f>
        <v>50</v>
      </c>
      <c r="X219" s="558">
        <f>input!P22*(B219+F219+J219+C219+G219+D219+H219+I219)/E219</f>
        <v>482.49859011178927</v>
      </c>
      <c r="Y219" s="73">
        <f>(B219+C219+IF(input!O22=0,0,input!M22/input!O22)*K219+(IF(input!AE22=0,0,2*input!M22/input!AE22)-1)*F219-D219-G219-H219-I219)/(IF(input!AE22=0,0,2/input!AE22)*F219+IF(input!O22=0,0,1/input!O22)*K219+2/input!M22*C219)</f>
        <v>2318.6412161940498</v>
      </c>
      <c r="Z219" s="73">
        <f>(B219+C219+F219+IF(input!O22=0,0,input!M22/input!O22)*K219-D219-G219-H219-I219)/(IF(input!O22=0,0,1/input!O22)*K219+2/input!M22*C219)</f>
        <v>1863.5300784282786</v>
      </c>
      <c r="AA219" s="73">
        <f>input!M22/2*(B219+F219+J219+K219-G219-D219-H219-I219+C219)/C219</f>
        <v>1863.5300784282786</v>
      </c>
      <c r="AB219" s="73">
        <f>(B219+F219+J219+K219+G219+C219-D219-H219-I219)/(IF(input!AH22=0,0,2/input!AH22)*G219+2/input!M22*C219)</f>
        <v>1863.5300784282786</v>
      </c>
      <c r="AC219" s="143">
        <f>input!H22/2*(B219+F219+K219+G219+C219-H219-I219+D219+J219)/D219</f>
        <v>75.089554170845446</v>
      </c>
      <c r="AD219" s="165">
        <f>IF(OR(L219=1,L219=8,L219="a",L219="b",L219="c",L219="d"),input!M22-M219+input!K22/2,IF(OR(L219=2,L219=9),input!H22-M219+input!M22+input!K22/2,input!R22+input!P22-M219+input!M22+input!K22/2))</f>
        <v>2836.9403252151196</v>
      </c>
      <c r="AE219" s="143">
        <f>IF(OR(L219=1,L219=8,L219="a",L219="b",L219="c",L219="d"),ABS(input!M22/2-M219),IF(OR(L219=2,L219=9),input!H22-M219+input!M22/2,input!R22+input!P22-M219+input!M22/2))</f>
        <v>1416.9403252151194</v>
      </c>
      <c r="AF219" s="143">
        <f>IF(OR(L219=1,L219=8,L219="a",L219="b",L219="c",L219="d"),M219+input!H22/2,IF(OR(L219=2,L219=9),ABS(input!H22/2-M219),input!R22+input!P22-M219-input!H22/2))</f>
        <v>3.0596747848805315</v>
      </c>
      <c r="AG219" s="143">
        <f>IF(OR(L219=1,L219=8,L219="a",L219="b",L219="c",L219="d"),input!R22+input!P22/2+M219,IF(OR(L219=2,L219=9),input!R22+input!P22/2-input!H22+M219,ABS(input!P22/2-M219)))</f>
        <v>128.05967478488054</v>
      </c>
      <c r="AH219" s="143">
        <f>IF(OR(L219=1,L219=8,L219="a",L219="b",L219="c",L219="d"),input!M22-M219-input!AE22/2,IF(OR(L219=2,L219=9),input!H22-M219+input!M22-input!AE22/2,input!R22+input!P22-M219+input!M22-input!AE22/2))</f>
        <v>2736.9403252151196</v>
      </c>
      <c r="AI219" s="143">
        <f>IF(OR(L219=1,L219=8,L219="a",L219="b",L219="c",L219="d"),M219-input!AH22/2,IF(OR(L219=2,L219=9),input!H22-M219+input!AH22/2,input!R22+input!P22-M219+input!AH22/2))</f>
        <v>16.940325215119469</v>
      </c>
      <c r="AJ219" s="143">
        <f>IF(OR(L219=1,L219=8,L219="a",L219="b",L219="c",L219="d"),M219+input!R22+input!AB22,IF(OR(L219=2,L219=9),input!R22+input!AB22-input!H22+M219,IF(L219=3,input!AB22-(input!P22-M219),ABS(input!P22-input!AB22-M219))))</f>
        <v>23.059674784880531</v>
      </c>
      <c r="AK219" s="143">
        <f>IF(OR(L219=1,L219=8,L219="a",L219="b",L219="c",L219="d"),M219+input!R22+input!P22-input!Y22,IF(OR(L219=2,L219=9),input!R22+input!P22-input!Y22-input!H22+M219,ABS(input!Y22-M219)))</f>
        <v>223.05967478488054</v>
      </c>
      <c r="AL219" s="143">
        <f>IF(OR(L219=1,L219=8,L219="a",L219="b",L219="c",L219="d"),input!M22-M219-input!O22/2,IF(OR(L219=2,L219=9),input!H22-M219+input!M22-input!O22/2,0))</f>
        <v>2816.9403252151196</v>
      </c>
      <c r="AM219" s="143">
        <f>IF(OR(L219=1,L219=8,L219="a",L219="b",L219="c",L219="d"),input!M22-M219-input!O22/2,IF(OR(L219=2,L219=9),input!H22-M219+input!M22-input!O22/2,input!R22+input!P22-M219+input!M22-input!O22/2))</f>
        <v>2816.9403252151196</v>
      </c>
      <c r="AN219" s="143">
        <f>C219/2/input!M22*(M219^2+(input!M22-M219)^2)+B219*AD219+D219*AF219+E219*AG219+F219*AH219+G219*AI219+H219*AJ219+I219*AK219+J219*AM219</f>
        <v>128954680.93676805</v>
      </c>
      <c r="AO219" s="143">
        <f>IF(input!AH22=0,0,1/2/input!AH22)*G219*(M219^2+(input!AH22-M219)^2)+D219*AF219+F219*AH219+C219/2/input!M22*(M219^2+(input!M22-M219)^2)+B219*AD219+E219*AG219+H219*AJ219+I219*AK219+J219*AM219</f>
        <v>128954680.93676807</v>
      </c>
      <c r="AP219" s="143">
        <f>+D219/2/input!H22*(M219^2+(input!H22-M219)^2)+B219*AD219+F219*AH219+G219*AI219+C219*AE219+E219*AG219+H219*AJ219+I219*AK219+J219*AM219</f>
        <v>130042641.71156453</v>
      </c>
      <c r="AQ219" s="143">
        <f>+(M219^2)/2/input!P22*E219+D219*AF219+F219*AH219+G219*AI219+C219*AE219+B219*AD219+H219*AJ219+I219*AK219+J219*AM219</f>
        <v>123878693.32487521</v>
      </c>
      <c r="AR219" s="143">
        <f>+(M219^2)/2/input!P22*E219+D219*AF219+F219*AH219+G219*AI219+C219*AE219+B219*AD219+I219*AK219+J219*AM219</f>
        <v>123828619.95956947</v>
      </c>
      <c r="AS219" s="143">
        <f>+(M219^2)/2/input!P22*E219+D219*AF219+F219*AH219+G219*AI219+C219*AE219+B219*AD219+H219*AJ219+I219*AK219+J219*AM219</f>
        <v>123878693.32487521</v>
      </c>
      <c r="AT219" s="143">
        <f>+(M219^2)/2/input!P22*E219+D219*AF219+F219*AH219+G219*AI219+C219*AE219+B219*AD219+H219*AJ219+J219*AM219</f>
        <v>123195659.98393999</v>
      </c>
      <c r="AU219" s="143">
        <f>+(M219^2)/2/input!P22*E219+D219*AF219+F219*AH219+G219*AI219+C219*AE219+B219*AD219+H219*AJ219+I219*AK219+J219*AM219</f>
        <v>123878693.32487521</v>
      </c>
      <c r="AV219" s="143">
        <f>IF(input!AE22=0,0,1/2/input!AE22)*F219*((input!M22-M219)^2+(input!AE22-input!M22+M219)^2)+C219/2/input!M22*(M219^2+(M219-input!M22)^2)+IF(input!O22=0,0,1/2/input!O22)*K219*(input!M22-M219)^2+B219*AD219+G219*AI219+D219*AF219+H219*AJ219+I219*AK219+J219*AM219</f>
        <v>206076525.54899415</v>
      </c>
      <c r="AW219" s="143">
        <f>+C219/2/input!M22*(M219^2+(M219-input!M22)^2)+IF(input!O22=0,0,1/2/input!O22)*K219*(input!M22-M219)^2+B219*AD219+F219*AH219+G219*AI219+D219*AF219+H219*AJ219+I219*AK219+J219*AM219</f>
        <v>122878089.29363199</v>
      </c>
      <c r="AX219" s="143">
        <f>C219/2/input!M22*(M219^2+(M219-input!M22)^2)+K219*AL219+B219*AD219+F219*AH219+G219*AI219+D219*AF219+H219*AJ219+I219*AK219+J219*AM219</f>
        <v>122878089.29363199</v>
      </c>
      <c r="AY219" s="143">
        <f>C219/2/input!M22*(M219^2+(M219-input!M22)^2)+IF(input!AH22=0,0,1/2/input!AH22)*G219*(M219^2+(input!AH22-M219)^2)+K219*AL219+B219*AD219+F219*AH219+D219*AF219+H219*AJ219+I219*AK219+J219*AM219</f>
        <v>122878089.29363199</v>
      </c>
      <c r="AZ219" s="143">
        <f>D219/2/input!H22*(M219^2+(input!H22-M219)^2)+B219*AD219+K219*AL219+F219*AH219+C219*AE219+G219*AI219+H219*AJ219+I219*AK219+J219*AM219</f>
        <v>123966050.06842846</v>
      </c>
      <c r="BA219" s="185"/>
    </row>
    <row r="220" spans="1:54" ht="15" customHeight="1">
      <c r="A220" s="579" t="str">
        <f>+input!B23</f>
        <v>111i</v>
      </c>
      <c r="B220" s="642">
        <f>+input!J23*input!K23*input!BJ23/1000</f>
        <v>29488</v>
      </c>
      <c r="C220" s="642">
        <f>+input!BQ23*input!N23*2*input!BK23/1000</f>
        <v>24041.652605426279</v>
      </c>
      <c r="D220" s="642">
        <f>+input!F23*input!G23*input!H23*input!BI23/1000</f>
        <v>18240</v>
      </c>
      <c r="E220" s="642">
        <f>0.85*Fck*input!P23*input!Q23/1000</f>
        <v>47451.25</v>
      </c>
      <c r="F220" s="642">
        <f>input!AD23*input!AE23*input!AF23*input!BN23/1000</f>
        <v>1945.6</v>
      </c>
      <c r="G220" s="642">
        <f>input!AG23*input!AH23*input!AI23*input!BM23/1000</f>
        <v>0</v>
      </c>
      <c r="H220" s="642">
        <f>input!CB23*Fys/1000</f>
        <v>2171.4688421612645</v>
      </c>
      <c r="I220" s="642">
        <f>input!BZ23*Fys/1000</f>
        <v>3062.1103594539709</v>
      </c>
      <c r="J220" s="642">
        <f>input!AC23*Fys/1000</f>
        <v>0</v>
      </c>
      <c r="K220" s="642">
        <f>input!BT23*0.85*Fckb/1000</f>
        <v>0</v>
      </c>
      <c r="L220" s="795">
        <f>IF(Stress!F852&lt;=0,IF(B220+F220+(input!M23-2*input!AH23)/input!M23*C220+J220&gt;=G220+D220+E220+H220+I220,1,IF(B220+F220+C220+G220+J220&gt;=D220+E220+H220+I220,"a",IF(B220+F220+C220+G220+D220+J220&gt;=E220+H220+I220,2,IF(B220+F220+C220+G220+D220+J220&gt;=(input!P23-input!AB23)/input!P23*E220+H220+I220,3,IF(B220+F220+C220+G220+D220+H220+J220&gt;=(input!P23-input!AB23)/input!P23*E220+I220,4,IF(B220+F220+C220+G220+D220+H220+J220&gt;=input!Y23/input!P23*E220+I220,5,IF(B220+F220+C220+G220+D220+H220+I220+J220&gt;=input!Y23/input!P23*E220,6,7))))))),IF(B220+F220+IF(input!O23=0,0,input!AE23/input!O23)*K220+input!AE23/input!M23*C220&gt;=(input!M23-input!AE23)*C220/input!M23+G220+D220+H220+I220,"b",IF(B220+F220+K220+input!O23/input!M23*C220&gt;=(input!M23-input!O23)/input!M23*C220+G220+D220+H220+I220,"c",IF(B220+F220+J220+K220+(input!M23-input!AH23)/input!M23*C220&gt;=G220+D220+H220+I220,8,IF(B220+F220+J220+K220+C220+G220&gt;=D220+H220+I220,"d",9)))))</f>
        <v>2</v>
      </c>
      <c r="M220" s="643">
        <f t="shared" si="0"/>
        <v>23.059674784880531</v>
      </c>
      <c r="N220" s="493">
        <f t="shared" si="1"/>
        <v>130042.64171156453</v>
      </c>
      <c r="O220" s="766"/>
      <c r="Q220" s="73">
        <f>input!M23/2*((B220+F220+J220-G220-D220-E220-H220-I220)/C220+1)</f>
        <v>-899.66391203002024</v>
      </c>
      <c r="R220" s="73">
        <f>(B220+F220+J220+C220+G220-D220-E220-H220-I220)/(2/input!M23*C220+IF(input!AH23=0,0,2/input!AH23)*G220)</f>
        <v>-899.66391203002058</v>
      </c>
      <c r="S220" s="73">
        <f>input!H23/2*(B220+F220+J220+C220+G220-E220-H220-I220+D220)/D220</f>
        <v>23.059674784880531</v>
      </c>
      <c r="T220" s="558">
        <f>input!P23*(B220+F220+J220+C220+G220+D220-H220-I220)/E220</f>
        <v>418.52817970243564</v>
      </c>
      <c r="U220" s="73">
        <f>input!P23-input!AB23</f>
        <v>250</v>
      </c>
      <c r="V220" s="558">
        <f>input!P23*(B220+F220+J220+C220+G220+D220+H220-I220)/E220</f>
        <v>445.07019763565205</v>
      </c>
      <c r="W220" s="73">
        <f>input!Y23</f>
        <v>50</v>
      </c>
      <c r="X220" s="558">
        <f>input!P23*(B220+F220+J220+C220+G220+D220+H220+I220)/E220</f>
        <v>482.49859011178927</v>
      </c>
      <c r="Y220" s="73">
        <f>(B220+C220+IF(input!O23=0,0,input!M23/input!O23)*K220+(IF(input!AE23=0,0,2*input!M23/input!AE23)-1)*F220-D220-G220-H220-I220)/(IF(input!AE23=0,0,2/input!AE23)*F220+IF(input!O23=0,0,1/input!O23)*K220+2/input!M23*C220)</f>
        <v>2318.6412161940498</v>
      </c>
      <c r="Z220" s="73">
        <f>(B220+C220+F220+IF(input!O23=0,0,input!M23/input!O23)*K220-D220-G220-H220-I220)/(IF(input!O23=0,0,1/input!O23)*K220+2/input!M23*C220)</f>
        <v>1863.5300784282786</v>
      </c>
      <c r="AA220" s="73">
        <f>input!M23/2*(B220+F220+J220+K220-G220-D220-H220-I220+C220)/C220</f>
        <v>1863.5300784282786</v>
      </c>
      <c r="AB220" s="73">
        <f>(B220+F220+J220+K220+G220+C220-D220-H220-I220)/(IF(input!AH23=0,0,2/input!AH23)*G220+2/input!M23*C220)</f>
        <v>1863.5300784282786</v>
      </c>
      <c r="AC220" s="143">
        <f>input!H23/2*(B220+F220+K220+G220+C220-H220-I220+D220+J220)/D220</f>
        <v>75.089554170845446</v>
      </c>
      <c r="AD220" s="165">
        <f>IF(OR(L220=1,L220=8,L220="a",L220="b",L220="c",L220="d"),input!M23-M220+input!K23/2,IF(OR(L220=2,L220=9),input!H23-M220+input!M23+input!K23/2,input!R23+input!P23-M220+input!M23+input!K23/2))</f>
        <v>2836.9403252151196</v>
      </c>
      <c r="AE220" s="143">
        <f>IF(OR(L220=1,L220=8,L220="a",L220="b",L220="c",L220="d"),ABS(input!M23/2-M220),IF(OR(L220=2,L220=9),input!H23-M220+input!M23/2,input!R23+input!P23-M220+input!M23/2))</f>
        <v>1416.9403252151194</v>
      </c>
      <c r="AF220" s="143">
        <f>IF(OR(L220=1,L220=8,L220="a",L220="b",L220="c",L220="d"),M220+input!H23/2,IF(OR(L220=2,L220=9),ABS(input!H23/2-M220),input!R23+input!P23-M220-input!H23/2))</f>
        <v>3.0596747848805315</v>
      </c>
      <c r="AG220" s="143">
        <f>IF(OR(L220=1,L220=8,L220="a",L220="b",L220="c",L220="d"),input!R23+input!P23/2+M220,IF(OR(L220=2,L220=9),input!R23+input!P23/2-input!H23+M220,ABS(input!P23/2-M220)))</f>
        <v>128.05967478488054</v>
      </c>
      <c r="AH220" s="143">
        <f>IF(OR(L220=1,L220=8,L220="a",L220="b",L220="c",L220="d"),input!M23-M220-input!AE23/2,IF(OR(L220=2,L220=9),input!H23-M220+input!M23-input!AE23/2,input!R23+input!P23-M220+input!M23-input!AE23/2))</f>
        <v>2736.9403252151196</v>
      </c>
      <c r="AI220" s="143">
        <f>IF(OR(L220=1,L220=8,L220="a",L220="b",L220="c",L220="d"),M220-input!AH23/2,IF(OR(L220=2,L220=9),input!H23-M220+input!AH23/2,input!R23+input!P23-M220+input!AH23/2))</f>
        <v>16.940325215119469</v>
      </c>
      <c r="AJ220" s="143">
        <f>IF(OR(L220=1,L220=8,L220="a",L220="b",L220="c",L220="d"),M220+input!R23+input!AB23,IF(OR(L220=2,L220=9),input!R23+input!AB23-input!H23+M220,IF(L220=3,input!AB23-(input!P23-M220),ABS(input!P23-input!AB23-M220))))</f>
        <v>23.059674784880531</v>
      </c>
      <c r="AK220" s="143">
        <f>IF(OR(L220=1,L220=8,L220="a",L220="b",L220="c",L220="d"),M220+input!R23+input!P23-input!Y23,IF(OR(L220=2,L220=9),input!R23+input!P23-input!Y23-input!H23+M220,ABS(input!Y23-M220)))</f>
        <v>223.05967478488054</v>
      </c>
      <c r="AL220" s="143">
        <f>IF(OR(L220=1,L220=8,L220="a",L220="b",L220="c",L220="d"),input!M23-M220-input!O23/2,IF(OR(L220=2,L220=9),input!H23-M220+input!M23-input!O23/2,0))</f>
        <v>2816.9403252151196</v>
      </c>
      <c r="AM220" s="143">
        <f>IF(OR(L220=1,L220=8,L220="a",L220="b",L220="c",L220="d"),input!M23-M220-input!O23/2,IF(OR(L220=2,L220=9),input!H23-M220+input!M23-input!O23/2,input!R23+input!P23-M220+input!M23-input!O23/2))</f>
        <v>2816.9403252151196</v>
      </c>
      <c r="AN220" s="143">
        <f>C220/2/input!M23*(M220^2+(input!M23-M220)^2)+B220*AD220+D220*AF220+E220*AG220+F220*AH220+G220*AI220+H220*AJ220+I220*AK220+J220*AM220</f>
        <v>128954680.93676805</v>
      </c>
      <c r="AO220" s="143">
        <f>IF(input!AH23=0,0,1/2/input!AH23)*G220*(M220^2+(input!AH23-M220)^2)+D220*AF220+F220*AH220+C220/2/input!M23*(M220^2+(input!M23-M220)^2)+B220*AD220+E220*AG220+H220*AJ220+I220*AK220+J220*AM220</f>
        <v>128954680.93676807</v>
      </c>
      <c r="AP220" s="143">
        <f>+D220/2/input!H23*(M220^2+(input!H23-M220)^2)+B220*AD220+F220*AH220+G220*AI220+C220*AE220+E220*AG220+H220*AJ220+I220*AK220+J220*AM220</f>
        <v>130042641.71156453</v>
      </c>
      <c r="AQ220" s="143">
        <f>+(M220^2)/2/input!P23*E220+D220*AF220+F220*AH220+G220*AI220+C220*AE220+B220*AD220+H220*AJ220+I220*AK220+J220*AM220</f>
        <v>123878693.32487521</v>
      </c>
      <c r="AR220" s="143">
        <f>+(M220^2)/2/input!P23*E220+D220*AF220+F220*AH220+G220*AI220+C220*AE220+B220*AD220+I220*AK220+J220*AM220</f>
        <v>123828619.95956947</v>
      </c>
      <c r="AS220" s="143">
        <f>+(M220^2)/2/input!P23*E220+D220*AF220+F220*AH220+G220*AI220+C220*AE220+B220*AD220+H220*AJ220+I220*AK220+J220*AM220</f>
        <v>123878693.32487521</v>
      </c>
      <c r="AT220" s="143">
        <f>+(M220^2)/2/input!P23*E220+D220*AF220+F220*AH220+G220*AI220+C220*AE220+B220*AD220+H220*AJ220+J220*AM220</f>
        <v>123195659.98393999</v>
      </c>
      <c r="AU220" s="143">
        <f>+(M220^2)/2/input!P23*E220+D220*AF220+F220*AH220+G220*AI220+C220*AE220+B220*AD220+H220*AJ220+I220*AK220+J220*AM220</f>
        <v>123878693.32487521</v>
      </c>
      <c r="AV220" s="143">
        <f>IF(input!AE23=0,0,1/2/input!AE23)*F220*((input!M23-M220)^2+(input!AE23-input!M23+M220)^2)+C220/2/input!M23*(M220^2+(M220-input!M23)^2)+IF(input!O23=0,0,1/2/input!O23)*K220*(input!M23-M220)^2+B220*AD220+G220*AI220+D220*AF220+H220*AJ220+I220*AK220+J220*AM220</f>
        <v>206076525.54899415</v>
      </c>
      <c r="AW220" s="143">
        <f>+C220/2/input!M23*(M220^2+(M220-input!M23)^2)+IF(input!O23=0,0,1/2/input!O23)*K220*(input!M23-M220)^2+B220*AD220+F220*AH220+G220*AI220+D220*AF220+H220*AJ220+I220*AK220+J220*AM220</f>
        <v>122878089.29363199</v>
      </c>
      <c r="AX220" s="143">
        <f>C220/2/input!M23*(M220^2+(M220-input!M23)^2)+K220*AL220+B220*AD220+F220*AH220+G220*AI220+D220*AF220+H220*AJ220+I220*AK220+J220*AM220</f>
        <v>122878089.29363199</v>
      </c>
      <c r="AY220" s="143">
        <f>C220/2/input!M23*(M220^2+(M220-input!M23)^2)+IF(input!AH23=0,0,1/2/input!AH23)*G220*(M220^2+(input!AH23-M220)^2)+K220*AL220+B220*AD220+F220*AH220+D220*AF220+H220*AJ220+I220*AK220+J220*AM220</f>
        <v>122878089.29363199</v>
      </c>
      <c r="AZ220" s="143">
        <f>D220/2/input!H23*(M220^2+(input!H23-M220)^2)+B220*AD220+K220*AL220+F220*AH220+C220*AE220+G220*AI220+H220*AJ220+I220*AK220+J220*AM220</f>
        <v>123966050.06842846</v>
      </c>
      <c r="BA220" s="185"/>
    </row>
    <row r="221" spans="1:54" ht="15" customHeight="1">
      <c r="A221" s="579" t="str">
        <f>+input!B24</f>
        <v>111j</v>
      </c>
      <c r="B221" s="642">
        <f>+input!J24*input!K24*input!BJ24/1000</f>
        <v>29488</v>
      </c>
      <c r="C221" s="642">
        <f>+input!BQ24*input!N24*2*input!BK24/1000</f>
        <v>24041.652605426279</v>
      </c>
      <c r="D221" s="642">
        <f>+input!F24*input!G24*input!H24*input!BI24/1000</f>
        <v>18240</v>
      </c>
      <c r="E221" s="642">
        <f>0.85*Fck*input!P24*input!Q24/1000</f>
        <v>47451.25</v>
      </c>
      <c r="F221" s="642">
        <f>input!AD24*input!AE24*input!AF24*input!BN24/1000</f>
        <v>1945.6</v>
      </c>
      <c r="G221" s="642">
        <f>input!AG24*input!AH24*input!AI24*input!BM24/1000</f>
        <v>0</v>
      </c>
      <c r="H221" s="642">
        <f>input!CB24*Fys/1000</f>
        <v>2171.4688421612645</v>
      </c>
      <c r="I221" s="642">
        <f>input!BZ24*Fys/1000</f>
        <v>3062.1103594539709</v>
      </c>
      <c r="J221" s="642">
        <f>input!AC24*Fys/1000</f>
        <v>0</v>
      </c>
      <c r="K221" s="642">
        <f>input!BT24*0.85*Fckb/1000</f>
        <v>0</v>
      </c>
      <c r="L221" s="795">
        <f>IF(Stress!F853&lt;=0,IF(B221+F221+(input!M24-2*input!AH24)/input!M24*C221+J221&gt;=G221+D221+E221+H221+I221,1,IF(B221+F221+C221+G221+J221&gt;=D221+E221+H221+I221,"a",IF(B221+F221+C221+G221+D221+J221&gt;=E221+H221+I221,2,IF(B221+F221+C221+G221+D221+J221&gt;=(input!P24-input!AB24)/input!P24*E221+H221+I221,3,IF(B221+F221+C221+G221+D221+H221+J221&gt;=(input!P24-input!AB24)/input!P24*E221+I221,4,IF(B221+F221+C221+G221+D221+H221+J221&gt;=input!Y24/input!P24*E221+I221,5,IF(B221+F221+C221+G221+D221+H221+I221+J221&gt;=input!Y24/input!P24*E221,6,7))))))),IF(B221+F221+IF(input!O24=0,0,input!AE24/input!O24)*K221+input!AE24/input!M24*C221&gt;=(input!M24-input!AE24)*C221/input!M24+G221+D221+H221+I221,"b",IF(B221+F221+K221+input!O24/input!M24*C221&gt;=(input!M24-input!O24)/input!M24*C221+G221+D221+H221+I221,"c",IF(B221+F221+J221+K221+(input!M24-input!AH24)/input!M24*C221&gt;=G221+D221+H221+I221,8,IF(B221+F221+J221+K221+C221+G221&gt;=D221+H221+I221,"d",9)))))</f>
        <v>2</v>
      </c>
      <c r="M221" s="643">
        <f t="shared" si="0"/>
        <v>23.059674784880531</v>
      </c>
      <c r="N221" s="493">
        <f t="shared" si="1"/>
        <v>130042.64171156453</v>
      </c>
      <c r="O221" s="766"/>
      <c r="Q221" s="73">
        <f>input!M24/2*((B221+F221+J221-G221-D221-E221-H221-I221)/C221+1)</f>
        <v>-899.66391203002024</v>
      </c>
      <c r="R221" s="73">
        <f>(B221+F221+J221+C221+G221-D221-E221-H221-I221)/(2/input!M24*C221+IF(input!AH24=0,0,2/input!AH24)*G221)</f>
        <v>-899.66391203002058</v>
      </c>
      <c r="S221" s="73">
        <f>input!H24/2*(B221+F221+J221+C221+G221-E221-H221-I221+D221)/D221</f>
        <v>23.059674784880531</v>
      </c>
      <c r="T221" s="558">
        <f>input!P24*(B221+F221+J221+C221+G221+D221-H221-I221)/E221</f>
        <v>418.52817970243564</v>
      </c>
      <c r="U221" s="73">
        <f>input!P24-input!AB24</f>
        <v>250</v>
      </c>
      <c r="V221" s="558">
        <f>input!P24*(B221+F221+J221+C221+G221+D221+H221-I221)/E221</f>
        <v>445.07019763565205</v>
      </c>
      <c r="W221" s="73">
        <f>input!Y24</f>
        <v>50</v>
      </c>
      <c r="X221" s="558">
        <f>input!P24*(B221+F221+J221+C221+G221+D221+H221+I221)/E221</f>
        <v>482.49859011178927</v>
      </c>
      <c r="Y221" s="73">
        <f>(B221+C221+IF(input!O24=0,0,input!M24/input!O24)*K221+(IF(input!AE24=0,0,2*input!M24/input!AE24)-1)*F221-D221-G221-H221-I221)/(IF(input!AE24=0,0,2/input!AE24)*F221+IF(input!O24=0,0,1/input!O24)*K221+2/input!M24*C221)</f>
        <v>2318.6412161940498</v>
      </c>
      <c r="Z221" s="73">
        <f>(B221+C221+F221+IF(input!O24=0,0,input!M24/input!O24)*K221-D221-G221-H221-I221)/(IF(input!O24=0,0,1/input!O24)*K221+2/input!M24*C221)</f>
        <v>1863.5300784282786</v>
      </c>
      <c r="AA221" s="73">
        <f>input!M24/2*(B221+F221+J221+K221-G221-D221-H221-I221+C221)/C221</f>
        <v>1863.5300784282786</v>
      </c>
      <c r="AB221" s="73">
        <f>(B221+F221+J221+K221+G221+C221-D221-H221-I221)/(IF(input!AH24=0,0,2/input!AH24)*G221+2/input!M24*C221)</f>
        <v>1863.5300784282786</v>
      </c>
      <c r="AC221" s="143">
        <f>input!H24/2*(B221+F221+K221+G221+C221-H221-I221+D221+J221)/D221</f>
        <v>75.089554170845446</v>
      </c>
      <c r="AD221" s="165">
        <f>IF(OR(L221=1,L221=8,L221="a",L221="b",L221="c",L221="d"),input!M24-M221+input!K24/2,IF(OR(L221=2,L221=9),input!H24-M221+input!M24+input!K24/2,input!R24+input!P24-M221+input!M24+input!K24/2))</f>
        <v>2836.9403252151196</v>
      </c>
      <c r="AE221" s="143">
        <f>IF(OR(L221=1,L221=8,L221="a",L221="b",L221="c",L221="d"),ABS(input!M24/2-M221),IF(OR(L221=2,L221=9),input!H24-M221+input!M24/2,input!R24+input!P24-M221+input!M24/2))</f>
        <v>1416.9403252151194</v>
      </c>
      <c r="AF221" s="143">
        <f>IF(OR(L221=1,L221=8,L221="a",L221="b",L221="c",L221="d"),M221+input!H24/2,IF(OR(L221=2,L221=9),ABS(input!H24/2-M221),input!R24+input!P24-M221-input!H24/2))</f>
        <v>3.0596747848805315</v>
      </c>
      <c r="AG221" s="143">
        <f>IF(OR(L221=1,L221=8,L221="a",L221="b",L221="c",L221="d"),input!R24+input!P24/2+M221,IF(OR(L221=2,L221=9),input!R24+input!P24/2-input!H24+M221,ABS(input!P24/2-M221)))</f>
        <v>128.05967478488054</v>
      </c>
      <c r="AH221" s="143">
        <f>IF(OR(L221=1,L221=8,L221="a",L221="b",L221="c",L221="d"),input!M24-M221-input!AE24/2,IF(OR(L221=2,L221=9),input!H24-M221+input!M24-input!AE24/2,input!R24+input!P24-M221+input!M24-input!AE24/2))</f>
        <v>2736.9403252151196</v>
      </c>
      <c r="AI221" s="143">
        <f>IF(OR(L221=1,L221=8,L221="a",L221="b",L221="c",L221="d"),M221-input!AH24/2,IF(OR(L221=2,L221=9),input!H24-M221+input!AH24/2,input!R24+input!P24-M221+input!AH24/2))</f>
        <v>16.940325215119469</v>
      </c>
      <c r="AJ221" s="143">
        <f>IF(OR(L221=1,L221=8,L221="a",L221="b",L221="c",L221="d"),M221+input!R24+input!AB24,IF(OR(L221=2,L221=9),input!R24+input!AB24-input!H24+M221,IF(L221=3,input!AB24-(input!P24-M221),ABS(input!P24-input!AB24-M221))))</f>
        <v>23.059674784880531</v>
      </c>
      <c r="AK221" s="143">
        <f>IF(OR(L221=1,L221=8,L221="a",L221="b",L221="c",L221="d"),M221+input!R24+input!P24-input!Y24,IF(OR(L221=2,L221=9),input!R24+input!P24-input!Y24-input!H24+M221,ABS(input!Y24-M221)))</f>
        <v>223.05967478488054</v>
      </c>
      <c r="AL221" s="143">
        <f>IF(OR(L221=1,L221=8,L221="a",L221="b",L221="c",L221="d"),input!M24-M221-input!O24/2,IF(OR(L221=2,L221=9),input!H24-M221+input!M24-input!O24/2,0))</f>
        <v>2816.9403252151196</v>
      </c>
      <c r="AM221" s="143">
        <f>IF(OR(L221=1,L221=8,L221="a",L221="b",L221="c",L221="d"),input!M24-M221-input!O24/2,IF(OR(L221=2,L221=9),input!H24-M221+input!M24-input!O24/2,input!R24+input!P24-M221+input!M24-input!O24/2))</f>
        <v>2816.9403252151196</v>
      </c>
      <c r="AN221" s="143">
        <f>C221/2/input!M24*(M221^2+(input!M24-M221)^2)+B221*AD221+D221*AF221+E221*AG221+F221*AH221+G221*AI221+H221*AJ221+I221*AK221+J221*AM221</f>
        <v>128954680.93676805</v>
      </c>
      <c r="AO221" s="143">
        <f>IF(input!AH24=0,0,1/2/input!AH24)*G221*(M221^2+(input!AH24-M221)^2)+D221*AF221+F221*AH221+C221/2/input!M24*(M221^2+(input!M24-M221)^2)+B221*AD221+E221*AG221+H221*AJ221+I221*AK221+J221*AM221</f>
        <v>128954680.93676807</v>
      </c>
      <c r="AP221" s="143">
        <f>+D221/2/input!H24*(M221^2+(input!H24-M221)^2)+B221*AD221+F221*AH221+G221*AI221+C221*AE221+E221*AG221+H221*AJ221+I221*AK221+J221*AM221</f>
        <v>130042641.71156453</v>
      </c>
      <c r="AQ221" s="143">
        <f>+(M221^2)/2/input!P24*E221+D221*AF221+F221*AH221+G221*AI221+C221*AE221+B221*AD221+H221*AJ221+I221*AK221+J221*AM221</f>
        <v>123878693.32487521</v>
      </c>
      <c r="AR221" s="143">
        <f>+(M221^2)/2/input!P24*E221+D221*AF221+F221*AH221+G221*AI221+C221*AE221+B221*AD221+I221*AK221+J221*AM221</f>
        <v>123828619.95956947</v>
      </c>
      <c r="AS221" s="143">
        <f>+(M221^2)/2/input!P24*E221+D221*AF221+F221*AH221+G221*AI221+C221*AE221+B221*AD221+H221*AJ221+I221*AK221+J221*AM221</f>
        <v>123878693.32487521</v>
      </c>
      <c r="AT221" s="143">
        <f>+(M221^2)/2/input!P24*E221+D221*AF221+F221*AH221+G221*AI221+C221*AE221+B221*AD221+H221*AJ221+J221*AM221</f>
        <v>123195659.98393999</v>
      </c>
      <c r="AU221" s="143">
        <f>+(M221^2)/2/input!P24*E221+D221*AF221+F221*AH221+G221*AI221+C221*AE221+B221*AD221+H221*AJ221+I221*AK221+J221*AM221</f>
        <v>123878693.32487521</v>
      </c>
      <c r="AV221" s="143">
        <f>IF(input!AE24=0,0,1/2/input!AE24)*F221*((input!M24-M221)^2+(input!AE24-input!M24+M221)^2)+C221/2/input!M24*(M221^2+(M221-input!M24)^2)+IF(input!O24=0,0,1/2/input!O24)*K221*(input!M24-M221)^2+B221*AD221+G221*AI221+D221*AF221+H221*AJ221+I221*AK221+J221*AM221</f>
        <v>206076525.54899415</v>
      </c>
      <c r="AW221" s="143">
        <f>+C221/2/input!M24*(M221^2+(M221-input!M24)^2)+IF(input!O24=0,0,1/2/input!O24)*K221*(input!M24-M221)^2+B221*AD221+F221*AH221+G221*AI221+D221*AF221+H221*AJ221+I221*AK221+J221*AM221</f>
        <v>122878089.29363199</v>
      </c>
      <c r="AX221" s="143">
        <f>C221/2/input!M24*(M221^2+(M221-input!M24)^2)+K221*AL221+B221*AD221+F221*AH221+G221*AI221+D221*AF221+H221*AJ221+I221*AK221+J221*AM221</f>
        <v>122878089.29363199</v>
      </c>
      <c r="AY221" s="143">
        <f>C221/2/input!M24*(M221^2+(M221-input!M24)^2)+IF(input!AH24=0,0,1/2/input!AH24)*G221*(M221^2+(input!AH24-M221)^2)+K221*AL221+B221*AD221+F221*AH221+D221*AF221+H221*AJ221+I221*AK221+J221*AM221</f>
        <v>122878089.29363199</v>
      </c>
      <c r="AZ221" s="143">
        <f>D221/2/input!H24*(M221^2+(input!H24-M221)^2)+B221*AD221+K221*AL221+F221*AH221+C221*AE221+G221*AI221+H221*AJ221+I221*AK221+J221*AM221</f>
        <v>123966050.06842846</v>
      </c>
      <c r="BA221" s="185"/>
    </row>
    <row r="222" spans="1:54" s="73" customFormat="1" ht="15" customHeight="1">
      <c r="A222" s="593" t="str">
        <f>+input!B25</f>
        <v>112i</v>
      </c>
      <c r="B222" s="642">
        <f>+input!J25*input!K25*input!BJ25/1000</f>
        <v>23590.400000000001</v>
      </c>
      <c r="C222" s="642">
        <f>+input!BQ25*input!N25*2*input!BK25/1000</f>
        <v>24041.652605426279</v>
      </c>
      <c r="D222" s="642">
        <f>+input!F25*input!G25*input!H25*input!BI25/1000</f>
        <v>13680</v>
      </c>
      <c r="E222" s="598">
        <f>0.85*Fck*input!P25*input!Q25/1000</f>
        <v>47451.25</v>
      </c>
      <c r="F222" s="642">
        <f>input!AD25*input!AE25*input!AF25*input!BN25/1000</f>
        <v>1945.6</v>
      </c>
      <c r="G222" s="642">
        <f>input!AG25*input!AH25*input!AI25*input!BM25/1000</f>
        <v>0</v>
      </c>
      <c r="H222" s="642">
        <f>input!CB25*Fys/1000</f>
        <v>2171.4688421612645</v>
      </c>
      <c r="I222" s="642">
        <f>input!BZ25*Fys/1000</f>
        <v>3062.1103594539709</v>
      </c>
      <c r="J222" s="642">
        <f>input!AC25*Fys/1000</f>
        <v>0</v>
      </c>
      <c r="K222" s="642">
        <f>input!BT25*0.85*Fckb/1000</f>
        <v>0</v>
      </c>
      <c r="L222" s="795">
        <f>IF(Stress!F854&lt;=0,IF(B222+F222+(input!M25-2*input!AH25)/input!M25*C222+J222&gt;=G222+D222+E222+H222+I222,1,IF(B222+F222+C222+G222+J222&gt;=D222+E222+H222+I222,"a",IF(B222+F222+C222+G222+D222+J222&gt;=E222+H222+I222,2,IF(B222+F222+C222+G222+D222+J222&gt;=(input!P25-input!AB25)/input!P25*E222+H222+I222,3,IF(B222+F222+C222+G222+D222+H222+J222&gt;=(input!P25-input!AB25)/input!P25*E222+I222,4,IF(B222+F222+C222+G222+D222+H222+J222&gt;=input!Y25/input!P25*E222+I222,5,IF(B222+F222+C222+G222+D222+H222+I222+J222&gt;=input!Y25/input!P25*E222,6,7))))))),IF(B222+F222+IF(input!O25=0,0,input!AE25/input!O25)*K222+input!AE25/input!M25*C222&gt;=(input!M25-input!AE25)*C222/input!M25+G222+D222+H222+I222,"b",IF(B222+F222+K222+input!O25/input!M25*C222&gt;=(input!M25-input!O25)/input!M25*C222+G222+D222+H222+I222,"c",IF(B222+F222+J222+K222+(input!M25-input!AH25)/input!M25*C222&gt;=G222+D222+H222+I222,8,IF(B222+F222+J222+K222+C222+G222&gt;=D222+H222+I222,"d",9)))))</f>
        <v>2</v>
      </c>
      <c r="M222" s="643">
        <f t="shared" si="0"/>
        <v>13.911609741856637</v>
      </c>
      <c r="N222" s="493">
        <f t="shared" si="1"/>
        <v>113143.94768355771</v>
      </c>
      <c r="O222" s="766"/>
      <c r="P222" s="143"/>
      <c r="Q222" s="73">
        <f>input!M25/2*((B222+F222+J222-G222-D222-E222-H222-I222)/C222+1)</f>
        <v>-977.55539606125308</v>
      </c>
      <c r="R222" s="73">
        <f>(B222+F222+J222+C222+G222-D222-E222-H222-I222)/(2/input!M25*C222+IF(input!AH25=0,0,2/input!AH25)*G222)</f>
        <v>-977.55539606125285</v>
      </c>
      <c r="S222" s="73">
        <f>input!H25/2*(B222+F222+J222+C222+G222-E222-H222-I222+D222)/D222</f>
        <v>13.911609741856637</v>
      </c>
      <c r="T222" s="558">
        <f>input!P25*(B222+F222+J222+C222+G222+D222-H222-I222)/E222</f>
        <v>354.61618581397124</v>
      </c>
      <c r="U222" s="73">
        <f>input!P25-input!AB25</f>
        <v>250</v>
      </c>
      <c r="V222" s="558">
        <f>input!P25*(B222+F222+J222+C222+G222+D222+H222-I222)/E222</f>
        <v>381.15820374718766</v>
      </c>
      <c r="W222" s="73">
        <f>input!Y25</f>
        <v>50</v>
      </c>
      <c r="X222" s="558">
        <f>input!P25*(B222+F222+J222+C222+G222+D222+H222+I222)/E222</f>
        <v>418.58659622332476</v>
      </c>
      <c r="Y222" s="73">
        <f>(B222+C222+IF(input!O25=0,0,input!M25/input!O25)*K222+(IF(input!AE25=0,0,2*input!M25/input!AE25)-1)*F222-D222-G222-H222-I222)/(IF(input!AE25=0,0,2/input!AE25)*F222+IF(input!O25=0,0,1/input!O25)*K222+2/input!M25*C222)</f>
        <v>2286.4041495908136</v>
      </c>
      <c r="Z222" s="73">
        <f>(B222+C222+F222+IF(input!O25=0,0,input!M25/input!O25)*K222-D222-G222-H222-I222)/(IF(input!O25=0,0,1/input!O25)*K222+2/input!M25*C222)</f>
        <v>1785.6385943970461</v>
      </c>
      <c r="AA222" s="73">
        <f>input!M25/2*(B222+F222+J222+K222-G222-D222-H222-I222+C222)/C222</f>
        <v>1785.6385943970461</v>
      </c>
      <c r="AB222" s="73">
        <f>(B222+F222+J222+K222+G222+C222-D222-H222-I222)/(IF(input!AH25=0,0,2/input!AH25)*G222+2/input!M25*C222)</f>
        <v>1785.6385943970461</v>
      </c>
      <c r="AC222" s="143">
        <f>input!H25/2*(B222+F222+K222+G222+C222-H222-I222+D222+J222)/D222</f>
        <v>76.347465005014527</v>
      </c>
      <c r="AD222" s="165">
        <f>IF(OR(L222=1,L222=8,L222="a",L222="b",L222="c",L222="d"),input!M25-M222+input!K25/2,IF(OR(L222=2,L222=9),input!H25-M222+input!M25+input!K25/2,input!R25+input!P25-M222+input!M25+input!K25/2))</f>
        <v>2838.0883902581436</v>
      </c>
      <c r="AE222" s="143">
        <f>IF(OR(L222=1,L222=8,L222="a",L222="b",L222="c",L222="d"),ABS(input!M25/2-M222),IF(OR(L222=2,L222=9),input!H25-M222+input!M25/2,input!R25+input!P25-M222+input!M25/2))</f>
        <v>1422.0883902581434</v>
      </c>
      <c r="AF222" s="143">
        <f>IF(OR(L222=1,L222=8,L222="a",L222="b",L222="c",L222="d"),M222+input!H25/2,IF(OR(L222=2,L222=9),ABS(input!H25/2-M222),input!R25+input!P25-M222-input!H25/2))</f>
        <v>4.0883902581433631</v>
      </c>
      <c r="AG222" s="143">
        <f>IF(OR(L222=1,L222=8,L222="a",L222="b",L222="c",L222="d"),input!R25+input!P25/2+M222,IF(OR(L222=2,L222=9),input!R25+input!P25/2-input!H25+M222,ABS(input!P25/2-M222)))</f>
        <v>122.91160974185664</v>
      </c>
      <c r="AH222" s="143">
        <f>IF(OR(L222=1,L222=8,L222="a",L222="b",L222="c",L222="d"),input!M25-M222-input!AE25/2,IF(OR(L222=2,L222=9),input!H25-M222+input!M25-input!AE25/2,input!R25+input!P25-M222+input!M25-input!AE25/2))</f>
        <v>2742.0883902581436</v>
      </c>
      <c r="AI222" s="143">
        <f>IF(OR(L222=1,L222=8,L222="a",L222="b",L222="c",L222="d"),M222-input!AH25/2,IF(OR(L222=2,L222=9),input!H25-M222+input!AH25/2,input!R25+input!P25-M222+input!AH25/2))</f>
        <v>22.088390258143363</v>
      </c>
      <c r="AJ222" s="143">
        <f>IF(OR(L222=1,L222=8,L222="a",L222="b",L222="c",L222="d"),M222+input!R25+input!AB25,IF(OR(L222=2,L222=9),input!R25+input!AB25-input!H25+M222,IF(L222=3,input!AB25-(input!P25-M222),ABS(input!P25-input!AB25-M222))))</f>
        <v>17.911609741856637</v>
      </c>
      <c r="AK222" s="143">
        <f>IF(OR(L222=1,L222=8,L222="a",L222="b",L222="c",L222="d"),M222+input!R25+input!P25-input!Y25,IF(OR(L222=2,L222=9),input!R25+input!P25-input!Y25-input!H25+M222,ABS(input!Y25-M222)))</f>
        <v>217.91160974185664</v>
      </c>
      <c r="AL222" s="143">
        <f>IF(OR(L222=1,L222=8,L222="a",L222="b",L222="c",L222="d"),input!M25-M222-input!O25/2,IF(OR(L222=2,L222=9),input!H25-M222+input!M25-input!O25/2,0))</f>
        <v>2822.0883902581436</v>
      </c>
      <c r="AM222" s="143">
        <f>IF(OR(L222=1,L222=8,L222="a",L222="b",L222="c",L222="d"),input!M25-M222-input!O25/2,IF(OR(L222=2,L222=9),input!H25-M222+input!M25-input!O25/2,input!R25+input!P25-M222+input!M25-input!O25/2))</f>
        <v>2822.0883902581436</v>
      </c>
      <c r="AN222" s="143">
        <f>C222/2/input!M25*(M222^2+(input!M25-M222)^2)+B222*AD222+D222*AF222+E222*AG222+F222*AH222+G222*AI222+H222*AJ222+I222*AK222+J222*AM222</f>
        <v>112206567.42551765</v>
      </c>
      <c r="AO222" s="143">
        <f>IF(input!AH25=0,0,1/2/input!AH25)*G222*(M222^2+(input!AH25-M222)^2)+D222*AF222+F222*AH222+C222/2/input!M25*(M222^2+(input!M25-M222)^2)+B222*AD222+E222*AG222+H222*AJ222+I222*AK222+J222*AM222</f>
        <v>112206567.42551766</v>
      </c>
      <c r="AP222" s="143">
        <f>+D222/2/input!H25*(M222^2+(input!H25-M222)^2)+B222*AD222+F222*AH222+G222*AI222+C222*AE222+E222*AG222+H222*AJ222+I222*AK222+J222*AM222</f>
        <v>113143947.6835577</v>
      </c>
      <c r="AQ222" s="143">
        <f>+(M222^2)/2/input!P25*E222+D222*AF222+F222*AH222+G222*AI222+C222*AE222+B222*AD222+H222*AJ222+I222*AK222+J222*AM222</f>
        <v>107253929.07446669</v>
      </c>
      <c r="AR222" s="143">
        <f>+(M222^2)/2/input!P25*E222+D222*AF222+F222*AH222+G222*AI222+C222*AE222+B222*AD222+I222*AK222+J222*AM222</f>
        <v>107215034.5719993</v>
      </c>
      <c r="AS222" s="143">
        <f>+(M222^2)/2/input!P25*E222+D222*AF222+F222*AH222+G222*AI222+C222*AE222+B222*AD222+H222*AJ222+I222*AK222+J222*AM222</f>
        <v>107253929.07446669</v>
      </c>
      <c r="AT222" s="143">
        <f>+(M222^2)/2/input!P25*E222+D222*AF222+F222*AH222+G222*AI222+C222*AE222+B222*AD222+H222*AJ222+J222*AM222</f>
        <v>106586659.67683086</v>
      </c>
      <c r="AU222" s="143">
        <f>+(M222^2)/2/input!P25*E222+D222*AF222+F222*AH222+G222*AI222+C222*AE222+B222*AD222+H222*AJ222+I222*AK222+J222*AM222</f>
        <v>107253929.07446669</v>
      </c>
      <c r="AV222" s="143">
        <f>IF(input!AE25=0,0,1/2/input!AE25)*F222*((input!M25-M222)^2+(input!AE25-input!M25+M222)^2)+C222/2/input!M25*(M222^2+(M222-input!M25)^2)+IF(input!O25=0,0,1/2/input!O25)*K222*(input!M25-M222)^2+B222*AD222+G222*AI222+D222*AF222+H222*AJ222+I222*AK222+J222*AM222</f>
        <v>190163713.54248944</v>
      </c>
      <c r="AW222" s="143">
        <f>+C222/2/input!M25*(M222^2+(M222-input!M25)^2)+IF(input!O25=0,0,1/2/input!O25)*K222*(input!M25-M222)^2+B222*AD222+F222*AH222+G222*AI222+D222*AF222+H222*AJ222+I222*AK222+J222*AM222</f>
        <v>106374257.90375437</v>
      </c>
      <c r="AX222" s="143">
        <f>C222/2/input!M25*(M222^2+(M222-input!M25)^2)+K222*AL222+B222*AD222+F222*AH222+G222*AI222+D222*AF222+H222*AJ222+I222*AK222+J222*AM222</f>
        <v>106374257.90375437</v>
      </c>
      <c r="AY222" s="143">
        <f>C222/2/input!M25*(M222^2+(M222-input!M25)^2)+IF(input!AH25=0,0,1/2/input!AH25)*G222*(M222^2+(input!AH25-M222)^2)+K222*AL222+B222*AD222+F222*AH222+D222*AF222+H222*AJ222+I222*AK222+J222*AM222</f>
        <v>106374257.90375437</v>
      </c>
      <c r="AZ222" s="143">
        <f>D222/2/input!H25*(M222^2+(input!H25-M222)^2)+B222*AD222+K222*AL222+F222*AH222+C222*AE222+G222*AI222+H222*AJ222+I222*AK222+J222*AM222</f>
        <v>107311638.16179442</v>
      </c>
      <c r="BA222" s="185"/>
    </row>
    <row r="223" spans="1:54" s="73" customFormat="1" ht="15" customHeight="1">
      <c r="A223" s="593" t="str">
        <f>+input!B26</f>
        <v>112j</v>
      </c>
      <c r="B223" s="642">
        <f>+input!J26*input!K26*input!BJ26/1000</f>
        <v>23590.400000000001</v>
      </c>
      <c r="C223" s="642">
        <f>+input!BQ26*input!N26*2*input!BK26/1000</f>
        <v>24041.652605426279</v>
      </c>
      <c r="D223" s="642">
        <f>+input!F26*input!G26*input!H26*input!BI26/1000</f>
        <v>13680</v>
      </c>
      <c r="E223" s="598">
        <f>0.85*Fck*input!P26*input!Q26/1000</f>
        <v>47451.25</v>
      </c>
      <c r="F223" s="642">
        <f>input!AD26*input!AE26*input!AF26*input!BN26/1000</f>
        <v>1945.6</v>
      </c>
      <c r="G223" s="642">
        <f>input!AG26*input!AH26*input!AI26*input!BM26/1000</f>
        <v>0</v>
      </c>
      <c r="H223" s="642">
        <f>input!CB26*Fys/1000</f>
        <v>2171.4688421612645</v>
      </c>
      <c r="I223" s="642">
        <f>input!BZ26*Fys/1000</f>
        <v>3062.1103594539709</v>
      </c>
      <c r="J223" s="642">
        <f>input!AC26*Fys/1000</f>
        <v>0</v>
      </c>
      <c r="K223" s="642">
        <f>input!BT26*0.85*Fckb/1000</f>
        <v>0</v>
      </c>
      <c r="L223" s="795">
        <f>IF(Stress!F855&lt;=0,IF(B223+F223+(input!M26-2*input!AH26)/input!M26*C223+J223&gt;=G223+D223+E223+H223+I223,1,IF(B223+F223+C223+G223+J223&gt;=D223+E223+H223+I223,"a",IF(B223+F223+C223+G223+D223+J223&gt;=E223+H223+I223,2,IF(B223+F223+C223+G223+D223+J223&gt;=(input!P26-input!AB26)/input!P26*E223+H223+I223,3,IF(B223+F223+C223+G223+D223+H223+J223&gt;=(input!P26-input!AB26)/input!P26*E223+I223,4,IF(B223+F223+C223+G223+D223+H223+J223&gt;=input!Y26/input!P26*E223+I223,5,IF(B223+F223+C223+G223+D223+H223+I223+J223&gt;=input!Y26/input!P26*E223,6,7))))))),IF(B223+F223+IF(input!O26=0,0,input!AE26/input!O26)*K223+input!AE26/input!M26*C223&gt;=(input!M26-input!AE26)*C223/input!M26+G223+D223+H223+I223,"b",IF(B223+F223+K223+input!O26/input!M26*C223&gt;=(input!M26-input!O26)/input!M26*C223+G223+D223+H223+I223,"c",IF(B223+F223+J223+K223+(input!M26-input!AH26)/input!M26*C223&gt;=G223+D223+H223+I223,8,IF(B223+F223+J223+K223+C223+G223&gt;=D223+H223+I223,"d",9)))))</f>
        <v>2</v>
      </c>
      <c r="M223" s="643">
        <f t="shared" si="0"/>
        <v>13.911609741856637</v>
      </c>
      <c r="N223" s="493">
        <f t="shared" si="1"/>
        <v>113143.94768355771</v>
      </c>
      <c r="O223" s="766"/>
      <c r="P223" s="143"/>
      <c r="Q223" s="73">
        <f>input!M26/2*((B223+F223+J223-G223-D223-E223-H223-I223)/C223+1)</f>
        <v>-977.55539606125308</v>
      </c>
      <c r="R223" s="73">
        <f>(B223+F223+J223+C223+G223-D223-E223-H223-I223)/(2/input!M26*C223+IF(input!AH26=0,0,2/input!AH26)*G223)</f>
        <v>-977.55539606125285</v>
      </c>
      <c r="S223" s="73">
        <f>input!H26/2*(B223+F223+J223+C223+G223-E223-H223-I223+D223)/D223</f>
        <v>13.911609741856637</v>
      </c>
      <c r="T223" s="558">
        <f>input!P26*(B223+F223+J223+C223+G223+D223-H223-I223)/E223</f>
        <v>354.61618581397124</v>
      </c>
      <c r="U223" s="73">
        <f>input!P26-input!AB26</f>
        <v>250</v>
      </c>
      <c r="V223" s="558">
        <f>input!P26*(B223+F223+J223+C223+G223+D223+H223-I223)/E223</f>
        <v>381.15820374718766</v>
      </c>
      <c r="W223" s="73">
        <f>input!Y26</f>
        <v>50</v>
      </c>
      <c r="X223" s="558">
        <f>input!P26*(B223+F223+J223+C223+G223+D223+H223+I223)/E223</f>
        <v>418.58659622332476</v>
      </c>
      <c r="Y223" s="73">
        <f>(B223+C223+IF(input!O26=0,0,input!M26/input!O26)*K223+(IF(input!AE26=0,0,2*input!M26/input!AE26)-1)*F223-D223-G223-H223-I223)/(IF(input!AE26=0,0,2/input!AE26)*F223+IF(input!O26=0,0,1/input!O26)*K223+2/input!M26*C223)</f>
        <v>2286.4041495908136</v>
      </c>
      <c r="Z223" s="73">
        <f>(B223+C223+F223+IF(input!O26=0,0,input!M26/input!O26)*K223-D223-G223-H223-I223)/(IF(input!O26=0,0,1/input!O26)*K223+2/input!M26*C223)</f>
        <v>1785.6385943970461</v>
      </c>
      <c r="AA223" s="73">
        <f>input!M26/2*(B223+F223+J223+K223-G223-D223-H223-I223+C223)/C223</f>
        <v>1785.6385943970461</v>
      </c>
      <c r="AB223" s="73">
        <f>(B223+F223+J223+K223+G223+C223-D223-H223-I223)/(IF(input!AH26=0,0,2/input!AH26)*G223+2/input!M26*C223)</f>
        <v>1785.6385943970461</v>
      </c>
      <c r="AC223" s="143">
        <f>input!H26/2*(B223+F223+K223+G223+C223-H223-I223+D223+J223)/D223</f>
        <v>76.347465005014527</v>
      </c>
      <c r="AD223" s="165">
        <f>IF(OR(L223=1,L223=8,L223="a",L223="b",L223="c",L223="d"),input!M26-M223+input!K26/2,IF(OR(L223=2,L223=9),input!H26-M223+input!M26+input!K26/2,input!R26+input!P26-M223+input!M26+input!K26/2))</f>
        <v>2838.0883902581436</v>
      </c>
      <c r="AE223" s="143">
        <f>IF(OR(L223=1,L223=8,L223="a",L223="b",L223="c",L223="d"),ABS(input!M26/2-M223),IF(OR(L223=2,L223=9),input!H26-M223+input!M26/2,input!R26+input!P26-M223+input!M26/2))</f>
        <v>1422.0883902581434</v>
      </c>
      <c r="AF223" s="143">
        <f>IF(OR(L223=1,L223=8,L223="a",L223="b",L223="c",L223="d"),M223+input!H26/2,IF(OR(L223=2,L223=9),ABS(input!H26/2-M223),input!R26+input!P26-M223-input!H26/2))</f>
        <v>4.0883902581433631</v>
      </c>
      <c r="AG223" s="143">
        <f>IF(OR(L223=1,L223=8,L223="a",L223="b",L223="c",L223="d"),input!R26+input!P26/2+M223,IF(OR(L223=2,L223=9),input!R26+input!P26/2-input!H26+M223,ABS(input!P26/2-M223)))</f>
        <v>122.91160974185664</v>
      </c>
      <c r="AH223" s="143">
        <f>IF(OR(L223=1,L223=8,L223="a",L223="b",L223="c",L223="d"),input!M26-M223-input!AE26/2,IF(OR(L223=2,L223=9),input!H26-M223+input!M26-input!AE26/2,input!R26+input!P26-M223+input!M26-input!AE26/2))</f>
        <v>2742.0883902581436</v>
      </c>
      <c r="AI223" s="143">
        <f>IF(OR(L223=1,L223=8,L223="a",L223="b",L223="c",L223="d"),M223-input!AH26/2,IF(OR(L223=2,L223=9),input!H26-M223+input!AH26/2,input!R26+input!P26-M223+input!AH26/2))</f>
        <v>22.088390258143363</v>
      </c>
      <c r="AJ223" s="143">
        <f>IF(OR(L223=1,L223=8,L223="a",L223="b",L223="c",L223="d"),M223+input!R26+input!AB26,IF(OR(L223=2,L223=9),input!R26+input!AB26-input!H26+M223,IF(L223=3,input!AB26-(input!P26-M223),ABS(input!P26-input!AB26-M223))))</f>
        <v>17.911609741856637</v>
      </c>
      <c r="AK223" s="143">
        <f>IF(OR(L223=1,L223=8,L223="a",L223="b",L223="c",L223="d"),M223+input!R26+input!P26-input!Y26,IF(OR(L223=2,L223=9),input!R26+input!P26-input!Y26-input!H26+M223,ABS(input!Y26-M223)))</f>
        <v>217.91160974185664</v>
      </c>
      <c r="AL223" s="143">
        <f>IF(OR(L223=1,L223=8,L223="a",L223="b",L223="c",L223="d"),input!M26-M223-input!O26/2,IF(OR(L223=2,L223=9),input!H26-M223+input!M26-input!O26/2,0))</f>
        <v>2822.0883902581436</v>
      </c>
      <c r="AM223" s="143">
        <f>IF(OR(L223=1,L223=8,L223="a",L223="b",L223="c",L223="d"),input!M26-M223-input!O26/2,IF(OR(L223=2,L223=9),input!H26-M223+input!M26-input!O26/2,input!R26+input!P26-M223+input!M26-input!O26/2))</f>
        <v>2822.0883902581436</v>
      </c>
      <c r="AN223" s="143">
        <f>C223/2/input!M26*(M223^2+(input!M26-M223)^2)+B223*AD223+D223*AF223+E223*AG223+F223*AH223+G223*AI223+H223*AJ223+I223*AK223+J223*AM223</f>
        <v>112206567.42551765</v>
      </c>
      <c r="AO223" s="143">
        <f>IF(input!AH26=0,0,1/2/input!AH26)*G223*(M223^2+(input!AH26-M223)^2)+D223*AF223+F223*AH223+C223/2/input!M26*(M223^2+(input!M26-M223)^2)+B223*AD223+E223*AG223+H223*AJ223+I223*AK223+J223*AM223</f>
        <v>112206567.42551766</v>
      </c>
      <c r="AP223" s="143">
        <f>+D223/2/input!H26*(M223^2+(input!H26-M223)^2)+B223*AD223+F223*AH223+G223*AI223+C223*AE223+E223*AG223+H223*AJ223+I223*AK223+J223*AM223</f>
        <v>113143947.6835577</v>
      </c>
      <c r="AQ223" s="143">
        <f>+(M223^2)/2/input!P26*E223+D223*AF223+F223*AH223+G223*AI223+C223*AE223+B223*AD223+H223*AJ223+I223*AK223+J223*AM223</f>
        <v>107253929.07446669</v>
      </c>
      <c r="AR223" s="143">
        <f>+(M223^2)/2/input!P26*E223+D223*AF223+F223*AH223+G223*AI223+C223*AE223+B223*AD223+I223*AK223+J223*AM223</f>
        <v>107215034.5719993</v>
      </c>
      <c r="AS223" s="143">
        <f>+(M223^2)/2/input!P26*E223+D223*AF223+F223*AH223+G223*AI223+C223*AE223+B223*AD223+H223*AJ223+I223*AK223+J223*AM223</f>
        <v>107253929.07446669</v>
      </c>
      <c r="AT223" s="143">
        <f>+(M223^2)/2/input!P26*E223+D223*AF223+F223*AH223+G223*AI223+C223*AE223+B223*AD223+H223*AJ223+J223*AM223</f>
        <v>106586659.67683086</v>
      </c>
      <c r="AU223" s="143">
        <f>+(M223^2)/2/input!P26*E223+D223*AF223+F223*AH223+G223*AI223+C223*AE223+B223*AD223+H223*AJ223+I223*AK223+J223*AM223</f>
        <v>107253929.07446669</v>
      </c>
      <c r="AV223" s="143">
        <f>IF(input!AE26=0,0,1/2/input!AE26)*F223*((input!M26-M223)^2+(input!AE26-input!M26+M223)^2)+C223/2/input!M26*(M223^2+(M223-input!M26)^2)+IF(input!O26=0,0,1/2/input!O26)*K223*(input!M26-M223)^2+B223*AD223+G223*AI223+D223*AF223+H223*AJ223+I223*AK223+J223*AM223</f>
        <v>190163713.54248944</v>
      </c>
      <c r="AW223" s="143">
        <f>+C223/2/input!M26*(M223^2+(M223-input!M26)^2)+IF(input!O26=0,0,1/2/input!O26)*K223*(input!M26-M223)^2+B223*AD223+F223*AH223+G223*AI223+D223*AF223+H223*AJ223+I223*AK223+J223*AM223</f>
        <v>106374257.90375437</v>
      </c>
      <c r="AX223" s="143">
        <f>C223/2/input!M26*(M223^2+(M223-input!M26)^2)+K223*AL223+B223*AD223+F223*AH223+G223*AI223+D223*AF223+H223*AJ223+I223*AK223+J223*AM223</f>
        <v>106374257.90375437</v>
      </c>
      <c r="AY223" s="143">
        <f>C223/2/input!M26*(M223^2+(M223-input!M26)^2)+IF(input!AH26=0,0,1/2/input!AH26)*G223*(M223^2+(input!AH26-M223)^2)+K223*AL223+B223*AD223+F223*AH223+D223*AF223+H223*AJ223+I223*AK223+J223*AM223</f>
        <v>106374257.90375437</v>
      </c>
      <c r="AZ223" s="143">
        <f>D223/2/input!H26*(M223^2+(input!H26-M223)^2)+B223*AD223+K223*AL223+F223*AH223+C223*AE223+G223*AI223+H223*AJ223+I223*AK223+J223*AM223</f>
        <v>107311638.16179442</v>
      </c>
      <c r="BA223" s="185"/>
    </row>
    <row r="224" spans="1:54" ht="15" customHeight="1">
      <c r="A224" s="579" t="str">
        <f>+input!B27</f>
        <v>113i</v>
      </c>
      <c r="B224" s="642">
        <f>+input!J27*input!K27*input!BJ27/1000</f>
        <v>23590.400000000001</v>
      </c>
      <c r="C224" s="642">
        <f>+input!BQ27*input!N27*2*input!BK27/1000</f>
        <v>24041.652605426279</v>
      </c>
      <c r="D224" s="642">
        <f>+input!F27*input!G27*input!H27*input!BI27/1000</f>
        <v>11400</v>
      </c>
      <c r="E224" s="642">
        <f>0.85*Fck*input!P27*input!Q27/1000</f>
        <v>47451.25</v>
      </c>
      <c r="F224" s="642">
        <f>input!AD27*input!AE27*input!AF27*input!BN27/1000</f>
        <v>1945.6</v>
      </c>
      <c r="G224" s="642">
        <f>input!AG27*input!AH27*input!AI27*input!BM27/1000</f>
        <v>0</v>
      </c>
      <c r="H224" s="642">
        <f>input!CB27*Fys/1000</f>
        <v>2171.4688421612645</v>
      </c>
      <c r="I224" s="642">
        <f>input!BZ27*Fys/1000</f>
        <v>3062.1103594539709</v>
      </c>
      <c r="J224" s="642">
        <f>input!AC27*Fys/1000</f>
        <v>0</v>
      </c>
      <c r="K224" s="642">
        <f>input!BT27*0.85*Fckb/1000</f>
        <v>0</v>
      </c>
      <c r="L224" s="795">
        <f>IF(Stress!F856&lt;=0,IF(B224+F224+(input!M27-2*input!AH27)/input!M27*C224+J224&gt;=G224+D224+E224+H224+I224,1,IF(B224+F224+C224+G224+J224&gt;=D224+E224+H224+I224,"a",IF(B224+F224+C224+G224+D224+J224&gt;=E224+H224+I224,2,IF(B224+F224+C224+G224+D224+J224&gt;=(input!P27-input!AB27)/input!P27*E224+H224+I224,3,IF(B224+F224+C224+G224+D224+H224+J224&gt;=(input!P27-input!AB27)/input!P27*E224+I224,4,IF(B224+F224+C224+G224+D224+H224+J224&gt;=input!Y27/input!P27*E224+I224,5,IF(B224+F224+C224+G224+D224+H224+I224+J224&gt;=input!Y27/input!P27*E224,6,7))))))),IF(B224+F224+IF(input!O27=0,0,input!AE27/input!O27)*K224+input!AE27/input!M27*C224&gt;=(input!M27-input!AE27)*C224/input!M27+G224+D224+H224+I224,"b",IF(B224+F224+K224+input!O27/input!M27*C224&gt;=(input!M27-input!O27)/input!M27*C224+G224+D224+H224+I224,"c",IF(B224+F224+J224+K224+(input!M27-input!AH27)/input!M27*C224&gt;=G224+D224+H224+I224,8,IF(B224+F224+J224+K224+C224+G224&gt;=D224+H224+I224,"d",9)))))</f>
        <v>2</v>
      </c>
      <c r="M224" s="643">
        <f t="shared" si="0"/>
        <v>10.911609741856637</v>
      </c>
      <c r="N224" s="493">
        <f t="shared" si="1"/>
        <v>113115.6492133463</v>
      </c>
      <c r="O224" s="766"/>
      <c r="Q224" s="73">
        <f>input!M27/2*((B224+F224+J224-G224-D224-E224-H224-I224)/C224+1)</f>
        <v>-844.78582100801611</v>
      </c>
      <c r="R224" s="73">
        <f>(B224+F224+J224+C224+G224-D224-E224-H224-I224)/(2/input!M27*C224+IF(input!AH27=0,0,2/input!AH27)*G224)</f>
        <v>-844.78582100801577</v>
      </c>
      <c r="S224" s="73">
        <f>input!H27/2*(B224+F224+J224+C224+G224-E224-H224-I224+D224)/D224</f>
        <v>10.911609741856637</v>
      </c>
      <c r="T224" s="558">
        <f>input!P27*(B224+F224+J224+C224+G224+D224-H224-I224)/E224</f>
        <v>340.68188482084668</v>
      </c>
      <c r="U224" s="73">
        <f>input!P27-input!AB27</f>
        <v>250</v>
      </c>
      <c r="V224" s="558">
        <f>input!P27*(B224+F224+J224+C224+G224+D224+H224-I224)/E224</f>
        <v>367.22390275406309</v>
      </c>
      <c r="W224" s="73">
        <f>input!Y27</f>
        <v>50</v>
      </c>
      <c r="X224" s="558">
        <f>input!P27*(B224+F224+J224+C224+G224+D224+H224+I224)/E224</f>
        <v>404.65229523020025</v>
      </c>
      <c r="Y224" s="73">
        <f>(B224+C224+IF(input!O27=0,0,input!M27/input!O27)*K224+(IF(input!AE27=0,0,2*input!M27/input!AE27)-1)*F224-D224-G224-H224-I224)/(IF(input!AE27=0,0,2/input!AE27)*F224+IF(input!O27=0,0,1/input!O27)*K224+2/input!M27*C224)</f>
        <v>2341.3536949372397</v>
      </c>
      <c r="Z224" s="73">
        <f>(B224+C224+F224+IF(input!O27=0,0,input!M27/input!O27)*K224-D224-G224-H224-I224)/(IF(input!O27=0,0,1/input!O27)*K224+2/input!M27*C224)</f>
        <v>1918.4081694502831</v>
      </c>
      <c r="AA224" s="73">
        <f>input!M27/2*(B224+F224+J224+K224-G224-D224-H224-I224+C224)/C224</f>
        <v>1918.4081694502834</v>
      </c>
      <c r="AB224" s="73">
        <f>(B224+F224+J224+K224+G224+C224-D224-H224-I224)/(IF(input!AH27=0,0,2/input!AH27)*G224+2/input!M27*C224)</f>
        <v>1918.4081694502831</v>
      </c>
      <c r="AC224" s="143">
        <f>input!H27/2*(B224+F224+K224+G224+C224-H224-I224+D224+J224)/D224</f>
        <v>73.347465005014527</v>
      </c>
      <c r="AD224" s="165">
        <f>IF(OR(L224=1,L224=8,L224="a",L224="b",L224="c",L224="d"),input!M27-M224+input!K27/2,IF(OR(L224=2,L224=9),input!H27-M224+input!M27+input!K27/2,input!R27+input!P27-M224+input!M27+input!K27/2))</f>
        <v>2835.0883902581436</v>
      </c>
      <c r="AE224" s="143">
        <f>IF(OR(L224=1,L224=8,L224="a",L224="b",L224="c",L224="d"),ABS(input!M27/2-M224),IF(OR(L224=2,L224=9),input!H27-M224+input!M27/2,input!R27+input!P27-M224+input!M27/2))</f>
        <v>1419.0883902581434</v>
      </c>
      <c r="AF224" s="143">
        <f>IF(OR(L224=1,L224=8,L224="a",L224="b",L224="c",L224="d"),M224+input!H27/2,IF(OR(L224=2,L224=9),ABS(input!H27/2-M224),input!R27+input!P27-M224-input!H27/2))</f>
        <v>4.0883902581433631</v>
      </c>
      <c r="AG224" s="143">
        <f>IF(OR(L224=1,L224=8,L224="a",L224="b",L224="c",L224="d"),input!R27+input!P27/2+M224,IF(OR(L224=2,L224=9),input!R27+input!P27/2-input!H27+M224,ABS(input!P27/2-M224)))</f>
        <v>125.91160974185664</v>
      </c>
      <c r="AH224" s="143">
        <f>IF(OR(L224=1,L224=8,L224="a",L224="b",L224="c",L224="d"),input!M27-M224-input!AE27/2,IF(OR(L224=2,L224=9),input!H27-M224+input!M27-input!AE27/2,input!R27+input!P27-M224+input!M27-input!AE27/2))</f>
        <v>2739.0883902581436</v>
      </c>
      <c r="AI224" s="143">
        <f>IF(OR(L224=1,L224=8,L224="a",L224="b",L224="c",L224="d"),M224-input!AH27/2,IF(OR(L224=2,L224=9),input!H27-M224+input!AH27/2,input!R27+input!P27-M224+input!AH27/2))</f>
        <v>19.088390258143363</v>
      </c>
      <c r="AJ224" s="143">
        <f>IF(OR(L224=1,L224=8,L224="a",L224="b",L224="c",L224="d"),M224+input!R27+input!AB27,IF(OR(L224=2,L224=9),input!R27+input!AB27-input!H27+M224,IF(L224=3,input!AB27-(input!P27-M224),ABS(input!P27-input!AB27-M224))))</f>
        <v>20.911609741856637</v>
      </c>
      <c r="AK224" s="143">
        <f>IF(OR(L224=1,L224=8,L224="a",L224="b",L224="c",L224="d"),M224+input!R27+input!P27-input!Y27,IF(OR(L224=2,L224=9),input!R27+input!P27-input!Y27-input!H27+M224,ABS(input!Y27-M224)))</f>
        <v>220.91160974185664</v>
      </c>
      <c r="AL224" s="143">
        <f>IF(OR(L224=1,L224=8,L224="a",L224="b",L224="c",L224="d"),input!M27-M224-input!O27/2,IF(OR(L224=2,L224=9),input!H27-M224+input!M27-input!O27/2,0))</f>
        <v>2819.0883902581436</v>
      </c>
      <c r="AM224" s="143">
        <f>IF(OR(L224=1,L224=8,L224="a",L224="b",L224="c",L224="d"),input!M27-M224-input!O27/2,IF(OR(L224=2,L224=9),input!H27-M224+input!M27-input!O27/2,input!R27+input!P27-M224+input!M27-input!O27/2))</f>
        <v>2819.0883902581436</v>
      </c>
      <c r="AN224" s="143">
        <f>C224/2/input!M27*(M224^2+(input!M27-M224)^2)+B224*AD224+D224*AF224+E224*AG224+F224*AH224+G224*AI224+H224*AJ224+I224*AK224+J224*AM224</f>
        <v>112350177.92198661</v>
      </c>
      <c r="AO224" s="143">
        <f>IF(input!AH27=0,0,1/2/input!AH27)*G224*(M224^2+(input!AH27-M224)^2)+D224*AF224+F224*AH224+C224/2/input!M27*(M224^2+(input!M27-M224)^2)+B224*AD224+E224*AG224+H224*AJ224+I224*AK224+J224*AM224</f>
        <v>112350177.92198661</v>
      </c>
      <c r="AP224" s="143">
        <f>+D224/2/input!H27*(M224^2+(input!H27-M224)^2)+B224*AD224+F224*AH224+G224*AI224+C224*AE224+E224*AG224+H224*AJ224+I224*AK224+J224*AM224</f>
        <v>113115649.2133463</v>
      </c>
      <c r="AQ224" s="143">
        <f>+(M224^2)/2/input!P27*E224+D224*AF224+F224*AH224+G224*AI224+C224*AE224+B224*AD224+H224*AJ224+I224*AK224+J224*AM224</f>
        <v>107105482.77553467</v>
      </c>
      <c r="AR224" s="143">
        <f>+(M224^2)/2/input!P27*E224+D224*AF224+F224*AH224+G224*AI224+C224*AE224+B224*AD224+I224*AK224+J224*AM224</f>
        <v>107060073.86654079</v>
      </c>
      <c r="AS224" s="143">
        <f>+(M224^2)/2/input!P27*E224+D224*AF224+F224*AH224+G224*AI224+C224*AE224+B224*AD224+H224*AJ224+I224*AK224+J224*AM224</f>
        <v>107105482.77553467</v>
      </c>
      <c r="AT224" s="143">
        <f>+(M224^2)/2/input!P27*E224+D224*AF224+F224*AH224+G224*AI224+C224*AE224+B224*AD224+H224*AJ224+J224*AM224</f>
        <v>106429027.04682048</v>
      </c>
      <c r="AU224" s="143">
        <f>+(M224^2)/2/input!P27*E224+D224*AF224+F224*AH224+G224*AI224+C224*AE224+B224*AD224+H224*AJ224+I224*AK224+J224*AM224</f>
        <v>107105482.77553467</v>
      </c>
      <c r="AV224" s="143">
        <f>IF(input!AE27=0,0,1/2/input!AE27)*F224*((input!M27-M224)^2+(input!AE27-input!M27+M224)^2)+C224/2/input!M27*(M224^2+(M224-input!M27)^2)+IF(input!O27=0,0,1/2/input!O27)*K224*(input!M27-M224)^2+B224*AD224+G224*AI224+D224*AF224+H224*AJ224+I224*AK224+J224*AM224</f>
        <v>190368352.73791161</v>
      </c>
      <c r="AW224" s="143">
        <f>+C224/2/input!M27*(M224^2+(M224-input!M27)^2)+IF(input!O27=0,0,1/2/input!O27)*K224*(input!M27-M224)^2+B224*AD224+F224*AH224+G224*AI224+D224*AF224+H224*AJ224+I224*AK224+J224*AM224</f>
        <v>106375514.65022333</v>
      </c>
      <c r="AX224" s="143">
        <f>C224/2/input!M27*(M224^2+(M224-input!M27)^2)+K224*AL224+B224*AD224+F224*AH224+G224*AI224+D224*AF224+H224*AJ224+I224*AK224+J224*AM224</f>
        <v>106375514.65022333</v>
      </c>
      <c r="AY224" s="143">
        <f>C224/2/input!M27*(M224^2+(M224-input!M27)^2)+IF(input!AH27=0,0,1/2/input!AH27)*G224*(M224^2+(input!AH27-M224)^2)+K224*AL224+B224*AD224+F224*AH224+D224*AF224+H224*AJ224+I224*AK224+J224*AM224</f>
        <v>106375514.65022333</v>
      </c>
      <c r="AZ224" s="143">
        <f>D224/2/input!H27*(M224^2+(input!H27-M224)^2)+B224*AD224+K224*AL224+F224*AH224+C224*AE224+G224*AI224+H224*AJ224+I224*AK224+J224*AM224</f>
        <v>107140985.94158302</v>
      </c>
      <c r="BA224" s="185"/>
    </row>
    <row r="225" spans="1:53" ht="15" customHeight="1">
      <c r="A225" s="579" t="str">
        <f>+input!B28</f>
        <v>113j</v>
      </c>
      <c r="B225" s="642">
        <f>+input!J28*input!K28*input!BJ28/1000</f>
        <v>23590.400000000001</v>
      </c>
      <c r="C225" s="642">
        <f>+input!BQ28*input!N28*2*input!BK28/1000</f>
        <v>24041.652605426279</v>
      </c>
      <c r="D225" s="642">
        <f>+input!F28*input!G28*input!H28*input!BI28/1000</f>
        <v>11400</v>
      </c>
      <c r="E225" s="642">
        <f>0.85*Fck*input!P28*input!Q28/1000</f>
        <v>47451.25</v>
      </c>
      <c r="F225" s="642">
        <f>input!AD28*input!AE28*input!AF28*input!BN28/1000</f>
        <v>1945.6</v>
      </c>
      <c r="G225" s="642">
        <f>input!AG28*input!AH28*input!AI28*input!BM28/1000</f>
        <v>0</v>
      </c>
      <c r="H225" s="642">
        <f>input!CB28*Fys/1000</f>
        <v>2171.4688421612645</v>
      </c>
      <c r="I225" s="642">
        <f>input!BZ28*Fys/1000</f>
        <v>3062.1103594539709</v>
      </c>
      <c r="J225" s="642">
        <f>input!AC28*Fys/1000</f>
        <v>0</v>
      </c>
      <c r="K225" s="642">
        <f>input!BT28*0.85*Fckb/1000</f>
        <v>0</v>
      </c>
      <c r="L225" s="795">
        <f>IF(Stress!F857&lt;=0,IF(B225+F225+(input!M28-2*input!AH28)/input!M28*C225+J225&gt;=G225+D225+E225+H225+I225,1,IF(B225+F225+C225+G225+J225&gt;=D225+E225+H225+I225,"a",IF(B225+F225+C225+G225+D225+J225&gt;=E225+H225+I225,2,IF(B225+F225+C225+G225+D225+J225&gt;=(input!P28-input!AB28)/input!P28*E225+H225+I225,3,IF(B225+F225+C225+G225+D225+H225+J225&gt;=(input!P28-input!AB28)/input!P28*E225+I225,4,IF(B225+F225+C225+G225+D225+H225+J225&gt;=input!Y28/input!P28*E225+I225,5,IF(B225+F225+C225+G225+D225+H225+I225+J225&gt;=input!Y28/input!P28*E225,6,7))))))),IF(B225+F225+IF(input!O28=0,0,input!AE28/input!O28)*K225+input!AE28/input!M28*C225&gt;=(input!M28-input!AE28)*C225/input!M28+G225+D225+H225+I225,"b",IF(B225+F225+K225+input!O28/input!M28*C225&gt;=(input!M28-input!O28)/input!M28*C225+G225+D225+H225+I225,"c",IF(B225+F225+J225+K225+(input!M28-input!AH28)/input!M28*C225&gt;=G225+D225+H225+I225,8,IF(B225+F225+J225+K225+C225+G225&gt;=D225+H225+I225,"d",9)))))</f>
        <v>2</v>
      </c>
      <c r="M225" s="643">
        <f t="shared" si="0"/>
        <v>10.911609741856637</v>
      </c>
      <c r="N225" s="493">
        <f t="shared" si="1"/>
        <v>113115.6492133463</v>
      </c>
      <c r="O225" s="766"/>
      <c r="Q225" s="73">
        <f>input!M28/2*((B225+F225+J225-G225-D225-E225-H225-I225)/C225+1)</f>
        <v>-844.78582100801611</v>
      </c>
      <c r="R225" s="73">
        <f>(B225+F225+J225+C225+G225-D225-E225-H225-I225)/(2/input!M28*C225+IF(input!AH28=0,0,2/input!AH28)*G225)</f>
        <v>-844.78582100801577</v>
      </c>
      <c r="S225" s="73">
        <f>input!H28/2*(B225+F225+J225+C225+G225-E225-H225-I225+D225)/D225</f>
        <v>10.911609741856637</v>
      </c>
      <c r="T225" s="558">
        <f>input!P28*(B225+F225+J225+C225+G225+D225-H225-I225)/E225</f>
        <v>340.68188482084668</v>
      </c>
      <c r="U225" s="73">
        <f>input!P28-input!AB28</f>
        <v>250</v>
      </c>
      <c r="V225" s="558">
        <f>input!P28*(B225+F225+J225+C225+G225+D225+H225-I225)/E225</f>
        <v>367.22390275406309</v>
      </c>
      <c r="W225" s="73">
        <f>input!Y28</f>
        <v>50</v>
      </c>
      <c r="X225" s="558">
        <f>input!P28*(B225+F225+J225+C225+G225+D225+H225+I225)/E225</f>
        <v>404.65229523020025</v>
      </c>
      <c r="Y225" s="73">
        <f>(B225+C225+IF(input!O28=0,0,input!M28/input!O28)*K225+(IF(input!AE28=0,0,2*input!M28/input!AE28)-1)*F225-D225-G225-H225-I225)/(IF(input!AE28=0,0,2/input!AE28)*F225+IF(input!O28=0,0,1/input!O28)*K225+2/input!M28*C225)</f>
        <v>2341.3536949372397</v>
      </c>
      <c r="Z225" s="73">
        <f>(B225+C225+F225+IF(input!O28=0,0,input!M28/input!O28)*K225-D225-G225-H225-I225)/(IF(input!O28=0,0,1/input!O28)*K225+2/input!M28*C225)</f>
        <v>1918.4081694502831</v>
      </c>
      <c r="AA225" s="73">
        <f>input!M28/2*(B225+F225+J225+K225-G225-D225-H225-I225+C225)/C225</f>
        <v>1918.4081694502834</v>
      </c>
      <c r="AB225" s="73">
        <f>(B225+F225+J225+K225+G225+C225-D225-H225-I225)/(IF(input!AH28=0,0,2/input!AH28)*G225+2/input!M28*C225)</f>
        <v>1918.4081694502831</v>
      </c>
      <c r="AC225" s="143">
        <f>input!H28/2*(B225+F225+K225+G225+C225-H225-I225+D225+J225)/D225</f>
        <v>73.347465005014527</v>
      </c>
      <c r="AD225" s="165">
        <f>IF(OR(L225=1,L225=8,L225="a",L225="b",L225="c",L225="d"),input!M28-M225+input!K28/2,IF(OR(L225=2,L225=9),input!H28-M225+input!M28+input!K28/2,input!R28+input!P28-M225+input!M28+input!K28/2))</f>
        <v>2835.0883902581436</v>
      </c>
      <c r="AE225" s="143">
        <f>IF(OR(L225=1,L225=8,L225="a",L225="b",L225="c",L225="d"),ABS(input!M28/2-M225),IF(OR(L225=2,L225=9),input!H28-M225+input!M28/2,input!R28+input!P28-M225+input!M28/2))</f>
        <v>1419.0883902581434</v>
      </c>
      <c r="AF225" s="143">
        <f>IF(OR(L225=1,L225=8,L225="a",L225="b",L225="c",L225="d"),M225+input!H28/2,IF(OR(L225=2,L225=9),ABS(input!H28/2-M225),input!R28+input!P28-M225-input!H28/2))</f>
        <v>4.0883902581433631</v>
      </c>
      <c r="AG225" s="143">
        <f>IF(OR(L225=1,L225=8,L225="a",L225="b",L225="c",L225="d"),input!R28+input!P28/2+M225,IF(OR(L225=2,L225=9),input!R28+input!P28/2-input!H28+M225,ABS(input!P28/2-M225)))</f>
        <v>125.91160974185664</v>
      </c>
      <c r="AH225" s="143">
        <f>IF(OR(L225=1,L225=8,L225="a",L225="b",L225="c",L225="d"),input!M28-M225-input!AE28/2,IF(OR(L225=2,L225=9),input!H28-M225+input!M28-input!AE28/2,input!R28+input!P28-M225+input!M28-input!AE28/2))</f>
        <v>2739.0883902581436</v>
      </c>
      <c r="AI225" s="143">
        <f>IF(OR(L225=1,L225=8,L225="a",L225="b",L225="c",L225="d"),M225-input!AH28/2,IF(OR(L225=2,L225=9),input!H28-M225+input!AH28/2,input!R28+input!P28-M225+input!AH28/2))</f>
        <v>19.088390258143363</v>
      </c>
      <c r="AJ225" s="143">
        <f>IF(OR(L225=1,L225=8,L225="a",L225="b",L225="c",L225="d"),M225+input!R28+input!AB28,IF(OR(L225=2,L225=9),input!R28+input!AB28-input!H28+M225,IF(L225=3,input!AB28-(input!P28-M225),ABS(input!P28-input!AB28-M225))))</f>
        <v>20.911609741856637</v>
      </c>
      <c r="AK225" s="143">
        <f>IF(OR(L225=1,L225=8,L225="a",L225="b",L225="c",L225="d"),M225+input!R28+input!P28-input!Y28,IF(OR(L225=2,L225=9),input!R28+input!P28-input!Y28-input!H28+M225,ABS(input!Y28-M225)))</f>
        <v>220.91160974185664</v>
      </c>
      <c r="AL225" s="143">
        <f>IF(OR(L225=1,L225=8,L225="a",L225="b",L225="c",L225="d"),input!M28-M225-input!O28/2,IF(OR(L225=2,L225=9),input!H28-M225+input!M28-input!O28/2,0))</f>
        <v>2819.0883902581436</v>
      </c>
      <c r="AM225" s="143">
        <f>IF(OR(L225=1,L225=8,L225="a",L225="b",L225="c",L225="d"),input!M28-M225-input!O28/2,IF(OR(L225=2,L225=9),input!H28-M225+input!M28-input!O28/2,input!R28+input!P28-M225+input!M28-input!O28/2))</f>
        <v>2819.0883902581436</v>
      </c>
      <c r="AN225" s="143">
        <f>C225/2/input!M28*(M225^2+(input!M28-M225)^2)+B225*AD225+D225*AF225+E225*AG225+F225*AH225+G225*AI225+H225*AJ225+I225*AK225+J225*AM225</f>
        <v>112350177.92198661</v>
      </c>
      <c r="AO225" s="143">
        <f>IF(input!AH28=0,0,1/2/input!AH28)*G225*(M225^2+(input!AH28-M225)^2)+D225*AF225+F225*AH225+C225/2/input!M28*(M225^2+(input!M28-M225)^2)+B225*AD225+E225*AG225+H225*AJ225+I225*AK225+J225*AM225</f>
        <v>112350177.92198661</v>
      </c>
      <c r="AP225" s="143">
        <f>+D225/2/input!H28*(M225^2+(input!H28-M225)^2)+B225*AD225+F225*AH225+G225*AI225+C225*AE225+E225*AG225+H225*AJ225+I225*AK225+J225*AM225</f>
        <v>113115649.2133463</v>
      </c>
      <c r="AQ225" s="143">
        <f>+(M225^2)/2/input!P28*E225+D225*AF225+F225*AH225+G225*AI225+C225*AE225+B225*AD225+H225*AJ225+I225*AK225+J225*AM225</f>
        <v>107105482.77553467</v>
      </c>
      <c r="AR225" s="143">
        <f>+(M225^2)/2/input!P28*E225+D225*AF225+F225*AH225+G225*AI225+C225*AE225+B225*AD225+I225*AK225+J225*AM225</f>
        <v>107060073.86654079</v>
      </c>
      <c r="AS225" s="143">
        <f>+(M225^2)/2/input!P28*E225+D225*AF225+F225*AH225+G225*AI225+C225*AE225+B225*AD225+H225*AJ225+I225*AK225+J225*AM225</f>
        <v>107105482.77553467</v>
      </c>
      <c r="AT225" s="143">
        <f>+(M225^2)/2/input!P28*E225+D225*AF225+F225*AH225+G225*AI225+C225*AE225+B225*AD225+H225*AJ225+J225*AM225</f>
        <v>106429027.04682048</v>
      </c>
      <c r="AU225" s="143">
        <f>+(M225^2)/2/input!P28*E225+D225*AF225+F225*AH225+G225*AI225+C225*AE225+B225*AD225+H225*AJ225+I225*AK225+J225*AM225</f>
        <v>107105482.77553467</v>
      </c>
      <c r="AV225" s="143">
        <f>IF(input!AE28=0,0,1/2/input!AE28)*F225*((input!M28-M225)^2+(input!AE28-input!M28+M225)^2)+C225/2/input!M28*(M225^2+(M225-input!M28)^2)+IF(input!O28=0,0,1/2/input!O28)*K225*(input!M28-M225)^2+B225*AD225+G225*AI225+D225*AF225+H225*AJ225+I225*AK225+J225*AM225</f>
        <v>190368352.73791161</v>
      </c>
      <c r="AW225" s="143">
        <f>+C225/2/input!M28*(M225^2+(M225-input!M28)^2)+IF(input!O28=0,0,1/2/input!O28)*K225*(input!M28-M225)^2+B225*AD225+F225*AH225+G225*AI225+D225*AF225+H225*AJ225+I225*AK225+J225*AM225</f>
        <v>106375514.65022333</v>
      </c>
      <c r="AX225" s="143">
        <f>C225/2/input!M28*(M225^2+(M225-input!M28)^2)+K225*AL225+B225*AD225+F225*AH225+G225*AI225+D225*AF225+H225*AJ225+I225*AK225+J225*AM225</f>
        <v>106375514.65022333</v>
      </c>
      <c r="AY225" s="143">
        <f>C225/2/input!M28*(M225^2+(M225-input!M28)^2)+IF(input!AH28=0,0,1/2/input!AH28)*G225*(M225^2+(input!AH28-M225)^2)+K225*AL225+B225*AD225+F225*AH225+D225*AF225+H225*AJ225+I225*AK225+J225*AM225</f>
        <v>106375514.65022333</v>
      </c>
      <c r="AZ225" s="143">
        <f>D225/2/input!H28*(M225^2+(input!H28-M225)^2)+B225*AD225+K225*AL225+F225*AH225+C225*AE225+G225*AI225+H225*AJ225+I225*AK225+J225*AM225</f>
        <v>107140985.94158302</v>
      </c>
      <c r="BA225" s="185"/>
    </row>
    <row r="226" spans="1:53" ht="15" customHeight="1">
      <c r="A226" s="579" t="str">
        <f>+input!B29</f>
        <v>114i</v>
      </c>
      <c r="B226" s="642">
        <f>+input!J29*input!K29*input!BJ29/1000</f>
        <v>23590.400000000001</v>
      </c>
      <c r="C226" s="642">
        <f>+input!BQ29*input!N29*2*input!BK29/1000</f>
        <v>24041.652605426279</v>
      </c>
      <c r="D226" s="642">
        <f>+input!F29*input!G29*input!H29*input!BI29/1000</f>
        <v>11400</v>
      </c>
      <c r="E226" s="642">
        <f>0.85*Fck*input!P29*input!Q29/1000</f>
        <v>47451.25</v>
      </c>
      <c r="F226" s="642">
        <f>input!AD29*input!AE29*input!AF29*input!BN29/1000</f>
        <v>1945.6</v>
      </c>
      <c r="G226" s="642">
        <f>input!AG29*input!AH29*input!AI29*input!BM29/1000</f>
        <v>0</v>
      </c>
      <c r="H226" s="642">
        <f>input!CB29*Fys/1000</f>
        <v>2171.4688421612645</v>
      </c>
      <c r="I226" s="642">
        <f>input!BZ29*Fys/1000</f>
        <v>3062.1103594539709</v>
      </c>
      <c r="J226" s="642">
        <f>input!AC29*Fys/1000</f>
        <v>0</v>
      </c>
      <c r="K226" s="642">
        <f>input!BT29*0.85*Fckb/1000</f>
        <v>0</v>
      </c>
      <c r="L226" s="795">
        <f>IF(Stress!F858&lt;=0,IF(B226+F226+(input!M29-2*input!AH29)/input!M29*C226+J226&gt;=G226+D226+E226+H226+I226,1,IF(B226+F226+C226+G226+J226&gt;=D226+E226+H226+I226,"a",IF(B226+F226+C226+G226+D226+J226&gt;=E226+H226+I226,2,IF(B226+F226+C226+G226+D226+J226&gt;=(input!P29-input!AB29)/input!P29*E226+H226+I226,3,IF(B226+F226+C226+G226+D226+H226+J226&gt;=(input!P29-input!AB29)/input!P29*E226+I226,4,IF(B226+F226+C226+G226+D226+H226+J226&gt;=input!Y29/input!P29*E226+I226,5,IF(B226+F226+C226+G226+D226+H226+I226+J226&gt;=input!Y29/input!P29*E226,6,7))))))),IF(B226+F226+IF(input!O29=0,0,input!AE29/input!O29)*K226+input!AE29/input!M29*C226&gt;=(input!M29-input!AE29)*C226/input!M29+G226+D226+H226+I226,"b",IF(B226+F226+K226+input!O29/input!M29*C226&gt;=(input!M29-input!O29)/input!M29*C226+G226+D226+H226+I226,"c",IF(B226+F226+J226+K226+(input!M29-input!AH29)/input!M29*C226&gt;=G226+D226+H226+I226,8,IF(B226+F226+J226+K226+C226+G226&gt;=D226+H226+I226,"d",9)))))</f>
        <v>2</v>
      </c>
      <c r="M226" s="643">
        <f t="shared" si="0"/>
        <v>10.911609741856637</v>
      </c>
      <c r="N226" s="493">
        <f t="shared" si="1"/>
        <v>113115.6492133463</v>
      </c>
      <c r="O226" s="766"/>
      <c r="Q226" s="73">
        <f>input!M29/2*((B226+F226+J226-G226-D226-E226-H226-I226)/C226+1)</f>
        <v>-844.78582100801611</v>
      </c>
      <c r="R226" s="73">
        <f>(B226+F226+J226+C226+G226-D226-E226-H226-I226)/(2/input!M29*C226+IF(input!AH29=0,0,2/input!AH29)*G226)</f>
        <v>-844.78582100801577</v>
      </c>
      <c r="S226" s="73">
        <f>input!H29/2*(B226+F226+J226+C226+G226-E226-H226-I226+D226)/D226</f>
        <v>10.911609741856637</v>
      </c>
      <c r="T226" s="558">
        <f>input!P29*(B226+F226+J226+C226+G226+D226-H226-I226)/E226</f>
        <v>340.68188482084668</v>
      </c>
      <c r="U226" s="73">
        <f>input!P29-input!AB29</f>
        <v>250</v>
      </c>
      <c r="V226" s="558">
        <f>input!P29*(B226+F226+J226+C226+G226+D226+H226-I226)/E226</f>
        <v>367.22390275406309</v>
      </c>
      <c r="W226" s="73">
        <f>input!Y29</f>
        <v>50</v>
      </c>
      <c r="X226" s="558">
        <f>input!P29*(B226+F226+J226+C226+G226+D226+H226+I226)/E226</f>
        <v>404.65229523020025</v>
      </c>
      <c r="Y226" s="73">
        <f>(B226+C226+IF(input!O29=0,0,input!M29/input!O29)*K226+(IF(input!AE29=0,0,2*input!M29/input!AE29)-1)*F226-D226-G226-H226-I226)/(IF(input!AE29=0,0,2/input!AE29)*F226+IF(input!O29=0,0,1/input!O29)*K226+2/input!M29*C226)</f>
        <v>2341.3536949372397</v>
      </c>
      <c r="Z226" s="73">
        <f>(B226+C226+F226+IF(input!O29=0,0,input!M29/input!O29)*K226-D226-G226-H226-I226)/(IF(input!O29=0,0,1/input!O29)*K226+2/input!M29*C226)</f>
        <v>1918.4081694502831</v>
      </c>
      <c r="AA226" s="73">
        <f>input!M29/2*(B226+F226+J226+K226-G226-D226-H226-I226+C226)/C226</f>
        <v>1918.4081694502834</v>
      </c>
      <c r="AB226" s="73">
        <f>(B226+F226+J226+K226+G226+C226-D226-H226-I226)/(IF(input!AH29=0,0,2/input!AH29)*G226+2/input!M29*C226)</f>
        <v>1918.4081694502831</v>
      </c>
      <c r="AC226" s="143">
        <f>input!H29/2*(B226+F226+K226+G226+C226-H226-I226+D226+J226)/D226</f>
        <v>73.347465005014527</v>
      </c>
      <c r="AD226" s="165">
        <f>IF(OR(L226=1,L226=8,L226="a",L226="b",L226="c",L226="d"),input!M29-M226+input!K29/2,IF(OR(L226=2,L226=9),input!H29-M226+input!M29+input!K29/2,input!R29+input!P29-M226+input!M29+input!K29/2))</f>
        <v>2835.0883902581436</v>
      </c>
      <c r="AE226" s="143">
        <f>IF(OR(L226=1,L226=8,L226="a",L226="b",L226="c",L226="d"),ABS(input!M29/2-M226),IF(OR(L226=2,L226=9),input!H29-M226+input!M29/2,input!R29+input!P29-M226+input!M29/2))</f>
        <v>1419.0883902581434</v>
      </c>
      <c r="AF226" s="143">
        <f>IF(OR(L226=1,L226=8,L226="a",L226="b",L226="c",L226="d"),M226+input!H29/2,IF(OR(L226=2,L226=9),ABS(input!H29/2-M226),input!R29+input!P29-M226-input!H29/2))</f>
        <v>4.0883902581433631</v>
      </c>
      <c r="AG226" s="143">
        <f>IF(OR(L226=1,L226=8,L226="a",L226="b",L226="c",L226="d"),input!R29+input!P29/2+M226,IF(OR(L226=2,L226=9),input!R29+input!P29/2-input!H29+M226,ABS(input!P29/2-M226)))</f>
        <v>125.91160974185664</v>
      </c>
      <c r="AH226" s="143">
        <f>IF(OR(L226=1,L226=8,L226="a",L226="b",L226="c",L226="d"),input!M29-M226-input!AE29/2,IF(OR(L226=2,L226=9),input!H29-M226+input!M29-input!AE29/2,input!R29+input!P29-M226+input!M29-input!AE29/2))</f>
        <v>2739.0883902581436</v>
      </c>
      <c r="AI226" s="143">
        <f>IF(OR(L226=1,L226=8,L226="a",L226="b",L226="c",L226="d"),M226-input!AH29/2,IF(OR(L226=2,L226=9),input!H29-M226+input!AH29/2,input!R29+input!P29-M226+input!AH29/2))</f>
        <v>19.088390258143363</v>
      </c>
      <c r="AJ226" s="143">
        <f>IF(OR(L226=1,L226=8,L226="a",L226="b",L226="c",L226="d"),M226+input!R29+input!AB29,IF(OR(L226=2,L226=9),input!R29+input!AB29-input!H29+M226,IF(L226=3,input!AB29-(input!P29-M226),ABS(input!P29-input!AB29-M226))))</f>
        <v>20.911609741856637</v>
      </c>
      <c r="AK226" s="143">
        <f>IF(OR(L226=1,L226=8,L226="a",L226="b",L226="c",L226="d"),M226+input!R29+input!P29-input!Y29,IF(OR(L226=2,L226=9),input!R29+input!P29-input!Y29-input!H29+M226,ABS(input!Y29-M226)))</f>
        <v>220.91160974185664</v>
      </c>
      <c r="AL226" s="143">
        <f>IF(OR(L226=1,L226=8,L226="a",L226="b",L226="c",L226="d"),input!M29-M226-input!O29/2,IF(OR(L226=2,L226=9),input!H29-M226+input!M29-input!O29/2,0))</f>
        <v>2819.0883902581436</v>
      </c>
      <c r="AM226" s="143">
        <f>IF(OR(L226=1,L226=8,L226="a",L226="b",L226="c",L226="d"),input!M29-M226-input!O29/2,IF(OR(L226=2,L226=9),input!H29-M226+input!M29-input!O29/2,input!R29+input!P29-M226+input!M29-input!O29/2))</f>
        <v>2819.0883902581436</v>
      </c>
      <c r="AN226" s="143">
        <f>C226/2/input!M29*(M226^2+(input!M29-M226)^2)+B226*AD226+D226*AF226+E226*AG226+F226*AH226+G226*AI226+H226*AJ226+I226*AK226+J226*AM226</f>
        <v>112350177.92198661</v>
      </c>
      <c r="AO226" s="143">
        <f>IF(input!AH29=0,0,1/2/input!AH29)*G226*(M226^2+(input!AH29-M226)^2)+D226*AF226+F226*AH226+C226/2/input!M29*(M226^2+(input!M29-M226)^2)+B226*AD226+E226*AG226+H226*AJ226+I226*AK226+J226*AM226</f>
        <v>112350177.92198661</v>
      </c>
      <c r="AP226" s="143">
        <f>+D226/2/input!H29*(M226^2+(input!H29-M226)^2)+B226*AD226+F226*AH226+G226*AI226+C226*AE226+E226*AG226+H226*AJ226+I226*AK226+J226*AM226</f>
        <v>113115649.2133463</v>
      </c>
      <c r="AQ226" s="143">
        <f>+(M226^2)/2/input!P29*E226+D226*AF226+F226*AH226+G226*AI226+C226*AE226+B226*AD226+H226*AJ226+I226*AK226+J226*AM226</f>
        <v>107105482.77553467</v>
      </c>
      <c r="AR226" s="143">
        <f>+(M226^2)/2/input!P29*E226+D226*AF226+F226*AH226+G226*AI226+C226*AE226+B226*AD226+I226*AK226+J226*AM226</f>
        <v>107060073.86654079</v>
      </c>
      <c r="AS226" s="143">
        <f>+(M226^2)/2/input!P29*E226+D226*AF226+F226*AH226+G226*AI226+C226*AE226+B226*AD226+H226*AJ226+I226*AK226+J226*AM226</f>
        <v>107105482.77553467</v>
      </c>
      <c r="AT226" s="143">
        <f>+(M226^2)/2/input!P29*E226+D226*AF226+F226*AH226+G226*AI226+C226*AE226+B226*AD226+H226*AJ226+J226*AM226</f>
        <v>106429027.04682048</v>
      </c>
      <c r="AU226" s="143">
        <f>+(M226^2)/2/input!P29*E226+D226*AF226+F226*AH226+G226*AI226+C226*AE226+B226*AD226+H226*AJ226+I226*AK226+J226*AM226</f>
        <v>107105482.77553467</v>
      </c>
      <c r="AV226" s="143">
        <f>IF(input!AE29=0,0,1/2/input!AE29)*F226*((input!M29-M226)^2+(input!AE29-input!M29+M226)^2)+C226/2/input!M29*(M226^2+(M226-input!M29)^2)+IF(input!O29=0,0,1/2/input!O29)*K226*(input!M29-M226)^2+B226*AD226+G226*AI226+D226*AF226+H226*AJ226+I226*AK226+J226*AM226</f>
        <v>190368352.73791161</v>
      </c>
      <c r="AW226" s="143">
        <f>+C226/2/input!M29*(M226^2+(M226-input!M29)^2)+IF(input!O29=0,0,1/2/input!O29)*K226*(input!M29-M226)^2+B226*AD226+F226*AH226+G226*AI226+D226*AF226+H226*AJ226+I226*AK226+J226*AM226</f>
        <v>106375514.65022333</v>
      </c>
      <c r="AX226" s="143">
        <f>C226/2/input!M29*(M226^2+(M226-input!M29)^2)+K226*AL226+B226*AD226+F226*AH226+G226*AI226+D226*AF226+H226*AJ226+I226*AK226+J226*AM226</f>
        <v>106375514.65022333</v>
      </c>
      <c r="AY226" s="143">
        <f>C226/2/input!M29*(M226^2+(M226-input!M29)^2)+IF(input!AH29=0,0,1/2/input!AH29)*G226*(M226^2+(input!AH29-M226)^2)+K226*AL226+B226*AD226+F226*AH226+D226*AF226+H226*AJ226+I226*AK226+J226*AM226</f>
        <v>106375514.65022333</v>
      </c>
      <c r="AZ226" s="143">
        <f>D226/2/input!H29*(M226^2+(input!H29-M226)^2)+B226*AD226+K226*AL226+F226*AH226+C226*AE226+G226*AI226+H226*AJ226+I226*AK226+J226*AM226</f>
        <v>107140985.94158302</v>
      </c>
      <c r="BA226" s="185"/>
    </row>
    <row r="227" spans="1:53" ht="15" customHeight="1">
      <c r="A227" s="579" t="str">
        <f>+input!B30</f>
        <v>114j</v>
      </c>
      <c r="B227" s="642">
        <f>+input!J30*input!K30*input!BJ30/1000</f>
        <v>23590.400000000001</v>
      </c>
      <c r="C227" s="642">
        <f>+input!BQ30*input!N30*2*input!BK30/1000</f>
        <v>24041.652605426279</v>
      </c>
      <c r="D227" s="642">
        <f>+input!F30*input!G30*input!H30*input!BI30/1000</f>
        <v>11400</v>
      </c>
      <c r="E227" s="642">
        <f>0.85*Fck*input!P30*input!Q30/1000</f>
        <v>47451.25</v>
      </c>
      <c r="F227" s="642">
        <f>input!AD30*input!AE30*input!AF30*input!BN30/1000</f>
        <v>1945.6</v>
      </c>
      <c r="G227" s="642">
        <f>input!AG30*input!AH30*input!AI30*input!BM30/1000</f>
        <v>0</v>
      </c>
      <c r="H227" s="642">
        <f>input!CB30*Fys/1000</f>
        <v>2171.4688421612645</v>
      </c>
      <c r="I227" s="642">
        <f>input!BZ30*Fys/1000</f>
        <v>3062.1103594539709</v>
      </c>
      <c r="J227" s="642">
        <f>input!AC30*Fys/1000</f>
        <v>0</v>
      </c>
      <c r="K227" s="642">
        <f>input!BT30*0.85*Fckb/1000</f>
        <v>0</v>
      </c>
      <c r="L227" s="795">
        <f>IF(Stress!F859&lt;=0,IF(B227+F227+(input!M30-2*input!AH30)/input!M30*C227+J227&gt;=G227+D227+E227+H227+I227,1,IF(B227+F227+C227+G227+J227&gt;=D227+E227+H227+I227,"a",IF(B227+F227+C227+G227+D227+J227&gt;=E227+H227+I227,2,IF(B227+F227+C227+G227+D227+J227&gt;=(input!P30-input!AB30)/input!P30*E227+H227+I227,3,IF(B227+F227+C227+G227+D227+H227+J227&gt;=(input!P30-input!AB30)/input!P30*E227+I227,4,IF(B227+F227+C227+G227+D227+H227+J227&gt;=input!Y30/input!P30*E227+I227,5,IF(B227+F227+C227+G227+D227+H227+I227+J227&gt;=input!Y30/input!P30*E227,6,7))))))),IF(B227+F227+IF(input!O30=0,0,input!AE30/input!O30)*K227+input!AE30/input!M30*C227&gt;=(input!M30-input!AE30)*C227/input!M30+G227+D227+H227+I227,"b",IF(B227+F227+K227+input!O30/input!M30*C227&gt;=(input!M30-input!O30)/input!M30*C227+G227+D227+H227+I227,"c",IF(B227+F227+J227+K227+(input!M30-input!AH30)/input!M30*C227&gt;=G227+D227+H227+I227,8,IF(B227+F227+J227+K227+C227+G227&gt;=D227+H227+I227,"d",9)))))</f>
        <v>2</v>
      </c>
      <c r="M227" s="643">
        <f t="shared" si="0"/>
        <v>10.911609741856637</v>
      </c>
      <c r="N227" s="493">
        <f t="shared" si="1"/>
        <v>113115.6492133463</v>
      </c>
      <c r="O227" s="766"/>
      <c r="Q227" s="73">
        <f>input!M30/2*((B227+F227+J227-G227-D227-E227-H227-I227)/C227+1)</f>
        <v>-844.78582100801611</v>
      </c>
      <c r="R227" s="73">
        <f>(B227+F227+J227+C227+G227-D227-E227-H227-I227)/(2/input!M30*C227+IF(input!AH30=0,0,2/input!AH30)*G227)</f>
        <v>-844.78582100801577</v>
      </c>
      <c r="S227" s="73">
        <f>input!H30/2*(B227+F227+J227+C227+G227-E227-H227-I227+D227)/D227</f>
        <v>10.911609741856637</v>
      </c>
      <c r="T227" s="558">
        <f>input!P30*(B227+F227+J227+C227+G227+D227-H227-I227)/E227</f>
        <v>340.68188482084668</v>
      </c>
      <c r="U227" s="73">
        <f>input!P30-input!AB30</f>
        <v>250</v>
      </c>
      <c r="V227" s="558">
        <f>input!P30*(B227+F227+J227+C227+G227+D227+H227-I227)/E227</f>
        <v>367.22390275406309</v>
      </c>
      <c r="W227" s="73">
        <f>input!Y30</f>
        <v>50</v>
      </c>
      <c r="X227" s="558">
        <f>input!P30*(B227+F227+J227+C227+G227+D227+H227+I227)/E227</f>
        <v>404.65229523020025</v>
      </c>
      <c r="Y227" s="73">
        <f>(B227+C227+IF(input!O30=0,0,input!M30/input!O30)*K227+(IF(input!AE30=0,0,2*input!M30/input!AE30)-1)*F227-D227-G227-H227-I227)/(IF(input!AE30=0,0,2/input!AE30)*F227+IF(input!O30=0,0,1/input!O30)*K227+2/input!M30*C227)</f>
        <v>2341.3536949372397</v>
      </c>
      <c r="Z227" s="73">
        <f>(B227+C227+F227+IF(input!O30=0,0,input!M30/input!O30)*K227-D227-G227-H227-I227)/(IF(input!O30=0,0,1/input!O30)*K227+2/input!M30*C227)</f>
        <v>1918.4081694502831</v>
      </c>
      <c r="AA227" s="73">
        <f>input!M30/2*(B227+F227+J227+K227-G227-D227-H227-I227+C227)/C227</f>
        <v>1918.4081694502834</v>
      </c>
      <c r="AB227" s="73">
        <f>(B227+F227+J227+K227+G227+C227-D227-H227-I227)/(IF(input!AH30=0,0,2/input!AH30)*G227+2/input!M30*C227)</f>
        <v>1918.4081694502831</v>
      </c>
      <c r="AC227" s="143">
        <f>input!H30/2*(B227+F227+K227+G227+C227-H227-I227+D227+J227)/D227</f>
        <v>73.347465005014527</v>
      </c>
      <c r="AD227" s="165">
        <f>IF(OR(L227=1,L227=8,L227="a",L227="b",L227="c",L227="d"),input!M30-M227+input!K30/2,IF(OR(L227=2,L227=9),input!H30-M227+input!M30+input!K30/2,input!R30+input!P30-M227+input!M30+input!K30/2))</f>
        <v>2835.0883902581436</v>
      </c>
      <c r="AE227" s="143">
        <f>IF(OR(L227=1,L227=8,L227="a",L227="b",L227="c",L227="d"),ABS(input!M30/2-M227),IF(OR(L227=2,L227=9),input!H30-M227+input!M30/2,input!R30+input!P30-M227+input!M30/2))</f>
        <v>1419.0883902581434</v>
      </c>
      <c r="AF227" s="143">
        <f>IF(OR(L227=1,L227=8,L227="a",L227="b",L227="c",L227="d"),M227+input!H30/2,IF(OR(L227=2,L227=9),ABS(input!H30/2-M227),input!R30+input!P30-M227-input!H30/2))</f>
        <v>4.0883902581433631</v>
      </c>
      <c r="AG227" s="143">
        <f>IF(OR(L227=1,L227=8,L227="a",L227="b",L227="c",L227="d"),input!R30+input!P30/2+M227,IF(OR(L227=2,L227=9),input!R30+input!P30/2-input!H30+M227,ABS(input!P30/2-M227)))</f>
        <v>125.91160974185664</v>
      </c>
      <c r="AH227" s="143">
        <f>IF(OR(L227=1,L227=8,L227="a",L227="b",L227="c",L227="d"),input!M30-M227-input!AE30/2,IF(OR(L227=2,L227=9),input!H30-M227+input!M30-input!AE30/2,input!R30+input!P30-M227+input!M30-input!AE30/2))</f>
        <v>2739.0883902581436</v>
      </c>
      <c r="AI227" s="143">
        <f>IF(OR(L227=1,L227=8,L227="a",L227="b",L227="c",L227="d"),M227-input!AH30/2,IF(OR(L227=2,L227=9),input!H30-M227+input!AH30/2,input!R30+input!P30-M227+input!AH30/2))</f>
        <v>19.088390258143363</v>
      </c>
      <c r="AJ227" s="143">
        <f>IF(OR(L227=1,L227=8,L227="a",L227="b",L227="c",L227="d"),M227+input!R30+input!AB30,IF(OR(L227=2,L227=9),input!R30+input!AB30-input!H30+M227,IF(L227=3,input!AB30-(input!P30-M227),ABS(input!P30-input!AB30-M227))))</f>
        <v>20.911609741856637</v>
      </c>
      <c r="AK227" s="143">
        <f>IF(OR(L227=1,L227=8,L227="a",L227="b",L227="c",L227="d"),M227+input!R30+input!P30-input!Y30,IF(OR(L227=2,L227=9),input!R30+input!P30-input!Y30-input!H30+M227,ABS(input!Y30-M227)))</f>
        <v>220.91160974185664</v>
      </c>
      <c r="AL227" s="143">
        <f>IF(OR(L227=1,L227=8,L227="a",L227="b",L227="c",L227="d"),input!M30-M227-input!O30/2,IF(OR(L227=2,L227=9),input!H30-M227+input!M30-input!O30/2,0))</f>
        <v>2819.0883902581436</v>
      </c>
      <c r="AM227" s="143">
        <f>IF(OR(L227=1,L227=8,L227="a",L227="b",L227="c",L227="d"),input!M30-M227-input!O30/2,IF(OR(L227=2,L227=9),input!H30-M227+input!M30-input!O30/2,input!R30+input!P30-M227+input!M30-input!O30/2))</f>
        <v>2819.0883902581436</v>
      </c>
      <c r="AN227" s="143">
        <f>C227/2/input!M30*(M227^2+(input!M30-M227)^2)+B227*AD227+D227*AF227+E227*AG227+F227*AH227+G227*AI227+H227*AJ227+I227*AK227+J227*AM227</f>
        <v>112350177.92198661</v>
      </c>
      <c r="AO227" s="143">
        <f>IF(input!AH30=0,0,1/2/input!AH30)*G227*(M227^2+(input!AH30-M227)^2)+D227*AF227+F227*AH227+C227/2/input!M30*(M227^2+(input!M30-M227)^2)+B227*AD227+E227*AG227+H227*AJ227+I227*AK227+J227*AM227</f>
        <v>112350177.92198661</v>
      </c>
      <c r="AP227" s="143">
        <f>+D227/2/input!H30*(M227^2+(input!H30-M227)^2)+B227*AD227+F227*AH227+G227*AI227+C227*AE227+E227*AG227+H227*AJ227+I227*AK227+J227*AM227</f>
        <v>113115649.2133463</v>
      </c>
      <c r="AQ227" s="143">
        <f>+(M227^2)/2/input!P30*E227+D227*AF227+F227*AH227+G227*AI227+C227*AE227+B227*AD227+H227*AJ227+I227*AK227+J227*AM227</f>
        <v>107105482.77553467</v>
      </c>
      <c r="AR227" s="143">
        <f>+(M227^2)/2/input!P30*E227+D227*AF227+F227*AH227+G227*AI227+C227*AE227+B227*AD227+I227*AK227+J227*AM227</f>
        <v>107060073.86654079</v>
      </c>
      <c r="AS227" s="143">
        <f>+(M227^2)/2/input!P30*E227+D227*AF227+F227*AH227+G227*AI227+C227*AE227+B227*AD227+H227*AJ227+I227*AK227+J227*AM227</f>
        <v>107105482.77553467</v>
      </c>
      <c r="AT227" s="143">
        <f>+(M227^2)/2/input!P30*E227+D227*AF227+F227*AH227+G227*AI227+C227*AE227+B227*AD227+H227*AJ227+J227*AM227</f>
        <v>106429027.04682048</v>
      </c>
      <c r="AU227" s="143">
        <f>+(M227^2)/2/input!P30*E227+D227*AF227+F227*AH227+G227*AI227+C227*AE227+B227*AD227+H227*AJ227+I227*AK227+J227*AM227</f>
        <v>107105482.77553467</v>
      </c>
      <c r="AV227" s="143">
        <f>IF(input!AE30=0,0,1/2/input!AE30)*F227*((input!M30-M227)^2+(input!AE30-input!M30+M227)^2)+C227/2/input!M30*(M227^2+(M227-input!M30)^2)+IF(input!O30=0,0,1/2/input!O30)*K227*(input!M30-M227)^2+B227*AD227+G227*AI227+D227*AF227+H227*AJ227+I227*AK227+J227*AM227</f>
        <v>190368352.73791161</v>
      </c>
      <c r="AW227" s="143">
        <f>+C227/2/input!M30*(M227^2+(M227-input!M30)^2)+IF(input!O30=0,0,1/2/input!O30)*K227*(input!M30-M227)^2+B227*AD227+F227*AH227+G227*AI227+D227*AF227+H227*AJ227+I227*AK227+J227*AM227</f>
        <v>106375514.65022333</v>
      </c>
      <c r="AX227" s="143">
        <f>C227/2/input!M30*(M227^2+(M227-input!M30)^2)+K227*AL227+B227*AD227+F227*AH227+G227*AI227+D227*AF227+H227*AJ227+I227*AK227+J227*AM227</f>
        <v>106375514.65022333</v>
      </c>
      <c r="AY227" s="143">
        <f>C227/2/input!M30*(M227^2+(M227-input!M30)^2)+IF(input!AH30=0,0,1/2/input!AH30)*G227*(M227^2+(input!AH30-M227)^2)+K227*AL227+B227*AD227+F227*AH227+D227*AF227+H227*AJ227+I227*AK227+J227*AM227</f>
        <v>106375514.65022333</v>
      </c>
      <c r="AZ227" s="143">
        <f>D227/2/input!H30*(M227^2+(input!H30-M227)^2)+B227*AD227+K227*AL227+F227*AH227+C227*AE227+G227*AI227+H227*AJ227+I227*AK227+J227*AM227</f>
        <v>107140985.94158302</v>
      </c>
      <c r="BA227" s="185"/>
    </row>
    <row r="228" spans="1:53" ht="15" customHeight="1">
      <c r="A228" s="579" t="str">
        <f>+input!B31</f>
        <v>115i</v>
      </c>
      <c r="B228" s="642">
        <f>+input!J31*input!K31*input!BJ31/1000</f>
        <v>13269.6</v>
      </c>
      <c r="C228" s="642">
        <f>+input!BQ31*input!N31*2*input!BK31/1000</f>
        <v>24041.652605426279</v>
      </c>
      <c r="D228" s="642">
        <f>+input!F31*input!G31*input!H31*input!BI31/1000</f>
        <v>8360</v>
      </c>
      <c r="E228" s="642">
        <f>0.85*Fck*input!P31*input!Q31/1000</f>
        <v>47451.25</v>
      </c>
      <c r="F228" s="642">
        <f>input!AD31*input!AE31*input!AF31*input!BN31/1000</f>
        <v>1945.6</v>
      </c>
      <c r="G228" s="642">
        <f>input!AG31*input!AH31*input!AI31*input!BM31/1000</f>
        <v>0</v>
      </c>
      <c r="H228" s="642">
        <f>input!CB31*Fys/1000</f>
        <v>2171.4688421612645</v>
      </c>
      <c r="I228" s="642">
        <f>input!BZ31*Fys/1000</f>
        <v>3062.1103594539709</v>
      </c>
      <c r="J228" s="642">
        <f>input!AC31*Fys/1000</f>
        <v>0</v>
      </c>
      <c r="K228" s="642">
        <f>input!BT31*0.85*Fckb/1000</f>
        <v>0</v>
      </c>
      <c r="L228" s="795">
        <f>IF(Stress!F860&lt;=0,IF(B228+F228+(input!M31-2*input!AH31)/input!M31*C228+J228&gt;=G228+D228+E228+H228+I228,1,IF(B228+F228+C228+G228+J228&gt;=D228+E228+H228+I228,"a",IF(B228+F228+C228+G228+D228+J228&gt;=E228+H228+I228,2,IF(B228+F228+C228+G228+D228+J228&gt;=(input!P31-input!AB31)/input!P31*E228+H228+I228,3,IF(B228+F228+C228+G228+D228+H228+J228&gt;=(input!P31-input!AB31)/input!P31*E228+I228,4,IF(B228+F228+C228+G228+D228+H228+J228&gt;=input!Y31/input!P31*E228+I228,5,IF(B228+F228+C228+G228+D228+H228+I228+J228&gt;=input!Y31/input!P31*E228,6,7))))))),IF(B228+F228+IF(input!O31=0,0,input!AE31/input!O31)*K228+input!AE31/input!M31*C228&gt;=(input!M31-input!AE31)*C228/input!M31+G228+D228+H228+I228,"b",IF(B228+F228+K228+input!O31/input!M31*C228&gt;=(input!M31-input!O31)/input!M31*C228+G228+D228+H228+I228,"c",IF(B228+F228+J228+K228+(input!M31-input!AH31)/input!M31*C228&gt;=G228+D228+H228+I228,8,IF(B228+F228+J228+K228+C228+G228&gt;=D228+H228+I228,"d",9)))))</f>
        <v>3</v>
      </c>
      <c r="M228" s="643">
        <f t="shared" si="0"/>
        <v>259.02688100113699</v>
      </c>
      <c r="N228" s="493">
        <f t="shared" si="1"/>
        <v>83756.40301645358</v>
      </c>
      <c r="O228" s="766"/>
      <c r="Q228" s="73">
        <f>input!M31/2*((B228+F228+J228-G228-D228-E228-H228-I228)/C228+1)</f>
        <v>-1268.7633306780201</v>
      </c>
      <c r="R228" s="73">
        <f>(B228+F228+J228+C228+G228-D228-E228-H228-I228)/(2/input!M31*C228+IF(input!AH31=0,0,2/input!AH31)*G228)</f>
        <v>-1268.7633306780201</v>
      </c>
      <c r="S228" s="73">
        <f>input!H31/2*(B228+F228+J228+C228+G228-E228-H228-I228+D228)/D228</f>
        <v>-6.6683902581433667</v>
      </c>
      <c r="T228" s="558">
        <f>input!P31*(B228+F228+J228+C228+G228+D228-H228-I228)/E228</f>
        <v>259.02688100113699</v>
      </c>
      <c r="U228" s="73">
        <f>input!P31-input!AB31</f>
        <v>250</v>
      </c>
      <c r="V228" s="558">
        <f>input!P31*(B228+F228+J228+C228+G228+D228+H228-I228)/E228</f>
        <v>285.5688989343534</v>
      </c>
      <c r="W228" s="73">
        <f>input!Y31</f>
        <v>50</v>
      </c>
      <c r="X228" s="558">
        <f>input!P31*(B228+F228+J228+C228+G228+D228+H228+I228)/E228</f>
        <v>322.99729141049056</v>
      </c>
      <c r="Y228" s="73">
        <f>(B228+C228+IF(input!O31=0,0,input!M31/input!O31)*K228+(IF(input!AE31=0,0,2*input!M31/input!AE31)-1)*F228-D228-G228-H228-I228)/(IF(input!AE31=0,0,2/input!AE31)*F228+IF(input!O31=0,0,1/input!O31)*K228+2/input!M31*C228)</f>
        <v>2165.8814801309854</v>
      </c>
      <c r="Z228" s="73">
        <f>(B228+C228+F228+IF(input!O31=0,0,input!M31/input!O31)*K228-D228-G228-H228-I228)/(IF(input!O31=0,0,1/input!O31)*K228+2/input!M31*C228)</f>
        <v>1494.430659780279</v>
      </c>
      <c r="AA228" s="73">
        <f>input!M31/2*(B228+F228+J228+K228-G228-D228-H228-I228+C228)/C228</f>
        <v>1494.4306597802793</v>
      </c>
      <c r="AB228" s="73">
        <f>(B228+F228+J228+K228+G228+C228-D228-H228-I228)/(IF(input!AH31=0,0,2/input!AH31)*G228+2/input!M31*C228)</f>
        <v>1494.430659780279</v>
      </c>
      <c r="AC228" s="143">
        <f>input!H31/2*(B228+F228+K228+G228+C228-H228-I228+D228+J228)/D228</f>
        <v>55.767465005014522</v>
      </c>
      <c r="AD228" s="165">
        <f>IF(OR(L228=1,L228=8,L228="a",L228="b",L228="c",L228="d"),input!M31-M228+input!K31/2,IF(OR(L228=2,L228=9),input!H31-M228+input!M31+input!K31/2,input!R31+input!P31-M228+input!M31+input!K31/2))</f>
        <v>2839.9731189988629</v>
      </c>
      <c r="AE228" s="143">
        <f>IF(OR(L228=1,L228=8,L228="a",L228="b",L228="c",L228="d"),ABS(input!M31/2-M228),IF(OR(L228=2,L228=9),input!H31-M228+input!M31/2,input!R31+input!P31-M228+input!M31/2))</f>
        <v>1430.9731189988629</v>
      </c>
      <c r="AF228" s="143">
        <f>IF(OR(L228=1,L228=8,L228="a",L228="b",L228="c",L228="d"),M228+input!H31/2,IF(OR(L228=2,L228=9),ABS(input!H31/2-M228),input!R31+input!P31-M228-input!H31/2))</f>
        <v>19.973118998863015</v>
      </c>
      <c r="AG228" s="143">
        <f>IF(OR(L228=1,L228=8,L228="a",L228="b",L228="c",L228="d"),input!R31+input!P31/2+M228,IF(OR(L228=2,L228=9),input!R31+input!P31/2-input!H31+M228,ABS(input!P31/2-M228)))</f>
        <v>114.02688100113699</v>
      </c>
      <c r="AH228" s="143">
        <f>IF(OR(L228=1,L228=8,L228="a",L228="b",L228="c",L228="d"),input!M31-M228-input!AE31/2,IF(OR(L228=2,L228=9),input!H31-M228+input!M31-input!AE31/2,input!R31+input!P31-M228+input!M31-input!AE31/2))</f>
        <v>2750.9731189988629</v>
      </c>
      <c r="AI228" s="143">
        <f>IF(OR(L228=1,L228=8,L228="a",L228="b",L228="c",L228="d"),M228-input!AH31/2,IF(OR(L228=2,L228=9),input!H31-M228+input!AH31/2,input!R31+input!P31-M228+input!AH31/2))</f>
        <v>30.973118998863015</v>
      </c>
      <c r="AJ228" s="143">
        <f>IF(OR(L228=1,L228=8,L228="a",L228="b",L228="c",L228="d"),M228+input!R31+input!AB31,IF(OR(L228=2,L228=9),input!R31+input!AB31-input!H31+M228,IF(L228=3,input!AB31-(input!P31-M228),ABS(input!P31-input!AB31-M228))))</f>
        <v>9.0268810011369851</v>
      </c>
      <c r="AK228" s="143">
        <f>IF(OR(L228=1,L228=8,L228="a",L228="b",L228="c",L228="d"),M228+input!R31+input!P31-input!Y31,IF(OR(L228=2,L228=9),input!R31+input!P31-input!Y31-input!H31+M228,ABS(input!Y31-M228)))</f>
        <v>209.02688100113699</v>
      </c>
      <c r="AL228" s="143">
        <f>IF(OR(L228=1,L228=8,L228="a",L228="b",L228="c",L228="d"),input!M31-M228-input!O31/2,IF(OR(L228=2,L228=9),input!H31-M228+input!M31-input!O31/2,0))</f>
        <v>0</v>
      </c>
      <c r="AM228" s="143">
        <f>IF(OR(L228=1,L228=8,L228="a",L228="b",L228="c",L228="d"),input!M31-M228-input!O31/2,IF(OR(L228=2,L228=9),input!H31-M228+input!M31-input!O31/2,input!R31+input!P31-M228+input!M31-input!O31/2))</f>
        <v>2830.9731189988629</v>
      </c>
      <c r="AN228" s="143">
        <f>C228/2/input!M31*(M228^2+(input!M31-M228)^2)+B228*AD228+D228*AF228+E228*AG228+F228*AH228+G228*AI228+H228*AJ228+I228*AK228+J228*AM228</f>
        <v>77281935.697063044</v>
      </c>
      <c r="AO228" s="143">
        <f>IF(input!AH31=0,0,1/2/input!AH31)*G228*(M228^2+(input!AH31-M228)^2)+D228*AF228+F228*AH228+C228/2/input!M31*(M228^2+(input!M31-M228)^2)+B228*AD228+E228*AG228+H228*AJ228+I228*AK228+J228*AM228</f>
        <v>77281935.697063044</v>
      </c>
      <c r="AP228" s="143">
        <f>+D228/2/input!H31*(M228^2+(input!H31-M228)^2)+B228*AD228+F228*AH228+G228*AI228+C228*AE228+E228*AG228+H228*AJ228+I228*AK228+J228*AM228</f>
        <v>106933509.02620231</v>
      </c>
      <c r="AQ228" s="143">
        <f>+(M228^2)/2/input!P31*E228+D228*AF228+F228*AH228+G228*AI228+C228*AE228+B228*AD228+H228*AJ228+I228*AK228+J228*AM228</f>
        <v>83756403.016453579</v>
      </c>
      <c r="AR228" s="143">
        <f>+(M228^2)/2/input!P31*E228+D228*AF228+F228*AH228+G228*AI228+C228*AE228+B228*AD228+I228*AK228+J228*AM228</f>
        <v>83736801.42561771</v>
      </c>
      <c r="AS228" s="143">
        <f>+(M228^2)/2/input!P31*E228+D228*AF228+F228*AH228+G228*AI228+C228*AE228+B228*AD228+H228*AJ228+I228*AK228+J228*AM228</f>
        <v>83756403.016453579</v>
      </c>
      <c r="AT228" s="143">
        <f>+(M228^2)/2/input!P31*E228+D228*AF228+F228*AH228+G228*AI228+C228*AE228+B228*AD228+H228*AJ228+J228*AM228</f>
        <v>83116339.638735652</v>
      </c>
      <c r="AU228" s="143">
        <f>+(M228^2)/2/input!P31*E228+D228*AF228+F228*AH228+G228*AI228+C228*AE228+B228*AD228+H228*AJ228+I228*AK228+J228*AM228</f>
        <v>83756403.016453579</v>
      </c>
      <c r="AV228" s="143">
        <f>IF(input!AE31=0,0,1/2/input!AE31)*F228*((input!M31-M228)^2+(input!AE31-input!M31+M228)^2)+C228/2/input!M31*(M228^2+(M228-input!M31)^2)+IF(input!O31=0,0,1/2/input!O31)*K228*(input!M31-M228)^2+B228*AD228+G228*AI228+D228*AF228+H228*AJ228+I228*AK228+J228*AM228</f>
        <v>140242434.85964316</v>
      </c>
      <c r="AW228" s="143">
        <f>+C228/2/input!M31*(M228^2+(M228-input!M31)^2)+IF(input!O31=0,0,1/2/input!O31)*K228*(input!M31-M228)^2+B228*AD228+F228*AH228+G228*AI228+D228*AF228+H228*AJ228+I228*AK228+J228*AM228</f>
        <v>71871217.659957841</v>
      </c>
      <c r="AX228" s="143">
        <f>C228/2/input!M31*(M228^2+(M228-input!M31)^2)+K228*AL228+B228*AD228+F228*AH228+G228*AI228+D228*AF228+H228*AJ228+I228*AK228+J228*AM228</f>
        <v>71871217.659957841</v>
      </c>
      <c r="AY228" s="143">
        <f>C228/2/input!M31*(M228^2+(M228-input!M31)^2)+IF(input!AH31=0,0,1/2/input!AH31)*G228*(M228^2+(input!AH31-M228)^2)+K228*AL228+B228*AD228+F228*AH228+D228*AF228+H228*AJ228+I228*AK228+J228*AM228</f>
        <v>71871217.659957841</v>
      </c>
      <c r="AZ228" s="143">
        <f>D228/2/input!H31*(M228^2+(input!H31-M228)^2)+B228*AD228+K228*AL228+F228*AH228+C228*AE228+G228*AI228+H228*AJ228+I228*AK228+J228*AM228</f>
        <v>101522790.9890971</v>
      </c>
      <c r="BA228" s="185"/>
    </row>
    <row r="229" spans="1:53" ht="15" customHeight="1">
      <c r="A229" s="579" t="str">
        <f>+input!B32</f>
        <v>115j</v>
      </c>
      <c r="B229" s="642">
        <f>+input!J32*input!K32*input!BJ32/1000</f>
        <v>13269.6</v>
      </c>
      <c r="C229" s="642">
        <f>+input!BQ32*input!N32*2*input!BK32/1000</f>
        <v>24041.652605426279</v>
      </c>
      <c r="D229" s="642">
        <f>+input!F32*input!G32*input!H32*input!BI32/1000</f>
        <v>8360</v>
      </c>
      <c r="E229" s="642">
        <f>0.85*Fck*input!P32*input!Q32/1000</f>
        <v>47451.25</v>
      </c>
      <c r="F229" s="642">
        <f>input!AD32*input!AE32*input!AF32*input!BN32/1000</f>
        <v>1945.6</v>
      </c>
      <c r="G229" s="642">
        <f>input!AG32*input!AH32*input!AI32*input!BM32/1000</f>
        <v>0</v>
      </c>
      <c r="H229" s="642">
        <f>input!CB32*Fys/1000</f>
        <v>2171.4688421612645</v>
      </c>
      <c r="I229" s="642">
        <f>input!BZ32*Fys/1000</f>
        <v>3062.1103594539709</v>
      </c>
      <c r="J229" s="642">
        <f>input!AC32*Fys/1000</f>
        <v>0</v>
      </c>
      <c r="K229" s="642">
        <f>input!BT32*0.85*Fckb/1000</f>
        <v>0</v>
      </c>
      <c r="L229" s="795">
        <f>IF(Stress!F861&lt;=0,IF(B229+F229+(input!M32-2*input!AH32)/input!M32*C229+J229&gt;=G229+D229+E229+H229+I229,1,IF(B229+F229+C229+G229+J229&gt;=D229+E229+H229+I229,"a",IF(B229+F229+C229+G229+D229+J229&gt;=E229+H229+I229,2,IF(B229+F229+C229+G229+D229+J229&gt;=(input!P32-input!AB32)/input!P32*E229+H229+I229,3,IF(B229+F229+C229+G229+D229+H229+J229&gt;=(input!P32-input!AB32)/input!P32*E229+I229,4,IF(B229+F229+C229+G229+D229+H229+J229&gt;=input!Y32/input!P32*E229+I229,5,IF(B229+F229+C229+G229+D229+H229+I229+J229&gt;=input!Y32/input!P32*E229,6,7))))))),IF(B229+F229+IF(input!O32=0,0,input!AE32/input!O32)*K229+input!AE32/input!M32*C229&gt;=(input!M32-input!AE32)*C229/input!M32+G229+D229+H229+I229,"b",IF(B229+F229+K229+input!O32/input!M32*C229&gt;=(input!M32-input!O32)/input!M32*C229+G229+D229+H229+I229,"c",IF(B229+F229+J229+K229+(input!M32-input!AH32)/input!M32*C229&gt;=G229+D229+H229+I229,8,IF(B229+F229+J229+K229+C229+G229&gt;=D229+H229+I229,"d",9)))))</f>
        <v>8</v>
      </c>
      <c r="M229" s="643">
        <f t="shared" si="0"/>
        <v>1494.4306597802793</v>
      </c>
      <c r="N229" s="493">
        <f t="shared" si="1"/>
        <v>57962.385985062676</v>
      </c>
      <c r="O229" s="766"/>
      <c r="Q229" s="73">
        <f>input!M32/2*((B229+F229+J229-G229-D229-E229-H229-I229)/C229+1)</f>
        <v>-1268.7633306780201</v>
      </c>
      <c r="R229" s="73">
        <f>(B229+F229+J229+C229+G229-D229-E229-H229-I229)/(2/input!M32*C229+IF(input!AH32=0,0,2/input!AH32)*G229)</f>
        <v>-1268.7633306780201</v>
      </c>
      <c r="S229" s="73">
        <f>input!H32/2*(B229+F229+J229+C229+G229-E229-H229-I229+D229)/D229</f>
        <v>-6.6683902581433667</v>
      </c>
      <c r="T229" s="558">
        <f>input!P32*(B229+F229+J229+C229+G229+D229-H229-I229)/E229</f>
        <v>259.02688100113699</v>
      </c>
      <c r="U229" s="73">
        <f>input!P32-input!AB32</f>
        <v>250</v>
      </c>
      <c r="V229" s="558">
        <f>input!P32*(B229+F229+J229+C229+G229+D229+H229-I229)/E229</f>
        <v>285.5688989343534</v>
      </c>
      <c r="W229" s="73">
        <f>input!Y32</f>
        <v>50</v>
      </c>
      <c r="X229" s="558">
        <f>input!P32*(B229+F229+J229+C229+G229+D229+H229+I229)/E229</f>
        <v>322.99729141049056</v>
      </c>
      <c r="Y229" s="73">
        <f>(B229+C229+IF(input!O32=0,0,input!M32/input!O32)*K229+(IF(input!AE32=0,0,2*input!M32/input!AE32)-1)*F229-D229-G229-H229-I229)/(IF(input!AE32=0,0,2/input!AE32)*F229+IF(input!O32=0,0,1/input!O32)*K229+2/input!M32*C229)</f>
        <v>2165.8814801309854</v>
      </c>
      <c r="Z229" s="73">
        <f>(B229+C229+F229+IF(input!O32=0,0,input!M32/input!O32)*K229-D229-G229-H229-I229)/(IF(input!O32=0,0,1/input!O32)*K229+2/input!M32*C229)</f>
        <v>1494.430659780279</v>
      </c>
      <c r="AA229" s="73">
        <f>input!M32/2*(B229+F229+J229+K229-G229-D229-H229-I229+C229)/C229</f>
        <v>1494.4306597802793</v>
      </c>
      <c r="AB229" s="73">
        <f>(B229+F229+J229+K229+G229+C229-D229-H229-I229)/(IF(input!AH32=0,0,2/input!AH32)*G229+2/input!M32*C229)</f>
        <v>1494.430659780279</v>
      </c>
      <c r="AC229" s="143">
        <f>input!H32/2*(B229+F229+K229+G229+C229-H229-I229+D229+J229)/D229</f>
        <v>55.767465005014522</v>
      </c>
      <c r="AD229" s="165">
        <f>IF(OR(L229=1,L229=8,L229="a",L229="b",L229="c",L229="d"),input!M32-M229+input!K32/2,IF(OR(L229=2,L229=9),input!H32-M229+input!M32+input!K32/2,input!R32+input!P32-M229+input!M32+input!K32/2))</f>
        <v>1314.5693402197207</v>
      </c>
      <c r="AE229" s="143">
        <f>IF(OR(L229=1,L229=8,L229="a",L229="b",L229="c",L229="d"),ABS(input!M32/2-M229),IF(OR(L229=2,L229=9),input!H32-M229+input!M32/2,input!R32+input!P32-M229+input!M32/2))</f>
        <v>94.430659780279257</v>
      </c>
      <c r="AF229" s="143">
        <f>IF(OR(L229=1,L229=8,L229="a",L229="b",L229="c",L229="d"),M229+input!H32/2,IF(OR(L229=2,L229=9),ABS(input!H32/2-M229),input!R32+input!P32-M229-input!H32/2))</f>
        <v>1505.4306597802793</v>
      </c>
      <c r="AG229" s="143">
        <f>IF(OR(L229=1,L229=8,L229="a",L229="b",L229="c",L229="d"),input!R32+input!P32/2+M229,IF(OR(L229=2,L229=9),input!R32+input!P32/2-input!H32+M229,ABS(input!P32/2-M229)))</f>
        <v>1639.4306597802793</v>
      </c>
      <c r="AH229" s="143">
        <f>IF(OR(L229=1,L229=8,L229="a",L229="b",L229="c",L229="d"),input!M32-M229-input!AE32/2,IF(OR(L229=2,L229=9),input!H32-M229+input!M32-input!AE32/2,input!R32+input!P32-M229+input!M32-input!AE32/2))</f>
        <v>1225.5693402197207</v>
      </c>
      <c r="AI229" s="143">
        <f>IF(OR(L229=1,L229=8,L229="a",L229="b",L229="c",L229="d"),M229-input!AH32/2,IF(OR(L229=2,L229=9),input!H32-M229+input!AH32/2,input!R32+input!P32-M229+input!AH32/2))</f>
        <v>1494.4306597802793</v>
      </c>
      <c r="AJ229" s="143">
        <f>IF(OR(L229=1,L229=8,L229="a",L229="b",L229="c",L229="d"),M229+input!R32+input!AB32,IF(OR(L229=2,L229=9),input!R32+input!AB32-input!H32+M229,IF(L229=3,input!AB32-(input!P32-M229),ABS(input!P32-input!AB32-M229))))</f>
        <v>1534.4306597802793</v>
      </c>
      <c r="AK229" s="143">
        <f>IF(OR(L229=1,L229=8,L229="a",L229="b",L229="c",L229="d"),M229+input!R32+input!P32-input!Y32,IF(OR(L229=2,L229=9),input!R32+input!P32-input!Y32-input!H32+M229,ABS(input!Y32-M229)))</f>
        <v>1734.4306597802793</v>
      </c>
      <c r="AL229" s="143">
        <f>IF(OR(L229=1,L229=8,L229="a",L229="b",L229="c",L229="d"),input!M32-M229-input!O32/2,IF(OR(L229=2,L229=9),input!H32-M229+input!M32-input!O32/2,0))</f>
        <v>1305.5693402197207</v>
      </c>
      <c r="AM229" s="143">
        <f>IF(OR(L229=1,L229=8,L229="a",L229="b",L229="c",L229="d"),input!M32-M229-input!O32/2,IF(OR(L229=2,L229=9),input!H32-M229+input!M32-input!O32/2,input!R32+input!P32-M229+input!M32-input!O32/2))</f>
        <v>1305.5693402197207</v>
      </c>
      <c r="AN229" s="143">
        <f>C229/2/input!M32*(M229^2+(input!M32-M229)^2)+B229*AD229+D229*AF229+E229*AG229+F229*AH229+G229*AI229+H229*AJ229+I229*AK229+J229*AM229</f>
        <v>135755420.07996166</v>
      </c>
      <c r="AO229" s="143">
        <f>IF(input!AH32=0,0,1/2/input!AH32)*G229*(M229^2+(input!AH32-M229)^2)+D229*AF229+F229*AH229+C229/2/input!M32*(M229^2+(input!M32-M229)^2)+B229*AD229+E229*AG229+H229*AJ229+I229*AK229+J229*AM229</f>
        <v>135755420.07996166</v>
      </c>
      <c r="AP229" s="143">
        <f>+D229/2/input!H32*(M229^2+(input!H32-M229)^2)+B229*AD229+F229*AH229+G229*AI229+C229*AE229+E229*AG229+H229*AJ229+I229*AK229+J229*AM229</f>
        <v>944795825.2001251</v>
      </c>
      <c r="AQ229" s="143">
        <f>+(M229^2)/2/input!P32*E229+D229*AF229+F229*AH229+G229*AI229+C229*AE229+B229*AD229+H229*AJ229+I229*AK229+J229*AM229</f>
        <v>226040670.60122171</v>
      </c>
      <c r="AR229" s="143">
        <f>+(M229^2)/2/input!P32*E229+D229*AF229+F229*AH229+G229*AI229+C229*AE229+B229*AD229+I229*AK229+J229*AM229</f>
        <v>222708702.2330519</v>
      </c>
      <c r="AS229" s="143">
        <f>+(M229^2)/2/input!P32*E229+D229*AF229+F229*AH229+G229*AI229+C229*AE229+B229*AD229+H229*AJ229+I229*AK229+J229*AM229</f>
        <v>226040670.60122171</v>
      </c>
      <c r="AT229" s="143">
        <f>+(M229^2)/2/input!P32*E229+D229*AF229+F229*AH229+G229*AI229+C229*AE229+B229*AD229+H229*AJ229+J229*AM229</f>
        <v>220729652.51015392</v>
      </c>
      <c r="AU229" s="143">
        <f>+(M229^2)/2/input!P32*E229+D229*AF229+F229*AH229+G229*AI229+C229*AE229+B229*AD229+H229*AJ229+I229*AK229+J229*AM229</f>
        <v>226040670.60122171</v>
      </c>
      <c r="AV229" s="143">
        <f>IF(input!AE32=0,0,1/2/input!AE32)*F229*((input!M32-M229)^2+(input!AE32-input!M32+M229)^2)+C229/2/input!M32*(M229^2+(M229-input!M32)^2)+IF(input!O32=0,0,1/2/input!O32)*K229*(input!M32-M229)^2+B229*AD229+G229*AI229+D229*AF229+H229*AJ229+I229*AK229+J229*AM229</f>
        <v>73920308.002200261</v>
      </c>
      <c r="AW229" s="143">
        <f>+C229/2/input!M32*(M229^2+(M229-input!M32)^2)+IF(input!O32=0,0,1/2/input!O32)*K229*(input!M32-M229)^2+B229*AD229+F229*AH229+G229*AI229+D229*AF229+H229*AJ229+I229*AK229+J229*AM229</f>
        <v>57962385.985062674</v>
      </c>
      <c r="AX229" s="143">
        <f>C229/2/input!M32*(M229^2+(M229-input!M32)^2)+K229*AL229+B229*AD229+F229*AH229+G229*AI229+D229*AF229+H229*AJ229+I229*AK229+J229*AM229</f>
        <v>57962385.985062674</v>
      </c>
      <c r="AY229" s="143">
        <f>C229/2/input!M32*(M229^2+(M229-input!M32)^2)+IF(input!AH32=0,0,1/2/input!AH32)*G229*(M229^2+(input!AH32-M229)^2)+K229*AL229+B229*AD229+F229*AH229+D229*AF229+H229*AJ229+I229*AK229+J229*AM229</f>
        <v>57962385.985062674</v>
      </c>
      <c r="AZ229" s="143">
        <f>D229/2/input!H32*(M229^2+(input!H32-M229)^2)+B229*AD229+K229*AL229+F229*AH229+C229*AE229+G229*AI229+H229*AJ229+I229*AK229+J229*AM229</f>
        <v>867002791.10522616</v>
      </c>
      <c r="BA229" s="185"/>
    </row>
    <row r="230" spans="1:53" ht="15" customHeight="1">
      <c r="A230" s="579" t="str">
        <f>+input!B33</f>
        <v>116i</v>
      </c>
      <c r="B230" s="642">
        <f>+input!J33*input!K33*input!BJ33/1000</f>
        <v>17665.439999999999</v>
      </c>
      <c r="C230" s="642">
        <f>+input!BQ33*input!N33*2*input!BK33/1000</f>
        <v>24161.59676691092</v>
      </c>
      <c r="D230" s="642">
        <f>+input!F33*input!G33*input!H33*input!BI33/1000</f>
        <v>11856</v>
      </c>
      <c r="E230" s="642">
        <f>0.85*Fck*input!P33*input!Q33/1000</f>
        <v>47451.25</v>
      </c>
      <c r="F230" s="642">
        <f>input!AD33*input!AE33*input!AF33*input!BN33/1000</f>
        <v>1945.6</v>
      </c>
      <c r="G230" s="642">
        <f>input!AG33*input!AH33*input!AI33*input!BM33/1000</f>
        <v>0</v>
      </c>
      <c r="H230" s="642">
        <f>input!CB33*Fys/1000</f>
        <v>2171.4688421612645</v>
      </c>
      <c r="I230" s="642">
        <f>input!BZ33*Fys/1000</f>
        <v>3062.1103594539709</v>
      </c>
      <c r="J230" s="642">
        <f>input!AC33*Fys/1000</f>
        <v>0</v>
      </c>
      <c r="K230" s="642">
        <f>input!BT33*0.85*Fckb/1000</f>
        <v>0</v>
      </c>
      <c r="L230" s="795">
        <f>IF(Stress!F862&lt;=0,IF(B230+F230+(input!M33-2*input!AH33)/input!M33*C230+J230&gt;=G230+D230+E230+H230+I230,1,IF(B230+F230+C230+G230+J230&gt;=D230+E230+H230+I230,"a",IF(B230+F230+C230+G230+D230+J230&gt;=E230+H230+I230,2,IF(B230+F230+C230+G230+D230+J230&gt;=(input!P33-input!AB33)/input!P33*E230+H230+I230,3,IF(B230+F230+C230+G230+D230+H230+J230&gt;=(input!P33-input!AB33)/input!P33*E230+I230,4,IF(B230+F230+C230+G230+D230+H230+J230&gt;=input!Y33/input!P33*E230+I230,5,IF(B230+F230+C230+G230+D230+H230+I230+J230&gt;=input!Y33/input!P33*E230,6,7))))))),IF(B230+F230+IF(input!O33=0,0,input!AE33/input!O33)*K230+input!AE33/input!M33*C230&gt;=(input!M33-input!AE33)*C230/input!M33+G230+D230+H230+I230,"b",IF(B230+F230+K230+input!O33/input!M33*C230&gt;=(input!M33-input!O33)/input!M33*C230+G230+D230+H230+I230,"c",IF(B230+F230+J230+K230+(input!M33-input!AH33)/input!M33*C230&gt;=G230+D230+H230+I230,8,IF(B230+F230+J230+K230+C230+G230&gt;=D230+H230+I230,"d",9)))))</f>
        <v>8</v>
      </c>
      <c r="M230" s="643">
        <f t="shared" si="0"/>
        <v>1553.8319903503191</v>
      </c>
      <c r="N230" s="493">
        <f t="shared" si="1"/>
        <v>69482.569508341301</v>
      </c>
      <c r="O230" s="766"/>
      <c r="Q230" s="73">
        <f>input!M33/2*((B230+F230+J230-G230-D230-E230-H230-I230)/C230+1)</f>
        <v>-1209.3922035668879</v>
      </c>
      <c r="R230" s="73">
        <f>(B230+F230+J230+C230+G230-D230-E230-H230-I230)/(2/input!M33*C230+IF(input!AH33=0,0,2/input!AH33)*G230)</f>
        <v>-1209.3922035668875</v>
      </c>
      <c r="S230" s="73">
        <f>input!H33/2*(B230+F230+J230+C230+G230-E230-H230-I230+D230)/D230</f>
        <v>3.2278591724733348</v>
      </c>
      <c r="T230" s="558">
        <f>input!P33*(B230+F230+J230+C230+G230+D230-H230-I230)/E230</f>
        <v>307.99118450906451</v>
      </c>
      <c r="U230" s="73">
        <f>input!P33-input!AB33</f>
        <v>250</v>
      </c>
      <c r="V230" s="558">
        <f>input!P33*(B230+F230+J230+C230+G230+D230+H230-I230)/E230</f>
        <v>334.53320244228087</v>
      </c>
      <c r="W230" s="73">
        <f>input!Y33</f>
        <v>50</v>
      </c>
      <c r="X230" s="558">
        <f>input!P33*(B230+F230+J230+C230+G230+D230+H230+I230)/E230</f>
        <v>371.96159491841809</v>
      </c>
      <c r="Y230" s="73">
        <f>(B230+C230+IF(input!O33=0,0,input!M33/input!O33)*K230+(IF(input!AE33=0,0,2*input!M33/input!AE33)-1)*F230-D230-G230-H230-I230)/(IF(input!AE33=0,0,2/input!AE33)*F230+IF(input!O33=0,0,1/input!O33)*K230+2/input!M33*C230)</f>
        <v>2198.6747148139189</v>
      </c>
      <c r="Z230" s="73">
        <f>(B230+C230+F230+IF(input!O33=0,0,input!M33/input!O33)*K230-D230-G230-H230-I230)/(IF(input!O33=0,0,1/input!O33)*K230+2/input!M33*C230)</f>
        <v>1553.8319903503188</v>
      </c>
      <c r="AA230" s="73">
        <f>input!M33/2*(B230+F230+J230+K230-G230-D230-H230-I230+C230)/C230</f>
        <v>1553.8319903503191</v>
      </c>
      <c r="AB230" s="73">
        <f>(B230+F230+J230+K230+G230+C230-D230-H230-I230)/(IF(input!AH33=0,0,2/input!AH33)*G230+2/input!M33*C230)</f>
        <v>1553.8319903503188</v>
      </c>
      <c r="AC230" s="143">
        <f>input!H33/2*(B230+F230+K230+G230+C230-H230-I230+D230+J230)/D230</f>
        <v>55.257738558438241</v>
      </c>
      <c r="AD230" s="165">
        <f>IF(OR(L230=1,L230=8,L230="a",L230="b",L230="c",L230="d"),input!M33-M230+input!K33/2,IF(OR(L230=2,L230=9),input!H33-M230+input!M33+input!K33/2,input!R33+input!P33-M230+input!M33+input!K33/2))</f>
        <v>1272.1680096496809</v>
      </c>
      <c r="AE230" s="143">
        <f>IF(OR(L230=1,L230=8,L230="a",L230="b",L230="c",L230="d"),ABS(input!M33/2-M230),IF(OR(L230=2,L230=9),input!H33-M230+input!M33/2,input!R33+input!P33-M230+input!M33/2))</f>
        <v>146.83199035031907</v>
      </c>
      <c r="AF230" s="143">
        <f>IF(OR(L230=1,L230=8,L230="a",L230="b",L230="c",L230="d"),M230+input!H33/2,IF(OR(L230=2,L230=9),ABS(input!H33/2-M230),input!R33+input!P33-M230-input!H33/2))</f>
        <v>1566.8319903503191</v>
      </c>
      <c r="AG230" s="143">
        <f>IF(OR(L230=1,L230=8,L230="a",L230="b",L230="c",L230="d"),input!R33+input!P33/2+M230,IF(OR(L230=2,L230=9),input!R33+input!P33/2-input!H33+M230,ABS(input!P33/2-M230)))</f>
        <v>1698.8319903503191</v>
      </c>
      <c r="AH230" s="143">
        <f>IF(OR(L230=1,L230=8,L230="a",L230="b",L230="c",L230="d"),input!M33-M230-input!AE33/2,IF(OR(L230=2,L230=9),input!H33-M230+input!M33-input!AE33/2,input!R33+input!P33-M230+input!M33-input!AE33/2))</f>
        <v>1180.1680096496809</v>
      </c>
      <c r="AI230" s="143">
        <f>IF(OR(L230=1,L230=8,L230="a",L230="b",L230="c",L230="d"),M230-input!AH33/2,IF(OR(L230=2,L230=9),input!H33-M230+input!AH33/2,input!R33+input!P33-M230+input!AH33/2))</f>
        <v>1553.8319903503191</v>
      </c>
      <c r="AJ230" s="143">
        <f>IF(OR(L230=1,L230=8,L230="a",L230="b",L230="c",L230="d"),M230+input!R33+input!AB33,IF(OR(L230=2,L230=9),input!R33+input!AB33-input!H33+M230,IF(L230=3,input!AB33-(input!P33-M230),ABS(input!P33-input!AB33-M230))))</f>
        <v>1593.8319903503191</v>
      </c>
      <c r="AK230" s="143">
        <f>IF(OR(L230=1,L230=8,L230="a",L230="b",L230="c",L230="d"),M230+input!R33+input!P33-input!Y33,IF(OR(L230=2,L230=9),input!R33+input!P33-input!Y33-input!H33+M230,ABS(input!Y33-M230)))</f>
        <v>1793.8319903503191</v>
      </c>
      <c r="AL230" s="143">
        <f>IF(OR(L230=1,L230=8,L230="a",L230="b",L230="c",L230="d"),input!M33-M230-input!O33/2,IF(OR(L230=2,L230=9),input!H33-M230+input!M33-input!O33/2,0))</f>
        <v>1260.1680096496809</v>
      </c>
      <c r="AM230" s="143">
        <f>IF(OR(L230=1,L230=8,L230="a",L230="b",L230="c",L230="d"),input!M33-M230-input!O33/2,IF(OR(L230=2,L230=9),input!H33-M230+input!M33-input!O33/2,input!R33+input!P33-M230+input!M33-input!O33/2))</f>
        <v>1260.1680096496809</v>
      </c>
      <c r="AN230" s="143">
        <f>C230/2/input!M33*(M230^2+(input!M33-M230)^2)+B230*AD230+D230*AF230+E230*AG230+F230*AH230+G230*AI230+H230*AJ230+I230*AK230+J230*AM230</f>
        <v>150094270.99045187</v>
      </c>
      <c r="AO230" s="143">
        <f>IF(input!AH33=0,0,1/2/input!AH33)*G230*(M230^2+(input!AH33-M230)^2)+D230*AF230+F230*AH230+C230/2/input!M33*(M230^2+(input!M33-M230)^2)+B230*AD230+E230*AG230+H230*AJ230+I230*AK230+J230*AM230</f>
        <v>150094270.99045187</v>
      </c>
      <c r="AP230" s="143">
        <f>+D230/2/input!H33*(M230^2+(input!H33-M230)^2)+B230*AD230+F230*AH230+G230*AI230+C230*AE230+E230*AG230+H230*AJ230+I230*AK230+J230*AM230</f>
        <v>1200578300.8308935</v>
      </c>
      <c r="AQ230" s="143">
        <f>+(M230^2)/2/input!P33*E230+D230*AF230+F230*AH230+G230*AI230+C230*AE230+B230*AD230+H230*AJ230+I230*AK230+J230*AM230</f>
        <v>253375063.17202383</v>
      </c>
      <c r="AR230" s="143">
        <f>+(M230^2)/2/input!P33*E230+D230*AF230+F230*AH230+G230*AI230+C230*AE230+B230*AD230+I230*AK230+J230*AM230</f>
        <v>249914106.66533825</v>
      </c>
      <c r="AS230" s="143">
        <f>+(M230^2)/2/input!P33*E230+D230*AF230+F230*AH230+G230*AI230+C230*AE230+B230*AD230+H230*AJ230+I230*AK230+J230*AM230</f>
        <v>253375063.17202383</v>
      </c>
      <c r="AT230" s="143">
        <f>+(M230^2)/2/input!P33*E230+D230*AF230+F230*AH230+G230*AI230+C230*AE230+B230*AD230+H230*AJ230+J230*AM230</f>
        <v>247882151.65125218</v>
      </c>
      <c r="AU230" s="143">
        <f>+(M230^2)/2/input!P33*E230+D230*AF230+F230*AH230+G230*AI230+C230*AE230+B230*AD230+H230*AJ230+I230*AK230+J230*AM230</f>
        <v>253375063.17202383</v>
      </c>
      <c r="AV230" s="143">
        <f>IF(input!AE33=0,0,1/2/input!AE33)*F230*((input!M33-M230)^2+(input!AE33-input!M33+M230)^2)+C230/2/input!M33*(M230^2+(M230-input!M33)^2)+IF(input!O33=0,0,1/2/input!O33)*K230*(input!M33-M230)^2+B230*AD230+G230*AI230+D230*AF230+H230*AJ230+I230*AK230+J230*AM230</f>
        <v>84200664.445732832</v>
      </c>
      <c r="AW230" s="143">
        <f>+C230/2/input!M33*(M230^2+(M230-input!M33)^2)+IF(input!O33=0,0,1/2/input!O33)*K230*(input!M33-M230)^2+B230*AD230+F230*AH230+G230*AI230+D230*AF230+H230*AJ230+I230*AK230+J230*AM230</f>
        <v>69482569.508341298</v>
      </c>
      <c r="AX230" s="143">
        <f>C230/2/input!M33*(M230^2+(M230-input!M33)^2)+K230*AL230+B230*AD230+F230*AH230+G230*AI230+D230*AF230+H230*AJ230+I230*AK230+J230*AM230</f>
        <v>69482569.508341298</v>
      </c>
      <c r="AY230" s="143">
        <f>C230/2/input!M33*(M230^2+(M230-input!M33)^2)+IF(input!AH33=0,0,1/2/input!AH33)*G230*(M230^2+(input!AH33-M230)^2)+K230*AL230+B230*AD230+F230*AH230+D230*AF230+H230*AJ230+I230*AK230+J230*AM230</f>
        <v>69482569.508341298</v>
      </c>
      <c r="AZ230" s="143">
        <f>D230/2/input!H33*(M230^2+(input!H33-M230)^2)+B230*AD230+K230*AL230+F230*AH230+C230*AE230+G230*AI230+H230*AJ230+I230*AK230+J230*AM230</f>
        <v>1119966599.348783</v>
      </c>
      <c r="BA230" s="185"/>
    </row>
    <row r="231" spans="1:53" ht="15" customHeight="1">
      <c r="A231" s="579" t="str">
        <f>+input!B34</f>
        <v>116j</v>
      </c>
      <c r="B231" s="642">
        <f>+input!J34*input!K34*input!BJ34/1000</f>
        <v>17665.439999999999</v>
      </c>
      <c r="C231" s="642">
        <f>+input!BQ34*input!N34*2*input!BK34/1000</f>
        <v>24161.59676691092</v>
      </c>
      <c r="D231" s="642">
        <f>+input!F34*input!G34*input!H34*input!BI34/1000</f>
        <v>11856</v>
      </c>
      <c r="E231" s="642">
        <f>0.85*Fck*input!P34*input!Q34/1000</f>
        <v>47451.25</v>
      </c>
      <c r="F231" s="642">
        <f>input!AD34*input!AE34*input!AF34*input!BN34/1000</f>
        <v>1945.6</v>
      </c>
      <c r="G231" s="642">
        <f>input!AG34*input!AH34*input!AI34*input!BM34/1000</f>
        <v>0</v>
      </c>
      <c r="H231" s="642">
        <f>input!CB34*Fys/1000</f>
        <v>2171.4688421612645</v>
      </c>
      <c r="I231" s="642">
        <f>input!BZ34*Fys/1000</f>
        <v>3062.1103594539709</v>
      </c>
      <c r="J231" s="642">
        <f>input!AC34*Fys/1000</f>
        <v>0</v>
      </c>
      <c r="K231" s="642">
        <f>input!BT34*0.85*Fckb/1000</f>
        <v>0</v>
      </c>
      <c r="L231" s="795">
        <f>IF(Stress!F863&lt;=0,IF(B231+F231+(input!M34-2*input!AH34)/input!M34*C231+J231&gt;=G231+D231+E231+H231+I231,1,IF(B231+F231+C231+G231+J231&gt;=D231+E231+H231+I231,"a",IF(B231+F231+C231+G231+D231+J231&gt;=E231+H231+I231,2,IF(B231+F231+C231+G231+D231+J231&gt;=(input!P34-input!AB34)/input!P34*E231+H231+I231,3,IF(B231+F231+C231+G231+D231+H231+J231&gt;=(input!P34-input!AB34)/input!P34*E231+I231,4,IF(B231+F231+C231+G231+D231+H231+J231&gt;=input!Y34/input!P34*E231+I231,5,IF(B231+F231+C231+G231+D231+H231+I231+J231&gt;=input!Y34/input!P34*E231,6,7))))))),IF(B231+F231+IF(input!O34=0,0,input!AE34/input!O34)*K231+input!AE34/input!M34*C231&gt;=(input!M34-input!AE34)*C231/input!M34+G231+D231+H231+I231,"b",IF(B231+F231+K231+input!O34/input!M34*C231&gt;=(input!M34-input!O34)/input!M34*C231+G231+D231+H231+I231,"c",IF(B231+F231+J231+K231+(input!M34-input!AH34)/input!M34*C231&gt;=G231+D231+H231+I231,8,IF(B231+F231+J231+K231+C231+G231&gt;=D231+H231+I231,"d",9)))))</f>
        <v>8</v>
      </c>
      <c r="M231" s="643">
        <f t="shared" si="0"/>
        <v>1553.8319903503191</v>
      </c>
      <c r="N231" s="493">
        <f t="shared" si="1"/>
        <v>69482.569508341301</v>
      </c>
      <c r="O231" s="766"/>
      <c r="Q231" s="73">
        <f>input!M34/2*((B231+F231+J231-G231-D231-E231-H231-I231)/C231+1)</f>
        <v>-1209.3922035668879</v>
      </c>
      <c r="R231" s="73">
        <f>(B231+F231+J231+C231+G231-D231-E231-H231-I231)/(2/input!M34*C231+IF(input!AH34=0,0,2/input!AH34)*G231)</f>
        <v>-1209.3922035668875</v>
      </c>
      <c r="S231" s="73">
        <f>input!H34/2*(B231+F231+J231+C231+G231-E231-H231-I231+D231)/D231</f>
        <v>3.2278591724733348</v>
      </c>
      <c r="T231" s="558">
        <f>input!P34*(B231+F231+J231+C231+G231+D231-H231-I231)/E231</f>
        <v>307.99118450906451</v>
      </c>
      <c r="U231" s="73">
        <f>input!P34-input!AB34</f>
        <v>250</v>
      </c>
      <c r="V231" s="558">
        <f>input!P34*(B231+F231+J231+C231+G231+D231+H231-I231)/E231</f>
        <v>334.53320244228087</v>
      </c>
      <c r="W231" s="73">
        <f>input!Y34</f>
        <v>50</v>
      </c>
      <c r="X231" s="558">
        <f>input!P34*(B231+F231+J231+C231+G231+D231+H231+I231)/E231</f>
        <v>371.96159491841809</v>
      </c>
      <c r="Y231" s="73">
        <f>(B231+C231+IF(input!O34=0,0,input!M34/input!O34)*K231+(IF(input!AE34=0,0,2*input!M34/input!AE34)-1)*F231-D231-G231-H231-I231)/(IF(input!AE34=0,0,2/input!AE34)*F231+IF(input!O34=0,0,1/input!O34)*K231+2/input!M34*C231)</f>
        <v>2198.6747148139189</v>
      </c>
      <c r="Z231" s="73">
        <f>(B231+C231+F231+IF(input!O34=0,0,input!M34/input!O34)*K231-D231-G231-H231-I231)/(IF(input!O34=0,0,1/input!O34)*K231+2/input!M34*C231)</f>
        <v>1553.8319903503188</v>
      </c>
      <c r="AA231" s="73">
        <f>input!M34/2*(B231+F231+J231+K231-G231-D231-H231-I231+C231)/C231</f>
        <v>1553.8319903503191</v>
      </c>
      <c r="AB231" s="73">
        <f>(B231+F231+J231+K231+G231+C231-D231-H231-I231)/(IF(input!AH34=0,0,2/input!AH34)*G231+2/input!M34*C231)</f>
        <v>1553.8319903503188</v>
      </c>
      <c r="AC231" s="143">
        <f>input!H34/2*(B231+F231+K231+G231+C231-H231-I231+D231+J231)/D231</f>
        <v>55.257738558438241</v>
      </c>
      <c r="AD231" s="165">
        <f>IF(OR(L231=1,L231=8,L231="a",L231="b",L231="c",L231="d"),input!M34-M231+input!K34/2,IF(OR(L231=2,L231=9),input!H34-M231+input!M34+input!K34/2,input!R34+input!P34-M231+input!M34+input!K34/2))</f>
        <v>1272.1680096496809</v>
      </c>
      <c r="AE231" s="143">
        <f>IF(OR(L231=1,L231=8,L231="a",L231="b",L231="c",L231="d"),ABS(input!M34/2-M231),IF(OR(L231=2,L231=9),input!H34-M231+input!M34/2,input!R34+input!P34-M231+input!M34/2))</f>
        <v>146.83199035031907</v>
      </c>
      <c r="AF231" s="143">
        <f>IF(OR(L231=1,L231=8,L231="a",L231="b",L231="c",L231="d"),M231+input!H34/2,IF(OR(L231=2,L231=9),ABS(input!H34/2-M231),input!R34+input!P34-M231-input!H34/2))</f>
        <v>1566.8319903503191</v>
      </c>
      <c r="AG231" s="143">
        <f>IF(OR(L231=1,L231=8,L231="a",L231="b",L231="c",L231="d"),input!R34+input!P34/2+M231,IF(OR(L231=2,L231=9),input!R34+input!P34/2-input!H34+M231,ABS(input!P34/2-M231)))</f>
        <v>1698.8319903503191</v>
      </c>
      <c r="AH231" s="143">
        <f>IF(OR(L231=1,L231=8,L231="a",L231="b",L231="c",L231="d"),input!M34-M231-input!AE34/2,IF(OR(L231=2,L231=9),input!H34-M231+input!M34-input!AE34/2,input!R34+input!P34-M231+input!M34-input!AE34/2))</f>
        <v>1180.1680096496809</v>
      </c>
      <c r="AI231" s="143">
        <f>IF(OR(L231=1,L231=8,L231="a",L231="b",L231="c",L231="d"),M231-input!AH34/2,IF(OR(L231=2,L231=9),input!H34-M231+input!AH34/2,input!R34+input!P34-M231+input!AH34/2))</f>
        <v>1553.8319903503191</v>
      </c>
      <c r="AJ231" s="143">
        <f>IF(OR(L231=1,L231=8,L231="a",L231="b",L231="c",L231="d"),M231+input!R34+input!AB34,IF(OR(L231=2,L231=9),input!R34+input!AB34-input!H34+M231,IF(L231=3,input!AB34-(input!P34-M231),ABS(input!P34-input!AB34-M231))))</f>
        <v>1593.8319903503191</v>
      </c>
      <c r="AK231" s="143">
        <f>IF(OR(L231=1,L231=8,L231="a",L231="b",L231="c",L231="d"),M231+input!R34+input!P34-input!Y34,IF(OR(L231=2,L231=9),input!R34+input!P34-input!Y34-input!H34+M231,ABS(input!Y34-M231)))</f>
        <v>1793.8319903503191</v>
      </c>
      <c r="AL231" s="143">
        <f>IF(OR(L231=1,L231=8,L231="a",L231="b",L231="c",L231="d"),input!M34-M231-input!O34/2,IF(OR(L231=2,L231=9),input!H34-M231+input!M34-input!O34/2,0))</f>
        <v>1260.1680096496809</v>
      </c>
      <c r="AM231" s="143">
        <f>IF(OR(L231=1,L231=8,L231="a",L231="b",L231="c",L231="d"),input!M34-M231-input!O34/2,IF(OR(L231=2,L231=9),input!H34-M231+input!M34-input!O34/2,input!R34+input!P34-M231+input!M34-input!O34/2))</f>
        <v>1260.1680096496809</v>
      </c>
      <c r="AN231" s="143">
        <f>C231/2/input!M34*(M231^2+(input!M34-M231)^2)+B231*AD231+D231*AF231+E231*AG231+F231*AH231+G231*AI231+H231*AJ231+I231*AK231+J231*AM231</f>
        <v>150094270.99045187</v>
      </c>
      <c r="AO231" s="143">
        <f>IF(input!AH34=0,0,1/2/input!AH34)*G231*(M231^2+(input!AH34-M231)^2)+D231*AF231+F231*AH231+C231/2/input!M34*(M231^2+(input!M34-M231)^2)+B231*AD231+E231*AG231+H231*AJ231+I231*AK231+J231*AM231</f>
        <v>150094270.99045187</v>
      </c>
      <c r="AP231" s="143">
        <f>+D231/2/input!H34*(M231^2+(input!H34-M231)^2)+B231*AD231+F231*AH231+G231*AI231+C231*AE231+E231*AG231+H231*AJ231+I231*AK231+J231*AM231</f>
        <v>1200578300.8308935</v>
      </c>
      <c r="AQ231" s="143">
        <f>+(M231^2)/2/input!P34*E231+D231*AF231+F231*AH231+G231*AI231+C231*AE231+B231*AD231+H231*AJ231+I231*AK231+J231*AM231</f>
        <v>253375063.17202383</v>
      </c>
      <c r="AR231" s="143">
        <f>+(M231^2)/2/input!P34*E231+D231*AF231+F231*AH231+G231*AI231+C231*AE231+B231*AD231+I231*AK231+J231*AM231</f>
        <v>249914106.66533825</v>
      </c>
      <c r="AS231" s="143">
        <f>+(M231^2)/2/input!P34*E231+D231*AF231+F231*AH231+G231*AI231+C231*AE231+B231*AD231+H231*AJ231+I231*AK231+J231*AM231</f>
        <v>253375063.17202383</v>
      </c>
      <c r="AT231" s="143">
        <f>+(M231^2)/2/input!P34*E231+D231*AF231+F231*AH231+G231*AI231+C231*AE231+B231*AD231+H231*AJ231+J231*AM231</f>
        <v>247882151.65125218</v>
      </c>
      <c r="AU231" s="143">
        <f>+(M231^2)/2/input!P34*E231+D231*AF231+F231*AH231+G231*AI231+C231*AE231+B231*AD231+H231*AJ231+I231*AK231+J231*AM231</f>
        <v>253375063.17202383</v>
      </c>
      <c r="AV231" s="143">
        <f>IF(input!AE34=0,0,1/2/input!AE34)*F231*((input!M34-M231)^2+(input!AE34-input!M34+M231)^2)+C231/2/input!M34*(M231^2+(M231-input!M34)^2)+IF(input!O34=0,0,1/2/input!O34)*K231*(input!M34-M231)^2+B231*AD231+G231*AI231+D231*AF231+H231*AJ231+I231*AK231+J231*AM231</f>
        <v>84200664.445732832</v>
      </c>
      <c r="AW231" s="143">
        <f>+C231/2/input!M34*(M231^2+(M231-input!M34)^2)+IF(input!O34=0,0,1/2/input!O34)*K231*(input!M34-M231)^2+B231*AD231+F231*AH231+G231*AI231+D231*AF231+H231*AJ231+I231*AK231+J231*AM231</f>
        <v>69482569.508341298</v>
      </c>
      <c r="AX231" s="143">
        <f>C231/2/input!M34*(M231^2+(M231-input!M34)^2)+K231*AL231+B231*AD231+F231*AH231+G231*AI231+D231*AF231+H231*AJ231+I231*AK231+J231*AM231</f>
        <v>69482569.508341298</v>
      </c>
      <c r="AY231" s="143">
        <f>C231/2/input!M34*(M231^2+(M231-input!M34)^2)+IF(input!AH34=0,0,1/2/input!AH34)*G231*(M231^2+(input!AH34-M231)^2)+K231*AL231+B231*AD231+F231*AH231+D231*AF231+H231*AJ231+I231*AK231+J231*AM231</f>
        <v>69482569.508341298</v>
      </c>
      <c r="AZ231" s="143">
        <f>D231/2/input!H34*(M231^2+(input!H34-M231)^2)+B231*AD231+K231*AL231+F231*AH231+C231*AE231+G231*AI231+H231*AJ231+I231*AK231+J231*AM231</f>
        <v>1119966599.348783</v>
      </c>
      <c r="BA231" s="185"/>
    </row>
    <row r="232" spans="1:53" ht="15" customHeight="1">
      <c r="A232" s="579" t="str">
        <f>+input!B35</f>
        <v>117i</v>
      </c>
      <c r="B232" s="642">
        <f>+input!J35*input!K35*input!BJ35/1000</f>
        <v>20311.759999999998</v>
      </c>
      <c r="C232" s="642">
        <f>+input!BQ35*input!N35*2*input!BK35/1000</f>
        <v>25106.354363666578</v>
      </c>
      <c r="D232" s="642">
        <f>+input!F35*input!G35*input!H35*input!BI35/1000</f>
        <v>21888</v>
      </c>
      <c r="E232" s="642">
        <f>0.85*Fck*input!P35*input!Q35/1000</f>
        <v>47451.25</v>
      </c>
      <c r="F232" s="642">
        <f>input!AD35*input!AE35*input!AF35*input!BN35/1000</f>
        <v>1945.6</v>
      </c>
      <c r="G232" s="642">
        <f>input!AG35*input!AH35*input!AI35*input!BM35/1000</f>
        <v>0</v>
      </c>
      <c r="H232" s="642">
        <f>input!CB35*Fys/1000</f>
        <v>2171.4688421612645</v>
      </c>
      <c r="I232" s="642">
        <f>input!BZ35*Fys/1000</f>
        <v>3062.1103594539709</v>
      </c>
      <c r="J232" s="642">
        <f>input!AC35*Fys/1000</f>
        <v>2412.7431579569611</v>
      </c>
      <c r="K232" s="642">
        <f>input!BT35*0.85*Fckb/1000</f>
        <v>25925.255000000001</v>
      </c>
      <c r="L232" s="795" t="str">
        <f>IF(Stress!F864&lt;=0,IF(B232+F232+(input!M35-2*input!AH35)/input!M35*C232+J232&gt;=G232+D232+E232+H232+I232,1,IF(B232+F232+C232+G232+J232&gt;=D232+E232+H232+I232,"a",IF(B232+F232+C232+G232+D232+J232&gt;=E232+H232+I232,2,IF(B232+F232+C232+G232+D232+J232&gt;=(input!P35-input!AB35)/input!P35*E232+H232+I232,3,IF(B232+F232+C232+G232+D232+H232+J232&gt;=(input!P35-input!AB35)/input!P35*E232+I232,4,IF(B232+F232+C232+G232+D232+H232+J232&gt;=input!Y35/input!P35*E232+I232,5,IF(B232+F232+C232+G232+D232+H232+I232+J232&gt;=input!Y35/input!P35*E232,6,7))))))),IF(B232+F232+IF(input!O35=0,0,input!AE35/input!O35)*K232+input!AE35/input!M35*C232&gt;=(input!M35-input!AE35)*C232/input!M35+G232+D232+H232+I232,"b",IF(B232+F232+K232+input!O35/input!M35*C232&gt;=(input!M35-input!O35)/input!M35*C232+G232+D232+H232+I232,"c",IF(B232+F232+J232+K232+(input!M35-input!AH35)/input!M35*C232&gt;=G232+D232+H232+I232,8,IF(B232+F232+J232+K232+C232+G232&gt;=D232+H232+I232,"d",9)))))</f>
        <v>c</v>
      </c>
      <c r="M232" s="643">
        <f t="shared" ref="M232:M261" si="2">INDEX($Q$200:$AC$261,(ROW(L232)-ROW($L$200)+1),MATCH(L232,$Q$199:$AC$199,0))</f>
        <v>2590.9801545639079</v>
      </c>
      <c r="N232" s="493">
        <f t="shared" ref="N232:N261" si="3">INDEX($AN$200:$AZ$261,(ROW(L232)-ROW($L$200)+1),MATCH(L232,$AN$199:$AZ$199,0))/1000</f>
        <v>112737.07872841178</v>
      </c>
      <c r="O232" s="766"/>
      <c r="Q232" s="73">
        <f>input!M35/2*((B232+F232+J232-G232-D232-E232-H232-I232)/C232+1)</f>
        <v>-1443.9490047432569</v>
      </c>
      <c r="R232" s="73">
        <f>(B232+F232+J232+C232+G232-D232-E232-H232-I232)/(2/input!M35*C232+IF(input!AH35=0,0,2/input!AH35)*G232)</f>
        <v>-1443.9490047432562</v>
      </c>
      <c r="S232" s="73">
        <f>input!H35/2*(B232+F232+J232+C232+G232-E232-H232-I232+D232)/D232</f>
        <v>15.608246973691042</v>
      </c>
      <c r="T232" s="558">
        <f>input!P35*(B232+F232+J232+C232+G232+D232-H232-I232)/E232</f>
        <v>405.99467269676575</v>
      </c>
      <c r="U232" s="73">
        <f>input!P35-input!AB35</f>
        <v>250</v>
      </c>
      <c r="V232" s="558">
        <f>input!P35*(B232+F232+J232+C232+G232+D232+H232-I232)/E232</f>
        <v>432.53669062998216</v>
      </c>
      <c r="W232" s="73">
        <f>input!Y35</f>
        <v>50</v>
      </c>
      <c r="X232" s="558">
        <f>input!P35*(B232+F232+J232+C232+G232+D232+H232+I232)/E232</f>
        <v>469.96508310611938</v>
      </c>
      <c r="Y232" s="73">
        <f>(B232+C232+IF(input!O35=0,0,input!M35/input!O35)*K232+(IF(input!AE35=0,0,2*input!M35/input!AE35)-1)*F232-D232-G232-H232-I232)/(IF(input!AE35=0,0,2/input!AE35)*F232+IF(input!O35=0,0,1/input!O35)*K232+2/input!M35*C232)</f>
        <v>2627.7889077263767</v>
      </c>
      <c r="Z232" s="73">
        <f>(B232+C232+F232+IF(input!O35=0,0,input!M35/input!O35)*K232-D232-G232-H232-I232)/(IF(input!O35=0,0,1/input!O35)*K232+2/input!M35*C232)</f>
        <v>2590.9801545639079</v>
      </c>
      <c r="AA232" s="73">
        <f>input!M35/2*(B232+F232+J232+K232-G232-D232-H232-I232+C232)/C232</f>
        <v>2828.9314284768043</v>
      </c>
      <c r="AB232" s="73">
        <f>(B232+F232+J232+K232+G232+C232-D232-H232-I232)/(IF(input!AH35=0,0,2/input!AH35)*G232+2/input!M35*C232)</f>
        <v>2828.9314284768034</v>
      </c>
      <c r="AC232" s="143">
        <f>input!H35/2*(B232+F232+K232+G232+C232-H232-I232+D232+J232)/D232</f>
        <v>75.950767532901565</v>
      </c>
      <c r="AD232" s="165">
        <f>IF(OR(L232=1,L232=8,L232="a",L232="b",L232="c",L232="d"),input!M35-M232+input!K35/2,IF(OR(L232=2,L232=9),input!H35-M232+input!M35+input!K35/2,input!R35+input!P35-M232+input!M35+input!K35/2))</f>
        <v>347.01984543609206</v>
      </c>
      <c r="AE232" s="143">
        <f>IF(OR(L232=1,L232=8,L232="a",L232="b",L232="c",L232="d"),ABS(input!M35/2-M232),IF(OR(L232=2,L232=9),input!H35-M232+input!M35/2,input!R35+input!P35-M232+input!M35/2))</f>
        <v>1128.9801545639079</v>
      </c>
      <c r="AF232" s="143">
        <f>IF(OR(L232=1,L232=8,L232="a",L232="b",L232="c",L232="d"),M232+input!H35/2,IF(OR(L232=2,L232=9),ABS(input!H35/2-M232),input!R35+input!P35-M232-input!H35/2))</f>
        <v>2608.9801545639079</v>
      </c>
      <c r="AG232" s="143">
        <f>IF(OR(L232=1,L232=8,L232="a",L232="b",L232="c",L232="d"),input!R35+input!P35/2+M232,IF(OR(L232=2,L232=9),input!R35+input!P35/2-input!H35+M232,ABS(input!P35/2-M232)))</f>
        <v>2735.9801545639079</v>
      </c>
      <c r="AH232" s="143">
        <f>IF(OR(L232=1,L232=8,L232="a",L232="b",L232="c",L232="d"),input!M35-M232-input!AE35/2,IF(OR(L232=2,L232=9),input!H35-M232+input!M35-input!AE35/2,input!R35+input!P35-M232+input!M35-input!AE35/2))</f>
        <v>253.01984543609206</v>
      </c>
      <c r="AI232" s="143">
        <f>IF(OR(L232=1,L232=8,L232="a",L232="b",L232="c",L232="d"),M232-input!AH35/2,IF(OR(L232=2,L232=9),input!H35-M232+input!AH35/2,input!R35+input!P35-M232+input!AH35/2))</f>
        <v>2590.9801545639079</v>
      </c>
      <c r="AJ232" s="143">
        <f>IF(OR(L232=1,L232=8,L232="a",L232="b",L232="c",L232="d"),M232+input!R35+input!AB35,IF(OR(L232=2,L232=9),input!R35+input!AB35-input!H35+M232,IF(L232=3,input!AB35-(input!P35-M232),ABS(input!P35-input!AB35-M232))))</f>
        <v>2630.9801545639079</v>
      </c>
      <c r="AK232" s="143">
        <f>IF(OR(L232=1,L232=8,L232="a",L232="b",L232="c",L232="d"),M232+input!R35+input!P35-input!Y35,IF(OR(L232=2,L232=9),input!R35+input!P35-input!Y35-input!H35+M232,ABS(input!Y35-M232)))</f>
        <v>2830.9801545639079</v>
      </c>
      <c r="AL232" s="143">
        <f>IF(OR(L232=1,L232=8,L232="a",L232="b",L232="c",L232="d"),input!M35-M232-input!O35/2,IF(OR(L232=2,L232=9),input!H35-M232+input!M35-input!O35/2,0))</f>
        <v>155.01984543609206</v>
      </c>
      <c r="AM232" s="143">
        <f>IF(OR(L232=1,L232=8,L232="a",L232="b",L232="c",L232="d"),input!M35-M232-input!O35/2,IF(OR(L232=2,L232=9),input!H35-M232+input!M35-input!O35/2,input!R35+input!P35-M232+input!M35-input!O35/2))</f>
        <v>155.01984543609206</v>
      </c>
      <c r="AN232" s="143">
        <f>C232/2/input!M35*(M232^2+(input!M35-M232)^2)+B232*AD232+D232*AF232+E232*AG232+F232*AH232+G232*AI232+H232*AJ232+I232*AK232+J232*AM232</f>
        <v>238524599.3584944</v>
      </c>
      <c r="AO232" s="143">
        <f>IF(input!AH35=0,0,1/2/input!AH35)*G232*(M232^2+(input!AH35-M232)^2)+D232*AF232+F232*AH232+C232/2/input!M35*(M232^2+(input!M35-M232)^2)+B232*AD232+E232*AG232+H232*AJ232+I232*AK232+J232*AM232</f>
        <v>238524599.3584944</v>
      </c>
      <c r="AP232" s="143">
        <f>+D232/2/input!H35*(M232^2+(input!H35-M232)^2)+B232*AD232+F232*AH232+G232*AI232+C232*AE232+E232*AG232+H232*AJ232+I232*AK232+J232*AM232</f>
        <v>4205761934.0004621</v>
      </c>
      <c r="AQ232" s="143">
        <f>+(M232^2)/2/input!P35*E232+D232*AF232+F232*AH232+G232*AI232+C232*AE232+B232*AD232+H232*AJ232+I232*AK232+J232*AM232</f>
        <v>656968569.16519833</v>
      </c>
      <c r="AR232" s="143">
        <f>+(M232^2)/2/input!P35*E232+D232*AF232+F232*AH232+G232*AI232+C232*AE232+B232*AD232+I232*AK232+J232*AM232</f>
        <v>651255477.73521817</v>
      </c>
      <c r="AS232" s="143">
        <f>+(M232^2)/2/input!P35*E232+D232*AF232+F232*AH232+G232*AI232+C232*AE232+B232*AD232+H232*AJ232+I232*AK232+J232*AM232</f>
        <v>656968569.16519833</v>
      </c>
      <c r="AT232" s="143">
        <f>+(M232^2)/2/input!P35*E232+D232*AF232+F232*AH232+G232*AI232+C232*AE232+B232*AD232+H232*AJ232+J232*AM232</f>
        <v>648299795.50649953</v>
      </c>
      <c r="AU232" s="143">
        <f>+(M232^2)/2/input!P35*E232+D232*AF232+F232*AH232+G232*AI232+C232*AE232+B232*AD232+H232*AJ232+I232*AK232+J232*AM232</f>
        <v>656968569.16519833</v>
      </c>
      <c r="AV232" s="143">
        <f>IF(input!AE35=0,0,1/2/input!AE35)*F232*((input!M35-M232)^2+(input!AE35-input!M35+M232)^2)+C232/2/input!M35*(M232^2+(M232-input!M35)^2)+IF(input!O35=0,0,1/2/input!O35)*K232*(input!M35-M232)^2+B232*AD232+G232*AI232+D232*AF232+H232*AJ232+I232*AK232+J232*AM232</f>
        <v>113101098.87009488</v>
      </c>
      <c r="AW232" s="143">
        <f>+C232/2/input!M35*(M232^2+(M232-input!M35)^2)+IF(input!O35=0,0,1/2/input!O35)*K232*(input!M35-M232)^2+B232*AD232+F232*AH232+G232*AI232+D232*AF232+H232*AJ232+I232*AK232+J232*AM232</f>
        <v>112737078.72841178</v>
      </c>
      <c r="AX232" s="143">
        <f>C232/2/input!M35*(M232^2+(M232-input!M35)^2)+K232*AL232+B232*AD232+F232*AH232+G232*AI232+D232*AF232+H232*AJ232+I232*AK232+J232*AM232</f>
        <v>112717850.07223505</v>
      </c>
      <c r="AY232" s="143">
        <f>C232/2/input!M35*(M232^2+(M232-input!M35)^2)+IF(input!AH35=0,0,1/2/input!AH35)*G232*(M232^2+(input!AH35-M232)^2)+K232*AL232+B232*AD232+F232*AH232+D232*AF232+H232*AJ232+I232*AK232+J232*AM232</f>
        <v>112717850.07223505</v>
      </c>
      <c r="AZ232" s="143">
        <f>D232/2/input!H35*(M232^2+(input!H35-M232)^2)+B232*AD232+K232*AL232+F232*AH232+C232*AE232+G232*AI232+H232*AJ232+I232*AK232+J232*AM232</f>
        <v>4079955184.7142024</v>
      </c>
      <c r="BA232" s="185"/>
    </row>
    <row r="233" spans="1:53" ht="15" customHeight="1">
      <c r="A233" s="579" t="str">
        <f>+input!B36</f>
        <v>117j</v>
      </c>
      <c r="B233" s="642">
        <f>+input!J36*input!K36*input!BJ36/1000</f>
        <v>20311.759999999998</v>
      </c>
      <c r="C233" s="642">
        <f>+input!BQ36*input!N36*2*input!BK36/1000</f>
        <v>25106.354363666578</v>
      </c>
      <c r="D233" s="642">
        <f>+input!F36*input!G36*input!H36*input!BI36/1000</f>
        <v>21888</v>
      </c>
      <c r="E233" s="642">
        <f>0.85*Fck*input!P36*input!Q36/1000</f>
        <v>47451.25</v>
      </c>
      <c r="F233" s="642">
        <f>input!AD36*input!AE36*input!AF36*input!BN36/1000</f>
        <v>1945.6</v>
      </c>
      <c r="G233" s="642">
        <f>input!AG36*input!AH36*input!AI36*input!BM36/1000</f>
        <v>0</v>
      </c>
      <c r="H233" s="642">
        <f>input!CB36*Fys/1000</f>
        <v>2171.4688421612645</v>
      </c>
      <c r="I233" s="642">
        <f>input!BZ36*Fys/1000</f>
        <v>3062.1103594539709</v>
      </c>
      <c r="J233" s="642">
        <f>input!AC36*Fys/1000</f>
        <v>2412.7431579569611</v>
      </c>
      <c r="K233" s="642">
        <f>input!BT36*0.85*Fckb/1000</f>
        <v>25925.255000000001</v>
      </c>
      <c r="L233" s="795" t="str">
        <f>IF(Stress!F865&lt;=0,IF(B233+F233+(input!M36-2*input!AH36)/input!M36*C233+J233&gt;=G233+D233+E233+H233+I233,1,IF(B233+F233+C233+G233+J233&gt;=D233+E233+H233+I233,"a",IF(B233+F233+C233+G233+D233+J233&gt;=E233+H233+I233,2,IF(B233+F233+C233+G233+D233+J233&gt;=(input!P36-input!AB36)/input!P36*E233+H233+I233,3,IF(B233+F233+C233+G233+D233+H233+J233&gt;=(input!P36-input!AB36)/input!P36*E233+I233,4,IF(B233+F233+C233+G233+D233+H233+J233&gt;=input!Y36/input!P36*E233+I233,5,IF(B233+F233+C233+G233+D233+H233+I233+J233&gt;=input!Y36/input!P36*E233,6,7))))))),IF(B233+F233+IF(input!O36=0,0,input!AE36/input!O36)*K233+input!AE36/input!M36*C233&gt;=(input!M36-input!AE36)*C233/input!M36+G233+D233+H233+I233,"b",IF(B233+F233+K233+input!O36/input!M36*C233&gt;=(input!M36-input!O36)/input!M36*C233+G233+D233+H233+I233,"c",IF(B233+F233+J233+K233+(input!M36-input!AH36)/input!M36*C233&gt;=G233+D233+H233+I233,8,IF(B233+F233+J233+K233+C233+G233&gt;=D233+H233+I233,"d",9)))))</f>
        <v>c</v>
      </c>
      <c r="M233" s="643">
        <f t="shared" si="2"/>
        <v>2590.9801545639079</v>
      </c>
      <c r="N233" s="493">
        <f t="shared" si="3"/>
        <v>112737.07872841178</v>
      </c>
      <c r="O233" s="766"/>
      <c r="Q233" s="73">
        <f>input!M36/2*((B233+F233+J233-G233-D233-E233-H233-I233)/C233+1)</f>
        <v>-1443.9490047432569</v>
      </c>
      <c r="R233" s="73">
        <f>(B233+F233+J233+C233+G233-D233-E233-H233-I233)/(2/input!M36*C233+IF(input!AH36=0,0,2/input!AH36)*G233)</f>
        <v>-1443.9490047432562</v>
      </c>
      <c r="S233" s="73">
        <f>input!H36/2*(B233+F233+J233+C233+G233-E233-H233-I233+D233)/D233</f>
        <v>15.608246973691042</v>
      </c>
      <c r="T233" s="558">
        <f>input!P36*(B233+F233+J233+C233+G233+D233-H233-I233)/E233</f>
        <v>405.99467269676575</v>
      </c>
      <c r="U233" s="73">
        <f>input!P36-input!AB36</f>
        <v>250</v>
      </c>
      <c r="V233" s="558">
        <f>input!P36*(B233+F233+J233+C233+G233+D233+H233-I233)/E233</f>
        <v>432.53669062998216</v>
      </c>
      <c r="W233" s="73">
        <f>input!Y36</f>
        <v>50</v>
      </c>
      <c r="X233" s="558">
        <f>input!P36*(B233+F233+J233+C233+G233+D233+H233+I233)/E233</f>
        <v>469.96508310611938</v>
      </c>
      <c r="Y233" s="73">
        <f>(B233+C233+IF(input!O36=0,0,input!M36/input!O36)*K233+(IF(input!AE36=0,0,2*input!M36/input!AE36)-1)*F233-D233-G233-H233-I233)/(IF(input!AE36=0,0,2/input!AE36)*F233+IF(input!O36=0,0,1/input!O36)*K233+2/input!M36*C233)</f>
        <v>2627.7889077263767</v>
      </c>
      <c r="Z233" s="73">
        <f>(B233+C233+F233+IF(input!O36=0,0,input!M36/input!O36)*K233-D233-G233-H233-I233)/(IF(input!O36=0,0,1/input!O36)*K233+2/input!M36*C233)</f>
        <v>2590.9801545639079</v>
      </c>
      <c r="AA233" s="73">
        <f>input!M36/2*(B233+F233+J233+K233-G233-D233-H233-I233+C233)/C233</f>
        <v>2828.9314284768043</v>
      </c>
      <c r="AB233" s="73">
        <f>(B233+F233+J233+K233+G233+C233-D233-H233-I233)/(IF(input!AH36=0,0,2/input!AH36)*G233+2/input!M36*C233)</f>
        <v>2828.9314284768034</v>
      </c>
      <c r="AC233" s="143">
        <f>input!H36/2*(B233+F233+K233+G233+C233-H233-I233+D233+J233)/D233</f>
        <v>75.950767532901565</v>
      </c>
      <c r="AD233" s="165">
        <f>IF(OR(L233=1,L233=8,L233="a",L233="b",L233="c",L233="d"),input!M36-M233+input!K36/2,IF(OR(L233=2,L233=9),input!H36-M233+input!M36+input!K36/2,input!R36+input!P36-M233+input!M36+input!K36/2))</f>
        <v>347.01984543609206</v>
      </c>
      <c r="AE233" s="143">
        <f>IF(OR(L233=1,L233=8,L233="a",L233="b",L233="c",L233="d"),ABS(input!M36/2-M233),IF(OR(L233=2,L233=9),input!H36-M233+input!M36/2,input!R36+input!P36-M233+input!M36/2))</f>
        <v>1128.9801545639079</v>
      </c>
      <c r="AF233" s="143">
        <f>IF(OR(L233=1,L233=8,L233="a",L233="b",L233="c",L233="d"),M233+input!H36/2,IF(OR(L233=2,L233=9),ABS(input!H36/2-M233),input!R36+input!P36-M233-input!H36/2))</f>
        <v>2608.9801545639079</v>
      </c>
      <c r="AG233" s="143">
        <f>IF(OR(L233=1,L233=8,L233="a",L233="b",L233="c",L233="d"),input!R36+input!P36/2+M233,IF(OR(L233=2,L233=9),input!R36+input!P36/2-input!H36+M233,ABS(input!P36/2-M233)))</f>
        <v>2735.9801545639079</v>
      </c>
      <c r="AH233" s="143">
        <f>IF(OR(L233=1,L233=8,L233="a",L233="b",L233="c",L233="d"),input!M36-M233-input!AE36/2,IF(OR(L233=2,L233=9),input!H36-M233+input!M36-input!AE36/2,input!R36+input!P36-M233+input!M36-input!AE36/2))</f>
        <v>253.01984543609206</v>
      </c>
      <c r="AI233" s="143">
        <f>IF(OR(L233=1,L233=8,L233="a",L233="b",L233="c",L233="d"),M233-input!AH36/2,IF(OR(L233=2,L233=9),input!H36-M233+input!AH36/2,input!R36+input!P36-M233+input!AH36/2))</f>
        <v>2590.9801545639079</v>
      </c>
      <c r="AJ233" s="143">
        <f>IF(OR(L233=1,L233=8,L233="a",L233="b",L233="c",L233="d"),M233+input!R36+input!AB36,IF(OR(L233=2,L233=9),input!R36+input!AB36-input!H36+M233,IF(L233=3,input!AB36-(input!P36-M233),ABS(input!P36-input!AB36-M233))))</f>
        <v>2630.9801545639079</v>
      </c>
      <c r="AK233" s="143">
        <f>IF(OR(L233=1,L233=8,L233="a",L233="b",L233="c",L233="d"),M233+input!R36+input!P36-input!Y36,IF(OR(L233=2,L233=9),input!R36+input!P36-input!Y36-input!H36+M233,ABS(input!Y36-M233)))</f>
        <v>2830.9801545639079</v>
      </c>
      <c r="AL233" s="143">
        <f>IF(OR(L233=1,L233=8,L233="a",L233="b",L233="c",L233="d"),input!M36-M233-input!O36/2,IF(OR(L233=2,L233=9),input!H36-M233+input!M36-input!O36/2,0))</f>
        <v>155.01984543609206</v>
      </c>
      <c r="AM233" s="143">
        <f>IF(OR(L233=1,L233=8,L233="a",L233="b",L233="c",L233="d"),input!M36-M233-input!O36/2,IF(OR(L233=2,L233=9),input!H36-M233+input!M36-input!O36/2,input!R36+input!P36-M233+input!M36-input!O36/2))</f>
        <v>155.01984543609206</v>
      </c>
      <c r="AN233" s="143">
        <f>C233/2/input!M36*(M233^2+(input!M36-M233)^2)+B233*AD233+D233*AF233+E233*AG233+F233*AH233+G233*AI233+H233*AJ233+I233*AK233+J233*AM233</f>
        <v>238524599.3584944</v>
      </c>
      <c r="AO233" s="143">
        <f>IF(input!AH36=0,0,1/2/input!AH36)*G233*(M233^2+(input!AH36-M233)^2)+D233*AF233+F233*AH233+C233/2/input!M36*(M233^2+(input!M36-M233)^2)+B233*AD233+E233*AG233+H233*AJ233+I233*AK233+J233*AM233</f>
        <v>238524599.3584944</v>
      </c>
      <c r="AP233" s="143">
        <f>+D233/2/input!H36*(M233^2+(input!H36-M233)^2)+B233*AD233+F233*AH233+G233*AI233+C233*AE233+E233*AG233+H233*AJ233+I233*AK233+J233*AM233</f>
        <v>4205761934.0004621</v>
      </c>
      <c r="AQ233" s="143">
        <f>+(M233^2)/2/input!P36*E233+D233*AF233+F233*AH233+G233*AI233+C233*AE233+B233*AD233+H233*AJ233+I233*AK233+J233*AM233</f>
        <v>656968569.16519833</v>
      </c>
      <c r="AR233" s="143">
        <f>+(M233^2)/2/input!P36*E233+D233*AF233+F233*AH233+G233*AI233+C233*AE233+B233*AD233+I233*AK233+J233*AM233</f>
        <v>651255477.73521817</v>
      </c>
      <c r="AS233" s="143">
        <f>+(M233^2)/2/input!P36*E233+D233*AF233+F233*AH233+G233*AI233+C233*AE233+B233*AD233+H233*AJ233+I233*AK233+J233*AM233</f>
        <v>656968569.16519833</v>
      </c>
      <c r="AT233" s="143">
        <f>+(M233^2)/2/input!P36*E233+D233*AF233+F233*AH233+G233*AI233+C233*AE233+B233*AD233+H233*AJ233+J233*AM233</f>
        <v>648299795.50649953</v>
      </c>
      <c r="AU233" s="143">
        <f>+(M233^2)/2/input!P36*E233+D233*AF233+F233*AH233+G233*AI233+C233*AE233+B233*AD233+H233*AJ233+I233*AK233+J233*AM233</f>
        <v>656968569.16519833</v>
      </c>
      <c r="AV233" s="143">
        <f>IF(input!AE36=0,0,1/2/input!AE36)*F233*((input!M36-M233)^2+(input!AE36-input!M36+M233)^2)+C233/2/input!M36*(M233^2+(M233-input!M36)^2)+IF(input!O36=0,0,1/2/input!O36)*K233*(input!M36-M233)^2+B233*AD233+G233*AI233+D233*AF233+H233*AJ233+I233*AK233+J233*AM233</f>
        <v>113101098.87009488</v>
      </c>
      <c r="AW233" s="143">
        <f>+C233/2/input!M36*(M233^2+(M233-input!M36)^2)+IF(input!O36=0,0,1/2/input!O36)*K233*(input!M36-M233)^2+B233*AD233+F233*AH233+G233*AI233+D233*AF233+H233*AJ233+I233*AK233+J233*AM233</f>
        <v>112737078.72841178</v>
      </c>
      <c r="AX233" s="143">
        <f>C233/2/input!M36*(M233^2+(M233-input!M36)^2)+K233*AL233+B233*AD233+F233*AH233+G233*AI233+D233*AF233+H233*AJ233+I233*AK233+J233*AM233</f>
        <v>112717850.07223505</v>
      </c>
      <c r="AY233" s="143">
        <f>C233/2/input!M36*(M233^2+(M233-input!M36)^2)+IF(input!AH36=0,0,1/2/input!AH36)*G233*(M233^2+(input!AH36-M233)^2)+K233*AL233+B233*AD233+F233*AH233+D233*AF233+H233*AJ233+I233*AK233+J233*AM233</f>
        <v>112717850.07223505</v>
      </c>
      <c r="AZ233" s="143">
        <f>D233/2/input!H36*(M233^2+(input!H36-M233)^2)+B233*AD233+K233*AL233+F233*AH233+C233*AE233+G233*AI233+H233*AJ233+I233*AK233+J233*AM233</f>
        <v>4079955184.7142024</v>
      </c>
      <c r="BA233" s="185"/>
    </row>
    <row r="234" spans="1:53" ht="15" customHeight="1">
      <c r="A234" s="579" t="str">
        <f>+input!B37</f>
        <v>118i</v>
      </c>
      <c r="B234" s="642">
        <f>+input!J37*input!K37*input!BJ37/1000</f>
        <v>21249.599999999999</v>
      </c>
      <c r="C234" s="642">
        <f>+input!BQ37*input!N37*2*input!BK37/1000</f>
        <v>31084.007485374212</v>
      </c>
      <c r="D234" s="642">
        <f>+input!F37*input!G37*input!H37*input!BI37/1000</f>
        <v>44080</v>
      </c>
      <c r="E234" s="642">
        <f>0.85*Fck*input!P37*input!Q37/1000</f>
        <v>47019.875</v>
      </c>
      <c r="F234" s="642">
        <f>input!AD37*input!AE37*input!AF37*input!BN37/1000</f>
        <v>1945.6</v>
      </c>
      <c r="G234" s="642">
        <f>input!AG37*input!AH37*input!AI37*input!BM37/1000</f>
        <v>0</v>
      </c>
      <c r="H234" s="642">
        <f>input!CB37*Fys/1000</f>
        <v>2171.4688421612645</v>
      </c>
      <c r="I234" s="642">
        <f>input!BZ37*Fys/1000</f>
        <v>3062.1103594539709</v>
      </c>
      <c r="J234" s="642">
        <f>input!AC37*Fys/1000</f>
        <v>2412.7431579569611</v>
      </c>
      <c r="K234" s="642">
        <f>input!BT37*0.85*Fckb/1000</f>
        <v>36731.328804382851</v>
      </c>
      <c r="L234" s="795">
        <f>IF(Stress!F866&lt;=0,IF(B234+F234+(input!M37-2*input!AH37)/input!M37*C234+J234&gt;=G234+D234+E234+H234+I234,1,IF(B234+F234+C234+G234+J234&gt;=D234+E234+H234+I234,"a",IF(B234+F234+C234+G234+D234+J234&gt;=E234+H234+I234,2,IF(B234+F234+C234+G234+D234+J234&gt;=(input!P37-input!AB37)/input!P37*E234+H234+I234,3,IF(B234+F234+C234+G234+D234+H234+J234&gt;=(input!P37-input!AB37)/input!P37*E234+I234,4,IF(B234+F234+C234+G234+D234+H234+J234&gt;=input!Y37/input!P37*E234+I234,5,IF(B234+F234+C234+G234+D234+H234+I234+J234&gt;=input!Y37/input!P37*E234,6,7))))))),IF(B234+F234+IF(input!O37=0,0,input!AE37/input!O37)*K234+input!AE37/input!M37*C234&gt;=(input!M37-input!AE37)*C234/input!M37+G234+D234+H234+I234,"b",IF(B234+F234+K234+input!O37/input!M37*C234&gt;=(input!M37-input!O37)/input!M37*C234+G234+D234+H234+I234,"c",IF(B234+F234+J234+K234+(input!M37-input!AH37)/input!M37*C234&gt;=G234+D234+H234+I234,8,IF(B234+F234+J234+K234+C234+G234&gt;=D234+H234+I234,"d",9)))))</f>
        <v>8</v>
      </c>
      <c r="M234" s="643">
        <f t="shared" si="2"/>
        <v>2201.6530514613723</v>
      </c>
      <c r="N234" s="493">
        <f t="shared" si="3"/>
        <v>184954.04925736002</v>
      </c>
      <c r="O234" s="766"/>
      <c r="Q234" s="73">
        <f>input!M37/2*((B234+F234+J234-G234-D234-E234-H234-I234)/C234+1)</f>
        <v>-1978.6313846313665</v>
      </c>
      <c r="R234" s="73">
        <f>(B234+F234+J234+C234+G234-D234-E234-H234-I234)/(2/input!M37*C234+IF(input!AH37=0,0,2/input!AH37)*G234)</f>
        <v>-1978.6313846313658</v>
      </c>
      <c r="S234" s="73">
        <f>input!H37/2*(B234+F234+J234+C234+G234-E234-H234-I234+D234)/D234</f>
        <v>22.013836861032637</v>
      </c>
      <c r="T234" s="558">
        <f>input!P37*(B234+F234+J234+C234+G234+D234-H234-I234)/E234</f>
        <v>589.24290458232008</v>
      </c>
      <c r="U234" s="73">
        <f>input!P37-input!AB37</f>
        <v>250</v>
      </c>
      <c r="V234" s="558">
        <f>input!P37*(B234+F234+J234+C234+G234+D234+H234-I234)/E234</f>
        <v>616.02842726721735</v>
      </c>
      <c r="W234" s="73">
        <f>input!Y37</f>
        <v>50</v>
      </c>
      <c r="X234" s="558">
        <f>input!P37*(B234+F234+J234+C234+G234+D234+H234+I234)/E234</f>
        <v>653.80019949084203</v>
      </c>
      <c r="Y234" s="73">
        <f>(B234+C234+IF(input!O37=0,0,input!M37/input!O37)*K234+(IF(input!AE37=0,0,2*input!M37/input!AE37)-1)*F234-D234-G234-H234-I234)/(IF(input!AE37=0,0,2/input!AE37)*F234+IF(input!O37=0,0,1/input!O37)*K234+2/input!M37*C234)</f>
        <v>2576.7652313423459</v>
      </c>
      <c r="Z234" s="73">
        <f>(B234+C234+F234+IF(input!O37=0,0,input!M37/input!O37)*K234-D234-G234-H234-I234)/(IF(input!O37=0,0,1/input!O37)*K234+2/input!M37*C234)</f>
        <v>2479.7152399895549</v>
      </c>
      <c r="AA234" s="73">
        <f>input!M37/2*(B234+F234+J234+K234-G234-D234-H234-I234+C234)/C234</f>
        <v>2201.6530514613723</v>
      </c>
      <c r="AB234" s="73">
        <f>(B234+F234+J234+K234+G234+C234-D234-H234-I234)/(IF(input!AH37=0,0,2/input!AH37)*G234+2/input!M37*C234)</f>
        <v>2201.653051461371</v>
      </c>
      <c r="AC234" s="143">
        <f>input!H37/2*(B234+F234+K234+G234+C234-H234-I234+D234+J234)/D234</f>
        <v>60.013475610752621</v>
      </c>
      <c r="AD234" s="165">
        <f>IF(OR(L234=1,L234=8,L234="a",L234="b",L234="c",L234="d"),input!M37-M234+input!K37/2,IF(OR(L234=2,L234=9),input!H37-M234+input!M37+input!K37/2,input!R37+input!P37-M234+input!M37+input!K37/2))</f>
        <v>916.34694853862766</v>
      </c>
      <c r="AE234" s="143">
        <f>IF(OR(L234=1,L234=8,L234="a",L234="b",L234="c",L234="d"),ABS(input!M37/2-M234),IF(OR(L234=2,L234=9),input!H37-M234+input!M37/2,input!R37+input!P37-M234+input!M37/2))</f>
        <v>650.15305146137234</v>
      </c>
      <c r="AF234" s="143">
        <f>IF(OR(L234=1,L234=8,L234="a",L234="b",L234="c",L234="d"),M234+input!H37/2,IF(OR(L234=2,L234=9),ABS(input!H37/2-M234),input!R37+input!P37-M234-input!H37/2))</f>
        <v>2221.6530514613723</v>
      </c>
      <c r="AG234" s="143">
        <f>IF(OR(L234=1,L234=8,L234="a",L234="b",L234="c",L234="d"),input!R37+input!P37/2+M234,IF(OR(L234=2,L234=9),input!R37+input!P37/2-input!H37+M234,ABS(input!P37/2-M234)))</f>
        <v>2346.6530514613723</v>
      </c>
      <c r="AH234" s="143">
        <f>IF(OR(L234=1,L234=8,L234="a",L234="b",L234="c",L234="d"),input!M37-M234-input!AE37/2,IF(OR(L234=2,L234=9),input!H37-M234+input!M37-input!AE37/2,input!R37+input!P37-M234+input!M37-input!AE37/2))</f>
        <v>821.34694853862766</v>
      </c>
      <c r="AI234" s="143">
        <f>IF(OR(L234=1,L234=8,L234="a",L234="b",L234="c",L234="d"),M234-input!AH37/2,IF(OR(L234=2,L234=9),input!H37-M234+input!AH37/2,input!R37+input!P37-M234+input!AH37/2))</f>
        <v>2201.6530514613723</v>
      </c>
      <c r="AJ234" s="143">
        <f>IF(OR(L234=1,L234=8,L234="a",L234="b",L234="c",L234="d"),M234+input!R37+input!AB37,IF(OR(L234=2,L234=9),input!R37+input!AB37-input!H37+M234,IF(L234=3,input!AB37-(input!P37-M234),ABS(input!P37-input!AB37-M234))))</f>
        <v>2241.6530514613723</v>
      </c>
      <c r="AK234" s="143">
        <f>IF(OR(L234=1,L234=8,L234="a",L234="b",L234="c",L234="d"),M234+input!R37+input!P37-input!Y37,IF(OR(L234=2,L234=9),input!R37+input!P37-input!Y37-input!H37+M234,ABS(input!Y37-M234)))</f>
        <v>2441.6530514613723</v>
      </c>
      <c r="AL234" s="143">
        <f>IF(OR(L234=1,L234=8,L234="a",L234="b",L234="c",L234="d"),input!M37-M234-input!O37/2,IF(OR(L234=2,L234=9),input!H37-M234+input!M37-input!O37/2,0))</f>
        <v>645.34694853862766</v>
      </c>
      <c r="AM234" s="143">
        <f>IF(OR(L234=1,L234=8,L234="a",L234="b",L234="c",L234="d"),input!M37-M234-input!O37/2,IF(OR(L234=2,L234=9),input!H37-M234+input!M37-input!O37/2,input!R37+input!P37-M234+input!M37-input!O37/2))</f>
        <v>645.34694853862766</v>
      </c>
      <c r="AN234" s="143">
        <f>C234/2/input!M37*(M234^2+(input!M37-M234)^2)+B234*AD234+D234*AF234+E234*AG234+F234*AH234+G234*AI234+H234*AJ234+I234*AK234+J234*AM234</f>
        <v>271588931.4457649</v>
      </c>
      <c r="AO234" s="143">
        <f>IF(input!AH37=0,0,1/2/input!AH37)*G234*(M234^2+(input!AH37-M234)^2)+D234*AF234+F234*AH234+C234/2/input!M37*(M234^2+(input!M37-M234)^2)+B234*AD234+E234*AG234+H234*AJ234+I234*AK234+J234*AM234</f>
        <v>271588931.4457649</v>
      </c>
      <c r="AP234" s="143">
        <f>+D234/2/input!H37*(M234^2+(input!H37-M234)^2)+B234*AD234+F234*AH234+G234*AI234+C234*AE234+E234*AG234+H234*AJ234+I234*AK234+J234*AM234</f>
        <v>5411051122.2206316</v>
      </c>
      <c r="AQ234" s="143">
        <f>+(M234^2)/2/input!P37*E234+D234*AF234+F234*AH234+G234*AI234+C234*AE234+B234*AD234+H234*AJ234+I234*AK234+J234*AM234</f>
        <v>546073813.97695088</v>
      </c>
      <c r="AR234" s="143">
        <f>+(M234^2)/2/input!P37*E234+D234*AF234+F234*AH234+G234*AI234+C234*AE234+B234*AD234+I234*AK234+J234*AM234</f>
        <v>541206134.22076678</v>
      </c>
      <c r="AS234" s="143">
        <f>+(M234^2)/2/input!P37*E234+D234*AF234+F234*AH234+G234*AI234+C234*AE234+B234*AD234+H234*AJ234+I234*AK234+J234*AM234</f>
        <v>546073813.97695088</v>
      </c>
      <c r="AT234" s="143">
        <f>+(M234^2)/2/input!P37*E234+D234*AF234+F234*AH234+G234*AI234+C234*AE234+B234*AD234+H234*AJ234+J234*AM234</f>
        <v>538597202.8738786</v>
      </c>
      <c r="AU234" s="143">
        <f>+(M234^2)/2/input!P37*E234+D234*AF234+F234*AH234+G234*AI234+C234*AE234+B234*AD234+H234*AJ234+I234*AK234+J234*AM234</f>
        <v>546073813.97695088</v>
      </c>
      <c r="AV234" s="143">
        <f>IF(input!AE37=0,0,1/2/input!AE37)*F234*((input!M37-M234)^2+(input!AE37-input!M37+M234)^2)+C234/2/input!M37*(M234^2+(M234-input!M37)^2)+IF(input!O37=0,0,1/2/input!O37)*K234*(input!M37-M234)^2+B234*AD234+G234*AI234+D234*AF234+H234*AJ234+I234*AK234+J234*AM234</f>
        <v>197074765.35459432</v>
      </c>
      <c r="AW234" s="143">
        <f>+C234/2/input!M37*(M234^2+(M234-input!M37)^2)+IF(input!O37=0,0,1/2/input!O37)*K234*(input!M37-M234)^2+B234*AD234+F234*AH234+G234*AI234+D234*AF234+H234*AJ234+I234*AK234+J234*AM234</f>
        <v>190391686.52960667</v>
      </c>
      <c r="AX234" s="143">
        <f>C234/2/input!M37*(M234^2+(M234-input!M37)^2)+K234*AL234+B234*AD234+F234*AH234+G234*AI234+D234*AF234+H234*AJ234+I234*AK234+J234*AM234</f>
        <v>184954049.25736001</v>
      </c>
      <c r="AY234" s="143">
        <f>C234/2/input!M37*(M234^2+(M234-input!M37)^2)+IF(input!AH37=0,0,1/2/input!AH37)*G234*(M234^2+(input!AH37-M234)^2)+K234*AL234+B234*AD234+F234*AH234+D234*AF234+H234*AJ234+I234*AK234+J234*AM234</f>
        <v>184954049.25736001</v>
      </c>
      <c r="AZ234" s="143">
        <f>D234/2/input!H37*(M234^2+(input!H37-M234)^2)+B234*AD234+K234*AL234+F234*AH234+C234*AE234+G234*AI234+H234*AJ234+I234*AK234+J234*AM234</f>
        <v>5324416240.0322266</v>
      </c>
      <c r="BA234" s="185"/>
    </row>
    <row r="235" spans="1:53" ht="15" customHeight="1">
      <c r="A235" s="579" t="str">
        <f>+input!B38</f>
        <v>118j</v>
      </c>
      <c r="B235" s="642">
        <f>+input!J38*input!K38*input!BJ38/1000</f>
        <v>21249.599999999999</v>
      </c>
      <c r="C235" s="642">
        <f>+input!BQ38*input!N38*2*input!BK38/1000</f>
        <v>31084.007485374212</v>
      </c>
      <c r="D235" s="642">
        <f>+input!F38*input!G38*input!H38*input!BI38/1000</f>
        <v>44080</v>
      </c>
      <c r="E235" s="642">
        <f>0.85*Fck*input!P38*input!Q38/1000</f>
        <v>47019.875</v>
      </c>
      <c r="F235" s="642">
        <f>input!AD38*input!AE38*input!AF38*input!BN38/1000</f>
        <v>1945.6</v>
      </c>
      <c r="G235" s="642">
        <f>input!AG38*input!AH38*input!AI38*input!BM38/1000</f>
        <v>0</v>
      </c>
      <c r="H235" s="642">
        <f>input!CB38*Fys/1000</f>
        <v>2171.4688421612645</v>
      </c>
      <c r="I235" s="642">
        <f>input!BZ38*Fys/1000</f>
        <v>3062.1103594539709</v>
      </c>
      <c r="J235" s="642">
        <f>input!AC38*Fys/1000</f>
        <v>2412.7431579569611</v>
      </c>
      <c r="K235" s="642">
        <f>input!BT38*0.85*Fckb/1000</f>
        <v>36731.328804382851</v>
      </c>
      <c r="L235" s="795">
        <f>IF(Stress!F867&lt;=0,IF(B235+F235+(input!M38-2*input!AH38)/input!M38*C235+J235&gt;=G235+D235+E235+H235+I235,1,IF(B235+F235+C235+G235+J235&gt;=D235+E235+H235+I235,"a",IF(B235+F235+C235+G235+D235+J235&gt;=E235+H235+I235,2,IF(B235+F235+C235+G235+D235+J235&gt;=(input!P38-input!AB38)/input!P38*E235+H235+I235,3,IF(B235+F235+C235+G235+D235+H235+J235&gt;=(input!P38-input!AB38)/input!P38*E235+I235,4,IF(B235+F235+C235+G235+D235+H235+J235&gt;=input!Y38/input!P38*E235+I235,5,IF(B235+F235+C235+G235+D235+H235+I235+J235&gt;=input!Y38/input!P38*E235,6,7))))))),IF(B235+F235+IF(input!O38=0,0,input!AE38/input!O38)*K235+input!AE38/input!M38*C235&gt;=(input!M38-input!AE38)*C235/input!M38+G235+D235+H235+I235,"b",IF(B235+F235+K235+input!O38/input!M38*C235&gt;=(input!M38-input!O38)/input!M38*C235+G235+D235+H235+I235,"c",IF(B235+F235+J235+K235+(input!M38-input!AH38)/input!M38*C235&gt;=G235+D235+H235+I235,8,IF(B235+F235+J235+K235+C235+G235&gt;=D235+H235+I235,"d",9)))))</f>
        <v>8</v>
      </c>
      <c r="M235" s="643">
        <f t="shared" si="2"/>
        <v>2201.6530514613723</v>
      </c>
      <c r="N235" s="493">
        <f t="shared" si="3"/>
        <v>184954.04925736002</v>
      </c>
      <c r="O235" s="766"/>
      <c r="Q235" s="73">
        <f>input!M38/2*((B235+F235+J235-G235-D235-E235-H235-I235)/C235+1)</f>
        <v>-1978.6313846313665</v>
      </c>
      <c r="R235" s="73">
        <f>(B235+F235+J235+C235+G235-D235-E235-H235-I235)/(2/input!M38*C235+IF(input!AH38=0,0,2/input!AH38)*G235)</f>
        <v>-1978.6313846313658</v>
      </c>
      <c r="S235" s="73">
        <f>input!H38/2*(B235+F235+J235+C235+G235-E235-H235-I235+D235)/D235</f>
        <v>22.013836861032637</v>
      </c>
      <c r="T235" s="558">
        <f>input!P38*(B235+F235+J235+C235+G235+D235-H235-I235)/E235</f>
        <v>589.24290458232008</v>
      </c>
      <c r="U235" s="73">
        <f>input!P38-input!AB38</f>
        <v>250</v>
      </c>
      <c r="V235" s="558">
        <f>input!P38*(B235+F235+J235+C235+G235+D235+H235-I235)/E235</f>
        <v>616.02842726721735</v>
      </c>
      <c r="W235" s="73">
        <f>input!Y38</f>
        <v>50</v>
      </c>
      <c r="X235" s="558">
        <f>input!P38*(B235+F235+J235+C235+G235+D235+H235+I235)/E235</f>
        <v>653.80019949084203</v>
      </c>
      <c r="Y235" s="73">
        <f>(B235+C235+IF(input!O38=0,0,input!M38/input!O38)*K235+(IF(input!AE38=0,0,2*input!M38/input!AE38)-1)*F235-D235-G235-H235-I235)/(IF(input!AE38=0,0,2/input!AE38)*F235+IF(input!O38=0,0,1/input!O38)*K235+2/input!M38*C235)</f>
        <v>2576.7652313423459</v>
      </c>
      <c r="Z235" s="73">
        <f>(B235+C235+F235+IF(input!O38=0,0,input!M38/input!O38)*K235-D235-G235-H235-I235)/(IF(input!O38=0,0,1/input!O38)*K235+2/input!M38*C235)</f>
        <v>2479.7152399895549</v>
      </c>
      <c r="AA235" s="73">
        <f>input!M38/2*(B235+F235+J235+K235-G235-D235-H235-I235+C235)/C235</f>
        <v>2201.6530514613723</v>
      </c>
      <c r="AB235" s="73">
        <f>(B235+F235+J235+K235+G235+C235-D235-H235-I235)/(IF(input!AH38=0,0,2/input!AH38)*G235+2/input!M38*C235)</f>
        <v>2201.653051461371</v>
      </c>
      <c r="AC235" s="143">
        <f>input!H38/2*(B235+F235+K235+G235+C235-H235-I235+D235+J235)/D235</f>
        <v>60.013475610752621</v>
      </c>
      <c r="AD235" s="165">
        <f>IF(OR(L235=1,L235=8,L235="a",L235="b",L235="c",L235="d"),input!M38-M235+input!K38/2,IF(OR(L235=2,L235=9),input!H38-M235+input!M38+input!K38/2,input!R38+input!P38-M235+input!M38+input!K38/2))</f>
        <v>916.34694853862766</v>
      </c>
      <c r="AE235" s="143">
        <f>IF(OR(L235=1,L235=8,L235="a",L235="b",L235="c",L235="d"),ABS(input!M38/2-M235),IF(OR(L235=2,L235=9),input!H38-M235+input!M38/2,input!R38+input!P38-M235+input!M38/2))</f>
        <v>650.15305146137234</v>
      </c>
      <c r="AF235" s="143">
        <f>IF(OR(L235=1,L235=8,L235="a",L235="b",L235="c",L235="d"),M235+input!H38/2,IF(OR(L235=2,L235=9),ABS(input!H38/2-M235),input!R38+input!P38-M235-input!H38/2))</f>
        <v>2221.6530514613723</v>
      </c>
      <c r="AG235" s="143">
        <f>IF(OR(L235=1,L235=8,L235="a",L235="b",L235="c",L235="d"),input!R38+input!P38/2+M235,IF(OR(L235=2,L235=9),input!R38+input!P38/2-input!H38+M235,ABS(input!P38/2-M235)))</f>
        <v>2346.6530514613723</v>
      </c>
      <c r="AH235" s="143">
        <f>IF(OR(L235=1,L235=8,L235="a",L235="b",L235="c",L235="d"),input!M38-M235-input!AE38/2,IF(OR(L235=2,L235=9),input!H38-M235+input!M38-input!AE38/2,input!R38+input!P38-M235+input!M38-input!AE38/2))</f>
        <v>821.34694853862766</v>
      </c>
      <c r="AI235" s="143">
        <f>IF(OR(L235=1,L235=8,L235="a",L235="b",L235="c",L235="d"),M235-input!AH38/2,IF(OR(L235=2,L235=9),input!H38-M235+input!AH38/2,input!R38+input!P38-M235+input!AH38/2))</f>
        <v>2201.6530514613723</v>
      </c>
      <c r="AJ235" s="143">
        <f>IF(OR(L235=1,L235=8,L235="a",L235="b",L235="c",L235="d"),M235+input!R38+input!AB38,IF(OR(L235=2,L235=9),input!R38+input!AB38-input!H38+M235,IF(L235=3,input!AB38-(input!P38-M235),ABS(input!P38-input!AB38-M235))))</f>
        <v>2241.6530514613723</v>
      </c>
      <c r="AK235" s="143">
        <f>IF(OR(L235=1,L235=8,L235="a",L235="b",L235="c",L235="d"),M235+input!R38+input!P38-input!Y38,IF(OR(L235=2,L235=9),input!R38+input!P38-input!Y38-input!H38+M235,ABS(input!Y38-M235)))</f>
        <v>2441.6530514613723</v>
      </c>
      <c r="AL235" s="143">
        <f>IF(OR(L235=1,L235=8,L235="a",L235="b",L235="c",L235="d"),input!M38-M235-input!O38/2,IF(OR(L235=2,L235=9),input!H38-M235+input!M38-input!O38/2,0))</f>
        <v>645.34694853862766</v>
      </c>
      <c r="AM235" s="143">
        <f>IF(OR(L235=1,L235=8,L235="a",L235="b",L235="c",L235="d"),input!M38-M235-input!O38/2,IF(OR(L235=2,L235=9),input!H38-M235+input!M38-input!O38/2,input!R38+input!P38-M235+input!M38-input!O38/2))</f>
        <v>645.34694853862766</v>
      </c>
      <c r="AN235" s="143">
        <f>C235/2/input!M38*(M235^2+(input!M38-M235)^2)+B235*AD235+D235*AF235+E235*AG235+F235*AH235+G235*AI235+H235*AJ235+I235*AK235+J235*AM235</f>
        <v>271588931.4457649</v>
      </c>
      <c r="AO235" s="143">
        <f>IF(input!AH38=0,0,1/2/input!AH38)*G235*(M235^2+(input!AH38-M235)^2)+D235*AF235+F235*AH235+C235/2/input!M38*(M235^2+(input!M38-M235)^2)+B235*AD235+E235*AG235+H235*AJ235+I235*AK235+J235*AM235</f>
        <v>271588931.4457649</v>
      </c>
      <c r="AP235" s="143">
        <f>+D235/2/input!H38*(M235^2+(input!H38-M235)^2)+B235*AD235+F235*AH235+G235*AI235+C235*AE235+E235*AG235+H235*AJ235+I235*AK235+J235*AM235</f>
        <v>5411051122.2206316</v>
      </c>
      <c r="AQ235" s="143">
        <f>+(M235^2)/2/input!P38*E235+D235*AF235+F235*AH235+G235*AI235+C235*AE235+B235*AD235+H235*AJ235+I235*AK235+J235*AM235</f>
        <v>546073813.97695088</v>
      </c>
      <c r="AR235" s="143">
        <f>+(M235^2)/2/input!P38*E235+D235*AF235+F235*AH235+G235*AI235+C235*AE235+B235*AD235+I235*AK235+J235*AM235</f>
        <v>541206134.22076678</v>
      </c>
      <c r="AS235" s="143">
        <f>+(M235^2)/2/input!P38*E235+D235*AF235+F235*AH235+G235*AI235+C235*AE235+B235*AD235+H235*AJ235+I235*AK235+J235*AM235</f>
        <v>546073813.97695088</v>
      </c>
      <c r="AT235" s="143">
        <f>+(M235^2)/2/input!P38*E235+D235*AF235+F235*AH235+G235*AI235+C235*AE235+B235*AD235+H235*AJ235+J235*AM235</f>
        <v>538597202.8738786</v>
      </c>
      <c r="AU235" s="143">
        <f>+(M235^2)/2/input!P38*E235+D235*AF235+F235*AH235+G235*AI235+C235*AE235+B235*AD235+H235*AJ235+I235*AK235+J235*AM235</f>
        <v>546073813.97695088</v>
      </c>
      <c r="AV235" s="143">
        <f>IF(input!AE38=0,0,1/2/input!AE38)*F235*((input!M38-M235)^2+(input!AE38-input!M38+M235)^2)+C235/2/input!M38*(M235^2+(M235-input!M38)^2)+IF(input!O38=0,0,1/2/input!O38)*K235*(input!M38-M235)^2+B235*AD235+G235*AI235+D235*AF235+H235*AJ235+I235*AK235+J235*AM235</f>
        <v>197074765.35459432</v>
      </c>
      <c r="AW235" s="143">
        <f>+C235/2/input!M38*(M235^2+(M235-input!M38)^2)+IF(input!O38=0,0,1/2/input!O38)*K235*(input!M38-M235)^2+B235*AD235+F235*AH235+G235*AI235+D235*AF235+H235*AJ235+I235*AK235+J235*AM235</f>
        <v>190391686.52960667</v>
      </c>
      <c r="AX235" s="143">
        <f>C235/2/input!M38*(M235^2+(M235-input!M38)^2)+K235*AL235+B235*AD235+F235*AH235+G235*AI235+D235*AF235+H235*AJ235+I235*AK235+J235*AM235</f>
        <v>184954049.25736001</v>
      </c>
      <c r="AY235" s="143">
        <f>C235/2/input!M38*(M235^2+(M235-input!M38)^2)+IF(input!AH38=0,0,1/2/input!AH38)*G235*(M235^2+(input!AH38-M235)^2)+K235*AL235+B235*AD235+F235*AH235+D235*AF235+H235*AJ235+I235*AK235+J235*AM235</f>
        <v>184954049.25736001</v>
      </c>
      <c r="AZ235" s="143">
        <f>D235/2/input!H38*(M235^2+(input!H38-M235)^2)+B235*AD235+K235*AL235+F235*AH235+C235*AE235+G235*AI235+H235*AJ235+I235*AK235+J235*AM235</f>
        <v>5324416240.0322266</v>
      </c>
      <c r="BA235" s="185"/>
    </row>
    <row r="236" spans="1:53" ht="15" customHeight="1">
      <c r="A236" s="579" t="str">
        <f>+input!B39</f>
        <v>119i</v>
      </c>
      <c r="B236" s="642">
        <f>+input!J39*input!K39*input!BJ39/1000</f>
        <v>20976</v>
      </c>
      <c r="C236" s="642">
        <f>+input!BQ39*input!N39*2*input!BK39/1000</f>
        <v>32055.536807235028</v>
      </c>
      <c r="D236" s="642">
        <f>+input!F39*input!G39*input!H39*input!BI39/1000</f>
        <v>44080</v>
      </c>
      <c r="E236" s="642">
        <f>0.85*Fck*input!P39*input!Q39/1000</f>
        <v>47019.875</v>
      </c>
      <c r="F236" s="642">
        <f>input!AD39*input!AE39*input!AF39*input!BN39/1000</f>
        <v>1945.6</v>
      </c>
      <c r="G236" s="642">
        <f>input!AG39*input!AH39*input!AI39*input!BM39/1000</f>
        <v>0</v>
      </c>
      <c r="H236" s="642">
        <f>input!CB39*Fys/1000</f>
        <v>2171.4688421612645</v>
      </c>
      <c r="I236" s="642">
        <f>input!BZ39*Fys/1000</f>
        <v>3062.1103594539709</v>
      </c>
      <c r="J236" s="642">
        <f>input!AC39*Fys/1000</f>
        <v>2412.7431579569611</v>
      </c>
      <c r="K236" s="642">
        <f>input!BT39*0.85*Fckb/1000</f>
        <v>42712.5</v>
      </c>
      <c r="L236" s="795">
        <f>IF(Stress!F868&lt;=0,IF(B236+F236+(input!M39-2*input!AH39)/input!M39*C236+J236&gt;=G236+D236+E236+H236+I236,1,IF(B236+F236+C236+G236+J236&gt;=D236+E236+H236+I236,"a",IF(B236+F236+C236+G236+D236+J236&gt;=E236+H236+I236,2,IF(B236+F236+C236+G236+D236+J236&gt;=(input!P39-input!AB39)/input!P39*E236+H236+I236,3,IF(B236+F236+C236+G236+D236+H236+J236&gt;=(input!P39-input!AB39)/input!P39*E236+I236,4,IF(B236+F236+C236+G236+D236+H236+J236&gt;=input!Y39/input!P39*E236+I236,5,IF(B236+F236+C236+G236+D236+H236+I236+J236&gt;=input!Y39/input!P39*E236,6,7))))))),IF(B236+F236+IF(input!O39=0,0,input!AE39/input!O39)*K236+input!AE39/input!M39*C236&gt;=(input!M39-input!AE39)*C236/input!M39+G236+D236+H236+I236,"b",IF(B236+F236+K236+input!O39/input!M39*C236&gt;=(input!M39-input!O39)/input!M39*C236+G236+D236+H236+I236,"c",IF(B236+F236+J236+K236+(input!M39-input!AH39)/input!M39*C236&gt;=G236+D236+H236+I236,8,IF(B236+F236+J236+K236+C236+G236&gt;=D236+H236+I236,"d",9)))))</f>
        <v>8</v>
      </c>
      <c r="M236" s="643">
        <f t="shared" si="2"/>
        <v>2535.0404115953443</v>
      </c>
      <c r="N236" s="493">
        <f t="shared" si="3"/>
        <v>192987.71009354087</v>
      </c>
      <c r="O236" s="766"/>
      <c r="Q236" s="73">
        <f>input!M39/2*((B236+F236+J236-G236-D236-E236-H236-I236)/C236+1)</f>
        <v>-1943.8051888812461</v>
      </c>
      <c r="R236" s="73">
        <f>(B236+F236+J236+C236+G236-D236-E236-H236-I236)/(2/input!M39*C236+IF(input!AH39=0,0,2/input!AH39)*G236)</f>
        <v>-1943.8051888812458</v>
      </c>
      <c r="S236" s="73">
        <f>input!H39/2*(B236+F236+J236+C236+G236-E236-H236-I236+D236)/D236</f>
        <v>22.330501707611955</v>
      </c>
      <c r="T236" s="558">
        <f>input!P39*(B236+F236+J236+C236+G236+D236-H236-I236)/E236</f>
        <v>593.54745671776573</v>
      </c>
      <c r="U236" s="73">
        <f>input!P39-input!AB39</f>
        <v>250</v>
      </c>
      <c r="V236" s="558">
        <f>input!P39*(B236+F236+J236+C236+G236+D236+H236-I236)/E236</f>
        <v>620.33297940266311</v>
      </c>
      <c r="W236" s="73">
        <f>input!Y39</f>
        <v>50</v>
      </c>
      <c r="X236" s="558">
        <f>input!P39*(B236+F236+J236+C236+G236+D236+H236+I236)/E236</f>
        <v>658.10475162628768</v>
      </c>
      <c r="Y236" s="73">
        <f>(B236+C236+IF(input!O39=0,0,input!M39/input!O39)*K236+(IF(input!AE39=0,0,2*input!M39/input!AE39)-1)*F236-D236-G236-H236-I236)/(IF(input!AE39=0,0,2/input!AE39)*F236+IF(input!O39=0,0,1/input!O39)*K236+2/input!M39*C236)</f>
        <v>2660.4680338324451</v>
      </c>
      <c r="Z236" s="73">
        <f>(B236+C236+F236+IF(input!O39=0,0,input!M39/input!O39)*K236-D236-G236-H236-I236)/(IF(input!O39=0,0,1/input!O39)*K236+2/input!M39*C236)</f>
        <v>2559.2841514627289</v>
      </c>
      <c r="AA236" s="73">
        <f>input!M39/2*(B236+F236+J236+K236-G236-D236-H236-I236+C236)/C236</f>
        <v>2535.0404115953443</v>
      </c>
      <c r="AB236" s="73">
        <f>(B236+F236+J236+K236+G236+C236-D236-H236-I236)/(IF(input!AH39=0,0,2/input!AH39)*G236+2/input!M39*C236)</f>
        <v>2535.0404115953438</v>
      </c>
      <c r="AC236" s="143">
        <f>input!H39/2*(B236+F236+K236+G236+C236-H236-I236+D236+J236)/D236</f>
        <v>63.043920491640989</v>
      </c>
      <c r="AD236" s="165">
        <f>IF(OR(L236=1,L236=8,L236="a",L236="b",L236="c",L236="d"),input!M39-M236+input!K39/2,IF(OR(L236=2,L236=9),input!H39-M236+input!M39+input!K39/2,input!R39+input!P39-M236+input!M39+input!K39/2))</f>
        <v>679.95958840465573</v>
      </c>
      <c r="AE236" s="143">
        <f>IF(OR(L236=1,L236=8,L236="a",L236="b",L236="c",L236="d"),ABS(input!M39/2-M236),IF(OR(L236=2,L236=9),input!H39-M236+input!M39/2,input!R39+input!P39-M236+input!M39/2))</f>
        <v>935.04041159534427</v>
      </c>
      <c r="AF236" s="143">
        <f>IF(OR(L236=1,L236=8,L236="a",L236="b",L236="c",L236="d"),M236+input!H39/2,IF(OR(L236=2,L236=9),ABS(input!H39/2-M236),input!R39+input!P39-M236-input!H39/2))</f>
        <v>2555.0404115953443</v>
      </c>
      <c r="AG236" s="143">
        <f>IF(OR(L236=1,L236=8,L236="a",L236="b",L236="c",L236="d"),input!R39+input!P39/2+M236,IF(OR(L236=2,L236=9),input!R39+input!P39/2-input!H39+M236,ABS(input!P39/2-M236)))</f>
        <v>2680.0404115953443</v>
      </c>
      <c r="AH236" s="143">
        <f>IF(OR(L236=1,L236=8,L236="a",L236="b",L236="c",L236="d"),input!M39-M236-input!AE39/2,IF(OR(L236=2,L236=9),input!H39-M236+input!M39-input!AE39/2,input!R39+input!P39-M236+input!M39-input!AE39/2))</f>
        <v>584.95958840465573</v>
      </c>
      <c r="AI236" s="143">
        <f>IF(OR(L236=1,L236=8,L236="a",L236="b",L236="c",L236="d"),M236-input!AH39/2,IF(OR(L236=2,L236=9),input!H39-M236+input!AH39/2,input!R39+input!P39-M236+input!AH39/2))</f>
        <v>2535.0404115953443</v>
      </c>
      <c r="AJ236" s="143">
        <f>IF(OR(L236=1,L236=8,L236="a",L236="b",L236="c",L236="d"),M236+input!R39+input!AB39,IF(OR(L236=2,L236=9),input!R39+input!AB39-input!H39+M236,IF(L236=3,input!AB39-(input!P39-M236),ABS(input!P39-input!AB39-M236))))</f>
        <v>2575.0404115953443</v>
      </c>
      <c r="AK236" s="143">
        <f>IF(OR(L236=1,L236=8,L236="a",L236="b",L236="c",L236="d"),M236+input!R39+input!P39-input!Y39,IF(OR(L236=2,L236=9),input!R39+input!P39-input!Y39-input!H39+M236,ABS(input!Y39-M236)))</f>
        <v>2775.0404115953443</v>
      </c>
      <c r="AL236" s="143">
        <f>IF(OR(L236=1,L236=8,L236="a",L236="b",L236="c",L236="d"),input!M39-M236-input!O39/2,IF(OR(L236=2,L236=9),input!H39-M236+input!M39-input!O39/2,0))</f>
        <v>364.95958840465573</v>
      </c>
      <c r="AM236" s="143">
        <f>IF(OR(L236=1,L236=8,L236="a",L236="b",L236="c",L236="d"),input!M39-M236-input!O39/2,IF(OR(L236=2,L236=9),input!H39-M236+input!M39-input!O39/2,input!R39+input!P39-M236+input!M39-input!O39/2))</f>
        <v>364.95958840465573</v>
      </c>
      <c r="AN236" s="143">
        <f>C236/2/input!M39*(M236^2+(input!M39-M236)^2)+B236*AD236+D236*AF236+E236*AG236+F236*AH236+G236*AI236+H236*AJ236+I236*AK236+J236*AM236</f>
        <v>303414538.82196862</v>
      </c>
      <c r="AO236" s="143">
        <f>IF(input!AH39=0,0,1/2/input!AH39)*G236*(M236^2+(input!AH39-M236)^2)+D236*AF236+F236*AH236+C236/2/input!M39*(M236^2+(input!M39-M236)^2)+B236*AD236+E236*AG236+H236*AJ236+I236*AK236+J236*AM236</f>
        <v>303414538.82196862</v>
      </c>
      <c r="AP236" s="143">
        <f>+D236/2/input!H39*(M236^2+(input!H39-M236)^2)+B236*AD236+F236*AH236+G236*AI236+C236*AE236+E236*AG236+H236*AJ236+I236*AK236+J236*AM236</f>
        <v>7157421726.6404362</v>
      </c>
      <c r="AQ236" s="143">
        <f>+(M236^2)/2/input!P39*E236+D236*AF236+F236*AH236+G236*AI236+C236*AE236+B236*AD236+H236*AJ236+I236*AK236+J236*AM236</f>
        <v>693952625.15500462</v>
      </c>
      <c r="AR236" s="143">
        <f>+(M236^2)/2/input!P39*E236+D236*AF236+F236*AH236+G236*AI236+C236*AE236+B236*AD236+I236*AK236+J236*AM236</f>
        <v>688361005.13391924</v>
      </c>
      <c r="AS236" s="143">
        <f>+(M236^2)/2/input!P39*E236+D236*AF236+F236*AH236+G236*AI236+C236*AE236+B236*AD236+H236*AJ236+I236*AK236+J236*AM236</f>
        <v>693952625.15500462</v>
      </c>
      <c r="AT236" s="143">
        <f>+(M236^2)/2/input!P39*E236+D236*AF236+F236*AH236+G236*AI236+C236*AE236+B236*AD236+H236*AJ236+J236*AM236</f>
        <v>685455145.16275513</v>
      </c>
      <c r="AU236" s="143">
        <f>+(M236^2)/2/input!P39*E236+D236*AF236+F236*AH236+G236*AI236+C236*AE236+B236*AD236+H236*AJ236+I236*AK236+J236*AM236</f>
        <v>693952625.15500462</v>
      </c>
      <c r="AV236" s="143">
        <f>IF(input!AE39=0,0,1/2/input!AE39)*F236*((input!M39-M236)^2+(input!AE39-input!M39+M236)^2)+C236/2/input!M39*(M236^2+(M236-input!M39)^2)+IF(input!O39=0,0,1/2/input!O39)*K236*(input!M39-M236)^2+B236*AD236+G236*AI236+D236*AF236+H236*AJ236+I236*AK236+J236*AM236</f>
        <v>196238514.45419917</v>
      </c>
      <c r="AW236" s="143">
        <f>+C236/2/input!M39*(M236^2+(M236-input!M39)^2)+IF(input!O39=0,0,1/2/input!O39)*K236*(input!M39-M236)^2+B236*AD236+F236*AH236+G236*AI236+D236*AF236+H236*AJ236+I236*AK236+J236*AM236</f>
        <v>193137906.75339007</v>
      </c>
      <c r="AX236" s="143">
        <f>C236/2/input!M39*(M236^2+(M236-input!M39)^2)+K236*AL236+B236*AD236+F236*AH236+G236*AI236+D236*AF236+H236*AJ236+I236*AK236+J236*AM236</f>
        <v>192987710.09354088</v>
      </c>
      <c r="AY236" s="143">
        <f>C236/2/input!M39*(M236^2+(M236-input!M39)^2)+IF(input!AH39=0,0,1/2/input!AH39)*G236*(M236^2+(input!AH39-M236)^2)+K236*AL236+B236*AD236+F236*AH236+D236*AF236+H236*AJ236+I236*AK236+J236*AM236</f>
        <v>192987710.09354088</v>
      </c>
      <c r="AZ236" s="143">
        <f>D236/2/input!H39*(M236^2+(input!H39-M236)^2)+B236*AD236+K236*AL236+F236*AH236+C236*AE236+G236*AI236+H236*AJ236+I236*AK236+J236*AM236</f>
        <v>7046994897.9120083</v>
      </c>
      <c r="BA236" s="185"/>
    </row>
    <row r="237" spans="1:53" ht="15" customHeight="1">
      <c r="A237" s="579" t="str">
        <f>+input!B40</f>
        <v>119j</v>
      </c>
      <c r="B237" s="642">
        <f>+input!J40*input!K40*input!BJ40/1000</f>
        <v>20976</v>
      </c>
      <c r="C237" s="642">
        <f>+input!BQ40*input!N40*2*input!BK40/1000</f>
        <v>32055.536807235028</v>
      </c>
      <c r="D237" s="642">
        <f>+input!F40*input!G40*input!H40*input!BI40/1000</f>
        <v>44080</v>
      </c>
      <c r="E237" s="642">
        <f>0.85*Fck*input!P40*input!Q40/1000</f>
        <v>47019.875</v>
      </c>
      <c r="F237" s="642">
        <f>input!AD40*input!AE40*input!AF40*input!BN40/1000</f>
        <v>1945.6</v>
      </c>
      <c r="G237" s="642">
        <f>input!AG40*input!AH40*input!AI40*input!BM40/1000</f>
        <v>0</v>
      </c>
      <c r="H237" s="642">
        <f>input!CB40*Fys/1000</f>
        <v>2171.4688421612645</v>
      </c>
      <c r="I237" s="642">
        <f>input!BZ40*Fys/1000</f>
        <v>3062.1103594539709</v>
      </c>
      <c r="J237" s="642">
        <f>input!AC40*Fys/1000</f>
        <v>2412.7431579569611</v>
      </c>
      <c r="K237" s="642">
        <f>input!BT40*0.85*Fckb/1000</f>
        <v>42712.5</v>
      </c>
      <c r="L237" s="795">
        <f>IF(Stress!F869&lt;=0,IF(B237+F237+(input!M40-2*input!AH40)/input!M40*C237+J237&gt;=G237+D237+E237+H237+I237,1,IF(B237+F237+C237+G237+J237&gt;=D237+E237+H237+I237,"a",IF(B237+F237+C237+G237+D237+J237&gt;=E237+H237+I237,2,IF(B237+F237+C237+G237+D237+J237&gt;=(input!P40-input!AB40)/input!P40*E237+H237+I237,3,IF(B237+F237+C237+G237+D237+H237+J237&gt;=(input!P40-input!AB40)/input!P40*E237+I237,4,IF(B237+F237+C237+G237+D237+H237+J237&gt;=input!Y40/input!P40*E237+I237,5,IF(B237+F237+C237+G237+D237+H237+I237+J237&gt;=input!Y40/input!P40*E237,6,7))))))),IF(B237+F237+IF(input!O40=0,0,input!AE40/input!O40)*K237+input!AE40/input!M40*C237&gt;=(input!M40-input!AE40)*C237/input!M40+G237+D237+H237+I237,"b",IF(B237+F237+K237+input!O40/input!M40*C237&gt;=(input!M40-input!O40)/input!M40*C237+G237+D237+H237+I237,"c",IF(B237+F237+J237+K237+(input!M40-input!AH40)/input!M40*C237&gt;=G237+D237+H237+I237,8,IF(B237+F237+J237+K237+C237+G237&gt;=D237+H237+I237,"d",9)))))</f>
        <v>8</v>
      </c>
      <c r="M237" s="643">
        <f t="shared" si="2"/>
        <v>2535.0404115953443</v>
      </c>
      <c r="N237" s="493">
        <f t="shared" si="3"/>
        <v>192987.71009354087</v>
      </c>
      <c r="O237" s="766"/>
      <c r="Q237" s="73">
        <f>input!M40/2*((B237+F237+J237-G237-D237-E237-H237-I237)/C237+1)</f>
        <v>-1943.8051888812461</v>
      </c>
      <c r="R237" s="73">
        <f>(B237+F237+J237+C237+G237-D237-E237-H237-I237)/(2/input!M40*C237+IF(input!AH40=0,0,2/input!AH40)*G237)</f>
        <v>-1943.8051888812458</v>
      </c>
      <c r="S237" s="73">
        <f>input!H40/2*(B237+F237+J237+C237+G237-E237-H237-I237+D237)/D237</f>
        <v>22.330501707611955</v>
      </c>
      <c r="T237" s="558">
        <f>input!P40*(B237+F237+J237+C237+G237+D237-H237-I237)/E237</f>
        <v>593.54745671776573</v>
      </c>
      <c r="U237" s="73">
        <f>input!P40-input!AB40</f>
        <v>250</v>
      </c>
      <c r="V237" s="558">
        <f>input!P40*(B237+F237+J237+C237+G237+D237+H237-I237)/E237</f>
        <v>620.33297940266311</v>
      </c>
      <c r="W237" s="73">
        <f>input!Y40</f>
        <v>50</v>
      </c>
      <c r="X237" s="558">
        <f>input!P40*(B237+F237+J237+C237+G237+D237+H237+I237)/E237</f>
        <v>658.10475162628768</v>
      </c>
      <c r="Y237" s="73">
        <f>(B237+C237+IF(input!O40=0,0,input!M40/input!O40)*K237+(IF(input!AE40=0,0,2*input!M40/input!AE40)-1)*F237-D237-G237-H237-I237)/(IF(input!AE40=0,0,2/input!AE40)*F237+IF(input!O40=0,0,1/input!O40)*K237+2/input!M40*C237)</f>
        <v>2660.4680338324451</v>
      </c>
      <c r="Z237" s="73">
        <f>(B237+C237+F237+IF(input!O40=0,0,input!M40/input!O40)*K237-D237-G237-H237-I237)/(IF(input!O40=0,0,1/input!O40)*K237+2/input!M40*C237)</f>
        <v>2559.2841514627289</v>
      </c>
      <c r="AA237" s="73">
        <f>input!M40/2*(B237+F237+J237+K237-G237-D237-H237-I237+C237)/C237</f>
        <v>2535.0404115953443</v>
      </c>
      <c r="AB237" s="73">
        <f>(B237+F237+J237+K237+G237+C237-D237-H237-I237)/(IF(input!AH40=0,0,2/input!AH40)*G237+2/input!M40*C237)</f>
        <v>2535.0404115953438</v>
      </c>
      <c r="AC237" s="143">
        <f>input!H40/2*(B237+F237+K237+G237+C237-H237-I237+D237+J237)/D237</f>
        <v>63.043920491640989</v>
      </c>
      <c r="AD237" s="165">
        <f>IF(OR(L237=1,L237=8,L237="a",L237="b",L237="c",L237="d"),input!M40-M237+input!K40/2,IF(OR(L237=2,L237=9),input!H40-M237+input!M40+input!K40/2,input!R40+input!P40-M237+input!M40+input!K40/2))</f>
        <v>679.95958840465573</v>
      </c>
      <c r="AE237" s="143">
        <f>IF(OR(L237=1,L237=8,L237="a",L237="b",L237="c",L237="d"),ABS(input!M40/2-M237),IF(OR(L237=2,L237=9),input!H40-M237+input!M40/2,input!R40+input!P40-M237+input!M40/2))</f>
        <v>935.04041159534427</v>
      </c>
      <c r="AF237" s="143">
        <f>IF(OR(L237=1,L237=8,L237="a",L237="b",L237="c",L237="d"),M237+input!H40/2,IF(OR(L237=2,L237=9),ABS(input!H40/2-M237),input!R40+input!P40-M237-input!H40/2))</f>
        <v>2555.0404115953443</v>
      </c>
      <c r="AG237" s="143">
        <f>IF(OR(L237=1,L237=8,L237="a",L237="b",L237="c",L237="d"),input!R40+input!P40/2+M237,IF(OR(L237=2,L237=9),input!R40+input!P40/2-input!H40+M237,ABS(input!P40/2-M237)))</f>
        <v>2680.0404115953443</v>
      </c>
      <c r="AH237" s="143">
        <f>IF(OR(L237=1,L237=8,L237="a",L237="b",L237="c",L237="d"),input!M40-M237-input!AE40/2,IF(OR(L237=2,L237=9),input!H40-M237+input!M40-input!AE40/2,input!R40+input!P40-M237+input!M40-input!AE40/2))</f>
        <v>584.95958840465573</v>
      </c>
      <c r="AI237" s="143">
        <f>IF(OR(L237=1,L237=8,L237="a",L237="b",L237="c",L237="d"),M237-input!AH40/2,IF(OR(L237=2,L237=9),input!H40-M237+input!AH40/2,input!R40+input!P40-M237+input!AH40/2))</f>
        <v>2535.0404115953443</v>
      </c>
      <c r="AJ237" s="143">
        <f>IF(OR(L237=1,L237=8,L237="a",L237="b",L237="c",L237="d"),M237+input!R40+input!AB40,IF(OR(L237=2,L237=9),input!R40+input!AB40-input!H40+M237,IF(L237=3,input!AB40-(input!P40-M237),ABS(input!P40-input!AB40-M237))))</f>
        <v>2575.0404115953443</v>
      </c>
      <c r="AK237" s="143">
        <f>IF(OR(L237=1,L237=8,L237="a",L237="b",L237="c",L237="d"),M237+input!R40+input!P40-input!Y40,IF(OR(L237=2,L237=9),input!R40+input!P40-input!Y40-input!H40+M237,ABS(input!Y40-M237)))</f>
        <v>2775.0404115953443</v>
      </c>
      <c r="AL237" s="143">
        <f>IF(OR(L237=1,L237=8,L237="a",L237="b",L237="c",L237="d"),input!M40-M237-input!O40/2,IF(OR(L237=2,L237=9),input!H40-M237+input!M40-input!O40/2,0))</f>
        <v>364.95958840465573</v>
      </c>
      <c r="AM237" s="143">
        <f>IF(OR(L237=1,L237=8,L237="a",L237="b",L237="c",L237="d"),input!M40-M237-input!O40/2,IF(OR(L237=2,L237=9),input!H40-M237+input!M40-input!O40/2,input!R40+input!P40-M237+input!M40-input!O40/2))</f>
        <v>364.95958840465573</v>
      </c>
      <c r="AN237" s="143">
        <f>C237/2/input!M40*(M237^2+(input!M40-M237)^2)+B237*AD237+D237*AF237+E237*AG237+F237*AH237+G237*AI237+H237*AJ237+I237*AK237+J237*AM237</f>
        <v>303414538.82196862</v>
      </c>
      <c r="AO237" s="143">
        <f>IF(input!AH40=0,0,1/2/input!AH40)*G237*(M237^2+(input!AH40-M237)^2)+D237*AF237+F237*AH237+C237/2/input!M40*(M237^2+(input!M40-M237)^2)+B237*AD237+E237*AG237+H237*AJ237+I237*AK237+J237*AM237</f>
        <v>303414538.82196862</v>
      </c>
      <c r="AP237" s="143">
        <f>+D237/2/input!H40*(M237^2+(input!H40-M237)^2)+B237*AD237+F237*AH237+G237*AI237+C237*AE237+E237*AG237+H237*AJ237+I237*AK237+J237*AM237</f>
        <v>7157421726.6404362</v>
      </c>
      <c r="AQ237" s="143">
        <f>+(M237^2)/2/input!P40*E237+D237*AF237+F237*AH237+G237*AI237+C237*AE237+B237*AD237+H237*AJ237+I237*AK237+J237*AM237</f>
        <v>693952625.15500462</v>
      </c>
      <c r="AR237" s="143">
        <f>+(M237^2)/2/input!P40*E237+D237*AF237+F237*AH237+G237*AI237+C237*AE237+B237*AD237+I237*AK237+J237*AM237</f>
        <v>688361005.13391924</v>
      </c>
      <c r="AS237" s="143">
        <f>+(M237^2)/2/input!P40*E237+D237*AF237+F237*AH237+G237*AI237+C237*AE237+B237*AD237+H237*AJ237+I237*AK237+J237*AM237</f>
        <v>693952625.15500462</v>
      </c>
      <c r="AT237" s="143">
        <f>+(M237^2)/2/input!P40*E237+D237*AF237+F237*AH237+G237*AI237+C237*AE237+B237*AD237+H237*AJ237+J237*AM237</f>
        <v>685455145.16275513</v>
      </c>
      <c r="AU237" s="143">
        <f>+(M237^2)/2/input!P40*E237+D237*AF237+F237*AH237+G237*AI237+C237*AE237+B237*AD237+H237*AJ237+I237*AK237+J237*AM237</f>
        <v>693952625.15500462</v>
      </c>
      <c r="AV237" s="143">
        <f>IF(input!AE40=0,0,1/2/input!AE40)*F237*((input!M40-M237)^2+(input!AE40-input!M40+M237)^2)+C237/2/input!M40*(M237^2+(M237-input!M40)^2)+IF(input!O40=0,0,1/2/input!O40)*K237*(input!M40-M237)^2+B237*AD237+G237*AI237+D237*AF237+H237*AJ237+I237*AK237+J237*AM237</f>
        <v>196238514.45419917</v>
      </c>
      <c r="AW237" s="143">
        <f>+C237/2/input!M40*(M237^2+(M237-input!M40)^2)+IF(input!O40=0,0,1/2/input!O40)*K237*(input!M40-M237)^2+B237*AD237+F237*AH237+G237*AI237+D237*AF237+H237*AJ237+I237*AK237+J237*AM237</f>
        <v>193137906.75339007</v>
      </c>
      <c r="AX237" s="143">
        <f>C237/2/input!M40*(M237^2+(M237-input!M40)^2)+K237*AL237+B237*AD237+F237*AH237+G237*AI237+D237*AF237+H237*AJ237+I237*AK237+J237*AM237</f>
        <v>192987710.09354088</v>
      </c>
      <c r="AY237" s="143">
        <f>C237/2/input!M40*(M237^2+(M237-input!M40)^2)+IF(input!AH40=0,0,1/2/input!AH40)*G237*(M237^2+(input!AH40-M237)^2)+K237*AL237+B237*AD237+F237*AH237+D237*AF237+H237*AJ237+I237*AK237+J237*AM237</f>
        <v>192987710.09354088</v>
      </c>
      <c r="AZ237" s="143">
        <f>D237/2/input!H40*(M237^2+(input!H40-M237)^2)+B237*AD237+K237*AL237+F237*AH237+C237*AE237+G237*AI237+H237*AJ237+I237*AK237+J237*AM237</f>
        <v>7046994897.9120083</v>
      </c>
      <c r="BA237" s="185"/>
    </row>
    <row r="238" spans="1:53" ht="15" customHeight="1">
      <c r="A238" s="579" t="str">
        <f>+input!B41</f>
        <v>120i</v>
      </c>
      <c r="B238" s="642">
        <f>+input!J41*input!K41*input!BJ41/1000</f>
        <v>20976</v>
      </c>
      <c r="C238" s="642">
        <f>+input!BQ41*input!N41*2*input!BK41/1000</f>
        <v>32055.536807235028</v>
      </c>
      <c r="D238" s="642">
        <f>+input!F41*input!G41*input!H41*input!BI41/1000</f>
        <v>44080</v>
      </c>
      <c r="E238" s="642">
        <f>0.85*Fck*input!P41*input!Q41/1000</f>
        <v>47019.875</v>
      </c>
      <c r="F238" s="642">
        <f>input!AD41*input!AE41*input!AF41*input!BN41/1000</f>
        <v>1945.6</v>
      </c>
      <c r="G238" s="642">
        <f>input!AG41*input!AH41*input!AI41*input!BM41/1000</f>
        <v>0</v>
      </c>
      <c r="H238" s="642">
        <f>input!CB41*Fys/1000</f>
        <v>2171.4688421612645</v>
      </c>
      <c r="I238" s="642">
        <f>input!BZ41*Fys/1000</f>
        <v>3062.1103594539709</v>
      </c>
      <c r="J238" s="642">
        <f>input!AC41*Fys/1000</f>
        <v>2412.7431579569611</v>
      </c>
      <c r="K238" s="642">
        <f>input!BT41*0.85*Fckb/1000</f>
        <v>42712.5</v>
      </c>
      <c r="L238" s="795">
        <f>IF(Stress!F870&lt;=0,IF(B238+F238+(input!M41-2*input!AH41)/input!M41*C238+J238&gt;=G238+D238+E238+H238+I238,1,IF(B238+F238+C238+G238+J238&gt;=D238+E238+H238+I238,"a",IF(B238+F238+C238+G238+D238+J238&gt;=E238+H238+I238,2,IF(B238+F238+C238+G238+D238+J238&gt;=(input!P41-input!AB41)/input!P41*E238+H238+I238,3,IF(B238+F238+C238+G238+D238+H238+J238&gt;=(input!P41-input!AB41)/input!P41*E238+I238,4,IF(B238+F238+C238+G238+D238+H238+J238&gt;=input!Y41/input!P41*E238+I238,5,IF(B238+F238+C238+G238+D238+H238+I238+J238&gt;=input!Y41/input!P41*E238,6,7))))))),IF(B238+F238+IF(input!O41=0,0,input!AE41/input!O41)*K238+input!AE41/input!M41*C238&gt;=(input!M41-input!AE41)*C238/input!M41+G238+D238+H238+I238,"b",IF(B238+F238+K238+input!O41/input!M41*C238&gt;=(input!M41-input!O41)/input!M41*C238+G238+D238+H238+I238,"c",IF(B238+F238+J238+K238+(input!M41-input!AH41)/input!M41*C238&gt;=G238+D238+H238+I238,8,IF(B238+F238+J238+K238+C238+G238&gt;=D238+H238+I238,"d",9)))))</f>
        <v>8</v>
      </c>
      <c r="M238" s="643">
        <f t="shared" si="2"/>
        <v>2535.0404115953443</v>
      </c>
      <c r="N238" s="493">
        <f t="shared" si="3"/>
        <v>192987.71009354087</v>
      </c>
      <c r="O238" s="766"/>
      <c r="Q238" s="73">
        <f>input!M41/2*((B238+F238+J238-G238-D238-E238-H238-I238)/C238+1)</f>
        <v>-1943.8051888812461</v>
      </c>
      <c r="R238" s="73">
        <f>(B238+F238+J238+C238+G238-D238-E238-H238-I238)/(2/input!M41*C238+IF(input!AH41=0,0,2/input!AH41)*G238)</f>
        <v>-1943.8051888812458</v>
      </c>
      <c r="S238" s="73">
        <f>input!H41/2*(B238+F238+J238+C238+G238-E238-H238-I238+D238)/D238</f>
        <v>22.330501707611955</v>
      </c>
      <c r="T238" s="558">
        <f>input!P41*(B238+F238+J238+C238+G238+D238-H238-I238)/E238</f>
        <v>593.54745671776573</v>
      </c>
      <c r="U238" s="73">
        <f>input!P41-input!AB41</f>
        <v>250</v>
      </c>
      <c r="V238" s="558">
        <f>input!P41*(B238+F238+J238+C238+G238+D238+H238-I238)/E238</f>
        <v>620.33297940266311</v>
      </c>
      <c r="W238" s="73">
        <f>input!Y41</f>
        <v>50</v>
      </c>
      <c r="X238" s="558">
        <f>input!P41*(B238+F238+J238+C238+G238+D238+H238+I238)/E238</f>
        <v>658.10475162628768</v>
      </c>
      <c r="Y238" s="73">
        <f>(B238+C238+IF(input!O41=0,0,input!M41/input!O41)*K238+(IF(input!AE41=0,0,2*input!M41/input!AE41)-1)*F238-D238-G238-H238-I238)/(IF(input!AE41=0,0,2/input!AE41)*F238+IF(input!O41=0,0,1/input!O41)*K238+2/input!M41*C238)</f>
        <v>2660.4680338324451</v>
      </c>
      <c r="Z238" s="73">
        <f>(B238+C238+F238+IF(input!O41=0,0,input!M41/input!O41)*K238-D238-G238-H238-I238)/(IF(input!O41=0,0,1/input!O41)*K238+2/input!M41*C238)</f>
        <v>2559.2841514627289</v>
      </c>
      <c r="AA238" s="73">
        <f>input!M41/2*(B238+F238+J238+K238-G238-D238-H238-I238+C238)/C238</f>
        <v>2535.0404115953443</v>
      </c>
      <c r="AB238" s="73">
        <f>(B238+F238+J238+K238+G238+C238-D238-H238-I238)/(IF(input!AH41=0,0,2/input!AH41)*G238+2/input!M41*C238)</f>
        <v>2535.0404115953438</v>
      </c>
      <c r="AC238" s="143">
        <f>input!H41/2*(B238+F238+K238+G238+C238-H238-I238+D238+J238)/D238</f>
        <v>63.043920491640989</v>
      </c>
      <c r="AD238" s="165">
        <f>IF(OR(L238=1,L238=8,L238="a",L238="b",L238="c",L238="d"),input!M41-M238+input!K41/2,IF(OR(L238=2,L238=9),input!H41-M238+input!M41+input!K41/2,input!R41+input!P41-M238+input!M41+input!K41/2))</f>
        <v>679.95958840465573</v>
      </c>
      <c r="AE238" s="143">
        <f>IF(OR(L238=1,L238=8,L238="a",L238="b",L238="c",L238="d"),ABS(input!M41/2-M238),IF(OR(L238=2,L238=9),input!H41-M238+input!M41/2,input!R41+input!P41-M238+input!M41/2))</f>
        <v>935.04041159534427</v>
      </c>
      <c r="AF238" s="143">
        <f>IF(OR(L238=1,L238=8,L238="a",L238="b",L238="c",L238="d"),M238+input!H41/2,IF(OR(L238=2,L238=9),ABS(input!H41/2-M238),input!R41+input!P41-M238-input!H41/2))</f>
        <v>2555.0404115953443</v>
      </c>
      <c r="AG238" s="143">
        <f>IF(OR(L238=1,L238=8,L238="a",L238="b",L238="c",L238="d"),input!R41+input!P41/2+M238,IF(OR(L238=2,L238=9),input!R41+input!P41/2-input!H41+M238,ABS(input!P41/2-M238)))</f>
        <v>2680.0404115953443</v>
      </c>
      <c r="AH238" s="143">
        <f>IF(OR(L238=1,L238=8,L238="a",L238="b",L238="c",L238="d"),input!M41-M238-input!AE41/2,IF(OR(L238=2,L238=9),input!H41-M238+input!M41-input!AE41/2,input!R41+input!P41-M238+input!M41-input!AE41/2))</f>
        <v>584.95958840465573</v>
      </c>
      <c r="AI238" s="143">
        <f>IF(OR(L238=1,L238=8,L238="a",L238="b",L238="c",L238="d"),M238-input!AH41/2,IF(OR(L238=2,L238=9),input!H41-M238+input!AH41/2,input!R41+input!P41-M238+input!AH41/2))</f>
        <v>2535.0404115953443</v>
      </c>
      <c r="AJ238" s="143">
        <f>IF(OR(L238=1,L238=8,L238="a",L238="b",L238="c",L238="d"),M238+input!R41+input!AB41,IF(OR(L238=2,L238=9),input!R41+input!AB41-input!H41+M238,IF(L238=3,input!AB41-(input!P41-M238),ABS(input!P41-input!AB41-M238))))</f>
        <v>2575.0404115953443</v>
      </c>
      <c r="AK238" s="143">
        <f>IF(OR(L238=1,L238=8,L238="a",L238="b",L238="c",L238="d"),M238+input!R41+input!P41-input!Y41,IF(OR(L238=2,L238=9),input!R41+input!P41-input!Y41-input!H41+M238,ABS(input!Y41-M238)))</f>
        <v>2775.0404115953443</v>
      </c>
      <c r="AL238" s="143">
        <f>IF(OR(L238=1,L238=8,L238="a",L238="b",L238="c",L238="d"),input!M41-M238-input!O41/2,IF(OR(L238=2,L238=9),input!H41-M238+input!M41-input!O41/2,0))</f>
        <v>364.95958840465573</v>
      </c>
      <c r="AM238" s="143">
        <f>IF(OR(L238=1,L238=8,L238="a",L238="b",L238="c",L238="d"),input!M41-M238-input!O41/2,IF(OR(L238=2,L238=9),input!H41-M238+input!M41-input!O41/2,input!R41+input!P41-M238+input!M41-input!O41/2))</f>
        <v>364.95958840465573</v>
      </c>
      <c r="AN238" s="143">
        <f>C238/2/input!M41*(M238^2+(input!M41-M238)^2)+B238*AD238+D238*AF238+E238*AG238+F238*AH238+G238*AI238+H238*AJ238+I238*AK238+J238*AM238</f>
        <v>303414538.82196862</v>
      </c>
      <c r="AO238" s="143">
        <f>IF(input!AH41=0,0,1/2/input!AH41)*G238*(M238^2+(input!AH41-M238)^2)+D238*AF238+F238*AH238+C238/2/input!M41*(M238^2+(input!M41-M238)^2)+B238*AD238+E238*AG238+H238*AJ238+I238*AK238+J238*AM238</f>
        <v>303414538.82196862</v>
      </c>
      <c r="AP238" s="143">
        <f>+D238/2/input!H41*(M238^2+(input!H41-M238)^2)+B238*AD238+F238*AH238+G238*AI238+C238*AE238+E238*AG238+H238*AJ238+I238*AK238+J238*AM238</f>
        <v>7157421726.6404362</v>
      </c>
      <c r="AQ238" s="143">
        <f>+(M238^2)/2/input!P41*E238+D238*AF238+F238*AH238+G238*AI238+C238*AE238+B238*AD238+H238*AJ238+I238*AK238+J238*AM238</f>
        <v>693952625.15500462</v>
      </c>
      <c r="AR238" s="143">
        <f>+(M238^2)/2/input!P41*E238+D238*AF238+F238*AH238+G238*AI238+C238*AE238+B238*AD238+I238*AK238+J238*AM238</f>
        <v>688361005.13391924</v>
      </c>
      <c r="AS238" s="143">
        <f>+(M238^2)/2/input!P41*E238+D238*AF238+F238*AH238+G238*AI238+C238*AE238+B238*AD238+H238*AJ238+I238*AK238+J238*AM238</f>
        <v>693952625.15500462</v>
      </c>
      <c r="AT238" s="143">
        <f>+(M238^2)/2/input!P41*E238+D238*AF238+F238*AH238+G238*AI238+C238*AE238+B238*AD238+H238*AJ238+J238*AM238</f>
        <v>685455145.16275513</v>
      </c>
      <c r="AU238" s="143">
        <f>+(M238^2)/2/input!P41*E238+D238*AF238+F238*AH238+G238*AI238+C238*AE238+B238*AD238+H238*AJ238+I238*AK238+J238*AM238</f>
        <v>693952625.15500462</v>
      </c>
      <c r="AV238" s="143">
        <f>IF(input!AE41=0,0,1/2/input!AE41)*F238*((input!M41-M238)^2+(input!AE41-input!M41+M238)^2)+C238/2/input!M41*(M238^2+(M238-input!M41)^2)+IF(input!O41=0,0,1/2/input!O41)*K238*(input!M41-M238)^2+B238*AD238+G238*AI238+D238*AF238+H238*AJ238+I238*AK238+J238*AM238</f>
        <v>196238514.45419917</v>
      </c>
      <c r="AW238" s="143">
        <f>+C238/2/input!M41*(M238^2+(M238-input!M41)^2)+IF(input!O41=0,0,1/2/input!O41)*K238*(input!M41-M238)^2+B238*AD238+F238*AH238+G238*AI238+D238*AF238+H238*AJ238+I238*AK238+J238*AM238</f>
        <v>193137906.75339007</v>
      </c>
      <c r="AX238" s="143">
        <f>C238/2/input!M41*(M238^2+(M238-input!M41)^2)+K238*AL238+B238*AD238+F238*AH238+G238*AI238+D238*AF238+H238*AJ238+I238*AK238+J238*AM238</f>
        <v>192987710.09354088</v>
      </c>
      <c r="AY238" s="143">
        <f>C238/2/input!M41*(M238^2+(M238-input!M41)^2)+IF(input!AH41=0,0,1/2/input!AH41)*G238*(M238^2+(input!AH41-M238)^2)+K238*AL238+B238*AD238+F238*AH238+D238*AF238+H238*AJ238+I238*AK238+J238*AM238</f>
        <v>192987710.09354088</v>
      </c>
      <c r="AZ238" s="143">
        <f>D238/2/input!H41*(M238^2+(input!H41-M238)^2)+B238*AD238+K238*AL238+F238*AH238+C238*AE238+G238*AI238+H238*AJ238+I238*AK238+J238*AM238</f>
        <v>7046994897.9120083</v>
      </c>
      <c r="BA238" s="185"/>
    </row>
    <row r="239" spans="1:53" ht="15" customHeight="1">
      <c r="A239" s="579" t="str">
        <f>+input!B42</f>
        <v>120j</v>
      </c>
      <c r="B239" s="642">
        <f>+input!J42*input!K42*input!BJ42/1000</f>
        <v>20976</v>
      </c>
      <c r="C239" s="642">
        <f>+input!BQ42*input!N42*2*input!BK42/1000</f>
        <v>32055.536807235028</v>
      </c>
      <c r="D239" s="642">
        <f>+input!F42*input!G42*input!H42*input!BI42/1000</f>
        <v>44080</v>
      </c>
      <c r="E239" s="642">
        <f>0.85*Fck*input!P42*input!Q42/1000</f>
        <v>47019.875</v>
      </c>
      <c r="F239" s="642">
        <f>input!AD42*input!AE42*input!AF42*input!BN42/1000</f>
        <v>1945.6</v>
      </c>
      <c r="G239" s="642">
        <f>input!AG42*input!AH42*input!AI42*input!BM42/1000</f>
        <v>0</v>
      </c>
      <c r="H239" s="642">
        <f>input!CB42*Fys/1000</f>
        <v>2171.4688421612645</v>
      </c>
      <c r="I239" s="642">
        <f>input!BZ42*Fys/1000</f>
        <v>3062.1103594539709</v>
      </c>
      <c r="J239" s="642">
        <f>input!AC42*Fys/1000</f>
        <v>2412.7431579569611</v>
      </c>
      <c r="K239" s="642">
        <f>input!BT42*0.85*Fckb/1000</f>
        <v>42712.5</v>
      </c>
      <c r="L239" s="795">
        <f>IF(Stress!F871&lt;=0,IF(B239+F239+(input!M42-2*input!AH42)/input!M42*C239+J239&gt;=G239+D239+E239+H239+I239,1,IF(B239+F239+C239+G239+J239&gt;=D239+E239+H239+I239,"a",IF(B239+F239+C239+G239+D239+J239&gt;=E239+H239+I239,2,IF(B239+F239+C239+G239+D239+J239&gt;=(input!P42-input!AB42)/input!P42*E239+H239+I239,3,IF(B239+F239+C239+G239+D239+H239+J239&gt;=(input!P42-input!AB42)/input!P42*E239+I239,4,IF(B239+F239+C239+G239+D239+H239+J239&gt;=input!Y42/input!P42*E239+I239,5,IF(B239+F239+C239+G239+D239+H239+I239+J239&gt;=input!Y42/input!P42*E239,6,7))))))),IF(B239+F239+IF(input!O42=0,0,input!AE42/input!O42)*K239+input!AE42/input!M42*C239&gt;=(input!M42-input!AE42)*C239/input!M42+G239+D239+H239+I239,"b",IF(B239+F239+K239+input!O42/input!M42*C239&gt;=(input!M42-input!O42)/input!M42*C239+G239+D239+H239+I239,"c",IF(B239+F239+J239+K239+(input!M42-input!AH42)/input!M42*C239&gt;=G239+D239+H239+I239,8,IF(B239+F239+J239+K239+C239+G239&gt;=D239+H239+I239,"d",9)))))</f>
        <v>8</v>
      </c>
      <c r="M239" s="643">
        <f t="shared" si="2"/>
        <v>2535.0404115953443</v>
      </c>
      <c r="N239" s="493">
        <f t="shared" si="3"/>
        <v>192987.71009354087</v>
      </c>
      <c r="O239" s="766"/>
      <c r="Q239" s="73">
        <f>input!M42/2*((B239+F239+J239-G239-D239-E239-H239-I239)/C239+1)</f>
        <v>-1943.8051888812461</v>
      </c>
      <c r="R239" s="73">
        <f>(B239+F239+J239+C239+G239-D239-E239-H239-I239)/(2/input!M42*C239+IF(input!AH42=0,0,2/input!AH42)*G239)</f>
        <v>-1943.8051888812458</v>
      </c>
      <c r="S239" s="73">
        <f>input!H42/2*(B239+F239+J239+C239+G239-E239-H239-I239+D239)/D239</f>
        <v>22.330501707611955</v>
      </c>
      <c r="T239" s="558">
        <f>input!P42*(B239+F239+J239+C239+G239+D239-H239-I239)/E239</f>
        <v>593.54745671776573</v>
      </c>
      <c r="U239" s="73">
        <f>input!P42-input!AB42</f>
        <v>250</v>
      </c>
      <c r="V239" s="558">
        <f>input!P42*(B239+F239+J239+C239+G239+D239+H239-I239)/E239</f>
        <v>620.33297940266311</v>
      </c>
      <c r="W239" s="73">
        <f>input!Y42</f>
        <v>50</v>
      </c>
      <c r="X239" s="558">
        <f>input!P42*(B239+F239+J239+C239+G239+D239+H239+I239)/E239</f>
        <v>658.10475162628768</v>
      </c>
      <c r="Y239" s="73">
        <f>(B239+C239+IF(input!O42=0,0,input!M42/input!O42)*K239+(IF(input!AE42=0,0,2*input!M42/input!AE42)-1)*F239-D239-G239-H239-I239)/(IF(input!AE42=0,0,2/input!AE42)*F239+IF(input!O42=0,0,1/input!O42)*K239+2/input!M42*C239)</f>
        <v>2660.4680338324451</v>
      </c>
      <c r="Z239" s="73">
        <f>(B239+C239+F239+IF(input!O42=0,0,input!M42/input!O42)*K239-D239-G239-H239-I239)/(IF(input!O42=0,0,1/input!O42)*K239+2/input!M42*C239)</f>
        <v>2559.2841514627289</v>
      </c>
      <c r="AA239" s="73">
        <f>input!M42/2*(B239+F239+J239+K239-G239-D239-H239-I239+C239)/C239</f>
        <v>2535.0404115953443</v>
      </c>
      <c r="AB239" s="73">
        <f>(B239+F239+J239+K239+G239+C239-D239-H239-I239)/(IF(input!AH42=0,0,2/input!AH42)*G239+2/input!M42*C239)</f>
        <v>2535.0404115953438</v>
      </c>
      <c r="AC239" s="143">
        <f>input!H42/2*(B239+F239+K239+G239+C239-H239-I239+D239+J239)/D239</f>
        <v>63.043920491640989</v>
      </c>
      <c r="AD239" s="165">
        <f>IF(OR(L239=1,L239=8,L239="a",L239="b",L239="c",L239="d"),input!M42-M239+input!K42/2,IF(OR(L239=2,L239=9),input!H42-M239+input!M42+input!K42/2,input!R42+input!P42-M239+input!M42+input!K42/2))</f>
        <v>679.95958840465573</v>
      </c>
      <c r="AE239" s="143">
        <f>IF(OR(L239=1,L239=8,L239="a",L239="b",L239="c",L239="d"),ABS(input!M42/2-M239),IF(OR(L239=2,L239=9),input!H42-M239+input!M42/2,input!R42+input!P42-M239+input!M42/2))</f>
        <v>935.04041159534427</v>
      </c>
      <c r="AF239" s="143">
        <f>IF(OR(L239=1,L239=8,L239="a",L239="b",L239="c",L239="d"),M239+input!H42/2,IF(OR(L239=2,L239=9),ABS(input!H42/2-M239),input!R42+input!P42-M239-input!H42/2))</f>
        <v>2555.0404115953443</v>
      </c>
      <c r="AG239" s="143">
        <f>IF(OR(L239=1,L239=8,L239="a",L239="b",L239="c",L239="d"),input!R42+input!P42/2+M239,IF(OR(L239=2,L239=9),input!R42+input!P42/2-input!H42+M239,ABS(input!P42/2-M239)))</f>
        <v>2680.0404115953443</v>
      </c>
      <c r="AH239" s="143">
        <f>IF(OR(L239=1,L239=8,L239="a",L239="b",L239="c",L239="d"),input!M42-M239-input!AE42/2,IF(OR(L239=2,L239=9),input!H42-M239+input!M42-input!AE42/2,input!R42+input!P42-M239+input!M42-input!AE42/2))</f>
        <v>584.95958840465573</v>
      </c>
      <c r="AI239" s="143">
        <f>IF(OR(L239=1,L239=8,L239="a",L239="b",L239="c",L239="d"),M239-input!AH42/2,IF(OR(L239=2,L239=9),input!H42-M239+input!AH42/2,input!R42+input!P42-M239+input!AH42/2))</f>
        <v>2535.0404115953443</v>
      </c>
      <c r="AJ239" s="143">
        <f>IF(OR(L239=1,L239=8,L239="a",L239="b",L239="c",L239="d"),M239+input!R42+input!AB42,IF(OR(L239=2,L239=9),input!R42+input!AB42-input!H42+M239,IF(L239=3,input!AB42-(input!P42-M239),ABS(input!P42-input!AB42-M239))))</f>
        <v>2575.0404115953443</v>
      </c>
      <c r="AK239" s="143">
        <f>IF(OR(L239=1,L239=8,L239="a",L239="b",L239="c",L239="d"),M239+input!R42+input!P42-input!Y42,IF(OR(L239=2,L239=9),input!R42+input!P42-input!Y42-input!H42+M239,ABS(input!Y42-M239)))</f>
        <v>2775.0404115953443</v>
      </c>
      <c r="AL239" s="143">
        <f>IF(OR(L239=1,L239=8,L239="a",L239="b",L239="c",L239="d"),input!M42-M239-input!O42/2,IF(OR(L239=2,L239=9),input!H42-M239+input!M42-input!O42/2,0))</f>
        <v>364.95958840465573</v>
      </c>
      <c r="AM239" s="143">
        <f>IF(OR(L239=1,L239=8,L239="a",L239="b",L239="c",L239="d"),input!M42-M239-input!O42/2,IF(OR(L239=2,L239=9),input!H42-M239+input!M42-input!O42/2,input!R42+input!P42-M239+input!M42-input!O42/2))</f>
        <v>364.95958840465573</v>
      </c>
      <c r="AN239" s="143">
        <f>C239/2/input!M42*(M239^2+(input!M42-M239)^2)+B239*AD239+D239*AF239+E239*AG239+F239*AH239+G239*AI239+H239*AJ239+I239*AK239+J239*AM239</f>
        <v>303414538.82196862</v>
      </c>
      <c r="AO239" s="143">
        <f>IF(input!AH42=0,0,1/2/input!AH42)*G239*(M239^2+(input!AH42-M239)^2)+D239*AF239+F239*AH239+C239/2/input!M42*(M239^2+(input!M42-M239)^2)+B239*AD239+E239*AG239+H239*AJ239+I239*AK239+J239*AM239</f>
        <v>303414538.82196862</v>
      </c>
      <c r="AP239" s="143">
        <f>+D239/2/input!H42*(M239^2+(input!H42-M239)^2)+B239*AD239+F239*AH239+G239*AI239+C239*AE239+E239*AG239+H239*AJ239+I239*AK239+J239*AM239</f>
        <v>7157421726.6404362</v>
      </c>
      <c r="AQ239" s="143">
        <f>+(M239^2)/2/input!P42*E239+D239*AF239+F239*AH239+G239*AI239+C239*AE239+B239*AD239+H239*AJ239+I239*AK239+J239*AM239</f>
        <v>693952625.15500462</v>
      </c>
      <c r="AR239" s="143">
        <f>+(M239^2)/2/input!P42*E239+D239*AF239+F239*AH239+G239*AI239+C239*AE239+B239*AD239+I239*AK239+J239*AM239</f>
        <v>688361005.13391924</v>
      </c>
      <c r="AS239" s="143">
        <f>+(M239^2)/2/input!P42*E239+D239*AF239+F239*AH239+G239*AI239+C239*AE239+B239*AD239+H239*AJ239+I239*AK239+J239*AM239</f>
        <v>693952625.15500462</v>
      </c>
      <c r="AT239" s="143">
        <f>+(M239^2)/2/input!P42*E239+D239*AF239+F239*AH239+G239*AI239+C239*AE239+B239*AD239+H239*AJ239+J239*AM239</f>
        <v>685455145.16275513</v>
      </c>
      <c r="AU239" s="143">
        <f>+(M239^2)/2/input!P42*E239+D239*AF239+F239*AH239+G239*AI239+C239*AE239+B239*AD239+H239*AJ239+I239*AK239+J239*AM239</f>
        <v>693952625.15500462</v>
      </c>
      <c r="AV239" s="143">
        <f>IF(input!AE42=0,0,1/2/input!AE42)*F239*((input!M42-M239)^2+(input!AE42-input!M42+M239)^2)+C239/2/input!M42*(M239^2+(M239-input!M42)^2)+IF(input!O42=0,0,1/2/input!O42)*K239*(input!M42-M239)^2+B239*AD239+G239*AI239+D239*AF239+H239*AJ239+I239*AK239+J239*AM239</f>
        <v>196238514.45419917</v>
      </c>
      <c r="AW239" s="143">
        <f>+C239/2/input!M42*(M239^2+(M239-input!M42)^2)+IF(input!O42=0,0,1/2/input!O42)*K239*(input!M42-M239)^2+B239*AD239+F239*AH239+G239*AI239+D239*AF239+H239*AJ239+I239*AK239+J239*AM239</f>
        <v>193137906.75339007</v>
      </c>
      <c r="AX239" s="143">
        <f>C239/2/input!M42*(M239^2+(M239-input!M42)^2)+K239*AL239+B239*AD239+F239*AH239+G239*AI239+D239*AF239+H239*AJ239+I239*AK239+J239*AM239</f>
        <v>192987710.09354088</v>
      </c>
      <c r="AY239" s="143">
        <f>C239/2/input!M42*(M239^2+(M239-input!M42)^2)+IF(input!AH42=0,0,1/2/input!AH42)*G239*(M239^2+(input!AH42-M239)^2)+K239*AL239+B239*AD239+F239*AH239+D239*AF239+H239*AJ239+I239*AK239+J239*AM239</f>
        <v>192987710.09354088</v>
      </c>
      <c r="AZ239" s="143">
        <f>D239/2/input!H42*(M239^2+(input!H42-M239)^2)+B239*AD239+K239*AL239+F239*AH239+C239*AE239+G239*AI239+H239*AJ239+I239*AK239+J239*AM239</f>
        <v>7046994897.9120083</v>
      </c>
      <c r="BA239" s="185"/>
    </row>
    <row r="240" spans="1:53" ht="15" customHeight="1">
      <c r="A240" s="579" t="str">
        <f>+input!B43</f>
        <v>121i</v>
      </c>
      <c r="B240" s="642">
        <f>+input!J43*input!K43*input!BJ43/1000</f>
        <v>21249.599999999999</v>
      </c>
      <c r="C240" s="642">
        <f>+input!BQ43*input!N43*2*input!BK43/1000</f>
        <v>31084.007485374212</v>
      </c>
      <c r="D240" s="642">
        <f>+input!F43*input!G43*input!H43*input!BI43/1000</f>
        <v>44080</v>
      </c>
      <c r="E240" s="642">
        <f>0.85*Fck*input!P43*input!Q43/1000</f>
        <v>47019.875</v>
      </c>
      <c r="F240" s="642">
        <f>input!AD43*input!AE43*input!AF43*input!BN43/1000</f>
        <v>1945.6</v>
      </c>
      <c r="G240" s="642">
        <f>input!AG43*input!AH43*input!AI43*input!BM43/1000</f>
        <v>0</v>
      </c>
      <c r="H240" s="642">
        <f>input!CB43*Fys/1000</f>
        <v>2171.4688421612645</v>
      </c>
      <c r="I240" s="642">
        <f>input!BZ43*Fys/1000</f>
        <v>3062.1103594539709</v>
      </c>
      <c r="J240" s="642">
        <f>input!AC43*Fys/1000</f>
        <v>2412.7431579569611</v>
      </c>
      <c r="K240" s="642">
        <f>input!BT43*0.85*Fckb/1000</f>
        <v>36731.328804382851</v>
      </c>
      <c r="L240" s="795">
        <f>IF(Stress!F872&lt;=0,IF(B240+F240+(input!M43-2*input!AH43)/input!M43*C240+J240&gt;=G240+D240+E240+H240+I240,1,IF(B240+F240+C240+G240+J240&gt;=D240+E240+H240+I240,"a",IF(B240+F240+C240+G240+D240+J240&gt;=E240+H240+I240,2,IF(B240+F240+C240+G240+D240+J240&gt;=(input!P43-input!AB43)/input!P43*E240+H240+I240,3,IF(B240+F240+C240+G240+D240+H240+J240&gt;=(input!P43-input!AB43)/input!P43*E240+I240,4,IF(B240+F240+C240+G240+D240+H240+J240&gt;=input!Y43/input!P43*E240+I240,5,IF(B240+F240+C240+G240+D240+H240+I240+J240&gt;=input!Y43/input!P43*E240,6,7))))))),IF(B240+F240+IF(input!O43=0,0,input!AE43/input!O43)*K240+input!AE43/input!M43*C240&gt;=(input!M43-input!AE43)*C240/input!M43+G240+D240+H240+I240,"b",IF(B240+F240+K240+input!O43/input!M43*C240&gt;=(input!M43-input!O43)/input!M43*C240+G240+D240+H240+I240,"c",IF(B240+F240+J240+K240+(input!M43-input!AH43)/input!M43*C240&gt;=G240+D240+H240+I240,8,IF(B240+F240+J240+K240+C240+G240&gt;=D240+H240+I240,"d",9)))))</f>
        <v>8</v>
      </c>
      <c r="M240" s="643">
        <f t="shared" si="2"/>
        <v>2201.6530514613723</v>
      </c>
      <c r="N240" s="493">
        <f t="shared" si="3"/>
        <v>184954.04925736002</v>
      </c>
      <c r="O240" s="766"/>
      <c r="Q240" s="73">
        <f>input!M43/2*((B240+F240+J240-G240-D240-E240-H240-I240)/C240+1)</f>
        <v>-1978.6313846313665</v>
      </c>
      <c r="R240" s="73">
        <f>(B240+F240+J240+C240+G240-D240-E240-H240-I240)/(2/input!M43*C240+IF(input!AH43=0,0,2/input!AH43)*G240)</f>
        <v>-1978.6313846313658</v>
      </c>
      <c r="S240" s="73">
        <f>input!H43/2*(B240+F240+J240+C240+G240-E240-H240-I240+D240)/D240</f>
        <v>22.013836861032637</v>
      </c>
      <c r="T240" s="558">
        <f>input!P43*(B240+F240+J240+C240+G240+D240-H240-I240)/E240</f>
        <v>589.24290458232008</v>
      </c>
      <c r="U240" s="73">
        <f>input!P43-input!AB43</f>
        <v>250</v>
      </c>
      <c r="V240" s="558">
        <f>input!P43*(B240+F240+J240+C240+G240+D240+H240-I240)/E240</f>
        <v>616.02842726721735</v>
      </c>
      <c r="W240" s="73">
        <f>input!Y43</f>
        <v>50</v>
      </c>
      <c r="X240" s="558">
        <f>input!P43*(B240+F240+J240+C240+G240+D240+H240+I240)/E240</f>
        <v>653.80019949084203</v>
      </c>
      <c r="Y240" s="73">
        <f>(B240+C240+IF(input!O43=0,0,input!M43/input!O43)*K240+(IF(input!AE43=0,0,2*input!M43/input!AE43)-1)*F240-D240-G240-H240-I240)/(IF(input!AE43=0,0,2/input!AE43)*F240+IF(input!O43=0,0,1/input!O43)*K240+2/input!M43*C240)</f>
        <v>2576.7652313423459</v>
      </c>
      <c r="Z240" s="73">
        <f>(B240+C240+F240+IF(input!O43=0,0,input!M43/input!O43)*K240-D240-G240-H240-I240)/(IF(input!O43=0,0,1/input!O43)*K240+2/input!M43*C240)</f>
        <v>2479.7152399895549</v>
      </c>
      <c r="AA240" s="73">
        <f>input!M43/2*(B240+F240+J240+K240-G240-D240-H240-I240+C240)/C240</f>
        <v>2201.6530514613723</v>
      </c>
      <c r="AB240" s="73">
        <f>(B240+F240+J240+K240+G240+C240-D240-H240-I240)/(IF(input!AH43=0,0,2/input!AH43)*G240+2/input!M43*C240)</f>
        <v>2201.653051461371</v>
      </c>
      <c r="AC240" s="143">
        <f>input!H43/2*(B240+F240+K240+G240+C240-H240-I240+D240+J240)/D240</f>
        <v>60.013475610752621</v>
      </c>
      <c r="AD240" s="165">
        <f>IF(OR(L240=1,L240=8,L240="a",L240="b",L240="c",L240="d"),input!M43-M240+input!K43/2,IF(OR(L240=2,L240=9),input!H43-M240+input!M43+input!K43/2,input!R43+input!P43-M240+input!M43+input!K43/2))</f>
        <v>916.34694853862766</v>
      </c>
      <c r="AE240" s="143">
        <f>IF(OR(L240=1,L240=8,L240="a",L240="b",L240="c",L240="d"),ABS(input!M43/2-M240),IF(OR(L240=2,L240=9),input!H43-M240+input!M43/2,input!R43+input!P43-M240+input!M43/2))</f>
        <v>650.15305146137234</v>
      </c>
      <c r="AF240" s="143">
        <f>IF(OR(L240=1,L240=8,L240="a",L240="b",L240="c",L240="d"),M240+input!H43/2,IF(OR(L240=2,L240=9),ABS(input!H43/2-M240),input!R43+input!P43-M240-input!H43/2))</f>
        <v>2221.6530514613723</v>
      </c>
      <c r="AG240" s="143">
        <f>IF(OR(L240=1,L240=8,L240="a",L240="b",L240="c",L240="d"),input!R43+input!P43/2+M240,IF(OR(L240=2,L240=9),input!R43+input!P43/2-input!H43+M240,ABS(input!P43/2-M240)))</f>
        <v>2346.6530514613723</v>
      </c>
      <c r="AH240" s="143">
        <f>IF(OR(L240=1,L240=8,L240="a",L240="b",L240="c",L240="d"),input!M43-M240-input!AE43/2,IF(OR(L240=2,L240=9),input!H43-M240+input!M43-input!AE43/2,input!R43+input!P43-M240+input!M43-input!AE43/2))</f>
        <v>821.34694853862766</v>
      </c>
      <c r="AI240" s="143">
        <f>IF(OR(L240=1,L240=8,L240="a",L240="b",L240="c",L240="d"),M240-input!AH43/2,IF(OR(L240=2,L240=9),input!H43-M240+input!AH43/2,input!R43+input!P43-M240+input!AH43/2))</f>
        <v>2201.6530514613723</v>
      </c>
      <c r="AJ240" s="143">
        <f>IF(OR(L240=1,L240=8,L240="a",L240="b",L240="c",L240="d"),M240+input!R43+input!AB43,IF(OR(L240=2,L240=9),input!R43+input!AB43-input!H43+M240,IF(L240=3,input!AB43-(input!P43-M240),ABS(input!P43-input!AB43-M240))))</f>
        <v>2241.6530514613723</v>
      </c>
      <c r="AK240" s="143">
        <f>IF(OR(L240=1,L240=8,L240="a",L240="b",L240="c",L240="d"),M240+input!R43+input!P43-input!Y43,IF(OR(L240=2,L240=9),input!R43+input!P43-input!Y43-input!H43+M240,ABS(input!Y43-M240)))</f>
        <v>2441.6530514613723</v>
      </c>
      <c r="AL240" s="143">
        <f>IF(OR(L240=1,L240=8,L240="a",L240="b",L240="c",L240="d"),input!M43-M240-input!O43/2,IF(OR(L240=2,L240=9),input!H43-M240+input!M43-input!O43/2,0))</f>
        <v>645.34694853862766</v>
      </c>
      <c r="AM240" s="143">
        <f>IF(OR(L240=1,L240=8,L240="a",L240="b",L240="c",L240="d"),input!M43-M240-input!O43/2,IF(OR(L240=2,L240=9),input!H43-M240+input!M43-input!O43/2,input!R43+input!P43-M240+input!M43-input!O43/2))</f>
        <v>645.34694853862766</v>
      </c>
      <c r="AN240" s="143">
        <f>C240/2/input!M43*(M240^2+(input!M43-M240)^2)+B240*AD240+D240*AF240+E240*AG240+F240*AH240+G240*AI240+H240*AJ240+I240*AK240+J240*AM240</f>
        <v>271588931.4457649</v>
      </c>
      <c r="AO240" s="143">
        <f>IF(input!AH43=0,0,1/2/input!AH43)*G240*(M240^2+(input!AH43-M240)^2)+D240*AF240+F240*AH240+C240/2/input!M43*(M240^2+(input!M43-M240)^2)+B240*AD240+E240*AG240+H240*AJ240+I240*AK240+J240*AM240</f>
        <v>271588931.4457649</v>
      </c>
      <c r="AP240" s="143">
        <f>+D240/2/input!H43*(M240^2+(input!H43-M240)^2)+B240*AD240+F240*AH240+G240*AI240+C240*AE240+E240*AG240+H240*AJ240+I240*AK240+J240*AM240</f>
        <v>5411051122.2206316</v>
      </c>
      <c r="AQ240" s="143">
        <f>+(M240^2)/2/input!P43*E240+D240*AF240+F240*AH240+G240*AI240+C240*AE240+B240*AD240+H240*AJ240+I240*AK240+J240*AM240</f>
        <v>546073813.97695088</v>
      </c>
      <c r="AR240" s="143">
        <f>+(M240^2)/2/input!P43*E240+D240*AF240+F240*AH240+G240*AI240+C240*AE240+B240*AD240+I240*AK240+J240*AM240</f>
        <v>541206134.22076678</v>
      </c>
      <c r="AS240" s="143">
        <f>+(M240^2)/2/input!P43*E240+D240*AF240+F240*AH240+G240*AI240+C240*AE240+B240*AD240+H240*AJ240+I240*AK240+J240*AM240</f>
        <v>546073813.97695088</v>
      </c>
      <c r="AT240" s="143">
        <f>+(M240^2)/2/input!P43*E240+D240*AF240+F240*AH240+G240*AI240+C240*AE240+B240*AD240+H240*AJ240+J240*AM240</f>
        <v>538597202.8738786</v>
      </c>
      <c r="AU240" s="143">
        <f>+(M240^2)/2/input!P43*E240+D240*AF240+F240*AH240+G240*AI240+C240*AE240+B240*AD240+H240*AJ240+I240*AK240+J240*AM240</f>
        <v>546073813.97695088</v>
      </c>
      <c r="AV240" s="143">
        <f>IF(input!AE43=0,0,1/2/input!AE43)*F240*((input!M43-M240)^2+(input!AE43-input!M43+M240)^2)+C240/2/input!M43*(M240^2+(M240-input!M43)^2)+IF(input!O43=0,0,1/2/input!O43)*K240*(input!M43-M240)^2+B240*AD240+G240*AI240+D240*AF240+H240*AJ240+I240*AK240+J240*AM240</f>
        <v>197074765.35459432</v>
      </c>
      <c r="AW240" s="143">
        <f>+C240/2/input!M43*(M240^2+(M240-input!M43)^2)+IF(input!O43=0,0,1/2/input!O43)*K240*(input!M43-M240)^2+B240*AD240+F240*AH240+G240*AI240+D240*AF240+H240*AJ240+I240*AK240+J240*AM240</f>
        <v>190391686.52960667</v>
      </c>
      <c r="AX240" s="143">
        <f>C240/2/input!M43*(M240^2+(M240-input!M43)^2)+K240*AL240+B240*AD240+F240*AH240+G240*AI240+D240*AF240+H240*AJ240+I240*AK240+J240*AM240</f>
        <v>184954049.25736001</v>
      </c>
      <c r="AY240" s="143">
        <f>C240/2/input!M43*(M240^2+(M240-input!M43)^2)+IF(input!AH43=0,0,1/2/input!AH43)*G240*(M240^2+(input!AH43-M240)^2)+K240*AL240+B240*AD240+F240*AH240+D240*AF240+H240*AJ240+I240*AK240+J240*AM240</f>
        <v>184954049.25736001</v>
      </c>
      <c r="AZ240" s="143">
        <f>D240/2/input!H43*(M240^2+(input!H43-M240)^2)+B240*AD240+K240*AL240+F240*AH240+C240*AE240+G240*AI240+H240*AJ240+I240*AK240+J240*AM240</f>
        <v>5324416240.0322266</v>
      </c>
      <c r="BA240" s="185"/>
    </row>
    <row r="241" spans="1:53" ht="15" customHeight="1">
      <c r="A241" s="579" t="str">
        <f>+input!B44</f>
        <v>121j</v>
      </c>
      <c r="B241" s="642">
        <f>+input!J44*input!K44*input!BJ44/1000</f>
        <v>21249.599999999999</v>
      </c>
      <c r="C241" s="642">
        <f>+input!BQ44*input!N44*2*input!BK44/1000</f>
        <v>31084.007485374212</v>
      </c>
      <c r="D241" s="642">
        <f>+input!F44*input!G44*input!H44*input!BI44/1000</f>
        <v>44080</v>
      </c>
      <c r="E241" s="642">
        <f>0.85*Fck*input!P44*input!Q44/1000</f>
        <v>47019.875</v>
      </c>
      <c r="F241" s="642">
        <f>input!AD44*input!AE44*input!AF44*input!BN44/1000</f>
        <v>1945.6</v>
      </c>
      <c r="G241" s="642">
        <f>input!AG44*input!AH44*input!AI44*input!BM44/1000</f>
        <v>0</v>
      </c>
      <c r="H241" s="642">
        <f>input!CB44*Fys/1000</f>
        <v>2171.4688421612645</v>
      </c>
      <c r="I241" s="642">
        <f>input!BZ44*Fys/1000</f>
        <v>3062.1103594539709</v>
      </c>
      <c r="J241" s="642">
        <f>input!AC44*Fys/1000</f>
        <v>2412.7431579569611</v>
      </c>
      <c r="K241" s="642">
        <f>input!BT44*0.85*Fckb/1000</f>
        <v>36731.328804382851</v>
      </c>
      <c r="L241" s="795">
        <f>IF(Stress!F873&lt;=0,IF(B241+F241+(input!M44-2*input!AH44)/input!M44*C241+J241&gt;=G241+D241+E241+H241+I241,1,IF(B241+F241+C241+G241+J241&gt;=D241+E241+H241+I241,"a",IF(B241+F241+C241+G241+D241+J241&gt;=E241+H241+I241,2,IF(B241+F241+C241+G241+D241+J241&gt;=(input!P44-input!AB44)/input!P44*E241+H241+I241,3,IF(B241+F241+C241+G241+D241+H241+J241&gt;=(input!P44-input!AB44)/input!P44*E241+I241,4,IF(B241+F241+C241+G241+D241+H241+J241&gt;=input!Y44/input!P44*E241+I241,5,IF(B241+F241+C241+G241+D241+H241+I241+J241&gt;=input!Y44/input!P44*E241,6,7))))))),IF(B241+F241+IF(input!O44=0,0,input!AE44/input!O44)*K241+input!AE44/input!M44*C241&gt;=(input!M44-input!AE44)*C241/input!M44+G241+D241+H241+I241,"b",IF(B241+F241+K241+input!O44/input!M44*C241&gt;=(input!M44-input!O44)/input!M44*C241+G241+D241+H241+I241,"c",IF(B241+F241+J241+K241+(input!M44-input!AH44)/input!M44*C241&gt;=G241+D241+H241+I241,8,IF(B241+F241+J241+K241+C241+G241&gt;=D241+H241+I241,"d",9)))))</f>
        <v>8</v>
      </c>
      <c r="M241" s="643">
        <f t="shared" si="2"/>
        <v>2201.6530514613723</v>
      </c>
      <c r="N241" s="493">
        <f t="shared" si="3"/>
        <v>184954.04925736002</v>
      </c>
      <c r="O241" s="766"/>
      <c r="Q241" s="73">
        <f>input!M44/2*((B241+F241+J241-G241-D241-E241-H241-I241)/C241+1)</f>
        <v>-1978.6313846313665</v>
      </c>
      <c r="R241" s="73">
        <f>(B241+F241+J241+C241+G241-D241-E241-H241-I241)/(2/input!M44*C241+IF(input!AH44=0,0,2/input!AH44)*G241)</f>
        <v>-1978.6313846313658</v>
      </c>
      <c r="S241" s="73">
        <f>input!H44/2*(B241+F241+J241+C241+G241-E241-H241-I241+D241)/D241</f>
        <v>22.013836861032637</v>
      </c>
      <c r="T241" s="558">
        <f>input!P44*(B241+F241+J241+C241+G241+D241-H241-I241)/E241</f>
        <v>589.24290458232008</v>
      </c>
      <c r="U241" s="73">
        <f>input!P44-input!AB44</f>
        <v>250</v>
      </c>
      <c r="V241" s="558">
        <f>input!P44*(B241+F241+J241+C241+G241+D241+H241-I241)/E241</f>
        <v>616.02842726721735</v>
      </c>
      <c r="W241" s="73">
        <f>input!Y44</f>
        <v>50</v>
      </c>
      <c r="X241" s="558">
        <f>input!P44*(B241+F241+J241+C241+G241+D241+H241+I241)/E241</f>
        <v>653.80019949084203</v>
      </c>
      <c r="Y241" s="73">
        <f>(B241+C241+IF(input!O44=0,0,input!M44/input!O44)*K241+(IF(input!AE44=0,0,2*input!M44/input!AE44)-1)*F241-D241-G241-H241-I241)/(IF(input!AE44=0,0,2/input!AE44)*F241+IF(input!O44=0,0,1/input!O44)*K241+2/input!M44*C241)</f>
        <v>2576.7652313423459</v>
      </c>
      <c r="Z241" s="73">
        <f>(B241+C241+F241+IF(input!O44=0,0,input!M44/input!O44)*K241-D241-G241-H241-I241)/(IF(input!O44=0,0,1/input!O44)*K241+2/input!M44*C241)</f>
        <v>2479.7152399895549</v>
      </c>
      <c r="AA241" s="73">
        <f>input!M44/2*(B241+F241+J241+K241-G241-D241-H241-I241+C241)/C241</f>
        <v>2201.6530514613723</v>
      </c>
      <c r="AB241" s="73">
        <f>(B241+F241+J241+K241+G241+C241-D241-H241-I241)/(IF(input!AH44=0,0,2/input!AH44)*G241+2/input!M44*C241)</f>
        <v>2201.653051461371</v>
      </c>
      <c r="AC241" s="143">
        <f>input!H44/2*(B241+F241+K241+G241+C241-H241-I241+D241+J241)/D241</f>
        <v>60.013475610752621</v>
      </c>
      <c r="AD241" s="165">
        <f>IF(OR(L241=1,L241=8,L241="a",L241="b",L241="c",L241="d"),input!M44-M241+input!K44/2,IF(OR(L241=2,L241=9),input!H44-M241+input!M44+input!K44/2,input!R44+input!P44-M241+input!M44+input!K44/2))</f>
        <v>916.34694853862766</v>
      </c>
      <c r="AE241" s="143">
        <f>IF(OR(L241=1,L241=8,L241="a",L241="b",L241="c",L241="d"),ABS(input!M44/2-M241),IF(OR(L241=2,L241=9),input!H44-M241+input!M44/2,input!R44+input!P44-M241+input!M44/2))</f>
        <v>650.15305146137234</v>
      </c>
      <c r="AF241" s="143">
        <f>IF(OR(L241=1,L241=8,L241="a",L241="b",L241="c",L241="d"),M241+input!H44/2,IF(OR(L241=2,L241=9),ABS(input!H44/2-M241),input!R44+input!P44-M241-input!H44/2))</f>
        <v>2221.6530514613723</v>
      </c>
      <c r="AG241" s="143">
        <f>IF(OR(L241=1,L241=8,L241="a",L241="b",L241="c",L241="d"),input!R44+input!P44/2+M241,IF(OR(L241=2,L241=9),input!R44+input!P44/2-input!H44+M241,ABS(input!P44/2-M241)))</f>
        <v>2346.6530514613723</v>
      </c>
      <c r="AH241" s="143">
        <f>IF(OR(L241=1,L241=8,L241="a",L241="b",L241="c",L241="d"),input!M44-M241-input!AE44/2,IF(OR(L241=2,L241=9),input!H44-M241+input!M44-input!AE44/2,input!R44+input!P44-M241+input!M44-input!AE44/2))</f>
        <v>821.34694853862766</v>
      </c>
      <c r="AI241" s="143">
        <f>IF(OR(L241=1,L241=8,L241="a",L241="b",L241="c",L241="d"),M241-input!AH44/2,IF(OR(L241=2,L241=9),input!H44-M241+input!AH44/2,input!R44+input!P44-M241+input!AH44/2))</f>
        <v>2201.6530514613723</v>
      </c>
      <c r="AJ241" s="143">
        <f>IF(OR(L241=1,L241=8,L241="a",L241="b",L241="c",L241="d"),M241+input!R44+input!AB44,IF(OR(L241=2,L241=9),input!R44+input!AB44-input!H44+M241,IF(L241=3,input!AB44-(input!P44-M241),ABS(input!P44-input!AB44-M241))))</f>
        <v>2241.6530514613723</v>
      </c>
      <c r="AK241" s="143">
        <f>IF(OR(L241=1,L241=8,L241="a",L241="b",L241="c",L241="d"),M241+input!R44+input!P44-input!Y44,IF(OR(L241=2,L241=9),input!R44+input!P44-input!Y44-input!H44+M241,ABS(input!Y44-M241)))</f>
        <v>2441.6530514613723</v>
      </c>
      <c r="AL241" s="143">
        <f>IF(OR(L241=1,L241=8,L241="a",L241="b",L241="c",L241="d"),input!M44-M241-input!O44/2,IF(OR(L241=2,L241=9),input!H44-M241+input!M44-input!O44/2,0))</f>
        <v>645.34694853862766</v>
      </c>
      <c r="AM241" s="143">
        <f>IF(OR(L241=1,L241=8,L241="a",L241="b",L241="c",L241="d"),input!M44-M241-input!O44/2,IF(OR(L241=2,L241=9),input!H44-M241+input!M44-input!O44/2,input!R44+input!P44-M241+input!M44-input!O44/2))</f>
        <v>645.34694853862766</v>
      </c>
      <c r="AN241" s="143">
        <f>C241/2/input!M44*(M241^2+(input!M44-M241)^2)+B241*AD241+D241*AF241+E241*AG241+F241*AH241+G241*AI241+H241*AJ241+I241*AK241+J241*AM241</f>
        <v>271588931.4457649</v>
      </c>
      <c r="AO241" s="143">
        <f>IF(input!AH44=0,0,1/2/input!AH44)*G241*(M241^2+(input!AH44-M241)^2)+D241*AF241+F241*AH241+C241/2/input!M44*(M241^2+(input!M44-M241)^2)+B241*AD241+E241*AG241+H241*AJ241+I241*AK241+J241*AM241</f>
        <v>271588931.4457649</v>
      </c>
      <c r="AP241" s="143">
        <f>+D241/2/input!H44*(M241^2+(input!H44-M241)^2)+B241*AD241+F241*AH241+G241*AI241+C241*AE241+E241*AG241+H241*AJ241+I241*AK241+J241*AM241</f>
        <v>5411051122.2206316</v>
      </c>
      <c r="AQ241" s="143">
        <f>+(M241^2)/2/input!P44*E241+D241*AF241+F241*AH241+G241*AI241+C241*AE241+B241*AD241+H241*AJ241+I241*AK241+J241*AM241</f>
        <v>546073813.97695088</v>
      </c>
      <c r="AR241" s="143">
        <f>+(M241^2)/2/input!P44*E241+D241*AF241+F241*AH241+G241*AI241+C241*AE241+B241*AD241+I241*AK241+J241*AM241</f>
        <v>541206134.22076678</v>
      </c>
      <c r="AS241" s="143">
        <f>+(M241^2)/2/input!P44*E241+D241*AF241+F241*AH241+G241*AI241+C241*AE241+B241*AD241+H241*AJ241+I241*AK241+J241*AM241</f>
        <v>546073813.97695088</v>
      </c>
      <c r="AT241" s="143">
        <f>+(M241^2)/2/input!P44*E241+D241*AF241+F241*AH241+G241*AI241+C241*AE241+B241*AD241+H241*AJ241+J241*AM241</f>
        <v>538597202.8738786</v>
      </c>
      <c r="AU241" s="143">
        <f>+(M241^2)/2/input!P44*E241+D241*AF241+F241*AH241+G241*AI241+C241*AE241+B241*AD241+H241*AJ241+I241*AK241+J241*AM241</f>
        <v>546073813.97695088</v>
      </c>
      <c r="AV241" s="143">
        <f>IF(input!AE44=0,0,1/2/input!AE44)*F241*((input!M44-M241)^2+(input!AE44-input!M44+M241)^2)+C241/2/input!M44*(M241^2+(M241-input!M44)^2)+IF(input!O44=0,0,1/2/input!O44)*K241*(input!M44-M241)^2+B241*AD241+G241*AI241+D241*AF241+H241*AJ241+I241*AK241+J241*AM241</f>
        <v>197074765.35459432</v>
      </c>
      <c r="AW241" s="143">
        <f>+C241/2/input!M44*(M241^2+(M241-input!M44)^2)+IF(input!O44=0,0,1/2/input!O44)*K241*(input!M44-M241)^2+B241*AD241+F241*AH241+G241*AI241+D241*AF241+H241*AJ241+I241*AK241+J241*AM241</f>
        <v>190391686.52960667</v>
      </c>
      <c r="AX241" s="143">
        <f>C241/2/input!M44*(M241^2+(M241-input!M44)^2)+K241*AL241+B241*AD241+F241*AH241+G241*AI241+D241*AF241+H241*AJ241+I241*AK241+J241*AM241</f>
        <v>184954049.25736001</v>
      </c>
      <c r="AY241" s="143">
        <f>C241/2/input!M44*(M241^2+(M241-input!M44)^2)+IF(input!AH44=0,0,1/2/input!AH44)*G241*(M241^2+(input!AH44-M241)^2)+K241*AL241+B241*AD241+F241*AH241+D241*AF241+H241*AJ241+I241*AK241+J241*AM241</f>
        <v>184954049.25736001</v>
      </c>
      <c r="AZ241" s="143">
        <f>D241/2/input!H44*(M241^2+(input!H44-M241)^2)+B241*AD241+K241*AL241+F241*AH241+C241*AE241+G241*AI241+H241*AJ241+I241*AK241+J241*AM241</f>
        <v>5324416240.0322266</v>
      </c>
      <c r="BA241" s="185"/>
    </row>
    <row r="242" spans="1:53" ht="15" customHeight="1">
      <c r="A242" s="579" t="str">
        <f>+input!B45</f>
        <v>122i</v>
      </c>
      <c r="B242" s="642">
        <f>+input!J45*input!K45*input!BJ45/1000</f>
        <v>21762.6</v>
      </c>
      <c r="C242" s="642">
        <f>+input!BQ45*input!N45*2*input!BK45/1000</f>
        <v>25106.354363666578</v>
      </c>
      <c r="D242" s="642">
        <f>+input!F45*input!G45*input!H45*input!BI45/1000</f>
        <v>24320</v>
      </c>
      <c r="E242" s="642">
        <f>0.85*Fck*input!P45*input!Q45/1000</f>
        <v>47451.25</v>
      </c>
      <c r="F242" s="642">
        <f>input!AD45*input!AE45*input!AF45*input!BN45/1000</f>
        <v>1945.6</v>
      </c>
      <c r="G242" s="642">
        <f>input!AG45*input!AH45*input!AI45*input!BM45/1000</f>
        <v>0</v>
      </c>
      <c r="H242" s="642">
        <f>input!CB45*Fys/1000</f>
        <v>2171.4688421612645</v>
      </c>
      <c r="I242" s="642">
        <f>input!BZ45*Fys/1000</f>
        <v>3062.1103594539709</v>
      </c>
      <c r="J242" s="642">
        <f>input!AC45*Fys/1000</f>
        <v>2412.7431579569611</v>
      </c>
      <c r="K242" s="642">
        <f>input!BT45*0.85*Fckb/1000</f>
        <v>25925.255000000001</v>
      </c>
      <c r="L242" s="795" t="str">
        <f>IF(Stress!F874&lt;=0,IF(B242+F242+(input!M45-2*input!AH45)/input!M45*C242+J242&gt;=G242+D242+E242+H242+I242,1,IF(B242+F242+C242+G242+J242&gt;=D242+E242+H242+I242,"a",IF(B242+F242+C242+G242+D242+J242&gt;=E242+H242+I242,2,IF(B242+F242+C242+G242+D242+J242&gt;=(input!P45-input!AB45)/input!P45*E242+H242+I242,3,IF(B242+F242+C242+G242+D242+H242+J242&gt;=(input!P45-input!AB45)/input!P45*E242+I242,4,IF(B242+F242+C242+G242+D242+H242+J242&gt;=input!Y45/input!P45*E242+I242,5,IF(B242+F242+C242+G242+D242+H242+I242+J242&gt;=input!Y45/input!P45*E242,6,7))))))),IF(B242+F242+IF(input!O45=0,0,input!AE45/input!O45)*K242+input!AE45/input!M45*C242&gt;=(input!M45-input!AE45)*C242/input!M45+G242+D242+H242+I242,"b",IF(B242+F242+K242+input!O45/input!M45*C242&gt;=(input!M45-input!O45)/input!M45*C242+G242+D242+H242+I242,"c",IF(B242+F242+J242+K242+(input!M45-input!AH45)/input!M45*C242&gt;=G242+D242+H242+I242,8,IF(B242+F242+J242+K242+C242+G242&gt;=D242+H242+I242,"d",9)))))</f>
        <v>c</v>
      </c>
      <c r="M242" s="643">
        <f t="shared" si="2"/>
        <v>2580.0779357312799</v>
      </c>
      <c r="N242" s="493">
        <f t="shared" si="3"/>
        <v>119676.94718024376</v>
      </c>
      <c r="O242" s="766"/>
      <c r="Q242" s="73">
        <f>input!M45/2*((B242+F242+J242-G242-D242-E242-H242-I242)/C242+1)</f>
        <v>-1501.0841785411658</v>
      </c>
      <c r="R242" s="73">
        <f>(B242+F242+J242+C242+G242-D242-E242-H242-I242)/(2/input!M45*C242+IF(input!AH45=0,0,2/input!AH45)*G242)</f>
        <v>-1501.084178541166</v>
      </c>
      <c r="S242" s="73">
        <f>input!H45/2*(B242+F242+J242+C242+G242-E242-H242-I242+D242)/D242</f>
        <v>18.80137197369104</v>
      </c>
      <c r="T242" s="558">
        <f>input!P45*(B242+F242+J242+C242+G242+D242-H242-I242)/E242</f>
        <v>429.7247872880568</v>
      </c>
      <c r="U242" s="73">
        <f>input!P45-input!AB45</f>
        <v>250</v>
      </c>
      <c r="V242" s="558">
        <f>input!P45*(B242+F242+J242+C242+G242+D242+H242-I242)/E242</f>
        <v>456.26680522127316</v>
      </c>
      <c r="W242" s="73">
        <f>input!Y45</f>
        <v>50</v>
      </c>
      <c r="X242" s="558">
        <f>input!P45*(B242+F242+J242+C242+G242+D242+H242+I242)/E242</f>
        <v>493.69519769741038</v>
      </c>
      <c r="Y242" s="73">
        <f>(B242+C242+IF(input!O45=0,0,input!M45/input!O45)*K242+(IF(input!AE45=0,0,2*input!M45/input!AE45)-1)*F242-D242-G242-H242-I242)/(IF(input!AE45=0,0,2/input!AE45)*F242+IF(input!O45=0,0,1/input!O45)*K242+2/input!M45*C242)</f>
        <v>2619.2060591424151</v>
      </c>
      <c r="Z242" s="73">
        <f>(B242+C242+F242+IF(input!O45=0,0,input!M45/input!O45)*K242-D242-G242-H242-I242)/(IF(input!O45=0,0,1/input!O45)*K242+2/input!M45*C242)</f>
        <v>2580.0779357312799</v>
      </c>
      <c r="AA242" s="73">
        <f>input!M45/2*(B242+F242+J242+K242-G242-D242-H242-I242+C242)/C242</f>
        <v>2771.7962546788945</v>
      </c>
      <c r="AB242" s="73">
        <f>(B242+F242+J242+K242+G242+C242-D242-H242-I242)/(IF(input!AH45=0,0,2/input!AH45)*G242+2/input!M45*C242)</f>
        <v>2771.7962546788931</v>
      </c>
      <c r="AC242" s="143">
        <f>input!H45/2*(B242+F242+K242+G242+C242-H242-I242+D242+J242)/D242</f>
        <v>79.14389253290156</v>
      </c>
      <c r="AD242" s="165">
        <f>IF(OR(L242=1,L242=8,L242="a",L242="b",L242="c",L242="d"),input!M45-M242+input!K45/2,IF(OR(L242=2,L242=9),input!H45-M242+input!M45+input!K45/2,input!R45+input!P45-M242+input!M45+input!K45/2))</f>
        <v>358.92206426872008</v>
      </c>
      <c r="AE242" s="143">
        <f>IF(OR(L242=1,L242=8,L242="a",L242="b",L242="c",L242="d"),ABS(input!M45/2-M242),IF(OR(L242=2,L242=9),input!H45-M242+input!M45/2,input!R45+input!P45-M242+input!M45/2))</f>
        <v>1118.0779357312799</v>
      </c>
      <c r="AF242" s="143">
        <f>IF(OR(L242=1,L242=8,L242="a",L242="b",L242="c",L242="d"),M242+input!H45/2,IF(OR(L242=2,L242=9),ABS(input!H45/2-M242),input!R45+input!P45-M242-input!H45/2))</f>
        <v>2600.0779357312799</v>
      </c>
      <c r="AG242" s="143">
        <f>IF(OR(L242=1,L242=8,L242="a",L242="b",L242="c",L242="d"),input!R45+input!P45/2+M242,IF(OR(L242=2,L242=9),input!R45+input!P45/2-input!H45+M242,ABS(input!P45/2-M242)))</f>
        <v>2725.0779357312799</v>
      </c>
      <c r="AH242" s="143">
        <f>IF(OR(L242=1,L242=8,L242="a",L242="b",L242="c",L242="d"),input!M45-M242-input!AE45/2,IF(OR(L242=2,L242=9),input!H45-M242+input!M45-input!AE45/2,input!R45+input!P45-M242+input!M45-input!AE45/2))</f>
        <v>263.92206426872008</v>
      </c>
      <c r="AI242" s="143">
        <f>IF(OR(L242=1,L242=8,L242="a",L242="b",L242="c",L242="d"),M242-input!AH45/2,IF(OR(L242=2,L242=9),input!H45-M242+input!AH45/2,input!R45+input!P45-M242+input!AH45/2))</f>
        <v>2580.0779357312799</v>
      </c>
      <c r="AJ242" s="143">
        <f>IF(OR(L242=1,L242=8,L242="a",L242="b",L242="c",L242="d"),M242+input!R45+input!AB45,IF(OR(L242=2,L242=9),input!R45+input!AB45-input!H45+M242,IF(L242=3,input!AB45-(input!P45-M242),ABS(input!P45-input!AB45-M242))))</f>
        <v>2620.0779357312799</v>
      </c>
      <c r="AK242" s="143">
        <f>IF(OR(L242=1,L242=8,L242="a",L242="b",L242="c",L242="d"),M242+input!R45+input!P45-input!Y45,IF(OR(L242=2,L242=9),input!R45+input!P45-input!Y45-input!H45+M242,ABS(input!Y45-M242)))</f>
        <v>2820.0779357312799</v>
      </c>
      <c r="AL242" s="143">
        <f>IF(OR(L242=1,L242=8,L242="a",L242="b",L242="c",L242="d"),input!M45-M242-input!O45/2,IF(OR(L242=2,L242=9),input!H45-M242+input!M45-input!O45/2,0))</f>
        <v>165.92206426872008</v>
      </c>
      <c r="AM242" s="143">
        <f>IF(OR(L242=1,L242=8,L242="a",L242="b",L242="c",L242="d"),input!M45-M242-input!O45/2,IF(OR(L242=2,L242=9),input!H45-M242+input!M45-input!O45/2,input!R45+input!P45-M242+input!M45-input!O45/2))</f>
        <v>165.92206426872008</v>
      </c>
      <c r="AN242" s="143">
        <f>C242/2/input!M45*(M242^2+(input!M45-M242)^2)+B242*AD242+D242*AF242+E242*AG242+F242*AH242+G242*AI242+H242*AJ242+I242*AK242+J242*AM242</f>
        <v>244678418.11378825</v>
      </c>
      <c r="AO242" s="143">
        <f>IF(input!AH45=0,0,1/2/input!AH45)*G242*(M242^2+(input!AH45-M242)^2)+D242*AF242+F242*AH242+C242/2/input!M45*(M242^2+(input!M45-M242)^2)+B242*AD242+E242*AG242+H242*AJ242+I242*AK242+J242*AM242</f>
        <v>244678418.11378825</v>
      </c>
      <c r="AP242" s="143">
        <f>+D242/2/input!H45*(M242^2+(input!H45-M242)^2)+B242*AD242+F242*AH242+G242*AI242+C242*AE242+E242*AG242+H242*AJ242+I242*AK242+J242*AM242</f>
        <v>4165503528.6379185</v>
      </c>
      <c r="AQ242" s="143">
        <f>+(M242^2)/2/input!P45*E242+D242*AF242+F242*AH242+G242*AI242+C242*AE242+B242*AD242+H242*AJ242+I242*AK242+J242*AM242</f>
        <v>658964081.39073658</v>
      </c>
      <c r="AR242" s="143">
        <f>+(M242^2)/2/input!P45*E242+D242*AF242+F242*AH242+G242*AI242+C242*AE242+B242*AD242+I242*AK242+J242*AM242</f>
        <v>653274663.78926194</v>
      </c>
      <c r="AS242" s="143">
        <f>+(M242^2)/2/input!P45*E242+D242*AF242+F242*AH242+G242*AI242+C242*AE242+B242*AD242+H242*AJ242+I242*AK242+J242*AM242</f>
        <v>658964081.39073658</v>
      </c>
      <c r="AT242" s="143">
        <f>+(M242^2)/2/input!P45*E242+D242*AF242+F242*AH242+G242*AI242+C242*AE242+B242*AD242+H242*AJ242+J242*AM242</f>
        <v>650328691.52926624</v>
      </c>
      <c r="AU242" s="143">
        <f>+(M242^2)/2/input!P45*E242+D242*AF242+F242*AH242+G242*AI242+C242*AE242+B242*AD242+H242*AJ242+I242*AK242+J242*AM242</f>
        <v>658964081.39073658</v>
      </c>
      <c r="AV242" s="143">
        <f>IF(input!AE45=0,0,1/2/input!AE45)*F242*((input!M45-M242)^2+(input!AE45-input!M45+M242)^2)+C242/2/input!M45*(M242^2+(M242-input!M45)^2)+IF(input!O45=0,0,1/2/input!O45)*K242*(input!M45-M242)^2+B242*AD242+G242*AI242+D242*AF242+H242*AJ242+I242*AK242+J242*AM242</f>
        <v>120088287.46105815</v>
      </c>
      <c r="AW242" s="143">
        <f>+C242/2/input!M45*(M242^2+(M242-input!M45)^2)+IF(input!O45=0,0,1/2/input!O45)*K242*(input!M45-M242)^2+B242*AD242+F242*AH242+G242*AI242+D242*AF242+H242*AJ242+I242*AK242+J242*AM242</f>
        <v>119676947.18024376</v>
      </c>
      <c r="AX242" s="143">
        <f>C242/2/input!M45*(M242^2+(M242-input!M45)^2)+K242*AL242+B242*AD242+F242*AH242+G242*AI242+D242*AF242+H242*AJ242+I242*AK242+J242*AM242</f>
        <v>119671635.54221229</v>
      </c>
      <c r="AY242" s="143">
        <f>C242/2/input!M45*(M242^2+(M242-input!M45)^2)+IF(input!AH45=0,0,1/2/input!AH45)*G242*(M242^2+(input!AH45-M242)^2)+K242*AL242+B242*AD242+F242*AH242+D242*AF242+H242*AJ242+I242*AK242+J242*AM242</f>
        <v>119671635.54221229</v>
      </c>
      <c r="AZ242" s="143">
        <f>D242/2/input!H45*(M242^2+(input!H45-M242)^2)+B242*AD242+K242*AL242+F242*AH242+C242*AE242+G242*AI242+H242*AJ242+I242*AK242+J242*AM242</f>
        <v>4040496746.0663424</v>
      </c>
      <c r="BA242" s="185"/>
    </row>
    <row r="243" spans="1:53" ht="15" customHeight="1">
      <c r="A243" s="579" t="str">
        <f>+input!B46</f>
        <v>122j</v>
      </c>
      <c r="B243" s="642">
        <f>+input!J46*input!K46*input!BJ46/1000</f>
        <v>21762.6</v>
      </c>
      <c r="C243" s="642">
        <f>+input!BQ46*input!N46*2*input!BK46/1000</f>
        <v>25106.354363666578</v>
      </c>
      <c r="D243" s="642">
        <f>+input!F46*input!G46*input!H46*input!BI46/1000</f>
        <v>24320</v>
      </c>
      <c r="E243" s="642">
        <f>0.85*Fck*input!P46*input!Q46/1000</f>
        <v>47451.25</v>
      </c>
      <c r="F243" s="642">
        <f>input!AD46*input!AE46*input!AF46*input!BN46/1000</f>
        <v>1945.6</v>
      </c>
      <c r="G243" s="642">
        <f>input!AG46*input!AH46*input!AI46*input!BM46/1000</f>
        <v>0</v>
      </c>
      <c r="H243" s="642">
        <f>input!CB46*Fys/1000</f>
        <v>2171.4688421612645</v>
      </c>
      <c r="I243" s="642">
        <f>input!BZ46*Fys/1000</f>
        <v>3062.1103594539709</v>
      </c>
      <c r="J243" s="642">
        <f>input!AC46*Fys/1000</f>
        <v>2412.7431579569611</v>
      </c>
      <c r="K243" s="642">
        <f>input!BT46*0.85*Fckb/1000</f>
        <v>25925.255000000001</v>
      </c>
      <c r="L243" s="795" t="str">
        <f>IF(Stress!F875&lt;=0,IF(B243+F243+(input!M46-2*input!AH46)/input!M46*C243+J243&gt;=G243+D243+E243+H243+I243,1,IF(B243+F243+C243+G243+J243&gt;=D243+E243+H243+I243,"a",IF(B243+F243+C243+G243+D243+J243&gt;=E243+H243+I243,2,IF(B243+F243+C243+G243+D243+J243&gt;=(input!P46-input!AB46)/input!P46*E243+H243+I243,3,IF(B243+F243+C243+G243+D243+H243+J243&gt;=(input!P46-input!AB46)/input!P46*E243+I243,4,IF(B243+F243+C243+G243+D243+H243+J243&gt;=input!Y46/input!P46*E243+I243,5,IF(B243+F243+C243+G243+D243+H243+I243+J243&gt;=input!Y46/input!P46*E243,6,7))))))),IF(B243+F243+IF(input!O46=0,0,input!AE46/input!O46)*K243+input!AE46/input!M46*C243&gt;=(input!M46-input!AE46)*C243/input!M46+G243+D243+H243+I243,"b",IF(B243+F243+K243+input!O46/input!M46*C243&gt;=(input!M46-input!O46)/input!M46*C243+G243+D243+H243+I243,"c",IF(B243+F243+J243+K243+(input!M46-input!AH46)/input!M46*C243&gt;=G243+D243+H243+I243,8,IF(B243+F243+J243+K243+C243+G243&gt;=D243+H243+I243,"d",9)))))</f>
        <v>c</v>
      </c>
      <c r="M243" s="643">
        <f t="shared" si="2"/>
        <v>2580.0779357312799</v>
      </c>
      <c r="N243" s="493">
        <f t="shared" si="3"/>
        <v>119676.94718024376</v>
      </c>
      <c r="O243" s="766"/>
      <c r="Q243" s="73">
        <f>input!M46/2*((B243+F243+J243-G243-D243-E243-H243-I243)/C243+1)</f>
        <v>-1501.0841785411658</v>
      </c>
      <c r="R243" s="73">
        <f>(B243+F243+J243+C243+G243-D243-E243-H243-I243)/(2/input!M46*C243+IF(input!AH46=0,0,2/input!AH46)*G243)</f>
        <v>-1501.084178541166</v>
      </c>
      <c r="S243" s="73">
        <f>input!H46/2*(B243+F243+J243+C243+G243-E243-H243-I243+D243)/D243</f>
        <v>18.80137197369104</v>
      </c>
      <c r="T243" s="558">
        <f>input!P46*(B243+F243+J243+C243+G243+D243-H243-I243)/E243</f>
        <v>429.7247872880568</v>
      </c>
      <c r="U243" s="73">
        <f>input!P46-input!AB46</f>
        <v>250</v>
      </c>
      <c r="V243" s="558">
        <f>input!P46*(B243+F243+J243+C243+G243+D243+H243-I243)/E243</f>
        <v>456.26680522127316</v>
      </c>
      <c r="W243" s="73">
        <f>input!Y46</f>
        <v>50</v>
      </c>
      <c r="X243" s="558">
        <f>input!P46*(B243+F243+J243+C243+G243+D243+H243+I243)/E243</f>
        <v>493.69519769741038</v>
      </c>
      <c r="Y243" s="73">
        <f>(B243+C243+IF(input!O46=0,0,input!M46/input!O46)*K243+(IF(input!AE46=0,0,2*input!M46/input!AE46)-1)*F243-D243-G243-H243-I243)/(IF(input!AE46=0,0,2/input!AE46)*F243+IF(input!O46=0,0,1/input!O46)*K243+2/input!M46*C243)</f>
        <v>2619.2060591424151</v>
      </c>
      <c r="Z243" s="73">
        <f>(B243+C243+F243+IF(input!O46=0,0,input!M46/input!O46)*K243-D243-G243-H243-I243)/(IF(input!O46=0,0,1/input!O46)*K243+2/input!M46*C243)</f>
        <v>2580.0779357312799</v>
      </c>
      <c r="AA243" s="73">
        <f>input!M46/2*(B243+F243+J243+K243-G243-D243-H243-I243+C243)/C243</f>
        <v>2771.7962546788945</v>
      </c>
      <c r="AB243" s="73">
        <f>(B243+F243+J243+K243+G243+C243-D243-H243-I243)/(IF(input!AH46=0,0,2/input!AH46)*G243+2/input!M46*C243)</f>
        <v>2771.7962546788931</v>
      </c>
      <c r="AC243" s="143">
        <f>input!H46/2*(B243+F243+K243+G243+C243-H243-I243+D243+J243)/D243</f>
        <v>79.14389253290156</v>
      </c>
      <c r="AD243" s="165">
        <f>IF(OR(L243=1,L243=8,L243="a",L243="b",L243="c",L243="d"),input!M46-M243+input!K46/2,IF(OR(L243=2,L243=9),input!H46-M243+input!M46+input!K46/2,input!R46+input!P46-M243+input!M46+input!K46/2))</f>
        <v>358.92206426872008</v>
      </c>
      <c r="AE243" s="143">
        <f>IF(OR(L243=1,L243=8,L243="a",L243="b",L243="c",L243="d"),ABS(input!M46/2-M243),IF(OR(L243=2,L243=9),input!H46-M243+input!M46/2,input!R46+input!P46-M243+input!M46/2))</f>
        <v>1118.0779357312799</v>
      </c>
      <c r="AF243" s="143">
        <f>IF(OR(L243=1,L243=8,L243="a",L243="b",L243="c",L243="d"),M243+input!H46/2,IF(OR(L243=2,L243=9),ABS(input!H46/2-M243),input!R46+input!P46-M243-input!H46/2))</f>
        <v>2600.0779357312799</v>
      </c>
      <c r="AG243" s="143">
        <f>IF(OR(L243=1,L243=8,L243="a",L243="b",L243="c",L243="d"),input!R46+input!P46/2+M243,IF(OR(L243=2,L243=9),input!R46+input!P46/2-input!H46+M243,ABS(input!P46/2-M243)))</f>
        <v>2725.0779357312799</v>
      </c>
      <c r="AH243" s="143">
        <f>IF(OR(L243=1,L243=8,L243="a",L243="b",L243="c",L243="d"),input!M46-M243-input!AE46/2,IF(OR(L243=2,L243=9),input!H46-M243+input!M46-input!AE46/2,input!R46+input!P46-M243+input!M46-input!AE46/2))</f>
        <v>263.92206426872008</v>
      </c>
      <c r="AI243" s="143">
        <f>IF(OR(L243=1,L243=8,L243="a",L243="b",L243="c",L243="d"),M243-input!AH46/2,IF(OR(L243=2,L243=9),input!H46-M243+input!AH46/2,input!R46+input!P46-M243+input!AH46/2))</f>
        <v>2580.0779357312799</v>
      </c>
      <c r="AJ243" s="143">
        <f>IF(OR(L243=1,L243=8,L243="a",L243="b",L243="c",L243="d"),M243+input!R46+input!AB46,IF(OR(L243=2,L243=9),input!R46+input!AB46-input!H46+M243,IF(L243=3,input!AB46-(input!P46-M243),ABS(input!P46-input!AB46-M243))))</f>
        <v>2620.0779357312799</v>
      </c>
      <c r="AK243" s="143">
        <f>IF(OR(L243=1,L243=8,L243="a",L243="b",L243="c",L243="d"),M243+input!R46+input!P46-input!Y46,IF(OR(L243=2,L243=9),input!R46+input!P46-input!Y46-input!H46+M243,ABS(input!Y46-M243)))</f>
        <v>2820.0779357312799</v>
      </c>
      <c r="AL243" s="143">
        <f>IF(OR(L243=1,L243=8,L243="a",L243="b",L243="c",L243="d"),input!M46-M243-input!O46/2,IF(OR(L243=2,L243=9),input!H46-M243+input!M46-input!O46/2,0))</f>
        <v>165.92206426872008</v>
      </c>
      <c r="AM243" s="143">
        <f>IF(OR(L243=1,L243=8,L243="a",L243="b",L243="c",L243="d"),input!M46-M243-input!O46/2,IF(OR(L243=2,L243=9),input!H46-M243+input!M46-input!O46/2,input!R46+input!P46-M243+input!M46-input!O46/2))</f>
        <v>165.92206426872008</v>
      </c>
      <c r="AN243" s="143">
        <f>C243/2/input!M46*(M243^2+(input!M46-M243)^2)+B243*AD243+D243*AF243+E243*AG243+F243*AH243+G243*AI243+H243*AJ243+I243*AK243+J243*AM243</f>
        <v>244678418.11378825</v>
      </c>
      <c r="AO243" s="143">
        <f>IF(input!AH46=0,0,1/2/input!AH46)*G243*(M243^2+(input!AH46-M243)^2)+D243*AF243+F243*AH243+C243/2/input!M46*(M243^2+(input!M46-M243)^2)+B243*AD243+E243*AG243+H243*AJ243+I243*AK243+J243*AM243</f>
        <v>244678418.11378825</v>
      </c>
      <c r="AP243" s="143">
        <f>+D243/2/input!H46*(M243^2+(input!H46-M243)^2)+B243*AD243+F243*AH243+G243*AI243+C243*AE243+E243*AG243+H243*AJ243+I243*AK243+J243*AM243</f>
        <v>4165503528.6379185</v>
      </c>
      <c r="AQ243" s="143">
        <f>+(M243^2)/2/input!P46*E243+D243*AF243+F243*AH243+G243*AI243+C243*AE243+B243*AD243+H243*AJ243+I243*AK243+J243*AM243</f>
        <v>658964081.39073658</v>
      </c>
      <c r="AR243" s="143">
        <f>+(M243^2)/2/input!P46*E243+D243*AF243+F243*AH243+G243*AI243+C243*AE243+B243*AD243+I243*AK243+J243*AM243</f>
        <v>653274663.78926194</v>
      </c>
      <c r="AS243" s="143">
        <f>+(M243^2)/2/input!P46*E243+D243*AF243+F243*AH243+G243*AI243+C243*AE243+B243*AD243+H243*AJ243+I243*AK243+J243*AM243</f>
        <v>658964081.39073658</v>
      </c>
      <c r="AT243" s="143">
        <f>+(M243^2)/2/input!P46*E243+D243*AF243+F243*AH243+G243*AI243+C243*AE243+B243*AD243+H243*AJ243+J243*AM243</f>
        <v>650328691.52926624</v>
      </c>
      <c r="AU243" s="143">
        <f>+(M243^2)/2/input!P46*E243+D243*AF243+F243*AH243+G243*AI243+C243*AE243+B243*AD243+H243*AJ243+I243*AK243+J243*AM243</f>
        <v>658964081.39073658</v>
      </c>
      <c r="AV243" s="143">
        <f>IF(input!AE46=0,0,1/2/input!AE46)*F243*((input!M46-M243)^2+(input!AE46-input!M46+M243)^2)+C243/2/input!M46*(M243^2+(M243-input!M46)^2)+IF(input!O46=0,0,1/2/input!O46)*K243*(input!M46-M243)^2+B243*AD243+G243*AI243+D243*AF243+H243*AJ243+I243*AK243+J243*AM243</f>
        <v>120088287.46105815</v>
      </c>
      <c r="AW243" s="143">
        <f>+C243/2/input!M46*(M243^2+(M243-input!M46)^2)+IF(input!O46=0,0,1/2/input!O46)*K243*(input!M46-M243)^2+B243*AD243+F243*AH243+G243*AI243+D243*AF243+H243*AJ243+I243*AK243+J243*AM243</f>
        <v>119676947.18024376</v>
      </c>
      <c r="AX243" s="143">
        <f>C243/2/input!M46*(M243^2+(M243-input!M46)^2)+K243*AL243+B243*AD243+F243*AH243+G243*AI243+D243*AF243+H243*AJ243+I243*AK243+J243*AM243</f>
        <v>119671635.54221229</v>
      </c>
      <c r="AY243" s="143">
        <f>C243/2/input!M46*(M243^2+(M243-input!M46)^2)+IF(input!AH46=0,0,1/2/input!AH46)*G243*(M243^2+(input!AH46-M243)^2)+K243*AL243+B243*AD243+F243*AH243+D243*AF243+H243*AJ243+I243*AK243+J243*AM243</f>
        <v>119671635.54221229</v>
      </c>
      <c r="AZ243" s="143">
        <f>D243/2/input!H46*(M243^2+(input!H46-M243)^2)+B243*AD243+K243*AL243+F243*AH243+C243*AE243+G243*AI243+H243*AJ243+I243*AK243+J243*AM243</f>
        <v>4040496746.0663424</v>
      </c>
      <c r="BA243" s="185"/>
    </row>
    <row r="244" spans="1:53" ht="15" customHeight="1">
      <c r="A244" s="579" t="str">
        <f>+input!B47</f>
        <v>123i</v>
      </c>
      <c r="B244" s="642">
        <f>+input!J47*input!K47*input!BJ47/1000</f>
        <v>22081.8</v>
      </c>
      <c r="C244" s="642">
        <f>+input!BQ47*input!N47*2*input!BK47/1000</f>
        <v>24161.59676691092</v>
      </c>
      <c r="D244" s="642">
        <f>+input!F47*input!G47*input!H47*input!BI47/1000</f>
        <v>18240</v>
      </c>
      <c r="E244" s="642">
        <f>0.85*Fck*input!P47*input!Q47/1000</f>
        <v>47451.25</v>
      </c>
      <c r="F244" s="642">
        <f>input!AD47*input!AE47*input!AF47*input!BN47/1000</f>
        <v>1945.6</v>
      </c>
      <c r="G244" s="642">
        <f>input!AG47*input!AH47*input!AI47*input!BM47/1000</f>
        <v>0</v>
      </c>
      <c r="H244" s="642">
        <f>input!CB47*Fys/1000</f>
        <v>2171.4688421612645</v>
      </c>
      <c r="I244" s="642">
        <f>input!BZ47*Fys/1000</f>
        <v>3062.1103594539709</v>
      </c>
      <c r="J244" s="642">
        <f>input!AC47*Fys/1000</f>
        <v>0</v>
      </c>
      <c r="K244" s="642">
        <f>input!BT47*0.85*Fckb/1000</f>
        <v>0</v>
      </c>
      <c r="L244" s="795">
        <f>IF(Stress!F876&lt;=0,IF(B244+F244+(input!M47-2*input!AH47)/input!M47*C244+J244&gt;=G244+D244+E244+H244+I244,1,IF(B244+F244+C244+G244+J244&gt;=D244+E244+H244+I244,"a",IF(B244+F244+C244+G244+D244+J244&gt;=E244+H244+I244,2,IF(B244+F244+C244+G244+D244+J244&gt;=(input!P47-input!AB47)/input!P47*E244+H244+I244,3,IF(B244+F244+C244+G244+D244+H244+J244&gt;=(input!P47-input!AB47)/input!P47*E244+I244,4,IF(B244+F244+C244+G244+D244+H244+J244&gt;=input!Y47/input!P47*E244+I244,5,IF(B244+F244+C244+G244+D244+H244+I244+J244&gt;=input!Y47/input!P47*E244,6,7))))))),IF(B244+F244+IF(input!O47=0,0,input!AE47/input!O47)*K244+input!AE47/input!M47*C244&gt;=(input!M47-input!AE47)*C244/input!M47+G244+D244+H244+I244,"b",IF(B244+F244+K244+input!O47/input!M47*C244&gt;=(input!M47-input!O47)/input!M47*C244+G244+D244+H244+I244,"c",IF(B244+F244+J244+K244+(input!M47-input!AH47)/input!M47*C244&gt;=G244+D244+H244+I244,8,IF(B244+F244+J244+K244+C244+G244&gt;=D244+H244+I244,"d",9)))))</f>
        <v>8</v>
      </c>
      <c r="M244" s="643">
        <f t="shared" si="2"/>
        <v>1439.2505946459014</v>
      </c>
      <c r="N244" s="493">
        <f t="shared" si="3"/>
        <v>85184.774777112281</v>
      </c>
      <c r="O244" s="766"/>
      <c r="Q244" s="73">
        <f>input!M47/2*((B244+F244+J244-G244-D244-E244-H244-I244)/C244+1)</f>
        <v>-1323.9735992713054</v>
      </c>
      <c r="R244" s="73">
        <f>(B244+F244+J244+C244+G244-D244-E244-H244-I244)/(2/input!M47*C244+IF(input!AH47=0,0,2/input!AH47)*G244)</f>
        <v>-1323.9735992713051</v>
      </c>
      <c r="S244" s="73">
        <f>input!H47/2*(B244+F244+J244+C244+G244-E244-H244-I244+D244)/D244</f>
        <v>15.070359172473335</v>
      </c>
      <c r="T244" s="558">
        <f>input!P47*(B244+F244+J244+C244+G244+D244-H244-I244)/E244</f>
        <v>373.99796831349533</v>
      </c>
      <c r="U244" s="73">
        <f>input!P47-input!AB47</f>
        <v>250</v>
      </c>
      <c r="V244" s="558">
        <f>input!P47*(B244+F244+J244+C244+G244+D244+H244-I244)/E244</f>
        <v>400.53998624671175</v>
      </c>
      <c r="W244" s="73">
        <f>input!Y47</f>
        <v>50</v>
      </c>
      <c r="X244" s="558">
        <f>input!P47*(B244+F244+J244+C244+G244+D244+H244+I244)/E244</f>
        <v>437.96837872284897</v>
      </c>
      <c r="Y244" s="73">
        <f>(B244+C244+IF(input!O47=0,0,input!M47/input!O47)*K244+(IF(input!AE47=0,0,2*input!M47/input!AE47)-1)*F244-D244-G244-H244-I244)/(IF(input!AE47=0,0,2/input!AE47)*F244+IF(input!O47=0,0,1/input!O47)*K244+2/input!M47*C244)</f>
        <v>2151.253042652459</v>
      </c>
      <c r="Z244" s="73">
        <f>(B244+C244+F244+IF(input!O47=0,0,input!M47/input!O47)*K244-D244-G244-H244-I244)/(IF(input!O47=0,0,1/input!O47)*K244+2/input!M47*C244)</f>
        <v>1439.2505946459012</v>
      </c>
      <c r="AA244" s="73">
        <f>input!M47/2*(B244+F244+J244+K244-G244-D244-H244-I244+C244)/C244</f>
        <v>1439.2505946459014</v>
      </c>
      <c r="AB244" s="73">
        <f>(B244+F244+J244+K244+G244+C244-D244-H244-I244)/(IF(input!AH47=0,0,2/input!AH47)*G244+2/input!M47*C244)</f>
        <v>1439.2505946459012</v>
      </c>
      <c r="AC244" s="143">
        <f>input!H47/2*(B244+F244+K244+G244+C244-H244-I244+D244+J244)/D244</f>
        <v>67.100238558438249</v>
      </c>
      <c r="AD244" s="165">
        <f>IF(OR(L244=1,L244=8,L244="a",L244="b",L244="c",L244="d"),input!M47-M244+input!K47/2,IF(OR(L244=2,L244=9),input!H47-M244+input!M47+input!K47/2,input!R47+input!P47-M244+input!M47+input!K47/2))</f>
        <v>1389.7494053540986</v>
      </c>
      <c r="AE244" s="143">
        <f>IF(OR(L244=1,L244=8,L244="a",L244="b",L244="c",L244="d"),ABS(input!M47/2-M244),IF(OR(L244=2,L244=9),input!H47-M244+input!M47/2,input!R47+input!P47-M244+input!M47/2))</f>
        <v>32.250594645901401</v>
      </c>
      <c r="AF244" s="143">
        <f>IF(OR(L244=1,L244=8,L244="a",L244="b",L244="c",L244="d"),M244+input!H47/2,IF(OR(L244=2,L244=9),ABS(input!H47/2-M244),input!R47+input!P47-M244-input!H47/2))</f>
        <v>1459.2505946459014</v>
      </c>
      <c r="AG244" s="143">
        <f>IF(OR(L244=1,L244=8,L244="a",L244="b",L244="c",L244="d"),input!R47+input!P47/2+M244,IF(OR(L244=2,L244=9),input!R47+input!P47/2-input!H47+M244,ABS(input!P47/2-M244)))</f>
        <v>1584.2505946459014</v>
      </c>
      <c r="AH244" s="143">
        <f>IF(OR(L244=1,L244=8,L244="a",L244="b",L244="c",L244="d"),input!M47-M244-input!AE47/2,IF(OR(L244=2,L244=9),input!H47-M244+input!M47-input!AE47/2,input!R47+input!P47-M244+input!M47-input!AE47/2))</f>
        <v>1294.7494053540986</v>
      </c>
      <c r="AI244" s="143">
        <f>IF(OR(L244=1,L244=8,L244="a",L244="b",L244="c",L244="d"),M244-input!AH47/2,IF(OR(L244=2,L244=9),input!H47-M244+input!AH47/2,input!R47+input!P47-M244+input!AH47/2))</f>
        <v>1439.2505946459014</v>
      </c>
      <c r="AJ244" s="143">
        <f>IF(OR(L244=1,L244=8,L244="a",L244="b",L244="c",L244="d"),M244+input!R47+input!AB47,IF(OR(L244=2,L244=9),input!R47+input!AB47-input!H47+M244,IF(L244=3,input!AB47-(input!P47-M244),ABS(input!P47-input!AB47-M244))))</f>
        <v>1479.2505946459014</v>
      </c>
      <c r="AK244" s="143">
        <f>IF(OR(L244=1,L244=8,L244="a",L244="b",L244="c",L244="d"),M244+input!R47+input!P47-input!Y47,IF(OR(L244=2,L244=9),input!R47+input!P47-input!Y47-input!H47+M244,ABS(input!Y47-M244)))</f>
        <v>1679.2505946459014</v>
      </c>
      <c r="AL244" s="143">
        <f>IF(OR(L244=1,L244=8,L244="a",L244="b",L244="c",L244="d"),input!M47-M244-input!O47/2,IF(OR(L244=2,L244=9),input!H47-M244+input!M47-input!O47/2,0))</f>
        <v>1374.7494053540986</v>
      </c>
      <c r="AM244" s="143">
        <f>IF(OR(L244=1,L244=8,L244="a",L244="b",L244="c",L244="d"),input!M47-M244-input!O47/2,IF(OR(L244=2,L244=9),input!H47-M244+input!M47-input!O47/2,input!R47+input!P47-M244+input!M47-input!O47/2))</f>
        <v>1374.7494053540986</v>
      </c>
      <c r="AN244" s="143">
        <f>C244/2/input!M47*(M244^2+(input!M47-M244)^2)+B244*AD244+D244*AF244+E244*AG244+F244*AH244+G244*AI244+H244*AJ244+I244*AK244+J244*AM244</f>
        <v>160359445.80630362</v>
      </c>
      <c r="AO244" s="143">
        <f>IF(input!AH47=0,0,1/2/input!AH47)*G244*(M244^2+(input!AH47-M244)^2)+D244*AF244+F244*AH244+C244/2/input!M47*(M244^2+(input!M47-M244)^2)+B244*AD244+E244*AG244+H244*AJ244+I244*AK244+J244*AM244</f>
        <v>160359445.80630362</v>
      </c>
      <c r="AP244" s="143">
        <f>+D244/2/input!H47*(M244^2+(input!H47-M244)^2)+B244*AD244+F244*AH244+G244*AI244+C244*AE244+E244*AG244+H244*AJ244+I244*AK244+J244*AM244</f>
        <v>1036205873.156382</v>
      </c>
      <c r="AQ244" s="143">
        <f>+(M244^2)/2/input!P47*E244+D244*AF244+F244*AH244+G244*AI244+C244*AE244+B244*AD244+H244*AJ244+I244*AK244+J244*AM244</f>
        <v>238427257.84693348</v>
      </c>
      <c r="AR244" s="143">
        <f>+(M244^2)/2/input!P47*E244+D244*AF244+F244*AH244+G244*AI244+C244*AE244+B244*AD244+I244*AK244+J244*AM244</f>
        <v>235215111.2709114</v>
      </c>
      <c r="AS244" s="143">
        <f>+(M244^2)/2/input!P47*E244+D244*AF244+F244*AH244+G244*AI244+C244*AE244+B244*AD244+H244*AJ244+I244*AK244+J244*AM244</f>
        <v>238427257.84693348</v>
      </c>
      <c r="AT244" s="143">
        <f>+(M244^2)/2/input!P47*E244+D244*AF244+F244*AH244+G244*AI244+C244*AE244+B244*AD244+H244*AJ244+J244*AM244</f>
        <v>233285207.20494902</v>
      </c>
      <c r="AU244" s="143">
        <f>+(M244^2)/2/input!P47*E244+D244*AF244+F244*AH244+G244*AI244+C244*AE244+B244*AD244+H244*AJ244+I244*AK244+J244*AM244</f>
        <v>238427257.84693348</v>
      </c>
      <c r="AV244" s="143">
        <f>IF(input!AE47=0,0,1/2/input!AE47)*F244*((input!M47-M244)^2+(input!AE47-input!M47+M244)^2)+C244/2/input!M47*(M244^2+(M244-input!M47)^2)+IF(input!O47=0,0,1/2/input!O47)*K244*(input!M47-M244)^2+B244*AD244+G244*AI244+D244*AF244+H244*AJ244+I244*AK244+J244*AM244</f>
        <v>103128266.76965922</v>
      </c>
      <c r="AW244" s="143">
        <f>+C244/2/input!M47*(M244^2+(M244-input!M47)^2)+IF(input!O47=0,0,1/2/input!O47)*K244*(input!M47-M244)^2+B244*AD244+F244*AH244+G244*AI244+D244*AF244+H244*AJ244+I244*AK244+J244*AM244</f>
        <v>85184774.777112275</v>
      </c>
      <c r="AX244" s="143">
        <f>C244/2/input!M47*(M244^2+(M244-input!M47)^2)+K244*AL244+B244*AD244+F244*AH244+G244*AI244+D244*AF244+H244*AJ244+I244*AK244+J244*AM244</f>
        <v>85184774.777112275</v>
      </c>
      <c r="AY244" s="143">
        <f>C244/2/input!M47*(M244^2+(M244-input!M47)^2)+IF(input!AH47=0,0,1/2/input!AH47)*G244*(M244^2+(input!AH47-M244)^2)+K244*AL244+B244*AD244+F244*AH244+D244*AF244+H244*AJ244+I244*AK244+J244*AM244</f>
        <v>85184774.777112275</v>
      </c>
      <c r="AZ244" s="143">
        <f>D244/2/input!H47*(M244^2+(input!H47-M244)^2)+B244*AD244+K244*AL244+F244*AH244+C244*AE244+G244*AI244+H244*AJ244+I244*AK244+J244*AM244</f>
        <v>961031202.12719059</v>
      </c>
      <c r="BA244" s="185"/>
    </row>
    <row r="245" spans="1:53" ht="15" customHeight="1">
      <c r="A245" s="579" t="str">
        <f>+input!B48</f>
        <v>123j</v>
      </c>
      <c r="B245" s="642">
        <f>+input!J48*input!K48*input!BJ48/1000</f>
        <v>22081.8</v>
      </c>
      <c r="C245" s="642">
        <f>+input!BQ48*input!N48*2*input!BK48/1000</f>
        <v>24161.59676691092</v>
      </c>
      <c r="D245" s="642">
        <f>+input!F48*input!G48*input!H48*input!BI48/1000</f>
        <v>18240</v>
      </c>
      <c r="E245" s="642">
        <f>0.85*Fck*input!P48*input!Q48/1000</f>
        <v>47451.25</v>
      </c>
      <c r="F245" s="642">
        <f>input!AD48*input!AE48*input!AF48*input!BN48/1000</f>
        <v>1945.6</v>
      </c>
      <c r="G245" s="642">
        <f>input!AG48*input!AH48*input!AI48*input!BM48/1000</f>
        <v>0</v>
      </c>
      <c r="H245" s="642">
        <f>input!CB48*Fys/1000</f>
        <v>2171.4688421612645</v>
      </c>
      <c r="I245" s="642">
        <f>input!BZ48*Fys/1000</f>
        <v>3062.1103594539709</v>
      </c>
      <c r="J245" s="642">
        <f>input!AC48*Fys/1000</f>
        <v>0</v>
      </c>
      <c r="K245" s="642">
        <f>input!BT48*0.85*Fckb/1000</f>
        <v>0</v>
      </c>
      <c r="L245" s="795">
        <f>IF(Stress!F877&lt;=0,IF(B245+F245+(input!M48-2*input!AH48)/input!M48*C245+J245&gt;=G245+D245+E245+H245+I245,1,IF(B245+F245+C245+G245+J245&gt;=D245+E245+H245+I245,"a",IF(B245+F245+C245+G245+D245+J245&gt;=E245+H245+I245,2,IF(B245+F245+C245+G245+D245+J245&gt;=(input!P48-input!AB48)/input!P48*E245+H245+I245,3,IF(B245+F245+C245+G245+D245+H245+J245&gt;=(input!P48-input!AB48)/input!P48*E245+I245,4,IF(B245+F245+C245+G245+D245+H245+J245&gt;=input!Y48/input!P48*E245+I245,5,IF(B245+F245+C245+G245+D245+H245+I245+J245&gt;=input!Y48/input!P48*E245,6,7))))))),IF(B245+F245+IF(input!O48=0,0,input!AE48/input!O48)*K245+input!AE48/input!M48*C245&gt;=(input!M48-input!AE48)*C245/input!M48+G245+D245+H245+I245,"b",IF(B245+F245+K245+input!O48/input!M48*C245&gt;=(input!M48-input!O48)/input!M48*C245+G245+D245+H245+I245,"c",IF(B245+F245+J245+K245+(input!M48-input!AH48)/input!M48*C245&gt;=G245+D245+H245+I245,8,IF(B245+F245+J245+K245+C245+G245&gt;=D245+H245+I245,"d",9)))))</f>
        <v>8</v>
      </c>
      <c r="M245" s="643">
        <f t="shared" si="2"/>
        <v>1439.2505946459014</v>
      </c>
      <c r="N245" s="493">
        <f t="shared" si="3"/>
        <v>85184.774777112281</v>
      </c>
      <c r="O245" s="766"/>
      <c r="Q245" s="73">
        <f>input!M48/2*((B245+F245+J245-G245-D245-E245-H245-I245)/C245+1)</f>
        <v>-1323.9735992713054</v>
      </c>
      <c r="R245" s="73">
        <f>(B245+F245+J245+C245+G245-D245-E245-H245-I245)/(2/input!M48*C245+IF(input!AH48=0,0,2/input!AH48)*G245)</f>
        <v>-1323.9735992713051</v>
      </c>
      <c r="S245" s="73">
        <f>input!H48/2*(B245+F245+J245+C245+G245-E245-H245-I245+D245)/D245</f>
        <v>15.070359172473335</v>
      </c>
      <c r="T245" s="558">
        <f>input!P48*(B245+F245+J245+C245+G245+D245-H245-I245)/E245</f>
        <v>373.99796831349533</v>
      </c>
      <c r="U245" s="73">
        <f>input!P48-input!AB48</f>
        <v>250</v>
      </c>
      <c r="V245" s="558">
        <f>input!P48*(B245+F245+J245+C245+G245+D245+H245-I245)/E245</f>
        <v>400.53998624671175</v>
      </c>
      <c r="W245" s="73">
        <f>input!Y48</f>
        <v>50</v>
      </c>
      <c r="X245" s="558">
        <f>input!P48*(B245+F245+J245+C245+G245+D245+H245+I245)/E245</f>
        <v>437.96837872284897</v>
      </c>
      <c r="Y245" s="73">
        <f>(B245+C245+IF(input!O48=0,0,input!M48/input!O48)*K245+(IF(input!AE48=0,0,2*input!M48/input!AE48)-1)*F245-D245-G245-H245-I245)/(IF(input!AE48=0,0,2/input!AE48)*F245+IF(input!O48=0,0,1/input!O48)*K245+2/input!M48*C245)</f>
        <v>2151.253042652459</v>
      </c>
      <c r="Z245" s="73">
        <f>(B245+C245+F245+IF(input!O48=0,0,input!M48/input!O48)*K245-D245-G245-H245-I245)/(IF(input!O48=0,0,1/input!O48)*K245+2/input!M48*C245)</f>
        <v>1439.2505946459012</v>
      </c>
      <c r="AA245" s="73">
        <f>input!M48/2*(B245+F245+J245+K245-G245-D245-H245-I245+C245)/C245</f>
        <v>1439.2505946459014</v>
      </c>
      <c r="AB245" s="73">
        <f>(B245+F245+J245+K245+G245+C245-D245-H245-I245)/(IF(input!AH48=0,0,2/input!AH48)*G245+2/input!M48*C245)</f>
        <v>1439.2505946459012</v>
      </c>
      <c r="AC245" s="143">
        <f>input!H48/2*(B245+F245+K245+G245+C245-H245-I245+D245+J245)/D245</f>
        <v>67.100238558438249</v>
      </c>
      <c r="AD245" s="165">
        <f>IF(OR(L245=1,L245=8,L245="a",L245="b",L245="c",L245="d"),input!M48-M245+input!K48/2,IF(OR(L245=2,L245=9),input!H48-M245+input!M48+input!K48/2,input!R48+input!P48-M245+input!M48+input!K48/2))</f>
        <v>1389.7494053540986</v>
      </c>
      <c r="AE245" s="143">
        <f>IF(OR(L245=1,L245=8,L245="a",L245="b",L245="c",L245="d"),ABS(input!M48/2-M245),IF(OR(L245=2,L245=9),input!H48-M245+input!M48/2,input!R48+input!P48-M245+input!M48/2))</f>
        <v>32.250594645901401</v>
      </c>
      <c r="AF245" s="143">
        <f>IF(OR(L245=1,L245=8,L245="a",L245="b",L245="c",L245="d"),M245+input!H48/2,IF(OR(L245=2,L245=9),ABS(input!H48/2-M245),input!R48+input!P48-M245-input!H48/2))</f>
        <v>1459.2505946459014</v>
      </c>
      <c r="AG245" s="143">
        <f>IF(OR(L245=1,L245=8,L245="a",L245="b",L245="c",L245="d"),input!R48+input!P48/2+M245,IF(OR(L245=2,L245=9),input!R48+input!P48/2-input!H48+M245,ABS(input!P48/2-M245)))</f>
        <v>1584.2505946459014</v>
      </c>
      <c r="AH245" s="143">
        <f>IF(OR(L245=1,L245=8,L245="a",L245="b",L245="c",L245="d"),input!M48-M245-input!AE48/2,IF(OR(L245=2,L245=9),input!H48-M245+input!M48-input!AE48/2,input!R48+input!P48-M245+input!M48-input!AE48/2))</f>
        <v>1294.7494053540986</v>
      </c>
      <c r="AI245" s="143">
        <f>IF(OR(L245=1,L245=8,L245="a",L245="b",L245="c",L245="d"),M245-input!AH48/2,IF(OR(L245=2,L245=9),input!H48-M245+input!AH48/2,input!R48+input!P48-M245+input!AH48/2))</f>
        <v>1439.2505946459014</v>
      </c>
      <c r="AJ245" s="143">
        <f>IF(OR(L245=1,L245=8,L245="a",L245="b",L245="c",L245="d"),M245+input!R48+input!AB48,IF(OR(L245=2,L245=9),input!R48+input!AB48-input!H48+M245,IF(L245=3,input!AB48-(input!P48-M245),ABS(input!P48-input!AB48-M245))))</f>
        <v>1479.2505946459014</v>
      </c>
      <c r="AK245" s="143">
        <f>IF(OR(L245=1,L245=8,L245="a",L245="b",L245="c",L245="d"),M245+input!R48+input!P48-input!Y48,IF(OR(L245=2,L245=9),input!R48+input!P48-input!Y48-input!H48+M245,ABS(input!Y48-M245)))</f>
        <v>1679.2505946459014</v>
      </c>
      <c r="AL245" s="143">
        <f>IF(OR(L245=1,L245=8,L245="a",L245="b",L245="c",L245="d"),input!M48-M245-input!O48/2,IF(OR(L245=2,L245=9),input!H48-M245+input!M48-input!O48/2,0))</f>
        <v>1374.7494053540986</v>
      </c>
      <c r="AM245" s="143">
        <f>IF(OR(L245=1,L245=8,L245="a",L245="b",L245="c",L245="d"),input!M48-M245-input!O48/2,IF(OR(L245=2,L245=9),input!H48-M245+input!M48-input!O48/2,input!R48+input!P48-M245+input!M48-input!O48/2))</f>
        <v>1374.7494053540986</v>
      </c>
      <c r="AN245" s="143">
        <f>C245/2/input!M48*(M245^2+(input!M48-M245)^2)+B245*AD245+D245*AF245+E245*AG245+F245*AH245+G245*AI245+H245*AJ245+I245*AK245+J245*AM245</f>
        <v>160359445.80630362</v>
      </c>
      <c r="AO245" s="143">
        <f>IF(input!AH48=0,0,1/2/input!AH48)*G245*(M245^2+(input!AH48-M245)^2)+D245*AF245+F245*AH245+C245/2/input!M48*(M245^2+(input!M48-M245)^2)+B245*AD245+E245*AG245+H245*AJ245+I245*AK245+J245*AM245</f>
        <v>160359445.80630362</v>
      </c>
      <c r="AP245" s="143">
        <f>+D245/2/input!H48*(M245^2+(input!H48-M245)^2)+B245*AD245+F245*AH245+G245*AI245+C245*AE245+E245*AG245+H245*AJ245+I245*AK245+J245*AM245</f>
        <v>1036205873.156382</v>
      </c>
      <c r="AQ245" s="143">
        <f>+(M245^2)/2/input!P48*E245+D245*AF245+F245*AH245+G245*AI245+C245*AE245+B245*AD245+H245*AJ245+I245*AK245+J245*AM245</f>
        <v>238427257.84693348</v>
      </c>
      <c r="AR245" s="143">
        <f>+(M245^2)/2/input!P48*E245+D245*AF245+F245*AH245+G245*AI245+C245*AE245+B245*AD245+I245*AK245+J245*AM245</f>
        <v>235215111.2709114</v>
      </c>
      <c r="AS245" s="143">
        <f>+(M245^2)/2/input!P48*E245+D245*AF245+F245*AH245+G245*AI245+C245*AE245+B245*AD245+H245*AJ245+I245*AK245+J245*AM245</f>
        <v>238427257.84693348</v>
      </c>
      <c r="AT245" s="143">
        <f>+(M245^2)/2/input!P48*E245+D245*AF245+F245*AH245+G245*AI245+C245*AE245+B245*AD245+H245*AJ245+J245*AM245</f>
        <v>233285207.20494902</v>
      </c>
      <c r="AU245" s="143">
        <f>+(M245^2)/2/input!P48*E245+D245*AF245+F245*AH245+G245*AI245+C245*AE245+B245*AD245+H245*AJ245+I245*AK245+J245*AM245</f>
        <v>238427257.84693348</v>
      </c>
      <c r="AV245" s="143">
        <f>IF(input!AE48=0,0,1/2/input!AE48)*F245*((input!M48-M245)^2+(input!AE48-input!M48+M245)^2)+C245/2/input!M48*(M245^2+(M245-input!M48)^2)+IF(input!O48=0,0,1/2/input!O48)*K245*(input!M48-M245)^2+B245*AD245+G245*AI245+D245*AF245+H245*AJ245+I245*AK245+J245*AM245</f>
        <v>103128266.76965922</v>
      </c>
      <c r="AW245" s="143">
        <f>+C245/2/input!M48*(M245^2+(M245-input!M48)^2)+IF(input!O48=0,0,1/2/input!O48)*K245*(input!M48-M245)^2+B245*AD245+F245*AH245+G245*AI245+D245*AF245+H245*AJ245+I245*AK245+J245*AM245</f>
        <v>85184774.777112275</v>
      </c>
      <c r="AX245" s="143">
        <f>C245/2/input!M48*(M245^2+(M245-input!M48)^2)+K245*AL245+B245*AD245+F245*AH245+G245*AI245+D245*AF245+H245*AJ245+I245*AK245+J245*AM245</f>
        <v>85184774.777112275</v>
      </c>
      <c r="AY245" s="143">
        <f>C245/2/input!M48*(M245^2+(M245-input!M48)^2)+IF(input!AH48=0,0,1/2/input!AH48)*G245*(M245^2+(input!AH48-M245)^2)+K245*AL245+B245*AD245+F245*AH245+D245*AF245+H245*AJ245+I245*AK245+J245*AM245</f>
        <v>85184774.777112275</v>
      </c>
      <c r="AZ245" s="143">
        <f>D245/2/input!H48*(M245^2+(input!H48-M245)^2)+B245*AD245+K245*AL245+F245*AH245+C245*AE245+G245*AI245+H245*AJ245+I245*AK245+J245*AM245</f>
        <v>961031202.12719059</v>
      </c>
      <c r="BA245" s="185"/>
    </row>
    <row r="246" spans="1:53" ht="15" customHeight="1">
      <c r="A246" s="579" t="str">
        <f>+input!B49</f>
        <v>124i</v>
      </c>
      <c r="B246" s="642">
        <f>+input!J49*input!K49*input!BJ49/1000</f>
        <v>17692.8</v>
      </c>
      <c r="C246" s="642">
        <f>+input!BQ49*input!N49*2*input!BK49/1000</f>
        <v>24041.652605426279</v>
      </c>
      <c r="D246" s="642">
        <f>+input!F49*input!G49*input!H49*input!BI49/1000</f>
        <v>9880</v>
      </c>
      <c r="E246" s="642">
        <f>0.85*Fck*input!P49*input!Q49/1000</f>
        <v>47451.25</v>
      </c>
      <c r="F246" s="642">
        <f>input!AD49*input!AE49*input!AF49*input!BN49/1000</f>
        <v>1945.6</v>
      </c>
      <c r="G246" s="642">
        <f>input!AG49*input!AH49*input!AI49*input!BM49/1000</f>
        <v>0</v>
      </c>
      <c r="H246" s="642">
        <f>input!CB49*Fys/1000</f>
        <v>2171.4688421612645</v>
      </c>
      <c r="I246" s="642">
        <f>input!BZ49*Fys/1000</f>
        <v>3062.1103594539709</v>
      </c>
      <c r="J246" s="642">
        <f>input!AC49*Fys/1000</f>
        <v>0</v>
      </c>
      <c r="K246" s="642">
        <f>input!BT49*0.85*Fckb/1000</f>
        <v>0</v>
      </c>
      <c r="L246" s="795">
        <f>IF(Stress!F878&lt;=0,IF(B246+F246+(input!M49-2*input!AH49)/input!M49*C246+J246&gt;=G246+D246+E246+H246+I246,1,IF(B246+F246+C246+G246+J246&gt;=D246+E246+H246+I246,"a",IF(B246+F246+C246+G246+D246+J246&gt;=E246+H246+I246,2,IF(B246+F246+C246+G246+D246+J246&gt;=(input!P49-input!AB49)/input!P49*E246+H246+I246,3,IF(B246+F246+C246+G246+D246+H246+J246&gt;=(input!P49-input!AB49)/input!P49*E246+I246,4,IF(B246+F246+C246+G246+D246+H246+J246&gt;=input!Y49/input!P49*E246+I246,5,IF(B246+F246+C246+G246+D246+H246+I246+J246&gt;=input!Y49/input!P49*E246,6,7))))))),IF(B246+F246+IF(input!O49=0,0,input!AE49/input!O49)*K246+input!AE49/input!M49*C246&gt;=(input!M49-input!AE49)*C246/input!M49+G246+D246+H246+I246,"b",IF(B246+F246+K246+input!O49/input!M49*C246&gt;=(input!M49-input!O49)/input!M49*C246+G246+D246+H246+I246,"c",IF(B246+F246+J246+K246+(input!M49-input!AH49)/input!M49*C246&gt;=G246+D246+H246+I246,8,IF(B246+F246+J246+K246+C246+G246&gt;=D246+H246+I246,"d",9)))))</f>
        <v>8</v>
      </c>
      <c r="M246" s="643">
        <f t="shared" si="2"/>
        <v>1663.4905853480675</v>
      </c>
      <c r="N246" s="493">
        <f t="shared" si="3"/>
        <v>65892.674705634374</v>
      </c>
      <c r="O246" s="766"/>
      <c r="Q246" s="73">
        <f>input!M49/2*((B246+F246+J246-G246-D246-E246-H246-I246)/C246+1)</f>
        <v>-1099.7034051102316</v>
      </c>
      <c r="R246" s="73">
        <f>(B246+F246+J246+C246+G246-D246-E246-H246-I246)/(2/input!M49*C246+IF(input!AH49=0,0,2/input!AH49)*G246)</f>
        <v>-1099.7034051102314</v>
      </c>
      <c r="S246" s="73">
        <f>input!H49/2*(B246+F246+J246+C246+G246-E246-H246-I246+D246)/D246</f>
        <v>1.1516097418566293</v>
      </c>
      <c r="T246" s="558">
        <f>input!P49*(B246+F246+J246+C246+G246+D246-H246-I246)/E246</f>
        <v>295.34895892321487</v>
      </c>
      <c r="U246" s="73">
        <f>input!P49-input!AB49</f>
        <v>250</v>
      </c>
      <c r="V246" s="558">
        <f>input!P49*(B246+F246+J246+C246+G246+D246+H246-I246)/E246</f>
        <v>321.89097685643128</v>
      </c>
      <c r="W246" s="73">
        <f>input!Y49</f>
        <v>50</v>
      </c>
      <c r="X246" s="558">
        <f>input!P49*(B246+F246+J246+C246+G246+D246+H246+I246)/E246</f>
        <v>359.31936933256844</v>
      </c>
      <c r="Y246" s="73">
        <f>(B246+C246+IF(input!O49=0,0,input!M49/input!O49)*K246+(IF(input!AE49=0,0,2*input!M49/input!AE49)-1)*F246-D246-G246-H246-I246)/(IF(input!AE49=0,0,2/input!AE49)*F246+IF(input!O49=0,0,1/input!O49)*K246+2/input!M49*C246)</f>
        <v>2235.8505678721017</v>
      </c>
      <c r="Z246" s="73">
        <f>(B246+C246+F246+IF(input!O49=0,0,input!M49/input!O49)*K246-D246-G246-H246-I246)/(IF(input!O49=0,0,1/input!O49)*K246+2/input!M49*C246)</f>
        <v>1663.490585348068</v>
      </c>
      <c r="AA246" s="73">
        <f>input!M49/2*(B246+F246+J246+K246-G246-D246-H246-I246+C246)/C246</f>
        <v>1663.4905853480675</v>
      </c>
      <c r="AB246" s="73">
        <f>(B246+F246+J246+K246+G246+C246-D246-H246-I246)/(IF(input!AH49=0,0,2/input!AH49)*G246+2/input!M49*C246)</f>
        <v>1663.4905853480675</v>
      </c>
      <c r="AC246" s="143">
        <f>input!H49/2*(B246+F246+K246+G246+C246-H246-I246+D246+J246)/D246</f>
        <v>63.587465005014515</v>
      </c>
      <c r="AD246" s="165">
        <f>IF(OR(L246=1,L246=8,L246="a",L246="b",L246="c",L246="d"),input!M49-M246+input!K49/2,IF(OR(L246=2,L246=9),input!H49-M246+input!M49+input!K49/2,input!R49+input!P49-M246+input!M49+input!K49/2))</f>
        <v>1148.5094146519325</v>
      </c>
      <c r="AE246" s="143">
        <f>IF(OR(L246=1,L246=8,L246="a",L246="b",L246="c",L246="d"),ABS(input!M49/2-M246),IF(OR(L246=2,L246=9),input!H49-M246+input!M49/2,input!R49+input!P49-M246+input!M49/2))</f>
        <v>263.4905853480675</v>
      </c>
      <c r="AF246" s="143">
        <f>IF(OR(L246=1,L246=8,L246="a",L246="b",L246="c",L246="d"),M246+input!H49/2,IF(OR(L246=2,L246=9),ABS(input!H49/2-M246),input!R49+input!P49-M246-input!H49/2))</f>
        <v>1676.4905853480675</v>
      </c>
      <c r="AG246" s="143">
        <f>IF(OR(L246=1,L246=8,L246="a",L246="b",L246="c",L246="d"),input!R49+input!P49/2+M246,IF(OR(L246=2,L246=9),input!R49+input!P49/2-input!H49+M246,ABS(input!P49/2-M246)))</f>
        <v>1808.4905853480675</v>
      </c>
      <c r="AH246" s="143">
        <f>IF(OR(L246=1,L246=8,L246="a",L246="b",L246="c",L246="d"),input!M49-M246-input!AE49/2,IF(OR(L246=2,L246=9),input!H49-M246+input!M49-input!AE49/2,input!R49+input!P49-M246+input!M49-input!AE49/2))</f>
        <v>1056.5094146519325</v>
      </c>
      <c r="AI246" s="143">
        <f>IF(OR(L246=1,L246=8,L246="a",L246="b",L246="c",L246="d"),M246-input!AH49/2,IF(OR(L246=2,L246=9),input!H49-M246+input!AH49/2,input!R49+input!P49-M246+input!AH49/2))</f>
        <v>1663.4905853480675</v>
      </c>
      <c r="AJ246" s="143">
        <f>IF(OR(L246=1,L246=8,L246="a",L246="b",L246="c",L246="d"),M246+input!R49+input!AB49,IF(OR(L246=2,L246=9),input!R49+input!AB49-input!H49+M246,IF(L246=3,input!AB49-(input!P49-M246),ABS(input!P49-input!AB49-M246))))</f>
        <v>1703.4905853480675</v>
      </c>
      <c r="AK246" s="143">
        <f>IF(OR(L246=1,L246=8,L246="a",L246="b",L246="c",L246="d"),M246+input!R49+input!P49-input!Y49,IF(OR(L246=2,L246=9),input!R49+input!P49-input!Y49-input!H49+M246,ABS(input!Y49-M246)))</f>
        <v>1903.4905853480675</v>
      </c>
      <c r="AL246" s="143">
        <f>IF(OR(L246=1,L246=8,L246="a",L246="b",L246="c",L246="d"),input!M49-M246-input!O49/2,IF(OR(L246=2,L246=9),input!H49-M246+input!M49-input!O49/2,0))</f>
        <v>1136.5094146519325</v>
      </c>
      <c r="AM246" s="143">
        <f>IF(OR(L246=1,L246=8,L246="a",L246="b",L246="c",L246="d"),input!M49-M246-input!O49/2,IF(OR(L246=2,L246=9),input!H49-M246+input!M49-input!O49/2,input!R49+input!P49-M246+input!M49-input!O49/2))</f>
        <v>1136.5094146519325</v>
      </c>
      <c r="AN246" s="143">
        <f>C246/2/input!M49*(M246^2+(input!M49-M246)^2)+B246*AD246+D246*AF246+E246*AG246+F246*AH246+G246*AI246+H246*AJ246+I246*AK246+J246*AM246</f>
        <v>151707813.59363186</v>
      </c>
      <c r="AO246" s="143">
        <f>IF(input!AH49=0,0,1/2/input!AH49)*G246*(M246^2+(input!AH49-M246)^2)+D246*AF246+F246*AH246+C246/2/input!M49*(M246^2+(input!M49-M246)^2)+B246*AD246+E246*AG246+H246*AJ246+I246*AK246+J246*AM246</f>
        <v>151707813.59363186</v>
      </c>
      <c r="AP246" s="143">
        <f>+D246/2/input!H49*(M246^2+(input!H49-M246)^2)+B246*AD246+F246*AH246+G246*AI246+C246*AE246+E246*AG246+H246*AJ246+I246*AK246+J246*AM246</f>
        <v>1159283060.5465429</v>
      </c>
      <c r="AQ246" s="143">
        <f>+(M246^2)/2/input!P49*E246+D246*AF246+F246*AH246+G246*AI246+C246*AE246+B246*AD246+H246*AJ246+I246*AK246+J246*AM246</f>
        <v>281193769.04369563</v>
      </c>
      <c r="AR246" s="143">
        <f>+(M246^2)/2/input!P49*E246+D246*AF246+F246*AH246+G246*AI246+C246*AE246+B246*AD246+I246*AK246+J246*AM246</f>
        <v>277494692.31469727</v>
      </c>
      <c r="AS246" s="143">
        <f>+(M246^2)/2/input!P49*E246+D246*AF246+F246*AH246+G246*AI246+C246*AE246+B246*AD246+H246*AJ246+I246*AK246+J246*AM246</f>
        <v>281193769.04369563</v>
      </c>
      <c r="AT246" s="143">
        <f>+(M246^2)/2/input!P49*E246+D246*AF246+F246*AH246+G246*AI246+C246*AE246+B246*AD246+H246*AJ246+J246*AM246</f>
        <v>275365070.80317819</v>
      </c>
      <c r="AU246" s="143">
        <f>+(M246^2)/2/input!P49*E246+D246*AF246+F246*AH246+G246*AI246+C246*AE246+B246*AD246+H246*AJ246+I246*AK246+J246*AM246</f>
        <v>281193769.04369563</v>
      </c>
      <c r="AV246" s="143">
        <f>IF(input!AE49=0,0,1/2/input!AE49)*F246*((input!M49-M246)^2+(input!AE49-input!M49+M246)^2)+C246/2/input!M49*(M246^2+(M246-input!M49)^2)+IF(input!O49=0,0,1/2/input!O49)*K246*(input!M49-M246)^2+B246*AD246+G246*AI246+D246*AF246+H246*AJ246+I246*AK246+J246*AM246</f>
        <v>77488093.650385305</v>
      </c>
      <c r="AW246" s="143">
        <f>+C246/2/input!M49*(M246^2+(M246-input!M49)^2)+IF(input!O49=0,0,1/2/input!O49)*K246*(input!M49-M246)^2+B246*AD246+F246*AH246+G246*AI246+D246*AF246+H246*AJ246+I246*AK246+J246*AM246</f>
        <v>65892674.705634378</v>
      </c>
      <c r="AX246" s="143">
        <f>C246/2/input!M49*(M246^2+(M246-input!M49)^2)+K246*AL246+B246*AD246+F246*AH246+G246*AI246+D246*AF246+H246*AJ246+I246*AK246+J246*AM246</f>
        <v>65892674.705634378</v>
      </c>
      <c r="AY246" s="143">
        <f>C246/2/input!M49*(M246^2+(M246-input!M49)^2)+IF(input!AH49=0,0,1/2/input!AH49)*G246*(M246^2+(input!AH49-M246)^2)+K246*AL246+B246*AD246+F246*AH246+D246*AF246+H246*AJ246+I246*AK246+J246*AM246</f>
        <v>65892674.705634378</v>
      </c>
      <c r="AZ246" s="143">
        <f>D246/2/input!H49*(M246^2+(input!H49-M246)^2)+B246*AD246+K246*AL246+F246*AH246+C246*AE246+G246*AI246+H246*AJ246+I246*AK246+J246*AM246</f>
        <v>1073467921.6585454</v>
      </c>
      <c r="BA246" s="185"/>
    </row>
    <row r="247" spans="1:53" ht="15" customHeight="1">
      <c r="A247" s="579" t="str">
        <f>+input!B50</f>
        <v>124j</v>
      </c>
      <c r="B247" s="642">
        <f>+input!J50*input!K50*input!BJ50/1000</f>
        <v>17692.8</v>
      </c>
      <c r="C247" s="642">
        <f>+input!BQ50*input!N50*2*input!BK50/1000</f>
        <v>24041.652605426279</v>
      </c>
      <c r="D247" s="642">
        <f>+input!F50*input!G50*input!H50*input!BI50/1000</f>
        <v>9880</v>
      </c>
      <c r="E247" s="642">
        <f>0.85*Fck*input!P50*input!Q50/1000</f>
        <v>47451.25</v>
      </c>
      <c r="F247" s="642">
        <f>input!AD50*input!AE50*input!AF50*input!BN50/1000</f>
        <v>1945.6</v>
      </c>
      <c r="G247" s="642">
        <f>input!AG50*input!AH50*input!AI50*input!BM50/1000</f>
        <v>0</v>
      </c>
      <c r="H247" s="642">
        <f>input!CB50*Fys/1000</f>
        <v>2171.4688421612645</v>
      </c>
      <c r="I247" s="642">
        <f>input!BZ50*Fys/1000</f>
        <v>3062.1103594539709</v>
      </c>
      <c r="J247" s="642">
        <f>input!AC50*Fys/1000</f>
        <v>0</v>
      </c>
      <c r="K247" s="642">
        <f>input!BT50*0.85*Fckb/1000</f>
        <v>0</v>
      </c>
      <c r="L247" s="795">
        <f>IF(Stress!F879&lt;=0,IF(B247+F247+(input!M50-2*input!AH50)/input!M50*C247+J247&gt;=G247+D247+E247+H247+I247,1,IF(B247+F247+C247+G247+J247&gt;=D247+E247+H247+I247,"a",IF(B247+F247+C247+G247+D247+J247&gt;=E247+H247+I247,2,IF(B247+F247+C247+G247+D247+J247&gt;=(input!P50-input!AB50)/input!P50*E247+H247+I247,3,IF(B247+F247+C247+G247+D247+H247+J247&gt;=(input!P50-input!AB50)/input!P50*E247+I247,4,IF(B247+F247+C247+G247+D247+H247+J247&gt;=input!Y50/input!P50*E247+I247,5,IF(B247+F247+C247+G247+D247+H247+I247+J247&gt;=input!Y50/input!P50*E247,6,7))))))),IF(B247+F247+IF(input!O50=0,0,input!AE50/input!O50)*K247+input!AE50/input!M50*C247&gt;=(input!M50-input!AE50)*C247/input!M50+G247+D247+H247+I247,"b",IF(B247+F247+K247+input!O50/input!M50*C247&gt;=(input!M50-input!O50)/input!M50*C247+G247+D247+H247+I247,"c",IF(B247+F247+J247+K247+(input!M50-input!AH50)/input!M50*C247&gt;=G247+D247+H247+I247,8,IF(B247+F247+J247+K247+C247+G247&gt;=D247+H247+I247,"d",9)))))</f>
        <v>8</v>
      </c>
      <c r="M247" s="643">
        <f t="shared" si="2"/>
        <v>1663.4905853480675</v>
      </c>
      <c r="N247" s="493">
        <f t="shared" si="3"/>
        <v>65892.674705634374</v>
      </c>
      <c r="O247" s="766"/>
      <c r="Q247" s="73">
        <f>input!M50/2*((B247+F247+J247-G247-D247-E247-H247-I247)/C247+1)</f>
        <v>-1099.7034051102316</v>
      </c>
      <c r="R247" s="73">
        <f>(B247+F247+J247+C247+G247-D247-E247-H247-I247)/(2/input!M50*C247+IF(input!AH50=0,0,2/input!AH50)*G247)</f>
        <v>-1099.7034051102314</v>
      </c>
      <c r="S247" s="73">
        <f>input!H50/2*(B247+F247+J247+C247+G247-E247-H247-I247+D247)/D247</f>
        <v>1.1516097418566293</v>
      </c>
      <c r="T247" s="558">
        <f>input!P50*(B247+F247+J247+C247+G247+D247-H247-I247)/E247</f>
        <v>295.34895892321487</v>
      </c>
      <c r="U247" s="73">
        <f>input!P50-input!AB50</f>
        <v>250</v>
      </c>
      <c r="V247" s="558">
        <f>input!P50*(B247+F247+J247+C247+G247+D247+H247-I247)/E247</f>
        <v>321.89097685643128</v>
      </c>
      <c r="W247" s="73">
        <f>input!Y50</f>
        <v>50</v>
      </c>
      <c r="X247" s="558">
        <f>input!P50*(B247+F247+J247+C247+G247+D247+H247+I247)/E247</f>
        <v>359.31936933256844</v>
      </c>
      <c r="Y247" s="73">
        <f>(B247+C247+IF(input!O50=0,0,input!M50/input!O50)*K247+(IF(input!AE50=0,0,2*input!M50/input!AE50)-1)*F247-D247-G247-H247-I247)/(IF(input!AE50=0,0,2/input!AE50)*F247+IF(input!O50=0,0,1/input!O50)*K247+2/input!M50*C247)</f>
        <v>2235.8505678721017</v>
      </c>
      <c r="Z247" s="73">
        <f>(B247+C247+F247+IF(input!O50=0,0,input!M50/input!O50)*K247-D247-G247-H247-I247)/(IF(input!O50=0,0,1/input!O50)*K247+2/input!M50*C247)</f>
        <v>1663.490585348068</v>
      </c>
      <c r="AA247" s="73">
        <f>input!M50/2*(B247+F247+J247+K247-G247-D247-H247-I247+C247)/C247</f>
        <v>1663.4905853480675</v>
      </c>
      <c r="AB247" s="73">
        <f>(B247+F247+J247+K247+G247+C247-D247-H247-I247)/(IF(input!AH50=0,0,2/input!AH50)*G247+2/input!M50*C247)</f>
        <v>1663.4905853480675</v>
      </c>
      <c r="AC247" s="143">
        <f>input!H50/2*(B247+F247+K247+G247+C247-H247-I247+D247+J247)/D247</f>
        <v>63.587465005014515</v>
      </c>
      <c r="AD247" s="165">
        <f>IF(OR(L247=1,L247=8,L247="a",L247="b",L247="c",L247="d"),input!M50-M247+input!K50/2,IF(OR(L247=2,L247=9),input!H50-M247+input!M50+input!K50/2,input!R50+input!P50-M247+input!M50+input!K50/2))</f>
        <v>1148.5094146519325</v>
      </c>
      <c r="AE247" s="143">
        <f>IF(OR(L247=1,L247=8,L247="a",L247="b",L247="c",L247="d"),ABS(input!M50/2-M247),IF(OR(L247=2,L247=9),input!H50-M247+input!M50/2,input!R50+input!P50-M247+input!M50/2))</f>
        <v>263.4905853480675</v>
      </c>
      <c r="AF247" s="143">
        <f>IF(OR(L247=1,L247=8,L247="a",L247="b",L247="c",L247="d"),M247+input!H50/2,IF(OR(L247=2,L247=9),ABS(input!H50/2-M247),input!R50+input!P50-M247-input!H50/2))</f>
        <v>1676.4905853480675</v>
      </c>
      <c r="AG247" s="143">
        <f>IF(OR(L247=1,L247=8,L247="a",L247="b",L247="c",L247="d"),input!R50+input!P50/2+M247,IF(OR(L247=2,L247=9),input!R50+input!P50/2-input!H50+M247,ABS(input!P50/2-M247)))</f>
        <v>1808.4905853480675</v>
      </c>
      <c r="AH247" s="143">
        <f>IF(OR(L247=1,L247=8,L247="a",L247="b",L247="c",L247="d"),input!M50-M247-input!AE50/2,IF(OR(L247=2,L247=9),input!H50-M247+input!M50-input!AE50/2,input!R50+input!P50-M247+input!M50-input!AE50/2))</f>
        <v>1056.5094146519325</v>
      </c>
      <c r="AI247" s="143">
        <f>IF(OR(L247=1,L247=8,L247="a",L247="b",L247="c",L247="d"),M247-input!AH50/2,IF(OR(L247=2,L247=9),input!H50-M247+input!AH50/2,input!R50+input!P50-M247+input!AH50/2))</f>
        <v>1663.4905853480675</v>
      </c>
      <c r="AJ247" s="143">
        <f>IF(OR(L247=1,L247=8,L247="a",L247="b",L247="c",L247="d"),M247+input!R50+input!AB50,IF(OR(L247=2,L247=9),input!R50+input!AB50-input!H50+M247,IF(L247=3,input!AB50-(input!P50-M247),ABS(input!P50-input!AB50-M247))))</f>
        <v>1703.4905853480675</v>
      </c>
      <c r="AK247" s="143">
        <f>IF(OR(L247=1,L247=8,L247="a",L247="b",L247="c",L247="d"),M247+input!R50+input!P50-input!Y50,IF(OR(L247=2,L247=9),input!R50+input!P50-input!Y50-input!H50+M247,ABS(input!Y50-M247)))</f>
        <v>1903.4905853480675</v>
      </c>
      <c r="AL247" s="143">
        <f>IF(OR(L247=1,L247=8,L247="a",L247="b",L247="c",L247="d"),input!M50-M247-input!O50/2,IF(OR(L247=2,L247=9),input!H50-M247+input!M50-input!O50/2,0))</f>
        <v>1136.5094146519325</v>
      </c>
      <c r="AM247" s="143">
        <f>IF(OR(L247=1,L247=8,L247="a",L247="b",L247="c",L247="d"),input!M50-M247-input!O50/2,IF(OR(L247=2,L247=9),input!H50-M247+input!M50-input!O50/2,input!R50+input!P50-M247+input!M50-input!O50/2))</f>
        <v>1136.5094146519325</v>
      </c>
      <c r="AN247" s="143">
        <f>C247/2/input!M50*(M247^2+(input!M50-M247)^2)+B247*AD247+D247*AF247+E247*AG247+F247*AH247+G247*AI247+H247*AJ247+I247*AK247+J247*AM247</f>
        <v>151707813.59363186</v>
      </c>
      <c r="AO247" s="143">
        <f>IF(input!AH50=0,0,1/2/input!AH50)*G247*(M247^2+(input!AH50-M247)^2)+D247*AF247+F247*AH247+C247/2/input!M50*(M247^2+(input!M50-M247)^2)+B247*AD247+E247*AG247+H247*AJ247+I247*AK247+J247*AM247</f>
        <v>151707813.59363186</v>
      </c>
      <c r="AP247" s="143">
        <f>+D247/2/input!H50*(M247^2+(input!H50-M247)^2)+B247*AD247+F247*AH247+G247*AI247+C247*AE247+E247*AG247+H247*AJ247+I247*AK247+J247*AM247</f>
        <v>1159283060.5465429</v>
      </c>
      <c r="AQ247" s="143">
        <f>+(M247^2)/2/input!P50*E247+D247*AF247+F247*AH247+G247*AI247+C247*AE247+B247*AD247+H247*AJ247+I247*AK247+J247*AM247</f>
        <v>281193769.04369563</v>
      </c>
      <c r="AR247" s="143">
        <f>+(M247^2)/2/input!P50*E247+D247*AF247+F247*AH247+G247*AI247+C247*AE247+B247*AD247+I247*AK247+J247*AM247</f>
        <v>277494692.31469727</v>
      </c>
      <c r="AS247" s="143">
        <f>+(M247^2)/2/input!P50*E247+D247*AF247+F247*AH247+G247*AI247+C247*AE247+B247*AD247+H247*AJ247+I247*AK247+J247*AM247</f>
        <v>281193769.04369563</v>
      </c>
      <c r="AT247" s="143">
        <f>+(M247^2)/2/input!P50*E247+D247*AF247+F247*AH247+G247*AI247+C247*AE247+B247*AD247+H247*AJ247+J247*AM247</f>
        <v>275365070.80317819</v>
      </c>
      <c r="AU247" s="143">
        <f>+(M247^2)/2/input!P50*E247+D247*AF247+F247*AH247+G247*AI247+C247*AE247+B247*AD247+H247*AJ247+I247*AK247+J247*AM247</f>
        <v>281193769.04369563</v>
      </c>
      <c r="AV247" s="143">
        <f>IF(input!AE50=0,0,1/2/input!AE50)*F247*((input!M50-M247)^2+(input!AE50-input!M50+M247)^2)+C247/2/input!M50*(M247^2+(M247-input!M50)^2)+IF(input!O50=0,0,1/2/input!O50)*K247*(input!M50-M247)^2+B247*AD247+G247*AI247+D247*AF247+H247*AJ247+I247*AK247+J247*AM247</f>
        <v>77488093.650385305</v>
      </c>
      <c r="AW247" s="143">
        <f>+C247/2/input!M50*(M247^2+(M247-input!M50)^2)+IF(input!O50=0,0,1/2/input!O50)*K247*(input!M50-M247)^2+B247*AD247+F247*AH247+G247*AI247+D247*AF247+H247*AJ247+I247*AK247+J247*AM247</f>
        <v>65892674.705634378</v>
      </c>
      <c r="AX247" s="143">
        <f>C247/2/input!M50*(M247^2+(M247-input!M50)^2)+K247*AL247+B247*AD247+F247*AH247+G247*AI247+D247*AF247+H247*AJ247+I247*AK247+J247*AM247</f>
        <v>65892674.705634378</v>
      </c>
      <c r="AY247" s="143">
        <f>C247/2/input!M50*(M247^2+(M247-input!M50)^2)+IF(input!AH50=0,0,1/2/input!AH50)*G247*(M247^2+(input!AH50-M247)^2)+K247*AL247+B247*AD247+F247*AH247+D247*AF247+H247*AJ247+I247*AK247+J247*AM247</f>
        <v>65892674.705634378</v>
      </c>
      <c r="AZ247" s="143">
        <f>D247/2/input!H50*(M247^2+(input!H50-M247)^2)+B247*AD247+K247*AL247+F247*AH247+C247*AE247+G247*AI247+H247*AJ247+I247*AK247+J247*AM247</f>
        <v>1073467921.6585454</v>
      </c>
      <c r="BA247" s="185"/>
    </row>
    <row r="248" spans="1:53" ht="15" customHeight="1">
      <c r="A248" s="1023" t="str">
        <f>+input!B51</f>
        <v>125i</v>
      </c>
      <c r="B248" s="642">
        <f>+input!J51*input!K51*input!BJ51/1000</f>
        <v>13269.6</v>
      </c>
      <c r="C248" s="642">
        <f>+input!BQ51*input!N51*2*input!BK51/1000</f>
        <v>24041.652605426279</v>
      </c>
      <c r="D248" s="642">
        <f>+input!F51*input!G51*input!H51*input!BI51/1000</f>
        <v>8360</v>
      </c>
      <c r="E248" s="646">
        <f>0.85*Fck*input!P51*input!Q51/1000</f>
        <v>47451.25</v>
      </c>
      <c r="F248" s="642">
        <f>input!AD51*input!AE51*input!AF51*input!BN51/1000</f>
        <v>1945.6</v>
      </c>
      <c r="G248" s="642">
        <f>input!AG51*input!AH51*input!AI51*input!BM51/1000</f>
        <v>0</v>
      </c>
      <c r="H248" s="646">
        <f>input!CB51*Fys/1000</f>
        <v>2171.4688421612645</v>
      </c>
      <c r="I248" s="646">
        <f>input!BZ51*Fys/1000</f>
        <v>3062.1103594539709</v>
      </c>
      <c r="J248" s="646">
        <f>input!AC51*Fys/1000</f>
        <v>0</v>
      </c>
      <c r="K248" s="646">
        <f>input!BT51*0.85*Fckb/1000</f>
        <v>0</v>
      </c>
      <c r="L248" s="795">
        <f>IF(Stress!F880&lt;=0,IF(B248+F248+(input!M51-2*input!AH51)/input!M51*C248+J248&gt;=G248+D248+E248+H248+I248,1,IF(B248+F248+C248+G248+J248&gt;=D248+E248+H248+I248,"a",IF(B248+F248+C248+G248+D248+J248&gt;=E248+H248+I248,2,IF(B248+F248+C248+G248+D248+J248&gt;=(input!P51-input!AB51)/input!P51*E248+H248+I248,3,IF(B248+F248+C248+G248+D248+H248+J248&gt;=(input!P51-input!AB51)/input!P51*E248+I248,4,IF(B248+F248+C248+G248+D248+H248+J248&gt;=input!Y51/input!P51*E248+I248,5,IF(B248+F248+C248+G248+D248+H248+I248+J248&gt;=input!Y51/input!P51*E248,6,7))))))),IF(B248+F248+IF(input!O51=0,0,input!AE51/input!O51)*K248+input!AE51/input!M51*C248&gt;=(input!M51-input!AE51)*C248/input!M51+G248+D248+H248+I248,"b",IF(B248+F248+K248+input!O51/input!M51*C248&gt;=(input!M51-input!O51)/input!M51*C248+G248+D248+H248+I248,"c",IF(B248+F248+J248+K248+(input!M51-input!AH51)/input!M51*C248&gt;=G248+D248+H248+I248,8,IF(B248+F248+J248+K248+C248+G248&gt;=D248+H248+I248,"d",9)))))</f>
        <v>8</v>
      </c>
      <c r="M248" s="1024">
        <f t="shared" si="2"/>
        <v>1494.4306597802793</v>
      </c>
      <c r="N248" s="1025">
        <f t="shared" si="3"/>
        <v>57962.385985062676</v>
      </c>
      <c r="O248" s="766"/>
      <c r="Q248" s="73">
        <f>input!M51/2*((B248+F248+J248-G248-D248-E248-H248-I248)/C248+1)</f>
        <v>-1268.7633306780201</v>
      </c>
      <c r="R248" s="73">
        <f>(B248+F248+J248+C248+G248-D248-E248-H248-I248)/(2/input!M51*C248+IF(input!AH51=0,0,2/input!AH51)*G248)</f>
        <v>-1268.7633306780201</v>
      </c>
      <c r="S248" s="73">
        <f>input!H51/2*(B248+F248+J248+C248+G248-E248-H248-I248+D248)/D248</f>
        <v>-6.6683902581433667</v>
      </c>
      <c r="T248" s="558">
        <f>input!P51*(B248+F248+J248+C248+G248+D248-H248-I248)/E248</f>
        <v>259.02688100113699</v>
      </c>
      <c r="U248" s="73">
        <f>input!P51-input!AB51</f>
        <v>250</v>
      </c>
      <c r="V248" s="558">
        <f>input!P51*(B248+F248+J248+C248+G248+D248+H248-I248)/E248</f>
        <v>285.5688989343534</v>
      </c>
      <c r="W248" s="73">
        <f>input!Y51</f>
        <v>50</v>
      </c>
      <c r="X248" s="558">
        <f>input!P51*(B248+F248+J248+C248+G248+D248+H248+I248)/E248</f>
        <v>322.99729141049056</v>
      </c>
      <c r="Y248" s="73">
        <f>(B248+C248+IF(input!O51=0,0,input!M51/input!O51)*K248+(IF(input!AE51=0,0,2*input!M51/input!AE51)-1)*F248-D248-G248-H248-I248)/(IF(input!AE51=0,0,2/input!AE51)*F248+IF(input!O51=0,0,1/input!O51)*K248+2/input!M51*C248)</f>
        <v>2165.8814801309854</v>
      </c>
      <c r="Z248" s="73">
        <f>(B248+C248+F248+IF(input!O51=0,0,input!M51/input!O51)*K248-D248-G248-H248-I248)/(IF(input!O51=0,0,1/input!O51)*K248+2/input!M51*C248)</f>
        <v>1494.430659780279</v>
      </c>
      <c r="AA248" s="73">
        <f>input!M51/2*(B248+F248+J248+K248-G248-D248-H248-I248+C248)/C248</f>
        <v>1494.4306597802793</v>
      </c>
      <c r="AB248" s="73">
        <f>(B248+F248+J248+K248+G248+C248-D248-H248-I248)/(IF(input!AH51=0,0,2/input!AH51)*G248+2/input!M51*C248)</f>
        <v>1494.430659780279</v>
      </c>
      <c r="AC248" s="143">
        <f>input!H51/2*(B248+F248+K248+G248+C248-H248-I248+D248+J248)/D248</f>
        <v>55.767465005014522</v>
      </c>
      <c r="AD248" s="165">
        <f>IF(OR(L248=1,L248=8,L248="a",L248="b",L248="c",L248="d"),input!M51-M248+input!K51/2,IF(OR(L248=2,L248=9),input!H51-M248+input!M51+input!K51/2,input!R51+input!P51-M248+input!M51+input!K51/2))</f>
        <v>1314.5693402197207</v>
      </c>
      <c r="AE248" s="143">
        <f>IF(OR(L248=1,L248=8,L248="a",L248="b",L248="c",L248="d"),ABS(input!M51/2-M248),IF(OR(L248=2,L248=9),input!H51-M248+input!M51/2,input!R51+input!P51-M248+input!M51/2))</f>
        <v>94.430659780279257</v>
      </c>
      <c r="AF248" s="143">
        <f>IF(OR(L248=1,L248=8,L248="a",L248="b",L248="c",L248="d"),M248+input!H51/2,IF(OR(L248=2,L248=9),ABS(input!H51/2-M248),input!R51+input!P51-M248-input!H51/2))</f>
        <v>1505.4306597802793</v>
      </c>
      <c r="AG248" s="143">
        <f>IF(OR(L248=1,L248=8,L248="a",L248="b",L248="c",L248="d"),input!R51+input!P51/2+M248,IF(OR(L248=2,L248=9),input!R51+input!P51/2-input!H51+M248,ABS(input!P51/2-M248)))</f>
        <v>1639.4306597802793</v>
      </c>
      <c r="AH248" s="143">
        <f>IF(OR(L248=1,L248=8,L248="a",L248="b",L248="c",L248="d"),input!M51-M248-input!AE51/2,IF(OR(L248=2,L248=9),input!H51-M248+input!M51-input!AE51/2,input!R51+input!P51-M248+input!M51-input!AE51/2))</f>
        <v>1225.5693402197207</v>
      </c>
      <c r="AI248" s="143">
        <f>IF(OR(L248=1,L248=8,L248="a",L248="b",L248="c",L248="d"),M248-input!AH51/2,IF(OR(L248=2,L248=9),input!H51-M248+input!AH51/2,input!R51+input!P51-M248+input!AH51/2))</f>
        <v>1494.4306597802793</v>
      </c>
      <c r="AJ248" s="143">
        <f>IF(OR(L248=1,L248=8,L248="a",L248="b",L248="c",L248="d"),M248+input!R51+input!AB51,IF(OR(L248=2,L248=9),input!R51+input!AB51-input!H51+M248,IF(L248=3,input!AB51-(input!P51-M248),ABS(input!P51-input!AB51-M248))))</f>
        <v>1534.4306597802793</v>
      </c>
      <c r="AK248" s="143">
        <f>IF(OR(L248=1,L248=8,L248="a",L248="b",L248="c",L248="d"),M248+input!R51+input!P51-input!Y51,IF(OR(L248=2,L248=9),input!R51+input!P51-input!Y51-input!H51+M248,ABS(input!Y51-M248)))</f>
        <v>1734.4306597802793</v>
      </c>
      <c r="AL248" s="143">
        <f>IF(OR(L248=1,L248=8,L248="a",L248="b",L248="c",L248="d"),input!M51-M248-input!O51/2,IF(OR(L248=2,L248=9),input!H51-M248+input!M51-input!O51/2,0))</f>
        <v>1305.5693402197207</v>
      </c>
      <c r="AM248" s="143">
        <f>IF(OR(L248=1,L248=8,L248="a",L248="b",L248="c",L248="d"),input!M51-M248-input!O51/2,IF(OR(L248=2,L248=9),input!H51-M248+input!M51-input!O51/2,input!R51+input!P51-M248+input!M51-input!O51/2))</f>
        <v>1305.5693402197207</v>
      </c>
      <c r="AN248" s="143">
        <f>C248/2/input!M51*(M248^2+(input!M51-M248)^2)+B248*AD248+D248*AF248+E248*AG248+F248*AH248+G248*AI248+H248*AJ248+I248*AK248+J248*AM248</f>
        <v>135755420.07996166</v>
      </c>
      <c r="AO248" s="143">
        <f>IF(input!AH51=0,0,1/2/input!AH51)*G248*(M248^2+(input!AH51-M248)^2)+D248*AF248+F248*AH248+C248/2/input!M51*(M248^2+(input!M51-M248)^2)+B248*AD248+E248*AG248+H248*AJ248+I248*AK248+J248*AM248</f>
        <v>135755420.07996166</v>
      </c>
      <c r="AP248" s="143">
        <f>+D248/2/input!H51*(M248^2+(input!H51-M248)^2)+B248*AD248+F248*AH248+G248*AI248+C248*AE248+E248*AG248+H248*AJ248+I248*AK248+J248*AM248</f>
        <v>944795825.2001251</v>
      </c>
      <c r="AQ248" s="143">
        <f>+(M248^2)/2/input!P51*E248+D248*AF248+F248*AH248+G248*AI248+C248*AE248+B248*AD248+H248*AJ248+I248*AK248+J248*AM248</f>
        <v>226040670.60122171</v>
      </c>
      <c r="AR248" s="143">
        <f>+(M248^2)/2/input!P51*E248+D248*AF248+F248*AH248+G248*AI248+C248*AE248+B248*AD248+I248*AK248+J248*AM248</f>
        <v>222708702.2330519</v>
      </c>
      <c r="AS248" s="143">
        <f>+(M248^2)/2/input!P51*E248+D248*AF248+F248*AH248+G248*AI248+C248*AE248+B248*AD248+H248*AJ248+I248*AK248+J248*AM248</f>
        <v>226040670.60122171</v>
      </c>
      <c r="AT248" s="143">
        <f>+(M248^2)/2/input!P51*E248+D248*AF248+F248*AH248+G248*AI248+C248*AE248+B248*AD248+H248*AJ248+J248*AM248</f>
        <v>220729652.51015392</v>
      </c>
      <c r="AU248" s="143">
        <f>+(M248^2)/2/input!P51*E248+D248*AF248+F248*AH248+G248*AI248+C248*AE248+B248*AD248+H248*AJ248+I248*AK248+J248*AM248</f>
        <v>226040670.60122171</v>
      </c>
      <c r="AV248" s="143">
        <f>IF(input!AE51=0,0,1/2/input!AE51)*F248*((input!M51-M248)^2+(input!AE51-input!M51+M248)^2)+C248/2/input!M51*(M248^2+(M248-input!M51)^2)+IF(input!O51=0,0,1/2/input!O51)*K248*(input!M51-M248)^2+B248*AD248+G248*AI248+D248*AF248+H248*AJ248+I248*AK248+J248*AM248</f>
        <v>73920308.002200261</v>
      </c>
      <c r="AW248" s="143">
        <f>+C248/2/input!M51*(M248^2+(M248-input!M51)^2)+IF(input!O51=0,0,1/2/input!O51)*K248*(input!M51-M248)^2+B248*AD248+F248*AH248+G248*AI248+D248*AF248+H248*AJ248+I248*AK248+J248*AM248</f>
        <v>57962385.985062674</v>
      </c>
      <c r="AX248" s="143">
        <f>C248/2/input!M51*(M248^2+(M248-input!M51)^2)+K248*AL248+B248*AD248+F248*AH248+G248*AI248+D248*AF248+H248*AJ248+I248*AK248+J248*AM248</f>
        <v>57962385.985062674</v>
      </c>
      <c r="AY248" s="143">
        <f>C248/2/input!M51*(M248^2+(M248-input!M51)^2)+IF(input!AH51=0,0,1/2/input!AH51)*G248*(M248^2+(input!AH51-M248)^2)+K248*AL248+B248*AD248+F248*AH248+D248*AF248+H248*AJ248+I248*AK248+J248*AM248</f>
        <v>57962385.985062674</v>
      </c>
      <c r="AZ248" s="143">
        <f>D248/2/input!H51*(M248^2+(input!H51-M248)^2)+B248*AD248+K248*AL248+F248*AH248+C248*AE248+G248*AI248+H248*AJ248+I248*AK248+J248*AM248</f>
        <v>867002791.10522616</v>
      </c>
      <c r="BA248" s="185"/>
    </row>
    <row r="249" spans="1:53" ht="15" customHeight="1">
      <c r="A249" s="1026" t="str">
        <f>+input!B52</f>
        <v>125j</v>
      </c>
      <c r="B249" s="642">
        <f>+input!J52*input!K52*input!BJ52/1000</f>
        <v>13269.6</v>
      </c>
      <c r="C249" s="642">
        <f>+input!BQ52*input!N52*2*input!BK52/1000</f>
        <v>24041.652605426279</v>
      </c>
      <c r="D249" s="642">
        <f>+input!F52*input!G52*input!H52*input!BI52/1000</f>
        <v>8360</v>
      </c>
      <c r="E249" s="1027">
        <f>0.85*Fck*input!P52*input!Q52/1000</f>
        <v>47451.25</v>
      </c>
      <c r="F249" s="642">
        <f>input!AD52*input!AE52*input!AF52*input!BN52/1000</f>
        <v>1945.6</v>
      </c>
      <c r="G249" s="642">
        <f>input!AG52*input!AH52*input!AI52*input!BM52/1000</f>
        <v>0</v>
      </c>
      <c r="H249" s="1027">
        <f>input!CB52*Fys/1000</f>
        <v>2171.4688421612645</v>
      </c>
      <c r="I249" s="1027">
        <f>input!BZ52*Fys/1000</f>
        <v>3062.1103594539709</v>
      </c>
      <c r="J249" s="1027">
        <f>input!AC52*Fys/1000</f>
        <v>0</v>
      </c>
      <c r="K249" s="1027">
        <f>input!BT52*0.85*Fckb/1000</f>
        <v>0</v>
      </c>
      <c r="L249" s="795">
        <f>IF(Stress!F881&lt;=0,IF(B249+F249+(input!M52-2*input!AH52)/input!M52*C249+J249&gt;=G249+D249+E249+H249+I249,1,IF(B249+F249+C249+G249+J249&gt;=D249+E249+H249+I249,"a",IF(B249+F249+C249+G249+D249+J249&gt;=E249+H249+I249,2,IF(B249+F249+C249+G249+D249+J249&gt;=(input!P52-input!AB52)/input!P52*E249+H249+I249,3,IF(B249+F249+C249+G249+D249+H249+J249&gt;=(input!P52-input!AB52)/input!P52*E249+I249,4,IF(B249+F249+C249+G249+D249+H249+J249&gt;=input!Y52/input!P52*E249+I249,5,IF(B249+F249+C249+G249+D249+H249+I249+J249&gt;=input!Y52/input!P52*E249,6,7))))))),IF(B249+F249+IF(input!O52=0,0,input!AE52/input!O52)*K249+input!AE52/input!M52*C249&gt;=(input!M52-input!AE52)*C249/input!M52+G249+D249+H249+I249,"b",IF(B249+F249+K249+input!O52/input!M52*C249&gt;=(input!M52-input!O52)/input!M52*C249+G249+D249+H249+I249,"c",IF(B249+F249+J249+K249+(input!M52-input!AH52)/input!M52*C249&gt;=G249+D249+H249+I249,8,IF(B249+F249+J249+K249+C249+G249&gt;=D249+H249+I249,"d",9)))))</f>
        <v>8</v>
      </c>
      <c r="M249" s="1028">
        <f t="shared" si="2"/>
        <v>1494.4306597802793</v>
      </c>
      <c r="N249" s="1029">
        <f t="shared" si="3"/>
        <v>57962.385985062676</v>
      </c>
      <c r="O249" s="766"/>
      <c r="Q249" s="73">
        <f>input!M52/2*((B249+F249+J249-G249-D249-E249-H249-I249)/C249+1)</f>
        <v>-1268.7633306780201</v>
      </c>
      <c r="R249" s="73">
        <f>(B249+F249+J249+C249+G249-D249-E249-H249-I249)/(2/input!M52*C249+IF(input!AH52=0,0,2/input!AH52)*G249)</f>
        <v>-1268.7633306780201</v>
      </c>
      <c r="S249" s="73">
        <f>input!H52/2*(B249+F249+J249+C249+G249-E249-H249-I249+D249)/D249</f>
        <v>-6.6683902581433667</v>
      </c>
      <c r="T249" s="558">
        <f>input!P52*(B249+F249+J249+C249+G249+D249-H249-I249)/E249</f>
        <v>259.02688100113699</v>
      </c>
      <c r="U249" s="73">
        <f>input!P52-input!AB52</f>
        <v>250</v>
      </c>
      <c r="V249" s="558">
        <f>input!P52*(B249+F249+J249+C249+G249+D249+H249-I249)/E249</f>
        <v>285.5688989343534</v>
      </c>
      <c r="W249" s="73">
        <f>input!Y52</f>
        <v>50</v>
      </c>
      <c r="X249" s="558">
        <f>input!P52*(B249+F249+J249+C249+G249+D249+H249+I249)/E249</f>
        <v>322.99729141049056</v>
      </c>
      <c r="Y249" s="73">
        <f>(B249+C249+IF(input!O52=0,0,input!M52/input!O52)*K249+(IF(input!AE52=0,0,2*input!M52/input!AE52)-1)*F249-D249-G249-H249-I249)/(IF(input!AE52=0,0,2/input!AE52)*F249+IF(input!O52=0,0,1/input!O52)*K249+2/input!M52*C249)</f>
        <v>2165.8814801309854</v>
      </c>
      <c r="Z249" s="73">
        <f>(B249+C249+F249+IF(input!O52=0,0,input!M52/input!O52)*K249-D249-G249-H249-I249)/(IF(input!O52=0,0,1/input!O52)*K249+2/input!M52*C249)</f>
        <v>1494.430659780279</v>
      </c>
      <c r="AA249" s="73">
        <f>input!M52/2*(B249+F249+J249+K249-G249-D249-H249-I249+C249)/C249</f>
        <v>1494.4306597802793</v>
      </c>
      <c r="AB249" s="73">
        <f>(B249+F249+J249+K249+G249+C249-D249-H249-I249)/(IF(input!AH52=0,0,2/input!AH52)*G249+2/input!M52*C249)</f>
        <v>1494.430659780279</v>
      </c>
      <c r="AC249" s="143">
        <f>input!H52/2*(B249+F249+K249+G249+C249-H249-I249+D249+J249)/D249</f>
        <v>55.767465005014522</v>
      </c>
      <c r="AD249" s="165">
        <f>IF(OR(L249=1,L249=8,L249="a",L249="b",L249="c",L249="d"),input!M52-M249+input!K52/2,IF(OR(L249=2,L249=9),input!H52-M249+input!M52+input!K52/2,input!R52+input!P52-M249+input!M52+input!K52/2))</f>
        <v>1314.5693402197207</v>
      </c>
      <c r="AE249" s="143">
        <f>IF(OR(L249=1,L249=8,L249="a",L249="b",L249="c",L249="d"),ABS(input!M52/2-M249),IF(OR(L249=2,L249=9),input!H52-M249+input!M52/2,input!R52+input!P52-M249+input!M52/2))</f>
        <v>94.430659780279257</v>
      </c>
      <c r="AF249" s="143">
        <f>IF(OR(L249=1,L249=8,L249="a",L249="b",L249="c",L249="d"),M249+input!H52/2,IF(OR(L249=2,L249=9),ABS(input!H52/2-M249),input!R52+input!P52-M249-input!H52/2))</f>
        <v>1505.4306597802793</v>
      </c>
      <c r="AG249" s="143">
        <f>IF(OR(L249=1,L249=8,L249="a",L249="b",L249="c",L249="d"),input!R52+input!P52/2+M249,IF(OR(L249=2,L249=9),input!R52+input!P52/2-input!H52+M249,ABS(input!P52/2-M249)))</f>
        <v>1639.4306597802793</v>
      </c>
      <c r="AH249" s="143">
        <f>IF(OR(L249=1,L249=8,L249="a",L249="b",L249="c",L249="d"),input!M52-M249-input!AE52/2,IF(OR(L249=2,L249=9),input!H52-M249+input!M52-input!AE52/2,input!R52+input!P52-M249+input!M52-input!AE52/2))</f>
        <v>1225.5693402197207</v>
      </c>
      <c r="AI249" s="143">
        <f>IF(OR(L249=1,L249=8,L249="a",L249="b",L249="c",L249="d"),M249-input!AH52/2,IF(OR(L249=2,L249=9),input!H52-M249+input!AH52/2,input!R52+input!P52-M249+input!AH52/2))</f>
        <v>1494.4306597802793</v>
      </c>
      <c r="AJ249" s="143">
        <f>IF(OR(L249=1,L249=8,L249="a",L249="b",L249="c",L249="d"),M249+input!R52+input!AB52,IF(OR(L249=2,L249=9),input!R52+input!AB52-input!H52+M249,IF(L249=3,input!AB52-(input!P52-M249),ABS(input!P52-input!AB52-M249))))</f>
        <v>1534.4306597802793</v>
      </c>
      <c r="AK249" s="143">
        <f>IF(OR(L249=1,L249=8,L249="a",L249="b",L249="c",L249="d"),M249+input!R52+input!P52-input!Y52,IF(OR(L249=2,L249=9),input!R52+input!P52-input!Y52-input!H52+M249,ABS(input!Y52-M249)))</f>
        <v>1734.4306597802793</v>
      </c>
      <c r="AL249" s="143">
        <f>IF(OR(L249=1,L249=8,L249="a",L249="b",L249="c",L249="d"),input!M52-M249-input!O52/2,IF(OR(L249=2,L249=9),input!H52-M249+input!M52-input!O52/2,0))</f>
        <v>1305.5693402197207</v>
      </c>
      <c r="AM249" s="143">
        <f>IF(OR(L249=1,L249=8,L249="a",L249="b",L249="c",L249="d"),input!M52-M249-input!O52/2,IF(OR(L249=2,L249=9),input!H52-M249+input!M52-input!O52/2,input!R52+input!P52-M249+input!M52-input!O52/2))</f>
        <v>1305.5693402197207</v>
      </c>
      <c r="AN249" s="143">
        <f>C249/2/input!M52*(M249^2+(input!M52-M249)^2)+B249*AD249+D249*AF249+E249*AG249+F249*AH249+G249*AI249+H249*AJ249+I249*AK249+J249*AM249</f>
        <v>135755420.07996166</v>
      </c>
      <c r="AO249" s="143">
        <f>IF(input!AH52=0,0,1/2/input!AH52)*G249*(M249^2+(input!AH52-M249)^2)+D249*AF249+F249*AH249+C249/2/input!M52*(M249^2+(input!M52-M249)^2)+B249*AD249+E249*AG249+H249*AJ249+I249*AK249+J249*AM249</f>
        <v>135755420.07996166</v>
      </c>
      <c r="AP249" s="143">
        <f>+D249/2/input!H52*(M249^2+(input!H52-M249)^2)+B249*AD249+F249*AH249+G249*AI249+C249*AE249+E249*AG249+H249*AJ249+I249*AK249+J249*AM249</f>
        <v>944795825.2001251</v>
      </c>
      <c r="AQ249" s="143">
        <f>+(M249^2)/2/input!P52*E249+D249*AF249+F249*AH249+G249*AI249+C249*AE249+B249*AD249+H249*AJ249+I249*AK249+J249*AM249</f>
        <v>226040670.60122171</v>
      </c>
      <c r="AR249" s="143">
        <f>+(M249^2)/2/input!P52*E249+D249*AF249+F249*AH249+G249*AI249+C249*AE249+B249*AD249+I249*AK249+J249*AM249</f>
        <v>222708702.2330519</v>
      </c>
      <c r="AS249" s="143">
        <f>+(M249^2)/2/input!P52*E249+D249*AF249+F249*AH249+G249*AI249+C249*AE249+B249*AD249+H249*AJ249+I249*AK249+J249*AM249</f>
        <v>226040670.60122171</v>
      </c>
      <c r="AT249" s="143">
        <f>+(M249^2)/2/input!P52*E249+D249*AF249+F249*AH249+G249*AI249+C249*AE249+B249*AD249+H249*AJ249+J249*AM249</f>
        <v>220729652.51015392</v>
      </c>
      <c r="AU249" s="143">
        <f>+(M249^2)/2/input!P52*E249+D249*AF249+F249*AH249+G249*AI249+C249*AE249+B249*AD249+H249*AJ249+I249*AK249+J249*AM249</f>
        <v>226040670.60122171</v>
      </c>
      <c r="AV249" s="143">
        <f>IF(input!AE52=0,0,1/2/input!AE52)*F249*((input!M52-M249)^2+(input!AE52-input!M52+M249)^2)+C249/2/input!M52*(M249^2+(M249-input!M52)^2)+IF(input!O52=0,0,1/2/input!O52)*K249*(input!M52-M249)^2+B249*AD249+G249*AI249+D249*AF249+H249*AJ249+I249*AK249+J249*AM249</f>
        <v>73920308.002200261</v>
      </c>
      <c r="AW249" s="143">
        <f>+C249/2/input!M52*(M249^2+(M249-input!M52)^2)+IF(input!O52=0,0,1/2/input!O52)*K249*(input!M52-M249)^2+B249*AD249+F249*AH249+G249*AI249+D249*AF249+H249*AJ249+I249*AK249+J249*AM249</f>
        <v>57962385.985062674</v>
      </c>
      <c r="AX249" s="143">
        <f>C249/2/input!M52*(M249^2+(M249-input!M52)^2)+K249*AL249+B249*AD249+F249*AH249+G249*AI249+D249*AF249+H249*AJ249+I249*AK249+J249*AM249</f>
        <v>57962385.985062674</v>
      </c>
      <c r="AY249" s="143">
        <f>C249/2/input!M52*(M249^2+(M249-input!M52)^2)+IF(input!AH52=0,0,1/2/input!AH52)*G249*(M249^2+(input!AH52-M249)^2)+K249*AL249+B249*AD249+F249*AH249+D249*AF249+H249*AJ249+I249*AK249+J249*AM249</f>
        <v>57962385.985062674</v>
      </c>
      <c r="AZ249" s="143">
        <f>D249/2/input!H52*(M249^2+(input!H52-M249)^2)+B249*AD249+K249*AL249+F249*AH249+C249*AE249+G249*AI249+H249*AJ249+I249*AK249+J249*AM249</f>
        <v>867002791.10522616</v>
      </c>
      <c r="BA249" s="185"/>
    </row>
    <row r="250" spans="1:53" ht="15" customHeight="1">
      <c r="A250" s="579" t="str">
        <f>+input!B53</f>
        <v>126i</v>
      </c>
      <c r="B250" s="642">
        <f>+input!J53*input!K53*input!BJ53/1000</f>
        <v>13269.6</v>
      </c>
      <c r="C250" s="642">
        <f>+input!BQ53*input!N53*2*input!BK53/1000</f>
        <v>24041.652605426279</v>
      </c>
      <c r="D250" s="642">
        <f>+input!F53*input!G53*input!H53*input!BI53/1000</f>
        <v>8360</v>
      </c>
      <c r="E250" s="642">
        <f>0.85*Fck*input!P53*input!Q53/1000</f>
        <v>47451.25</v>
      </c>
      <c r="F250" s="642">
        <f>input!AD53*input!AE53*input!AF53*input!BN53/1000</f>
        <v>1945.6</v>
      </c>
      <c r="G250" s="642">
        <f>input!AG53*input!AH53*input!AI53*input!BM53/1000</f>
        <v>0</v>
      </c>
      <c r="H250" s="642">
        <f>input!CB53*Fys/1000</f>
        <v>2171.4688421612645</v>
      </c>
      <c r="I250" s="642">
        <f>input!BZ53*Fys/1000</f>
        <v>3062.1103594539709</v>
      </c>
      <c r="J250" s="642">
        <f>input!AC53*Fys/1000</f>
        <v>0</v>
      </c>
      <c r="K250" s="642">
        <f>input!BT53*0.85*Fckb/1000</f>
        <v>0</v>
      </c>
      <c r="L250" s="795">
        <f>IF(Stress!F882&lt;=0,IF(B250+F250+(input!M53-2*input!AH53)/input!M53*C250+J250&gt;=G250+D250+E250+H250+I250,1,IF(B250+F250+C250+G250+J250&gt;=D250+E250+H250+I250,"a",IF(B250+F250+C250+G250+D250+J250&gt;=E250+H250+I250,2,IF(B250+F250+C250+G250+D250+J250&gt;=(input!P53-input!AB53)/input!P53*E250+H250+I250,3,IF(B250+F250+C250+G250+D250+H250+J250&gt;=(input!P53-input!AB53)/input!P53*E250+I250,4,IF(B250+F250+C250+G250+D250+H250+J250&gt;=input!Y53/input!P53*E250+I250,5,IF(B250+F250+C250+G250+D250+H250+I250+J250&gt;=input!Y53/input!P53*E250,6,7))))))),IF(B250+F250+IF(input!O53=0,0,input!AE53/input!O53)*K250+input!AE53/input!M53*C250&gt;=(input!M53-input!AE53)*C250/input!M53+G250+D250+H250+I250,"b",IF(B250+F250+K250+input!O53/input!M53*C250&gt;=(input!M53-input!O53)/input!M53*C250+G250+D250+H250+I250,"c",IF(B250+F250+J250+K250+(input!M53-input!AH53)/input!M53*C250&gt;=G250+D250+H250+I250,8,IF(B250+F250+J250+K250+C250+G250&gt;=D250+H250+I250,"d",9)))))</f>
        <v>8</v>
      </c>
      <c r="M250" s="643">
        <f t="shared" si="2"/>
        <v>1494.4306597802793</v>
      </c>
      <c r="N250" s="493">
        <f t="shared" si="3"/>
        <v>57962.385985062676</v>
      </c>
      <c r="O250" s="766"/>
      <c r="Q250" s="73">
        <f>input!M53/2*((B250+F250+J250-G250-D250-E250-H250-I250)/C250+1)</f>
        <v>-1268.7633306780201</v>
      </c>
      <c r="R250" s="73">
        <f>(B250+F250+J250+C250+G250-D250-E250-H250-I250)/(2/input!M53*C250+IF(input!AH53=0,0,2/input!AH53)*G250)</f>
        <v>-1268.7633306780201</v>
      </c>
      <c r="S250" s="73">
        <f>input!H53/2*(B250+F250+J250+C250+G250-E250-H250-I250+D250)/D250</f>
        <v>-6.6683902581433667</v>
      </c>
      <c r="T250" s="558">
        <f>input!P53*(B250+F250+J250+C250+G250+D250-H250-I250)/E250</f>
        <v>259.02688100113699</v>
      </c>
      <c r="U250" s="73">
        <f>input!P53-input!AB53</f>
        <v>250</v>
      </c>
      <c r="V250" s="558">
        <f>input!P53*(B250+F250+J250+C250+G250+D250+H250-I250)/E250</f>
        <v>285.5688989343534</v>
      </c>
      <c r="W250" s="73">
        <f>input!Y53</f>
        <v>50</v>
      </c>
      <c r="X250" s="558">
        <f>input!P53*(B250+F250+J250+C250+G250+D250+H250+I250)/E250</f>
        <v>322.99729141049056</v>
      </c>
      <c r="Y250" s="73">
        <f>(B250+C250+IF(input!O53=0,0,input!M53/input!O53)*K250+(IF(input!AE53=0,0,2*input!M53/input!AE53)-1)*F250-D250-G250-H250-I250)/(IF(input!AE53=0,0,2/input!AE53)*F250+IF(input!O53=0,0,1/input!O53)*K250+2/input!M53*C250)</f>
        <v>2165.8814801309854</v>
      </c>
      <c r="Z250" s="73">
        <f>(B250+C250+F250+IF(input!O53=0,0,input!M53/input!O53)*K250-D250-G250-H250-I250)/(IF(input!O53=0,0,1/input!O53)*K250+2/input!M53*C250)</f>
        <v>1494.430659780279</v>
      </c>
      <c r="AA250" s="73">
        <f>input!M53/2*(B250+F250+J250+K250-G250-D250-H250-I250+C250)/C250</f>
        <v>1494.4306597802793</v>
      </c>
      <c r="AB250" s="73">
        <f>(B250+F250+J250+K250+G250+C250-D250-H250-I250)/(IF(input!AH53=0,0,2/input!AH53)*G250+2/input!M53*C250)</f>
        <v>1494.430659780279</v>
      </c>
      <c r="AC250" s="143">
        <f>input!H53/2*(B250+F250+K250+G250+C250-H250-I250+D250+J250)/D250</f>
        <v>55.767465005014522</v>
      </c>
      <c r="AD250" s="165">
        <f>IF(OR(L250=1,L250=8,L250="a",L250="b",L250="c",L250="d"),input!M53-M250+input!K53/2,IF(OR(L250=2,L250=9),input!H53-M250+input!M53+input!K53/2,input!R53+input!P53-M250+input!M53+input!K53/2))</f>
        <v>1314.5693402197207</v>
      </c>
      <c r="AE250" s="143">
        <f>IF(OR(L250=1,L250=8,L250="a",L250="b",L250="c",L250="d"),ABS(input!M53/2-M250),IF(OR(L250=2,L250=9),input!H53-M250+input!M53/2,input!R53+input!P53-M250+input!M53/2))</f>
        <v>94.430659780279257</v>
      </c>
      <c r="AF250" s="143">
        <f>IF(OR(L250=1,L250=8,L250="a",L250="b",L250="c",L250="d"),M250+input!H53/2,IF(OR(L250=2,L250=9),ABS(input!H53/2-M250),input!R53+input!P53-M250-input!H53/2))</f>
        <v>1505.4306597802793</v>
      </c>
      <c r="AG250" s="143">
        <f>IF(OR(L250=1,L250=8,L250="a",L250="b",L250="c",L250="d"),input!R53+input!P53/2+M250,IF(OR(L250=2,L250=9),input!R53+input!P53/2-input!H53+M250,ABS(input!P53/2-M250)))</f>
        <v>1639.4306597802793</v>
      </c>
      <c r="AH250" s="143">
        <f>IF(OR(L250=1,L250=8,L250="a",L250="b",L250="c",L250="d"),input!M53-M250-input!AE53/2,IF(OR(L250=2,L250=9),input!H53-M250+input!M53-input!AE53/2,input!R53+input!P53-M250+input!M53-input!AE53/2))</f>
        <v>1225.5693402197207</v>
      </c>
      <c r="AI250" s="143">
        <f>IF(OR(L250=1,L250=8,L250="a",L250="b",L250="c",L250="d"),M250-input!AH53/2,IF(OR(L250=2,L250=9),input!H53-M250+input!AH53/2,input!R53+input!P53-M250+input!AH53/2))</f>
        <v>1494.4306597802793</v>
      </c>
      <c r="AJ250" s="143">
        <f>IF(OR(L250=1,L250=8,L250="a",L250="b",L250="c",L250="d"),M250+input!R53+input!AB53,IF(OR(L250=2,L250=9),input!R53+input!AB53-input!H53+M250,IF(L250=3,input!AB53-(input!P53-M250),ABS(input!P53-input!AB53-M250))))</f>
        <v>1534.4306597802793</v>
      </c>
      <c r="AK250" s="143">
        <f>IF(OR(L250=1,L250=8,L250="a",L250="b",L250="c",L250="d"),M250+input!R53+input!P53-input!Y53,IF(OR(L250=2,L250=9),input!R53+input!P53-input!Y53-input!H53+M250,ABS(input!Y53-M250)))</f>
        <v>1734.4306597802793</v>
      </c>
      <c r="AL250" s="143">
        <f>IF(OR(L250=1,L250=8,L250="a",L250="b",L250="c",L250="d"),input!M53-M250-input!O53/2,IF(OR(L250=2,L250=9),input!H53-M250+input!M53-input!O53/2,0))</f>
        <v>1305.5693402197207</v>
      </c>
      <c r="AM250" s="143">
        <f>IF(OR(L250=1,L250=8,L250="a",L250="b",L250="c",L250="d"),input!M53-M250-input!O53/2,IF(OR(L250=2,L250=9),input!H53-M250+input!M53-input!O53/2,input!R53+input!P53-M250+input!M53-input!O53/2))</f>
        <v>1305.5693402197207</v>
      </c>
      <c r="AN250" s="143">
        <f>C250/2/input!M53*(M250^2+(input!M53-M250)^2)+B250*AD250+D250*AF250+E250*AG250+F250*AH250+G250*AI250+H250*AJ250+I250*AK250+J250*AM250</f>
        <v>135755420.07996166</v>
      </c>
      <c r="AO250" s="143">
        <f>IF(input!AH53=0,0,1/2/input!AH53)*G250*(M250^2+(input!AH53-M250)^2)+D250*AF250+F250*AH250+C250/2/input!M53*(M250^2+(input!M53-M250)^2)+B250*AD250+E250*AG250+H250*AJ250+I250*AK250+J250*AM250</f>
        <v>135755420.07996166</v>
      </c>
      <c r="AP250" s="143">
        <f>+D250/2/input!H53*(M250^2+(input!H53-M250)^2)+B250*AD250+F250*AH250+G250*AI250+C250*AE250+E250*AG250+H250*AJ250+I250*AK250+J250*AM250</f>
        <v>944795825.2001251</v>
      </c>
      <c r="AQ250" s="143">
        <f>+(M250^2)/2/input!P53*E250+D250*AF250+F250*AH250+G250*AI250+C250*AE250+B250*AD250+H250*AJ250+I250*AK250+J250*AM250</f>
        <v>226040670.60122171</v>
      </c>
      <c r="AR250" s="143">
        <f>+(M250^2)/2/input!P53*E250+D250*AF250+F250*AH250+G250*AI250+C250*AE250+B250*AD250+I250*AK250+J250*AM250</f>
        <v>222708702.2330519</v>
      </c>
      <c r="AS250" s="143">
        <f>+(M250^2)/2/input!P53*E250+D250*AF250+F250*AH250+G250*AI250+C250*AE250+B250*AD250+H250*AJ250+I250*AK250+J250*AM250</f>
        <v>226040670.60122171</v>
      </c>
      <c r="AT250" s="143">
        <f>+(M250^2)/2/input!P53*E250+D250*AF250+F250*AH250+G250*AI250+C250*AE250+B250*AD250+H250*AJ250+J250*AM250</f>
        <v>220729652.51015392</v>
      </c>
      <c r="AU250" s="143">
        <f>+(M250^2)/2/input!P53*E250+D250*AF250+F250*AH250+G250*AI250+C250*AE250+B250*AD250+H250*AJ250+I250*AK250+J250*AM250</f>
        <v>226040670.60122171</v>
      </c>
      <c r="AV250" s="143">
        <f>IF(input!AE53=0,0,1/2/input!AE53)*F250*((input!M53-M250)^2+(input!AE53-input!M53+M250)^2)+C250/2/input!M53*(M250^2+(M250-input!M53)^2)+IF(input!O53=0,0,1/2/input!O53)*K250*(input!M53-M250)^2+B250*AD250+G250*AI250+D250*AF250+H250*AJ250+I250*AK250+J250*AM250</f>
        <v>73920308.002200261</v>
      </c>
      <c r="AW250" s="143">
        <f>+C250/2/input!M53*(M250^2+(M250-input!M53)^2)+IF(input!O53=0,0,1/2/input!O53)*K250*(input!M53-M250)^2+B250*AD250+F250*AH250+G250*AI250+D250*AF250+H250*AJ250+I250*AK250+J250*AM250</f>
        <v>57962385.985062674</v>
      </c>
      <c r="AX250" s="143">
        <f>C250/2/input!M53*(M250^2+(M250-input!M53)^2)+K250*AL250+B250*AD250+F250*AH250+G250*AI250+D250*AF250+H250*AJ250+I250*AK250+J250*AM250</f>
        <v>57962385.985062674</v>
      </c>
      <c r="AY250" s="143">
        <f>C250/2/input!M53*(M250^2+(M250-input!M53)^2)+IF(input!AH53=0,0,1/2/input!AH53)*G250*(M250^2+(input!AH53-M250)^2)+K250*AL250+B250*AD250+F250*AH250+D250*AF250+H250*AJ250+I250*AK250+J250*AM250</f>
        <v>57962385.985062674</v>
      </c>
      <c r="AZ250" s="143">
        <f>D250/2/input!H53*(M250^2+(input!H53-M250)^2)+B250*AD250+K250*AL250+F250*AH250+C250*AE250+G250*AI250+H250*AJ250+I250*AK250+J250*AM250</f>
        <v>867002791.10522616</v>
      </c>
      <c r="BA250" s="185"/>
    </row>
    <row r="251" spans="1:53" ht="15" customHeight="1">
      <c r="A251" s="579" t="str">
        <f>+input!B54</f>
        <v>126j</v>
      </c>
      <c r="B251" s="642">
        <f>+input!J54*input!K54*input!BJ54/1000</f>
        <v>13269.6</v>
      </c>
      <c r="C251" s="642">
        <f>+input!BQ54*input!N54*2*input!BK54/1000</f>
        <v>24041.652605426279</v>
      </c>
      <c r="D251" s="642">
        <f>+input!F54*input!G54*input!H54*input!BI54/1000</f>
        <v>8360</v>
      </c>
      <c r="E251" s="642">
        <f>0.85*Fck*input!P54*input!Q54/1000</f>
        <v>47451.25</v>
      </c>
      <c r="F251" s="642">
        <f>input!AD54*input!AE54*input!AF54*input!BN54/1000</f>
        <v>1945.6</v>
      </c>
      <c r="G251" s="642">
        <f>input!AG54*input!AH54*input!AI54*input!BM54/1000</f>
        <v>0</v>
      </c>
      <c r="H251" s="642">
        <f>input!CB54*Fys/1000</f>
        <v>2171.4688421612645</v>
      </c>
      <c r="I251" s="642">
        <f>input!BZ54*Fys/1000</f>
        <v>3062.1103594539709</v>
      </c>
      <c r="J251" s="642">
        <f>input!AC54*Fys/1000</f>
        <v>0</v>
      </c>
      <c r="K251" s="642">
        <f>input!BT54*0.85*Fckb/1000</f>
        <v>0</v>
      </c>
      <c r="L251" s="795">
        <f>IF(Stress!F883&lt;=0,IF(B251+F251+(input!M54-2*input!AH54)/input!M54*C251+J251&gt;=G251+D251+E251+H251+I251,1,IF(B251+F251+C251+G251+J251&gt;=D251+E251+H251+I251,"a",IF(B251+F251+C251+G251+D251+J251&gt;=E251+H251+I251,2,IF(B251+F251+C251+G251+D251+J251&gt;=(input!P54-input!AB54)/input!P54*E251+H251+I251,3,IF(B251+F251+C251+G251+D251+H251+J251&gt;=(input!P54-input!AB54)/input!P54*E251+I251,4,IF(B251+F251+C251+G251+D251+H251+J251&gt;=input!Y54/input!P54*E251+I251,5,IF(B251+F251+C251+G251+D251+H251+I251+J251&gt;=input!Y54/input!P54*E251,6,7))))))),IF(B251+F251+IF(input!O54=0,0,input!AE54/input!O54)*K251+input!AE54/input!M54*C251&gt;=(input!M54-input!AE54)*C251/input!M54+G251+D251+H251+I251,"b",IF(B251+F251+K251+input!O54/input!M54*C251&gt;=(input!M54-input!O54)/input!M54*C251+G251+D251+H251+I251,"c",IF(B251+F251+J251+K251+(input!M54-input!AH54)/input!M54*C251&gt;=G251+D251+H251+I251,8,IF(B251+F251+J251+K251+C251+G251&gt;=D251+H251+I251,"d",9)))))</f>
        <v>8</v>
      </c>
      <c r="M251" s="643">
        <f t="shared" si="2"/>
        <v>1494.4306597802793</v>
      </c>
      <c r="N251" s="493">
        <f t="shared" si="3"/>
        <v>57962.385985062676</v>
      </c>
      <c r="O251" s="766"/>
      <c r="Q251" s="73">
        <f>input!M54/2*((B251+F251+J251-G251-D251-E251-H251-I251)/C251+1)</f>
        <v>-1268.7633306780201</v>
      </c>
      <c r="R251" s="73">
        <f>(B251+F251+J251+C251+G251-D251-E251-H251-I251)/(2/input!M54*C251+IF(input!AH54=0,0,2/input!AH54)*G251)</f>
        <v>-1268.7633306780201</v>
      </c>
      <c r="S251" s="73">
        <f>input!H54/2*(B251+F251+J251+C251+G251-E251-H251-I251+D251)/D251</f>
        <v>-6.6683902581433667</v>
      </c>
      <c r="T251" s="558">
        <f>input!P54*(B251+F251+J251+C251+G251+D251-H251-I251)/E251</f>
        <v>259.02688100113699</v>
      </c>
      <c r="U251" s="73">
        <f>input!P54-input!AB54</f>
        <v>250</v>
      </c>
      <c r="V251" s="558">
        <f>input!P54*(B251+F251+J251+C251+G251+D251+H251-I251)/E251</f>
        <v>285.5688989343534</v>
      </c>
      <c r="W251" s="73">
        <f>input!Y54</f>
        <v>50</v>
      </c>
      <c r="X251" s="558">
        <f>input!P54*(B251+F251+J251+C251+G251+D251+H251+I251)/E251</f>
        <v>322.99729141049056</v>
      </c>
      <c r="Y251" s="73">
        <f>(B251+C251+IF(input!O54=0,0,input!M54/input!O54)*K251+(IF(input!AE54=0,0,2*input!M54/input!AE54)-1)*F251-D251-G251-H251-I251)/(IF(input!AE54=0,0,2/input!AE54)*F251+IF(input!O54=0,0,1/input!O54)*K251+2/input!M54*C251)</f>
        <v>2165.8814801309854</v>
      </c>
      <c r="Z251" s="73">
        <f>(B251+C251+F251+IF(input!O54=0,0,input!M54/input!O54)*K251-D251-G251-H251-I251)/(IF(input!O54=0,0,1/input!O54)*K251+2/input!M54*C251)</f>
        <v>1494.430659780279</v>
      </c>
      <c r="AA251" s="73">
        <f>input!M54/2*(B251+F251+J251+K251-G251-D251-H251-I251+C251)/C251</f>
        <v>1494.4306597802793</v>
      </c>
      <c r="AB251" s="73">
        <f>(B251+F251+J251+K251+G251+C251-D251-H251-I251)/(IF(input!AH54=0,0,2/input!AH54)*G251+2/input!M54*C251)</f>
        <v>1494.430659780279</v>
      </c>
      <c r="AC251" s="143">
        <f>input!H54/2*(B251+F251+K251+G251+C251-H251-I251+D251+J251)/D251</f>
        <v>55.767465005014522</v>
      </c>
      <c r="AD251" s="165">
        <f>IF(OR(L251=1,L251=8,L251="a",L251="b",L251="c",L251="d"),input!M54-M251+input!K54/2,IF(OR(L251=2,L251=9),input!H54-M251+input!M54+input!K54/2,input!R54+input!P54-M251+input!M54+input!K54/2))</f>
        <v>1314.5693402197207</v>
      </c>
      <c r="AE251" s="143">
        <f>IF(OR(L251=1,L251=8,L251="a",L251="b",L251="c",L251="d"),ABS(input!M54/2-M251),IF(OR(L251=2,L251=9),input!H54-M251+input!M54/2,input!R54+input!P54-M251+input!M54/2))</f>
        <v>94.430659780279257</v>
      </c>
      <c r="AF251" s="143">
        <f>IF(OR(L251=1,L251=8,L251="a",L251="b",L251="c",L251="d"),M251+input!H54/2,IF(OR(L251=2,L251=9),ABS(input!H54/2-M251),input!R54+input!P54-M251-input!H54/2))</f>
        <v>1505.4306597802793</v>
      </c>
      <c r="AG251" s="143">
        <f>IF(OR(L251=1,L251=8,L251="a",L251="b",L251="c",L251="d"),input!R54+input!P54/2+M251,IF(OR(L251=2,L251=9),input!R54+input!P54/2-input!H54+M251,ABS(input!P54/2-M251)))</f>
        <v>1639.4306597802793</v>
      </c>
      <c r="AH251" s="143">
        <f>IF(OR(L251=1,L251=8,L251="a",L251="b",L251="c",L251="d"),input!M54-M251-input!AE54/2,IF(OR(L251=2,L251=9),input!H54-M251+input!M54-input!AE54/2,input!R54+input!P54-M251+input!M54-input!AE54/2))</f>
        <v>1225.5693402197207</v>
      </c>
      <c r="AI251" s="143">
        <f>IF(OR(L251=1,L251=8,L251="a",L251="b",L251="c",L251="d"),M251-input!AH54/2,IF(OR(L251=2,L251=9),input!H54-M251+input!AH54/2,input!R54+input!P54-M251+input!AH54/2))</f>
        <v>1494.4306597802793</v>
      </c>
      <c r="AJ251" s="143">
        <f>IF(OR(L251=1,L251=8,L251="a",L251="b",L251="c",L251="d"),M251+input!R54+input!AB54,IF(OR(L251=2,L251=9),input!R54+input!AB54-input!H54+M251,IF(L251=3,input!AB54-(input!P54-M251),ABS(input!P54-input!AB54-M251))))</f>
        <v>1534.4306597802793</v>
      </c>
      <c r="AK251" s="143">
        <f>IF(OR(L251=1,L251=8,L251="a",L251="b",L251="c",L251="d"),M251+input!R54+input!P54-input!Y54,IF(OR(L251=2,L251=9),input!R54+input!P54-input!Y54-input!H54+M251,ABS(input!Y54-M251)))</f>
        <v>1734.4306597802793</v>
      </c>
      <c r="AL251" s="143">
        <f>IF(OR(L251=1,L251=8,L251="a",L251="b",L251="c",L251="d"),input!M54-M251-input!O54/2,IF(OR(L251=2,L251=9),input!H54-M251+input!M54-input!O54/2,0))</f>
        <v>1305.5693402197207</v>
      </c>
      <c r="AM251" s="143">
        <f>IF(OR(L251=1,L251=8,L251="a",L251="b",L251="c",L251="d"),input!M54-M251-input!O54/2,IF(OR(L251=2,L251=9),input!H54-M251+input!M54-input!O54/2,input!R54+input!P54-M251+input!M54-input!O54/2))</f>
        <v>1305.5693402197207</v>
      </c>
      <c r="AN251" s="143">
        <f>C251/2/input!M54*(M251^2+(input!M54-M251)^2)+B251*AD251+D251*AF251+E251*AG251+F251*AH251+G251*AI251+H251*AJ251+I251*AK251+J251*AM251</f>
        <v>135755420.07996166</v>
      </c>
      <c r="AO251" s="143">
        <f>IF(input!AH54=0,0,1/2/input!AH54)*G251*(M251^2+(input!AH54-M251)^2)+D251*AF251+F251*AH251+C251/2/input!M54*(M251^2+(input!M54-M251)^2)+B251*AD251+E251*AG251+H251*AJ251+I251*AK251+J251*AM251</f>
        <v>135755420.07996166</v>
      </c>
      <c r="AP251" s="143">
        <f>+D251/2/input!H54*(M251^2+(input!H54-M251)^2)+B251*AD251+F251*AH251+G251*AI251+C251*AE251+E251*AG251+H251*AJ251+I251*AK251+J251*AM251</f>
        <v>944795825.2001251</v>
      </c>
      <c r="AQ251" s="143">
        <f>+(M251^2)/2/input!P54*E251+D251*AF251+F251*AH251+G251*AI251+C251*AE251+B251*AD251+H251*AJ251+I251*AK251+J251*AM251</f>
        <v>226040670.60122171</v>
      </c>
      <c r="AR251" s="143">
        <f>+(M251^2)/2/input!P54*E251+D251*AF251+F251*AH251+G251*AI251+C251*AE251+B251*AD251+I251*AK251+J251*AM251</f>
        <v>222708702.2330519</v>
      </c>
      <c r="AS251" s="143">
        <f>+(M251^2)/2/input!P54*E251+D251*AF251+F251*AH251+G251*AI251+C251*AE251+B251*AD251+H251*AJ251+I251*AK251+J251*AM251</f>
        <v>226040670.60122171</v>
      </c>
      <c r="AT251" s="143">
        <f>+(M251^2)/2/input!P54*E251+D251*AF251+F251*AH251+G251*AI251+C251*AE251+B251*AD251+H251*AJ251+J251*AM251</f>
        <v>220729652.51015392</v>
      </c>
      <c r="AU251" s="143">
        <f>+(M251^2)/2/input!P54*E251+D251*AF251+F251*AH251+G251*AI251+C251*AE251+B251*AD251+H251*AJ251+I251*AK251+J251*AM251</f>
        <v>226040670.60122171</v>
      </c>
      <c r="AV251" s="143">
        <f>IF(input!AE54=0,0,1/2/input!AE54)*F251*((input!M54-M251)^2+(input!AE54-input!M54+M251)^2)+C251/2/input!M54*(M251^2+(M251-input!M54)^2)+IF(input!O54=0,0,1/2/input!O54)*K251*(input!M54-M251)^2+B251*AD251+G251*AI251+D251*AF251+H251*AJ251+I251*AK251+J251*AM251</f>
        <v>73920308.002200261</v>
      </c>
      <c r="AW251" s="143">
        <f>+C251/2/input!M54*(M251^2+(M251-input!M54)^2)+IF(input!O54=0,0,1/2/input!O54)*K251*(input!M54-M251)^2+B251*AD251+F251*AH251+G251*AI251+D251*AF251+H251*AJ251+I251*AK251+J251*AM251</f>
        <v>57962385.985062674</v>
      </c>
      <c r="AX251" s="143">
        <f>C251/2/input!M54*(M251^2+(M251-input!M54)^2)+K251*AL251+B251*AD251+F251*AH251+G251*AI251+D251*AF251+H251*AJ251+I251*AK251+J251*AM251</f>
        <v>57962385.985062674</v>
      </c>
      <c r="AY251" s="143">
        <f>C251/2/input!M54*(M251^2+(M251-input!M54)^2)+IF(input!AH54=0,0,1/2/input!AH54)*G251*(M251^2+(input!AH54-M251)^2)+K251*AL251+B251*AD251+F251*AH251+D251*AF251+H251*AJ251+I251*AK251+J251*AM251</f>
        <v>57962385.985062674</v>
      </c>
      <c r="AZ251" s="143">
        <f>D251/2/input!H54*(M251^2+(input!H54-M251)^2)+B251*AD251+K251*AL251+F251*AH251+C251*AE251+G251*AI251+H251*AJ251+I251*AK251+J251*AM251</f>
        <v>867002791.10522616</v>
      </c>
      <c r="BA251" s="185"/>
    </row>
    <row r="252" spans="1:53" ht="15" customHeight="1">
      <c r="A252" s="579" t="str">
        <f>+input!B55</f>
        <v>127i</v>
      </c>
      <c r="B252" s="642">
        <f>+input!J55*input!K55*input!BJ55/1000</f>
        <v>7372</v>
      </c>
      <c r="C252" s="642">
        <f>+input!BQ55*input!N55*2*input!BK55/1000</f>
        <v>24041.652605426279</v>
      </c>
      <c r="D252" s="642">
        <f>+input!F55*input!G55*input!H55*input!BI55/1000</f>
        <v>8360</v>
      </c>
      <c r="E252" s="642">
        <f>0.85*Fck*input!P55*input!Q55/1000</f>
        <v>47451.25</v>
      </c>
      <c r="F252" s="642">
        <f>input!AD55*input!AE55*input!AF55*input!BN55/1000</f>
        <v>1945.6</v>
      </c>
      <c r="G252" s="642">
        <f>input!AG55*input!AH55*input!AI55*input!BM55/1000</f>
        <v>0</v>
      </c>
      <c r="H252" s="642">
        <f>input!CB55*Fys/1000</f>
        <v>2171.4688421612645</v>
      </c>
      <c r="I252" s="642">
        <f>input!BZ55*Fys/1000</f>
        <v>3062.1103594539709</v>
      </c>
      <c r="J252" s="642">
        <f>input!AC55*Fys/1000</f>
        <v>0</v>
      </c>
      <c r="K252" s="642">
        <f>input!BT55*0.85*Fckb/1000</f>
        <v>0</v>
      </c>
      <c r="L252" s="795">
        <f>IF(Stress!F884&lt;=0,IF(B252+F252+(input!M55-2*input!AH55)/input!M55*C252+J252&gt;=G252+D252+E252+H252+I252,1,IF(B252+F252+C252+G252+J252&gt;=D252+E252+H252+I252,"a",IF(B252+F252+C252+G252+D252+J252&gt;=E252+H252+I252,2,IF(B252+F252+C252+G252+D252+J252&gt;=(input!P55-input!AB55)/input!P55*E252+H252+I252,3,IF(B252+F252+C252+G252+D252+H252+J252&gt;=(input!P55-input!AB55)/input!P55*E252+I252,4,IF(B252+F252+C252+G252+D252+H252+J252&gt;=input!Y55/input!P55*E252+I252,5,IF(B252+F252+C252+G252+D252+H252+I252+J252&gt;=input!Y55/input!P55*E252,6,7))))))),IF(B252+F252+IF(input!O55=0,0,input!AE55/input!O55)*K252+input!AE55/input!M55*C252&gt;=(input!M55-input!AE55)*C252/input!M55+G252+D252+H252+I252,"b",IF(B252+F252+K252+input!O55/input!M55*C252&gt;=(input!M55-input!O55)/input!M55*C252+G252+D252+H252+I252,"c",IF(B252+F252+J252+K252+(input!M55-input!AH55)/input!M55*C252&gt;=G252+D252+H252+I252,8,IF(B252+F252+J252+K252+C252+G252&gt;=D252+H252+I252,"d",9)))))</f>
        <v>8</v>
      </c>
      <c r="M252" s="643">
        <f t="shared" si="2"/>
        <v>1151.0000256425724</v>
      </c>
      <c r="N252" s="493">
        <f t="shared" si="3"/>
        <v>49167.385590237587</v>
      </c>
      <c r="O252" s="766"/>
      <c r="Q252" s="73">
        <f>input!M55/2*((B252+F252+J252-G252-D252-E252-H252-I252)/C252+1)</f>
        <v>-1612.1939648157268</v>
      </c>
      <c r="R252" s="73">
        <f>(B252+F252+J252+C252+G252-D252-E252-H252-I252)/(2/input!M55*C252+IF(input!AH55=0,0,2/input!AH55)*G252)</f>
        <v>-1612.193964815727</v>
      </c>
      <c r="S252" s="73">
        <f>input!H55/2*(B252+F252+J252+C252+G252-E252-H252-I252+D252)/D252</f>
        <v>-14.428390258143363</v>
      </c>
      <c r="T252" s="558">
        <f>input!P55*(B252+F252+J252+C252+G252+D252-H252-I252)/E252</f>
        <v>222.98348909892158</v>
      </c>
      <c r="U252" s="73">
        <f>input!P55-input!AB55</f>
        <v>250</v>
      </c>
      <c r="V252" s="558">
        <f>input!P55*(B252+F252+J252+C252+G252+D252+H252-I252)/E252</f>
        <v>249.52550703213799</v>
      </c>
      <c r="W252" s="73">
        <f>input!Y55</f>
        <v>50</v>
      </c>
      <c r="X252" s="558">
        <f>input!P55*(B252+F252+J252+C252+G252+D252+H252+I252)/E252</f>
        <v>286.95389950827507</v>
      </c>
      <c r="Y252" s="73">
        <f>(B252+C252+IF(input!O55=0,0,input!M55/input!O55)*K252+(IF(input!AE55=0,0,2*input!M55/input!AE55)-1)*F252-D252-G252-H252-I252)/(IF(input!AE55=0,0,2/input!AE55)*F252+IF(input!O55=0,0,1/input!O55)*K252+2/input!M55*C252)</f>
        <v>2023.7453228348975</v>
      </c>
      <c r="Z252" s="73">
        <f>(B252+C252+F252+IF(input!O55=0,0,input!M55/input!O55)*K252-D252-G252-H252-I252)/(IF(input!O55=0,0,1/input!O55)*K252+2/input!M55*C252)</f>
        <v>1151.0000256425722</v>
      </c>
      <c r="AA252" s="73">
        <f>input!M55/2*(B252+F252+J252+K252-G252-D252-H252-I252+C252)/C252</f>
        <v>1151.0000256425724</v>
      </c>
      <c r="AB252" s="73">
        <f>(B252+F252+J252+K252+G252+C252-D252-H252-I252)/(IF(input!AH55=0,0,2/input!AH55)*G252+2/input!M55*C252)</f>
        <v>1151.0000256425722</v>
      </c>
      <c r="AC252" s="143">
        <f>input!H55/2*(B252+F252+K252+G252+C252-H252-I252+D252+J252)/D252</f>
        <v>48.007465005014531</v>
      </c>
      <c r="AD252" s="165">
        <f>IF(OR(L252=1,L252=8,L252="a",L252="b",L252="c",L252="d"),input!M55-M252+input!K55/2,IF(OR(L252=2,L252=9),input!H55-M252+input!M55+input!K55/2,input!R55+input!P55-M252+input!M55+input!K55/2))</f>
        <v>1653.9999743574276</v>
      </c>
      <c r="AE252" s="143">
        <f>IF(OR(L252=1,L252=8,L252="a",L252="b",L252="c",L252="d"),ABS(input!M55/2-M252),IF(OR(L252=2,L252=9),input!H55-M252+input!M55/2,input!R55+input!P55-M252+input!M55/2))</f>
        <v>248.99997435742762</v>
      </c>
      <c r="AF252" s="143">
        <f>IF(OR(L252=1,L252=8,L252="a",L252="b",L252="c",L252="d"),M252+input!H55/2,IF(OR(L252=2,L252=9),ABS(input!H55/2-M252),input!R55+input!P55-M252-input!H55/2))</f>
        <v>1162.0000256425724</v>
      </c>
      <c r="AG252" s="143">
        <f>IF(OR(L252=1,L252=8,L252="a",L252="b",L252="c",L252="d"),input!R55+input!P55/2+M252,IF(OR(L252=2,L252=9),input!R55+input!P55/2-input!H55+M252,ABS(input!P55/2-M252)))</f>
        <v>1296.0000256425724</v>
      </c>
      <c r="AH252" s="143">
        <f>IF(OR(L252=1,L252=8,L252="a",L252="b",L252="c",L252="d"),input!M55-M252-input!AE55/2,IF(OR(L252=2,L252=9),input!H55-M252+input!M55-input!AE55/2,input!R55+input!P55-M252+input!M55-input!AE55/2))</f>
        <v>1568.9999743574276</v>
      </c>
      <c r="AI252" s="143">
        <f>IF(OR(L252=1,L252=8,L252="a",L252="b",L252="c",L252="d"),M252-input!AH55/2,IF(OR(L252=2,L252=9),input!H55-M252+input!AH55/2,input!R55+input!P55-M252+input!AH55/2))</f>
        <v>1151.0000256425724</v>
      </c>
      <c r="AJ252" s="143">
        <f>IF(OR(L252=1,L252=8,L252="a",L252="b",L252="c",L252="d"),M252+input!R55+input!AB55,IF(OR(L252=2,L252=9),input!R55+input!AB55-input!H55+M252,IF(L252=3,input!AB55-(input!P55-M252),ABS(input!P55-input!AB55-M252))))</f>
        <v>1191.0000256425724</v>
      </c>
      <c r="AK252" s="143">
        <f>IF(OR(L252=1,L252=8,L252="a",L252="b",L252="c",L252="d"),M252+input!R55+input!P55-input!Y55,IF(OR(L252=2,L252=9),input!R55+input!P55-input!Y55-input!H55+M252,ABS(input!Y55-M252)))</f>
        <v>1391.0000256425724</v>
      </c>
      <c r="AL252" s="143">
        <f>IF(OR(L252=1,L252=8,L252="a",L252="b",L252="c",L252="d"),input!M55-M252-input!O55/2,IF(OR(L252=2,L252=9),input!H55-M252+input!M55-input!O55/2,0))</f>
        <v>1648.9999743574276</v>
      </c>
      <c r="AM252" s="143">
        <f>IF(OR(L252=1,L252=8,L252="a",L252="b",L252="c",L252="d"),input!M55-M252-input!O55/2,IF(OR(L252=2,L252=9),input!H55-M252+input!M55-input!O55/2,input!R55+input!P55-M252+input!M55-input!O55/2))</f>
        <v>1648.9999743574276</v>
      </c>
      <c r="AN252" s="143">
        <f>C252/2/input!M55*(M252^2+(input!M55-M252)^2)+B252*AD252+D252*AF252+E252*AG252+F252*AH252+G252*AI252+H252*AJ252+I252*AK252+J252*AM252</f>
        <v>110664206.8070097</v>
      </c>
      <c r="AO252" s="143">
        <f>IF(input!AH55=0,0,1/2/input!AH55)*G252*(M252^2+(input!AH55-M252)^2)+D252*AF252+F252*AH252+C252/2/input!M55*(M252^2+(input!M55-M252)^2)+B252*AD252+E252*AG252+H252*AJ252+I252*AK252+J252*AM252</f>
        <v>110664206.8070097</v>
      </c>
      <c r="AP252" s="143">
        <f>+D252/2/input!H55*(M252^2+(input!H55-M252)^2)+B252*AD252+F252*AH252+G252*AI252+C252*AE252+E252*AG252+H252*AJ252+I252*AK252+J252*AM252</f>
        <v>583468743.51204824</v>
      </c>
      <c r="AQ252" s="143">
        <f>+(M252^2)/2/input!P55*E252+D252*AF252+F252*AH252+G252*AI252+C252*AE252+B252*AD252+H252*AJ252+I252*AK252+J252*AM252</f>
        <v>146177526.93474957</v>
      </c>
      <c r="AR252" s="143">
        <f>+(M252^2)/2/input!P55*E252+D252*AF252+F252*AH252+G252*AI252+C252*AE252+B252*AD252+I252*AK252+J252*AM252</f>
        <v>143591307.48805347</v>
      </c>
      <c r="AS252" s="143">
        <f>+(M252^2)/2/input!P55*E252+D252*AF252+F252*AH252+G252*AI252+C252*AE252+B252*AD252+H252*AJ252+I252*AK252+J252*AM252</f>
        <v>146177526.93474957</v>
      </c>
      <c r="AT252" s="143">
        <f>+(M252^2)/2/input!P55*E252+D252*AF252+F252*AH252+G252*AI252+C252*AE252+B252*AD252+H252*AJ252+J252*AM252</f>
        <v>141918131.34622872</v>
      </c>
      <c r="AU252" s="143">
        <f>+(M252^2)/2/input!P55*E252+D252*AF252+F252*AH252+G252*AI252+C252*AE252+B252*AD252+H252*AJ252+I252*AK252+J252*AM252</f>
        <v>146177526.93474957</v>
      </c>
      <c r="AV252" s="143">
        <f>IF(input!AE55=0,0,1/2/input!AE55)*F252*((input!M55-M252)^2+(input!AE55-input!M55+M252)^2)+C252/2/input!M55*(M252^2+(M252-input!M55)^2)+IF(input!O55=0,0,1/2/input!O55)*K252*(input!M55-M252)^2+B252*AD252+G252*AI252+D252*AF252+H252*AJ252+I252*AK252+J252*AM252</f>
        <v>76127576.021656454</v>
      </c>
      <c r="AW252" s="143">
        <f>+C252/2/input!M55*(M252^2+(M252-input!M55)^2)+IF(input!O55=0,0,1/2/input!O55)*K252*(input!M55-M252)^2+B252*AD252+F252*AH252+G252*AI252+D252*AF252+H252*AJ252+I252*AK252+J252*AM252</f>
        <v>49167385.590237588</v>
      </c>
      <c r="AX252" s="143">
        <f>C252/2/input!M55*(M252^2+(M252-input!M55)^2)+K252*AL252+B252*AD252+F252*AH252+G252*AI252+D252*AF252+H252*AJ252+I252*AK252+J252*AM252</f>
        <v>49167385.590237588</v>
      </c>
      <c r="AY252" s="143">
        <f>C252/2/input!M55*(M252^2+(M252-input!M55)^2)+IF(input!AH55=0,0,1/2/input!AH55)*G252*(M252^2+(input!AH55-M252)^2)+K252*AL252+B252*AD252+F252*AH252+D252*AF252+H252*AJ252+I252*AK252+J252*AM252</f>
        <v>49167385.590237588</v>
      </c>
      <c r="AZ252" s="143">
        <f>D252/2/input!H55*(M252^2+(input!H55-M252)^2)+B252*AD252+K252*AL252+F252*AH252+C252*AE252+G252*AI252+H252*AJ252+I252*AK252+J252*AM252</f>
        <v>521971922.29527605</v>
      </c>
      <c r="BA252" s="185"/>
    </row>
    <row r="253" spans="1:53" ht="15" customHeight="1">
      <c r="A253" s="579" t="str">
        <f>+input!B56</f>
        <v>127j</v>
      </c>
      <c r="B253" s="642">
        <f>+input!J56*input!K56*input!BJ56/1000</f>
        <v>7372</v>
      </c>
      <c r="C253" s="642">
        <f>+input!BQ56*input!N56*2*input!BK56/1000</f>
        <v>24041.652605426279</v>
      </c>
      <c r="D253" s="642">
        <f>+input!F56*input!G56*input!H56*input!BI56/1000</f>
        <v>8360</v>
      </c>
      <c r="E253" s="642">
        <f>0.85*Fck*input!P56*input!Q56/1000</f>
        <v>47451.25</v>
      </c>
      <c r="F253" s="642">
        <f>input!AD56*input!AE56*input!AF56*input!BN56/1000</f>
        <v>1945.6</v>
      </c>
      <c r="G253" s="642">
        <f>input!AG56*input!AH56*input!AI56*input!BM56/1000</f>
        <v>0</v>
      </c>
      <c r="H253" s="642">
        <f>input!CB56*Fys/1000</f>
        <v>2171.4688421612645</v>
      </c>
      <c r="I253" s="642">
        <f>input!BZ56*Fys/1000</f>
        <v>3062.1103594539709</v>
      </c>
      <c r="J253" s="642">
        <f>input!AC56*Fys/1000</f>
        <v>0</v>
      </c>
      <c r="K253" s="642">
        <f>input!BT56*0.85*Fckb/1000</f>
        <v>0</v>
      </c>
      <c r="L253" s="795">
        <f>IF(Stress!F885&lt;=0,IF(B253+F253+(input!M56-2*input!AH56)/input!M56*C253+J253&gt;=G253+D253+E253+H253+I253,1,IF(B253+F253+C253+G253+J253&gt;=D253+E253+H253+I253,"a",IF(B253+F253+C253+G253+D253+J253&gt;=E253+H253+I253,2,IF(B253+F253+C253+G253+D253+J253&gt;=(input!P56-input!AB56)/input!P56*E253+H253+I253,3,IF(B253+F253+C253+G253+D253+H253+J253&gt;=(input!P56-input!AB56)/input!P56*E253+I253,4,IF(B253+F253+C253+G253+D253+H253+J253&gt;=input!Y56/input!P56*E253+I253,5,IF(B253+F253+C253+G253+D253+H253+I253+J253&gt;=input!Y56/input!P56*E253,6,7))))))),IF(B253+F253+IF(input!O56=0,0,input!AE56/input!O56)*K253+input!AE56/input!M56*C253&gt;=(input!M56-input!AE56)*C253/input!M56+G253+D253+H253+I253,"b",IF(B253+F253+K253+input!O56/input!M56*C253&gt;=(input!M56-input!O56)/input!M56*C253+G253+D253+H253+I253,"c",IF(B253+F253+J253+K253+(input!M56-input!AH56)/input!M56*C253&gt;=G253+D253+H253+I253,8,IF(B253+F253+J253+K253+C253+G253&gt;=D253+H253+I253,"d",9)))))</f>
        <v>5</v>
      </c>
      <c r="M253" s="643">
        <f t="shared" si="2"/>
        <v>249.52550703213799</v>
      </c>
      <c r="N253" s="493">
        <f t="shared" si="3"/>
        <v>66931.300654145773</v>
      </c>
      <c r="O253" s="766"/>
      <c r="Q253" s="73">
        <f>input!M56/2*((B253+F253+J253-G253-D253-E253-H253-I253)/C253+1)</f>
        <v>-1612.1939648157268</v>
      </c>
      <c r="R253" s="73">
        <f>(B253+F253+J253+C253+G253-D253-E253-H253-I253)/(2/input!M56*C253+IF(input!AH56=0,0,2/input!AH56)*G253)</f>
        <v>-1612.193964815727</v>
      </c>
      <c r="S253" s="73">
        <f>input!H56/2*(B253+F253+J253+C253+G253-E253-H253-I253+D253)/D253</f>
        <v>-14.428390258143363</v>
      </c>
      <c r="T253" s="558">
        <f>input!P56*(B253+F253+J253+C253+G253+D253-H253-I253)/E253</f>
        <v>222.98348909892158</v>
      </c>
      <c r="U253" s="73">
        <f>input!P56-input!AB56</f>
        <v>250</v>
      </c>
      <c r="V253" s="558">
        <f>input!P56*(B253+F253+J253+C253+G253+D253+H253-I253)/E253</f>
        <v>249.52550703213799</v>
      </c>
      <c r="W253" s="73">
        <f>input!Y56</f>
        <v>50</v>
      </c>
      <c r="X253" s="558">
        <f>input!P56*(B253+F253+J253+C253+G253+D253+H253+I253)/E253</f>
        <v>286.95389950827507</v>
      </c>
      <c r="Y253" s="73">
        <f>(B253+C253+IF(input!O56=0,0,input!M56/input!O56)*K253+(IF(input!AE56=0,0,2*input!M56/input!AE56)-1)*F253-D253-G253-H253-I253)/(IF(input!AE56=0,0,2/input!AE56)*F253+IF(input!O56=0,0,1/input!O56)*K253+2/input!M56*C253)</f>
        <v>2023.7453228348975</v>
      </c>
      <c r="Z253" s="73">
        <f>(B253+C253+F253+IF(input!O56=0,0,input!M56/input!O56)*K253-D253-G253-H253-I253)/(IF(input!O56=0,0,1/input!O56)*K253+2/input!M56*C253)</f>
        <v>1151.0000256425722</v>
      </c>
      <c r="AA253" s="73">
        <f>input!M56/2*(B253+F253+J253+K253-G253-D253-H253-I253+C253)/C253</f>
        <v>1151.0000256425724</v>
      </c>
      <c r="AB253" s="73">
        <f>(B253+F253+J253+K253+G253+C253-D253-H253-I253)/(IF(input!AH56=0,0,2/input!AH56)*G253+2/input!M56*C253)</f>
        <v>1151.0000256425722</v>
      </c>
      <c r="AC253" s="143">
        <f>input!H56/2*(B253+F253+K253+G253+C253-H253-I253+D253+J253)/D253</f>
        <v>48.007465005014531</v>
      </c>
      <c r="AD253" s="165">
        <f>IF(OR(L253=1,L253=8,L253="a",L253="b",L253="c",L253="d"),input!M56-M253+input!K56/2,IF(OR(L253=2,L253=9),input!H56-M253+input!M56+input!K56/2,input!R56+input!P56-M253+input!M56+input!K56/2))</f>
        <v>2845.4744929678618</v>
      </c>
      <c r="AE253" s="143">
        <f>IF(OR(L253=1,L253=8,L253="a",L253="b",L253="c",L253="d"),ABS(input!M56/2-M253),IF(OR(L253=2,L253=9),input!H56-M253+input!M56/2,input!R56+input!P56-M253+input!M56/2))</f>
        <v>1440.474492967862</v>
      </c>
      <c r="AF253" s="143">
        <f>IF(OR(L253=1,L253=8,L253="a",L253="b",L253="c",L253="d"),M253+input!H56/2,IF(OR(L253=2,L253=9),ABS(input!H56/2-M253),input!R56+input!P56-M253-input!H56/2))</f>
        <v>29.474492967862005</v>
      </c>
      <c r="AG253" s="143">
        <f>IF(OR(L253=1,L253=8,L253="a",L253="b",L253="c",L253="d"),input!R56+input!P56/2+M253,IF(OR(L253=2,L253=9),input!R56+input!P56/2-input!H56+M253,ABS(input!P56/2-M253)))</f>
        <v>104.52550703213799</v>
      </c>
      <c r="AH253" s="143">
        <f>IF(OR(L253=1,L253=8,L253="a",L253="b",L253="c",L253="d"),input!M56-M253-input!AE56/2,IF(OR(L253=2,L253=9),input!H56-M253+input!M56-input!AE56/2,input!R56+input!P56-M253+input!M56-input!AE56/2))</f>
        <v>2760.4744929678618</v>
      </c>
      <c r="AI253" s="143">
        <f>IF(OR(L253=1,L253=8,L253="a",L253="b",L253="c",L253="d"),M253-input!AH56/2,IF(OR(L253=2,L253=9),input!H56-M253+input!AH56/2,input!R56+input!P56-M253+input!AH56/2))</f>
        <v>40.474492967862005</v>
      </c>
      <c r="AJ253" s="143">
        <f>IF(OR(L253=1,L253=8,L253="a",L253="b",L253="c",L253="d"),M253+input!R56+input!AB56,IF(OR(L253=2,L253=9),input!R56+input!AB56-input!H56+M253,IF(L253=3,input!AB56-(input!P56-M253),ABS(input!P56-input!AB56-M253))))</f>
        <v>0.47449296786200534</v>
      </c>
      <c r="AK253" s="143">
        <f>IF(OR(L253=1,L253=8,L253="a",L253="b",L253="c",L253="d"),M253+input!R56+input!P56-input!Y56,IF(OR(L253=2,L253=9),input!R56+input!P56-input!Y56-input!H56+M253,ABS(input!Y56-M253)))</f>
        <v>199.52550703213799</v>
      </c>
      <c r="AL253" s="143">
        <f>IF(OR(L253=1,L253=8,L253="a",L253="b",L253="c",L253="d"),input!M56-M253-input!O56/2,IF(OR(L253=2,L253=9),input!H56-M253+input!M56-input!O56/2,0))</f>
        <v>0</v>
      </c>
      <c r="AM253" s="143">
        <f>IF(OR(L253=1,L253=8,L253="a",L253="b",L253="c",L253="d"),input!M56-M253-input!O56/2,IF(OR(L253=2,L253=9),input!H56-M253+input!M56-input!O56/2,input!R56+input!P56-M253+input!M56-input!O56/2))</f>
        <v>2840.4744929678618</v>
      </c>
      <c r="AN253" s="143">
        <f>C253/2/input!M56*(M253^2+(input!M56-M253)^2)+B253*AD253+D253*AF253+E253*AG253+F253*AH253+G253*AI253+H253*AJ253+I253*AK253+J253*AM253</f>
        <v>60359806.316508017</v>
      </c>
      <c r="AO253" s="143">
        <f>IF(input!AH56=0,0,1/2/input!AH56)*G253*(M253^2+(input!AH56-M253)^2)+D253*AF253+F253*AH253+C253/2/input!M56*(M253^2+(input!M56-M253)^2)+B253*AD253+E253*AG253+H253*AJ253+I253*AK253+J253*AM253</f>
        <v>60359806.316508025</v>
      </c>
      <c r="AP253" s="143">
        <f>+D253/2/input!H56*(M253^2+(input!H56-M253)^2)+B253*AD253+F253*AH253+G253*AI253+C253*AE253+E253*AG253+H253*AJ253+I253*AK253+J253*AM253</f>
        <v>88216728.568777591</v>
      </c>
      <c r="AQ253" s="143">
        <f>+(M253^2)/2/input!P56*E253+D253*AF253+F253*AH253+G253*AI253+C253*AE253+B253*AD253+H253*AJ253+I253*AK253+J253*AM253</f>
        <v>66931300.654145777</v>
      </c>
      <c r="AR253" s="143">
        <f>+(M253^2)/2/input!P56*E253+D253*AF253+F253*AH253+G253*AI253+C253*AE253+B253*AD253+I253*AK253+J253*AM253</f>
        <v>66930270.307450242</v>
      </c>
      <c r="AS253" s="143">
        <f>+(M253^2)/2/input!P56*E253+D253*AF253+F253*AH253+G253*AI253+C253*AE253+B253*AD253+H253*AJ253+I253*AK253+J253*AM253</f>
        <v>66931300.654145777</v>
      </c>
      <c r="AT253" s="143">
        <f>+(M253^2)/2/input!P56*E253+D253*AF253+F253*AH253+G253*AI253+C253*AE253+B253*AD253+H253*AJ253+J253*AM253</f>
        <v>66320331.532087363</v>
      </c>
      <c r="AU253" s="143">
        <f>+(M253^2)/2/input!P56*E253+D253*AF253+F253*AH253+G253*AI253+C253*AE253+B253*AD253+H253*AJ253+I253*AK253+J253*AM253</f>
        <v>66931300.654145777</v>
      </c>
      <c r="AV253" s="143">
        <f>IF(input!AE56=0,0,1/2/input!AE56)*F253*((input!M56-M253)^2+(input!AE56-input!M56+M253)^2)+C253/2/input!M56*(M253^2+(M253-input!M56)^2)+IF(input!O56=0,0,1/2/input!O56)*K253*(input!M56-M253)^2+B253*AD253+G253*AI253+D253*AF253+H253*AJ253+I253*AK253+J253*AM253</f>
        <v>124322434.89755356</v>
      </c>
      <c r="AW253" s="143">
        <f>+C253/2/input!M56*(M253^2+(M253-input!M56)^2)+IF(input!O56=0,0,1/2/input!O56)*K253*(input!M56-M253)^2+B253*AD253+F253*AH253+G253*AI253+D253*AF253+H253*AJ253+I253*AK253+J253*AM253</f>
        <v>55399940.35094928</v>
      </c>
      <c r="AX253" s="143">
        <f>C253/2/input!M56*(M253^2+(M253-input!M56)^2)+K253*AL253+B253*AD253+F253*AH253+G253*AI253+D253*AF253+H253*AJ253+I253*AK253+J253*AM253</f>
        <v>55399940.35094928</v>
      </c>
      <c r="AY253" s="143">
        <f>C253/2/input!M56*(M253^2+(M253-input!M56)^2)+IF(input!AH56=0,0,1/2/input!AH56)*G253*(M253^2+(input!AH56-M253)^2)+K253*AL253+B253*AD253+F253*AH253+D253*AF253+H253*AJ253+I253*AK253+J253*AM253</f>
        <v>55399940.35094928</v>
      </c>
      <c r="AZ253" s="143">
        <f>D253/2/input!H56*(M253^2+(input!H56-M253)^2)+B253*AD253+K253*AL253+F253*AH253+C253*AE253+G253*AI253+H253*AJ253+I253*AK253+J253*AM253</f>
        <v>83256862.603218853</v>
      </c>
      <c r="BA253" s="185"/>
    </row>
    <row r="254" spans="1:53" ht="15" customHeight="1">
      <c r="A254" s="579" t="str">
        <f>+input!B57</f>
        <v>128i</v>
      </c>
      <c r="B254" s="642">
        <f>+input!J57*input!K57*input!BJ57/1000</f>
        <v>7372</v>
      </c>
      <c r="C254" s="642">
        <f>+input!BQ57*input!N57*2*input!BK57/1000</f>
        <v>24041.652605426279</v>
      </c>
      <c r="D254" s="642">
        <f>+input!F57*input!G57*input!H57*input!BI57/1000</f>
        <v>8360</v>
      </c>
      <c r="E254" s="642">
        <f>0.85*Fck*input!P57*input!Q57/1000</f>
        <v>47451.25</v>
      </c>
      <c r="F254" s="642">
        <f>input!AD57*input!AE57*input!AF57*input!BN57/1000</f>
        <v>1945.6</v>
      </c>
      <c r="G254" s="642">
        <f>input!AG57*input!AH57*input!AI57*input!BM57/1000</f>
        <v>0</v>
      </c>
      <c r="H254" s="642">
        <f>input!CB57*Fys/1000</f>
        <v>2171.4688421612645</v>
      </c>
      <c r="I254" s="642">
        <f>input!BZ57*Fys/1000</f>
        <v>3062.1103594539709</v>
      </c>
      <c r="J254" s="642">
        <f>input!AC57*Fys/1000</f>
        <v>0</v>
      </c>
      <c r="K254" s="642">
        <f>input!BT57*0.85*Fckb/1000</f>
        <v>0</v>
      </c>
      <c r="L254" s="795">
        <f>IF(Stress!F886&lt;=0,IF(B254+F254+(input!M57-2*input!AH57)/input!M57*C254+J254&gt;=G254+D254+E254+H254+I254,1,IF(B254+F254+C254+G254+J254&gt;=D254+E254+H254+I254,"a",IF(B254+F254+C254+G254+D254+J254&gt;=E254+H254+I254,2,IF(B254+F254+C254+G254+D254+J254&gt;=(input!P57-input!AB57)/input!P57*E254+H254+I254,3,IF(B254+F254+C254+G254+D254+H254+J254&gt;=(input!P57-input!AB57)/input!P57*E254+I254,4,IF(B254+F254+C254+G254+D254+H254+J254&gt;=input!Y57/input!P57*E254+I254,5,IF(B254+F254+C254+G254+D254+H254+I254+J254&gt;=input!Y57/input!P57*E254,6,7))))))),IF(B254+F254+IF(input!O57=0,0,input!AE57/input!O57)*K254+input!AE57/input!M57*C254&gt;=(input!M57-input!AE57)*C254/input!M57+G254+D254+H254+I254,"b",IF(B254+F254+K254+input!O57/input!M57*C254&gt;=(input!M57-input!O57)/input!M57*C254+G254+D254+H254+I254,"c",IF(B254+F254+J254+K254+(input!M57-input!AH57)/input!M57*C254&gt;=G254+D254+H254+I254,8,IF(B254+F254+J254+K254+C254+G254&gt;=D254+H254+I254,"d",9)))))</f>
        <v>5</v>
      </c>
      <c r="M254" s="643">
        <f t="shared" si="2"/>
        <v>249.52550703213799</v>
      </c>
      <c r="N254" s="493">
        <f t="shared" si="3"/>
        <v>66931.300654145773</v>
      </c>
      <c r="O254" s="766"/>
      <c r="Q254" s="73">
        <f>input!M57/2*((B254+F254+J254-G254-D254-E254-H254-I254)/C254+1)</f>
        <v>-1612.1939648157268</v>
      </c>
      <c r="R254" s="73">
        <f>(B254+F254+J254+C254+G254-D254-E254-H254-I254)/(2/input!M57*C254+IF(input!AH57=0,0,2/input!AH57)*G254)</f>
        <v>-1612.193964815727</v>
      </c>
      <c r="S254" s="73">
        <f>input!H57/2*(B254+F254+J254+C254+G254-E254-H254-I254+D254)/D254</f>
        <v>-14.428390258143363</v>
      </c>
      <c r="T254" s="558">
        <f>input!P57*(B254+F254+J254+C254+G254+D254-H254-I254)/E254</f>
        <v>222.98348909892158</v>
      </c>
      <c r="U254" s="73">
        <f>input!P57-input!AB57</f>
        <v>250</v>
      </c>
      <c r="V254" s="558">
        <f>input!P57*(B254+F254+J254+C254+G254+D254+H254-I254)/E254</f>
        <v>249.52550703213799</v>
      </c>
      <c r="W254" s="73">
        <f>input!Y57</f>
        <v>50</v>
      </c>
      <c r="X254" s="558">
        <f>input!P57*(B254+F254+J254+C254+G254+D254+H254+I254)/E254</f>
        <v>286.95389950827507</v>
      </c>
      <c r="Y254" s="73">
        <f>(B254+C254+IF(input!O57=0,0,input!M57/input!O57)*K254+(IF(input!AE57=0,0,2*input!M57/input!AE57)-1)*F254-D254-G254-H254-I254)/(IF(input!AE57=0,0,2/input!AE57)*F254+IF(input!O57=0,0,1/input!O57)*K254+2/input!M57*C254)</f>
        <v>2023.7453228348975</v>
      </c>
      <c r="Z254" s="73">
        <f>(B254+C254+F254+IF(input!O57=0,0,input!M57/input!O57)*K254-D254-G254-H254-I254)/(IF(input!O57=0,0,1/input!O57)*K254+2/input!M57*C254)</f>
        <v>1151.0000256425722</v>
      </c>
      <c r="AA254" s="73">
        <f>input!M57/2*(B254+F254+J254+K254-G254-D254-H254-I254+C254)/C254</f>
        <v>1151.0000256425724</v>
      </c>
      <c r="AB254" s="73">
        <f>(B254+F254+J254+K254+G254+C254-D254-H254-I254)/(IF(input!AH57=0,0,2/input!AH57)*G254+2/input!M57*C254)</f>
        <v>1151.0000256425722</v>
      </c>
      <c r="AC254" s="143">
        <f>input!H57/2*(B254+F254+K254+G254+C254-H254-I254+D254+J254)/D254</f>
        <v>48.007465005014531</v>
      </c>
      <c r="AD254" s="165">
        <f>IF(OR(L254=1,L254=8,L254="a",L254="b",L254="c",L254="d"),input!M57-M254+input!K57/2,IF(OR(L254=2,L254=9),input!H57-M254+input!M57+input!K57/2,input!R57+input!P57-M254+input!M57+input!K57/2))</f>
        <v>2845.4744929678618</v>
      </c>
      <c r="AE254" s="143">
        <f>IF(OR(L254=1,L254=8,L254="a",L254="b",L254="c",L254="d"),ABS(input!M57/2-M254),IF(OR(L254=2,L254=9),input!H57-M254+input!M57/2,input!R57+input!P57-M254+input!M57/2))</f>
        <v>1440.474492967862</v>
      </c>
      <c r="AF254" s="143">
        <f>IF(OR(L254=1,L254=8,L254="a",L254="b",L254="c",L254="d"),M254+input!H57/2,IF(OR(L254=2,L254=9),ABS(input!H57/2-M254),input!R57+input!P57-M254-input!H57/2))</f>
        <v>29.474492967862005</v>
      </c>
      <c r="AG254" s="143">
        <f>IF(OR(L254=1,L254=8,L254="a",L254="b",L254="c",L254="d"),input!R57+input!P57/2+M254,IF(OR(L254=2,L254=9),input!R57+input!P57/2-input!H57+M254,ABS(input!P57/2-M254)))</f>
        <v>104.52550703213799</v>
      </c>
      <c r="AH254" s="143">
        <f>IF(OR(L254=1,L254=8,L254="a",L254="b",L254="c",L254="d"),input!M57-M254-input!AE57/2,IF(OR(L254=2,L254=9),input!H57-M254+input!M57-input!AE57/2,input!R57+input!P57-M254+input!M57-input!AE57/2))</f>
        <v>2760.4744929678618</v>
      </c>
      <c r="AI254" s="143">
        <f>IF(OR(L254=1,L254=8,L254="a",L254="b",L254="c",L254="d"),M254-input!AH57/2,IF(OR(L254=2,L254=9),input!H57-M254+input!AH57/2,input!R57+input!P57-M254+input!AH57/2))</f>
        <v>40.474492967862005</v>
      </c>
      <c r="AJ254" s="143">
        <f>IF(OR(L254=1,L254=8,L254="a",L254="b",L254="c",L254="d"),M254+input!R57+input!AB57,IF(OR(L254=2,L254=9),input!R57+input!AB57-input!H57+M254,IF(L254=3,input!AB57-(input!P57-M254),ABS(input!P57-input!AB57-M254))))</f>
        <v>0.47449296786200534</v>
      </c>
      <c r="AK254" s="143">
        <f>IF(OR(L254=1,L254=8,L254="a",L254="b",L254="c",L254="d"),M254+input!R57+input!P57-input!Y57,IF(OR(L254=2,L254=9),input!R57+input!P57-input!Y57-input!H57+M254,ABS(input!Y57-M254)))</f>
        <v>199.52550703213799</v>
      </c>
      <c r="AL254" s="143">
        <f>IF(OR(L254=1,L254=8,L254="a",L254="b",L254="c",L254="d"),input!M57-M254-input!O57/2,IF(OR(L254=2,L254=9),input!H57-M254+input!M57-input!O57/2,0))</f>
        <v>0</v>
      </c>
      <c r="AM254" s="143">
        <f>IF(OR(L254=1,L254=8,L254="a",L254="b",L254="c",L254="d"),input!M57-M254-input!O57/2,IF(OR(L254=2,L254=9),input!H57-M254+input!M57-input!O57/2,input!R57+input!P57-M254+input!M57-input!O57/2))</f>
        <v>2840.4744929678618</v>
      </c>
      <c r="AN254" s="143">
        <f>C254/2/input!M57*(M254^2+(input!M57-M254)^2)+B254*AD254+D254*AF254+E254*AG254+F254*AH254+G254*AI254+H254*AJ254+I254*AK254+J254*AM254</f>
        <v>60359806.316508017</v>
      </c>
      <c r="AO254" s="143">
        <f>IF(input!AH57=0,0,1/2/input!AH57)*G254*(M254^2+(input!AH57-M254)^2)+D254*AF254+F254*AH254+C254/2/input!M57*(M254^2+(input!M57-M254)^2)+B254*AD254+E254*AG254+H254*AJ254+I254*AK254+J254*AM254</f>
        <v>60359806.316508025</v>
      </c>
      <c r="AP254" s="143">
        <f>+D254/2/input!H57*(M254^2+(input!H57-M254)^2)+B254*AD254+F254*AH254+G254*AI254+C254*AE254+E254*AG254+H254*AJ254+I254*AK254+J254*AM254</f>
        <v>88216728.568777591</v>
      </c>
      <c r="AQ254" s="143">
        <f>+(M254^2)/2/input!P57*E254+D254*AF254+F254*AH254+G254*AI254+C254*AE254+B254*AD254+H254*AJ254+I254*AK254+J254*AM254</f>
        <v>66931300.654145777</v>
      </c>
      <c r="AR254" s="143">
        <f>+(M254^2)/2/input!P57*E254+D254*AF254+F254*AH254+G254*AI254+C254*AE254+B254*AD254+I254*AK254+J254*AM254</f>
        <v>66930270.307450242</v>
      </c>
      <c r="AS254" s="143">
        <f>+(M254^2)/2/input!P57*E254+D254*AF254+F254*AH254+G254*AI254+C254*AE254+B254*AD254+H254*AJ254+I254*AK254+J254*AM254</f>
        <v>66931300.654145777</v>
      </c>
      <c r="AT254" s="143">
        <f>+(M254^2)/2/input!P57*E254+D254*AF254+F254*AH254+G254*AI254+C254*AE254+B254*AD254+H254*AJ254+J254*AM254</f>
        <v>66320331.532087363</v>
      </c>
      <c r="AU254" s="143">
        <f>+(M254^2)/2/input!P57*E254+D254*AF254+F254*AH254+G254*AI254+C254*AE254+B254*AD254+H254*AJ254+I254*AK254+J254*AM254</f>
        <v>66931300.654145777</v>
      </c>
      <c r="AV254" s="143">
        <f>IF(input!AE57=0,0,1/2/input!AE57)*F254*((input!M57-M254)^2+(input!AE57-input!M57+M254)^2)+C254/2/input!M57*(M254^2+(M254-input!M57)^2)+IF(input!O57=0,0,1/2/input!O57)*K254*(input!M57-M254)^2+B254*AD254+G254*AI254+D254*AF254+H254*AJ254+I254*AK254+J254*AM254</f>
        <v>124322434.89755356</v>
      </c>
      <c r="AW254" s="143">
        <f>+C254/2/input!M57*(M254^2+(M254-input!M57)^2)+IF(input!O57=0,0,1/2/input!O57)*K254*(input!M57-M254)^2+B254*AD254+F254*AH254+G254*AI254+D254*AF254+H254*AJ254+I254*AK254+J254*AM254</f>
        <v>55399940.35094928</v>
      </c>
      <c r="AX254" s="143">
        <f>C254/2/input!M57*(M254^2+(M254-input!M57)^2)+K254*AL254+B254*AD254+F254*AH254+G254*AI254+D254*AF254+H254*AJ254+I254*AK254+J254*AM254</f>
        <v>55399940.35094928</v>
      </c>
      <c r="AY254" s="143">
        <f>C254/2/input!M57*(M254^2+(M254-input!M57)^2)+IF(input!AH57=0,0,1/2/input!AH57)*G254*(M254^2+(input!AH57-M254)^2)+K254*AL254+B254*AD254+F254*AH254+D254*AF254+H254*AJ254+I254*AK254+J254*AM254</f>
        <v>55399940.35094928</v>
      </c>
      <c r="AZ254" s="143">
        <f>D254/2/input!H57*(M254^2+(input!H57-M254)^2)+B254*AD254+K254*AL254+F254*AH254+C254*AE254+G254*AI254+H254*AJ254+I254*AK254+J254*AM254</f>
        <v>83256862.603218853</v>
      </c>
      <c r="BA254" s="185"/>
    </row>
    <row r="255" spans="1:53" ht="15" customHeight="1">
      <c r="A255" s="579" t="str">
        <f>+input!B58</f>
        <v>128j</v>
      </c>
      <c r="B255" s="642">
        <f>+input!J58*input!K58*input!BJ58/1000</f>
        <v>7372</v>
      </c>
      <c r="C255" s="642">
        <f>+input!BQ58*input!N58*2*input!BK58/1000</f>
        <v>24041.652605426279</v>
      </c>
      <c r="D255" s="642">
        <f>+input!F58*input!G58*input!H58*input!BI58/1000</f>
        <v>8360</v>
      </c>
      <c r="E255" s="642">
        <f>0.85*Fck*input!P58*input!Q58/1000</f>
        <v>47451.25</v>
      </c>
      <c r="F255" s="642">
        <f>input!AD58*input!AE58*input!AF58*input!BN58/1000</f>
        <v>1945.6</v>
      </c>
      <c r="G255" s="642">
        <f>input!AG58*input!AH58*input!AI58*input!BM58/1000</f>
        <v>0</v>
      </c>
      <c r="H255" s="642">
        <f>input!CB58*Fys/1000</f>
        <v>2171.4688421612645</v>
      </c>
      <c r="I255" s="642">
        <f>input!BZ58*Fys/1000</f>
        <v>3062.1103594539709</v>
      </c>
      <c r="J255" s="642">
        <f>input!AC58*Fys/1000</f>
        <v>0</v>
      </c>
      <c r="K255" s="642">
        <f>input!BT58*0.85*Fckb/1000</f>
        <v>0</v>
      </c>
      <c r="L255" s="795">
        <f>IF(Stress!F887&lt;=0,IF(B255+F255+(input!M58-2*input!AH58)/input!M58*C255+J255&gt;=G255+D255+E255+H255+I255,1,IF(B255+F255+C255+G255+J255&gt;=D255+E255+H255+I255,"a",IF(B255+F255+C255+G255+D255+J255&gt;=E255+H255+I255,2,IF(B255+F255+C255+G255+D255+J255&gt;=(input!P58-input!AB58)/input!P58*E255+H255+I255,3,IF(B255+F255+C255+G255+D255+H255+J255&gt;=(input!P58-input!AB58)/input!P58*E255+I255,4,IF(B255+F255+C255+G255+D255+H255+J255&gt;=input!Y58/input!P58*E255+I255,5,IF(B255+F255+C255+G255+D255+H255+I255+J255&gt;=input!Y58/input!P58*E255,6,7))))))),IF(B255+F255+IF(input!O58=0,0,input!AE58/input!O58)*K255+input!AE58/input!M58*C255&gt;=(input!M58-input!AE58)*C255/input!M58+G255+D255+H255+I255,"b",IF(B255+F255+K255+input!O58/input!M58*C255&gt;=(input!M58-input!O58)/input!M58*C255+G255+D255+H255+I255,"c",IF(B255+F255+J255+K255+(input!M58-input!AH58)/input!M58*C255&gt;=G255+D255+H255+I255,8,IF(B255+F255+J255+K255+C255+G255&gt;=D255+H255+I255,"d",9)))))</f>
        <v>5</v>
      </c>
      <c r="M255" s="643">
        <f t="shared" si="2"/>
        <v>249.52550703213799</v>
      </c>
      <c r="N255" s="493">
        <f t="shared" si="3"/>
        <v>66931.300654145773</v>
      </c>
      <c r="O255" s="766"/>
      <c r="Q255" s="73">
        <f>input!M58/2*((B255+F255+J255-G255-D255-E255-H255-I255)/C255+1)</f>
        <v>-1612.1939648157268</v>
      </c>
      <c r="R255" s="73">
        <f>(B255+F255+J255+C255+G255-D255-E255-H255-I255)/(2/input!M58*C255+IF(input!AH58=0,0,2/input!AH58)*G255)</f>
        <v>-1612.193964815727</v>
      </c>
      <c r="S255" s="73">
        <f>input!H58/2*(B255+F255+J255+C255+G255-E255-H255-I255+D255)/D255</f>
        <v>-14.428390258143363</v>
      </c>
      <c r="T255" s="558">
        <f>input!P58*(B255+F255+J255+C255+G255+D255-H255-I255)/E255</f>
        <v>222.98348909892158</v>
      </c>
      <c r="U255" s="73">
        <f>input!P58-input!AB58</f>
        <v>250</v>
      </c>
      <c r="V255" s="558">
        <f>input!P58*(B255+F255+J255+C255+G255+D255+H255-I255)/E255</f>
        <v>249.52550703213799</v>
      </c>
      <c r="W255" s="73">
        <f>input!Y58</f>
        <v>50</v>
      </c>
      <c r="X255" s="558">
        <f>input!P58*(B255+F255+J255+C255+G255+D255+H255+I255)/E255</f>
        <v>286.95389950827507</v>
      </c>
      <c r="Y255" s="73">
        <f>(B255+C255+IF(input!O58=0,0,input!M58/input!O58)*K255+(IF(input!AE58=0,0,2*input!M58/input!AE58)-1)*F255-D255-G255-H255-I255)/(IF(input!AE58=0,0,2/input!AE58)*F255+IF(input!O58=0,0,1/input!O58)*K255+2/input!M58*C255)</f>
        <v>2023.7453228348975</v>
      </c>
      <c r="Z255" s="73">
        <f>(B255+C255+F255+IF(input!O58=0,0,input!M58/input!O58)*K255-D255-G255-H255-I255)/(IF(input!O58=0,0,1/input!O58)*K255+2/input!M58*C255)</f>
        <v>1151.0000256425722</v>
      </c>
      <c r="AA255" s="73">
        <f>input!M58/2*(B255+F255+J255+K255-G255-D255-H255-I255+C255)/C255</f>
        <v>1151.0000256425724</v>
      </c>
      <c r="AB255" s="73">
        <f>(B255+F255+J255+K255+G255+C255-D255-H255-I255)/(IF(input!AH58=0,0,2/input!AH58)*G255+2/input!M58*C255)</f>
        <v>1151.0000256425722</v>
      </c>
      <c r="AC255" s="143">
        <f>input!H58/2*(B255+F255+K255+G255+C255-H255-I255+D255+J255)/D255</f>
        <v>48.007465005014531</v>
      </c>
      <c r="AD255" s="165">
        <f>IF(OR(L255=1,L255=8,L255="a",L255="b",L255="c",L255="d"),input!M58-M255+input!K58/2,IF(OR(L255=2,L255=9),input!H58-M255+input!M58+input!K58/2,input!R58+input!P58-M255+input!M58+input!K58/2))</f>
        <v>2845.4744929678618</v>
      </c>
      <c r="AE255" s="143">
        <f>IF(OR(L255=1,L255=8,L255="a",L255="b",L255="c",L255="d"),ABS(input!M58/2-M255),IF(OR(L255=2,L255=9),input!H58-M255+input!M58/2,input!R58+input!P58-M255+input!M58/2))</f>
        <v>1440.474492967862</v>
      </c>
      <c r="AF255" s="143">
        <f>IF(OR(L255=1,L255=8,L255="a",L255="b",L255="c",L255="d"),M255+input!H58/2,IF(OR(L255=2,L255=9),ABS(input!H58/2-M255),input!R58+input!P58-M255-input!H58/2))</f>
        <v>29.474492967862005</v>
      </c>
      <c r="AG255" s="143">
        <f>IF(OR(L255=1,L255=8,L255="a",L255="b",L255="c",L255="d"),input!R58+input!P58/2+M255,IF(OR(L255=2,L255=9),input!R58+input!P58/2-input!H58+M255,ABS(input!P58/2-M255)))</f>
        <v>104.52550703213799</v>
      </c>
      <c r="AH255" s="143">
        <f>IF(OR(L255=1,L255=8,L255="a",L255="b",L255="c",L255="d"),input!M58-M255-input!AE58/2,IF(OR(L255=2,L255=9),input!H58-M255+input!M58-input!AE58/2,input!R58+input!P58-M255+input!M58-input!AE58/2))</f>
        <v>2760.4744929678618</v>
      </c>
      <c r="AI255" s="143">
        <f>IF(OR(L255=1,L255=8,L255="a",L255="b",L255="c",L255="d"),M255-input!AH58/2,IF(OR(L255=2,L255=9),input!H58-M255+input!AH58/2,input!R58+input!P58-M255+input!AH58/2))</f>
        <v>40.474492967862005</v>
      </c>
      <c r="AJ255" s="143">
        <f>IF(OR(L255=1,L255=8,L255="a",L255="b",L255="c",L255="d"),M255+input!R58+input!AB58,IF(OR(L255=2,L255=9),input!R58+input!AB58-input!H58+M255,IF(L255=3,input!AB58-(input!P58-M255),ABS(input!P58-input!AB58-M255))))</f>
        <v>0.47449296786200534</v>
      </c>
      <c r="AK255" s="143">
        <f>IF(OR(L255=1,L255=8,L255="a",L255="b",L255="c",L255="d"),M255+input!R58+input!P58-input!Y58,IF(OR(L255=2,L255=9),input!R58+input!P58-input!Y58-input!H58+M255,ABS(input!Y58-M255)))</f>
        <v>199.52550703213799</v>
      </c>
      <c r="AL255" s="143">
        <f>IF(OR(L255=1,L255=8,L255="a",L255="b",L255="c",L255="d"),input!M58-M255-input!O58/2,IF(OR(L255=2,L255=9),input!H58-M255+input!M58-input!O58/2,0))</f>
        <v>0</v>
      </c>
      <c r="AM255" s="143">
        <f>IF(OR(L255=1,L255=8,L255="a",L255="b",L255="c",L255="d"),input!M58-M255-input!O58/2,IF(OR(L255=2,L255=9),input!H58-M255+input!M58-input!O58/2,input!R58+input!P58-M255+input!M58-input!O58/2))</f>
        <v>2840.4744929678618</v>
      </c>
      <c r="AN255" s="143">
        <f>C255/2/input!M58*(M255^2+(input!M58-M255)^2)+B255*AD255+D255*AF255+E255*AG255+F255*AH255+G255*AI255+H255*AJ255+I255*AK255+J255*AM255</f>
        <v>60359806.316508017</v>
      </c>
      <c r="AO255" s="143">
        <f>IF(input!AH58=0,0,1/2/input!AH58)*G255*(M255^2+(input!AH58-M255)^2)+D255*AF255+F255*AH255+C255/2/input!M58*(M255^2+(input!M58-M255)^2)+B255*AD255+E255*AG255+H255*AJ255+I255*AK255+J255*AM255</f>
        <v>60359806.316508025</v>
      </c>
      <c r="AP255" s="143">
        <f>+D255/2/input!H58*(M255^2+(input!H58-M255)^2)+B255*AD255+F255*AH255+G255*AI255+C255*AE255+E255*AG255+H255*AJ255+I255*AK255+J255*AM255</f>
        <v>88216728.568777591</v>
      </c>
      <c r="AQ255" s="143">
        <f>+(M255^2)/2/input!P58*E255+D255*AF255+F255*AH255+G255*AI255+C255*AE255+B255*AD255+H255*AJ255+I255*AK255+J255*AM255</f>
        <v>66931300.654145777</v>
      </c>
      <c r="AR255" s="143">
        <f>+(M255^2)/2/input!P58*E255+D255*AF255+F255*AH255+G255*AI255+C255*AE255+B255*AD255+I255*AK255+J255*AM255</f>
        <v>66930270.307450242</v>
      </c>
      <c r="AS255" s="143">
        <f>+(M255^2)/2/input!P58*E255+D255*AF255+F255*AH255+G255*AI255+C255*AE255+B255*AD255+H255*AJ255+I255*AK255+J255*AM255</f>
        <v>66931300.654145777</v>
      </c>
      <c r="AT255" s="143">
        <f>+(M255^2)/2/input!P58*E255+D255*AF255+F255*AH255+G255*AI255+C255*AE255+B255*AD255+H255*AJ255+J255*AM255</f>
        <v>66320331.532087363</v>
      </c>
      <c r="AU255" s="143">
        <f>+(M255^2)/2/input!P58*E255+D255*AF255+F255*AH255+G255*AI255+C255*AE255+B255*AD255+H255*AJ255+I255*AK255+J255*AM255</f>
        <v>66931300.654145777</v>
      </c>
      <c r="AV255" s="143">
        <f>IF(input!AE58=0,0,1/2/input!AE58)*F255*((input!M58-M255)^2+(input!AE58-input!M58+M255)^2)+C255/2/input!M58*(M255^2+(M255-input!M58)^2)+IF(input!O58=0,0,1/2/input!O58)*K255*(input!M58-M255)^2+B255*AD255+G255*AI255+D255*AF255+H255*AJ255+I255*AK255+J255*AM255</f>
        <v>124322434.89755356</v>
      </c>
      <c r="AW255" s="143">
        <f>+C255/2/input!M58*(M255^2+(M255-input!M58)^2)+IF(input!O58=0,0,1/2/input!O58)*K255*(input!M58-M255)^2+B255*AD255+F255*AH255+G255*AI255+D255*AF255+H255*AJ255+I255*AK255+J255*AM255</f>
        <v>55399940.35094928</v>
      </c>
      <c r="AX255" s="143">
        <f>C255/2/input!M58*(M255^2+(M255-input!M58)^2)+K255*AL255+B255*AD255+F255*AH255+G255*AI255+D255*AF255+H255*AJ255+I255*AK255+J255*AM255</f>
        <v>55399940.35094928</v>
      </c>
      <c r="AY255" s="143">
        <f>C255/2/input!M58*(M255^2+(M255-input!M58)^2)+IF(input!AH58=0,0,1/2/input!AH58)*G255*(M255^2+(input!AH58-M255)^2)+K255*AL255+B255*AD255+F255*AH255+D255*AF255+H255*AJ255+I255*AK255+J255*AM255</f>
        <v>55399940.35094928</v>
      </c>
      <c r="AZ255" s="143">
        <f>D255/2/input!H58*(M255^2+(input!H58-M255)^2)+B255*AD255+K255*AL255+F255*AH255+C255*AE255+G255*AI255+H255*AJ255+I255*AK255+J255*AM255</f>
        <v>83256862.603218853</v>
      </c>
      <c r="BA255" s="185"/>
    </row>
    <row r="256" spans="1:53" ht="15" customHeight="1">
      <c r="A256" s="579" t="str">
        <f>+input!B59</f>
        <v>129i</v>
      </c>
      <c r="B256" s="642">
        <f>+input!J59*input!K59*input!BJ59/1000</f>
        <v>7372</v>
      </c>
      <c r="C256" s="642">
        <f>+input!BQ59*input!N59*2*input!BK59/1000</f>
        <v>24041.652605426279</v>
      </c>
      <c r="D256" s="642">
        <f>+input!F59*input!G59*input!H59*input!BI59/1000</f>
        <v>8360</v>
      </c>
      <c r="E256" s="642">
        <f>0.85*Fck*input!P59*input!Q59/1000</f>
        <v>47451.25</v>
      </c>
      <c r="F256" s="642">
        <f>input!AD59*input!AE59*input!AF59*input!BN59/1000</f>
        <v>1945.6</v>
      </c>
      <c r="G256" s="642">
        <f>input!AG59*input!AH59*input!AI59*input!BM59/1000</f>
        <v>0</v>
      </c>
      <c r="H256" s="642">
        <f>input!CB59*Fys/1000</f>
        <v>2171.4688421612645</v>
      </c>
      <c r="I256" s="642">
        <f>input!BZ59*Fys/1000</f>
        <v>3062.1103594539709</v>
      </c>
      <c r="J256" s="642">
        <f>input!AC59*Fys/1000</f>
        <v>0</v>
      </c>
      <c r="K256" s="642">
        <f>input!BT59*0.85*Fckb/1000</f>
        <v>0</v>
      </c>
      <c r="L256" s="795">
        <f>IF(Stress!F888&lt;=0,IF(B256+F256+(input!M59-2*input!AH59)/input!M59*C256+J256&gt;=G256+D256+E256+H256+I256,1,IF(B256+F256+C256+G256+J256&gt;=D256+E256+H256+I256,"a",IF(B256+F256+C256+G256+D256+J256&gt;=E256+H256+I256,2,IF(B256+F256+C256+G256+D256+J256&gt;=(input!P59-input!AB59)/input!P59*E256+H256+I256,3,IF(B256+F256+C256+G256+D256+H256+J256&gt;=(input!P59-input!AB59)/input!P59*E256+I256,4,IF(B256+F256+C256+G256+D256+H256+J256&gt;=input!Y59/input!P59*E256+I256,5,IF(B256+F256+C256+G256+D256+H256+I256+J256&gt;=input!Y59/input!P59*E256,6,7))))))),IF(B256+F256+IF(input!O59=0,0,input!AE59/input!O59)*K256+input!AE59/input!M59*C256&gt;=(input!M59-input!AE59)*C256/input!M59+G256+D256+H256+I256,"b",IF(B256+F256+K256+input!O59/input!M59*C256&gt;=(input!M59-input!O59)/input!M59*C256+G256+D256+H256+I256,"c",IF(B256+F256+J256+K256+(input!M59-input!AH59)/input!M59*C256&gt;=G256+D256+H256+I256,8,IF(B256+F256+J256+K256+C256+G256&gt;=D256+H256+I256,"d",9)))))</f>
        <v>5</v>
      </c>
      <c r="M256" s="643">
        <f t="shared" si="2"/>
        <v>249.52550703213799</v>
      </c>
      <c r="N256" s="493">
        <f t="shared" si="3"/>
        <v>66931.300654145773</v>
      </c>
      <c r="O256" s="766"/>
      <c r="Q256" s="73">
        <f>input!M59/2*((B256+F256+J256-G256-D256-E256-H256-I256)/C256+1)</f>
        <v>-1612.1939648157268</v>
      </c>
      <c r="R256" s="73">
        <f>(B256+F256+J256+C256+G256-D256-E256-H256-I256)/(2/input!M59*C256+IF(input!AH59=0,0,2/input!AH59)*G256)</f>
        <v>-1612.193964815727</v>
      </c>
      <c r="S256" s="73">
        <f>input!H59/2*(B256+F256+J256+C256+G256-E256-H256-I256+D256)/D256</f>
        <v>-14.428390258143363</v>
      </c>
      <c r="T256" s="558">
        <f>input!P59*(B256+F256+J256+C256+G256+D256-H256-I256)/E256</f>
        <v>222.98348909892158</v>
      </c>
      <c r="U256" s="73">
        <f>input!P59-input!AB59</f>
        <v>250</v>
      </c>
      <c r="V256" s="558">
        <f>input!P59*(B256+F256+J256+C256+G256+D256+H256-I256)/E256</f>
        <v>249.52550703213799</v>
      </c>
      <c r="W256" s="73">
        <f>input!Y59</f>
        <v>50</v>
      </c>
      <c r="X256" s="558">
        <f>input!P59*(B256+F256+J256+C256+G256+D256+H256+I256)/E256</f>
        <v>286.95389950827507</v>
      </c>
      <c r="Y256" s="73">
        <f>(B256+C256+IF(input!O59=0,0,input!M59/input!O59)*K256+(IF(input!AE59=0,0,2*input!M59/input!AE59)-1)*F256-D256-G256-H256-I256)/(IF(input!AE59=0,0,2/input!AE59)*F256+IF(input!O59=0,0,1/input!O59)*K256+2/input!M59*C256)</f>
        <v>2023.7453228348975</v>
      </c>
      <c r="Z256" s="73">
        <f>(B256+C256+F256+IF(input!O59=0,0,input!M59/input!O59)*K256-D256-G256-H256-I256)/(IF(input!O59=0,0,1/input!O59)*K256+2/input!M59*C256)</f>
        <v>1151.0000256425722</v>
      </c>
      <c r="AA256" s="73">
        <f>input!M59/2*(B256+F256+J256+K256-G256-D256-H256-I256+C256)/C256</f>
        <v>1151.0000256425724</v>
      </c>
      <c r="AB256" s="73">
        <f>(B256+F256+J256+K256+G256+C256-D256-H256-I256)/(IF(input!AH59=0,0,2/input!AH59)*G256+2/input!M59*C256)</f>
        <v>1151.0000256425722</v>
      </c>
      <c r="AC256" s="143">
        <f>input!H59/2*(B256+F256+K256+G256+C256-H256-I256+D256+J256)/D256</f>
        <v>48.007465005014531</v>
      </c>
      <c r="AD256" s="165">
        <f>IF(OR(L256=1,L256=8,L256="a",L256="b",L256="c",L256="d"),input!M59-M256+input!K59/2,IF(OR(L256=2,L256=9),input!H59-M256+input!M59+input!K59/2,input!R59+input!P59-M256+input!M59+input!K59/2))</f>
        <v>2845.4744929678618</v>
      </c>
      <c r="AE256" s="143">
        <f>IF(OR(L256=1,L256=8,L256="a",L256="b",L256="c",L256="d"),ABS(input!M59/2-M256),IF(OR(L256=2,L256=9),input!H59-M256+input!M59/2,input!R59+input!P59-M256+input!M59/2))</f>
        <v>1440.474492967862</v>
      </c>
      <c r="AF256" s="143">
        <f>IF(OR(L256=1,L256=8,L256="a",L256="b",L256="c",L256="d"),M256+input!H59/2,IF(OR(L256=2,L256=9),ABS(input!H59/2-M256),input!R59+input!P59-M256-input!H59/2))</f>
        <v>29.474492967862005</v>
      </c>
      <c r="AG256" s="143">
        <f>IF(OR(L256=1,L256=8,L256="a",L256="b",L256="c",L256="d"),input!R59+input!P59/2+M256,IF(OR(L256=2,L256=9),input!R59+input!P59/2-input!H59+M256,ABS(input!P59/2-M256)))</f>
        <v>104.52550703213799</v>
      </c>
      <c r="AH256" s="143">
        <f>IF(OR(L256=1,L256=8,L256="a",L256="b",L256="c",L256="d"),input!M59-M256-input!AE59/2,IF(OR(L256=2,L256=9),input!H59-M256+input!M59-input!AE59/2,input!R59+input!P59-M256+input!M59-input!AE59/2))</f>
        <v>2760.4744929678618</v>
      </c>
      <c r="AI256" s="143">
        <f>IF(OR(L256=1,L256=8,L256="a",L256="b",L256="c",L256="d"),M256-input!AH59/2,IF(OR(L256=2,L256=9),input!H59-M256+input!AH59/2,input!R59+input!P59-M256+input!AH59/2))</f>
        <v>40.474492967862005</v>
      </c>
      <c r="AJ256" s="143">
        <f>IF(OR(L256=1,L256=8,L256="a",L256="b",L256="c",L256="d"),M256+input!R59+input!AB59,IF(OR(L256=2,L256=9),input!R59+input!AB59-input!H59+M256,IF(L256=3,input!AB59-(input!P59-M256),ABS(input!P59-input!AB59-M256))))</f>
        <v>0.47449296786200534</v>
      </c>
      <c r="AK256" s="143">
        <f>IF(OR(L256=1,L256=8,L256="a",L256="b",L256="c",L256="d"),M256+input!R59+input!P59-input!Y59,IF(OR(L256=2,L256=9),input!R59+input!P59-input!Y59-input!H59+M256,ABS(input!Y59-M256)))</f>
        <v>199.52550703213799</v>
      </c>
      <c r="AL256" s="143">
        <f>IF(OR(L256=1,L256=8,L256="a",L256="b",L256="c",L256="d"),input!M59-M256-input!O59/2,IF(OR(L256=2,L256=9),input!H59-M256+input!M59-input!O59/2,0))</f>
        <v>0</v>
      </c>
      <c r="AM256" s="143">
        <f>IF(OR(L256=1,L256=8,L256="a",L256="b",L256="c",L256="d"),input!M59-M256-input!O59/2,IF(OR(L256=2,L256=9),input!H59-M256+input!M59-input!O59/2,input!R59+input!P59-M256+input!M59-input!O59/2))</f>
        <v>2840.4744929678618</v>
      </c>
      <c r="AN256" s="143">
        <f>C256/2/input!M59*(M256^2+(input!M59-M256)^2)+B256*AD256+D256*AF256+E256*AG256+F256*AH256+G256*AI256+H256*AJ256+I256*AK256+J256*AM256</f>
        <v>60359806.316508017</v>
      </c>
      <c r="AO256" s="143">
        <f>IF(input!AH59=0,0,1/2/input!AH59)*G256*(M256^2+(input!AH59-M256)^2)+D256*AF256+F256*AH256+C256/2/input!M59*(M256^2+(input!M59-M256)^2)+B256*AD256+E256*AG256+H256*AJ256+I256*AK256+J256*AM256</f>
        <v>60359806.316508025</v>
      </c>
      <c r="AP256" s="143">
        <f>+D256/2/input!H59*(M256^2+(input!H59-M256)^2)+B256*AD256+F256*AH256+G256*AI256+C256*AE256+E256*AG256+H256*AJ256+I256*AK256+J256*AM256</f>
        <v>88216728.568777591</v>
      </c>
      <c r="AQ256" s="143">
        <f>+(M256^2)/2/input!P59*E256+D256*AF256+F256*AH256+G256*AI256+C256*AE256+B256*AD256+H256*AJ256+I256*AK256+J256*AM256</f>
        <v>66931300.654145777</v>
      </c>
      <c r="AR256" s="143">
        <f>+(M256^2)/2/input!P59*E256+D256*AF256+F256*AH256+G256*AI256+C256*AE256+B256*AD256+I256*AK256+J256*AM256</f>
        <v>66930270.307450242</v>
      </c>
      <c r="AS256" s="143">
        <f>+(M256^2)/2/input!P59*E256+D256*AF256+F256*AH256+G256*AI256+C256*AE256+B256*AD256+H256*AJ256+I256*AK256+J256*AM256</f>
        <v>66931300.654145777</v>
      </c>
      <c r="AT256" s="143">
        <f>+(M256^2)/2/input!P59*E256+D256*AF256+F256*AH256+G256*AI256+C256*AE256+B256*AD256+H256*AJ256+J256*AM256</f>
        <v>66320331.532087363</v>
      </c>
      <c r="AU256" s="143">
        <f>+(M256^2)/2/input!P59*E256+D256*AF256+F256*AH256+G256*AI256+C256*AE256+B256*AD256+H256*AJ256+I256*AK256+J256*AM256</f>
        <v>66931300.654145777</v>
      </c>
      <c r="AV256" s="143">
        <f>IF(input!AE59=0,0,1/2/input!AE59)*F256*((input!M59-M256)^2+(input!AE59-input!M59+M256)^2)+C256/2/input!M59*(M256^2+(M256-input!M59)^2)+IF(input!O59=0,0,1/2/input!O59)*K256*(input!M59-M256)^2+B256*AD256+G256*AI256+D256*AF256+H256*AJ256+I256*AK256+J256*AM256</f>
        <v>124322434.89755356</v>
      </c>
      <c r="AW256" s="143">
        <f>+C256/2/input!M59*(M256^2+(M256-input!M59)^2)+IF(input!O59=0,0,1/2/input!O59)*K256*(input!M59-M256)^2+B256*AD256+F256*AH256+G256*AI256+D256*AF256+H256*AJ256+I256*AK256+J256*AM256</f>
        <v>55399940.35094928</v>
      </c>
      <c r="AX256" s="143">
        <f>C256/2/input!M59*(M256^2+(M256-input!M59)^2)+K256*AL256+B256*AD256+F256*AH256+G256*AI256+D256*AF256+H256*AJ256+I256*AK256+J256*AM256</f>
        <v>55399940.35094928</v>
      </c>
      <c r="AY256" s="143">
        <f>C256/2/input!M59*(M256^2+(M256-input!M59)^2)+IF(input!AH59=0,0,1/2/input!AH59)*G256*(M256^2+(input!AH59-M256)^2)+K256*AL256+B256*AD256+F256*AH256+D256*AF256+H256*AJ256+I256*AK256+J256*AM256</f>
        <v>55399940.35094928</v>
      </c>
      <c r="AZ256" s="143">
        <f>D256/2/input!H59*(M256^2+(input!H59-M256)^2)+B256*AD256+K256*AL256+F256*AH256+C256*AE256+G256*AI256+H256*AJ256+I256*AK256+J256*AM256</f>
        <v>83256862.603218853</v>
      </c>
      <c r="BA256" s="185"/>
    </row>
    <row r="257" spans="1:53" ht="15" customHeight="1">
      <c r="A257" s="579" t="str">
        <f>+input!B60</f>
        <v>129j</v>
      </c>
      <c r="B257" s="642">
        <f>+input!J60*input!K60*input!BJ60/1000</f>
        <v>7372</v>
      </c>
      <c r="C257" s="642">
        <f>+input!BQ60*input!N60*2*input!BK60/1000</f>
        <v>24041.652605426279</v>
      </c>
      <c r="D257" s="642">
        <f>+input!F60*input!G60*input!H60*input!BI60/1000</f>
        <v>8360</v>
      </c>
      <c r="E257" s="642">
        <f>0.85*Fck*input!P60*input!Q60/1000</f>
        <v>47451.25</v>
      </c>
      <c r="F257" s="642">
        <f>input!AD60*input!AE60*input!AF60*input!BN60/1000</f>
        <v>1945.6</v>
      </c>
      <c r="G257" s="642">
        <f>input!AG60*input!AH60*input!AI60*input!BM60/1000</f>
        <v>0</v>
      </c>
      <c r="H257" s="642">
        <f>input!CB60*Fys/1000</f>
        <v>2171.4688421612645</v>
      </c>
      <c r="I257" s="642">
        <f>input!BZ60*Fys/1000</f>
        <v>3062.1103594539709</v>
      </c>
      <c r="J257" s="642">
        <f>input!AC60*Fys/1000</f>
        <v>0</v>
      </c>
      <c r="K257" s="642">
        <f>input!BT60*0.85*Fckb/1000</f>
        <v>0</v>
      </c>
      <c r="L257" s="795">
        <f>IF(Stress!F889&lt;=0,IF(B257+F257+(input!M60-2*input!AH60)/input!M60*C257+J257&gt;=G257+D257+E257+H257+I257,1,IF(B257+F257+C257+G257+J257&gt;=D257+E257+H257+I257,"a",IF(B257+F257+C257+G257+D257+J257&gt;=E257+H257+I257,2,IF(B257+F257+C257+G257+D257+J257&gt;=(input!P60-input!AB60)/input!P60*E257+H257+I257,3,IF(B257+F257+C257+G257+D257+H257+J257&gt;=(input!P60-input!AB60)/input!P60*E257+I257,4,IF(B257+F257+C257+G257+D257+H257+J257&gt;=input!Y60/input!P60*E257+I257,5,IF(B257+F257+C257+G257+D257+H257+I257+J257&gt;=input!Y60/input!P60*E257,6,7))))))),IF(B257+F257+IF(input!O60=0,0,input!AE60/input!O60)*K257+input!AE60/input!M60*C257&gt;=(input!M60-input!AE60)*C257/input!M60+G257+D257+H257+I257,"b",IF(B257+F257+K257+input!O60/input!M60*C257&gt;=(input!M60-input!O60)/input!M60*C257+G257+D257+H257+I257,"c",IF(B257+F257+J257+K257+(input!M60-input!AH60)/input!M60*C257&gt;=G257+D257+H257+I257,8,IF(B257+F257+J257+K257+C257+G257&gt;=D257+H257+I257,"d",9)))))</f>
        <v>5</v>
      </c>
      <c r="M257" s="643">
        <f t="shared" si="2"/>
        <v>249.52550703213799</v>
      </c>
      <c r="N257" s="493">
        <f t="shared" si="3"/>
        <v>66931.300654145773</v>
      </c>
      <c r="O257" s="766"/>
      <c r="Q257" s="73">
        <f>input!M60/2*((B257+F257+J257-G257-D257-E257-H257-I257)/C257+1)</f>
        <v>-1612.1939648157268</v>
      </c>
      <c r="R257" s="73">
        <f>(B257+F257+J257+C257+G257-D257-E257-H257-I257)/(2/input!M60*C257+IF(input!AH60=0,0,2/input!AH60)*G257)</f>
        <v>-1612.193964815727</v>
      </c>
      <c r="S257" s="73">
        <f>input!H60/2*(B257+F257+J257+C257+G257-E257-H257-I257+D257)/D257</f>
        <v>-14.428390258143363</v>
      </c>
      <c r="T257" s="558">
        <f>input!P60*(B257+F257+J257+C257+G257+D257-H257-I257)/E257</f>
        <v>222.98348909892158</v>
      </c>
      <c r="U257" s="73">
        <f>input!P60-input!AB60</f>
        <v>250</v>
      </c>
      <c r="V257" s="558">
        <f>input!P60*(B257+F257+J257+C257+G257+D257+H257-I257)/E257</f>
        <v>249.52550703213799</v>
      </c>
      <c r="W257" s="73">
        <f>input!Y60</f>
        <v>50</v>
      </c>
      <c r="X257" s="558">
        <f>input!P60*(B257+F257+J257+C257+G257+D257+H257+I257)/E257</f>
        <v>286.95389950827507</v>
      </c>
      <c r="Y257" s="73">
        <f>(B257+C257+IF(input!O60=0,0,input!M60/input!O60)*K257+(IF(input!AE60=0,0,2*input!M60/input!AE60)-1)*F257-D257-G257-H257-I257)/(IF(input!AE60=0,0,2/input!AE60)*F257+IF(input!O60=0,0,1/input!O60)*K257+2/input!M60*C257)</f>
        <v>2023.7453228348975</v>
      </c>
      <c r="Z257" s="73">
        <f>(B257+C257+F257+IF(input!O60=0,0,input!M60/input!O60)*K257-D257-G257-H257-I257)/(IF(input!O60=0,0,1/input!O60)*K257+2/input!M60*C257)</f>
        <v>1151.0000256425722</v>
      </c>
      <c r="AA257" s="73">
        <f>input!M60/2*(B257+F257+J257+K257-G257-D257-H257-I257+C257)/C257</f>
        <v>1151.0000256425724</v>
      </c>
      <c r="AB257" s="73">
        <f>(B257+F257+J257+K257+G257+C257-D257-H257-I257)/(IF(input!AH60=0,0,2/input!AH60)*G257+2/input!M60*C257)</f>
        <v>1151.0000256425722</v>
      </c>
      <c r="AC257" s="143">
        <f>input!H60/2*(B257+F257+K257+G257+C257-H257-I257+D257+J257)/D257</f>
        <v>48.007465005014531</v>
      </c>
      <c r="AD257" s="165">
        <f>IF(OR(L257=1,L257=8,L257="a",L257="b",L257="c",L257="d"),input!M60-M257+input!K60/2,IF(OR(L257=2,L257=9),input!H60-M257+input!M60+input!K60/2,input!R60+input!P60-M257+input!M60+input!K60/2))</f>
        <v>2845.4744929678618</v>
      </c>
      <c r="AE257" s="143">
        <f>IF(OR(L257=1,L257=8,L257="a",L257="b",L257="c",L257="d"),ABS(input!M60/2-M257),IF(OR(L257=2,L257=9),input!H60-M257+input!M60/2,input!R60+input!P60-M257+input!M60/2))</f>
        <v>1440.474492967862</v>
      </c>
      <c r="AF257" s="143">
        <f>IF(OR(L257=1,L257=8,L257="a",L257="b",L257="c",L257="d"),M257+input!H60/2,IF(OR(L257=2,L257=9),ABS(input!H60/2-M257),input!R60+input!P60-M257-input!H60/2))</f>
        <v>29.474492967862005</v>
      </c>
      <c r="AG257" s="143">
        <f>IF(OR(L257=1,L257=8,L257="a",L257="b",L257="c",L257="d"),input!R60+input!P60/2+M257,IF(OR(L257=2,L257=9),input!R60+input!P60/2-input!H60+M257,ABS(input!P60/2-M257)))</f>
        <v>104.52550703213799</v>
      </c>
      <c r="AH257" s="143">
        <f>IF(OR(L257=1,L257=8,L257="a",L257="b",L257="c",L257="d"),input!M60-M257-input!AE60/2,IF(OR(L257=2,L257=9),input!H60-M257+input!M60-input!AE60/2,input!R60+input!P60-M257+input!M60-input!AE60/2))</f>
        <v>2760.4744929678618</v>
      </c>
      <c r="AI257" s="143">
        <f>IF(OR(L257=1,L257=8,L257="a",L257="b",L257="c",L257="d"),M257-input!AH60/2,IF(OR(L257=2,L257=9),input!H60-M257+input!AH60/2,input!R60+input!P60-M257+input!AH60/2))</f>
        <v>40.474492967862005</v>
      </c>
      <c r="AJ257" s="143">
        <f>IF(OR(L257=1,L257=8,L257="a",L257="b",L257="c",L257="d"),M257+input!R60+input!AB60,IF(OR(L257=2,L257=9),input!R60+input!AB60-input!H60+M257,IF(L257=3,input!AB60-(input!P60-M257),ABS(input!P60-input!AB60-M257))))</f>
        <v>0.47449296786200534</v>
      </c>
      <c r="AK257" s="143">
        <f>IF(OR(L257=1,L257=8,L257="a",L257="b",L257="c",L257="d"),M257+input!R60+input!P60-input!Y60,IF(OR(L257=2,L257=9),input!R60+input!P60-input!Y60-input!H60+M257,ABS(input!Y60-M257)))</f>
        <v>199.52550703213799</v>
      </c>
      <c r="AL257" s="143">
        <f>IF(OR(L257=1,L257=8,L257="a",L257="b",L257="c",L257="d"),input!M60-M257-input!O60/2,IF(OR(L257=2,L257=9),input!H60-M257+input!M60-input!O60/2,0))</f>
        <v>0</v>
      </c>
      <c r="AM257" s="143">
        <f>IF(OR(L257=1,L257=8,L257="a",L257="b",L257="c",L257="d"),input!M60-M257-input!O60/2,IF(OR(L257=2,L257=9),input!H60-M257+input!M60-input!O60/2,input!R60+input!P60-M257+input!M60-input!O60/2))</f>
        <v>2840.4744929678618</v>
      </c>
      <c r="AN257" s="143">
        <f>C257/2/input!M60*(M257^2+(input!M60-M257)^2)+B257*AD257+D257*AF257+E257*AG257+F257*AH257+G257*AI257+H257*AJ257+I257*AK257+J257*AM257</f>
        <v>60359806.316508017</v>
      </c>
      <c r="AO257" s="143">
        <f>IF(input!AH60=0,0,1/2/input!AH60)*G257*(M257^2+(input!AH60-M257)^2)+D257*AF257+F257*AH257+C257/2/input!M60*(M257^2+(input!M60-M257)^2)+B257*AD257+E257*AG257+H257*AJ257+I257*AK257+J257*AM257</f>
        <v>60359806.316508025</v>
      </c>
      <c r="AP257" s="143">
        <f>+D257/2/input!H60*(M257^2+(input!H60-M257)^2)+B257*AD257+F257*AH257+G257*AI257+C257*AE257+E257*AG257+H257*AJ257+I257*AK257+J257*AM257</f>
        <v>88216728.568777591</v>
      </c>
      <c r="AQ257" s="143">
        <f>+(M257^2)/2/input!P60*E257+D257*AF257+F257*AH257+G257*AI257+C257*AE257+B257*AD257+H257*AJ257+I257*AK257+J257*AM257</f>
        <v>66931300.654145777</v>
      </c>
      <c r="AR257" s="143">
        <f>+(M257^2)/2/input!P60*E257+D257*AF257+F257*AH257+G257*AI257+C257*AE257+B257*AD257+I257*AK257+J257*AM257</f>
        <v>66930270.307450242</v>
      </c>
      <c r="AS257" s="143">
        <f>+(M257^2)/2/input!P60*E257+D257*AF257+F257*AH257+G257*AI257+C257*AE257+B257*AD257+H257*AJ257+I257*AK257+J257*AM257</f>
        <v>66931300.654145777</v>
      </c>
      <c r="AT257" s="143">
        <f>+(M257^2)/2/input!P60*E257+D257*AF257+F257*AH257+G257*AI257+C257*AE257+B257*AD257+H257*AJ257+J257*AM257</f>
        <v>66320331.532087363</v>
      </c>
      <c r="AU257" s="143">
        <f>+(M257^2)/2/input!P60*E257+D257*AF257+F257*AH257+G257*AI257+C257*AE257+B257*AD257+H257*AJ257+I257*AK257+J257*AM257</f>
        <v>66931300.654145777</v>
      </c>
      <c r="AV257" s="143">
        <f>IF(input!AE60=0,0,1/2/input!AE60)*F257*((input!M60-M257)^2+(input!AE60-input!M60+M257)^2)+C257/2/input!M60*(M257^2+(M257-input!M60)^2)+IF(input!O60=0,0,1/2/input!O60)*K257*(input!M60-M257)^2+B257*AD257+G257*AI257+D257*AF257+H257*AJ257+I257*AK257+J257*AM257</f>
        <v>124322434.89755356</v>
      </c>
      <c r="AW257" s="143">
        <f>+C257/2/input!M60*(M257^2+(M257-input!M60)^2)+IF(input!O60=0,0,1/2/input!O60)*K257*(input!M60-M257)^2+B257*AD257+F257*AH257+G257*AI257+D257*AF257+H257*AJ257+I257*AK257+J257*AM257</f>
        <v>55399940.35094928</v>
      </c>
      <c r="AX257" s="143">
        <f>C257/2/input!M60*(M257^2+(M257-input!M60)^2)+K257*AL257+B257*AD257+F257*AH257+G257*AI257+D257*AF257+H257*AJ257+I257*AK257+J257*AM257</f>
        <v>55399940.35094928</v>
      </c>
      <c r="AY257" s="143">
        <f>C257/2/input!M60*(M257^2+(M257-input!M60)^2)+IF(input!AH60=0,0,1/2/input!AH60)*G257*(M257^2+(input!AH60-M257)^2)+K257*AL257+B257*AD257+F257*AH257+D257*AF257+H257*AJ257+I257*AK257+J257*AM257</f>
        <v>55399940.35094928</v>
      </c>
      <c r="AZ257" s="143">
        <f>D257/2/input!H60*(M257^2+(input!H60-M257)^2)+B257*AD257+K257*AL257+F257*AH257+C257*AE257+G257*AI257+H257*AJ257+I257*AK257+J257*AM257</f>
        <v>83256862.603218853</v>
      </c>
      <c r="BA257" s="185"/>
    </row>
    <row r="258" spans="1:53" ht="15" customHeight="1">
      <c r="A258" s="579" t="str">
        <f>+input!B61</f>
        <v>130i</v>
      </c>
      <c r="B258" s="642">
        <f>+input!J61*input!K61*input!BJ61/1000</f>
        <v>7372</v>
      </c>
      <c r="C258" s="642">
        <f>+input!BQ61*input!N61*2*input!BK61/1000</f>
        <v>22324.391705038681</v>
      </c>
      <c r="D258" s="642">
        <f>+input!F61*input!G61*input!H61*input!BI61/1000</f>
        <v>8360</v>
      </c>
      <c r="E258" s="642">
        <f>0.85*Fck*input!P61*input!Q61/1000</f>
        <v>47019.875</v>
      </c>
      <c r="F258" s="642">
        <f>input!AD61*input!AE61*input!AF61*input!BN61/1000</f>
        <v>1945.6</v>
      </c>
      <c r="G258" s="642">
        <f>input!AG61*input!AH61*input!AI61*input!BM61/1000</f>
        <v>0</v>
      </c>
      <c r="H258" s="642">
        <f>input!CB61*Fys/1000</f>
        <v>2171.4688421612645</v>
      </c>
      <c r="I258" s="642">
        <f>input!BZ61*Fys/1000</f>
        <v>3062.1103594539709</v>
      </c>
      <c r="J258" s="642">
        <f>input!AC61*Fys/1000</f>
        <v>0</v>
      </c>
      <c r="K258" s="642">
        <f>input!BT61*0.85*Fckb/1000</f>
        <v>0</v>
      </c>
      <c r="L258" s="795">
        <f>IF(Stress!F890&lt;=0,IF(B258+F258+(input!M61-2*input!AH61)/input!M61*C258+J258&gt;=G258+D258+E258+H258+I258,1,IF(B258+F258+C258+G258+J258&gt;=D258+E258+H258+I258,"a",IF(B258+F258+C258+G258+D258+J258&gt;=E258+H258+I258,2,IF(B258+F258+C258+G258+D258+J258&gt;=(input!P61-input!AB61)/input!P61*E258+H258+I258,3,IF(B258+F258+C258+G258+D258+H258+J258&gt;=(input!P61-input!AB61)/input!P61*E258+I258,4,IF(B258+F258+C258+G258+D258+H258+J258&gt;=input!Y61/input!P61*E258+I258,5,IF(B258+F258+C258+G258+D258+H258+I258+J258&gt;=input!Y61/input!P61*E258,6,7))))))),IF(B258+F258+IF(input!O61=0,0,input!AE61/input!O61)*K258+input!AE61/input!M61*C258&gt;=(input!M61-input!AE61)*C258/input!M61+G258+D258+H258+I258,"b",IF(B258+F258+K258+input!O61/input!M61*C258&gt;=(input!M61-input!O61)/input!M61*C258+G258+D258+H258+I258,"c",IF(B258+F258+J258+K258+(input!M61-input!AH61)/input!M61*C258&gt;=G258+D258+H258+I258,8,IF(B258+F258+J258+K258+C258+G258&gt;=D258+H258+I258,"d",9)))))</f>
        <v>5</v>
      </c>
      <c r="M258" s="643">
        <f t="shared" si="2"/>
        <v>241.22334554156799</v>
      </c>
      <c r="N258" s="493">
        <f t="shared" si="3"/>
        <v>60309.775133111158</v>
      </c>
      <c r="O258" s="766"/>
      <c r="Q258" s="73">
        <f>input!M61/2*((B258+F258+J258-G258-D258-E258-H258-I258)/C258+1)</f>
        <v>-1687.0740194479249</v>
      </c>
      <c r="R258" s="73">
        <f>(B258+F258+J258+C258+G258-D258-E258-H258-I258)/(2/input!M61*C258+IF(input!AH61=0,0,2/input!AH61)*G258)</f>
        <v>-1687.0740194479251</v>
      </c>
      <c r="S258" s="73">
        <f>input!H61/2*(B258+F258+J258+C258+G258-E258-H258-I258+D258)/D258</f>
        <v>-16.120345390232313</v>
      </c>
      <c r="T258" s="558">
        <f>input!P61*(B258+F258+J258+C258+G258+D258-H258-I258)/E258</f>
        <v>214.43782285667069</v>
      </c>
      <c r="U258" s="73">
        <f>input!P61-input!AB61</f>
        <v>250</v>
      </c>
      <c r="V258" s="558">
        <f>input!P61*(B258+F258+J258+C258+G258+D258+H258-I258)/E258</f>
        <v>241.22334554156799</v>
      </c>
      <c r="W258" s="73">
        <f>input!Y61</f>
        <v>50</v>
      </c>
      <c r="X258" s="558">
        <f>input!P61*(B258+F258+J258+C258+G258+D258+H258+I258)/E258</f>
        <v>278.99511776519256</v>
      </c>
      <c r="Y258" s="73">
        <f>(B258+C258+IF(input!O61=0,0,input!M61/input!O61)*K258+(IF(input!AE61=0,0,2*input!M61/input!AE61)-1)*F258-D258-G258-H258-I258)/(IF(input!AE61=0,0,2/input!AE61)*F258+IF(input!O61=0,0,1/input!O61)*K258+2/input!M61*C258)</f>
        <v>1865.1324744653764</v>
      </c>
      <c r="Z258" s="73">
        <f>(B258+C258+F258+IF(input!O61=0,0,input!M61/input!O61)*K258-D258-G258-H258-I258)/(IF(input!O61=0,0,1/input!O61)*K258+2/input!M61*C258)</f>
        <v>1051.0000256425719</v>
      </c>
      <c r="AA258" s="73">
        <f>input!M61/2*(B258+F258+J258+K258-G258-D258-H258-I258+C258)/C258</f>
        <v>1051.0000256425722</v>
      </c>
      <c r="AB258" s="73">
        <f>(B258+F258+J258+K258+G258+C258-D258-H258-I258)/(IF(input!AH61=0,0,2/input!AH61)*G258+2/input!M61*C258)</f>
        <v>1051.0000256425719</v>
      </c>
      <c r="AC258" s="143">
        <f>input!H61/2*(B258+F258+K258+G258+C258-H258-I258+D258+J258)/D258</f>
        <v>45.747911188715058</v>
      </c>
      <c r="AD258" s="165">
        <f>IF(OR(L258=1,L258=8,L258="a",L258="b",L258="c",L258="d"),input!M61-M258+input!K61/2,IF(OR(L258=2,L258=9),input!H61-M258+input!M61+input!K61/2,input!R61+input!P61-M258+input!M61+input!K61/2))</f>
        <v>2653.7766544584319</v>
      </c>
      <c r="AE258" s="143">
        <f>IF(OR(L258=1,L258=8,L258="a",L258="b",L258="c",L258="d"),ABS(input!M61/2-M258),IF(OR(L258=2,L258=9),input!H61-M258+input!M61/2,input!R61+input!P61-M258+input!M61/2))</f>
        <v>1348.7766544584319</v>
      </c>
      <c r="AF258" s="143">
        <f>IF(OR(L258=1,L258=8,L258="a",L258="b",L258="c",L258="d"),M258+input!H61/2,IF(OR(L258=2,L258=9),ABS(input!H61/2-M258),input!R61+input!P61-M258-input!H61/2))</f>
        <v>37.776654458432006</v>
      </c>
      <c r="AG258" s="143">
        <f>IF(OR(L258=1,L258=8,L258="a",L258="b",L258="c",L258="d"),input!R61+input!P61/2+M258,IF(OR(L258=2,L258=9),input!R61+input!P61/2-input!H61+M258,ABS(input!P61/2-M258)))</f>
        <v>96.223345541567994</v>
      </c>
      <c r="AH258" s="143">
        <f>IF(OR(L258=1,L258=8,L258="a",L258="b",L258="c",L258="d"),input!M61-M258-input!AE61/2,IF(OR(L258=2,L258=9),input!H61-M258+input!M61-input!AE61/2,input!R61+input!P61-M258+input!M61-input!AE61/2))</f>
        <v>2568.7766544584319</v>
      </c>
      <c r="AI258" s="143">
        <f>IF(OR(L258=1,L258=8,L258="a",L258="b",L258="c",L258="d"),M258-input!AH61/2,IF(OR(L258=2,L258=9),input!H61-M258+input!AH61/2,input!R61+input!P61-M258+input!AH61/2))</f>
        <v>48.776654458432006</v>
      </c>
      <c r="AJ258" s="143">
        <f>IF(OR(L258=1,L258=8,L258="a",L258="b",L258="c",L258="d"),M258+input!R61+input!AB61,IF(OR(L258=2,L258=9),input!R61+input!AB61-input!H61+M258,IF(L258=3,input!AB61-(input!P61-M258),ABS(input!P61-input!AB61-M258))))</f>
        <v>8.7766544584320059</v>
      </c>
      <c r="AK258" s="143">
        <f>IF(OR(L258=1,L258=8,L258="a",L258="b",L258="c",L258="d"),M258+input!R61+input!P61-input!Y61,IF(OR(L258=2,L258=9),input!R61+input!P61-input!Y61-input!H61+M258,ABS(input!Y61-M258)))</f>
        <v>191.22334554156799</v>
      </c>
      <c r="AL258" s="143">
        <f>IF(OR(L258=1,L258=8,L258="a",L258="b",L258="c",L258="d"),input!M61-M258-input!O61/2,IF(OR(L258=2,L258=9),input!H61-M258+input!M61-input!O61/2,0))</f>
        <v>0</v>
      </c>
      <c r="AM258" s="143">
        <f>IF(OR(L258=1,L258=8,L258="a",L258="b",L258="c",L258="d"),input!M61-M258-input!O61/2,IF(OR(L258=2,L258=9),input!H61-M258+input!M61-input!O61/2,input!R61+input!P61-M258+input!M61-input!O61/2))</f>
        <v>2648.7766544584319</v>
      </c>
      <c r="AN258" s="143">
        <f>C258/2/input!M61*(M258^2+(input!M61-M258)^2)+B258*AD258+D258*AF258+E258*AG258+F258*AH258+G258*AI258+H258*AJ258+I258*AK258+J258*AM258</f>
        <v>54142451.765301585</v>
      </c>
      <c r="AO258" s="143">
        <f>IF(input!AH61=0,0,1/2/input!AH61)*G258*(M258^2+(input!AH61-M258)^2)+D258*AF258+F258*AH258+C258/2/input!M61*(M258^2+(input!M61-M258)^2)+B258*AD258+E258*AG258+H258*AJ258+I258*AK258+J258*AM258</f>
        <v>54142451.765301585</v>
      </c>
      <c r="AP258" s="143">
        <f>+D258/2/input!H61*(M258^2+(input!H61-M258)^2)+B258*AD258+F258*AH258+G258*AI258+C258*AE258+E258*AG258+H258*AJ258+I258*AK258+J258*AM258</f>
        <v>79988126.367110893</v>
      </c>
      <c r="AQ258" s="143">
        <f>+(M258^2)/2/input!P61*E258+D258*AF258+F258*AH258+G258*AI258+C258*AE258+B258*AD258+H258*AJ258+I258*AK258+J258*AM258</f>
        <v>60309775.133111157</v>
      </c>
      <c r="AR258" s="143">
        <f>+(M258^2)/2/input!P61*E258+D258*AF258+F258*AH258+G258*AI258+C258*AE258+B258*AD258+I258*AK258+J258*AM258</f>
        <v>60290716.901416257</v>
      </c>
      <c r="AS258" s="143">
        <f>+(M258^2)/2/input!P61*E258+D258*AF258+F258*AH258+G258*AI258+C258*AE258+B258*AD258+H258*AJ258+I258*AK258+J258*AM258</f>
        <v>60309775.133111157</v>
      </c>
      <c r="AT258" s="143">
        <f>+(M258^2)/2/input!P61*E258+D258*AF258+F258*AH258+G258*AI258+C258*AE258+B258*AD258+H258*AJ258+J258*AM258</f>
        <v>59724228.145758875</v>
      </c>
      <c r="AU258" s="143">
        <f>+(M258^2)/2/input!P61*E258+D258*AF258+F258*AH258+G258*AI258+C258*AE258+B258*AD258+H258*AJ258+I258*AK258+J258*AM258</f>
        <v>60309775.133111157</v>
      </c>
      <c r="AV258" s="143">
        <f>IF(input!AE61=0,0,1/2/input!AE61)*F258*((input!M61-M258)^2+(input!AE61-input!M61+M258)^2)+C258/2/input!M61*(M258^2+(M258-input!M61)^2)+IF(input!O61=0,0,1/2/input!O61)*K258*(input!M61-M258)^2+B258*AD258+G258*AI258+D258*AF258+H258*AJ258+I258*AK258+J258*AM258</f>
        <v>107842782.40434287</v>
      </c>
      <c r="AW258" s="143">
        <f>+C258/2/input!M61*(M258^2+(M258-input!M61)^2)+IF(input!O61=0,0,1/2/input!O61)*K258*(input!M61-M258)^2+B258*AD258+F258*AH258+G258*AI258+D258*AF258+H258*AJ258+I258*AK258+J258*AM258</f>
        <v>49618042.085855253</v>
      </c>
      <c r="AX258" s="143">
        <f>C258/2/input!M61*(M258^2+(M258-input!M61)^2)+K258*AL258+B258*AD258+F258*AH258+G258*AI258+D258*AF258+H258*AJ258+I258*AK258+J258*AM258</f>
        <v>49618042.085855253</v>
      </c>
      <c r="AY258" s="143">
        <f>C258/2/input!M61*(M258^2+(M258-input!M61)^2)+IF(input!AH61=0,0,1/2/input!AH61)*G258*(M258^2+(input!AH61-M258)^2)+K258*AL258+B258*AD258+F258*AH258+D258*AF258+H258*AJ258+I258*AK258+J258*AM258</f>
        <v>49618042.085855253</v>
      </c>
      <c r="AZ258" s="143">
        <f>D258/2/input!H61*(M258^2+(input!H61-M258)^2)+B258*AD258+K258*AL258+F258*AH258+C258*AE258+G258*AI258+H258*AJ258+I258*AK258+J258*AM258</f>
        <v>75463716.687664554</v>
      </c>
      <c r="BA258" s="185"/>
    </row>
    <row r="259" spans="1:53" ht="15" customHeight="1">
      <c r="A259" s="579" t="str">
        <f>+input!B62</f>
        <v>130j</v>
      </c>
      <c r="B259" s="642">
        <f>+input!J62*input!K62*input!BJ62/1000</f>
        <v>7372</v>
      </c>
      <c r="C259" s="642">
        <f>+input!BQ62*input!N62*2*input!BK62/1000</f>
        <v>22324.391705038681</v>
      </c>
      <c r="D259" s="642">
        <f>+input!F62*input!G62*input!H62*input!BI62/1000</f>
        <v>8360</v>
      </c>
      <c r="E259" s="642">
        <f>0.85*Fck*input!P62*input!Q62/1000</f>
        <v>47019.875</v>
      </c>
      <c r="F259" s="642">
        <f>input!AD62*input!AE62*input!AF62*input!BN62/1000</f>
        <v>1945.6</v>
      </c>
      <c r="G259" s="642">
        <f>input!AG62*input!AH62*input!AI62*input!BM62/1000</f>
        <v>0</v>
      </c>
      <c r="H259" s="642">
        <f>input!CB62*Fys/1000</f>
        <v>2171.4688421612645</v>
      </c>
      <c r="I259" s="642">
        <f>input!BZ62*Fys/1000</f>
        <v>3062.1103594539709</v>
      </c>
      <c r="J259" s="642">
        <f>input!AC62*Fys/1000</f>
        <v>0</v>
      </c>
      <c r="K259" s="642">
        <f>input!BT62*0.85*Fckb/1000</f>
        <v>0</v>
      </c>
      <c r="L259" s="795">
        <f>IF(Stress!F891&lt;=0,IF(B259+F259+(input!M62-2*input!AH62)/input!M62*C259+J259&gt;=G259+D259+E259+H259+I259,1,IF(B259+F259+C259+G259+J259&gt;=D259+E259+H259+I259,"a",IF(B259+F259+C259+G259+D259+J259&gt;=E259+H259+I259,2,IF(B259+F259+C259+G259+D259+J259&gt;=(input!P62-input!AB62)/input!P62*E259+H259+I259,3,IF(B259+F259+C259+G259+D259+H259+J259&gt;=(input!P62-input!AB62)/input!P62*E259+I259,4,IF(B259+F259+C259+G259+D259+H259+J259&gt;=input!Y62/input!P62*E259+I259,5,IF(B259+F259+C259+G259+D259+H259+I259+J259&gt;=input!Y62/input!P62*E259,6,7))))))),IF(B259+F259+IF(input!O62=0,0,input!AE62/input!O62)*K259+input!AE62/input!M62*C259&gt;=(input!M62-input!AE62)*C259/input!M62+G259+D259+H259+I259,"b",IF(B259+F259+K259+input!O62/input!M62*C259&gt;=(input!M62-input!O62)/input!M62*C259+G259+D259+H259+I259,"c",IF(B259+F259+J259+K259+(input!M62-input!AH62)/input!M62*C259&gt;=G259+D259+H259+I259,8,IF(B259+F259+J259+K259+C259+G259&gt;=D259+H259+I259,"d",9)))))</f>
        <v>8</v>
      </c>
      <c r="M259" s="643">
        <f t="shared" si="2"/>
        <v>1051.0000256425722</v>
      </c>
      <c r="N259" s="493">
        <f t="shared" si="3"/>
        <v>44557.96545455281</v>
      </c>
      <c r="O259" s="766"/>
      <c r="Q259" s="73">
        <f>input!M62/2*((B259+F259+J259-G259-D259-E259-H259-I259)/C259+1)</f>
        <v>-1687.0740194479249</v>
      </c>
      <c r="R259" s="73">
        <f>(B259+F259+J259+C259+G259-D259-E259-H259-I259)/(2/input!M62*C259+IF(input!AH62=0,0,2/input!AH62)*G259)</f>
        <v>-1687.0740194479251</v>
      </c>
      <c r="S259" s="73">
        <f>input!H62/2*(B259+F259+J259+C259+G259-E259-H259-I259+D259)/D259</f>
        <v>-16.120345390232313</v>
      </c>
      <c r="T259" s="558">
        <f>input!P62*(B259+F259+J259+C259+G259+D259-H259-I259)/E259</f>
        <v>214.43782285667069</v>
      </c>
      <c r="U259" s="73">
        <f>input!P62-input!AB62</f>
        <v>250</v>
      </c>
      <c r="V259" s="558">
        <f>input!P62*(B259+F259+J259+C259+G259+D259+H259-I259)/E259</f>
        <v>241.22334554156799</v>
      </c>
      <c r="W259" s="73">
        <f>input!Y62</f>
        <v>50</v>
      </c>
      <c r="X259" s="558">
        <f>input!P62*(B259+F259+J259+C259+G259+D259+H259+I259)/E259</f>
        <v>278.99511776519256</v>
      </c>
      <c r="Y259" s="73">
        <f>(B259+C259+IF(input!O62=0,0,input!M62/input!O62)*K259+(IF(input!AE62=0,0,2*input!M62/input!AE62)-1)*F259-D259-G259-H259-I259)/(IF(input!AE62=0,0,2/input!AE62)*F259+IF(input!O62=0,0,1/input!O62)*K259+2/input!M62*C259)</f>
        <v>1865.1324744653764</v>
      </c>
      <c r="Z259" s="73">
        <f>(B259+C259+F259+IF(input!O62=0,0,input!M62/input!O62)*K259-D259-G259-H259-I259)/(IF(input!O62=0,0,1/input!O62)*K259+2/input!M62*C259)</f>
        <v>1051.0000256425719</v>
      </c>
      <c r="AA259" s="73">
        <f>input!M62/2*(B259+F259+J259+K259-G259-D259-H259-I259+C259)/C259</f>
        <v>1051.0000256425722</v>
      </c>
      <c r="AB259" s="73">
        <f>(B259+F259+J259+K259+G259+C259-D259-H259-I259)/(IF(input!AH62=0,0,2/input!AH62)*G259+2/input!M62*C259)</f>
        <v>1051.0000256425719</v>
      </c>
      <c r="AC259" s="143">
        <f>input!H62/2*(B259+F259+K259+G259+C259-H259-I259+D259+J259)/D259</f>
        <v>45.747911188715058</v>
      </c>
      <c r="AD259" s="165">
        <f>IF(OR(L259=1,L259=8,L259="a",L259="b",L259="c",L259="d"),input!M62-M259+input!K62/2,IF(OR(L259=2,L259=9),input!H62-M259+input!M62+input!K62/2,input!R62+input!P62-M259+input!M62+input!K62/2))</f>
        <v>1553.9999743574278</v>
      </c>
      <c r="AE259" s="143">
        <f>IF(OR(L259=1,L259=8,L259="a",L259="b",L259="c",L259="d"),ABS(input!M62/2-M259),IF(OR(L259=2,L259=9),input!H62-M259+input!M62/2,input!R62+input!P62-M259+input!M62/2))</f>
        <v>248.99997435742785</v>
      </c>
      <c r="AF259" s="143">
        <f>IF(OR(L259=1,L259=8,L259="a",L259="b",L259="c",L259="d"),M259+input!H62/2,IF(OR(L259=2,L259=9),ABS(input!H62/2-M259),input!R62+input!P62-M259-input!H62/2))</f>
        <v>1062.0000256425722</v>
      </c>
      <c r="AG259" s="143">
        <f>IF(OR(L259=1,L259=8,L259="a",L259="b",L259="c",L259="d"),input!R62+input!P62/2+M259,IF(OR(L259=2,L259=9),input!R62+input!P62/2-input!H62+M259,ABS(input!P62/2-M259)))</f>
        <v>1196.0000256425722</v>
      </c>
      <c r="AH259" s="143">
        <f>IF(OR(L259=1,L259=8,L259="a",L259="b",L259="c",L259="d"),input!M62-M259-input!AE62/2,IF(OR(L259=2,L259=9),input!H62-M259+input!M62-input!AE62/2,input!R62+input!P62-M259+input!M62-input!AE62/2))</f>
        <v>1468.9999743574278</v>
      </c>
      <c r="AI259" s="143">
        <f>IF(OR(L259=1,L259=8,L259="a",L259="b",L259="c",L259="d"),M259-input!AH62/2,IF(OR(L259=2,L259=9),input!H62-M259+input!AH62/2,input!R62+input!P62-M259+input!AH62/2))</f>
        <v>1051.0000256425722</v>
      </c>
      <c r="AJ259" s="143">
        <f>IF(OR(L259=1,L259=8,L259="a",L259="b",L259="c",L259="d"),M259+input!R62+input!AB62,IF(OR(L259=2,L259=9),input!R62+input!AB62-input!H62+M259,IF(L259=3,input!AB62-(input!P62-M259),ABS(input!P62-input!AB62-M259))))</f>
        <v>1091.0000256425722</v>
      </c>
      <c r="AK259" s="143">
        <f>IF(OR(L259=1,L259=8,L259="a",L259="b",L259="c",L259="d"),M259+input!R62+input!P62-input!Y62,IF(OR(L259=2,L259=9),input!R62+input!P62-input!Y62-input!H62+M259,ABS(input!Y62-M259)))</f>
        <v>1291.0000256425722</v>
      </c>
      <c r="AL259" s="143">
        <f>IF(OR(L259=1,L259=8,L259="a",L259="b",L259="c",L259="d"),input!M62-M259-input!O62/2,IF(OR(L259=2,L259=9),input!H62-M259+input!M62-input!O62/2,0))</f>
        <v>1548.9999743574278</v>
      </c>
      <c r="AM259" s="143">
        <f>IF(OR(L259=1,L259=8,L259="a",L259="b",L259="c",L259="d"),input!M62-M259-input!O62/2,IF(OR(L259=2,L259=9),input!H62-M259+input!M62-input!O62/2,input!R62+input!P62-M259+input!M62-input!O62/2))</f>
        <v>1548.9999743574278</v>
      </c>
      <c r="AN259" s="143">
        <f>C259/2/input!M62*(M259^2+(input!M62-M259)^2)+B259*AD259+D259*AF259+E259*AG259+F259*AH259+G259*AI259+H259*AJ259+I259*AK259+J259*AM259</f>
        <v>100793737.16026336</v>
      </c>
      <c r="AO259" s="143">
        <f>IF(input!AH62=0,0,1/2/input!AH62)*G259*(M259^2+(input!AH62-M259)^2)+D259*AF259+F259*AH259+C259/2/input!M62*(M259^2+(input!M62-M259)^2)+B259*AD259+E259*AG259+H259*AJ259+I259*AK259+J259*AM259</f>
        <v>100793737.16026334</v>
      </c>
      <c r="AP259" s="143">
        <f>+D259/2/input!H62*(M259^2+(input!H62-M259)^2)+B259*AD259+F259*AH259+G259*AI259+C259*AE259+E259*AG259+H259*AJ259+I259*AK259+J259*AM259</f>
        <v>493484976.21182781</v>
      </c>
      <c r="AQ259" s="143">
        <f>+(M259^2)/2/input!P62*E259+D259*AF259+F259*AH259+G259*AI259+C259*AE259+B259*AD259+H259*AJ259+I259*AK259+J259*AM259</f>
        <v>124622151.14101128</v>
      </c>
      <c r="AR259" s="143">
        <f>+(M259^2)/2/input!P62*E259+D259*AF259+F259*AH259+G259*AI259+C259*AE259+B259*AD259+I259*AK259+J259*AM259</f>
        <v>122253078.5785313</v>
      </c>
      <c r="AS259" s="143">
        <f>+(M259^2)/2/input!P62*E259+D259*AF259+F259*AH259+G259*AI259+C259*AE259+B259*AD259+H259*AJ259+I259*AK259+J259*AM259</f>
        <v>124622151.14101128</v>
      </c>
      <c r="AT259" s="143">
        <f>+(M259^2)/2/input!P62*E259+D259*AF259+F259*AH259+G259*AI259+C259*AE259+B259*AD259+H259*AJ259+J259*AM259</f>
        <v>120668966.58843581</v>
      </c>
      <c r="AU259" s="143">
        <f>+(M259^2)/2/input!P62*E259+D259*AF259+F259*AH259+G259*AI259+C259*AE259+B259*AD259+H259*AJ259+I259*AK259+J259*AM259</f>
        <v>124622151.14101128</v>
      </c>
      <c r="AV259" s="143">
        <f>IF(input!AE62=0,0,1/2/input!AE62)*F259*((input!M62-M259)^2+(input!AE62-input!M62+M259)^2)+C259/2/input!M62*(M259^2+(M259-input!M62)^2)+IF(input!O62=0,0,1/2/input!O62)*K259*(input!M62-M259)^2+B259*AD259+G259*AI259+D259*AF259+H259*AJ259+I259*AK259+J259*AM259</f>
        <v>68018507.948334426</v>
      </c>
      <c r="AW259" s="143">
        <f>+C259/2/input!M62*(M259^2+(M259-input!M62)^2)+IF(input!O62=0,0,1/2/input!O62)*K259*(input!M62-M259)^2+B259*AD259+F259*AH259+G259*AI259+D259*AF259+H259*AJ259+I259*AK259+J259*AM259</f>
        <v>44557965.454552807</v>
      </c>
      <c r="AX259" s="143">
        <f>C259/2/input!M62*(M259^2+(M259-input!M62)^2)+K259*AL259+B259*AD259+F259*AH259+G259*AI259+D259*AF259+H259*AJ259+I259*AK259+J259*AM259</f>
        <v>44557965.454552807</v>
      </c>
      <c r="AY259" s="143">
        <f>C259/2/input!M62*(M259^2+(M259-input!M62)^2)+IF(input!AH62=0,0,1/2/input!AH62)*G259*(M259^2+(input!AH62-M259)^2)+K259*AL259+B259*AD259+F259*AH259+D259*AF259+H259*AJ259+I259*AK259+J259*AM259</f>
        <v>44557965.454552807</v>
      </c>
      <c r="AZ259" s="143">
        <f>D259/2/input!H62*(M259^2+(input!H62-M259)^2)+B259*AD259+K259*AL259+F259*AH259+C259*AE259+G259*AI259+H259*AJ259+I259*AK259+J259*AM259</f>
        <v>437249204.50611728</v>
      </c>
      <c r="BA259" s="185"/>
    </row>
    <row r="260" spans="1:53" ht="15" customHeight="1">
      <c r="A260" s="579" t="str">
        <f>+input!B63</f>
        <v>131i</v>
      </c>
      <c r="B260" s="642">
        <f>+input!J63*input!K63*input!BJ63/1000</f>
        <v>7372</v>
      </c>
      <c r="C260" s="642">
        <f>+input!BQ63*input!N63*2*input!BK63/1000</f>
        <v>22324.391705038681</v>
      </c>
      <c r="D260" s="642">
        <f>+input!F63*input!G63*input!H63*input!BI63/1000</f>
        <v>8360</v>
      </c>
      <c r="E260" s="642">
        <f>0.85*Fck*input!P63*input!Q63/1000</f>
        <v>47019.875</v>
      </c>
      <c r="F260" s="642">
        <f>input!AD63*input!AE63*input!AF63*input!BN63/1000</f>
        <v>1945.6</v>
      </c>
      <c r="G260" s="642">
        <f>input!AG63*input!AH63*input!AI63*input!BM63/1000</f>
        <v>0</v>
      </c>
      <c r="H260" s="642">
        <f>input!CB63*Fys/1000</f>
        <v>2171.4688421612645</v>
      </c>
      <c r="I260" s="642">
        <f>input!BZ63*Fys/1000</f>
        <v>3062.1103594539709</v>
      </c>
      <c r="J260" s="642">
        <f>input!AC63*Fys/1000</f>
        <v>0</v>
      </c>
      <c r="K260" s="642">
        <f>input!BT63*0.85*Fckb/1000</f>
        <v>0</v>
      </c>
      <c r="L260" s="795">
        <f>IF(Stress!F892&lt;=0,IF(B260+F260+(input!M63-2*input!AH63)/input!M63*C260+J260&gt;=G260+D260+E260+H260+I260,1,IF(B260+F260+C260+G260+J260&gt;=D260+E260+H260+I260,"a",IF(B260+F260+C260+G260+D260+J260&gt;=E260+H260+I260,2,IF(B260+F260+C260+G260+D260+J260&gt;=(input!P63-input!AB63)/input!P63*E260+H260+I260,3,IF(B260+F260+C260+G260+D260+H260+J260&gt;=(input!P63-input!AB63)/input!P63*E260+I260,4,IF(B260+F260+C260+G260+D260+H260+J260&gt;=input!Y63/input!P63*E260+I260,5,IF(B260+F260+C260+G260+D260+H260+I260+J260&gt;=input!Y63/input!P63*E260,6,7))))))),IF(B260+F260+IF(input!O63=0,0,input!AE63/input!O63)*K260+input!AE63/input!M63*C260&gt;=(input!M63-input!AE63)*C260/input!M63+G260+D260+H260+I260,"b",IF(B260+F260+K260+input!O63/input!M63*C260&gt;=(input!M63-input!O63)/input!M63*C260+G260+D260+H260+I260,"c",IF(B260+F260+J260+K260+(input!M63-input!AH63)/input!M63*C260&gt;=G260+D260+H260+I260,8,IF(B260+F260+J260+K260+C260+G260&gt;=D260+H260+I260,"d",9)))))</f>
        <v>8</v>
      </c>
      <c r="M260" s="643">
        <f t="shared" si="2"/>
        <v>1051.0000256425722</v>
      </c>
      <c r="N260" s="493">
        <f t="shared" si="3"/>
        <v>44557.96545455281</v>
      </c>
      <c r="O260" s="766"/>
      <c r="Q260" s="73">
        <f>input!M63/2*((B260+F260+J260-G260-D260-E260-H260-I260)/C260+1)</f>
        <v>-1687.0740194479249</v>
      </c>
      <c r="R260" s="73">
        <f>(B260+F260+J260+C260+G260-D260-E260-H260-I260)/(2/input!M63*C260+IF(input!AH63=0,0,2/input!AH63)*G260)</f>
        <v>-1687.0740194479251</v>
      </c>
      <c r="S260" s="73">
        <f>input!H63/2*(B260+F260+J260+C260+G260-E260-H260-I260+D260)/D260</f>
        <v>-16.120345390232313</v>
      </c>
      <c r="T260" s="558">
        <f>input!P63*(B260+F260+J260+C260+G260+D260-H260-I260)/E260</f>
        <v>214.43782285667069</v>
      </c>
      <c r="U260" s="73">
        <f>input!P63-input!AB63</f>
        <v>250</v>
      </c>
      <c r="V260" s="558">
        <f>input!P63*(B260+F260+J260+C260+G260+D260+H260-I260)/E260</f>
        <v>241.22334554156799</v>
      </c>
      <c r="W260" s="73">
        <f>input!Y63</f>
        <v>50</v>
      </c>
      <c r="X260" s="558">
        <f>input!P63*(B260+F260+J260+C260+G260+D260+H260+I260)/E260</f>
        <v>278.99511776519256</v>
      </c>
      <c r="Y260" s="73">
        <f>(B260+C260+IF(input!O63=0,0,input!M63/input!O63)*K260+(IF(input!AE63=0,0,2*input!M63/input!AE63)-1)*F260-D260-G260-H260-I260)/(IF(input!AE63=0,0,2/input!AE63)*F260+IF(input!O63=0,0,1/input!O63)*K260+2/input!M63*C260)</f>
        <v>1865.1324744653764</v>
      </c>
      <c r="Z260" s="73">
        <f>(B260+C260+F260+IF(input!O63=0,0,input!M63/input!O63)*K260-D260-G260-H260-I260)/(IF(input!O63=0,0,1/input!O63)*K260+2/input!M63*C260)</f>
        <v>1051.0000256425719</v>
      </c>
      <c r="AA260" s="73">
        <f>input!M63/2*(B260+F260+J260+K260-G260-D260-H260-I260+C260)/C260</f>
        <v>1051.0000256425722</v>
      </c>
      <c r="AB260" s="73">
        <f>(B260+F260+J260+K260+G260+C260-D260-H260-I260)/(IF(input!AH63=0,0,2/input!AH63)*G260+2/input!M63*C260)</f>
        <v>1051.0000256425719</v>
      </c>
      <c r="AC260" s="143">
        <f>input!H63/2*(B260+F260+K260+G260+C260-H260-I260+D260+J260)/D260</f>
        <v>45.747911188715058</v>
      </c>
      <c r="AD260" s="165">
        <f>IF(OR(L260=1,L260=8,L260="a",L260="b",L260="c",L260="d"),input!M63-M260+input!K63/2,IF(OR(L260=2,L260=9),input!H63-M260+input!M63+input!K63/2,input!R63+input!P63-M260+input!M63+input!K63/2))</f>
        <v>1553.9999743574278</v>
      </c>
      <c r="AE260" s="143">
        <f>IF(OR(L260=1,L260=8,L260="a",L260="b",L260="c",L260="d"),ABS(input!M63/2-M260),IF(OR(L260=2,L260=9),input!H63-M260+input!M63/2,input!R63+input!P63-M260+input!M63/2))</f>
        <v>248.99997435742785</v>
      </c>
      <c r="AF260" s="143">
        <f>IF(OR(L260=1,L260=8,L260="a",L260="b",L260="c",L260="d"),M260+input!H63/2,IF(OR(L260=2,L260=9),ABS(input!H63/2-M260),input!R63+input!P63-M260-input!H63/2))</f>
        <v>1062.0000256425722</v>
      </c>
      <c r="AG260" s="143">
        <f>IF(OR(L260=1,L260=8,L260="a",L260="b",L260="c",L260="d"),input!R63+input!P63/2+M260,IF(OR(L260=2,L260=9),input!R63+input!P63/2-input!H63+M260,ABS(input!P63/2-M260)))</f>
        <v>1196.0000256425722</v>
      </c>
      <c r="AH260" s="143">
        <f>IF(OR(L260=1,L260=8,L260="a",L260="b",L260="c",L260="d"),input!M63-M260-input!AE63/2,IF(OR(L260=2,L260=9),input!H63-M260+input!M63-input!AE63/2,input!R63+input!P63-M260+input!M63-input!AE63/2))</f>
        <v>1468.9999743574278</v>
      </c>
      <c r="AI260" s="143">
        <f>IF(OR(L260=1,L260=8,L260="a",L260="b",L260="c",L260="d"),M260-input!AH63/2,IF(OR(L260=2,L260=9),input!H63-M260+input!AH63/2,input!R63+input!P63-M260+input!AH63/2))</f>
        <v>1051.0000256425722</v>
      </c>
      <c r="AJ260" s="143">
        <f>IF(OR(L260=1,L260=8,L260="a",L260="b",L260="c",L260="d"),M260+input!R63+input!AB63,IF(OR(L260=2,L260=9),input!R63+input!AB63-input!H63+M260,IF(L260=3,input!AB63-(input!P63-M260),ABS(input!P63-input!AB63-M260))))</f>
        <v>1091.0000256425722</v>
      </c>
      <c r="AK260" s="143">
        <f>IF(OR(L260=1,L260=8,L260="a",L260="b",L260="c",L260="d"),M260+input!R63+input!P63-input!Y63,IF(OR(L260=2,L260=9),input!R63+input!P63-input!Y63-input!H63+M260,ABS(input!Y63-M260)))</f>
        <v>1291.0000256425722</v>
      </c>
      <c r="AL260" s="143">
        <f>IF(OR(L260=1,L260=8,L260="a",L260="b",L260="c",L260="d"),input!M63-M260-input!O63/2,IF(OR(L260=2,L260=9),input!H63-M260+input!M63-input!O63/2,0))</f>
        <v>1548.9999743574278</v>
      </c>
      <c r="AM260" s="143">
        <f>IF(OR(L260=1,L260=8,L260="a",L260="b",L260="c",L260="d"),input!M63-M260-input!O63/2,IF(OR(L260=2,L260=9),input!H63-M260+input!M63-input!O63/2,input!R63+input!P63-M260+input!M63-input!O63/2))</f>
        <v>1548.9999743574278</v>
      </c>
      <c r="AN260" s="143">
        <f>C260/2/input!M63*(M260^2+(input!M63-M260)^2)+B260*AD260+D260*AF260+E260*AG260+F260*AH260+G260*AI260+H260*AJ260+I260*AK260+J260*AM260</f>
        <v>100793737.16026336</v>
      </c>
      <c r="AO260" s="143">
        <f>IF(input!AH63=0,0,1/2/input!AH63)*G260*(M260^2+(input!AH63-M260)^2)+D260*AF260+F260*AH260+C260/2/input!M63*(M260^2+(input!M63-M260)^2)+B260*AD260+E260*AG260+H260*AJ260+I260*AK260+J260*AM260</f>
        <v>100793737.16026334</v>
      </c>
      <c r="AP260" s="143">
        <f>+D260/2/input!H63*(M260^2+(input!H63-M260)^2)+B260*AD260+F260*AH260+G260*AI260+C260*AE260+E260*AG260+H260*AJ260+I260*AK260+J260*AM260</f>
        <v>493484976.21182781</v>
      </c>
      <c r="AQ260" s="143">
        <f>+(M260^2)/2/input!P63*E260+D260*AF260+F260*AH260+G260*AI260+C260*AE260+B260*AD260+H260*AJ260+I260*AK260+J260*AM260</f>
        <v>124622151.14101128</v>
      </c>
      <c r="AR260" s="143">
        <f>+(M260^2)/2/input!P63*E260+D260*AF260+F260*AH260+G260*AI260+C260*AE260+B260*AD260+I260*AK260+J260*AM260</f>
        <v>122253078.5785313</v>
      </c>
      <c r="AS260" s="143">
        <f>+(M260^2)/2/input!P63*E260+D260*AF260+F260*AH260+G260*AI260+C260*AE260+B260*AD260+H260*AJ260+I260*AK260+J260*AM260</f>
        <v>124622151.14101128</v>
      </c>
      <c r="AT260" s="143">
        <f>+(M260^2)/2/input!P63*E260+D260*AF260+F260*AH260+G260*AI260+C260*AE260+B260*AD260+H260*AJ260+J260*AM260</f>
        <v>120668966.58843581</v>
      </c>
      <c r="AU260" s="143">
        <f>+(M260^2)/2/input!P63*E260+D260*AF260+F260*AH260+G260*AI260+C260*AE260+B260*AD260+H260*AJ260+I260*AK260+J260*AM260</f>
        <v>124622151.14101128</v>
      </c>
      <c r="AV260" s="143">
        <f>IF(input!AE63=0,0,1/2/input!AE63)*F260*((input!M63-M260)^2+(input!AE63-input!M63+M260)^2)+C260/2/input!M63*(M260^2+(M260-input!M63)^2)+IF(input!O63=0,0,1/2/input!O63)*K260*(input!M63-M260)^2+B260*AD260+G260*AI260+D260*AF260+H260*AJ260+I260*AK260+J260*AM260</f>
        <v>68018507.948334426</v>
      </c>
      <c r="AW260" s="143">
        <f>+C260/2/input!M63*(M260^2+(M260-input!M63)^2)+IF(input!O63=0,0,1/2/input!O63)*K260*(input!M63-M260)^2+B260*AD260+F260*AH260+G260*AI260+D260*AF260+H260*AJ260+I260*AK260+J260*AM260</f>
        <v>44557965.454552807</v>
      </c>
      <c r="AX260" s="143">
        <f>C260/2/input!M63*(M260^2+(M260-input!M63)^2)+K260*AL260+B260*AD260+F260*AH260+G260*AI260+D260*AF260+H260*AJ260+I260*AK260+J260*AM260</f>
        <v>44557965.454552807</v>
      </c>
      <c r="AY260" s="143">
        <f>C260/2/input!M63*(M260^2+(M260-input!M63)^2)+IF(input!AH63=0,0,1/2/input!AH63)*G260*(M260^2+(input!AH63-M260)^2)+K260*AL260+B260*AD260+F260*AH260+D260*AF260+H260*AJ260+I260*AK260+J260*AM260</f>
        <v>44557965.454552807</v>
      </c>
      <c r="AZ260" s="143">
        <f>D260/2/input!H63*(M260^2+(input!H63-M260)^2)+B260*AD260+K260*AL260+F260*AH260+C260*AE260+G260*AI260+H260*AJ260+I260*AK260+J260*AM260</f>
        <v>437249204.50611728</v>
      </c>
      <c r="BA260" s="185"/>
    </row>
    <row r="261" spans="1:53" ht="15" customHeight="1">
      <c r="A261" s="579" t="str">
        <f>+input!B64</f>
        <v>131j</v>
      </c>
      <c r="B261" s="642">
        <f>+input!J64*input!K64*input!BJ64/1000</f>
        <v>7372</v>
      </c>
      <c r="C261" s="642">
        <f>+input!BQ64*input!N64*2*input!BK64/1000</f>
        <v>22324.391705038681</v>
      </c>
      <c r="D261" s="642">
        <f>+input!F64*input!G64*input!H64*input!BI64/1000</f>
        <v>8360</v>
      </c>
      <c r="E261" s="642">
        <f>0.85*Fck*input!P64*input!Q64/1000</f>
        <v>47019.875</v>
      </c>
      <c r="F261" s="642">
        <f>input!AD64*input!AE64*input!AF64*input!BN64/1000</f>
        <v>1945.6</v>
      </c>
      <c r="G261" s="642">
        <f>input!AG64*input!AH64*input!AI64*input!BM64/1000</f>
        <v>0</v>
      </c>
      <c r="H261" s="642">
        <f>input!CB64*Fys/1000</f>
        <v>2171.4688421612645</v>
      </c>
      <c r="I261" s="642">
        <f>input!BZ64*Fys/1000</f>
        <v>3062.1103594539709</v>
      </c>
      <c r="J261" s="642">
        <f>input!AC64*Fys/1000</f>
        <v>0</v>
      </c>
      <c r="K261" s="642">
        <f>input!BT64*0.85*Fckb/1000</f>
        <v>0</v>
      </c>
      <c r="L261" s="795">
        <f>IF(Stress!F893&lt;=0,IF(B261+F261+(input!M64-2*input!AH64)/input!M64*C261+J261&gt;=G261+D261+E261+H261+I261,1,IF(B261+F261+C261+G261+J261&gt;=D261+E261+H261+I261,"a",IF(B261+F261+C261+G261+D261+J261&gt;=E261+H261+I261,2,IF(B261+F261+C261+G261+D261+J261&gt;=(input!P64-input!AB64)/input!P64*E261+H261+I261,3,IF(B261+F261+C261+G261+D261+H261+J261&gt;=(input!P64-input!AB64)/input!P64*E261+I261,4,IF(B261+F261+C261+G261+D261+H261+J261&gt;=input!Y64/input!P64*E261+I261,5,IF(B261+F261+C261+G261+D261+H261+I261+J261&gt;=input!Y64/input!P64*E261,6,7))))))),IF(B261+F261+IF(input!O64=0,0,input!AE64/input!O64)*K261+input!AE64/input!M64*C261&gt;=(input!M64-input!AE64)*C261/input!M64+G261+D261+H261+I261,"b",IF(B261+F261+K261+input!O64/input!M64*C261&gt;=(input!M64-input!O64)/input!M64*C261+G261+D261+H261+I261,"c",IF(B261+F261+J261+K261+(input!M64-input!AH64)/input!M64*C261&gt;=G261+D261+H261+I261,8,IF(B261+F261+J261+K261+C261+G261&gt;=D261+H261+I261,"d",9)))))</f>
        <v>5</v>
      </c>
      <c r="M261" s="643">
        <f t="shared" si="2"/>
        <v>241.22334554156799</v>
      </c>
      <c r="N261" s="493">
        <f t="shared" si="3"/>
        <v>60309.775133111158</v>
      </c>
      <c r="O261" s="766"/>
      <c r="Q261" s="73">
        <f>input!M64/2*((B261+F261+J261-G261-D261-E261-H261-I261)/C261+1)</f>
        <v>-1687.0740194479249</v>
      </c>
      <c r="R261" s="73">
        <f>(B261+F261+J261+C261+G261-D261-E261-H261-I261)/(2/input!M64*C261+IF(input!AH64=0,0,2/input!AH64)*G261)</f>
        <v>-1687.0740194479251</v>
      </c>
      <c r="S261" s="73">
        <f>input!H64/2*(B261+F261+J261+C261+G261-E261-H261-I261+D261)/D261</f>
        <v>-16.120345390232313</v>
      </c>
      <c r="T261" s="558">
        <f>input!P64*(B261+F261+J261+C261+G261+D261-H261-I261)/E261</f>
        <v>214.43782285667069</v>
      </c>
      <c r="U261" s="73">
        <f>input!P64-input!AB64</f>
        <v>250</v>
      </c>
      <c r="V261" s="558">
        <f>input!P64*(B261+F261+J261+C261+G261+D261+H261-I261)/E261</f>
        <v>241.22334554156799</v>
      </c>
      <c r="W261" s="73">
        <f>input!Y64</f>
        <v>50</v>
      </c>
      <c r="X261" s="558">
        <f>input!P64*(B261+F261+J261+C261+G261+D261+H261+I261)/E261</f>
        <v>278.99511776519256</v>
      </c>
      <c r="Y261" s="73">
        <f>(B261+C261+IF(input!O64=0,0,input!M64/input!O64)*K261+(IF(input!AE64=0,0,2*input!M64/input!AE64)-1)*F261-D261-G261-H261-I261)/(IF(input!AE64=0,0,2/input!AE64)*F261+IF(input!O64=0,0,1/input!O64)*K261+2/input!M64*C261)</f>
        <v>1865.1324744653764</v>
      </c>
      <c r="Z261" s="73">
        <f>(B261+C261+F261+IF(input!O64=0,0,input!M64/input!O64)*K261-D261-G261-H261-I261)/(IF(input!O64=0,0,1/input!O64)*K261+2/input!M64*C261)</f>
        <v>1051.0000256425719</v>
      </c>
      <c r="AA261" s="73">
        <f>input!M64/2*(B261+F261+J261+K261-G261-D261-H261-I261+C261)/C261</f>
        <v>1051.0000256425722</v>
      </c>
      <c r="AB261" s="73">
        <f>(B261+F261+J261+K261+G261+C261-D261-H261-I261)/(IF(input!AH64=0,0,2/input!AH64)*G261+2/input!M64*C261)</f>
        <v>1051.0000256425719</v>
      </c>
      <c r="AC261" s="143">
        <f>input!H64/2*(B261+F261+K261+G261+C261-H261-I261+D261+J261)/D261</f>
        <v>45.747911188715058</v>
      </c>
      <c r="AD261" s="165">
        <f>IF(OR(L261=1,L261=8,L261="a",L261="b",L261="c",L261="d"),input!M64-M261+input!K64/2,IF(OR(L261=2,L261=9),input!H64-M261+input!M64+input!K64/2,input!R64+input!P64-M261+input!M64+input!K64/2))</f>
        <v>2653.7766544584319</v>
      </c>
      <c r="AE261" s="143">
        <f>IF(OR(L261=1,L261=8,L261="a",L261="b",L261="c",L261="d"),ABS(input!M64/2-M261),IF(OR(L261=2,L261=9),input!H64-M261+input!M64/2,input!R64+input!P64-M261+input!M64/2))</f>
        <v>1348.7766544584319</v>
      </c>
      <c r="AF261" s="143">
        <f>IF(OR(L261=1,L261=8,L261="a",L261="b",L261="c",L261="d"),M261+input!H64/2,IF(OR(L261=2,L261=9),ABS(input!H64/2-M261),input!R64+input!P64-M261-input!H64/2))</f>
        <v>37.776654458432006</v>
      </c>
      <c r="AG261" s="143">
        <f>IF(OR(L261=1,L261=8,L261="a",L261="b",L261="c",L261="d"),input!R64+input!P64/2+M261,IF(OR(L261=2,L261=9),input!R64+input!P64/2-input!H64+M261,ABS(input!P64/2-M261)))</f>
        <v>96.223345541567994</v>
      </c>
      <c r="AH261" s="143">
        <f>IF(OR(L261=1,L261=8,L261="a",L261="b",L261="c",L261="d"),input!M64-M261-input!AE64/2,IF(OR(L261=2,L261=9),input!H64-M261+input!M64-input!AE64/2,input!R64+input!P64-M261+input!M64-input!AE64/2))</f>
        <v>2568.7766544584319</v>
      </c>
      <c r="AI261" s="143">
        <f>IF(OR(L261=1,L261=8,L261="a",L261="b",L261="c",L261="d"),M261-input!AH64/2,IF(OR(L261=2,L261=9),input!H64-M261+input!AH64/2,input!R64+input!P64-M261+input!AH64/2))</f>
        <v>48.776654458432006</v>
      </c>
      <c r="AJ261" s="143">
        <f>IF(OR(L261=1,L261=8,L261="a",L261="b",L261="c",L261="d"),M261+input!R64+input!AB64,IF(OR(L261=2,L261=9),input!R64+input!AB64-input!H64+M261,IF(L261=3,input!AB64-(input!P64-M261),ABS(input!P64-input!AB64-M261))))</f>
        <v>8.7766544584320059</v>
      </c>
      <c r="AK261" s="143">
        <f>IF(OR(L261=1,L261=8,L261="a",L261="b",L261="c",L261="d"),M261+input!R64+input!P64-input!Y64,IF(OR(L261=2,L261=9),input!R64+input!P64-input!Y64-input!H64+M261,ABS(input!Y64-M261)))</f>
        <v>191.22334554156799</v>
      </c>
      <c r="AL261" s="143">
        <f>IF(OR(L261=1,L261=8,L261="a",L261="b",L261="c",L261="d"),input!M64-M261-input!O64/2,IF(OR(L261=2,L261=9),input!H64-M261+input!M64-input!O64/2,0))</f>
        <v>0</v>
      </c>
      <c r="AM261" s="143">
        <f>IF(OR(L261=1,L261=8,L261="a",L261="b",L261="c",L261="d"),input!M64-M261-input!O64/2,IF(OR(L261=2,L261=9),input!H64-M261+input!M64-input!O64/2,input!R64+input!P64-M261+input!M64-input!O64/2))</f>
        <v>2648.7766544584319</v>
      </c>
      <c r="AN261" s="143">
        <f>C261/2/input!M64*(M261^2+(input!M64-M261)^2)+B261*AD261+D261*AF261+E261*AG261+F261*AH261+G261*AI261+H261*AJ261+I261*AK261+J261*AM261</f>
        <v>54142451.765301585</v>
      </c>
      <c r="AO261" s="143">
        <f>IF(input!AH64=0,0,1/2/input!AH64)*G261*(M261^2+(input!AH64-M261)^2)+D261*AF261+F261*AH261+C261/2/input!M64*(M261^2+(input!M64-M261)^2)+B261*AD261+E261*AG261+H261*AJ261+I261*AK261+J261*AM261</f>
        <v>54142451.765301585</v>
      </c>
      <c r="AP261" s="143">
        <f>+D261/2/input!H64*(M261^2+(input!H64-M261)^2)+B261*AD261+F261*AH261+G261*AI261+C261*AE261+E261*AG261+H261*AJ261+I261*AK261+J261*AM261</f>
        <v>79988126.367110893</v>
      </c>
      <c r="AQ261" s="143">
        <f>+(M261^2)/2/input!P64*E261+D261*AF261+F261*AH261+G261*AI261+C261*AE261+B261*AD261+H261*AJ261+I261*AK261+J261*AM261</f>
        <v>60309775.133111157</v>
      </c>
      <c r="AR261" s="143">
        <f>+(M261^2)/2/input!P64*E261+D261*AF261+F261*AH261+G261*AI261+C261*AE261+B261*AD261+I261*AK261+J261*AM261</f>
        <v>60290716.901416257</v>
      </c>
      <c r="AS261" s="143">
        <f>+(M261^2)/2/input!P64*E261+D261*AF261+F261*AH261+G261*AI261+C261*AE261+B261*AD261+H261*AJ261+I261*AK261+J261*AM261</f>
        <v>60309775.133111157</v>
      </c>
      <c r="AT261" s="143">
        <f>+(M261^2)/2/input!P64*E261+D261*AF261+F261*AH261+G261*AI261+C261*AE261+B261*AD261+H261*AJ261+J261*AM261</f>
        <v>59724228.145758875</v>
      </c>
      <c r="AU261" s="143">
        <f>+(M261^2)/2/input!P64*E261+D261*AF261+F261*AH261+G261*AI261+C261*AE261+B261*AD261+H261*AJ261+I261*AK261+J261*AM261</f>
        <v>60309775.133111157</v>
      </c>
      <c r="AV261" s="143">
        <f>IF(input!AE64=0,0,1/2/input!AE64)*F261*((input!M64-M261)^2+(input!AE64-input!M64+M261)^2)+C261/2/input!M64*(M261^2+(M261-input!M64)^2)+IF(input!O64=0,0,1/2/input!O64)*K261*(input!M64-M261)^2+B261*AD261+G261*AI261+D261*AF261+H261*AJ261+I261*AK261+J261*AM261</f>
        <v>107842782.40434287</v>
      </c>
      <c r="AW261" s="143">
        <f>+C261/2/input!M64*(M261^2+(M261-input!M64)^2)+IF(input!O64=0,0,1/2/input!O64)*K261*(input!M64-M261)^2+B261*AD261+F261*AH261+G261*AI261+D261*AF261+H261*AJ261+I261*AK261+J261*AM261</f>
        <v>49618042.085855253</v>
      </c>
      <c r="AX261" s="143">
        <f>C261/2/input!M64*(M261^2+(M261-input!M64)^2)+K261*AL261+B261*AD261+F261*AH261+G261*AI261+D261*AF261+H261*AJ261+I261*AK261+J261*AM261</f>
        <v>49618042.085855253</v>
      </c>
      <c r="AY261" s="143">
        <f>C261/2/input!M64*(M261^2+(M261-input!M64)^2)+IF(input!AH64=0,0,1/2/input!AH64)*G261*(M261^2+(input!AH64-M261)^2)+K261*AL261+B261*AD261+F261*AH261+D261*AF261+H261*AJ261+I261*AK261+J261*AM261</f>
        <v>49618042.085855253</v>
      </c>
      <c r="AZ261" s="143">
        <f>D261/2/input!H64*(M261^2+(input!H64-M261)^2)+B261*AD261+K261*AL261+F261*AH261+C261*AE261+G261*AI261+H261*AJ261+I261*AK261+J261*AM261</f>
        <v>75463716.687664554</v>
      </c>
      <c r="BA261" s="185"/>
    </row>
    <row r="262" spans="1:53" ht="15" customHeight="1">
      <c r="G262" s="4"/>
      <c r="H262" s="4"/>
      <c r="I262" s="4"/>
      <c r="O262" s="52"/>
    </row>
    <row r="263" spans="1:53" ht="15" customHeight="1">
      <c r="G263" s="4"/>
      <c r="H263" s="4"/>
      <c r="I263" s="4"/>
      <c r="L263" s="302"/>
      <c r="O263" s="52"/>
      <c r="Z263" s="302"/>
      <c r="AB263" s="302"/>
    </row>
    <row r="264" spans="1:53" ht="15" customHeight="1">
      <c r="A264" s="207" t="s">
        <v>726</v>
      </c>
      <c r="G264" s="4"/>
      <c r="H264" s="4"/>
      <c r="I264" s="4"/>
      <c r="L264" s="302"/>
      <c r="N264" s="137" t="s">
        <v>742</v>
      </c>
      <c r="Z264" s="302"/>
      <c r="AB264" s="302"/>
    </row>
    <row r="265" spans="1:53" ht="15" customHeight="1">
      <c r="A265" s="207"/>
      <c r="B265" s="143" t="s">
        <v>732</v>
      </c>
      <c r="G265" s="4"/>
      <c r="H265" s="4"/>
      <c r="I265" s="4"/>
      <c r="L265" s="302"/>
      <c r="O265" s="52"/>
      <c r="Z265" s="302"/>
      <c r="AB265" s="302"/>
    </row>
    <row r="266" spans="1:53" ht="15" customHeight="1">
      <c r="A266" s="207"/>
      <c r="G266" s="4"/>
      <c r="H266" s="4"/>
      <c r="I266" s="4"/>
      <c r="L266" s="302"/>
      <c r="O266" s="52"/>
      <c r="Z266" s="302"/>
      <c r="AB266" s="302"/>
    </row>
    <row r="267" spans="1:53" ht="15" customHeight="1">
      <c r="A267" s="207"/>
      <c r="G267" s="4"/>
      <c r="H267" s="4"/>
      <c r="I267" s="4"/>
      <c r="L267" s="302"/>
      <c r="O267" s="52"/>
      <c r="Z267" s="302"/>
      <c r="AB267" s="302"/>
    </row>
    <row r="268" spans="1:53" ht="15" customHeight="1">
      <c r="A268" s="207"/>
      <c r="G268" s="4"/>
      <c r="H268" s="4"/>
      <c r="I268" s="4"/>
      <c r="L268" s="302"/>
      <c r="O268" s="52"/>
      <c r="Z268" s="302"/>
      <c r="AB268" s="302"/>
    </row>
    <row r="269" spans="1:53" ht="15" customHeight="1">
      <c r="A269" s="207"/>
      <c r="G269" s="4"/>
      <c r="H269" s="4"/>
      <c r="I269" s="4"/>
      <c r="L269" s="302"/>
      <c r="O269" s="52"/>
      <c r="Z269" s="302"/>
      <c r="AB269" s="302"/>
    </row>
    <row r="270" spans="1:53" ht="15" customHeight="1">
      <c r="A270" s="207"/>
      <c r="G270" s="4"/>
      <c r="H270" s="4"/>
      <c r="I270" s="4"/>
      <c r="L270" s="302"/>
      <c r="O270" s="52"/>
      <c r="Z270" s="302"/>
      <c r="AB270" s="302"/>
    </row>
    <row r="271" spans="1:53" ht="15" customHeight="1">
      <c r="A271" s="207"/>
      <c r="F271" s="143" t="s">
        <v>752</v>
      </c>
      <c r="G271" s="4"/>
      <c r="H271" s="4"/>
      <c r="I271" s="4"/>
      <c r="L271" s="302"/>
      <c r="O271" s="52"/>
      <c r="Z271" s="302"/>
      <c r="AB271" s="302"/>
    </row>
    <row r="272" spans="1:53" ht="15" customHeight="1">
      <c r="A272" s="207"/>
      <c r="G272" s="4"/>
      <c r="H272" s="4"/>
      <c r="I272" s="4"/>
      <c r="L272" s="302"/>
      <c r="O272" s="52"/>
      <c r="Z272" s="302"/>
      <c r="AB272" s="302"/>
    </row>
    <row r="273" spans="1:43" ht="15" customHeight="1">
      <c r="A273" s="207"/>
      <c r="D273" s="143" t="s">
        <v>728</v>
      </c>
      <c r="F273" s="143" t="s">
        <v>729</v>
      </c>
      <c r="H273" s="4"/>
      <c r="I273" s="4"/>
      <c r="L273" s="302"/>
      <c r="O273" s="52"/>
      <c r="Z273" s="302"/>
      <c r="AB273" s="302"/>
    </row>
    <row r="274" spans="1:43" ht="15" customHeight="1">
      <c r="A274" s="207"/>
      <c r="F274" s="143" t="s">
        <v>730</v>
      </c>
      <c r="H274" s="4"/>
      <c r="I274" s="4"/>
      <c r="L274" s="302"/>
      <c r="O274" s="52"/>
      <c r="Z274" s="302"/>
      <c r="AB274" s="302"/>
    </row>
    <row r="275" spans="1:43" ht="15" customHeight="1">
      <c r="A275" s="207"/>
      <c r="F275" s="143" t="s">
        <v>731</v>
      </c>
      <c r="H275" s="4"/>
      <c r="I275" s="4"/>
      <c r="L275" s="302"/>
      <c r="O275" s="52"/>
      <c r="Z275" s="302"/>
      <c r="AB275" s="302"/>
    </row>
    <row r="276" spans="1:43" ht="15" customHeight="1">
      <c r="A276" s="207"/>
      <c r="B276" s="143" t="s">
        <v>733</v>
      </c>
      <c r="G276" s="4"/>
      <c r="H276" s="4"/>
      <c r="I276" s="4"/>
      <c r="L276" s="302"/>
      <c r="O276" s="52"/>
      <c r="Z276" s="302"/>
      <c r="AB276" s="302"/>
    </row>
    <row r="277" spans="1:43" ht="15" customHeight="1">
      <c r="A277" s="207"/>
      <c r="F277" s="143" t="s">
        <v>727</v>
      </c>
      <c r="G277" s="4"/>
      <c r="H277" s="4"/>
      <c r="I277" s="4"/>
      <c r="L277" s="302"/>
      <c r="O277" s="52"/>
      <c r="Z277" s="302"/>
      <c r="AB277" s="302"/>
    </row>
    <row r="278" spans="1:43" ht="15" customHeight="1">
      <c r="A278" s="207"/>
      <c r="G278" s="4"/>
      <c r="H278" s="4"/>
      <c r="I278" s="4"/>
      <c r="L278" s="302"/>
      <c r="O278" s="52"/>
      <c r="Z278" s="302"/>
      <c r="AB278" s="302"/>
    </row>
    <row r="279" spans="1:43" ht="15" customHeight="1" thickBot="1">
      <c r="A279" s="468" t="s">
        <v>1631</v>
      </c>
      <c r="D279" s="4"/>
      <c r="E279" s="4"/>
      <c r="F279" s="4"/>
      <c r="I279" s="466"/>
      <c r="Z279" s="466"/>
      <c r="AB279" s="466"/>
    </row>
    <row r="280" spans="1:43" ht="15" customHeight="1">
      <c r="A280" s="535" t="s">
        <v>16</v>
      </c>
      <c r="B280" s="536" t="s">
        <v>744</v>
      </c>
      <c r="C280" s="536" t="s">
        <v>745</v>
      </c>
      <c r="D280" s="536" t="s">
        <v>746</v>
      </c>
      <c r="E280" s="536" t="s">
        <v>747</v>
      </c>
      <c r="F280" s="536" t="s">
        <v>748</v>
      </c>
      <c r="G280" s="536" t="s">
        <v>734</v>
      </c>
      <c r="H280" s="536" t="s">
        <v>735</v>
      </c>
      <c r="I280" s="478" t="s">
        <v>736</v>
      </c>
      <c r="V280" s="73"/>
      <c r="W280" s="73"/>
      <c r="X280" s="73"/>
      <c r="Y280" s="73"/>
      <c r="Z280" s="73"/>
      <c r="AA280" s="73"/>
      <c r="AB280" s="73"/>
      <c r="AC280" s="73"/>
      <c r="AE280" s="73"/>
      <c r="AI280" s="143"/>
      <c r="AJ280" s="143"/>
      <c r="AK280" s="143"/>
      <c r="AL280" s="143"/>
      <c r="AM280" s="143"/>
      <c r="AN280" s="143"/>
      <c r="AO280" s="143"/>
      <c r="AP280" s="143"/>
      <c r="AQ280" s="143"/>
    </row>
    <row r="281" spans="1:43" ht="15" customHeight="1">
      <c r="A281" s="537"/>
      <c r="B281" s="262"/>
      <c r="C281" s="262"/>
      <c r="D281" s="262"/>
      <c r="E281" s="262"/>
      <c r="F281" s="262"/>
      <c r="G281" s="262"/>
      <c r="H281" s="262"/>
      <c r="I281" s="481"/>
      <c r="V281" s="73"/>
      <c r="W281" s="73"/>
      <c r="X281" s="73"/>
      <c r="Y281" s="73"/>
      <c r="Z281" s="73"/>
      <c r="AA281" s="73"/>
      <c r="AB281" s="73"/>
      <c r="AC281" s="73"/>
      <c r="AE281" s="73"/>
      <c r="AI281" s="143"/>
      <c r="AJ281" s="143"/>
      <c r="AK281" s="143"/>
      <c r="AL281" s="143"/>
      <c r="AM281" s="143"/>
      <c r="AN281" s="143"/>
      <c r="AO281" s="143"/>
      <c r="AP281" s="143"/>
      <c r="AQ281" s="143"/>
    </row>
    <row r="282" spans="1:43" ht="15" customHeight="1">
      <c r="A282" s="835" t="str">
        <f>+input!B3</f>
        <v>101i</v>
      </c>
      <c r="B282" s="836">
        <f>Stress!E49</f>
        <v>0</v>
      </c>
      <c r="C282" s="836">
        <f>Stress!F49</f>
        <v>0</v>
      </c>
      <c r="D282" s="836">
        <f>Stress!G49</f>
        <v>-0.03</v>
      </c>
      <c r="E282" s="836">
        <f>Stress!H49</f>
        <v>0</v>
      </c>
      <c r="F282" s="836">
        <f>Stress!I49</f>
        <v>0.01</v>
      </c>
      <c r="G282" s="836">
        <f t="shared" ref="G282:G313" si="4">1.25*(B282+C282)</f>
        <v>0</v>
      </c>
      <c r="H282" s="836">
        <f t="shared" ref="H282:H313" si="5">1.25*D282</f>
        <v>-3.7499999999999999E-2</v>
      </c>
      <c r="I282" s="837">
        <f t="shared" ref="I282:I313" si="6">1.25*E282+1.5*F282</f>
        <v>1.4999999999999999E-2</v>
      </c>
      <c r="V282" s="73"/>
      <c r="W282" s="73"/>
      <c r="X282" s="73"/>
      <c r="Y282" s="73"/>
      <c r="Z282" s="73"/>
      <c r="AA282" s="73"/>
      <c r="AB282" s="559"/>
      <c r="AC282" s="73"/>
      <c r="AE282" s="73"/>
      <c r="AI282" s="143"/>
      <c r="AJ282" s="143"/>
      <c r="AK282" s="143"/>
      <c r="AL282" s="143"/>
      <c r="AM282" s="143"/>
      <c r="AN282" s="143"/>
      <c r="AO282" s="143"/>
      <c r="AP282" s="143"/>
      <c r="AQ282" s="143"/>
    </row>
    <row r="283" spans="1:43" ht="15" customHeight="1">
      <c r="A283" s="835" t="str">
        <f>+input!B4</f>
        <v>101j</v>
      </c>
      <c r="B283" s="836">
        <f>Stress!E50</f>
        <v>-1.92</v>
      </c>
      <c r="C283" s="836">
        <f>Stress!F50</f>
        <v>0</v>
      </c>
      <c r="D283" s="836">
        <f>Stress!G50</f>
        <v>-8.81</v>
      </c>
      <c r="E283" s="836">
        <f>Stress!H50</f>
        <v>-1.22</v>
      </c>
      <c r="F283" s="836">
        <f>Stress!I50</f>
        <v>-1.2</v>
      </c>
      <c r="G283" s="836">
        <f t="shared" si="4"/>
        <v>-2.4</v>
      </c>
      <c r="H283" s="836">
        <f t="shared" si="5"/>
        <v>-11.012500000000001</v>
      </c>
      <c r="I283" s="837">
        <f t="shared" si="6"/>
        <v>-3.3249999999999997</v>
      </c>
      <c r="V283" s="73"/>
      <c r="W283" s="73"/>
      <c r="X283" s="73"/>
      <c r="Y283" s="73"/>
      <c r="Z283" s="73"/>
      <c r="AA283" s="73"/>
      <c r="AB283" s="559"/>
      <c r="AC283" s="73"/>
      <c r="AE283" s="73"/>
      <c r="AI283" s="143"/>
      <c r="AJ283" s="143"/>
      <c r="AK283" s="143"/>
      <c r="AL283" s="143"/>
      <c r="AM283" s="143"/>
      <c r="AN283" s="143"/>
      <c r="AO283" s="143"/>
      <c r="AP283" s="143"/>
      <c r="AQ283" s="143"/>
    </row>
    <row r="284" spans="1:43" ht="15" customHeight="1">
      <c r="A284" s="835" t="str">
        <f>+input!B5</f>
        <v>102i</v>
      </c>
      <c r="B284" s="836">
        <f>Stress!E51</f>
        <v>-1.93</v>
      </c>
      <c r="C284" s="836">
        <f>Stress!F51</f>
        <v>0</v>
      </c>
      <c r="D284" s="836">
        <f>Stress!G51</f>
        <v>-8.84</v>
      </c>
      <c r="E284" s="836">
        <f>Stress!H51</f>
        <v>-1.21</v>
      </c>
      <c r="F284" s="836">
        <f>Stress!I51</f>
        <v>-1.1599999999999999</v>
      </c>
      <c r="G284" s="836">
        <f t="shared" si="4"/>
        <v>-2.4125000000000001</v>
      </c>
      <c r="H284" s="836">
        <f t="shared" si="5"/>
        <v>-11.05</v>
      </c>
      <c r="I284" s="837">
        <f t="shared" si="6"/>
        <v>-3.2524999999999995</v>
      </c>
      <c r="V284" s="73"/>
      <c r="W284" s="73"/>
      <c r="X284" s="73"/>
      <c r="Y284" s="73"/>
      <c r="Z284" s="73"/>
      <c r="AA284" s="73"/>
      <c r="AB284" s="559"/>
      <c r="AC284" s="73"/>
      <c r="AE284" s="73"/>
      <c r="AI284" s="143"/>
      <c r="AJ284" s="143"/>
      <c r="AK284" s="143"/>
      <c r="AL284" s="143"/>
      <c r="AM284" s="143"/>
      <c r="AN284" s="143"/>
      <c r="AO284" s="143"/>
      <c r="AP284" s="143"/>
      <c r="AQ284" s="143"/>
    </row>
    <row r="285" spans="1:43" ht="15" customHeight="1">
      <c r="A285" s="835" t="str">
        <f>+input!B6</f>
        <v>102j</v>
      </c>
      <c r="B285" s="836">
        <f>Stress!E52</f>
        <v>1731.44</v>
      </c>
      <c r="C285" s="836">
        <f>Stress!F52</f>
        <v>2.12</v>
      </c>
      <c r="D285" s="836">
        <f>Stress!G52</f>
        <v>3569.13</v>
      </c>
      <c r="E285" s="836">
        <f>Stress!H52</f>
        <v>839.05</v>
      </c>
      <c r="F285" s="836">
        <f>Stress!I52</f>
        <v>737.07</v>
      </c>
      <c r="G285" s="836">
        <f t="shared" si="4"/>
        <v>2166.9499999999998</v>
      </c>
      <c r="H285" s="836">
        <f t="shared" si="5"/>
        <v>4461.4125000000004</v>
      </c>
      <c r="I285" s="837">
        <f t="shared" si="6"/>
        <v>2154.4175</v>
      </c>
      <c r="V285" s="73"/>
      <c r="W285" s="73"/>
      <c r="X285" s="73"/>
      <c r="Y285" s="73"/>
      <c r="Z285" s="73"/>
      <c r="AA285" s="73"/>
      <c r="AB285" s="73"/>
      <c r="AC285" s="73"/>
      <c r="AE285" s="73"/>
      <c r="AI285" s="143"/>
      <c r="AJ285" s="143"/>
      <c r="AK285" s="143"/>
      <c r="AL285" s="143"/>
      <c r="AM285" s="143"/>
      <c r="AN285" s="143"/>
      <c r="AO285" s="143"/>
      <c r="AP285" s="143"/>
      <c r="AQ285" s="143"/>
    </row>
    <row r="286" spans="1:43" ht="15" customHeight="1">
      <c r="A286" s="835" t="str">
        <f>+input!B7</f>
        <v>103i</v>
      </c>
      <c r="B286" s="836">
        <f>Stress!E53</f>
        <v>1731.43</v>
      </c>
      <c r="C286" s="836">
        <f>Stress!F53</f>
        <v>2.12</v>
      </c>
      <c r="D286" s="836">
        <f>Stress!G53</f>
        <v>3569.12</v>
      </c>
      <c r="E286" s="836">
        <f>Stress!H53</f>
        <v>839.05</v>
      </c>
      <c r="F286" s="836">
        <f>Stress!I53</f>
        <v>737.07</v>
      </c>
      <c r="G286" s="836">
        <f t="shared" si="4"/>
        <v>2166.9375</v>
      </c>
      <c r="H286" s="836">
        <f t="shared" si="5"/>
        <v>4461.3999999999996</v>
      </c>
      <c r="I286" s="837">
        <f t="shared" si="6"/>
        <v>2154.4175</v>
      </c>
      <c r="V286" s="73"/>
      <c r="W286" s="73"/>
      <c r="X286" s="73"/>
      <c r="Y286" s="73"/>
      <c r="Z286" s="73"/>
      <c r="AA286" s="73"/>
      <c r="AB286" s="73"/>
      <c r="AC286" s="73"/>
      <c r="AE286" s="73"/>
      <c r="AI286" s="143"/>
      <c r="AJ286" s="143"/>
      <c r="AK286" s="143"/>
      <c r="AL286" s="143"/>
      <c r="AM286" s="143"/>
      <c r="AN286" s="143"/>
      <c r="AO286" s="143"/>
      <c r="AP286" s="143"/>
      <c r="AQ286" s="143"/>
    </row>
    <row r="287" spans="1:43" ht="15" customHeight="1">
      <c r="A287" s="835" t="str">
        <f>+input!B8</f>
        <v>103j</v>
      </c>
      <c r="B287" s="836">
        <f>Stress!E54</f>
        <v>3983.77</v>
      </c>
      <c r="C287" s="836">
        <f>Stress!F54</f>
        <v>5.08</v>
      </c>
      <c r="D287" s="836">
        <f>Stress!G54</f>
        <v>8032.88</v>
      </c>
      <c r="E287" s="836">
        <f>Stress!H54</f>
        <v>1917.72</v>
      </c>
      <c r="F287" s="836">
        <f>Stress!I54</f>
        <v>1677.12</v>
      </c>
      <c r="G287" s="836">
        <f t="shared" si="4"/>
        <v>4986.0625</v>
      </c>
      <c r="H287" s="836">
        <f t="shared" si="5"/>
        <v>10041.1</v>
      </c>
      <c r="I287" s="837">
        <f t="shared" si="6"/>
        <v>4912.83</v>
      </c>
      <c r="V287" s="73"/>
      <c r="W287" s="73"/>
      <c r="X287" s="73"/>
      <c r="Y287" s="73"/>
      <c r="Z287" s="73"/>
      <c r="AA287" s="73"/>
      <c r="AB287" s="73"/>
      <c r="AC287" s="73"/>
      <c r="AE287" s="73"/>
      <c r="AI287" s="143"/>
      <c r="AJ287" s="143"/>
      <c r="AK287" s="143"/>
      <c r="AL287" s="143"/>
      <c r="AM287" s="143"/>
      <c r="AN287" s="143"/>
      <c r="AO287" s="143"/>
      <c r="AP287" s="143"/>
      <c r="AQ287" s="143"/>
    </row>
    <row r="288" spans="1:43" ht="15" customHeight="1">
      <c r="A288" s="835" t="str">
        <f>+input!B9</f>
        <v>104i</v>
      </c>
      <c r="B288" s="836">
        <f>Stress!E55</f>
        <v>3983.74</v>
      </c>
      <c r="C288" s="836">
        <f>Stress!F55</f>
        <v>5.08</v>
      </c>
      <c r="D288" s="836">
        <f>Stress!G55</f>
        <v>8032.88</v>
      </c>
      <c r="E288" s="836">
        <f>Stress!H55</f>
        <v>1917.7</v>
      </c>
      <c r="F288" s="836">
        <f>Stress!I55</f>
        <v>1677.12</v>
      </c>
      <c r="G288" s="836">
        <f t="shared" si="4"/>
        <v>4986.0249999999996</v>
      </c>
      <c r="H288" s="836">
        <f t="shared" si="5"/>
        <v>10041.1</v>
      </c>
      <c r="I288" s="837">
        <f t="shared" si="6"/>
        <v>4912.8050000000003</v>
      </c>
      <c r="V288" s="73"/>
      <c r="W288" s="73"/>
      <c r="X288" s="73"/>
      <c r="Y288" s="73"/>
      <c r="Z288" s="73"/>
      <c r="AA288" s="73"/>
      <c r="AB288" s="73"/>
      <c r="AC288" s="73"/>
      <c r="AE288" s="73"/>
      <c r="AI288" s="143"/>
      <c r="AJ288" s="143"/>
      <c r="AK288" s="143"/>
      <c r="AL288" s="143"/>
      <c r="AM288" s="143"/>
      <c r="AN288" s="143"/>
      <c r="AO288" s="143"/>
      <c r="AP288" s="143"/>
      <c r="AQ288" s="143"/>
    </row>
    <row r="289" spans="1:43" ht="15" customHeight="1">
      <c r="A289" s="835" t="str">
        <f>+input!B10</f>
        <v>104j</v>
      </c>
      <c r="B289" s="836">
        <f>Stress!E56</f>
        <v>6617.31</v>
      </c>
      <c r="C289" s="836">
        <f>Stress!F56</f>
        <v>9.11</v>
      </c>
      <c r="D289" s="836">
        <f>Stress!G56</f>
        <v>12938.79</v>
      </c>
      <c r="E289" s="836">
        <f>Stress!H56</f>
        <v>3093.97</v>
      </c>
      <c r="F289" s="836">
        <f>Stress!I56</f>
        <v>2716.56</v>
      </c>
      <c r="G289" s="836">
        <f t="shared" si="4"/>
        <v>8283.0249999999996</v>
      </c>
      <c r="H289" s="836">
        <f t="shared" si="5"/>
        <v>16173.487500000001</v>
      </c>
      <c r="I289" s="837">
        <f t="shared" si="6"/>
        <v>7942.3024999999998</v>
      </c>
      <c r="V289" s="73"/>
      <c r="W289" s="73"/>
      <c r="X289" s="73"/>
      <c r="Y289" s="73"/>
      <c r="Z289" s="73"/>
      <c r="AA289" s="73"/>
      <c r="AB289" s="73"/>
      <c r="AC289" s="73"/>
      <c r="AE289" s="73"/>
      <c r="AI289" s="143"/>
      <c r="AJ289" s="143"/>
      <c r="AK289" s="143"/>
      <c r="AL289" s="143"/>
      <c r="AM289" s="143"/>
      <c r="AN289" s="143"/>
      <c r="AO289" s="143"/>
      <c r="AP289" s="143"/>
      <c r="AQ289" s="143"/>
    </row>
    <row r="290" spans="1:43" ht="15" customHeight="1">
      <c r="A290" s="835" t="str">
        <f>+input!B11</f>
        <v>105i</v>
      </c>
      <c r="B290" s="836">
        <f>Stress!E57</f>
        <v>6617.28</v>
      </c>
      <c r="C290" s="836">
        <f>Stress!F57</f>
        <v>9.11</v>
      </c>
      <c r="D290" s="836">
        <f>Stress!G57</f>
        <v>12938.75</v>
      </c>
      <c r="E290" s="836">
        <f>Stress!H57</f>
        <v>3094</v>
      </c>
      <c r="F290" s="836">
        <f>Stress!I57</f>
        <v>2716.57</v>
      </c>
      <c r="G290" s="836">
        <f t="shared" si="4"/>
        <v>8282.9874999999993</v>
      </c>
      <c r="H290" s="836">
        <f t="shared" si="5"/>
        <v>16173.4375</v>
      </c>
      <c r="I290" s="837">
        <f t="shared" si="6"/>
        <v>7942.3550000000005</v>
      </c>
      <c r="V290" s="73"/>
      <c r="W290" s="73"/>
      <c r="X290" s="73"/>
      <c r="Y290" s="73"/>
      <c r="Z290" s="73"/>
      <c r="AA290" s="73"/>
      <c r="AB290" s="73"/>
      <c r="AC290" s="73"/>
      <c r="AE290" s="73"/>
      <c r="AI290" s="143"/>
      <c r="AJ290" s="143"/>
      <c r="AK290" s="143"/>
      <c r="AL290" s="143"/>
      <c r="AM290" s="143"/>
      <c r="AN290" s="143"/>
      <c r="AO290" s="143"/>
      <c r="AP290" s="143"/>
      <c r="AQ290" s="143"/>
    </row>
    <row r="291" spans="1:43" ht="15" customHeight="1">
      <c r="A291" s="835" t="str">
        <f>+input!B12</f>
        <v>105j</v>
      </c>
      <c r="B291" s="836">
        <f>Stress!E58</f>
        <v>8810.4500000000007</v>
      </c>
      <c r="C291" s="836">
        <f>Stress!F58</f>
        <v>13.13</v>
      </c>
      <c r="D291" s="836">
        <f>Stress!G58</f>
        <v>16949.810000000001</v>
      </c>
      <c r="E291" s="836">
        <f>Stress!H58</f>
        <v>4068.96</v>
      </c>
      <c r="F291" s="836">
        <f>Stress!I58</f>
        <v>3563</v>
      </c>
      <c r="G291" s="836">
        <f t="shared" si="4"/>
        <v>11029.475</v>
      </c>
      <c r="H291" s="836">
        <f t="shared" si="5"/>
        <v>21187.262500000001</v>
      </c>
      <c r="I291" s="837">
        <f t="shared" si="6"/>
        <v>10430.700000000001</v>
      </c>
      <c r="V291" s="73"/>
      <c r="W291" s="73"/>
      <c r="X291" s="73"/>
      <c r="Y291" s="73"/>
      <c r="Z291" s="73"/>
      <c r="AA291" s="73"/>
      <c r="AB291" s="73"/>
      <c r="AC291" s="73"/>
      <c r="AE291" s="73"/>
      <c r="AI291" s="143"/>
      <c r="AJ291" s="143"/>
      <c r="AK291" s="143"/>
      <c r="AL291" s="143"/>
      <c r="AM291" s="143"/>
      <c r="AN291" s="143"/>
      <c r="AO291" s="143"/>
      <c r="AP291" s="143"/>
      <c r="AQ291" s="143"/>
    </row>
    <row r="292" spans="1:43" ht="15" customHeight="1">
      <c r="A292" s="835" t="str">
        <f>+input!B13</f>
        <v>106i</v>
      </c>
      <c r="B292" s="836">
        <f>Stress!E59</f>
        <v>8810.48</v>
      </c>
      <c r="C292" s="836">
        <f>Stress!F59</f>
        <v>13.13</v>
      </c>
      <c r="D292" s="836">
        <f>Stress!G59</f>
        <v>16949.71</v>
      </c>
      <c r="E292" s="836">
        <f>Stress!H59</f>
        <v>4068.95</v>
      </c>
      <c r="F292" s="836">
        <f>Stress!I59</f>
        <v>3563.02</v>
      </c>
      <c r="G292" s="836">
        <f t="shared" si="4"/>
        <v>11029.512499999999</v>
      </c>
      <c r="H292" s="836">
        <f t="shared" si="5"/>
        <v>21187.137499999997</v>
      </c>
      <c r="I292" s="837">
        <f t="shared" si="6"/>
        <v>10430.717499999999</v>
      </c>
      <c r="V292" s="73"/>
      <c r="W292" s="73"/>
      <c r="X292" s="73"/>
      <c r="Y292" s="73"/>
      <c r="Z292" s="73"/>
      <c r="AA292" s="73"/>
      <c r="AB292" s="73"/>
      <c r="AC292" s="73"/>
      <c r="AE292" s="73"/>
      <c r="AI292" s="143"/>
      <c r="AJ292" s="143"/>
      <c r="AK292" s="143"/>
      <c r="AL292" s="143"/>
      <c r="AM292" s="143"/>
      <c r="AN292" s="143"/>
      <c r="AO292" s="143"/>
      <c r="AP292" s="143"/>
      <c r="AQ292" s="143"/>
    </row>
    <row r="293" spans="1:43" ht="15" customHeight="1">
      <c r="A293" s="835" t="str">
        <f>+input!B14</f>
        <v>106j</v>
      </c>
      <c r="B293" s="836">
        <f>Stress!E60</f>
        <v>10413.719999999999</v>
      </c>
      <c r="C293" s="836">
        <f>Stress!F60</f>
        <v>17.16</v>
      </c>
      <c r="D293" s="836">
        <f>Stress!G60</f>
        <v>19658.7</v>
      </c>
      <c r="E293" s="836">
        <f>Stress!H60</f>
        <v>4719.8999999999996</v>
      </c>
      <c r="F293" s="836">
        <f>Stress!I60</f>
        <v>4141.9799999999996</v>
      </c>
      <c r="G293" s="836">
        <f t="shared" si="4"/>
        <v>13038.599999999999</v>
      </c>
      <c r="H293" s="836">
        <f t="shared" si="5"/>
        <v>24573.375</v>
      </c>
      <c r="I293" s="837">
        <f t="shared" si="6"/>
        <v>12112.844999999999</v>
      </c>
      <c r="V293" s="73"/>
      <c r="W293" s="73"/>
      <c r="X293" s="73"/>
      <c r="Y293" s="73"/>
      <c r="Z293" s="73"/>
      <c r="AA293" s="73"/>
      <c r="AB293" s="73"/>
      <c r="AC293" s="73"/>
      <c r="AE293" s="73"/>
      <c r="AI293" s="143"/>
      <c r="AJ293" s="143"/>
      <c r="AK293" s="143"/>
      <c r="AL293" s="143"/>
      <c r="AM293" s="143"/>
      <c r="AN293" s="143"/>
      <c r="AO293" s="143"/>
      <c r="AP293" s="143"/>
      <c r="AQ293" s="143"/>
    </row>
    <row r="294" spans="1:43" ht="15" customHeight="1">
      <c r="A294" s="835" t="str">
        <f>+input!B15</f>
        <v>107i</v>
      </c>
      <c r="B294" s="836">
        <f>Stress!E61</f>
        <v>10413.700000000001</v>
      </c>
      <c r="C294" s="836">
        <f>Stress!F61</f>
        <v>17.16</v>
      </c>
      <c r="D294" s="836">
        <f>Stress!G61</f>
        <v>19658.689999999999</v>
      </c>
      <c r="E294" s="836">
        <f>Stress!H61</f>
        <v>4719.87</v>
      </c>
      <c r="F294" s="836">
        <f>Stress!I61</f>
        <v>4141.9799999999996</v>
      </c>
      <c r="G294" s="836">
        <f t="shared" si="4"/>
        <v>13038.575000000001</v>
      </c>
      <c r="H294" s="836">
        <f t="shared" si="5"/>
        <v>24573.362499999999</v>
      </c>
      <c r="I294" s="837">
        <f t="shared" si="6"/>
        <v>12112.807499999999</v>
      </c>
      <c r="V294" s="73"/>
      <c r="W294" s="73"/>
      <c r="X294" s="73"/>
      <c r="Y294" s="73"/>
      <c r="Z294" s="73"/>
      <c r="AA294" s="73"/>
      <c r="AB294" s="73"/>
      <c r="AC294" s="73"/>
      <c r="AE294" s="73"/>
      <c r="AI294" s="143"/>
      <c r="AJ294" s="143"/>
      <c r="AK294" s="143"/>
      <c r="AL294" s="143"/>
      <c r="AM294" s="143"/>
      <c r="AN294" s="143"/>
      <c r="AO294" s="143"/>
      <c r="AP294" s="143"/>
      <c r="AQ294" s="143"/>
    </row>
    <row r="295" spans="1:43" ht="15" customHeight="1">
      <c r="A295" s="835" t="str">
        <f>+input!B16</f>
        <v>107j</v>
      </c>
      <c r="B295" s="836">
        <f>Stress!E62</f>
        <v>11491.86</v>
      </c>
      <c r="C295" s="836">
        <f>Stress!F62</f>
        <v>21.18</v>
      </c>
      <c r="D295" s="836">
        <f>Stress!G62</f>
        <v>21472.55</v>
      </c>
      <c r="E295" s="836">
        <f>Stress!H62</f>
        <v>5169.4799999999996</v>
      </c>
      <c r="F295" s="836">
        <f>Stress!I62</f>
        <v>4528.01</v>
      </c>
      <c r="G295" s="836">
        <f t="shared" si="4"/>
        <v>14391.300000000001</v>
      </c>
      <c r="H295" s="836">
        <f t="shared" si="5"/>
        <v>26840.6875</v>
      </c>
      <c r="I295" s="837">
        <f t="shared" si="6"/>
        <v>13253.865</v>
      </c>
      <c r="V295" s="73"/>
      <c r="W295" s="73"/>
      <c r="X295" s="73"/>
      <c r="Y295" s="73"/>
      <c r="Z295" s="73"/>
      <c r="AA295" s="73"/>
      <c r="AB295" s="73"/>
      <c r="AC295" s="73"/>
      <c r="AE295" s="73"/>
      <c r="AI295" s="143"/>
      <c r="AJ295" s="143"/>
      <c r="AK295" s="143"/>
      <c r="AL295" s="143"/>
      <c r="AM295" s="143"/>
      <c r="AN295" s="143"/>
      <c r="AO295" s="143"/>
      <c r="AP295" s="143"/>
      <c r="AQ295" s="143"/>
    </row>
    <row r="296" spans="1:43" ht="15" customHeight="1">
      <c r="A296" s="835" t="str">
        <f>+input!B17</f>
        <v>108i</v>
      </c>
      <c r="B296" s="836">
        <f>Stress!E63</f>
        <v>11491.83</v>
      </c>
      <c r="C296" s="836">
        <f>Stress!F63</f>
        <v>21.18</v>
      </c>
      <c r="D296" s="836">
        <f>Stress!G63</f>
        <v>21472.54</v>
      </c>
      <c r="E296" s="836">
        <f>Stress!H63</f>
        <v>5169.4799999999996</v>
      </c>
      <c r="F296" s="836">
        <f>Stress!I63</f>
        <v>4527.96</v>
      </c>
      <c r="G296" s="836">
        <f t="shared" si="4"/>
        <v>14391.262500000001</v>
      </c>
      <c r="H296" s="836">
        <f t="shared" si="5"/>
        <v>26840.675000000003</v>
      </c>
      <c r="I296" s="837">
        <f t="shared" si="6"/>
        <v>13253.79</v>
      </c>
      <c r="V296" s="73"/>
      <c r="W296" s="73"/>
      <c r="X296" s="73"/>
      <c r="Y296" s="73"/>
      <c r="Z296" s="73"/>
      <c r="AA296" s="73"/>
      <c r="AB296" s="73"/>
      <c r="AC296" s="73"/>
      <c r="AE296" s="73"/>
      <c r="AI296" s="143"/>
      <c r="AJ296" s="143"/>
      <c r="AK296" s="143"/>
      <c r="AL296" s="143"/>
      <c r="AM296" s="143"/>
      <c r="AN296" s="143"/>
      <c r="AO296" s="143"/>
      <c r="AP296" s="143"/>
      <c r="AQ296" s="143"/>
    </row>
    <row r="297" spans="1:43" ht="15" customHeight="1">
      <c r="A297" s="835" t="str">
        <f>+input!B18</f>
        <v>108j</v>
      </c>
      <c r="B297" s="836">
        <f>Stress!E64</f>
        <v>11912.56</v>
      </c>
      <c r="C297" s="836">
        <f>Stress!F64</f>
        <v>25.2</v>
      </c>
      <c r="D297" s="836">
        <f>Stress!G64</f>
        <v>21961.119999999999</v>
      </c>
      <c r="E297" s="836">
        <f>Stress!H64</f>
        <v>5291.55</v>
      </c>
      <c r="F297" s="836">
        <f>Stress!I64</f>
        <v>4644.6099999999997</v>
      </c>
      <c r="G297" s="836">
        <f t="shared" si="4"/>
        <v>14922.2</v>
      </c>
      <c r="H297" s="836">
        <f t="shared" si="5"/>
        <v>27451.399999999998</v>
      </c>
      <c r="I297" s="837">
        <f t="shared" si="6"/>
        <v>13581.352499999999</v>
      </c>
      <c r="V297" s="73"/>
      <c r="W297" s="73"/>
      <c r="X297" s="73"/>
      <c r="Y297" s="73"/>
      <c r="Z297" s="73"/>
      <c r="AA297" s="73"/>
      <c r="AB297" s="73"/>
      <c r="AC297" s="73"/>
      <c r="AE297" s="73"/>
      <c r="AI297" s="143"/>
      <c r="AJ297" s="143"/>
      <c r="AK297" s="143"/>
      <c r="AL297" s="143"/>
      <c r="AM297" s="143"/>
      <c r="AN297" s="143"/>
      <c r="AO297" s="143"/>
      <c r="AP297" s="143"/>
      <c r="AQ297" s="143"/>
    </row>
    <row r="298" spans="1:43" ht="15" customHeight="1">
      <c r="A298" s="835" t="str">
        <f>+input!B19</f>
        <v>109i</v>
      </c>
      <c r="B298" s="836">
        <f>Stress!E65</f>
        <v>11912.56</v>
      </c>
      <c r="C298" s="836">
        <f>Stress!F65</f>
        <v>25.2</v>
      </c>
      <c r="D298" s="836">
        <f>Stress!G65</f>
        <v>21961.16</v>
      </c>
      <c r="E298" s="836">
        <f>Stress!H65</f>
        <v>5291.58</v>
      </c>
      <c r="F298" s="836">
        <f>Stress!I65</f>
        <v>4644.62</v>
      </c>
      <c r="G298" s="836">
        <f t="shared" si="4"/>
        <v>14922.2</v>
      </c>
      <c r="H298" s="836">
        <f t="shared" si="5"/>
        <v>27451.45</v>
      </c>
      <c r="I298" s="837">
        <f t="shared" si="6"/>
        <v>13581.405000000001</v>
      </c>
      <c r="V298" s="73"/>
      <c r="W298" s="73"/>
      <c r="X298" s="73"/>
      <c r="Y298" s="73"/>
      <c r="Z298" s="73"/>
      <c r="AA298" s="73"/>
      <c r="AB298" s="73"/>
      <c r="AC298" s="73"/>
      <c r="AE298" s="73"/>
      <c r="AI298" s="143"/>
      <c r="AJ298" s="143"/>
      <c r="AK298" s="143"/>
      <c r="AL298" s="143"/>
      <c r="AM298" s="143"/>
      <c r="AN298" s="143"/>
      <c r="AO298" s="143"/>
      <c r="AP298" s="143"/>
      <c r="AQ298" s="143"/>
    </row>
    <row r="299" spans="1:43" ht="15" customHeight="1">
      <c r="A299" s="835" t="str">
        <f>+input!B20</f>
        <v>109j</v>
      </c>
      <c r="B299" s="836">
        <f>Stress!E66</f>
        <v>11777.86</v>
      </c>
      <c r="C299" s="836">
        <f>Stress!F66</f>
        <v>29.22</v>
      </c>
      <c r="D299" s="836">
        <f>Stress!G66</f>
        <v>21554.5</v>
      </c>
      <c r="E299" s="836">
        <f>Stress!H66</f>
        <v>5212.3</v>
      </c>
      <c r="F299" s="836">
        <f>Stress!I66</f>
        <v>4568.1499999999996</v>
      </c>
      <c r="G299" s="836">
        <f t="shared" si="4"/>
        <v>14758.85</v>
      </c>
      <c r="H299" s="836">
        <f t="shared" si="5"/>
        <v>26943.125</v>
      </c>
      <c r="I299" s="837">
        <f t="shared" si="6"/>
        <v>13367.599999999999</v>
      </c>
      <c r="V299" s="73"/>
      <c r="W299" s="73"/>
      <c r="X299" s="73"/>
      <c r="Y299" s="73"/>
      <c r="Z299" s="73"/>
      <c r="AA299" s="73"/>
      <c r="AB299" s="73"/>
      <c r="AC299" s="73"/>
      <c r="AE299" s="73"/>
      <c r="AI299" s="143"/>
      <c r="AJ299" s="143"/>
      <c r="AK299" s="143"/>
      <c r="AL299" s="143"/>
      <c r="AM299" s="143"/>
      <c r="AN299" s="143"/>
      <c r="AO299" s="143"/>
      <c r="AP299" s="143"/>
      <c r="AQ299" s="143"/>
    </row>
    <row r="300" spans="1:43" ht="15" customHeight="1">
      <c r="A300" s="835" t="str">
        <f>+input!B21</f>
        <v>110i</v>
      </c>
      <c r="B300" s="836">
        <f>Stress!E67</f>
        <v>11777.89</v>
      </c>
      <c r="C300" s="836">
        <f>Stress!F67</f>
        <v>29.22</v>
      </c>
      <c r="D300" s="836">
        <f>Stress!G67</f>
        <v>21554.52</v>
      </c>
      <c r="E300" s="836">
        <f>Stress!H67</f>
        <v>5212.29</v>
      </c>
      <c r="F300" s="836">
        <f>Stress!I67</f>
        <v>4568.1899999999996</v>
      </c>
      <c r="G300" s="836">
        <f t="shared" si="4"/>
        <v>14758.887499999999</v>
      </c>
      <c r="H300" s="836">
        <f t="shared" si="5"/>
        <v>26943.15</v>
      </c>
      <c r="I300" s="837">
        <f t="shared" si="6"/>
        <v>13367.647499999999</v>
      </c>
      <c r="V300" s="73"/>
      <c r="W300" s="73"/>
      <c r="X300" s="73"/>
      <c r="Y300" s="73"/>
      <c r="Z300" s="73"/>
      <c r="AA300" s="73"/>
      <c r="AB300" s="73"/>
      <c r="AC300" s="73"/>
      <c r="AE300" s="73"/>
      <c r="AI300" s="143"/>
      <c r="AJ300" s="143"/>
      <c r="AK300" s="143"/>
      <c r="AL300" s="143"/>
      <c r="AM300" s="143"/>
      <c r="AN300" s="143"/>
      <c r="AO300" s="143"/>
      <c r="AP300" s="143"/>
      <c r="AQ300" s="143"/>
    </row>
    <row r="301" spans="1:43" ht="15" customHeight="1">
      <c r="A301" s="835" t="str">
        <f>+input!B22</f>
        <v>110j</v>
      </c>
      <c r="B301" s="836">
        <f>Stress!E68</f>
        <v>11009.52</v>
      </c>
      <c r="C301" s="836">
        <f>Stress!F68</f>
        <v>33.24</v>
      </c>
      <c r="D301" s="836">
        <f>Stress!G68</f>
        <v>19967.650000000001</v>
      </c>
      <c r="E301" s="836">
        <f>Stress!H68</f>
        <v>4845.6899999999996</v>
      </c>
      <c r="F301" s="836">
        <f>Stress!I68</f>
        <v>4246.6000000000004</v>
      </c>
      <c r="G301" s="836">
        <f t="shared" si="4"/>
        <v>13803.45</v>
      </c>
      <c r="H301" s="836">
        <f t="shared" si="5"/>
        <v>24959.5625</v>
      </c>
      <c r="I301" s="837">
        <f t="shared" si="6"/>
        <v>12427.012500000001</v>
      </c>
      <c r="V301" s="73"/>
      <c r="W301" s="73"/>
      <c r="X301" s="73"/>
      <c r="Y301" s="73"/>
      <c r="Z301" s="73"/>
      <c r="AA301" s="73"/>
      <c r="AB301" s="73"/>
      <c r="AC301" s="73"/>
      <c r="AE301" s="73"/>
      <c r="AI301" s="143"/>
      <c r="AJ301" s="143"/>
      <c r="AK301" s="143"/>
      <c r="AL301" s="143"/>
      <c r="AM301" s="143"/>
      <c r="AN301" s="143"/>
      <c r="AO301" s="143"/>
      <c r="AP301" s="143"/>
      <c r="AQ301" s="143"/>
    </row>
    <row r="302" spans="1:43" ht="15" customHeight="1">
      <c r="A302" s="835" t="str">
        <f>+input!B23</f>
        <v>111i</v>
      </c>
      <c r="B302" s="836">
        <f>Stress!E69</f>
        <v>11009.53</v>
      </c>
      <c r="C302" s="836">
        <f>Stress!F69</f>
        <v>33.24</v>
      </c>
      <c r="D302" s="836">
        <f>Stress!G69</f>
        <v>19967.689999999999</v>
      </c>
      <c r="E302" s="836">
        <f>Stress!H69</f>
        <v>4845.68</v>
      </c>
      <c r="F302" s="836">
        <f>Stress!I69</f>
        <v>4246.5600000000004</v>
      </c>
      <c r="G302" s="836">
        <f t="shared" si="4"/>
        <v>13803.462500000001</v>
      </c>
      <c r="H302" s="836">
        <f t="shared" si="5"/>
        <v>24959.612499999999</v>
      </c>
      <c r="I302" s="837">
        <f t="shared" si="6"/>
        <v>12426.94</v>
      </c>
      <c r="V302" s="73"/>
      <c r="W302" s="73"/>
      <c r="X302" s="73"/>
      <c r="Y302" s="73"/>
      <c r="Z302" s="73"/>
      <c r="AA302" s="73"/>
      <c r="AB302" s="73"/>
      <c r="AC302" s="73"/>
      <c r="AE302" s="73"/>
      <c r="AI302" s="143"/>
      <c r="AJ302" s="143"/>
      <c r="AK302" s="143"/>
      <c r="AL302" s="143"/>
      <c r="AM302" s="143"/>
      <c r="AN302" s="143"/>
      <c r="AO302" s="143"/>
      <c r="AP302" s="143"/>
      <c r="AQ302" s="143"/>
    </row>
    <row r="303" spans="1:43" ht="15" customHeight="1">
      <c r="A303" s="835" t="str">
        <f>+input!B24</f>
        <v>111j</v>
      </c>
      <c r="B303" s="836">
        <f>Stress!E70</f>
        <v>9596.94</v>
      </c>
      <c r="C303" s="836">
        <f>Stress!F70</f>
        <v>37.229999999999997</v>
      </c>
      <c r="D303" s="836">
        <f>Stress!G70</f>
        <v>17179.14</v>
      </c>
      <c r="E303" s="836">
        <f>Stress!H70</f>
        <v>4190.54</v>
      </c>
      <c r="F303" s="836">
        <f>Stress!I70</f>
        <v>3679.05</v>
      </c>
      <c r="G303" s="836">
        <f t="shared" si="4"/>
        <v>12042.7125</v>
      </c>
      <c r="H303" s="836">
        <f t="shared" si="5"/>
        <v>21473.924999999999</v>
      </c>
      <c r="I303" s="837">
        <f t="shared" si="6"/>
        <v>10756.75</v>
      </c>
      <c r="V303" s="73"/>
      <c r="W303" s="73"/>
      <c r="X303" s="73"/>
      <c r="Y303" s="73"/>
      <c r="Z303" s="73"/>
      <c r="AA303" s="73"/>
      <c r="AB303" s="73"/>
      <c r="AC303" s="73"/>
      <c r="AE303" s="73"/>
      <c r="AI303" s="143"/>
      <c r="AJ303" s="143"/>
      <c r="AK303" s="143"/>
      <c r="AL303" s="143"/>
      <c r="AM303" s="143"/>
      <c r="AN303" s="143"/>
      <c r="AO303" s="143"/>
      <c r="AP303" s="143"/>
      <c r="AQ303" s="143"/>
    </row>
    <row r="304" spans="1:43" ht="15" customHeight="1">
      <c r="A304" s="835" t="str">
        <f>+input!B25</f>
        <v>112i</v>
      </c>
      <c r="B304" s="836">
        <f>Stress!E71</f>
        <v>9596.94</v>
      </c>
      <c r="C304" s="836">
        <f>Stress!F71</f>
        <v>37.229999999999997</v>
      </c>
      <c r="D304" s="836">
        <f>Stress!G71</f>
        <v>17179.23</v>
      </c>
      <c r="E304" s="836">
        <f>Stress!H71</f>
        <v>4190.55</v>
      </c>
      <c r="F304" s="836">
        <f>Stress!I71</f>
        <v>3679.04</v>
      </c>
      <c r="G304" s="836">
        <f t="shared" si="4"/>
        <v>12042.7125</v>
      </c>
      <c r="H304" s="836">
        <f t="shared" si="5"/>
        <v>21474.037499999999</v>
      </c>
      <c r="I304" s="837">
        <f t="shared" si="6"/>
        <v>10756.747499999999</v>
      </c>
      <c r="V304" s="73"/>
      <c r="W304" s="73"/>
      <c r="X304" s="73"/>
      <c r="Y304" s="73"/>
      <c r="Z304" s="73"/>
      <c r="AA304" s="73"/>
      <c r="AB304" s="73"/>
      <c r="AC304" s="73"/>
      <c r="AE304" s="73"/>
      <c r="AI304" s="143"/>
      <c r="AJ304" s="143"/>
      <c r="AK304" s="143"/>
      <c r="AL304" s="143"/>
      <c r="AM304" s="143"/>
      <c r="AN304" s="143"/>
      <c r="AO304" s="143"/>
      <c r="AP304" s="143"/>
      <c r="AQ304" s="143"/>
    </row>
    <row r="305" spans="1:43" ht="15" customHeight="1">
      <c r="A305" s="835" t="str">
        <f>+input!B26</f>
        <v>112j</v>
      </c>
      <c r="B305" s="836">
        <f>Stress!E72</f>
        <v>7666.94</v>
      </c>
      <c r="C305" s="836">
        <f>Stress!F72</f>
        <v>41.22</v>
      </c>
      <c r="D305" s="836">
        <f>Stress!G72</f>
        <v>13495.84</v>
      </c>
      <c r="E305" s="836">
        <f>Stress!H72</f>
        <v>3334.3</v>
      </c>
      <c r="F305" s="836">
        <f>Stress!I72</f>
        <v>2918.38</v>
      </c>
      <c r="G305" s="836">
        <f t="shared" si="4"/>
        <v>9635.2000000000007</v>
      </c>
      <c r="H305" s="836">
        <f t="shared" si="5"/>
        <v>16869.8</v>
      </c>
      <c r="I305" s="837">
        <f t="shared" si="6"/>
        <v>8545.4449999999997</v>
      </c>
      <c r="V305" s="73"/>
      <c r="W305" s="73"/>
      <c r="X305" s="73"/>
      <c r="Y305" s="73"/>
      <c r="Z305" s="73"/>
      <c r="AA305" s="73"/>
      <c r="AB305" s="73"/>
      <c r="AC305" s="73"/>
      <c r="AE305" s="73"/>
      <c r="AI305" s="143"/>
      <c r="AJ305" s="143"/>
      <c r="AK305" s="143"/>
      <c r="AL305" s="143"/>
      <c r="AM305" s="143"/>
      <c r="AN305" s="143"/>
      <c r="AO305" s="143"/>
      <c r="AP305" s="143"/>
      <c r="AQ305" s="143"/>
    </row>
    <row r="306" spans="1:43" ht="15" customHeight="1">
      <c r="A306" s="835" t="str">
        <f>+input!B27</f>
        <v>113i</v>
      </c>
      <c r="B306" s="836">
        <f>Stress!E73</f>
        <v>7667.03</v>
      </c>
      <c r="C306" s="836">
        <f>Stress!F73</f>
        <v>41.22</v>
      </c>
      <c r="D306" s="836">
        <f>Stress!G73</f>
        <v>13495.9</v>
      </c>
      <c r="E306" s="836">
        <f>Stress!H73</f>
        <v>3334.27</v>
      </c>
      <c r="F306" s="836">
        <f>Stress!I73</f>
        <v>2918.4</v>
      </c>
      <c r="G306" s="836">
        <f t="shared" si="4"/>
        <v>9635.3125</v>
      </c>
      <c r="H306" s="836">
        <f t="shared" si="5"/>
        <v>16869.875</v>
      </c>
      <c r="I306" s="837">
        <f t="shared" si="6"/>
        <v>8545.4375</v>
      </c>
      <c r="V306" s="73"/>
      <c r="W306" s="73"/>
      <c r="X306" s="73"/>
      <c r="Y306" s="73"/>
      <c r="Z306" s="73"/>
      <c r="AA306" s="73"/>
      <c r="AB306" s="73"/>
      <c r="AC306" s="73"/>
      <c r="AE306" s="73"/>
      <c r="AI306" s="143"/>
      <c r="AJ306" s="143"/>
      <c r="AK306" s="143"/>
      <c r="AL306" s="143"/>
      <c r="AM306" s="143"/>
      <c r="AN306" s="143"/>
      <c r="AO306" s="143"/>
      <c r="AP306" s="143"/>
      <c r="AQ306" s="143"/>
    </row>
    <row r="307" spans="1:43" ht="15" customHeight="1">
      <c r="A307" s="835" t="str">
        <f>+input!B28</f>
        <v>113j</v>
      </c>
      <c r="B307" s="836">
        <f>Stress!E74</f>
        <v>5180.59</v>
      </c>
      <c r="C307" s="836">
        <f>Stress!F74</f>
        <v>45.2</v>
      </c>
      <c r="D307" s="836">
        <f>Stress!G74</f>
        <v>8519.91</v>
      </c>
      <c r="E307" s="836">
        <f>Stress!H74</f>
        <v>2151.7600000000002</v>
      </c>
      <c r="F307" s="836">
        <f>Stress!I74</f>
        <v>1889.88</v>
      </c>
      <c r="G307" s="836">
        <f t="shared" si="4"/>
        <v>6532.2375000000002</v>
      </c>
      <c r="H307" s="836">
        <f t="shared" si="5"/>
        <v>10649.887500000001</v>
      </c>
      <c r="I307" s="837">
        <f t="shared" si="6"/>
        <v>5524.52</v>
      </c>
      <c r="V307" s="73"/>
      <c r="W307" s="73"/>
      <c r="X307" s="73"/>
      <c r="Y307" s="73"/>
      <c r="Z307" s="73"/>
      <c r="AA307" s="73"/>
      <c r="AB307" s="73"/>
      <c r="AC307" s="73"/>
      <c r="AE307" s="73"/>
      <c r="AI307" s="143"/>
      <c r="AJ307" s="143"/>
      <c r="AK307" s="143"/>
      <c r="AL307" s="143"/>
      <c r="AM307" s="143"/>
      <c r="AN307" s="143"/>
      <c r="AO307" s="143"/>
      <c r="AP307" s="143"/>
      <c r="AQ307" s="143"/>
    </row>
    <row r="308" spans="1:43" ht="15" customHeight="1">
      <c r="A308" s="835" t="str">
        <f>+input!B29</f>
        <v>114i</v>
      </c>
      <c r="B308" s="836">
        <f>Stress!E75</f>
        <v>5180.6099999999997</v>
      </c>
      <c r="C308" s="836">
        <f>Stress!F75</f>
        <v>45.2</v>
      </c>
      <c r="D308" s="836">
        <f>Stress!G75</f>
        <v>8519.93</v>
      </c>
      <c r="E308" s="836">
        <f>Stress!H75</f>
        <v>2151.7800000000002</v>
      </c>
      <c r="F308" s="836">
        <f>Stress!I75</f>
        <v>1889.87</v>
      </c>
      <c r="G308" s="836">
        <f t="shared" si="4"/>
        <v>6532.2624999999989</v>
      </c>
      <c r="H308" s="836">
        <f t="shared" si="5"/>
        <v>10649.9125</v>
      </c>
      <c r="I308" s="837">
        <f t="shared" si="6"/>
        <v>5524.5300000000007</v>
      </c>
      <c r="V308" s="73"/>
      <c r="W308" s="73"/>
      <c r="X308" s="73"/>
      <c r="Y308" s="73"/>
      <c r="Z308" s="73"/>
      <c r="AA308" s="73"/>
      <c r="AB308" s="73"/>
      <c r="AC308" s="73"/>
      <c r="AE308" s="73"/>
      <c r="AI308" s="143"/>
      <c r="AJ308" s="143"/>
      <c r="AK308" s="143"/>
      <c r="AL308" s="143"/>
      <c r="AM308" s="143"/>
      <c r="AN308" s="143"/>
      <c r="AO308" s="143"/>
      <c r="AP308" s="143"/>
      <c r="AQ308" s="143"/>
    </row>
    <row r="309" spans="1:43" ht="15" customHeight="1">
      <c r="A309" s="835" t="str">
        <f>+input!B30</f>
        <v>114j</v>
      </c>
      <c r="B309" s="836">
        <f>Stress!E76</f>
        <v>2232.41</v>
      </c>
      <c r="C309" s="836">
        <f>Stress!F76</f>
        <v>49.17</v>
      </c>
      <c r="D309" s="836">
        <f>Stress!G76</f>
        <v>2649.12</v>
      </c>
      <c r="E309" s="836">
        <f>Stress!H76</f>
        <v>767.98</v>
      </c>
      <c r="F309" s="836">
        <f>Stress!I76</f>
        <v>668.33</v>
      </c>
      <c r="G309" s="836">
        <f t="shared" si="4"/>
        <v>2851.9749999999999</v>
      </c>
      <c r="H309" s="836">
        <f t="shared" si="5"/>
        <v>3311.3999999999996</v>
      </c>
      <c r="I309" s="837">
        <f t="shared" si="6"/>
        <v>1962.4700000000003</v>
      </c>
      <c r="V309" s="73"/>
      <c r="W309" s="73"/>
      <c r="X309" s="73"/>
      <c r="Y309" s="73"/>
      <c r="Z309" s="73"/>
      <c r="AA309" s="73"/>
      <c r="AB309" s="73"/>
      <c r="AC309" s="73"/>
      <c r="AE309" s="73"/>
      <c r="AI309" s="143"/>
      <c r="AJ309" s="143"/>
      <c r="AK309" s="143"/>
      <c r="AL309" s="143"/>
      <c r="AM309" s="143"/>
      <c r="AN309" s="143"/>
      <c r="AO309" s="143"/>
      <c r="AP309" s="143"/>
      <c r="AQ309" s="143"/>
    </row>
    <row r="310" spans="1:43" ht="15" customHeight="1">
      <c r="A310" s="835" t="str">
        <f>+input!B31</f>
        <v>115i</v>
      </c>
      <c r="B310" s="836">
        <f>Stress!E77</f>
        <v>2232.38</v>
      </c>
      <c r="C310" s="836">
        <f>Stress!F77</f>
        <v>49.17</v>
      </c>
      <c r="D310" s="836">
        <f>Stress!G77</f>
        <v>2649.07</v>
      </c>
      <c r="E310" s="836">
        <f>Stress!H77</f>
        <v>767.99</v>
      </c>
      <c r="F310" s="836">
        <f>Stress!I77</f>
        <v>668.33</v>
      </c>
      <c r="G310" s="836">
        <f t="shared" si="4"/>
        <v>2851.9375</v>
      </c>
      <c r="H310" s="836">
        <f t="shared" si="5"/>
        <v>3311.3375000000001</v>
      </c>
      <c r="I310" s="837">
        <f t="shared" si="6"/>
        <v>1962.4825000000001</v>
      </c>
      <c r="V310" s="73"/>
      <c r="W310" s="73"/>
      <c r="X310" s="73"/>
      <c r="Y310" s="73"/>
      <c r="Z310" s="73"/>
      <c r="AA310" s="73"/>
      <c r="AB310" s="73"/>
      <c r="AC310" s="73"/>
      <c r="AE310" s="73"/>
      <c r="AI310" s="143"/>
      <c r="AJ310" s="143"/>
      <c r="AK310" s="143"/>
      <c r="AL310" s="143"/>
      <c r="AM310" s="143"/>
      <c r="AN310" s="143"/>
      <c r="AO310" s="143"/>
      <c r="AP310" s="143"/>
      <c r="AQ310" s="143"/>
    </row>
    <row r="311" spans="1:43" ht="15" customHeight="1">
      <c r="A311" s="835" t="str">
        <f>+input!B32</f>
        <v>115j</v>
      </c>
      <c r="B311" s="836">
        <f>Stress!E78</f>
        <v>-1220.5899999999999</v>
      </c>
      <c r="C311" s="836">
        <f>Stress!F78</f>
        <v>53.15</v>
      </c>
      <c r="D311" s="836">
        <f>Stress!G78</f>
        <v>-4521.53</v>
      </c>
      <c r="E311" s="836">
        <f>Stress!H78</f>
        <v>-936.79</v>
      </c>
      <c r="F311" s="836">
        <f>Stress!I78</f>
        <v>-818.91</v>
      </c>
      <c r="G311" s="836">
        <f t="shared" si="4"/>
        <v>-1459.2999999999997</v>
      </c>
      <c r="H311" s="836">
        <f t="shared" si="5"/>
        <v>-5651.9124999999995</v>
      </c>
      <c r="I311" s="837">
        <f t="shared" si="6"/>
        <v>-2399.3525</v>
      </c>
      <c r="V311" s="73"/>
      <c r="W311" s="73"/>
      <c r="X311" s="73"/>
      <c r="Y311" s="73"/>
      <c r="Z311" s="73"/>
      <c r="AA311" s="73"/>
      <c r="AB311" s="73"/>
      <c r="AC311" s="73"/>
      <c r="AE311" s="73"/>
      <c r="AI311" s="143"/>
      <c r="AJ311" s="143"/>
      <c r="AK311" s="143"/>
      <c r="AL311" s="143"/>
      <c r="AM311" s="143"/>
      <c r="AN311" s="143"/>
      <c r="AO311" s="143"/>
      <c r="AP311" s="143"/>
      <c r="AQ311" s="143"/>
    </row>
    <row r="312" spans="1:43" ht="15" customHeight="1">
      <c r="A312" s="835" t="str">
        <f>+input!B33</f>
        <v>116i</v>
      </c>
      <c r="B312" s="836">
        <f>Stress!E79</f>
        <v>-1220.5899999999999</v>
      </c>
      <c r="C312" s="836">
        <f>Stress!F79</f>
        <v>53.15</v>
      </c>
      <c r="D312" s="836">
        <f>Stress!G79</f>
        <v>-4521.54</v>
      </c>
      <c r="E312" s="836">
        <f>Stress!H79</f>
        <v>-936.79</v>
      </c>
      <c r="F312" s="836">
        <f>Stress!I79</f>
        <v>-818.91</v>
      </c>
      <c r="G312" s="836">
        <f t="shared" si="4"/>
        <v>-1459.2999999999997</v>
      </c>
      <c r="H312" s="836">
        <f t="shared" si="5"/>
        <v>-5651.9250000000002</v>
      </c>
      <c r="I312" s="837">
        <f t="shared" si="6"/>
        <v>-2399.3525</v>
      </c>
      <c r="V312" s="73"/>
      <c r="W312" s="73"/>
      <c r="X312" s="73"/>
      <c r="Y312" s="73"/>
      <c r="Z312" s="73"/>
      <c r="AA312" s="73"/>
      <c r="AB312" s="73"/>
      <c r="AC312" s="73"/>
      <c r="AE312" s="73"/>
      <c r="AI312" s="143"/>
      <c r="AJ312" s="143"/>
      <c r="AK312" s="143"/>
      <c r="AL312" s="143"/>
      <c r="AM312" s="143"/>
      <c r="AN312" s="143"/>
      <c r="AO312" s="143"/>
      <c r="AP312" s="143"/>
      <c r="AQ312" s="143"/>
    </row>
    <row r="313" spans="1:43" ht="15" customHeight="1">
      <c r="A313" s="835" t="str">
        <f>+input!B34</f>
        <v>116j</v>
      </c>
      <c r="B313" s="836">
        <f>Stress!E80</f>
        <v>-5066.55</v>
      </c>
      <c r="C313" s="836">
        <f>Stress!F80</f>
        <v>57.12</v>
      </c>
      <c r="D313" s="836">
        <f>Stress!G80</f>
        <v>-12587.19</v>
      </c>
      <c r="E313" s="836">
        <f>Stress!H80</f>
        <v>-2842.86</v>
      </c>
      <c r="F313" s="836">
        <f>Stress!I80</f>
        <v>-2499.17</v>
      </c>
      <c r="G313" s="836">
        <f t="shared" si="4"/>
        <v>-6261.7875000000004</v>
      </c>
      <c r="H313" s="836">
        <f t="shared" si="5"/>
        <v>-15733.987500000001</v>
      </c>
      <c r="I313" s="837">
        <f t="shared" si="6"/>
        <v>-7302.33</v>
      </c>
      <c r="V313" s="73"/>
      <c r="W313" s="73"/>
      <c r="X313" s="73"/>
      <c r="Y313" s="73"/>
      <c r="Z313" s="73"/>
      <c r="AA313" s="73"/>
      <c r="AB313" s="73"/>
      <c r="AC313" s="73"/>
      <c r="AE313" s="73"/>
      <c r="AI313" s="143"/>
      <c r="AJ313" s="143"/>
      <c r="AK313" s="143"/>
      <c r="AL313" s="143"/>
      <c r="AM313" s="143"/>
      <c r="AN313" s="143"/>
      <c r="AO313" s="143"/>
      <c r="AP313" s="143"/>
      <c r="AQ313" s="143"/>
    </row>
    <row r="314" spans="1:43" ht="15" customHeight="1">
      <c r="A314" s="835" t="str">
        <f>+input!B35</f>
        <v>117i</v>
      </c>
      <c r="B314" s="836">
        <f>Stress!E81</f>
        <v>-5066.54</v>
      </c>
      <c r="C314" s="836">
        <f>Stress!F81</f>
        <v>57.12</v>
      </c>
      <c r="D314" s="836">
        <f>Stress!G81</f>
        <v>-12587.16</v>
      </c>
      <c r="E314" s="836">
        <f>Stress!H81</f>
        <v>-2842.86</v>
      </c>
      <c r="F314" s="836">
        <f>Stress!I81</f>
        <v>-2499.16</v>
      </c>
      <c r="G314" s="836">
        <f t="shared" ref="G314:G343" si="7">1.25*(B314+C314)</f>
        <v>-6261.7749999999996</v>
      </c>
      <c r="H314" s="836">
        <f t="shared" ref="H314:H343" si="8">1.25*D314</f>
        <v>-15733.95</v>
      </c>
      <c r="I314" s="837">
        <f t="shared" ref="I314:I343" si="9">1.25*E314+1.5*F314</f>
        <v>-7302.3150000000005</v>
      </c>
      <c r="V314" s="73"/>
      <c r="W314" s="73"/>
      <c r="X314" s="73"/>
      <c r="Y314" s="73"/>
      <c r="Z314" s="73"/>
      <c r="AA314" s="73"/>
      <c r="AB314" s="73"/>
      <c r="AC314" s="73"/>
      <c r="AE314" s="73"/>
      <c r="AI314" s="143"/>
      <c r="AJ314" s="143"/>
      <c r="AK314" s="143"/>
      <c r="AL314" s="143"/>
      <c r="AM314" s="143"/>
      <c r="AN314" s="143"/>
      <c r="AO314" s="143"/>
      <c r="AP314" s="143"/>
      <c r="AQ314" s="143"/>
    </row>
    <row r="315" spans="1:43" ht="15" customHeight="1">
      <c r="A315" s="835" t="str">
        <f>+input!B36</f>
        <v>117j</v>
      </c>
      <c r="B315" s="836">
        <f>Stress!E82</f>
        <v>-9508.75</v>
      </c>
      <c r="C315" s="836">
        <f>Stress!F82</f>
        <v>-122.96</v>
      </c>
      <c r="D315" s="836">
        <f>Stress!G82</f>
        <v>-22022.67</v>
      </c>
      <c r="E315" s="836">
        <f>Stress!H82</f>
        <v>-5077.75</v>
      </c>
      <c r="F315" s="836">
        <f>Stress!I82</f>
        <v>-4450.6499999999996</v>
      </c>
      <c r="G315" s="836">
        <f t="shared" si="7"/>
        <v>-12039.637499999999</v>
      </c>
      <c r="H315" s="836">
        <f t="shared" si="8"/>
        <v>-27528.337499999998</v>
      </c>
      <c r="I315" s="837">
        <f t="shared" si="9"/>
        <v>-13023.162499999999</v>
      </c>
      <c r="V315" s="73"/>
      <c r="W315" s="73"/>
      <c r="X315" s="73"/>
      <c r="Y315" s="73"/>
      <c r="Z315" s="73"/>
      <c r="AA315" s="73"/>
      <c r="AB315" s="73"/>
      <c r="AC315" s="73"/>
      <c r="AE315" s="73"/>
      <c r="AI315" s="143"/>
      <c r="AJ315" s="143"/>
      <c r="AK315" s="143"/>
      <c r="AL315" s="143"/>
      <c r="AM315" s="143"/>
      <c r="AN315" s="143"/>
      <c r="AO315" s="143"/>
      <c r="AP315" s="143"/>
      <c r="AQ315" s="143"/>
    </row>
    <row r="316" spans="1:43" ht="15" customHeight="1">
      <c r="A316" s="1030" t="str">
        <f>+input!B37</f>
        <v>118i</v>
      </c>
      <c r="B316" s="1031">
        <f>Stress!E83</f>
        <v>-9508.7199999999993</v>
      </c>
      <c r="C316" s="1031">
        <f>Stress!F83</f>
        <v>-122.96</v>
      </c>
      <c r="D316" s="1031">
        <f>Stress!G83</f>
        <v>-22022.61</v>
      </c>
      <c r="E316" s="1031">
        <f>Stress!H83</f>
        <v>-5077.78</v>
      </c>
      <c r="F316" s="1031">
        <f>Stress!I83</f>
        <v>-4450.66</v>
      </c>
      <c r="G316" s="1031">
        <f t="shared" si="7"/>
        <v>-12039.599999999999</v>
      </c>
      <c r="H316" s="1031">
        <f t="shared" si="8"/>
        <v>-27528.262500000001</v>
      </c>
      <c r="I316" s="1032">
        <f t="shared" si="9"/>
        <v>-13023.215</v>
      </c>
      <c r="V316" s="73"/>
      <c r="W316" s="73"/>
      <c r="X316" s="73"/>
      <c r="Y316" s="73"/>
      <c r="Z316" s="73"/>
      <c r="AA316" s="73"/>
      <c r="AB316" s="73"/>
      <c r="AC316" s="73"/>
      <c r="AE316" s="73"/>
      <c r="AI316" s="143"/>
      <c r="AJ316" s="143"/>
      <c r="AK316" s="143"/>
      <c r="AL316" s="143"/>
      <c r="AM316" s="143"/>
      <c r="AN316" s="143"/>
      <c r="AO316" s="143"/>
      <c r="AP316" s="143"/>
      <c r="AQ316" s="143"/>
    </row>
    <row r="317" spans="1:43" ht="15" customHeight="1">
      <c r="A317" s="1033" t="str">
        <f>+input!B38</f>
        <v>118j</v>
      </c>
      <c r="B317" s="1034">
        <f>Stress!E84</f>
        <v>-12983.05</v>
      </c>
      <c r="C317" s="1034">
        <f>Stress!F84</f>
        <v>-522.67999999999995</v>
      </c>
      <c r="D317" s="1034">
        <f>Stress!G84</f>
        <v>-29159.98</v>
      </c>
      <c r="E317" s="1034">
        <f>Stress!H84</f>
        <v>-6761.92</v>
      </c>
      <c r="F317" s="1034">
        <f>Stress!I84</f>
        <v>-5931.48</v>
      </c>
      <c r="G317" s="1034">
        <f t="shared" si="7"/>
        <v>-16882.162499999999</v>
      </c>
      <c r="H317" s="1034">
        <f t="shared" si="8"/>
        <v>-36449.974999999999</v>
      </c>
      <c r="I317" s="1035">
        <f t="shared" si="9"/>
        <v>-17349.62</v>
      </c>
      <c r="V317" s="73"/>
      <c r="W317" s="73"/>
      <c r="X317" s="73"/>
      <c r="Y317" s="73"/>
      <c r="Z317" s="73"/>
      <c r="AA317" s="73"/>
      <c r="AB317" s="73"/>
      <c r="AC317" s="73"/>
      <c r="AE317" s="73"/>
      <c r="AI317" s="143"/>
      <c r="AJ317" s="143"/>
      <c r="AK317" s="143"/>
      <c r="AL317" s="143"/>
      <c r="AM317" s="143"/>
      <c r="AN317" s="143"/>
      <c r="AO317" s="143"/>
      <c r="AP317" s="143"/>
      <c r="AQ317" s="143"/>
    </row>
    <row r="318" spans="1:43" ht="15" customHeight="1">
      <c r="A318" s="835" t="str">
        <f>+input!B39</f>
        <v>119i</v>
      </c>
      <c r="B318" s="836">
        <f>Stress!E85</f>
        <v>-12983.01</v>
      </c>
      <c r="C318" s="836">
        <f>Stress!F85</f>
        <v>-522.67999999999995</v>
      </c>
      <c r="D318" s="836">
        <f>Stress!G85</f>
        <v>-29160.05</v>
      </c>
      <c r="E318" s="836">
        <f>Stress!H85</f>
        <v>-6761.96</v>
      </c>
      <c r="F318" s="836">
        <f>Stress!I85</f>
        <v>-5931.51</v>
      </c>
      <c r="G318" s="836">
        <f t="shared" si="7"/>
        <v>-16882.112499999999</v>
      </c>
      <c r="H318" s="836">
        <f t="shared" si="8"/>
        <v>-36450.0625</v>
      </c>
      <c r="I318" s="837">
        <f t="shared" si="9"/>
        <v>-17349.715</v>
      </c>
      <c r="V318" s="73"/>
      <c r="W318" s="73"/>
      <c r="X318" s="73"/>
      <c r="Y318" s="73"/>
      <c r="Z318" s="73"/>
      <c r="AA318" s="73"/>
      <c r="AB318" s="73"/>
      <c r="AC318" s="73"/>
      <c r="AE318" s="73"/>
      <c r="AI318" s="143"/>
      <c r="AJ318" s="143"/>
      <c r="AK318" s="143"/>
      <c r="AL318" s="143"/>
      <c r="AM318" s="143"/>
      <c r="AN318" s="143"/>
      <c r="AO318" s="143"/>
      <c r="AP318" s="143"/>
      <c r="AQ318" s="143"/>
    </row>
    <row r="319" spans="1:43" ht="15" customHeight="1">
      <c r="A319" s="835" t="str">
        <f>+input!B40</f>
        <v>119j</v>
      </c>
      <c r="B319" s="836">
        <f>Stress!E86</f>
        <v>-14583.37</v>
      </c>
      <c r="C319" s="836">
        <f>Stress!F86</f>
        <v>-782.53</v>
      </c>
      <c r="D319" s="836">
        <f>Stress!G86</f>
        <v>-32352.95</v>
      </c>
      <c r="E319" s="836">
        <f>Stress!H86</f>
        <v>-7513.9</v>
      </c>
      <c r="F319" s="836">
        <f>Stress!I86</f>
        <v>-6595.1</v>
      </c>
      <c r="G319" s="836">
        <f t="shared" si="7"/>
        <v>-19207.375</v>
      </c>
      <c r="H319" s="836">
        <f t="shared" si="8"/>
        <v>-40441.1875</v>
      </c>
      <c r="I319" s="837">
        <f t="shared" si="9"/>
        <v>-19285.025000000001</v>
      </c>
      <c r="V319" s="73"/>
      <c r="W319" s="73"/>
      <c r="X319" s="73"/>
      <c r="Y319" s="73"/>
      <c r="Z319" s="73"/>
      <c r="AA319" s="73"/>
      <c r="AB319" s="73"/>
      <c r="AC319" s="73"/>
      <c r="AE319" s="73"/>
      <c r="AI319" s="143"/>
      <c r="AJ319" s="143"/>
      <c r="AK319" s="143"/>
      <c r="AL319" s="143"/>
      <c r="AM319" s="143"/>
      <c r="AN319" s="143"/>
      <c r="AO319" s="143"/>
      <c r="AP319" s="143"/>
      <c r="AQ319" s="143"/>
    </row>
    <row r="320" spans="1:43" ht="15" customHeight="1">
      <c r="A320" s="835" t="str">
        <f>+input!B41</f>
        <v>120i</v>
      </c>
      <c r="B320" s="836">
        <f>Stress!E87</f>
        <v>-14583.37</v>
      </c>
      <c r="C320" s="836">
        <f>Stress!F87</f>
        <v>-782.53</v>
      </c>
      <c r="D320" s="836">
        <f>Stress!G87</f>
        <v>-32352.99</v>
      </c>
      <c r="E320" s="836">
        <f>Stress!H87</f>
        <v>-7514.01</v>
      </c>
      <c r="F320" s="836">
        <f>Stress!I87</f>
        <v>-6595.07</v>
      </c>
      <c r="G320" s="836">
        <f t="shared" si="7"/>
        <v>-19207.375</v>
      </c>
      <c r="H320" s="836">
        <f t="shared" si="8"/>
        <v>-40441.237500000003</v>
      </c>
      <c r="I320" s="837">
        <f t="shared" si="9"/>
        <v>-19285.1175</v>
      </c>
      <c r="V320" s="73"/>
      <c r="W320" s="73"/>
      <c r="X320" s="73"/>
      <c r="Y320" s="73"/>
      <c r="Z320" s="73"/>
      <c r="AA320" s="73"/>
      <c r="AB320" s="73"/>
      <c r="AC320" s="73"/>
      <c r="AE320" s="73"/>
      <c r="AI320" s="143"/>
      <c r="AJ320" s="143"/>
      <c r="AK320" s="143"/>
      <c r="AL320" s="143"/>
      <c r="AM320" s="143"/>
      <c r="AN320" s="143"/>
      <c r="AO320" s="143"/>
      <c r="AP320" s="143"/>
      <c r="AQ320" s="143"/>
    </row>
    <row r="321" spans="1:43" ht="15" customHeight="1">
      <c r="A321" s="835" t="str">
        <f>+input!B42</f>
        <v>120j</v>
      </c>
      <c r="B321" s="836">
        <f>Stress!E88</f>
        <v>-13389</v>
      </c>
      <c r="C321" s="836">
        <f>Stress!F88</f>
        <v>-524.54</v>
      </c>
      <c r="D321" s="836">
        <f>Stress!G88</f>
        <v>-29828.04</v>
      </c>
      <c r="E321" s="836">
        <f>Stress!H88</f>
        <v>-6923.42</v>
      </c>
      <c r="F321" s="836">
        <f>Stress!I88</f>
        <v>-6073.09</v>
      </c>
      <c r="G321" s="836">
        <f t="shared" si="7"/>
        <v>-17391.925000000003</v>
      </c>
      <c r="H321" s="836">
        <f t="shared" si="8"/>
        <v>-37285.050000000003</v>
      </c>
      <c r="I321" s="837">
        <f t="shared" si="9"/>
        <v>-17763.91</v>
      </c>
      <c r="V321" s="73"/>
      <c r="W321" s="73"/>
      <c r="X321" s="73"/>
      <c r="Y321" s="73"/>
      <c r="Z321" s="73"/>
      <c r="AA321" s="73"/>
      <c r="AB321" s="73"/>
      <c r="AC321" s="73"/>
      <c r="AE321" s="73"/>
      <c r="AI321" s="143"/>
      <c r="AJ321" s="143"/>
      <c r="AK321" s="143"/>
      <c r="AL321" s="143"/>
      <c r="AM321" s="143"/>
      <c r="AN321" s="143"/>
      <c r="AO321" s="143"/>
      <c r="AP321" s="143"/>
      <c r="AQ321" s="143"/>
    </row>
    <row r="322" spans="1:43" ht="15" customHeight="1">
      <c r="A322" s="835" t="str">
        <f>+input!B43</f>
        <v>121i</v>
      </c>
      <c r="B322" s="836">
        <f>Stress!E89</f>
        <v>-13389.03</v>
      </c>
      <c r="C322" s="836">
        <f>Stress!F89</f>
        <v>-524.54</v>
      </c>
      <c r="D322" s="836">
        <f>Stress!G89</f>
        <v>-29827.91</v>
      </c>
      <c r="E322" s="836">
        <f>Stress!H89</f>
        <v>-6923.43</v>
      </c>
      <c r="F322" s="836">
        <f>Stress!I89</f>
        <v>-6073.06</v>
      </c>
      <c r="G322" s="836">
        <f t="shared" si="7"/>
        <v>-17391.962500000001</v>
      </c>
      <c r="H322" s="836">
        <f t="shared" si="8"/>
        <v>-37284.887499999997</v>
      </c>
      <c r="I322" s="837">
        <f t="shared" si="9"/>
        <v>-17763.877500000002</v>
      </c>
      <c r="V322" s="73"/>
      <c r="W322" s="73"/>
      <c r="X322" s="73"/>
      <c r="Y322" s="73"/>
      <c r="Z322" s="73"/>
      <c r="AA322" s="73"/>
      <c r="AB322" s="73"/>
      <c r="AC322" s="73"/>
      <c r="AE322" s="73"/>
      <c r="AI322" s="143"/>
      <c r="AJ322" s="143"/>
      <c r="AK322" s="143"/>
      <c r="AL322" s="143"/>
      <c r="AM322" s="143"/>
      <c r="AN322" s="143"/>
      <c r="AO322" s="143"/>
      <c r="AP322" s="143"/>
      <c r="AQ322" s="143"/>
    </row>
    <row r="323" spans="1:43" ht="15" customHeight="1">
      <c r="A323" s="835" t="str">
        <f>+input!B44</f>
        <v>121j</v>
      </c>
      <c r="B323" s="836">
        <f>Stress!E90</f>
        <v>-10862.18</v>
      </c>
      <c r="C323" s="836">
        <f>Stress!F90</f>
        <v>-128.22999999999999</v>
      </c>
      <c r="D323" s="836">
        <f>Stress!G90</f>
        <v>-24249.52</v>
      </c>
      <c r="E323" s="836">
        <f>Stress!H90</f>
        <v>-5615.86</v>
      </c>
      <c r="F323" s="836">
        <f>Stress!I90</f>
        <v>-4922.5200000000004</v>
      </c>
      <c r="G323" s="836">
        <f t="shared" si="7"/>
        <v>-13738.012500000001</v>
      </c>
      <c r="H323" s="836">
        <f t="shared" si="8"/>
        <v>-30311.9</v>
      </c>
      <c r="I323" s="837">
        <f t="shared" si="9"/>
        <v>-14403.605</v>
      </c>
      <c r="V323" s="73"/>
      <c r="W323" s="73"/>
      <c r="X323" s="73"/>
      <c r="Y323" s="73"/>
      <c r="Z323" s="73"/>
      <c r="AA323" s="73"/>
      <c r="AB323" s="73"/>
      <c r="AC323" s="73"/>
      <c r="AE323" s="73"/>
      <c r="AI323" s="143"/>
      <c r="AJ323" s="143"/>
      <c r="AK323" s="143"/>
      <c r="AL323" s="143"/>
      <c r="AM323" s="143"/>
      <c r="AN323" s="143"/>
      <c r="AO323" s="143"/>
      <c r="AP323" s="143"/>
      <c r="AQ323" s="143"/>
    </row>
    <row r="324" spans="1:43" ht="15" customHeight="1">
      <c r="A324" s="835" t="str">
        <f>+input!B45</f>
        <v>122i</v>
      </c>
      <c r="B324" s="836">
        <f>Stress!E91</f>
        <v>-10862.16</v>
      </c>
      <c r="C324" s="836">
        <f>Stress!F91</f>
        <v>-128.22999999999999</v>
      </c>
      <c r="D324" s="836">
        <f>Stress!G91</f>
        <v>-24249.43</v>
      </c>
      <c r="E324" s="836">
        <f>Stress!H91</f>
        <v>-5615.86</v>
      </c>
      <c r="F324" s="836">
        <f>Stress!I91</f>
        <v>-4922.5200000000004</v>
      </c>
      <c r="G324" s="836">
        <f t="shared" si="7"/>
        <v>-13737.987499999999</v>
      </c>
      <c r="H324" s="836">
        <f t="shared" si="8"/>
        <v>-30311.787499999999</v>
      </c>
      <c r="I324" s="837">
        <f t="shared" si="9"/>
        <v>-14403.605</v>
      </c>
      <c r="V324" s="73"/>
      <c r="W324" s="73"/>
      <c r="X324" s="73"/>
      <c r="Y324" s="73"/>
      <c r="Z324" s="73"/>
      <c r="AA324" s="73"/>
      <c r="AB324" s="73"/>
      <c r="AC324" s="73"/>
      <c r="AE324" s="73"/>
      <c r="AI324" s="143"/>
      <c r="AJ324" s="143"/>
      <c r="AK324" s="143"/>
      <c r="AL324" s="143"/>
      <c r="AM324" s="143"/>
      <c r="AN324" s="143"/>
      <c r="AO324" s="143"/>
      <c r="AP324" s="143"/>
      <c r="AQ324" s="143"/>
    </row>
    <row r="325" spans="1:43" ht="15" customHeight="1">
      <c r="A325" s="835" t="str">
        <f>+input!B46</f>
        <v>122j</v>
      </c>
      <c r="B325" s="836">
        <f>Stress!E92</f>
        <v>-7787.66</v>
      </c>
      <c r="C325" s="836">
        <f>Stress!F92</f>
        <v>49.59</v>
      </c>
      <c r="D325" s="836">
        <f>Stress!G92</f>
        <v>-17040.900000000001</v>
      </c>
      <c r="E325" s="836">
        <f>Stress!H92</f>
        <v>-3918.95</v>
      </c>
      <c r="F325" s="836">
        <f>Stress!I92</f>
        <v>-3442.96</v>
      </c>
      <c r="G325" s="836">
        <f t="shared" si="7"/>
        <v>-9672.5874999999996</v>
      </c>
      <c r="H325" s="836">
        <f t="shared" si="8"/>
        <v>-21301.125</v>
      </c>
      <c r="I325" s="837">
        <f t="shared" si="9"/>
        <v>-10063.127500000001</v>
      </c>
      <c r="V325" s="73"/>
      <c r="W325" s="73"/>
      <c r="X325" s="73"/>
      <c r="Y325" s="73"/>
      <c r="Z325" s="73"/>
      <c r="AA325" s="73"/>
      <c r="AB325" s="73"/>
      <c r="AC325" s="73"/>
      <c r="AE325" s="73"/>
      <c r="AI325" s="143"/>
      <c r="AJ325" s="143"/>
      <c r="AK325" s="143"/>
      <c r="AL325" s="143"/>
      <c r="AM325" s="143"/>
      <c r="AN325" s="143"/>
      <c r="AO325" s="143"/>
      <c r="AP325" s="143"/>
      <c r="AQ325" s="143"/>
    </row>
    <row r="326" spans="1:43" ht="15" customHeight="1">
      <c r="A326" s="835" t="str">
        <f>+input!B47</f>
        <v>123i</v>
      </c>
      <c r="B326" s="836">
        <f>Stress!E93</f>
        <v>-7787.66</v>
      </c>
      <c r="C326" s="836">
        <f>Stress!F93</f>
        <v>49.59</v>
      </c>
      <c r="D326" s="836">
        <f>Stress!G93</f>
        <v>-17040.91</v>
      </c>
      <c r="E326" s="836">
        <f>Stress!H93</f>
        <v>-3918.95</v>
      </c>
      <c r="F326" s="836">
        <f>Stress!I93</f>
        <v>-3442.95</v>
      </c>
      <c r="G326" s="836">
        <f t="shared" si="7"/>
        <v>-9672.5874999999996</v>
      </c>
      <c r="H326" s="836">
        <f t="shared" si="8"/>
        <v>-21301.137500000001</v>
      </c>
      <c r="I326" s="837">
        <f t="shared" si="9"/>
        <v>-10063.112499999999</v>
      </c>
      <c r="V326" s="73"/>
      <c r="W326" s="73"/>
      <c r="X326" s="73"/>
      <c r="Y326" s="73"/>
      <c r="Z326" s="73"/>
      <c r="AA326" s="73"/>
      <c r="AB326" s="73"/>
      <c r="AC326" s="73"/>
      <c r="AE326" s="73"/>
      <c r="AI326" s="143"/>
      <c r="AJ326" s="143"/>
      <c r="AK326" s="143"/>
      <c r="AL326" s="143"/>
      <c r="AM326" s="143"/>
      <c r="AN326" s="143"/>
      <c r="AO326" s="143"/>
      <c r="AP326" s="143"/>
      <c r="AQ326" s="143"/>
    </row>
    <row r="327" spans="1:43" ht="15" customHeight="1">
      <c r="A327" s="835" t="str">
        <f>+input!B48</f>
        <v>123j</v>
      </c>
      <c r="B327" s="836">
        <f>Stress!E94</f>
        <v>-5346.41</v>
      </c>
      <c r="C327" s="836">
        <f>Stress!F94</f>
        <v>43.3</v>
      </c>
      <c r="D327" s="836">
        <f>Stress!G94</f>
        <v>-11167.3</v>
      </c>
      <c r="E327" s="836">
        <f>Stress!H94</f>
        <v>-2548.35</v>
      </c>
      <c r="F327" s="836">
        <f>Stress!I94</f>
        <v>-2232.4699999999998</v>
      </c>
      <c r="G327" s="836">
        <f t="shared" si="7"/>
        <v>-6628.8874999999998</v>
      </c>
      <c r="H327" s="836">
        <f t="shared" si="8"/>
        <v>-13959.125</v>
      </c>
      <c r="I327" s="837">
        <f t="shared" si="9"/>
        <v>-6534.1424999999999</v>
      </c>
      <c r="V327" s="73"/>
      <c r="W327" s="73"/>
      <c r="X327" s="73"/>
      <c r="Y327" s="73"/>
      <c r="Z327" s="73"/>
      <c r="AA327" s="73"/>
      <c r="AB327" s="73"/>
      <c r="AC327" s="73"/>
      <c r="AE327" s="73"/>
      <c r="AI327" s="143"/>
      <c r="AJ327" s="143"/>
      <c r="AK327" s="143"/>
      <c r="AL327" s="143"/>
      <c r="AM327" s="143"/>
      <c r="AN327" s="143"/>
      <c r="AO327" s="143"/>
      <c r="AP327" s="143"/>
      <c r="AQ327" s="143"/>
    </row>
    <row r="328" spans="1:43" ht="15" customHeight="1">
      <c r="A328" s="835" t="str">
        <f>+input!B49</f>
        <v>124i</v>
      </c>
      <c r="B328" s="836">
        <f>Stress!E95</f>
        <v>-5346.41</v>
      </c>
      <c r="C328" s="836">
        <f>Stress!F95</f>
        <v>43.3</v>
      </c>
      <c r="D328" s="836">
        <f>Stress!G95</f>
        <v>-11167.32</v>
      </c>
      <c r="E328" s="836">
        <f>Stress!H95</f>
        <v>-2548.35</v>
      </c>
      <c r="F328" s="836">
        <f>Stress!I95</f>
        <v>-2232.48</v>
      </c>
      <c r="G328" s="836">
        <f t="shared" si="7"/>
        <v>-6628.8874999999998</v>
      </c>
      <c r="H328" s="836">
        <f t="shared" si="8"/>
        <v>-13959.15</v>
      </c>
      <c r="I328" s="837">
        <f t="shared" si="9"/>
        <v>-6534.1575000000003</v>
      </c>
      <c r="V328" s="73"/>
      <c r="W328" s="73"/>
      <c r="X328" s="73"/>
      <c r="Y328" s="73"/>
      <c r="Z328" s="73"/>
      <c r="AA328" s="73"/>
      <c r="AB328" s="73"/>
      <c r="AC328" s="73"/>
      <c r="AE328" s="73"/>
      <c r="AI328" s="143"/>
      <c r="AJ328" s="143"/>
      <c r="AK328" s="143"/>
      <c r="AL328" s="143"/>
      <c r="AM328" s="143"/>
      <c r="AN328" s="143"/>
      <c r="AO328" s="143"/>
      <c r="AP328" s="143"/>
      <c r="AQ328" s="143"/>
    </row>
    <row r="329" spans="1:43" ht="15" customHeight="1">
      <c r="A329" s="835" t="str">
        <f>+input!B50</f>
        <v>124j</v>
      </c>
      <c r="B329" s="836">
        <f>Stress!E96</f>
        <v>-3359.75</v>
      </c>
      <c r="C329" s="836">
        <f>Stress!F96</f>
        <v>37.01</v>
      </c>
      <c r="D329" s="836">
        <f>Stress!G96</f>
        <v>-6188.78</v>
      </c>
      <c r="E329" s="836">
        <f>Stress!H96</f>
        <v>-1378.99</v>
      </c>
      <c r="F329" s="836">
        <f>Stress!I96</f>
        <v>-1214.99</v>
      </c>
      <c r="G329" s="836">
        <f t="shared" si="7"/>
        <v>-4153.4249999999993</v>
      </c>
      <c r="H329" s="836">
        <f t="shared" si="8"/>
        <v>-7735.9749999999995</v>
      </c>
      <c r="I329" s="837">
        <f t="shared" si="9"/>
        <v>-3546.2224999999999</v>
      </c>
      <c r="V329" s="73"/>
      <c r="W329" s="73"/>
      <c r="X329" s="73"/>
      <c r="Y329" s="73"/>
      <c r="Z329" s="73"/>
      <c r="AA329" s="73"/>
      <c r="AB329" s="73"/>
      <c r="AC329" s="73"/>
      <c r="AE329" s="73"/>
      <c r="AI329" s="143"/>
      <c r="AJ329" s="143"/>
      <c r="AK329" s="143"/>
      <c r="AL329" s="143"/>
      <c r="AM329" s="143"/>
      <c r="AN329" s="143"/>
      <c r="AO329" s="143"/>
      <c r="AP329" s="143"/>
      <c r="AQ329" s="143"/>
    </row>
    <row r="330" spans="1:43" ht="15" customHeight="1">
      <c r="A330" s="835" t="str">
        <f>+input!B51</f>
        <v>125i</v>
      </c>
      <c r="B330" s="836">
        <f>Stress!E97</f>
        <v>-3359.75</v>
      </c>
      <c r="C330" s="836">
        <f>Stress!F97</f>
        <v>37.01</v>
      </c>
      <c r="D330" s="836">
        <f>Stress!G97</f>
        <v>-6188.76</v>
      </c>
      <c r="E330" s="836">
        <f>Stress!H97</f>
        <v>-1378.99</v>
      </c>
      <c r="F330" s="836">
        <f>Stress!I97</f>
        <v>-1214.99</v>
      </c>
      <c r="G330" s="836">
        <f t="shared" si="7"/>
        <v>-4153.4249999999993</v>
      </c>
      <c r="H330" s="836">
        <f t="shared" si="8"/>
        <v>-7735.9500000000007</v>
      </c>
      <c r="I330" s="837">
        <f t="shared" si="9"/>
        <v>-3546.2224999999999</v>
      </c>
      <c r="V330" s="73"/>
      <c r="W330" s="73"/>
      <c r="X330" s="73"/>
      <c r="Y330" s="73"/>
      <c r="Z330" s="73"/>
      <c r="AA330" s="73"/>
      <c r="AB330" s="73"/>
      <c r="AC330" s="73"/>
      <c r="AE330" s="73"/>
      <c r="AI330" s="143"/>
      <c r="AJ330" s="143"/>
      <c r="AK330" s="143"/>
      <c r="AL330" s="143"/>
      <c r="AM330" s="143"/>
      <c r="AN330" s="143"/>
      <c r="AO330" s="143"/>
      <c r="AP330" s="143"/>
      <c r="AQ330" s="143"/>
    </row>
    <row r="331" spans="1:43" ht="15" customHeight="1">
      <c r="A331" s="835" t="str">
        <f>+input!B52</f>
        <v>125j</v>
      </c>
      <c r="B331" s="836">
        <f>Stress!E98</f>
        <v>-1865.98</v>
      </c>
      <c r="C331" s="836">
        <f>Stress!F98</f>
        <v>30.67</v>
      </c>
      <c r="D331" s="836">
        <f>Stress!G98</f>
        <v>-2546.4899999999998</v>
      </c>
      <c r="E331" s="836">
        <f>Stress!H98</f>
        <v>-534.80999999999995</v>
      </c>
      <c r="F331" s="836">
        <f>Stress!I98</f>
        <v>-466.31</v>
      </c>
      <c r="G331" s="836">
        <f t="shared" si="7"/>
        <v>-2294.1374999999998</v>
      </c>
      <c r="H331" s="836">
        <f t="shared" si="8"/>
        <v>-3183.1124999999997</v>
      </c>
      <c r="I331" s="837">
        <f t="shared" si="9"/>
        <v>-1367.9775</v>
      </c>
      <c r="V331" s="73"/>
      <c r="W331" s="73"/>
      <c r="X331" s="73"/>
      <c r="Y331" s="73"/>
      <c r="Z331" s="73"/>
      <c r="AA331" s="73"/>
      <c r="AB331" s="73"/>
      <c r="AC331" s="73"/>
      <c r="AE331" s="73"/>
      <c r="AI331" s="143"/>
      <c r="AJ331" s="143"/>
      <c r="AK331" s="143"/>
      <c r="AL331" s="143"/>
      <c r="AM331" s="143"/>
      <c r="AN331" s="143"/>
      <c r="AO331" s="143"/>
      <c r="AP331" s="143"/>
      <c r="AQ331" s="143"/>
    </row>
    <row r="332" spans="1:43" ht="15" customHeight="1">
      <c r="A332" s="835" t="str">
        <f>+input!B53</f>
        <v>126i</v>
      </c>
      <c r="B332" s="836">
        <f>Stress!E99</f>
        <v>-1865.98</v>
      </c>
      <c r="C332" s="836">
        <f>Stress!F99</f>
        <v>30.67</v>
      </c>
      <c r="D332" s="836">
        <f>Stress!G99</f>
        <v>-2546.4899999999998</v>
      </c>
      <c r="E332" s="836">
        <f>Stress!H99</f>
        <v>-534.80999999999995</v>
      </c>
      <c r="F332" s="836">
        <f>Stress!I99</f>
        <v>-466.31</v>
      </c>
      <c r="G332" s="836">
        <f t="shared" si="7"/>
        <v>-2294.1374999999998</v>
      </c>
      <c r="H332" s="836">
        <f t="shared" si="8"/>
        <v>-3183.1124999999997</v>
      </c>
      <c r="I332" s="837">
        <f t="shared" si="9"/>
        <v>-1367.9775</v>
      </c>
      <c r="V332" s="73"/>
      <c r="W332" s="73"/>
      <c r="X332" s="73"/>
      <c r="Y332" s="73"/>
      <c r="Z332" s="73"/>
      <c r="AA332" s="73"/>
      <c r="AB332" s="73"/>
      <c r="AC332" s="73"/>
      <c r="AE332" s="73"/>
      <c r="AI332" s="143"/>
      <c r="AJ332" s="143"/>
      <c r="AK332" s="143"/>
      <c r="AL332" s="143"/>
      <c r="AM332" s="143"/>
      <c r="AN332" s="143"/>
      <c r="AO332" s="143"/>
      <c r="AP332" s="143"/>
      <c r="AQ332" s="143"/>
    </row>
    <row r="333" spans="1:43" ht="15" customHeight="1">
      <c r="A333" s="835" t="str">
        <f>+input!B54</f>
        <v>126j</v>
      </c>
      <c r="B333" s="836">
        <f>Stress!E100</f>
        <v>-735.55</v>
      </c>
      <c r="C333" s="836">
        <f>Stress!F100</f>
        <v>24.33</v>
      </c>
      <c r="D333" s="836">
        <f>Stress!G100</f>
        <v>200.82</v>
      </c>
      <c r="E333" s="836">
        <f>Stress!H100</f>
        <v>108.11</v>
      </c>
      <c r="F333" s="836">
        <f>Stress!I100</f>
        <v>89.38</v>
      </c>
      <c r="G333" s="836">
        <f t="shared" si="7"/>
        <v>-889.02499999999986</v>
      </c>
      <c r="H333" s="836">
        <f t="shared" si="8"/>
        <v>251.02499999999998</v>
      </c>
      <c r="I333" s="837">
        <f t="shared" si="9"/>
        <v>269.20749999999998</v>
      </c>
      <c r="V333" s="73"/>
      <c r="W333" s="73"/>
      <c r="X333" s="73"/>
      <c r="Y333" s="73"/>
      <c r="Z333" s="73"/>
      <c r="AA333" s="73"/>
      <c r="AB333" s="73"/>
      <c r="AC333" s="73"/>
      <c r="AE333" s="73"/>
      <c r="AI333" s="143"/>
      <c r="AJ333" s="143"/>
      <c r="AK333" s="143"/>
      <c r="AL333" s="143"/>
      <c r="AM333" s="143"/>
      <c r="AN333" s="143"/>
      <c r="AO333" s="143"/>
      <c r="AP333" s="143"/>
      <c r="AQ333" s="143"/>
    </row>
    <row r="334" spans="1:43" ht="15" customHeight="1">
      <c r="A334" s="835" t="str">
        <f>+input!B55</f>
        <v>127i</v>
      </c>
      <c r="B334" s="836">
        <f>Stress!E101</f>
        <v>-735.55</v>
      </c>
      <c r="C334" s="836">
        <f>Stress!F101</f>
        <v>24.33</v>
      </c>
      <c r="D334" s="836">
        <f>Stress!G101</f>
        <v>200.81</v>
      </c>
      <c r="E334" s="836">
        <f>Stress!H101</f>
        <v>108.11</v>
      </c>
      <c r="F334" s="836">
        <f>Stress!I101</f>
        <v>89.38</v>
      </c>
      <c r="G334" s="836">
        <f t="shared" si="7"/>
        <v>-889.02499999999986</v>
      </c>
      <c r="H334" s="836">
        <f t="shared" si="8"/>
        <v>251.01249999999999</v>
      </c>
      <c r="I334" s="837">
        <f t="shared" si="9"/>
        <v>269.20749999999998</v>
      </c>
      <c r="V334" s="73"/>
      <c r="W334" s="73"/>
      <c r="X334" s="73"/>
      <c r="Y334" s="73"/>
      <c r="Z334" s="73"/>
      <c r="AA334" s="73"/>
      <c r="AB334" s="73"/>
      <c r="AC334" s="73"/>
      <c r="AE334" s="73"/>
      <c r="AI334" s="143"/>
      <c r="AJ334" s="143"/>
      <c r="AK334" s="143"/>
      <c r="AL334" s="143"/>
      <c r="AM334" s="143"/>
      <c r="AN334" s="143"/>
      <c r="AO334" s="143"/>
      <c r="AP334" s="143"/>
      <c r="AQ334" s="143"/>
    </row>
    <row r="335" spans="1:43" ht="15" customHeight="1">
      <c r="A335" s="835" t="str">
        <f>+input!B56</f>
        <v>127j</v>
      </c>
      <c r="B335" s="836">
        <f>Stress!E102</f>
        <v>-40.26</v>
      </c>
      <c r="C335" s="836">
        <f>Stress!F102</f>
        <v>18.05</v>
      </c>
      <c r="D335" s="836">
        <f>Stress!G102</f>
        <v>1668.99</v>
      </c>
      <c r="E335" s="836">
        <f>Stress!H102</f>
        <v>432.01</v>
      </c>
      <c r="F335" s="836">
        <f>Stress!I102</f>
        <v>381.07</v>
      </c>
      <c r="G335" s="836">
        <f t="shared" si="7"/>
        <v>-27.762499999999996</v>
      </c>
      <c r="H335" s="836">
        <f t="shared" si="8"/>
        <v>2086.2375000000002</v>
      </c>
      <c r="I335" s="837">
        <f t="shared" si="9"/>
        <v>1111.6175000000001</v>
      </c>
      <c r="V335" s="73"/>
      <c r="W335" s="73"/>
      <c r="X335" s="73"/>
      <c r="Y335" s="73"/>
      <c r="Z335" s="73"/>
      <c r="AA335" s="73"/>
      <c r="AB335" s="73"/>
      <c r="AC335" s="73"/>
      <c r="AE335" s="73"/>
      <c r="AI335" s="143"/>
      <c r="AJ335" s="143"/>
      <c r="AK335" s="143"/>
      <c r="AL335" s="143"/>
      <c r="AM335" s="143"/>
      <c r="AN335" s="143"/>
      <c r="AO335" s="143"/>
      <c r="AP335" s="143"/>
      <c r="AQ335" s="143"/>
    </row>
    <row r="336" spans="1:43" ht="15" customHeight="1">
      <c r="A336" s="835" t="str">
        <f>+input!B57</f>
        <v>128i</v>
      </c>
      <c r="B336" s="836">
        <f>Stress!E103</f>
        <v>-40.26</v>
      </c>
      <c r="C336" s="836">
        <f>Stress!F103</f>
        <v>18.05</v>
      </c>
      <c r="D336" s="836">
        <f>Stress!G103</f>
        <v>1668.99</v>
      </c>
      <c r="E336" s="836">
        <f>Stress!H103</f>
        <v>432.01</v>
      </c>
      <c r="F336" s="836">
        <f>Stress!I103</f>
        <v>381.07</v>
      </c>
      <c r="G336" s="836">
        <f t="shared" si="7"/>
        <v>-27.762499999999996</v>
      </c>
      <c r="H336" s="836">
        <f t="shared" si="8"/>
        <v>2086.2375000000002</v>
      </c>
      <c r="I336" s="837">
        <f t="shared" si="9"/>
        <v>1111.6175000000001</v>
      </c>
      <c r="V336" s="73"/>
      <c r="W336" s="73"/>
      <c r="X336" s="73"/>
      <c r="Y336" s="73"/>
      <c r="Z336" s="73"/>
      <c r="AA336" s="73"/>
      <c r="AB336" s="73"/>
      <c r="AC336" s="73"/>
      <c r="AE336" s="73"/>
      <c r="AI336" s="143"/>
      <c r="AJ336" s="143"/>
      <c r="AK336" s="143"/>
      <c r="AL336" s="143"/>
      <c r="AM336" s="143"/>
      <c r="AN336" s="143"/>
      <c r="AO336" s="143"/>
      <c r="AP336" s="143"/>
      <c r="AQ336" s="143"/>
    </row>
    <row r="337" spans="1:43" ht="15" customHeight="1">
      <c r="A337" s="835" t="str">
        <f>+input!B58</f>
        <v>128j</v>
      </c>
      <c r="B337" s="836">
        <f>Stress!E104</f>
        <v>335.14</v>
      </c>
      <c r="C337" s="836">
        <f>Stress!F104</f>
        <v>11.76</v>
      </c>
      <c r="D337" s="836">
        <f>Stress!G104</f>
        <v>2242.16</v>
      </c>
      <c r="E337" s="836">
        <f>Stress!H104</f>
        <v>554.65</v>
      </c>
      <c r="F337" s="836">
        <f>Stress!I104</f>
        <v>479.76</v>
      </c>
      <c r="G337" s="836">
        <f t="shared" si="7"/>
        <v>433.625</v>
      </c>
      <c r="H337" s="836">
        <f t="shared" si="8"/>
        <v>2802.7</v>
      </c>
      <c r="I337" s="837">
        <f t="shared" si="9"/>
        <v>1412.9524999999999</v>
      </c>
      <c r="V337" s="73"/>
      <c r="W337" s="73"/>
      <c r="X337" s="73"/>
      <c r="Y337" s="73"/>
      <c r="Z337" s="73"/>
      <c r="AA337" s="73"/>
      <c r="AB337" s="73"/>
      <c r="AC337" s="73"/>
      <c r="AE337" s="73"/>
      <c r="AI337" s="143"/>
      <c r="AJ337" s="143"/>
      <c r="AK337" s="143"/>
      <c r="AL337" s="143"/>
      <c r="AM337" s="143"/>
      <c r="AN337" s="143"/>
      <c r="AO337" s="143"/>
      <c r="AP337" s="143"/>
      <c r="AQ337" s="143"/>
    </row>
    <row r="338" spans="1:43" ht="15" customHeight="1">
      <c r="A338" s="835" t="str">
        <f>+input!B59</f>
        <v>129i</v>
      </c>
      <c r="B338" s="836">
        <f>Stress!E105</f>
        <v>335.14</v>
      </c>
      <c r="C338" s="836">
        <f>Stress!F105</f>
        <v>11.76</v>
      </c>
      <c r="D338" s="836">
        <f>Stress!G105</f>
        <v>2242.17</v>
      </c>
      <c r="E338" s="836">
        <f>Stress!H105</f>
        <v>554.65</v>
      </c>
      <c r="F338" s="836">
        <f>Stress!I105</f>
        <v>479.76</v>
      </c>
      <c r="G338" s="836">
        <f t="shared" si="7"/>
        <v>433.625</v>
      </c>
      <c r="H338" s="836">
        <f t="shared" si="8"/>
        <v>2802.7125000000001</v>
      </c>
      <c r="I338" s="837">
        <f t="shared" si="9"/>
        <v>1412.9524999999999</v>
      </c>
      <c r="V338" s="73"/>
      <c r="W338" s="73"/>
      <c r="X338" s="73"/>
      <c r="Y338" s="73"/>
      <c r="Z338" s="73"/>
      <c r="AA338" s="73"/>
      <c r="AB338" s="73"/>
      <c r="AC338" s="73"/>
      <c r="AE338" s="73"/>
      <c r="AI338" s="143"/>
      <c r="AJ338" s="143"/>
      <c r="AK338" s="143"/>
      <c r="AL338" s="143"/>
      <c r="AM338" s="143"/>
      <c r="AN338" s="143"/>
      <c r="AO338" s="143"/>
      <c r="AP338" s="143"/>
      <c r="AQ338" s="143"/>
    </row>
    <row r="339" spans="1:43" ht="15" customHeight="1">
      <c r="A339" s="835" t="str">
        <f>+input!B60</f>
        <v>129j</v>
      </c>
      <c r="B339" s="836">
        <f>Stress!E106</f>
        <v>220.91</v>
      </c>
      <c r="C339" s="836">
        <f>Stress!F106</f>
        <v>3.64</v>
      </c>
      <c r="D339" s="836">
        <f>Stress!G106</f>
        <v>1089.68</v>
      </c>
      <c r="E339" s="836">
        <f>Stress!H106</f>
        <v>246.35</v>
      </c>
      <c r="F339" s="836">
        <f>Stress!I106</f>
        <v>220.11</v>
      </c>
      <c r="G339" s="836">
        <f t="shared" si="7"/>
        <v>280.6875</v>
      </c>
      <c r="H339" s="836">
        <f t="shared" si="8"/>
        <v>1362.1000000000001</v>
      </c>
      <c r="I339" s="837">
        <f t="shared" si="9"/>
        <v>638.10249999999996</v>
      </c>
      <c r="V339" s="73"/>
      <c r="W339" s="73"/>
      <c r="X339" s="73"/>
      <c r="Y339" s="73"/>
      <c r="Z339" s="73"/>
      <c r="AA339" s="73"/>
      <c r="AB339" s="639"/>
      <c r="AC339" s="73"/>
      <c r="AE339" s="639"/>
      <c r="AI339" s="143"/>
      <c r="AJ339" s="143"/>
      <c r="AK339" s="143"/>
      <c r="AL339" s="143"/>
      <c r="AM339" s="143"/>
      <c r="AN339" s="143"/>
      <c r="AO339" s="143"/>
      <c r="AP339" s="143"/>
      <c r="AQ339" s="143"/>
    </row>
    <row r="340" spans="1:43" ht="15" customHeight="1">
      <c r="A340" s="835" t="str">
        <f>+input!B61</f>
        <v>130i</v>
      </c>
      <c r="B340" s="836">
        <f>Stress!E107</f>
        <v>220.92</v>
      </c>
      <c r="C340" s="836">
        <f>Stress!F107</f>
        <v>3.64</v>
      </c>
      <c r="D340" s="836">
        <f>Stress!G107</f>
        <v>1089.68</v>
      </c>
      <c r="E340" s="836">
        <f>Stress!H107</f>
        <v>246.35</v>
      </c>
      <c r="F340" s="836">
        <f>Stress!I107</f>
        <v>220.11</v>
      </c>
      <c r="G340" s="836">
        <f t="shared" si="7"/>
        <v>280.7</v>
      </c>
      <c r="H340" s="836">
        <f t="shared" si="8"/>
        <v>1362.1000000000001</v>
      </c>
      <c r="I340" s="837">
        <f t="shared" si="9"/>
        <v>638.10249999999996</v>
      </c>
      <c r="V340" s="73"/>
      <c r="W340" s="73"/>
      <c r="X340" s="73"/>
      <c r="Y340" s="73"/>
      <c r="Z340" s="73"/>
      <c r="AA340" s="73"/>
      <c r="AB340" s="73"/>
      <c r="AC340" s="73"/>
      <c r="AE340" s="73"/>
      <c r="AI340" s="143"/>
      <c r="AJ340" s="143"/>
      <c r="AK340" s="143"/>
      <c r="AL340" s="143"/>
      <c r="AM340" s="143"/>
      <c r="AN340" s="143"/>
      <c r="AO340" s="143"/>
      <c r="AP340" s="143"/>
      <c r="AQ340" s="143"/>
    </row>
    <row r="341" spans="1:43" ht="15" customHeight="1">
      <c r="A341" s="835" t="str">
        <f>+input!B62</f>
        <v>130j</v>
      </c>
      <c r="B341" s="836">
        <f>Stress!E108</f>
        <v>-1.85</v>
      </c>
      <c r="C341" s="836">
        <f>Stress!F108</f>
        <v>0</v>
      </c>
      <c r="D341" s="836">
        <f>Stress!G108</f>
        <v>-8.83</v>
      </c>
      <c r="E341" s="836">
        <f>Stress!H108</f>
        <v>-1.21</v>
      </c>
      <c r="F341" s="836">
        <f>Stress!I108</f>
        <v>-1.1599999999999999</v>
      </c>
      <c r="G341" s="836">
        <f t="shared" si="7"/>
        <v>-2.3125</v>
      </c>
      <c r="H341" s="836">
        <f t="shared" si="8"/>
        <v>-11.0375</v>
      </c>
      <c r="I341" s="837">
        <f t="shared" si="9"/>
        <v>-3.2524999999999995</v>
      </c>
      <c r="V341" s="73"/>
      <c r="W341" s="73"/>
      <c r="X341" s="73"/>
      <c r="Y341" s="73"/>
      <c r="Z341" s="73"/>
      <c r="AA341" s="73"/>
      <c r="AB341" s="73"/>
      <c r="AC341" s="73"/>
      <c r="AE341" s="73"/>
      <c r="AI341" s="143"/>
      <c r="AJ341" s="143"/>
      <c r="AK341" s="143"/>
      <c r="AL341" s="143"/>
      <c r="AM341" s="143"/>
      <c r="AN341" s="143"/>
      <c r="AO341" s="143"/>
      <c r="AP341" s="143"/>
      <c r="AQ341" s="143"/>
    </row>
    <row r="342" spans="1:43" ht="15" customHeight="1">
      <c r="A342" s="835" t="str">
        <f>+input!B63</f>
        <v>131i</v>
      </c>
      <c r="B342" s="836">
        <f>Stress!E109</f>
        <v>-1.86</v>
      </c>
      <c r="C342" s="836">
        <f>Stress!F109</f>
        <v>0</v>
      </c>
      <c r="D342" s="836">
        <f>Stress!G109</f>
        <v>-8.86</v>
      </c>
      <c r="E342" s="836">
        <f>Stress!H109</f>
        <v>-1.22</v>
      </c>
      <c r="F342" s="836">
        <f>Stress!I109</f>
        <v>-1.17</v>
      </c>
      <c r="G342" s="836">
        <f t="shared" si="7"/>
        <v>-2.3250000000000002</v>
      </c>
      <c r="H342" s="836">
        <f t="shared" si="8"/>
        <v>-11.074999999999999</v>
      </c>
      <c r="I342" s="837">
        <f t="shared" si="9"/>
        <v>-3.28</v>
      </c>
      <c r="V342" s="73"/>
      <c r="W342" s="73"/>
      <c r="X342" s="73"/>
      <c r="Y342" s="73"/>
      <c r="Z342" s="73"/>
      <c r="AA342" s="73"/>
      <c r="AB342" s="73"/>
      <c r="AC342" s="73"/>
      <c r="AE342" s="73"/>
      <c r="AI342" s="143"/>
      <c r="AJ342" s="143"/>
      <c r="AK342" s="143"/>
      <c r="AL342" s="143"/>
      <c r="AM342" s="143"/>
      <c r="AN342" s="143"/>
      <c r="AO342" s="143"/>
      <c r="AP342" s="143"/>
      <c r="AQ342" s="143"/>
    </row>
    <row r="343" spans="1:43" ht="15" customHeight="1">
      <c r="A343" s="835" t="str">
        <f>+input!B64</f>
        <v>131j</v>
      </c>
      <c r="B343" s="836">
        <f>Stress!E110</f>
        <v>0</v>
      </c>
      <c r="C343" s="836">
        <f>Stress!F110</f>
        <v>0</v>
      </c>
      <c r="D343" s="836">
        <f>Stress!G110</f>
        <v>0</v>
      </c>
      <c r="E343" s="836">
        <f>Stress!H110</f>
        <v>0</v>
      </c>
      <c r="F343" s="836">
        <f>Stress!I110</f>
        <v>0</v>
      </c>
      <c r="G343" s="836">
        <f t="shared" si="7"/>
        <v>0</v>
      </c>
      <c r="H343" s="836">
        <f t="shared" si="8"/>
        <v>0</v>
      </c>
      <c r="I343" s="837">
        <f t="shared" si="9"/>
        <v>0</v>
      </c>
      <c r="V343" s="73"/>
      <c r="W343" s="73"/>
      <c r="X343" s="73"/>
      <c r="Y343" s="73"/>
      <c r="Z343" s="73"/>
      <c r="AA343" s="73"/>
      <c r="AB343" s="73"/>
      <c r="AC343" s="73"/>
      <c r="AE343" s="73"/>
      <c r="AI343" s="143"/>
      <c r="AJ343" s="143"/>
      <c r="AK343" s="143"/>
      <c r="AL343" s="143"/>
      <c r="AM343" s="143"/>
      <c r="AN343" s="143"/>
      <c r="AO343" s="143"/>
      <c r="AP343" s="143"/>
      <c r="AQ343" s="143"/>
    </row>
    <row r="344" spans="1:43" ht="15" customHeight="1">
      <c r="D344" s="301"/>
      <c r="E344" s="301"/>
      <c r="F344" s="301"/>
      <c r="G344" s="301"/>
      <c r="H344" s="301"/>
      <c r="I344" s="301"/>
      <c r="J344" s="301"/>
      <c r="K344" s="301"/>
      <c r="L344" s="301"/>
      <c r="M344" s="301"/>
      <c r="N344" s="301"/>
      <c r="O344" s="301"/>
      <c r="P344" s="301"/>
      <c r="Q344" s="301"/>
      <c r="R344" s="301"/>
      <c r="S344" s="301"/>
      <c r="T344" s="301"/>
      <c r="U344" s="301"/>
      <c r="V344" s="301"/>
      <c r="W344" s="301"/>
      <c r="Y344" s="302"/>
      <c r="Z344" s="143"/>
      <c r="AB344" s="307"/>
      <c r="AE344" s="73"/>
    </row>
    <row r="345" spans="1:43" ht="15" customHeight="1">
      <c r="D345" s="465"/>
      <c r="E345" s="465"/>
      <c r="F345" s="465"/>
      <c r="G345" s="465"/>
      <c r="H345" s="465"/>
      <c r="I345" s="465"/>
      <c r="J345" s="465"/>
      <c r="K345" s="465"/>
      <c r="L345" s="465"/>
      <c r="M345" s="465"/>
      <c r="N345" s="465"/>
      <c r="O345" s="465"/>
      <c r="P345" s="465"/>
      <c r="Q345" s="465"/>
      <c r="R345" s="465"/>
      <c r="S345" s="465"/>
      <c r="T345" s="465"/>
      <c r="U345" s="465"/>
      <c r="V345" s="465"/>
      <c r="W345" s="465"/>
      <c r="Y345" s="466"/>
      <c r="Z345" s="143"/>
      <c r="AB345" s="307"/>
      <c r="AE345" s="73"/>
    </row>
    <row r="346" spans="1:43" ht="15" customHeight="1" thickBot="1">
      <c r="A346" s="468" t="s">
        <v>1632</v>
      </c>
      <c r="G346" s="4"/>
      <c r="H346" s="4"/>
      <c r="I346" s="4"/>
      <c r="L346" s="302"/>
      <c r="O346" s="52"/>
      <c r="Z346" s="302"/>
      <c r="AB346" s="302"/>
    </row>
    <row r="347" spans="1:43" ht="15" customHeight="1">
      <c r="A347" s="535" t="s">
        <v>16</v>
      </c>
      <c r="B347" s="1918" t="s">
        <v>749</v>
      </c>
      <c r="C347" s="1911"/>
      <c r="D347" s="1911"/>
      <c r="E347" s="1919"/>
      <c r="F347" s="536" t="s">
        <v>751</v>
      </c>
      <c r="G347" s="1918" t="s">
        <v>750</v>
      </c>
      <c r="H347" s="1911"/>
      <c r="I347" s="1911"/>
      <c r="J347" s="1919"/>
      <c r="K347" s="536" t="s">
        <v>743</v>
      </c>
      <c r="L347" s="536" t="s">
        <v>753</v>
      </c>
      <c r="M347" s="536" t="s">
        <v>740</v>
      </c>
      <c r="N347" s="840" t="s">
        <v>1736</v>
      </c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</row>
    <row r="348" spans="1:43" ht="15" customHeight="1">
      <c r="A348" s="537"/>
      <c r="B348" s="532" t="s">
        <v>393</v>
      </c>
      <c r="C348" s="532" t="s">
        <v>648</v>
      </c>
      <c r="D348" s="532" t="s">
        <v>738</v>
      </c>
      <c r="E348" s="532" t="s">
        <v>739</v>
      </c>
      <c r="F348" s="262"/>
      <c r="G348" s="532" t="s">
        <v>737</v>
      </c>
      <c r="H348" s="532" t="s">
        <v>648</v>
      </c>
      <c r="I348" s="532" t="s">
        <v>738</v>
      </c>
      <c r="J348" s="532" t="s">
        <v>739</v>
      </c>
      <c r="K348" s="262"/>
      <c r="L348" s="262"/>
      <c r="M348" s="262"/>
      <c r="N348" s="481" t="s">
        <v>1735</v>
      </c>
      <c r="Q348" s="73"/>
      <c r="R348" s="640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</row>
    <row r="349" spans="1:43" ht="15" customHeight="1">
      <c r="A349" s="838" t="str">
        <f>+input!B3</f>
        <v>101i</v>
      </c>
      <c r="B349" s="796">
        <f>IF(Stress!F832&lt;=0,input!CO3,input!CN3)</f>
        <v>86301750.739963204</v>
      </c>
      <c r="C349" s="796">
        <f>IF(Stress!F832&lt;=0,input!CO3,input!DD3)</f>
        <v>86301750.739963204</v>
      </c>
      <c r="D349" s="796">
        <f>IF(Stress!F832&lt;=0,input!DU3,input!EJ3)</f>
        <v>97320738.928489029</v>
      </c>
      <c r="E349" s="796">
        <f>IF(Stress!F832&lt;=0,input!DM3,input!EB3)</f>
        <v>119615716.03675747</v>
      </c>
      <c r="F349" s="796">
        <f>IF(Stress!F832&lt;=0,(input!BJ3/10^6-G282/B349-H282/C349-I282/D349)*E349,-(input!BI3/10^6+G282/B349+H282/C349+I282/D349)*E349)</f>
        <v>-45453.938554635017</v>
      </c>
      <c r="G349" s="796">
        <f>IF(Stress!F832&lt;=0,input!CN3,input!CO3)</f>
        <v>96566218.18506074</v>
      </c>
      <c r="H349" s="796">
        <f>IF(Stress!F832&lt;=0,input!CN3,input!DE3)</f>
        <v>96566218.18506074</v>
      </c>
      <c r="I349" s="796">
        <f>IF(Stress!F832&lt;=0,input!DT3,input!EK3)</f>
        <v>99919960.233914346</v>
      </c>
      <c r="J349" s="796">
        <f>IF(Stress!F832&lt;=0,input!DL3,input!EC3)</f>
        <v>105261184.05116099</v>
      </c>
      <c r="K349" s="839">
        <f>IF(Stress!F832&lt;=0,(input!BI3/10^6-G282/G349-H282/H349-I282/I349)*J349,-(input!BJ3/10^6+G282/G349+H282/H349+I282/I349)*J349)</f>
        <v>-39999.224864710777</v>
      </c>
      <c r="L349" s="839">
        <f>MIN(ABS(F349),ABS(K349))</f>
        <v>39999.224864710777</v>
      </c>
      <c r="M349" s="839">
        <f t="shared" ref="M349:M380" si="10">ABS(G282+H282+I282)+L349</f>
        <v>39999.247364710776</v>
      </c>
      <c r="N349" s="841">
        <f t="shared" ref="N349:N380" si="11">(M349-N200)/N200</f>
        <v>-0.14521906715046673</v>
      </c>
      <c r="O349" s="639"/>
      <c r="P349" s="639"/>
      <c r="Q349" s="639"/>
      <c r="R349" s="639"/>
      <c r="S349" s="639"/>
      <c r="T349" s="73"/>
      <c r="U349" s="73"/>
      <c r="V349" s="73"/>
      <c r="W349" s="73"/>
      <c r="X349" s="73"/>
      <c r="Y349" s="73"/>
      <c r="Z349" s="143"/>
      <c r="AB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</row>
    <row r="350" spans="1:43" ht="15" customHeight="1">
      <c r="A350" s="838" t="str">
        <f>+input!B4</f>
        <v>101j</v>
      </c>
      <c r="B350" s="796">
        <f>IF(Stress!F833&lt;=0,input!CO4,input!CN4)</f>
        <v>86301750.739963204</v>
      </c>
      <c r="C350" s="796">
        <f>IF(Stress!F833&lt;=0,input!CO4,input!DD4)</f>
        <v>86301750.739963204</v>
      </c>
      <c r="D350" s="796">
        <f>IF(Stress!F833&lt;=0,input!DU4,input!EJ4)</f>
        <v>97320738.928489029</v>
      </c>
      <c r="E350" s="796">
        <f>IF(Stress!F833&lt;=0,input!DM4,input!EB4)</f>
        <v>119615716.03675747</v>
      </c>
      <c r="F350" s="796">
        <f>IF(Stress!F833&lt;=0,(input!BJ4/10^6-G283/B350-H283/C350-I283/D350)*E350,-(input!BI4/10^6+G283/B350+H283/C350+I283/D350)*E350)</f>
        <v>-45431.29542111823</v>
      </c>
      <c r="G350" s="796">
        <f>IF(Stress!F833&lt;=0,input!CN4,input!CO4)</f>
        <v>96566218.18506074</v>
      </c>
      <c r="H350" s="796">
        <f>IF(Stress!F833&lt;=0,input!CN4,input!DE4)</f>
        <v>96566218.18506074</v>
      </c>
      <c r="I350" s="796">
        <f>IF(Stress!F833&lt;=0,input!DT4,input!EK4)</f>
        <v>99919960.233914346</v>
      </c>
      <c r="J350" s="796">
        <f>IF(Stress!F833&lt;=0,input!DL4,input!EC4)</f>
        <v>105261184.05116099</v>
      </c>
      <c r="K350" s="839">
        <f>IF(Stress!F833&lt;=0,(input!BI4/10^6-G283/G350-H283/H350-I283/I350)*J350,-(input!BJ4/10^6+G283/G350+H283/H350+I283/I350)*J350)</f>
        <v>-39981.127020045664</v>
      </c>
      <c r="L350" s="839">
        <f t="shared" ref="L350:L380" si="12">MIN(ABS(F350),ABS(K350))</f>
        <v>39981.127020045664</v>
      </c>
      <c r="M350" s="839">
        <f t="shared" si="10"/>
        <v>39997.864520045667</v>
      </c>
      <c r="N350" s="841">
        <f t="shared" si="11"/>
        <v>-0.14524861843782097</v>
      </c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143"/>
      <c r="AB350" s="143"/>
      <c r="AD350" s="143"/>
      <c r="AE350" s="143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</row>
    <row r="351" spans="1:43" ht="15" customHeight="1">
      <c r="A351" s="838" t="str">
        <f>+input!B5</f>
        <v>102i</v>
      </c>
      <c r="B351" s="796">
        <f>IF(Stress!F834&lt;=0,input!CO5,input!CN5)</f>
        <v>86301750.739963204</v>
      </c>
      <c r="C351" s="796">
        <f>IF(Stress!F834&lt;=0,input!CO5,input!DD5)</f>
        <v>86301750.739963204</v>
      </c>
      <c r="D351" s="796">
        <f>IF(Stress!F834&lt;=0,input!DU5,input!EJ5)</f>
        <v>97320738.928489029</v>
      </c>
      <c r="E351" s="796">
        <f>IF(Stress!F834&lt;=0,input!DM5,input!EB5)</f>
        <v>119615716.03675747</v>
      </c>
      <c r="F351" s="796">
        <f>IF(Stress!F834&lt;=0,(input!BJ5/10^6-G284/B351-H284/C351-I284/D351)*E351,-(input!BI5/10^6+G284/B351+H284/C351+I284/D351)*E351)</f>
        <v>-45431.315229108201</v>
      </c>
      <c r="G351" s="796">
        <f>IF(Stress!F834&lt;=0,input!CN5,input!CO5)</f>
        <v>96566218.18506074</v>
      </c>
      <c r="H351" s="796">
        <f>IF(Stress!F834&lt;=0,input!CN5,input!DE5)</f>
        <v>96566218.18506074</v>
      </c>
      <c r="I351" s="796">
        <f>IF(Stress!F834&lt;=0,input!DT5,input!EK5)</f>
        <v>99919960.233914346</v>
      </c>
      <c r="J351" s="796">
        <f>IF(Stress!F834&lt;=0,input!DL5,input!EC5)</f>
        <v>105261184.05116099</v>
      </c>
      <c r="K351" s="839">
        <f>IF(Stress!F834&lt;=0,(input!BI5/10^6-G284/G351-H284/H351-I284/I351)*J351,-(input!BJ5/10^6+G284/G351+H284/H351+I284/I351)*J351)</f>
        <v>-39981.14889346053</v>
      </c>
      <c r="L351" s="839">
        <f t="shared" si="12"/>
        <v>39981.14889346053</v>
      </c>
      <c r="M351" s="839">
        <f t="shared" si="10"/>
        <v>39997.863893460526</v>
      </c>
      <c r="N351" s="841">
        <f t="shared" si="11"/>
        <v>-0.14524863182789871</v>
      </c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143"/>
      <c r="AB351" s="143"/>
      <c r="AD351" s="143"/>
      <c r="AE351" s="143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</row>
    <row r="352" spans="1:43" ht="15" customHeight="1">
      <c r="A352" s="838" t="str">
        <f>+input!B6</f>
        <v>102j</v>
      </c>
      <c r="B352" s="796">
        <f>IF(Stress!F835&lt;=0,input!CO6,input!CN6)</f>
        <v>96566218.18506074</v>
      </c>
      <c r="C352" s="796">
        <f>IF(Stress!F835&lt;=0,input!CO6,input!DD6)</f>
        <v>96566218.18506074</v>
      </c>
      <c r="D352" s="796">
        <f>IF(Stress!F835&lt;=0,input!DU6,input!EJ6)</f>
        <v>122214483.29795097</v>
      </c>
      <c r="E352" s="796">
        <f>IF(Stress!F835&lt;=0,input!DM6,input!EB6)</f>
        <v>131388981.15573239</v>
      </c>
      <c r="F352" s="796">
        <f>IF(Stress!F835&lt;=0,(input!BJ6/10^6-G285/B352-H285/C352-I285/D352)*E352,-(input!BI6/10^6+G285/B352+H285/C352+I285/D352)*E352)</f>
        <v>38593.048137971367</v>
      </c>
      <c r="G352" s="796">
        <f>IF(Stress!F835&lt;=0,input!CN6,input!CO6)</f>
        <v>86301750.739963204</v>
      </c>
      <c r="H352" s="796">
        <f>IF(Stress!F835&lt;=0,input!CN6,input!DE6)</f>
        <v>86301750.739963204</v>
      </c>
      <c r="I352" s="796">
        <f>IF(Stress!F835&lt;=0,input!DT6,input!EK6)</f>
        <v>303740760.19176459</v>
      </c>
      <c r="J352" s="796">
        <f>IF(Stress!F835&lt;=0,input!DL6,input!EC6)</f>
        <v>844010197.13372481</v>
      </c>
      <c r="K352" s="839">
        <f>IF(Stress!F835&lt;=0,(input!BI6/10^6-G285/G352-H285/H352-I285/I352)*J352,-(input!BJ6/10^6+G285/G352+H285/H352+I285/I352)*J352)</f>
        <v>249913.5761338952</v>
      </c>
      <c r="L352" s="839">
        <f t="shared" si="12"/>
        <v>38593.048137971367</v>
      </c>
      <c r="M352" s="839">
        <f t="shared" si="10"/>
        <v>47375.828137971366</v>
      </c>
      <c r="N352" s="841">
        <f t="shared" si="11"/>
        <v>-0.26234202885548691</v>
      </c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143"/>
      <c r="AB352" s="143"/>
      <c r="AD352" s="143"/>
      <c r="AE352" s="143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</row>
    <row r="353" spans="1:43" ht="15" customHeight="1">
      <c r="A353" s="838" t="str">
        <f>+input!B7</f>
        <v>103i</v>
      </c>
      <c r="B353" s="796">
        <f>IF(Stress!F836&lt;=0,input!CO7,input!CN7)</f>
        <v>137317041.98420024</v>
      </c>
      <c r="C353" s="796">
        <f>IF(Stress!F836&lt;=0,input!CO7,input!DD7)</f>
        <v>137317041.98420024</v>
      </c>
      <c r="D353" s="796">
        <f>IF(Stress!F836&lt;=0,input!DU7,input!EJ7)</f>
        <v>165949095.25694773</v>
      </c>
      <c r="E353" s="796">
        <f>IF(Stress!F836&lt;=0,input!DM7,input!EB7)</f>
        <v>177625116.92039824</v>
      </c>
      <c r="F353" s="796">
        <f>IF(Stress!F836&lt;=0,(input!BJ7/10^6-G286/B353-H286/C353-I286/D353)*E353,-(input!BI7/10^6+G286/B353+H286/C353+I286/D353)*E353)</f>
        <v>56617.522989798628</v>
      </c>
      <c r="G353" s="796">
        <f>IF(Stress!F836&lt;=0,input!CN7,input!CO7)</f>
        <v>118612621.8285934</v>
      </c>
      <c r="H353" s="796">
        <f>IF(Stress!F836&lt;=0,input!CN7,input!DE7)</f>
        <v>118612621.8285934</v>
      </c>
      <c r="I353" s="796">
        <f>IF(Stress!F836&lt;=0,input!DT7,input!EK7)</f>
        <v>352268978.7407338</v>
      </c>
      <c r="J353" s="796">
        <f>IF(Stress!F836&lt;=0,input!DL7,input!EC7)</f>
        <v>894362066.09731162</v>
      </c>
      <c r="K353" s="839">
        <f>IF(Stress!F836&lt;=0,(input!BI7/10^6-G286/G353-H286/H353-I286/I353)*J353,-(input!BJ7/10^6+G286/G353+H286/H353+I286/I353)*J353)</f>
        <v>284408.87365694961</v>
      </c>
      <c r="L353" s="839">
        <f t="shared" si="12"/>
        <v>56617.522989798628</v>
      </c>
      <c r="M353" s="839">
        <f t="shared" si="10"/>
        <v>65400.277989798626</v>
      </c>
      <c r="N353" s="841">
        <f t="shared" si="11"/>
        <v>-0.21903850530893079</v>
      </c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143"/>
      <c r="AB353" s="143"/>
      <c r="AD353" s="143"/>
      <c r="AE353" s="143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</row>
    <row r="354" spans="1:43" ht="15" customHeight="1">
      <c r="A354" s="838" t="str">
        <f>+input!B8</f>
        <v>103j</v>
      </c>
      <c r="B354" s="796">
        <f>IF(Stress!F837&lt;=0,input!CO8,input!CN8)</f>
        <v>137317041.98420024</v>
      </c>
      <c r="C354" s="796">
        <f>IF(Stress!F837&lt;=0,input!CO8,input!DD8)</f>
        <v>137317041.98420024</v>
      </c>
      <c r="D354" s="796">
        <f>IF(Stress!F837&lt;=0,input!DU8,input!EJ8)</f>
        <v>165949095.25694773</v>
      </c>
      <c r="E354" s="796">
        <f>IF(Stress!F837&lt;=0,input!DM8,input!EB8)</f>
        <v>177625116.92039824</v>
      </c>
      <c r="F354" s="796">
        <f>IF(Stress!F837&lt;=0,(input!BJ8/10^6-G287/B354-H287/C354-I287/D354)*E354,-(input!BI8/10^6+G287/B354+H287/C354+I287/D354)*E354)</f>
        <v>42800.813238775656</v>
      </c>
      <c r="G354" s="796">
        <f>IF(Stress!F837&lt;=0,input!CN8,input!CO8)</f>
        <v>118612621.8285934</v>
      </c>
      <c r="H354" s="796">
        <f>IF(Stress!F837&lt;=0,input!CN8,input!DE8)</f>
        <v>118612621.8285934</v>
      </c>
      <c r="I354" s="796">
        <f>IF(Stress!F837&lt;=0,input!DT8,input!EK8)</f>
        <v>352268978.7407338</v>
      </c>
      <c r="J354" s="796">
        <f>IF(Stress!F837&lt;=0,input!DL8,input!EC8)</f>
        <v>894362066.09731162</v>
      </c>
      <c r="K354" s="839">
        <f>IF(Stress!F837&lt;=0,(input!BI8/10^6-G287/G354-H287/H354-I287/I354)*J354,-(input!BJ8/10^6+G287/G354+H287/H354+I287/I354)*J354)</f>
        <v>214076.88515245542</v>
      </c>
      <c r="L354" s="839">
        <f t="shared" si="12"/>
        <v>42800.813238775656</v>
      </c>
      <c r="M354" s="839">
        <f t="shared" si="10"/>
        <v>62740.805738775656</v>
      </c>
      <c r="N354" s="841">
        <f t="shared" si="11"/>
        <v>-0.25079594561480062</v>
      </c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143"/>
      <c r="AB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</row>
    <row r="355" spans="1:43" ht="15" customHeight="1">
      <c r="A355" s="838" t="str">
        <f>+input!B9</f>
        <v>104i</v>
      </c>
      <c r="B355" s="796">
        <f>IF(Stress!F838&lt;=0,input!CO9,input!CN9)</f>
        <v>137317041.98420024</v>
      </c>
      <c r="C355" s="796">
        <f>IF(Stress!F838&lt;=0,input!CO9,input!DD9)</f>
        <v>137317041.98420024</v>
      </c>
      <c r="D355" s="796">
        <f>IF(Stress!F838&lt;=0,input!DU9,input!EJ9)</f>
        <v>165949095.25694773</v>
      </c>
      <c r="E355" s="796">
        <f>IF(Stress!F838&lt;=0,input!DM9,input!EB9)</f>
        <v>177625116.92039824</v>
      </c>
      <c r="F355" s="796">
        <f>IF(Stress!F838&lt;=0,(input!BJ9/10^6-G288/B355-H288/C355-I288/D355)*E355,-(input!BI9/10^6+G288/B355+H288/C355+I288/D355)*E355)</f>
        <v>42800.888505510367</v>
      </c>
      <c r="G355" s="796">
        <f>IF(Stress!F838&lt;=0,input!CN9,input!CO9)</f>
        <v>118612621.8285934</v>
      </c>
      <c r="H355" s="796">
        <f>IF(Stress!F838&lt;=0,input!CN9,input!DE9)</f>
        <v>118612621.8285934</v>
      </c>
      <c r="I355" s="796">
        <f>IF(Stress!F838&lt;=0,input!DT9,input!EK9)</f>
        <v>352268978.7407338</v>
      </c>
      <c r="J355" s="796">
        <f>IF(Stress!F838&lt;=0,input!DL9,input!EC9)</f>
        <v>894362066.09731162</v>
      </c>
      <c r="K355" s="839">
        <f>IF(Stress!F838&lt;=0,(input!BI9/10^6-G288/G355-H288/H355-I288/I355)*J355,-(input!BJ9/10^6+G288/G355+H288/H355+I288/I355)*J355)</f>
        <v>214077.23138122627</v>
      </c>
      <c r="L355" s="839">
        <f t="shared" si="12"/>
        <v>42800.888505510367</v>
      </c>
      <c r="M355" s="839">
        <f t="shared" si="10"/>
        <v>62740.818505510368</v>
      </c>
      <c r="N355" s="841">
        <f t="shared" si="11"/>
        <v>-0.25079579316394673</v>
      </c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143"/>
      <c r="AB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</row>
    <row r="356" spans="1:43" ht="15" customHeight="1">
      <c r="A356" s="838" t="str">
        <f>+input!B10</f>
        <v>104j</v>
      </c>
      <c r="B356" s="796">
        <f>IF(Stress!F839&lt;=0,input!CO10,input!CN10)</f>
        <v>137317041.98420024</v>
      </c>
      <c r="C356" s="796">
        <f>IF(Stress!F839&lt;=0,input!CO10,input!DD10)</f>
        <v>137317041.98420024</v>
      </c>
      <c r="D356" s="796">
        <f>IF(Stress!F839&lt;=0,input!DU10,input!EJ10)</f>
        <v>165949095.25694773</v>
      </c>
      <c r="E356" s="796">
        <f>IF(Stress!F839&lt;=0,input!DM10,input!EB10)</f>
        <v>177625116.92039824</v>
      </c>
      <c r="F356" s="796">
        <f>IF(Stress!F839&lt;=0,(input!BJ10/10^6-G289/B356-H289/C356-I289/D356)*E356,-(input!BI10/10^6+G289/B356+H289/C356+I289/D356)*E356)</f>
        <v>27360.946425186106</v>
      </c>
      <c r="G356" s="796">
        <f>IF(Stress!F839&lt;=0,input!CN10,input!CO10)</f>
        <v>118612621.8285934</v>
      </c>
      <c r="H356" s="796">
        <f>IF(Stress!F839&lt;=0,input!CN10,input!DE10)</f>
        <v>118612621.8285934</v>
      </c>
      <c r="I356" s="796">
        <f>IF(Stress!F839&lt;=0,input!DT10,input!EK10)</f>
        <v>352268978.7407338</v>
      </c>
      <c r="J356" s="796">
        <f>IF(Stress!F839&lt;=0,input!DL10,input!EC10)</f>
        <v>894362066.09731162</v>
      </c>
      <c r="K356" s="839">
        <f>IF(Stress!F839&lt;=0,(input!BI10/10^6-G289/G356-H289/H356-I289/I356)*J356,-(input!BJ10/10^6+G289/G356+H289/H356+I289/I356)*J356)</f>
        <v>135286.35547547136</v>
      </c>
      <c r="L356" s="839">
        <f t="shared" si="12"/>
        <v>27360.946425186106</v>
      </c>
      <c r="M356" s="839">
        <f t="shared" si="10"/>
        <v>59759.761425186109</v>
      </c>
      <c r="N356" s="841">
        <f t="shared" si="11"/>
        <v>-0.28639336040322622</v>
      </c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143"/>
      <c r="AB356" s="143"/>
      <c r="AD356" s="143"/>
      <c r="AE356" s="143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</row>
    <row r="357" spans="1:43" ht="15" customHeight="1">
      <c r="A357" s="838" t="str">
        <f>+input!B11</f>
        <v>105i</v>
      </c>
      <c r="B357" s="796">
        <f>IF(Stress!F840&lt;=0,input!CO11,input!CN11)</f>
        <v>213305223.44251961</v>
      </c>
      <c r="C357" s="796">
        <f>IF(Stress!F840&lt;=0,input!CO11,input!DD11)</f>
        <v>213305223.44251961</v>
      </c>
      <c r="D357" s="796">
        <f>IF(Stress!F840&lt;=0,input!DU11,input!EJ11)</f>
        <v>248595984.8573676</v>
      </c>
      <c r="E357" s="796">
        <f>IF(Stress!F840&lt;=0,input!DM11,input!EB11)</f>
        <v>264365298.83400047</v>
      </c>
      <c r="F357" s="796">
        <f>IF(Stress!F840&lt;=0,(input!BJ11/10^6-G290/B357-H290/C357-I290/D357)*E357,-(input!BI11/10^6+G290/B357+H290/C357+I290/D357)*E357)</f>
        <v>61701.949659965234</v>
      </c>
      <c r="G357" s="796">
        <f>IF(Stress!F840&lt;=0,input!CN11,input!CO11)</f>
        <v>147079898.60554036</v>
      </c>
      <c r="H357" s="796">
        <f>IF(Stress!F840&lt;=0,input!CN11,input!DE11)</f>
        <v>147079898.60554036</v>
      </c>
      <c r="I357" s="796">
        <f>IF(Stress!F840&lt;=0,input!DT11,input!EK11)</f>
        <v>386407488.48964524</v>
      </c>
      <c r="J357" s="796">
        <f>IF(Stress!F840&lt;=0,input!DL11,input!EC11)</f>
        <v>912447272.2194078</v>
      </c>
      <c r="K357" s="839">
        <f>IF(Stress!F840&lt;=0,(input!BI11/10^6-G290/G357-H290/H357-I290/I357)*J357,-(input!BJ11/10^6+G290/G357+H290/H357+I290/I357)*J357)</f>
        <v>176253.59729058735</v>
      </c>
      <c r="L357" s="839">
        <f t="shared" si="12"/>
        <v>61701.949659965234</v>
      </c>
      <c r="M357" s="839">
        <f t="shared" si="10"/>
        <v>94100.729659965233</v>
      </c>
      <c r="N357" s="841">
        <f t="shared" si="11"/>
        <v>-0.19821802986614645</v>
      </c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143"/>
      <c r="AB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AM357" s="143"/>
      <c r="AN357" s="143"/>
      <c r="AO357" s="143"/>
      <c r="AP357" s="143"/>
      <c r="AQ357" s="143"/>
    </row>
    <row r="358" spans="1:43" ht="15" customHeight="1">
      <c r="A358" s="838" t="str">
        <f>+input!B12</f>
        <v>105j</v>
      </c>
      <c r="B358" s="796">
        <f>IF(Stress!F841&lt;=0,input!CO12,input!CN12)</f>
        <v>213305223.44251961</v>
      </c>
      <c r="C358" s="796">
        <f>IF(Stress!F841&lt;=0,input!CO12,input!DD12)</f>
        <v>213305223.44251961</v>
      </c>
      <c r="D358" s="796">
        <f>IF(Stress!F841&lt;=0,input!DU12,input!EJ12)</f>
        <v>248595984.8573676</v>
      </c>
      <c r="E358" s="796">
        <f>IF(Stress!F841&lt;=0,input!DM12,input!EB12)</f>
        <v>264365298.83400047</v>
      </c>
      <c r="F358" s="796">
        <f>IF(Stress!F841&lt;=0,(input!BJ12/10^6-G291/B358-H291/C358-I291/D358)*E358,-(input!BI12/10^6+G291/B358+H291/C358+I291/D358)*E358)</f>
        <v>49437.817913491068</v>
      </c>
      <c r="G358" s="796">
        <f>IF(Stress!F841&lt;=0,input!CN12,input!CO12)</f>
        <v>147079898.60554036</v>
      </c>
      <c r="H358" s="796">
        <f>IF(Stress!F841&lt;=0,input!CN12,input!DE12)</f>
        <v>147079898.60554036</v>
      </c>
      <c r="I358" s="796">
        <f>IF(Stress!F841&lt;=0,input!DT12,input!EK12)</f>
        <v>386407488.48964524</v>
      </c>
      <c r="J358" s="796">
        <f>IF(Stress!F841&lt;=0,input!DL12,input!EC12)</f>
        <v>912447272.2194078</v>
      </c>
      <c r="K358" s="839">
        <f>IF(Stress!F841&lt;=0,(input!BI12/10^6-G291/G358-H291/H358-I291/I358)*J358,-(input!BJ12/10^6+G291/G358+H291/H358+I291/I358)*J358)</f>
        <v>122234.66118825211</v>
      </c>
      <c r="L358" s="839">
        <f t="shared" si="12"/>
        <v>49437.817913491068</v>
      </c>
      <c r="M358" s="839">
        <f t="shared" si="10"/>
        <v>92085.255413491075</v>
      </c>
      <c r="N358" s="841">
        <f t="shared" si="11"/>
        <v>-0.2153908075686301</v>
      </c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143"/>
      <c r="AB358" s="143"/>
      <c r="AD358" s="143"/>
      <c r="AE358" s="143"/>
      <c r="AF358" s="143"/>
      <c r="AG358" s="143"/>
      <c r="AH358" s="143"/>
      <c r="AI358" s="143"/>
      <c r="AJ358" s="143"/>
      <c r="AK358" s="143"/>
      <c r="AL358" s="143"/>
      <c r="AM358" s="143"/>
      <c r="AN358" s="143"/>
      <c r="AO358" s="143"/>
      <c r="AP358" s="143"/>
      <c r="AQ358" s="143"/>
    </row>
    <row r="359" spans="1:43" ht="15" customHeight="1">
      <c r="A359" s="838" t="str">
        <f>+input!B13</f>
        <v>106i</v>
      </c>
      <c r="B359" s="796">
        <f>IF(Stress!F842&lt;=0,input!CO13,input!CN13)</f>
        <v>213305223.44251961</v>
      </c>
      <c r="C359" s="796">
        <f>IF(Stress!F842&lt;=0,input!CO13,input!DD13)</f>
        <v>213305223.44251961</v>
      </c>
      <c r="D359" s="796">
        <f>IF(Stress!F842&lt;=0,input!DU13,input!EJ13)</f>
        <v>248595984.8573676</v>
      </c>
      <c r="E359" s="796">
        <f>IF(Stress!F842&lt;=0,input!DM13,input!EB13)</f>
        <v>264365298.83400047</v>
      </c>
      <c r="F359" s="796">
        <f>IF(Stress!F842&lt;=0,(input!BJ13/10^6-G292/B359-H292/C359-I292/D359)*E359,-(input!BI13/10^6+G292/B359+H292/C359+I292/D359)*E359)</f>
        <v>49437.907748773687</v>
      </c>
      <c r="G359" s="796">
        <f>IF(Stress!F842&lt;=0,input!CN13,input!CO13)</f>
        <v>147079898.60554036</v>
      </c>
      <c r="H359" s="796">
        <f>IF(Stress!F842&lt;=0,input!CN13,input!DE13)</f>
        <v>147079898.60554036</v>
      </c>
      <c r="I359" s="796">
        <f>IF(Stress!F842&lt;=0,input!DT13,input!EK13)</f>
        <v>386407488.48964524</v>
      </c>
      <c r="J359" s="796">
        <f>IF(Stress!F842&lt;=0,input!DL13,input!EC13)</f>
        <v>912447272.2194078</v>
      </c>
      <c r="K359" s="839">
        <f>IF(Stress!F842&lt;=0,(input!BI13/10^6-G292/G359-H292/H359-I292/I359)*J359,-(input!BJ13/10^6+G292/G359+H292/H359+I292/I359)*J359)</f>
        <v>122235.16269278227</v>
      </c>
      <c r="L359" s="839">
        <f t="shared" si="12"/>
        <v>49437.907748773687</v>
      </c>
      <c r="M359" s="839">
        <f t="shared" si="10"/>
        <v>92085.275248773687</v>
      </c>
      <c r="N359" s="841">
        <f t="shared" si="11"/>
        <v>-0.21539063856279955</v>
      </c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143"/>
      <c r="AB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</row>
    <row r="360" spans="1:43" ht="15" customHeight="1">
      <c r="A360" s="838" t="str">
        <f>+input!B14</f>
        <v>106j</v>
      </c>
      <c r="B360" s="796">
        <f>IF(Stress!F843&lt;=0,input!CO14,input!CN14)</f>
        <v>213305223.44251961</v>
      </c>
      <c r="C360" s="796">
        <f>IF(Stress!F843&lt;=0,input!CO14,input!DD14)</f>
        <v>213305223.44251961</v>
      </c>
      <c r="D360" s="796">
        <f>IF(Stress!F843&lt;=0,input!DU14,input!EJ14)</f>
        <v>248595984.8573676</v>
      </c>
      <c r="E360" s="796">
        <f>IF(Stress!F843&lt;=0,input!DM14,input!EB14)</f>
        <v>264365298.83400047</v>
      </c>
      <c r="F360" s="796">
        <f>IF(Stress!F843&lt;=0,(input!BJ14/10^6-G293/B360-H293/C360-I293/D360)*E360,-(input!BI14/10^6+G293/B360+H293/C360+I293/D360)*E360)</f>
        <v>40962.242609591696</v>
      </c>
      <c r="G360" s="796">
        <f>IF(Stress!F843&lt;=0,input!CN14,input!CO14)</f>
        <v>147079898.60554036</v>
      </c>
      <c r="H360" s="796">
        <f>IF(Stress!F843&lt;=0,input!CN14,input!DE14)</f>
        <v>147079898.60554036</v>
      </c>
      <c r="I360" s="796">
        <f>IF(Stress!F843&lt;=0,input!DT14,input!EK14)</f>
        <v>386407488.48964524</v>
      </c>
      <c r="J360" s="796">
        <f>IF(Stress!F843&lt;=0,input!DL14,input!EC14)</f>
        <v>912447272.2194078</v>
      </c>
      <c r="K360" s="839">
        <f>IF(Stress!F843&lt;=0,(input!BI14/10^6-G293/G360-H293/H360-I293/I360)*J360,-(input!BJ14/10^6+G293/G360+H293/H360+I293/I360)*J360)</f>
        <v>84791.793375023393</v>
      </c>
      <c r="L360" s="839">
        <f t="shared" si="12"/>
        <v>40962.242609591696</v>
      </c>
      <c r="M360" s="839">
        <f t="shared" si="10"/>
        <v>90687.062609591696</v>
      </c>
      <c r="N360" s="841">
        <f t="shared" si="11"/>
        <v>-0.22730406036686387</v>
      </c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143"/>
      <c r="AB360" s="143"/>
      <c r="AD360" s="143"/>
      <c r="AE360" s="143"/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</row>
    <row r="361" spans="1:43" ht="15" customHeight="1">
      <c r="A361" s="838" t="str">
        <f>+input!B15</f>
        <v>107i</v>
      </c>
      <c r="B361" s="796">
        <f>IF(Stress!F844&lt;=0,input!CO15,input!CN15)</f>
        <v>246587392.40687704</v>
      </c>
      <c r="C361" s="796">
        <f>IF(Stress!F844&lt;=0,input!CO15,input!DD15)</f>
        <v>246587392.40687704</v>
      </c>
      <c r="D361" s="796">
        <f>IF(Stress!F844&lt;=0,input!DU15,input!EJ15)</f>
        <v>280215643.12917501</v>
      </c>
      <c r="E361" s="796">
        <f>IF(Stress!F844&lt;=0,input!DM15,input!EB15)</f>
        <v>296822630.6811114</v>
      </c>
      <c r="F361" s="796">
        <f>IF(Stress!F844&lt;=0,(input!BJ15/10^6-G294/B361-H294/C361-I294/D361)*E361,-(input!BI15/10^6+G294/B361+H294/C361+I294/D361)*E361)</f>
        <v>54687.615538011596</v>
      </c>
      <c r="G361" s="796">
        <f>IF(Stress!F844&lt;=0,input!CN15,input!CO15)</f>
        <v>174662958.18137676</v>
      </c>
      <c r="H361" s="796">
        <f>IF(Stress!F844&lt;=0,input!CN15,input!DE15)</f>
        <v>174662958.18137676</v>
      </c>
      <c r="I361" s="796">
        <f>IF(Stress!F844&lt;=0,input!DT15,input!EK15)</f>
        <v>415879998.34563911</v>
      </c>
      <c r="J361" s="796">
        <f>IF(Stress!F844&lt;=0,input!DL15,input!EC15)</f>
        <v>939949525.08844781</v>
      </c>
      <c r="K361" s="839">
        <f>IF(Stress!F844&lt;=0,(input!BI15/10^6-G294/G361-H294/H361-I294/I361)*J361,-(input!BJ15/10^6+G294/G361+H294/H361+I294/I361)*J361)</f>
        <v>127395.28851709</v>
      </c>
      <c r="L361" s="839">
        <f t="shared" si="12"/>
        <v>54687.615538011596</v>
      </c>
      <c r="M361" s="839">
        <f t="shared" si="10"/>
        <v>104412.36053801159</v>
      </c>
      <c r="N361" s="841">
        <f t="shared" si="11"/>
        <v>-0.19709136046621598</v>
      </c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143"/>
      <c r="AB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</row>
    <row r="362" spans="1:43" ht="15" customHeight="1">
      <c r="A362" s="838" t="str">
        <f>+input!B16</f>
        <v>107j</v>
      </c>
      <c r="B362" s="796">
        <f>IF(Stress!F845&lt;=0,input!CO16,input!CN16)</f>
        <v>246587392.40687704</v>
      </c>
      <c r="C362" s="796">
        <f>IF(Stress!F845&lt;=0,input!CO16,input!DD16)</f>
        <v>246587392.40687704</v>
      </c>
      <c r="D362" s="796">
        <f>IF(Stress!F845&lt;=0,input!DU16,input!EJ16)</f>
        <v>280215643.12917501</v>
      </c>
      <c r="E362" s="796">
        <f>IF(Stress!F845&lt;=0,input!DM16,input!EB16)</f>
        <v>296822630.6811114</v>
      </c>
      <c r="F362" s="796">
        <f>IF(Stress!F845&lt;=0,(input!BJ16/10^6-G295/B362-H295/C362-I295/D362)*E362,-(input!BI16/10^6+G295/B362+H295/C362+I295/D362)*E362)</f>
        <v>49121.399973722779</v>
      </c>
      <c r="G362" s="796">
        <f>IF(Stress!F845&lt;=0,input!CN16,input!CO16)</f>
        <v>174662958.18137676</v>
      </c>
      <c r="H362" s="796">
        <f>IF(Stress!F845&lt;=0,input!CN16,input!DE16)</f>
        <v>174662958.18137676</v>
      </c>
      <c r="I362" s="796">
        <f>IF(Stress!F845&lt;=0,input!DT16,input!EK16)</f>
        <v>415879998.34563911</v>
      </c>
      <c r="J362" s="796">
        <f>IF(Stress!F845&lt;=0,input!DL16,input!EC16)</f>
        <v>939949525.08844781</v>
      </c>
      <c r="K362" s="839">
        <f>IF(Stress!F845&lt;=0,(input!BI16/10^6-G295/G362-H295/H362-I295/I362)*J362,-(input!BJ16/10^6+G295/G362+H295/H362+I295/I362)*J362)</f>
        <v>105335.01596451318</v>
      </c>
      <c r="L362" s="839">
        <f t="shared" si="12"/>
        <v>49121.399973722779</v>
      </c>
      <c r="M362" s="839">
        <f t="shared" si="10"/>
        <v>103607.25247372278</v>
      </c>
      <c r="N362" s="841">
        <f t="shared" si="11"/>
        <v>-0.20328246865728569</v>
      </c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143"/>
      <c r="AB362" s="143"/>
      <c r="AD362" s="143"/>
      <c r="AE362" s="143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</row>
    <row r="363" spans="1:43" ht="15" customHeight="1">
      <c r="A363" s="838" t="str">
        <f>+input!B17</f>
        <v>108i</v>
      </c>
      <c r="B363" s="796">
        <f>IF(Stress!F846&lt;=0,input!CO17,input!CN17)</f>
        <v>246587392.40687704</v>
      </c>
      <c r="C363" s="796">
        <f>IF(Stress!F846&lt;=0,input!CO17,input!DD17)</f>
        <v>246587392.40687704</v>
      </c>
      <c r="D363" s="796">
        <f>IF(Stress!F846&lt;=0,input!DU17,input!EJ17)</f>
        <v>280215643.12917501</v>
      </c>
      <c r="E363" s="796">
        <f>IF(Stress!F846&lt;=0,input!DM17,input!EB17)</f>
        <v>296822630.6811114</v>
      </c>
      <c r="F363" s="796">
        <f>IF(Stress!F846&lt;=0,(input!BJ17/10^6-G296/B363-H296/C363-I296/D363)*E363,-(input!BI17/10^6+G296/B363+H296/C363+I296/D363)*E363)</f>
        <v>49121.539604691978</v>
      </c>
      <c r="G363" s="796">
        <f>IF(Stress!F846&lt;=0,input!CN17,input!CO17)</f>
        <v>174662958.18137676</v>
      </c>
      <c r="H363" s="796">
        <f>IF(Stress!F846&lt;=0,input!CN17,input!DE17)</f>
        <v>174662958.18137676</v>
      </c>
      <c r="I363" s="796">
        <f>IF(Stress!F846&lt;=0,input!DT17,input!EK17)</f>
        <v>415879998.34563911</v>
      </c>
      <c r="J363" s="796">
        <f>IF(Stress!F846&lt;=0,input!DL17,input!EC17)</f>
        <v>939949525.08844781</v>
      </c>
      <c r="K363" s="839">
        <f>IF(Stress!F846&lt;=0,(input!BI17/10^6-G296/G363-H296/H363-I296/I363)*J363,-(input!BJ17/10^6+G296/G363+H296/H363+I296/I363)*J363)</f>
        <v>105335.45455069847</v>
      </c>
      <c r="L363" s="839">
        <f t="shared" si="12"/>
        <v>49121.539604691978</v>
      </c>
      <c r="M363" s="839">
        <f t="shared" si="10"/>
        <v>103607.26710469197</v>
      </c>
      <c r="N363" s="841">
        <f t="shared" si="11"/>
        <v>-0.20328235614827328</v>
      </c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143"/>
      <c r="AB363" s="143"/>
      <c r="AD363" s="143"/>
      <c r="AE363" s="143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</row>
    <row r="364" spans="1:43" ht="15" customHeight="1">
      <c r="A364" s="838" t="str">
        <f>+input!B18</f>
        <v>108j</v>
      </c>
      <c r="B364" s="796">
        <f>IF(Stress!F847&lt;=0,input!CO18,input!CN18)</f>
        <v>246587392.40687704</v>
      </c>
      <c r="C364" s="796">
        <f>IF(Stress!F847&lt;=0,input!CO18,input!DD18)</f>
        <v>246587392.40687704</v>
      </c>
      <c r="D364" s="796">
        <f>IF(Stress!F847&lt;=0,input!DU18,input!EJ18)</f>
        <v>280215643.12917501</v>
      </c>
      <c r="E364" s="796">
        <f>IF(Stress!F847&lt;=0,input!DM18,input!EB18)</f>
        <v>296822630.6811114</v>
      </c>
      <c r="F364" s="796">
        <f>IF(Stress!F847&lt;=0,(input!BJ18/10^6-G297/B364-H297/C364-I297/D364)*E364,-(input!BI18/10^6+G297/B364+H297/C364+I297/D364)*E364)</f>
        <v>47400.320014746176</v>
      </c>
      <c r="G364" s="796">
        <f>IF(Stress!F847&lt;=0,input!CN18,input!CO18)</f>
        <v>174662958.18137676</v>
      </c>
      <c r="H364" s="796">
        <f>IF(Stress!F847&lt;=0,input!CN18,input!DE18)</f>
        <v>174662958.18137676</v>
      </c>
      <c r="I364" s="796">
        <f>IF(Stress!F847&lt;=0,input!DT18,input!EK18)</f>
        <v>415879998.34563911</v>
      </c>
      <c r="J364" s="796">
        <f>IF(Stress!F847&lt;=0,input!DL18,input!EC18)</f>
        <v>939949525.08844781</v>
      </c>
      <c r="K364" s="839">
        <f>IF(Stress!F847&lt;=0,(input!BI18/10^6-G297/G364-H297/H364-I297/I364)*J364,-(input!BJ18/10^6+G297/G364+H297/H364+I297/I364)*J364)</f>
        <v>98451.253393375198</v>
      </c>
      <c r="L364" s="839">
        <f t="shared" si="12"/>
        <v>47400.320014746176</v>
      </c>
      <c r="M364" s="839">
        <f t="shared" si="10"/>
        <v>103355.27251474618</v>
      </c>
      <c r="N364" s="841">
        <f t="shared" si="11"/>
        <v>-0.20522014045216894</v>
      </c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143"/>
      <c r="AB364" s="143"/>
      <c r="AD364" s="143"/>
      <c r="AE364" s="143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</row>
    <row r="365" spans="1:43" ht="15" customHeight="1">
      <c r="A365" s="838" t="str">
        <f>+input!B19</f>
        <v>109i</v>
      </c>
      <c r="B365" s="796">
        <f>IF(Stress!F848&lt;=0,input!CO19,input!CN19)</f>
        <v>246587392.40687704</v>
      </c>
      <c r="C365" s="796">
        <f>IF(Stress!F848&lt;=0,input!CO19,input!DD19)</f>
        <v>246587392.40687704</v>
      </c>
      <c r="D365" s="796">
        <f>IF(Stress!F848&lt;=0,input!DU19,input!EJ19)</f>
        <v>280215643.12917501</v>
      </c>
      <c r="E365" s="796">
        <f>IF(Stress!F848&lt;=0,input!DM19,input!EB19)</f>
        <v>296822630.6811114</v>
      </c>
      <c r="F365" s="796">
        <f>IF(Stress!F848&lt;=0,(input!BJ19/10^6-G298/B365-H298/C365-I298/D365)*E365,-(input!BI19/10^6+G298/B365+H298/C365+I298/D365)*E365)</f>
        <v>47400.204217240076</v>
      </c>
      <c r="G365" s="796">
        <f>IF(Stress!F848&lt;=0,input!CN19,input!CO19)</f>
        <v>174662958.18137676</v>
      </c>
      <c r="H365" s="796">
        <f>IF(Stress!F848&lt;=0,input!CN19,input!DE19)</f>
        <v>174662958.18137676</v>
      </c>
      <c r="I365" s="796">
        <f>IF(Stress!F848&lt;=0,input!DT19,input!EK19)</f>
        <v>415879998.34563911</v>
      </c>
      <c r="J365" s="796">
        <f>IF(Stress!F848&lt;=0,input!DL19,input!EC19)</f>
        <v>939949525.08844781</v>
      </c>
      <c r="K365" s="839">
        <f>IF(Stress!F848&lt;=0,(input!BI19/10^6-G298/G365-H298/H365-I298/I365)*J365,-(input!BJ19/10^6+G298/G365+H298/H365+I298/I365)*J365)</f>
        <v>98450.865660475378</v>
      </c>
      <c r="L365" s="839">
        <f t="shared" si="12"/>
        <v>47400.204217240076</v>
      </c>
      <c r="M365" s="839">
        <f t="shared" si="10"/>
        <v>103355.25921724008</v>
      </c>
      <c r="N365" s="841">
        <f t="shared" si="11"/>
        <v>-0.2052202427071364</v>
      </c>
      <c r="O365" s="73"/>
      <c r="P365" s="73"/>
      <c r="Q365" s="73"/>
      <c r="R365" s="73"/>
      <c r="S365" s="73"/>
      <c r="T365" s="639"/>
      <c r="U365" s="73"/>
      <c r="V365" s="73"/>
      <c r="W365" s="639"/>
      <c r="X365" s="73"/>
      <c r="Y365" s="73"/>
      <c r="Z365" s="143"/>
      <c r="AB365" s="143"/>
      <c r="AD365" s="143"/>
      <c r="AE365" s="143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</row>
    <row r="366" spans="1:43" ht="15" customHeight="1">
      <c r="A366" s="838" t="str">
        <f>+input!B20</f>
        <v>109j</v>
      </c>
      <c r="B366" s="796">
        <f>IF(Stress!F849&lt;=0,input!CO20,input!CN20)</f>
        <v>246587392.40687704</v>
      </c>
      <c r="C366" s="796">
        <f>IF(Stress!F849&lt;=0,input!CO20,input!DD20)</f>
        <v>246587392.40687704</v>
      </c>
      <c r="D366" s="796">
        <f>IF(Stress!F849&lt;=0,input!DU20,input!EJ20)</f>
        <v>280215643.12917501</v>
      </c>
      <c r="E366" s="796">
        <f>IF(Stress!F849&lt;=0,input!DM20,input!EB20)</f>
        <v>296822630.6811114</v>
      </c>
      <c r="F366" s="796">
        <f>IF(Stress!F849&lt;=0,(input!BJ20/10^6-G299/B366-H299/C366-I299/D366)*E366,-(input!BI20/10^6+G299/B366+H299/C366+I299/D366)*E366)</f>
        <v>48435.190245788937</v>
      </c>
      <c r="G366" s="796">
        <f>IF(Stress!F849&lt;=0,input!CN20,input!CO20)</f>
        <v>174662958.18137676</v>
      </c>
      <c r="H366" s="796">
        <f>IF(Stress!F849&lt;=0,input!CN20,input!DE20)</f>
        <v>174662958.18137676</v>
      </c>
      <c r="I366" s="796">
        <f>IF(Stress!F849&lt;=0,input!DT20,input!EK20)</f>
        <v>415879998.34563911</v>
      </c>
      <c r="J366" s="796">
        <f>IF(Stress!F849&lt;=0,input!DL20,input!EC20)</f>
        <v>939949525.08844781</v>
      </c>
      <c r="K366" s="839">
        <f>IF(Stress!F849&lt;=0,(input!BI20/10^6-G299/G366-H299/H366-I299/I366)*J366,-(input!BJ20/10^6+G299/G366+H299/H366+I299/I366)*J366)</f>
        <v>102548.71833039107</v>
      </c>
      <c r="L366" s="839">
        <f t="shared" si="12"/>
        <v>48435.190245788937</v>
      </c>
      <c r="M366" s="839">
        <f t="shared" si="10"/>
        <v>103504.76524578893</v>
      </c>
      <c r="N366" s="841">
        <f t="shared" si="11"/>
        <v>-0.20407057344033958</v>
      </c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143"/>
      <c r="AB366" s="143"/>
      <c r="AD366" s="143"/>
      <c r="AE366" s="143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</row>
    <row r="367" spans="1:43" ht="15" customHeight="1">
      <c r="A367" s="838" t="str">
        <f>+input!B21</f>
        <v>110i</v>
      </c>
      <c r="B367" s="796">
        <f>IF(Stress!F850&lt;=0,input!CO21,input!CN21)</f>
        <v>246587392.40687704</v>
      </c>
      <c r="C367" s="796">
        <f>IF(Stress!F850&lt;=0,input!CO21,input!DD21)</f>
        <v>246587392.40687704</v>
      </c>
      <c r="D367" s="796">
        <f>IF(Stress!F850&lt;=0,input!DU21,input!EJ21)</f>
        <v>280215643.12917501</v>
      </c>
      <c r="E367" s="796">
        <f>IF(Stress!F850&lt;=0,input!DM21,input!EB21)</f>
        <v>296822630.6811114</v>
      </c>
      <c r="F367" s="796">
        <f>IF(Stress!F850&lt;=0,(input!BJ21/10^6-G300/B367-H300/C367-I300/D367)*E367,-(input!BI21/10^6+G300/B367+H300/C367+I300/D367)*E367)</f>
        <v>48435.06469808492</v>
      </c>
      <c r="G367" s="796">
        <f>IF(Stress!F850&lt;=0,input!CN21,input!CO21)</f>
        <v>174662958.18137676</v>
      </c>
      <c r="H367" s="796">
        <f>IF(Stress!F850&lt;=0,input!CN21,input!DE21)</f>
        <v>174662958.18137676</v>
      </c>
      <c r="I367" s="796">
        <f>IF(Stress!F850&lt;=0,input!DT21,input!EK21)</f>
        <v>415879998.34563911</v>
      </c>
      <c r="J367" s="796">
        <f>IF(Stress!F850&lt;=0,input!DL21,input!EC21)</f>
        <v>939949525.08844781</v>
      </c>
      <c r="K367" s="839">
        <f>IF(Stress!F850&lt;=0,(input!BI21/10^6-G300/G367-H300/H367-I300/I367)*J367,-(input!BJ21/10^6+G300/G367+H300/H367+I300/I367)*J367)</f>
        <v>102548.27462941299</v>
      </c>
      <c r="L367" s="839">
        <f t="shared" si="12"/>
        <v>48435.06469808492</v>
      </c>
      <c r="M367" s="839">
        <f t="shared" si="10"/>
        <v>103504.74969808492</v>
      </c>
      <c r="N367" s="841">
        <f t="shared" si="11"/>
        <v>-0.20407069299884598</v>
      </c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143"/>
      <c r="AB367" s="143"/>
      <c r="AD367" s="143"/>
      <c r="AE367" s="143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</row>
    <row r="368" spans="1:43" ht="15" customHeight="1">
      <c r="A368" s="838" t="str">
        <f>+input!B22</f>
        <v>110j</v>
      </c>
      <c r="B368" s="796">
        <f>IF(Stress!F851&lt;=0,input!CO22,input!CN22)</f>
        <v>246587392.40687704</v>
      </c>
      <c r="C368" s="796">
        <f>IF(Stress!F851&lt;=0,input!CO22,input!DD22)</f>
        <v>246587392.40687704</v>
      </c>
      <c r="D368" s="796">
        <f>IF(Stress!F851&lt;=0,input!DU22,input!EJ22)</f>
        <v>280215643.12917501</v>
      </c>
      <c r="E368" s="796">
        <f>IF(Stress!F851&lt;=0,input!DM22,input!EB22)</f>
        <v>296822630.6811114</v>
      </c>
      <c r="F368" s="796">
        <f>IF(Stress!F851&lt;=0,(input!BJ22/10^6-G301/B368-H301/C368-I301/D368)*E368,-(input!BI22/10^6+G301/B368+H301/C368+I301/D368)*E368)</f>
        <v>52969.215048802864</v>
      </c>
      <c r="G368" s="796">
        <f>IF(Stress!F851&lt;=0,input!CN22,input!CO22)</f>
        <v>174662958.18137676</v>
      </c>
      <c r="H368" s="796">
        <f>IF(Stress!F851&lt;=0,input!CN22,input!DE22)</f>
        <v>174662958.18137676</v>
      </c>
      <c r="I368" s="796">
        <f>IF(Stress!F851&lt;=0,input!DT22,input!EK22)</f>
        <v>415879998.34563911</v>
      </c>
      <c r="J368" s="796">
        <f>IF(Stress!F851&lt;=0,input!DL22,input!EC22)</f>
        <v>939949525.08844781</v>
      </c>
      <c r="K368" s="839">
        <f>IF(Stress!F851&lt;=0,(input!BI22/10^6-G301/G368-H301/H368-I301/I368)*J368,-(input!BJ22/10^6+G301/G368+H301/H368+I301/I368)*J368)</f>
        <v>120490.62384758984</v>
      </c>
      <c r="L368" s="839">
        <f t="shared" si="12"/>
        <v>52969.215048802864</v>
      </c>
      <c r="M368" s="839">
        <f t="shared" si="10"/>
        <v>104159.24004880287</v>
      </c>
      <c r="N368" s="841">
        <f t="shared" si="11"/>
        <v>-0.1990378026937597</v>
      </c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143"/>
      <c r="AB368" s="143"/>
      <c r="AD368" s="143"/>
      <c r="AE368" s="143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</row>
    <row r="369" spans="1:43" ht="15" customHeight="1">
      <c r="A369" s="838" t="str">
        <f>+input!B23</f>
        <v>111i</v>
      </c>
      <c r="B369" s="796">
        <f>IF(Stress!F852&lt;=0,input!CO23,input!CN23)</f>
        <v>246587392.40687704</v>
      </c>
      <c r="C369" s="796">
        <f>IF(Stress!F852&lt;=0,input!CO23,input!DD23)</f>
        <v>246587392.40687704</v>
      </c>
      <c r="D369" s="796">
        <f>IF(Stress!F852&lt;=0,input!DU23,input!EJ23)</f>
        <v>280215643.12917501</v>
      </c>
      <c r="E369" s="796">
        <f>IF(Stress!F852&lt;=0,input!DM23,input!EB23)</f>
        <v>296822630.6811114</v>
      </c>
      <c r="F369" s="796">
        <f>IF(Stress!F852&lt;=0,(input!BJ23/10^6-G302/B369-H302/C369-I302/D369)*E369,-(input!BI23/10^6+G302/B369+H302/C369+I302/D369)*E369)</f>
        <v>52969.216612902041</v>
      </c>
      <c r="G369" s="796">
        <f>IF(Stress!F852&lt;=0,input!CN23,input!CO23)</f>
        <v>174662958.18137676</v>
      </c>
      <c r="H369" s="796">
        <f>IF(Stress!F852&lt;=0,input!CN23,input!DE23)</f>
        <v>174662958.18137676</v>
      </c>
      <c r="I369" s="796">
        <f>IF(Stress!F852&lt;=0,input!DT23,input!EK23)</f>
        <v>415879998.34563911</v>
      </c>
      <c r="J369" s="796">
        <f>IF(Stress!F852&lt;=0,input!DL23,input!EC23)</f>
        <v>939949525.08844781</v>
      </c>
      <c r="K369" s="839">
        <f>IF(Stress!F852&lt;=0,(input!BI23/10^6-G302/G369-H302/H369-I302/I369)*J369,-(input!BJ23/10^6+G302/G369+H302/H369+I302/I369)*J369)</f>
        <v>120490.45136413474</v>
      </c>
      <c r="L369" s="839">
        <f t="shared" si="12"/>
        <v>52969.216612902041</v>
      </c>
      <c r="M369" s="839">
        <f t="shared" si="10"/>
        <v>104159.23161290205</v>
      </c>
      <c r="N369" s="841">
        <f t="shared" si="11"/>
        <v>-0.19903786756402614</v>
      </c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143"/>
      <c r="AB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</row>
    <row r="370" spans="1:43" ht="15" customHeight="1">
      <c r="A370" s="838" t="str">
        <f>+input!B24</f>
        <v>111j</v>
      </c>
      <c r="B370" s="796">
        <f>IF(Stress!F853&lt;=0,input!CO24,input!CN24)</f>
        <v>246587392.40687704</v>
      </c>
      <c r="C370" s="796">
        <f>IF(Stress!F853&lt;=0,input!CO24,input!DD24)</f>
        <v>246587392.40687704</v>
      </c>
      <c r="D370" s="796">
        <f>IF(Stress!F853&lt;=0,input!DU24,input!EJ24)</f>
        <v>280215643.12917501</v>
      </c>
      <c r="E370" s="796">
        <f>IF(Stress!F853&lt;=0,input!DM24,input!EB24)</f>
        <v>296822630.6811114</v>
      </c>
      <c r="F370" s="796">
        <f>IF(Stress!F853&lt;=0,(input!BJ24/10^6-G303/B370-H303/C370-I303/D370)*E370,-(input!BI24/10^6+G303/B370+H303/C370+I303/D370)*E370)</f>
        <v>61053.641889359576</v>
      </c>
      <c r="G370" s="796">
        <f>IF(Stress!F853&lt;=0,input!CN24,input!CO24)</f>
        <v>174662958.18137676</v>
      </c>
      <c r="H370" s="796">
        <f>IF(Stress!F853&lt;=0,input!CN24,input!DE24)</f>
        <v>174662958.18137676</v>
      </c>
      <c r="I370" s="796">
        <f>IF(Stress!F853&lt;=0,input!DT24,input!EK24)</f>
        <v>415879998.34563911</v>
      </c>
      <c r="J370" s="796">
        <f>IF(Stress!F853&lt;=0,input!DL24,input!EC24)</f>
        <v>939949525.08844781</v>
      </c>
      <c r="K370" s="839">
        <f>IF(Stress!F853&lt;=0,(input!BI24/10^6-G303/G370-H303/H370-I303/I370)*J370,-(input!BJ24/10^6+G303/G370+H303/H370+I303/I370)*J370)</f>
        <v>152499.05255932314</v>
      </c>
      <c r="L370" s="839">
        <f t="shared" si="12"/>
        <v>61053.641889359576</v>
      </c>
      <c r="M370" s="839">
        <f t="shared" si="10"/>
        <v>105327.02938935958</v>
      </c>
      <c r="N370" s="841">
        <f t="shared" si="11"/>
        <v>-0.19005775334081837</v>
      </c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143"/>
      <c r="AB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</row>
    <row r="371" spans="1:43" ht="15" customHeight="1">
      <c r="A371" s="838" t="str">
        <f>+input!B25</f>
        <v>112i</v>
      </c>
      <c r="B371" s="796">
        <f>IF(Stress!F854&lt;=0,input!CO25,input!CN25)</f>
        <v>203018767.1140689</v>
      </c>
      <c r="C371" s="796">
        <f>IF(Stress!F854&lt;=0,input!CO25,input!DD25)</f>
        <v>203018767.1140689</v>
      </c>
      <c r="D371" s="796">
        <f>IF(Stress!F854&lt;=0,input!DU25,input!EJ25)</f>
        <v>238170095.88927212</v>
      </c>
      <c r="E371" s="796">
        <f>IF(Stress!F854&lt;=0,input!DM25,input!EB25)</f>
        <v>253532719.01309764</v>
      </c>
      <c r="F371" s="796">
        <f>IF(Stress!F854&lt;=0,(input!BJ25/10^6-G304/B371-H304/C371-I304/D371)*E371,-(input!BI25/10^6+G304/B371+H304/C371+I304/D371)*E371)</f>
        <v>43035.652766333536</v>
      </c>
      <c r="G371" s="796">
        <f>IF(Stress!F854&lt;=0,input!CN25,input!CO25)</f>
        <v>141272624.0278883</v>
      </c>
      <c r="H371" s="796">
        <f>IF(Stress!F854&lt;=0,input!CN25,input!DE25)</f>
        <v>141272624.0278883</v>
      </c>
      <c r="I371" s="796">
        <f>IF(Stress!F854&lt;=0,input!DT25,input!EK25)</f>
        <v>380282325.37299752</v>
      </c>
      <c r="J371" s="796">
        <f>IF(Stress!F854&lt;=0,input!DL25,input!EC25)</f>
        <v>908692664.72841144</v>
      </c>
      <c r="K371" s="839">
        <f>IF(Stress!F854&lt;=0,(input!BI25/10^6-G304/G371-H304/H371-I304/I371)*J371,-(input!BJ25/10^6+G304/G371+H304/H371+I304/I371)*J371)</f>
        <v>104013.5602043776</v>
      </c>
      <c r="L371" s="839">
        <f t="shared" si="12"/>
        <v>43035.652766333536</v>
      </c>
      <c r="M371" s="839">
        <f t="shared" si="10"/>
        <v>87309.150266333541</v>
      </c>
      <c r="N371" s="841">
        <f t="shared" si="11"/>
        <v>-0.22833565512031828</v>
      </c>
      <c r="O371" s="639"/>
      <c r="P371" s="639"/>
      <c r="Q371" s="639"/>
      <c r="R371" s="639"/>
      <c r="S371" s="73"/>
      <c r="T371" s="73"/>
      <c r="U371" s="73"/>
      <c r="V371" s="73"/>
      <c r="W371" s="73"/>
      <c r="X371" s="73"/>
      <c r="Y371" s="73"/>
      <c r="Z371" s="143"/>
      <c r="AB371" s="143"/>
      <c r="AD371" s="143"/>
      <c r="AE371" s="143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</row>
    <row r="372" spans="1:43" ht="15" customHeight="1">
      <c r="A372" s="838" t="str">
        <f>+input!B26</f>
        <v>112j</v>
      </c>
      <c r="B372" s="796">
        <f>IF(Stress!F855&lt;=0,input!CO26,input!CN26)</f>
        <v>203018767.1140689</v>
      </c>
      <c r="C372" s="796">
        <f>IF(Stress!F855&lt;=0,input!CO26,input!DD26)</f>
        <v>203018767.1140689</v>
      </c>
      <c r="D372" s="796">
        <f>IF(Stress!F855&lt;=0,input!DU26,input!EJ26)</f>
        <v>238170095.88927212</v>
      </c>
      <c r="E372" s="796">
        <f>IF(Stress!F855&lt;=0,input!DM26,input!EB26)</f>
        <v>253532719.01309764</v>
      </c>
      <c r="F372" s="796">
        <f>IF(Stress!F855&lt;=0,(input!BJ26/10^6-G305/B372-H305/C372-I305/D372)*E372,-(input!BI26/10^6+G305/B372+H305/C372+I305/D372)*E372)</f>
        <v>54145.963289608117</v>
      </c>
      <c r="G372" s="796">
        <f>IF(Stress!F855&lt;=0,input!CN26,input!CO26)</f>
        <v>141272624.0278883</v>
      </c>
      <c r="H372" s="796">
        <f>IF(Stress!F855&lt;=0,input!CN26,input!DE26)</f>
        <v>141272624.0278883</v>
      </c>
      <c r="I372" s="796">
        <f>IF(Stress!F855&lt;=0,input!DT26,input!EK26)</f>
        <v>380282325.37299752</v>
      </c>
      <c r="J372" s="796">
        <f>IF(Stress!F855&lt;=0,input!DL26,input!EC26)</f>
        <v>908692664.72841144</v>
      </c>
      <c r="K372" s="839">
        <f>IF(Stress!F855&lt;=0,(input!BI26/10^6-G305/G372-H305/H372-I305/I372)*J372,-(input!BJ26/10^6+G305/G372+H305/H372+I305/I372)*J372)</f>
        <v>154398.43770741683</v>
      </c>
      <c r="L372" s="839">
        <f t="shared" si="12"/>
        <v>54145.963289608117</v>
      </c>
      <c r="M372" s="839">
        <f t="shared" si="10"/>
        <v>89196.408289608109</v>
      </c>
      <c r="N372" s="841">
        <f t="shared" si="11"/>
        <v>-0.21165550508213088</v>
      </c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143"/>
      <c r="AB372" s="143"/>
      <c r="AD372" s="143"/>
      <c r="AE372" s="143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</row>
    <row r="373" spans="1:43" ht="15" customHeight="1">
      <c r="A373" s="838" t="str">
        <f>+input!B27</f>
        <v>113i</v>
      </c>
      <c r="B373" s="796">
        <f>IF(Stress!F856&lt;=0,input!CO27,input!CN27)</f>
        <v>198309287.77219328</v>
      </c>
      <c r="C373" s="796">
        <f>IF(Stress!F856&lt;=0,input!CO27,input!DD27)</f>
        <v>198309287.77219328</v>
      </c>
      <c r="D373" s="796">
        <f>IF(Stress!F856&lt;=0,input!DU27,input!EJ27)</f>
        <v>237537997.06111619</v>
      </c>
      <c r="E373" s="796">
        <f>IF(Stress!F856&lt;=0,input!DM27,input!EB27)</f>
        <v>253503336.72317958</v>
      </c>
      <c r="F373" s="796">
        <f>IF(Stress!F856&lt;=0,(input!BJ27/10^6-G306/B373-H306/C373-I306/D373)*E373,-(input!BI27/10^6+G306/B373+H306/C373+I306/D373)*E373)</f>
        <v>53329.284274206511</v>
      </c>
      <c r="G373" s="796">
        <f>IF(Stress!F856&lt;=0,input!CN27,input!CO27)</f>
        <v>126643772.73580913</v>
      </c>
      <c r="H373" s="796">
        <f>IF(Stress!F856&lt;=0,input!CN27,input!DE27)</f>
        <v>126643772.73580913</v>
      </c>
      <c r="I373" s="796">
        <f>IF(Stress!F856&lt;=0,input!DT27,input!EK27)</f>
        <v>366660998.2260524</v>
      </c>
      <c r="J373" s="796">
        <f>IF(Stress!F856&lt;=0,input!DL27,input!EC27)</f>
        <v>900531717.65221047</v>
      </c>
      <c r="K373" s="839">
        <f>IF(Stress!F856&lt;=0,(input!BI27/10^6-G306/G373-H306/H373-I306/I373)*J373,-(input!BJ27/10^6+G306/G373+H306/H373+I306/I373)*J373)</f>
        <v>132742.51179846708</v>
      </c>
      <c r="L373" s="839">
        <f t="shared" si="12"/>
        <v>53329.284274206511</v>
      </c>
      <c r="M373" s="839">
        <f t="shared" si="10"/>
        <v>88379.909274206511</v>
      </c>
      <c r="N373" s="841">
        <f t="shared" si="11"/>
        <v>-0.21867655016049953</v>
      </c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143"/>
      <c r="AB373" s="143"/>
      <c r="AD373" s="143"/>
      <c r="AE373" s="143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</row>
    <row r="374" spans="1:43" ht="15" customHeight="1">
      <c r="A374" s="838" t="str">
        <f>+input!B28</f>
        <v>113j</v>
      </c>
      <c r="B374" s="796">
        <f>IF(Stress!F857&lt;=0,input!CO28,input!CN28)</f>
        <v>198309287.77219328</v>
      </c>
      <c r="C374" s="796">
        <f>IF(Stress!F857&lt;=0,input!CO28,input!DD28)</f>
        <v>198309287.77219328</v>
      </c>
      <c r="D374" s="796">
        <f>IF(Stress!F857&lt;=0,input!DU28,input!EJ28)</f>
        <v>237537997.06111619</v>
      </c>
      <c r="E374" s="796">
        <f>IF(Stress!F857&lt;=0,input!DM28,input!EB28)</f>
        <v>253503336.72317958</v>
      </c>
      <c r="F374" s="796">
        <f>IF(Stress!F857&lt;=0,(input!BJ28/10^6-G307/B374-H307/C374-I307/D374)*E374,-(input!BI28/10^6+G307/B374+H307/C374+I307/D374)*E374)</f>
        <v>68471.128702512055</v>
      </c>
      <c r="G374" s="796">
        <f>IF(Stress!F857&lt;=0,input!CN28,input!CO28)</f>
        <v>126643772.73580913</v>
      </c>
      <c r="H374" s="796">
        <f>IF(Stress!F857&lt;=0,input!CN28,input!DE28)</f>
        <v>126643772.73580913</v>
      </c>
      <c r="I374" s="796">
        <f>IF(Stress!F857&lt;=0,input!DT28,input!EK28)</f>
        <v>366660998.2260524</v>
      </c>
      <c r="J374" s="796">
        <f>IF(Stress!F857&lt;=0,input!DL28,input!EC28)</f>
        <v>900531717.65221047</v>
      </c>
      <c r="K374" s="839">
        <f>IF(Stress!F857&lt;=0,(input!BI28/10^6-G307/G374-H307/H374-I307/I374)*J374,-(input!BJ28/10^6+G307/G374+H307/H374+I307/I374)*J374)</f>
        <v>206455.91721681747</v>
      </c>
      <c r="L374" s="839">
        <f t="shared" si="12"/>
        <v>68471.128702512055</v>
      </c>
      <c r="M374" s="839">
        <f t="shared" si="10"/>
        <v>91177.773702512059</v>
      </c>
      <c r="N374" s="841">
        <f t="shared" si="11"/>
        <v>-0.19394200239665721</v>
      </c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143"/>
      <c r="AB374" s="143"/>
      <c r="AD374" s="143"/>
      <c r="AE374" s="143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</row>
    <row r="375" spans="1:43" ht="15" customHeight="1">
      <c r="A375" s="838" t="str">
        <f>+input!B29</f>
        <v>114i</v>
      </c>
      <c r="B375" s="796">
        <f>IF(Stress!F858&lt;=0,input!CO29,input!CN29)</f>
        <v>198309287.77219328</v>
      </c>
      <c r="C375" s="796">
        <f>IF(Stress!F858&lt;=0,input!CO29,input!DD29)</f>
        <v>198309287.77219328</v>
      </c>
      <c r="D375" s="796">
        <f>IF(Stress!F858&lt;=0,input!DU29,input!EJ29)</f>
        <v>237537997.06111619</v>
      </c>
      <c r="E375" s="796">
        <f>IF(Stress!F858&lt;=0,input!DM29,input!EB29)</f>
        <v>253503336.72317958</v>
      </c>
      <c r="F375" s="796">
        <f>IF(Stress!F858&lt;=0,(input!BJ29/10^6-G308/B375-H308/C375-I308/D375)*E375,-(input!BI29/10^6+G308/B375+H308/C375+I308/D375)*E375)</f>
        <v>68471.054114241488</v>
      </c>
      <c r="G375" s="796">
        <f>IF(Stress!F858&lt;=0,input!CN29,input!CO29)</f>
        <v>126643772.73580913</v>
      </c>
      <c r="H375" s="796">
        <f>IF(Stress!F858&lt;=0,input!CN29,input!DE29)</f>
        <v>126643772.73580913</v>
      </c>
      <c r="I375" s="796">
        <f>IF(Stress!F858&lt;=0,input!DT29,input!EK29)</f>
        <v>366660998.2260524</v>
      </c>
      <c r="J375" s="796">
        <f>IF(Stress!F858&lt;=0,input!DL29,input!EC29)</f>
        <v>900531717.65221047</v>
      </c>
      <c r="K375" s="839">
        <f>IF(Stress!F858&lt;=0,(input!BI29/10^6-G308/G375-H308/H375-I308/I375)*J375,-(input!BJ29/10^6+G308/G375+H308/H375+I308/I375)*J375)</f>
        <v>206455.53711917505</v>
      </c>
      <c r="L375" s="839">
        <f t="shared" si="12"/>
        <v>68471.054114241488</v>
      </c>
      <c r="M375" s="839">
        <f t="shared" si="10"/>
        <v>91177.759114241489</v>
      </c>
      <c r="N375" s="841">
        <f t="shared" si="11"/>
        <v>-0.19394213136440544</v>
      </c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143"/>
      <c r="AB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</row>
    <row r="376" spans="1:43" ht="15" customHeight="1">
      <c r="A376" s="838" t="str">
        <f>+input!B30</f>
        <v>114j</v>
      </c>
      <c r="B376" s="796">
        <f>IF(Stress!F859&lt;=0,input!CO30,input!CN30)</f>
        <v>198309287.77219328</v>
      </c>
      <c r="C376" s="796">
        <f>IF(Stress!F859&lt;=0,input!CO30,input!DD30)</f>
        <v>198309287.77219328</v>
      </c>
      <c r="D376" s="796">
        <f>IF(Stress!F859&lt;=0,input!DU30,input!EJ30)</f>
        <v>237537997.06111619</v>
      </c>
      <c r="E376" s="796">
        <f>IF(Stress!F859&lt;=0,input!DM30,input!EB30)</f>
        <v>253503336.72317958</v>
      </c>
      <c r="F376" s="796">
        <f>IF(Stress!F859&lt;=0,(input!BJ30/10^6-G309/B376-H309/C376-I309/D376)*E376,-(input!BI30/10^6+G309/B376+H309/C376+I309/D376)*E376)</f>
        <v>86358.112525815057</v>
      </c>
      <c r="G376" s="796">
        <f>IF(Stress!F859&lt;=0,input!CN30,input!CO30)</f>
        <v>126643772.73580913</v>
      </c>
      <c r="H376" s="796">
        <f>IF(Stress!F859&lt;=0,input!CN30,input!DE30)</f>
        <v>126643772.73580913</v>
      </c>
      <c r="I376" s="796">
        <f>IF(Stress!F859&lt;=0,input!DT30,input!EK30)</f>
        <v>366660998.2260524</v>
      </c>
      <c r="J376" s="796">
        <f>IF(Stress!F859&lt;=0,input!DL30,input!EC30)</f>
        <v>900531717.65221047</v>
      </c>
      <c r="K376" s="839">
        <f>IF(Stress!F859&lt;=0,(input!BI30/10^6-G309/G376-H309/H376-I309/I376)*J376,-(input!BJ30/10^6+G309/G376+H309/H376+I309/I376)*J376)</f>
        <v>293555.9655556436</v>
      </c>
      <c r="L376" s="839">
        <f t="shared" si="12"/>
        <v>86358.112525815057</v>
      </c>
      <c r="M376" s="839">
        <f t="shared" si="10"/>
        <v>94483.957525815058</v>
      </c>
      <c r="N376" s="841">
        <f t="shared" si="11"/>
        <v>-0.16471365206409413</v>
      </c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143"/>
      <c r="AB376" s="143"/>
      <c r="AD376" s="143"/>
      <c r="AE376" s="143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</row>
    <row r="377" spans="1:43" ht="15" customHeight="1">
      <c r="A377" s="838" t="str">
        <f>+input!B31</f>
        <v>115i</v>
      </c>
      <c r="B377" s="796">
        <f>IF(Stress!F860&lt;=0,input!CO31,input!CN31)</f>
        <v>131749469.3556883</v>
      </c>
      <c r="C377" s="796">
        <f>IF(Stress!F860&lt;=0,input!CO31,input!DD31)</f>
        <v>131749469.3556883</v>
      </c>
      <c r="D377" s="796">
        <f>IF(Stress!F860&lt;=0,input!DU31,input!EJ31)</f>
        <v>165334447.28401071</v>
      </c>
      <c r="E377" s="796">
        <f>IF(Stress!F860&lt;=0,input!DM31,input!EB31)</f>
        <v>177613227.7947599</v>
      </c>
      <c r="F377" s="796">
        <f>IF(Stress!F860&lt;=0,(input!BJ31/10^6-G310/B377-H310/C377-I310/D377)*E377,-(input!BI31/10^6+G310/B377+H310/C377+I310/D377)*E377)</f>
        <v>57076.003971787184</v>
      </c>
      <c r="G377" s="796">
        <f>IF(Stress!F860&lt;=0,input!CN31,input!CO31)</f>
        <v>100072715.43821304</v>
      </c>
      <c r="H377" s="796">
        <f>IF(Stress!F860&lt;=0,input!CN31,input!DE31)</f>
        <v>100072715.43821304</v>
      </c>
      <c r="I377" s="796">
        <f>IF(Stress!F860&lt;=0,input!DT31,input!EK31)</f>
        <v>335136536.81743681</v>
      </c>
      <c r="J377" s="796">
        <f>IF(Stress!F860&lt;=0,input!DL31,input!EC31)</f>
        <v>886979445.60212898</v>
      </c>
      <c r="K377" s="839">
        <f>IF(Stress!F860&lt;=0,(input!BI31/10^6-G310/G377-H310/H377-I310/I377)*J377,-(input!BJ31/10^6+G310/G377+H310/H377+I310/I377)*J377)</f>
        <v>277230.98166847718</v>
      </c>
      <c r="L377" s="839">
        <f t="shared" si="12"/>
        <v>57076.003971787184</v>
      </c>
      <c r="M377" s="839">
        <f t="shared" si="10"/>
        <v>65201.761471787184</v>
      </c>
      <c r="N377" s="841">
        <f t="shared" si="11"/>
        <v>-0.22153102182553636</v>
      </c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143"/>
      <c r="AB377" s="143"/>
      <c r="AD377" s="143"/>
      <c r="AE377" s="143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</row>
    <row r="378" spans="1:43" ht="15" customHeight="1">
      <c r="A378" s="838" t="str">
        <f>+input!B32</f>
        <v>115j</v>
      </c>
      <c r="B378" s="796">
        <f>IF(Stress!F861&lt;=0,input!CO32,input!CN32)</f>
        <v>100072715.43821304</v>
      </c>
      <c r="C378" s="796">
        <f>IF(Stress!F861&lt;=0,input!CO32,input!DD32)</f>
        <v>100072715.43821304</v>
      </c>
      <c r="D378" s="796">
        <f>IF(Stress!F861&lt;=0,input!DU32,input!EJ32)</f>
        <v>112044615.96016069</v>
      </c>
      <c r="E378" s="796">
        <f>IF(Stress!F861&lt;=0,input!DM32,input!EB32)</f>
        <v>136197439.64664793</v>
      </c>
      <c r="F378" s="796">
        <f>IF(Stress!F861&lt;=0,(input!BJ32/10^6-G311/B378-H311/C378-I311/D378)*E378,-(input!BI32/10^6+G311/B378+H311/C378+I311/D378)*E378)</f>
        <v>-39160.207958064981</v>
      </c>
      <c r="G378" s="796">
        <f>IF(Stress!F861&lt;=0,input!CN32,input!CO32)</f>
        <v>131749469.3556883</v>
      </c>
      <c r="H378" s="796">
        <f>IF(Stress!F861&lt;=0,input!CN32,input!DE32)</f>
        <v>131749469.3556883</v>
      </c>
      <c r="I378" s="796">
        <f>IF(Stress!F861&lt;=0,input!DT32,input!EK32)</f>
        <v>136003722.8356832</v>
      </c>
      <c r="J378" s="796">
        <f>IF(Stress!F861&lt;=0,input!DL32,input!EC32)</f>
        <v>142845229.80147487</v>
      </c>
      <c r="K378" s="839">
        <f>IF(Stress!F861&lt;=0,(input!BI32/10^6-G311/G378-H311/H378-I311/I378)*J378,-(input!BJ32/10^6+G311/G378+H311/H378+I311/I378)*J378)</f>
        <v>-44051.029116654929</v>
      </c>
      <c r="L378" s="839">
        <f t="shared" si="12"/>
        <v>39160.207958064981</v>
      </c>
      <c r="M378" s="839">
        <f t="shared" si="10"/>
        <v>48670.772958064976</v>
      </c>
      <c r="N378" s="841">
        <f t="shared" si="11"/>
        <v>-0.16030418467231863</v>
      </c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143"/>
      <c r="AB378" s="143"/>
      <c r="AD378" s="143"/>
      <c r="AE378" s="143"/>
      <c r="AF378" s="143"/>
      <c r="AG378" s="143"/>
      <c r="AH378" s="143"/>
      <c r="AI378" s="143"/>
      <c r="AJ378" s="143"/>
      <c r="AK378" s="143"/>
      <c r="AL378" s="143"/>
      <c r="AM378" s="143"/>
      <c r="AN378" s="143"/>
      <c r="AO378" s="143"/>
      <c r="AP378" s="143"/>
      <c r="AQ378" s="143"/>
    </row>
    <row r="379" spans="1:43" ht="15" customHeight="1">
      <c r="A379" s="838" t="str">
        <f>+input!B33</f>
        <v>116i</v>
      </c>
      <c r="B379" s="796">
        <f>IF(Stress!F862&lt;=0,input!CO33,input!CN33)</f>
        <v>126474653.67839223</v>
      </c>
      <c r="C379" s="796">
        <f>IF(Stress!F862&lt;=0,input!CO33,input!DD33)</f>
        <v>126474653.67839223</v>
      </c>
      <c r="D379" s="796">
        <f>IF(Stress!F862&lt;=0,input!DU33,input!EJ33)</f>
        <v>138743137.31436488</v>
      </c>
      <c r="E379" s="796">
        <f>IF(Stress!F862&lt;=0,input!DM33,input!EB33)</f>
        <v>163457814.85920078</v>
      </c>
      <c r="F379" s="796">
        <f>IF(Stress!F862&lt;=0,(input!BJ33/10^6-G312/B379-H312/C379-I312/D379)*E379,-(input!BI33/10^6+G312/B379+H312/C379+I312/D379)*E379)</f>
        <v>-50096.556123208939</v>
      </c>
      <c r="G379" s="796">
        <f>IF(Stress!F862&lt;=0,input!CN33,input!CO33)</f>
        <v>165081137.45103469</v>
      </c>
      <c r="H379" s="796">
        <f>IF(Stress!F862&lt;=0,input!CN33,input!DE33)</f>
        <v>165081137.45103469</v>
      </c>
      <c r="I379" s="796">
        <f>IF(Stress!F862&lt;=0,input!DT33,input!EK33)</f>
        <v>168901114.22575191</v>
      </c>
      <c r="J379" s="796">
        <f>IF(Stress!F862&lt;=0,input!DL33,input!EC33)</f>
        <v>175224901.9956772</v>
      </c>
      <c r="K379" s="839">
        <f>IF(Stress!F862&lt;=0,(input!BI33/10^6-G312/G379-H312/H379-I312/I379)*J379,-(input!BJ33/10^6+G312/G379+H312/H379+I312/I379)*J379)</f>
        <v>-56548.087181502779</v>
      </c>
      <c r="L379" s="839">
        <f t="shared" si="12"/>
        <v>50096.556123208939</v>
      </c>
      <c r="M379" s="839">
        <f t="shared" si="10"/>
        <v>59607.133623208938</v>
      </c>
      <c r="N379" s="841">
        <f t="shared" si="11"/>
        <v>-0.14212824820686618</v>
      </c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143"/>
      <c r="AB379" s="143"/>
      <c r="AD379" s="143"/>
      <c r="AE379" s="143"/>
      <c r="AF379" s="143"/>
      <c r="AG379" s="143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</row>
    <row r="380" spans="1:43" ht="15" customHeight="1">
      <c r="A380" s="838" t="str">
        <f>+input!B34</f>
        <v>116j</v>
      </c>
      <c r="B380" s="796">
        <f>IF(Stress!F863&lt;=0,input!CO34,input!CN34)</f>
        <v>126474653.67839223</v>
      </c>
      <c r="C380" s="796">
        <f>IF(Stress!F863&lt;=0,input!CO34,input!DD34)</f>
        <v>126474653.67839223</v>
      </c>
      <c r="D380" s="796">
        <f>IF(Stress!F863&lt;=0,input!DU34,input!EJ34)</f>
        <v>138743137.31436488</v>
      </c>
      <c r="E380" s="796">
        <f>IF(Stress!F863&lt;=0,input!DM34,input!EB34)</f>
        <v>163457814.85920078</v>
      </c>
      <c r="F380" s="796">
        <f>IF(Stress!F863&lt;=0,(input!BJ34/10^6-G313/B380-H313/C380-I313/D380)*E380,-(input!BI34/10^6+G313/B380+H313/C380+I313/D380)*E380)</f>
        <v>-25083.173877944046</v>
      </c>
      <c r="G380" s="796">
        <f>IF(Stress!F863&lt;=0,input!CN34,input!CO34)</f>
        <v>165081137.45103469</v>
      </c>
      <c r="H380" s="796">
        <f>IF(Stress!F863&lt;=0,input!CN34,input!DE34)</f>
        <v>165081137.45103469</v>
      </c>
      <c r="I380" s="796">
        <f>IF(Stress!F863&lt;=0,input!DT34,input!EK34)</f>
        <v>168901114.22575191</v>
      </c>
      <c r="J380" s="796">
        <f>IF(Stress!F863&lt;=0,input!DL34,input!EC34)</f>
        <v>175224901.9956772</v>
      </c>
      <c r="K380" s="839">
        <f>IF(Stress!F863&lt;=0,(input!BI34/10^6-G313/G380-H313/H380-I313/I380)*J380,-(input!BJ34/10^6+G313/G380+H313/H380+I313/I380)*J380)</f>
        <v>-35662.375330580464</v>
      </c>
      <c r="L380" s="839">
        <f t="shared" si="12"/>
        <v>25083.173877944046</v>
      </c>
      <c r="M380" s="839">
        <f t="shared" si="10"/>
        <v>54381.278877944045</v>
      </c>
      <c r="N380" s="841">
        <f t="shared" si="11"/>
        <v>-0.21733926562091754</v>
      </c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143"/>
      <c r="AB380" s="143"/>
      <c r="AD380" s="14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</row>
    <row r="381" spans="1:43" ht="15" customHeight="1">
      <c r="A381" s="838" t="str">
        <f>+input!B35</f>
        <v>117i</v>
      </c>
      <c r="B381" s="796">
        <f>IF(Stress!F864&lt;=0,input!CO35,input!CN35)</f>
        <v>201616277.6381734</v>
      </c>
      <c r="C381" s="796">
        <f>IF(Stress!F864&lt;=0,input!CO35,input!DD35)</f>
        <v>206358457.97673392</v>
      </c>
      <c r="D381" s="796">
        <f>IF(Stress!F864&lt;=0,input!DU35,input!EJ35)</f>
        <v>219270087.08154878</v>
      </c>
      <c r="E381" s="796">
        <f>IF(Stress!F864&lt;=0,input!DM35,input!EB35)</f>
        <v>250264704.3510288</v>
      </c>
      <c r="F381" s="796">
        <f>IF(Stress!F864&lt;=0,(input!BJ35/10^6-G314/B381-H314/C381-I314/D381)*E381,-(input!BI35/10^6+G314/B381+H314/C381+I314/D381)*E381)</f>
        <v>-59911.758364974521</v>
      </c>
      <c r="G381" s="796">
        <f>IF(Stress!F864&lt;=0,input!CN35,input!CO35)</f>
        <v>203751228.80344361</v>
      </c>
      <c r="H381" s="796">
        <f>IF(Stress!F864&lt;=0,input!CN35,input!DE35)</f>
        <v>274969213.52663678</v>
      </c>
      <c r="I381" s="796">
        <f>IF(Stress!F864&lt;=0,input!DT35,input!EK35)</f>
        <v>278521028.51594788</v>
      </c>
      <c r="J381" s="796">
        <f>IF(Stress!F864&lt;=0,input!DL35,input!EC35)</f>
        <v>423906111.30824643</v>
      </c>
      <c r="K381" s="842">
        <f>IF(Stress!F864&lt;=0,(input!BI35/10^6-G314/G381-H314/H381-I314/I381)*J381,-(input!BJ35/10^6+G314/G381+H314/H381+I314/I381)*J381)</f>
        <v>-112686.36632849519</v>
      </c>
      <c r="L381" s="839">
        <f t="shared" ref="L381:L410" si="13">MIN(ABS(F381),ABS(K381))</f>
        <v>59911.758364974521</v>
      </c>
      <c r="M381" s="839">
        <f t="shared" ref="M381:M410" si="14">ABS(G314+H314+I314)+L381</f>
        <v>89209.798364974529</v>
      </c>
      <c r="N381" s="841">
        <f t="shared" ref="N381:N410" si="15">(M381-N232)/N232</f>
        <v>-0.20869159134516366</v>
      </c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143"/>
      <c r="AB381" s="143"/>
      <c r="AD381" s="143"/>
      <c r="AE381" s="143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</row>
    <row r="382" spans="1:43" ht="15" customHeight="1">
      <c r="A382" s="838" t="str">
        <f>+input!B36</f>
        <v>117j</v>
      </c>
      <c r="B382" s="796">
        <f>IF(Stress!F865&lt;=0,input!CO36,input!CN36)</f>
        <v>201616277.6381734</v>
      </c>
      <c r="C382" s="796">
        <f>IF(Stress!F865&lt;=0,input!CO36,input!DD36)</f>
        <v>206358457.97673392</v>
      </c>
      <c r="D382" s="796">
        <f>IF(Stress!F865&lt;=0,input!DU36,input!EJ36)</f>
        <v>219270087.08154878</v>
      </c>
      <c r="E382" s="796">
        <f>IF(Stress!F865&lt;=0,input!DM36,input!EB36)</f>
        <v>250264704.3510288</v>
      </c>
      <c r="F382" s="796">
        <f>IF(Stress!F865&lt;=0,(input!BJ36/10^6-G315/B382-H315/C382-I315/D382)*E382,-(input!BI36/10^6+G315/B382+H315/C382+I315/D382)*E382)</f>
        <v>-31906.390443068714</v>
      </c>
      <c r="G382" s="796">
        <f>IF(Stress!F865&lt;=0,input!CN36,input!CO36)</f>
        <v>203751228.80344361</v>
      </c>
      <c r="H382" s="796">
        <f>IF(Stress!F865&lt;=0,input!CN36,input!DE36)</f>
        <v>274969213.52663678</v>
      </c>
      <c r="I382" s="796">
        <f>IF(Stress!F865&lt;=0,input!DT36,input!EK36)</f>
        <v>278521028.51594788</v>
      </c>
      <c r="J382" s="796">
        <f>IF(Stress!F865&lt;=0,input!DL36,input!EC36)</f>
        <v>423906111.30824643</v>
      </c>
      <c r="K382" s="839">
        <f>IF(Stress!F865&lt;=0,(input!BI36/10^6-G315/G382-H315/H382-I315/I382)*J382,-(input!BJ36/10^6+G315/G382+H315/H382+I315/I382)*J382)</f>
        <v>-73775.595403831161</v>
      </c>
      <c r="L382" s="839">
        <f t="shared" si="13"/>
        <v>31906.390443068714</v>
      </c>
      <c r="M382" s="839">
        <f t="shared" si="14"/>
        <v>84497.527943068708</v>
      </c>
      <c r="N382" s="841">
        <f t="shared" si="15"/>
        <v>-0.25049035422829524</v>
      </c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143"/>
      <c r="AB382" s="143"/>
      <c r="AD382" s="143"/>
      <c r="AE382" s="143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</row>
    <row r="383" spans="1:43" ht="15" customHeight="1">
      <c r="A383" s="838" t="str">
        <f>+input!B37</f>
        <v>118i</v>
      </c>
      <c r="B383" s="796">
        <f>IF(Stress!F866&lt;=0,input!CO37,input!CN37)</f>
        <v>377437306.85787624</v>
      </c>
      <c r="C383" s="796">
        <f>IF(Stress!F866&lt;=0,input!CO37,input!DD37)</f>
        <v>387146105.25508732</v>
      </c>
      <c r="D383" s="796">
        <f>IF(Stress!F866&lt;=0,input!DU37,input!EJ37)</f>
        <v>400659149.84594232</v>
      </c>
      <c r="E383" s="796">
        <f>IF(Stress!F866&lt;=0,input!DM37,input!EB37)</f>
        <v>436786647.33861893</v>
      </c>
      <c r="F383" s="796">
        <f>IF(Stress!F866&lt;=0,(input!BJ37/10^6-G316/B383-H316/C383-I316/D383)*E383,-(input!BI37/10^6+G316/B383+H316/C383+I316/D383)*E383)</f>
        <v>-106790.68008939232</v>
      </c>
      <c r="G383" s="796">
        <f>IF(Stress!F866&lt;=0,input!CN37,input!CO37)</f>
        <v>249285333.54220769</v>
      </c>
      <c r="H383" s="796">
        <f>IF(Stress!F866&lt;=0,input!CN37,input!DE37)</f>
        <v>357160114.15122831</v>
      </c>
      <c r="I383" s="796">
        <f>IF(Stress!F866&lt;=0,input!DT37,input!EK37)</f>
        <v>359319760.60966784</v>
      </c>
      <c r="J383" s="796">
        <f>IF(Stress!F866&lt;=0,input!DL37,input!EC37)</f>
        <v>568062280.6495564</v>
      </c>
      <c r="K383" s="842">
        <f>IF(Stress!F866&lt;=0,(input!BI37/10^6-G316/G383-H316/H383-I316/I383)*J383,-(input!BJ37/10^6+G316/G383+H316/H383+I316/I383)*J383)</f>
        <v>-124055.73777226939</v>
      </c>
      <c r="L383" s="839">
        <f t="shared" si="13"/>
        <v>106790.68008939232</v>
      </c>
      <c r="M383" s="839">
        <f t="shared" si="14"/>
        <v>159381.75758939231</v>
      </c>
      <c r="N383" s="841">
        <f t="shared" si="15"/>
        <v>-0.1382629456919019</v>
      </c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143"/>
      <c r="AB383" s="143"/>
      <c r="AD383" s="143"/>
      <c r="AE383" s="143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</row>
    <row r="384" spans="1:43" ht="15" customHeight="1">
      <c r="A384" s="838" t="str">
        <f>+input!B38</f>
        <v>118j</v>
      </c>
      <c r="B384" s="796">
        <f>IF(Stress!F867&lt;=0,input!CO38,input!CN38)</f>
        <v>377437306.85787624</v>
      </c>
      <c r="C384" s="796">
        <f>IF(Stress!F867&lt;=0,input!CO38,input!DD38)</f>
        <v>387146105.25508732</v>
      </c>
      <c r="D384" s="796">
        <f>IF(Stress!F867&lt;=0,input!DU38,input!EJ38)</f>
        <v>400659149.84594232</v>
      </c>
      <c r="E384" s="796">
        <f>IF(Stress!F867&lt;=0,input!DM38,input!EB38)</f>
        <v>436786647.33861893</v>
      </c>
      <c r="F384" s="796">
        <f>IF(Stress!F867&lt;=0,(input!BJ38/10^6-G317/B384-H317/C384-I317/D384)*E384,-(input!BI38/10^6+G317/B384+H317/C384+I317/D384)*E384)</f>
        <v>-86404.471480654887</v>
      </c>
      <c r="G384" s="796">
        <f>IF(Stress!F867&lt;=0,input!CN38,input!CO38)</f>
        <v>249285333.54220769</v>
      </c>
      <c r="H384" s="796">
        <f>IF(Stress!F867&lt;=0,input!CN38,input!DE38)</f>
        <v>357160114.15122831</v>
      </c>
      <c r="I384" s="796">
        <f>IF(Stress!F867&lt;=0,input!DT38,input!EK38)</f>
        <v>359319760.60966784</v>
      </c>
      <c r="J384" s="796">
        <f>IF(Stress!F867&lt;=0,input!DL38,input!EC38)</f>
        <v>568062280.6495564</v>
      </c>
      <c r="K384" s="842">
        <f>IF(Stress!F867&lt;=0,(input!BI38/10^6-G317/G384-H317/H384-I317/I384)*J384,-(input!BJ38/10^6+G317/G384+H317/H384+I317/I384)*J384)</f>
        <v>-91990.943850402575</v>
      </c>
      <c r="L384" s="839">
        <f t="shared" si="13"/>
        <v>86404.471480654887</v>
      </c>
      <c r="M384" s="839">
        <f t="shared" si="14"/>
        <v>157086.22898065488</v>
      </c>
      <c r="N384" s="841">
        <f t="shared" si="15"/>
        <v>-0.15067429120152759</v>
      </c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143"/>
      <c r="AB384" s="143"/>
      <c r="AD384" s="143"/>
      <c r="AE384" s="143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</row>
    <row r="385" spans="1:43" ht="15" customHeight="1">
      <c r="A385" s="838" t="str">
        <f>+input!B39</f>
        <v>119i</v>
      </c>
      <c r="B385" s="796">
        <f>IF(Stress!F868&lt;=0,input!CO39,input!CN39)</f>
        <v>389817063.54114115</v>
      </c>
      <c r="C385" s="796">
        <f>IF(Stress!F868&lt;=0,input!CO39,input!DD39)</f>
        <v>399796772.46543008</v>
      </c>
      <c r="D385" s="796">
        <f>IF(Stress!F868&lt;=0,input!DU39,input!EJ39)</f>
        <v>413604255.7530942</v>
      </c>
      <c r="E385" s="796">
        <f>IF(Stress!F868&lt;=0,input!DM39,input!EB39)</f>
        <v>450136445.44678622</v>
      </c>
      <c r="F385" s="796">
        <f>IF(Stress!F868&lt;=0,(input!BJ39/10^6-G318/B385-H318/C385-I318/D385)*E385,-(input!BI39/10^6+G318/B385+H318/C385+I318/D385)*E385)</f>
        <v>-91635.67975805045</v>
      </c>
      <c r="G385" s="796">
        <f>IF(Stress!F868&lt;=0,input!CN39,input!CO39)</f>
        <v>256821441.04481611</v>
      </c>
      <c r="H385" s="796">
        <f>IF(Stress!F868&lt;=0,input!CN39,input!DE39)</f>
        <v>380726945.4929952</v>
      </c>
      <c r="I385" s="796">
        <f>IF(Stress!F868&lt;=0,input!DT39,input!EK39)</f>
        <v>383103973.83311814</v>
      </c>
      <c r="J385" s="796">
        <f>IF(Stress!F868&lt;=0,input!DL39,input!EC39)</f>
        <v>618421510.98460853</v>
      </c>
      <c r="K385" s="842">
        <f>IF(Stress!F868&lt;=0,(input!BI39/10^6-G318/G385-H318/H385-I318/I385)*J385,-(input!BJ39/10^6+G318/G385+H318/H385+I318/I385)*J385)</f>
        <v>-107135.27044745385</v>
      </c>
      <c r="L385" s="839">
        <f t="shared" si="13"/>
        <v>91635.67975805045</v>
      </c>
      <c r="M385" s="839">
        <f t="shared" si="14"/>
        <v>162317.56975805043</v>
      </c>
      <c r="N385" s="841">
        <f t="shared" si="15"/>
        <v>-0.15892276415231135</v>
      </c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143"/>
      <c r="AB385" s="143"/>
      <c r="AD385" s="143"/>
      <c r="AE385" s="143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</row>
    <row r="386" spans="1:43" ht="15" customHeight="1">
      <c r="A386" s="838" t="str">
        <f>+input!B40</f>
        <v>119j</v>
      </c>
      <c r="B386" s="796">
        <f>IF(Stress!F869&lt;=0,input!CO40,input!CN40)</f>
        <v>389817063.54114115</v>
      </c>
      <c r="C386" s="796">
        <f>IF(Stress!F869&lt;=0,input!CO40,input!DD40)</f>
        <v>399796772.46543008</v>
      </c>
      <c r="D386" s="796">
        <f>IF(Stress!F869&lt;=0,input!DU40,input!EJ40)</f>
        <v>413604255.7530942</v>
      </c>
      <c r="E386" s="796">
        <f>IF(Stress!F869&lt;=0,input!DM40,input!EB40)</f>
        <v>450136445.44678622</v>
      </c>
      <c r="F386" s="796">
        <f>IF(Stress!F869&lt;=0,(input!BJ40/10^6-G319/B386-H319/C386-I319/D386)*E386,-(input!BI40/10^6+G319/B386+H319/C386+I319/D386)*E386)</f>
        <v>-82350.702394977867</v>
      </c>
      <c r="G386" s="796">
        <f>IF(Stress!F869&lt;=0,input!CN40,input!CO40)</f>
        <v>256821441.04481611</v>
      </c>
      <c r="H386" s="796">
        <f>IF(Stress!F869&lt;=0,input!CN40,input!DE40)</f>
        <v>380726945.4929952</v>
      </c>
      <c r="I386" s="796">
        <f>IF(Stress!F869&lt;=0,input!DT40,input!EK40)</f>
        <v>383103973.83311814</v>
      </c>
      <c r="J386" s="796">
        <f>IF(Stress!F869&lt;=0,input!DL40,input!EC40)</f>
        <v>618421510.98460853</v>
      </c>
      <c r="K386" s="842">
        <f>IF(Stress!F869&lt;=0,(input!BI40/10^6-G319/G386-H319/H386-I319/I386)*J386,-(input!BJ40/10^6+G319/G386+H319/H386+I319/I386)*J386)</f>
        <v>-91929.170776724874</v>
      </c>
      <c r="L386" s="839">
        <f t="shared" si="13"/>
        <v>82350.702394977867</v>
      </c>
      <c r="M386" s="839">
        <f t="shared" si="14"/>
        <v>161284.28989497788</v>
      </c>
      <c r="N386" s="841">
        <f t="shared" si="15"/>
        <v>-0.16427688676753763</v>
      </c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143"/>
      <c r="AB386" s="143"/>
      <c r="AD386" s="143"/>
      <c r="AE386" s="143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</row>
    <row r="387" spans="1:43" ht="15" customHeight="1">
      <c r="A387" s="838" t="str">
        <f>+input!B41</f>
        <v>120i</v>
      </c>
      <c r="B387" s="796">
        <f>IF(Stress!F870&lt;=0,input!CO41,input!CN41)</f>
        <v>389817063.54114115</v>
      </c>
      <c r="C387" s="796">
        <f>IF(Stress!F870&lt;=0,input!CO41,input!DD41)</f>
        <v>399796772.46543008</v>
      </c>
      <c r="D387" s="796">
        <f>IF(Stress!F870&lt;=0,input!DU41,input!EJ41)</f>
        <v>413604255.7530942</v>
      </c>
      <c r="E387" s="796">
        <f>IF(Stress!F870&lt;=0,input!DM41,input!EB41)</f>
        <v>450136445.44678622</v>
      </c>
      <c r="F387" s="796">
        <f>IF(Stress!F870&lt;=0,(input!BJ41/10^6-G320/B387-H320/C387-I320/D387)*E387,-(input!BI41/10^6+G320/B387+H320/C387+I320/D387)*E387)</f>
        <v>-82350.545429124817</v>
      </c>
      <c r="G387" s="796">
        <f>IF(Stress!F870&lt;=0,input!CN41,input!CO41)</f>
        <v>256821441.04481611</v>
      </c>
      <c r="H387" s="796">
        <f>IF(Stress!F870&lt;=0,input!CN41,input!DE41)</f>
        <v>380726945.4929952</v>
      </c>
      <c r="I387" s="796">
        <f>IF(Stress!F870&lt;=0,input!DT41,input!EK41)</f>
        <v>383103973.83311814</v>
      </c>
      <c r="J387" s="796">
        <f>IF(Stress!F870&lt;=0,input!DL41,input!EC41)</f>
        <v>618421510.98460853</v>
      </c>
      <c r="K387" s="842">
        <f>IF(Stress!F870&lt;=0,(input!BI41/10^6-G320/G387-H320/H387-I320/I387)*J387,-(input!BJ41/10^6+G320/G387+H320/H387+I320/I387)*J387)</f>
        <v>-91928.940243700403</v>
      </c>
      <c r="L387" s="839">
        <f t="shared" si="13"/>
        <v>82350.545429124817</v>
      </c>
      <c r="M387" s="839">
        <f t="shared" si="14"/>
        <v>161284.27542912483</v>
      </c>
      <c r="N387" s="841">
        <f t="shared" si="15"/>
        <v>-0.16427696172491726</v>
      </c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143"/>
      <c r="AB387" s="143"/>
      <c r="AD387" s="143"/>
      <c r="AE387" s="143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</row>
    <row r="388" spans="1:43" ht="15" customHeight="1">
      <c r="A388" s="838" t="str">
        <f>+input!B42</f>
        <v>120j</v>
      </c>
      <c r="B388" s="796">
        <f>IF(Stress!F871&lt;=0,input!CO42,input!CN42)</f>
        <v>389817063.54114115</v>
      </c>
      <c r="C388" s="796">
        <f>IF(Stress!F871&lt;=0,input!CO42,input!DD42)</f>
        <v>399796772.46543008</v>
      </c>
      <c r="D388" s="796">
        <f>IF(Stress!F871&lt;=0,input!DU42,input!EJ42)</f>
        <v>413604255.7530942</v>
      </c>
      <c r="E388" s="796">
        <f>IF(Stress!F871&lt;=0,input!DM42,input!EB42)</f>
        <v>450136445.44678622</v>
      </c>
      <c r="F388" s="796">
        <f>IF(Stress!F871&lt;=0,(input!BJ42/10^6-G321/B388-H321/C388-I321/D388)*E388,-(input!BI42/10^6+G321/B388+H321/C388+I321/D388)*E388)</f>
        <v>-89656.077284042927</v>
      </c>
      <c r="G388" s="796">
        <f>IF(Stress!F871&lt;=0,input!CN42,input!CO42)</f>
        <v>256821441.04481611</v>
      </c>
      <c r="H388" s="796">
        <f>IF(Stress!F871&lt;=0,input!CN42,input!DE42)</f>
        <v>380726945.4929952</v>
      </c>
      <c r="I388" s="796">
        <f>IF(Stress!F871&lt;=0,input!DT42,input!EK42)</f>
        <v>383103973.83311814</v>
      </c>
      <c r="J388" s="796">
        <f>IF(Stress!F871&lt;=0,input!DL42,input!EC42)</f>
        <v>618421510.98460853</v>
      </c>
      <c r="K388" s="842">
        <f>IF(Stress!F871&lt;=0,(input!BI42/10^6-G321/G388-H321/H388-I321/I388)*J388,-(input!BJ42/10^6+G321/G388+H321/H388+I321/I388)*J388)</f>
        <v>-103882.75608561403</v>
      </c>
      <c r="L388" s="839">
        <f t="shared" si="13"/>
        <v>89656.077284042927</v>
      </c>
      <c r="M388" s="839">
        <f t="shared" si="14"/>
        <v>162096.96228404294</v>
      </c>
      <c r="N388" s="841">
        <f t="shared" si="15"/>
        <v>-0.1600658808507818</v>
      </c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143"/>
      <c r="AB388" s="143"/>
      <c r="AD388" s="143"/>
      <c r="AE388" s="143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</row>
    <row r="389" spans="1:43" ht="15" customHeight="1">
      <c r="A389" s="838" t="str">
        <f>+input!B43</f>
        <v>121i</v>
      </c>
      <c r="B389" s="796">
        <f>IF(Stress!F872&lt;=0,input!CO43,input!CN43)</f>
        <v>377437306.85787624</v>
      </c>
      <c r="C389" s="796">
        <f>IF(Stress!F872&lt;=0,input!CO43,input!DD43)</f>
        <v>387146105.25508732</v>
      </c>
      <c r="D389" s="796">
        <f>IF(Stress!F872&lt;=0,input!DU43,input!EJ43)</f>
        <v>400659149.84594232</v>
      </c>
      <c r="E389" s="796">
        <f>IF(Stress!F872&lt;=0,input!DM43,input!EB43)</f>
        <v>436786647.33861893</v>
      </c>
      <c r="F389" s="796">
        <f>IF(Stress!F872&lt;=0,(input!BJ43/10^6-G322/B389-H322/C389-I322/D389)*E389,-(input!BI43/10^6+G322/B389+H322/C389+I322/D389)*E389)</f>
        <v>-84420.931459941843</v>
      </c>
      <c r="G389" s="796">
        <f>IF(Stress!F872&lt;=0,input!CN43,input!CO43)</f>
        <v>249285333.54220769</v>
      </c>
      <c r="H389" s="796">
        <f>IF(Stress!F872&lt;=0,input!CN43,input!DE43)</f>
        <v>357160114.15122831</v>
      </c>
      <c r="I389" s="796">
        <f>IF(Stress!F872&lt;=0,input!DT43,input!EK43)</f>
        <v>359319760.60966784</v>
      </c>
      <c r="J389" s="796">
        <f>IF(Stress!F872&lt;=0,input!DL43,input!EC43)</f>
        <v>568062280.6495564</v>
      </c>
      <c r="K389" s="842">
        <f>IF(Stress!F872&lt;=0,(input!BI43/10^6-G322/G389-H322/H389-I322/I389)*J389,-(input!BJ43/10^6+G322/G389+H322/H389+I322/I389)*J389)</f>
        <v>-88846.388581780906</v>
      </c>
      <c r="L389" s="839">
        <f t="shared" si="13"/>
        <v>84420.931459941843</v>
      </c>
      <c r="M389" s="839">
        <f t="shared" si="14"/>
        <v>156861.65895994185</v>
      </c>
      <c r="N389" s="841">
        <f t="shared" si="15"/>
        <v>-0.15188848478969036</v>
      </c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143"/>
      <c r="AB389" s="143"/>
      <c r="AD389" s="143"/>
      <c r="AE389" s="143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</row>
    <row r="390" spans="1:43" ht="15" customHeight="1">
      <c r="A390" s="838" t="str">
        <f>+input!B44</f>
        <v>121j</v>
      </c>
      <c r="B390" s="796">
        <f>IF(Stress!F873&lt;=0,input!CO44,input!CN44)</f>
        <v>377437306.85787624</v>
      </c>
      <c r="C390" s="796">
        <f>IF(Stress!F873&lt;=0,input!CO44,input!DD44)</f>
        <v>387146105.25508732</v>
      </c>
      <c r="D390" s="796">
        <f>IF(Stress!F873&lt;=0,input!DU44,input!EJ44)</f>
        <v>400659149.84594232</v>
      </c>
      <c r="E390" s="796">
        <f>IF(Stress!F873&lt;=0,input!DM44,input!EB44)</f>
        <v>436786647.33861893</v>
      </c>
      <c r="F390" s="796">
        <f>IF(Stress!F873&lt;=0,(input!BJ44/10^6-G323/B390-H323/C390-I323/D390)*E390,-(input!BI44/10^6+G323/B390+H323/C390+I323/D390)*E390)</f>
        <v>-100179.78397910543</v>
      </c>
      <c r="G390" s="796">
        <f>IF(Stress!F873&lt;=0,input!CN44,input!CO44)</f>
        <v>249285333.54220769</v>
      </c>
      <c r="H390" s="796">
        <f>IF(Stress!F873&lt;=0,input!CN44,input!DE44)</f>
        <v>357160114.15122831</v>
      </c>
      <c r="I390" s="796">
        <f>IF(Stress!F873&lt;=0,input!DT44,input!EK44)</f>
        <v>359319760.60966784</v>
      </c>
      <c r="J390" s="796">
        <f>IF(Stress!F873&lt;=0,input!DL44,input!EC44)</f>
        <v>568062280.6495564</v>
      </c>
      <c r="K390" s="842">
        <f>IF(Stress!F873&lt;=0,(input!BI44/10^6-G323/G390-H323/H390-I323/I390)*J390,-(input!BJ44/10^6+G323/G390+H323/H390+I323/I390)*J390)</f>
        <v>-113575.77797264948</v>
      </c>
      <c r="L390" s="839">
        <f t="shared" si="13"/>
        <v>100179.78397910543</v>
      </c>
      <c r="M390" s="839">
        <f t="shared" si="14"/>
        <v>158633.30147910543</v>
      </c>
      <c r="N390" s="841">
        <f t="shared" si="15"/>
        <v>-0.1423096595286204</v>
      </c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143"/>
      <c r="AB390" s="143"/>
      <c r="AD390" s="143"/>
      <c r="AE390" s="143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</row>
    <row r="391" spans="1:43" ht="15" customHeight="1">
      <c r="A391" s="838" t="str">
        <f>+input!B45</f>
        <v>122i</v>
      </c>
      <c r="B391" s="796">
        <f>IF(Stress!F874&lt;=0,input!CO45,input!CN45)</f>
        <v>219161648.91892299</v>
      </c>
      <c r="C391" s="796">
        <f>IF(Stress!F874&lt;=0,input!CO45,input!DD45)</f>
        <v>223771821.27150926</v>
      </c>
      <c r="D391" s="796">
        <f>IF(Stress!F874&lt;=0,input!DU45,input!EJ45)</f>
        <v>236703219.76035708</v>
      </c>
      <c r="E391" s="796">
        <f>IF(Stress!F874&lt;=0,input!DM45,input!EB45)</f>
        <v>267650221.0203172</v>
      </c>
      <c r="F391" s="796">
        <f>IF(Stress!F874&lt;=0,(input!BJ45/10^6-G324/B391-H324/C391-I324/D391)*E391,-(input!BI45/10^6+G324/B391+H324/C391+I324/D391)*E391)</f>
        <v>-32387.379639248145</v>
      </c>
      <c r="G391" s="796">
        <f>IF(Stress!F874&lt;=0,input!CN45,input!CO45)</f>
        <v>215919575.97164524</v>
      </c>
      <c r="H391" s="796">
        <f>IF(Stress!F874&lt;=0,input!CN45,input!DE45)</f>
        <v>288049457.18329775</v>
      </c>
      <c r="I391" s="796">
        <f>IF(Stress!F874&lt;=0,input!DT45,input!EK45)</f>
        <v>291325945.59205031</v>
      </c>
      <c r="J391" s="796">
        <f>IF(Stress!F874&lt;=0,input!DL45,input!EC45)</f>
        <v>437889971.35876638</v>
      </c>
      <c r="K391" s="839">
        <f>IF(Stress!F874&lt;=0,(input!BI45/10^6-G324/G391-H324/H391-I324/I391)*J391,-(input!BJ45/10^6+G324/G391+H324/H391+I324/I391)*J391)</f>
        <v>-70807.587557025123</v>
      </c>
      <c r="L391" s="839">
        <f t="shared" si="13"/>
        <v>32387.379639248145</v>
      </c>
      <c r="M391" s="839">
        <f t="shared" si="14"/>
        <v>90840.759639248135</v>
      </c>
      <c r="N391" s="841">
        <f t="shared" si="15"/>
        <v>-0.24095022659264403</v>
      </c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143"/>
      <c r="AB391" s="143"/>
      <c r="AD391" s="143"/>
      <c r="AE391" s="143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</row>
    <row r="392" spans="1:43" ht="15" customHeight="1">
      <c r="A392" s="838" t="str">
        <f>+input!B46</f>
        <v>122j</v>
      </c>
      <c r="B392" s="796">
        <f>IF(Stress!F875&lt;=0,input!CO46,input!CN46)</f>
        <v>219161648.91892299</v>
      </c>
      <c r="C392" s="796">
        <f>IF(Stress!F875&lt;=0,input!CO46,input!DD46)</f>
        <v>223771821.27150926</v>
      </c>
      <c r="D392" s="796">
        <f>IF(Stress!F875&lt;=0,input!DU46,input!EJ46)</f>
        <v>236703219.76035708</v>
      </c>
      <c r="E392" s="796">
        <f>IF(Stress!F875&lt;=0,input!DM46,input!EB46)</f>
        <v>267650221.0203172</v>
      </c>
      <c r="F392" s="796">
        <f>IF(Stress!F875&lt;=0,(input!BJ46/10^6-G325/B392-H325/C392-I325/D392)*E392,-(input!BI46/10^6+G325/B392+H325/C392+I325/D392)*E392)</f>
        <v>-53037.713544880542</v>
      </c>
      <c r="G392" s="796">
        <f>IF(Stress!F875&lt;=0,input!CN46,input!CO46)</f>
        <v>215919575.97164524</v>
      </c>
      <c r="H392" s="796">
        <f>IF(Stress!F875&lt;=0,input!CN46,input!DE46)</f>
        <v>288049457.18329775</v>
      </c>
      <c r="I392" s="796">
        <f>IF(Stress!F875&lt;=0,input!DT46,input!EK46)</f>
        <v>291325945.59205031</v>
      </c>
      <c r="J392" s="796">
        <f>IF(Stress!F875&lt;=0,input!DL46,input!EC46)</f>
        <v>437889971.35876638</v>
      </c>
      <c r="K392" s="839">
        <f>IF(Stress!F875&lt;=0,(input!BI46/10^6-G325/G392-H325/H392-I325/I392)*J392,-(input!BJ46/10^6+G325/G392+H325/H392+I325/I392)*J392)</f>
        <v>-99274.376439953252</v>
      </c>
      <c r="L392" s="839">
        <f t="shared" si="13"/>
        <v>53037.713544880542</v>
      </c>
      <c r="M392" s="839">
        <f t="shared" si="14"/>
        <v>94074.553544880546</v>
      </c>
      <c r="N392" s="841">
        <f t="shared" si="15"/>
        <v>-0.21392920055692774</v>
      </c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143"/>
      <c r="AB392" s="143"/>
      <c r="AD392" s="143"/>
      <c r="AE392" s="143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</row>
    <row r="393" spans="1:43" ht="15" customHeight="1">
      <c r="A393" s="838" t="str">
        <f>+input!B47</f>
        <v>123i</v>
      </c>
      <c r="B393" s="796">
        <f>IF(Stress!F876&lt;=0,input!CO47,input!CN47)</f>
        <v>170586676.3639794</v>
      </c>
      <c r="C393" s="796">
        <f>IF(Stress!F876&lt;=0,input!CO47,input!DD47)</f>
        <v>170586676.3639794</v>
      </c>
      <c r="D393" s="796">
        <f>IF(Stress!F876&lt;=0,input!DU47,input!EJ47)</f>
        <v>182975996.82484978</v>
      </c>
      <c r="E393" s="796">
        <f>IF(Stress!F876&lt;=0,input!DM47,input!EB47)</f>
        <v>207894678.13416749</v>
      </c>
      <c r="F393" s="796">
        <f>IF(Stress!F876&lt;=0,(input!BJ47/10^6-G326/B393-H326/C393-I326/D393)*E393,-(input!BI47/10^6+G326/B393+H326/C393+I326/D393)*E393)</f>
        <v>-29818.610012680121</v>
      </c>
      <c r="G393" s="796">
        <f>IF(Stress!F876&lt;=0,input!CN47,input!CO47)</f>
        <v>202046357.79168516</v>
      </c>
      <c r="H393" s="796">
        <f>IF(Stress!F876&lt;=0,input!CN47,input!DE47)</f>
        <v>202046357.79168516</v>
      </c>
      <c r="I393" s="796">
        <f>IF(Stress!F876&lt;=0,input!DT47,input!EK47)</f>
        <v>204991459.99143514</v>
      </c>
      <c r="J393" s="796">
        <f>IF(Stress!F876&lt;=0,input!DL47,input!EC47)</f>
        <v>210047643.23841316</v>
      </c>
      <c r="K393" s="839">
        <f>IF(Stress!F876&lt;=0,(input!BI47/10^6-G326/G393-H326/H393-I326/I393)*J393,-(input!BJ47/10^6+G326/G393+H326/H393+I326/I393)*J393)</f>
        <v>-37306.459093441852</v>
      </c>
      <c r="L393" s="839">
        <f t="shared" si="13"/>
        <v>29818.610012680121</v>
      </c>
      <c r="M393" s="839">
        <f t="shared" si="14"/>
        <v>70855.447512680112</v>
      </c>
      <c r="N393" s="841">
        <f t="shared" si="15"/>
        <v>-0.16821465223010978</v>
      </c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143"/>
      <c r="AB393" s="143"/>
      <c r="AD393" s="143"/>
      <c r="AE393" s="143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</row>
    <row r="394" spans="1:43" ht="15" customHeight="1">
      <c r="A394" s="838" t="str">
        <f>+input!B48</f>
        <v>123j</v>
      </c>
      <c r="B394" s="796">
        <f>IF(Stress!F877&lt;=0,input!CO48,input!CN48)</f>
        <v>170586676.3639794</v>
      </c>
      <c r="C394" s="796">
        <f>IF(Stress!F877&lt;=0,input!CO48,input!DD48)</f>
        <v>170586676.3639794</v>
      </c>
      <c r="D394" s="796">
        <f>IF(Stress!F877&lt;=0,input!DU48,input!EJ48)</f>
        <v>182975996.82484978</v>
      </c>
      <c r="E394" s="796">
        <f>IF(Stress!F877&lt;=0,input!DM48,input!EB48)</f>
        <v>207894678.13416749</v>
      </c>
      <c r="F394" s="796">
        <f>IF(Stress!F877&lt;=0,(input!BJ48/10^6-G327/B394-H327/C394-I327/D394)*E394,-(input!BI48/10^6+G327/B394+H327/C394+I327/D394)*E394)</f>
        <v>-46485.284804352304</v>
      </c>
      <c r="G394" s="796">
        <f>IF(Stress!F877&lt;=0,input!CN48,input!CO48)</f>
        <v>202046357.79168516</v>
      </c>
      <c r="H394" s="796">
        <f>IF(Stress!F877&lt;=0,input!CN48,input!DE48)</f>
        <v>202046357.79168516</v>
      </c>
      <c r="I394" s="796">
        <f>IF(Stress!F877&lt;=0,input!DT48,input!EK48)</f>
        <v>204991459.99143514</v>
      </c>
      <c r="J394" s="796">
        <f>IF(Stress!F877&lt;=0,input!DL48,input!EC48)</f>
        <v>210047643.23841316</v>
      </c>
      <c r="K394" s="839">
        <f>IF(Stress!F877&lt;=0,(input!BI48/10^6-G327/G394-H327/H394-I327/I394)*J394,-(input!BJ48/10^6+G327/G394+H327/H394+I327/I394)*J394)</f>
        <v>-51719.471873496339</v>
      </c>
      <c r="L394" s="839">
        <f t="shared" si="13"/>
        <v>46485.284804352304</v>
      </c>
      <c r="M394" s="839">
        <f t="shared" si="14"/>
        <v>73607.439804352296</v>
      </c>
      <c r="N394" s="841">
        <f t="shared" si="15"/>
        <v>-0.13590850011697889</v>
      </c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143"/>
      <c r="AB394" s="143"/>
      <c r="AD394" s="143"/>
      <c r="AE394" s="143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</row>
    <row r="395" spans="1:43" ht="15" customHeight="1">
      <c r="A395" s="838" t="str">
        <f>+input!B49</f>
        <v>124i</v>
      </c>
      <c r="B395" s="796">
        <f>IF(Stress!F878&lt;=0,input!CO49,input!CN49)</f>
        <v>113115622.55904828</v>
      </c>
      <c r="C395" s="796">
        <f>IF(Stress!F878&lt;=0,input!CO49,input!DD49)</f>
        <v>113115622.55904828</v>
      </c>
      <c r="D395" s="796">
        <f>IF(Stress!F878&lt;=0,input!DU49,input!EJ49)</f>
        <v>125308700.35878479</v>
      </c>
      <c r="E395" s="796">
        <f>IF(Stress!F878&lt;=0,input!DM49,input!EB49)</f>
        <v>149872631.93182287</v>
      </c>
      <c r="F395" s="796">
        <f>IF(Stress!F878&lt;=0,(input!BJ49/10^6-G328/B395-H328/C395-I328/D395)*E395,-(input!BI49/10^6+G328/B395+H328/C395+I328/D395)*E395)</f>
        <v>-21858.432831266658</v>
      </c>
      <c r="G395" s="796">
        <f>IF(Stress!F878&lt;=0,input!CN49,input!CO49)</f>
        <v>160541605.12853247</v>
      </c>
      <c r="H395" s="796">
        <f>IF(Stress!F878&lt;=0,input!CN49,input!DE49)</f>
        <v>160541605.12853247</v>
      </c>
      <c r="I395" s="796">
        <f>IF(Stress!F878&lt;=0,input!DT49,input!EK49)</f>
        <v>164911856.72297066</v>
      </c>
      <c r="J395" s="796">
        <f>IF(Stress!F878&lt;=0,input!DL49,input!EC49)</f>
        <v>172036530.23623022</v>
      </c>
      <c r="K395" s="839">
        <f>IF(Stress!F878&lt;=0,(input!BI49/10^6-G328/G395-H328/H395-I328/I395)*J395,-(input!BJ49/10^6+G328/G395+H328/H395+I328/I395)*J395)</f>
        <v>-36495.26958417632</v>
      </c>
      <c r="L395" s="839">
        <f t="shared" si="13"/>
        <v>21858.432831266658</v>
      </c>
      <c r="M395" s="839">
        <f t="shared" si="14"/>
        <v>48980.627831266655</v>
      </c>
      <c r="N395" s="841">
        <f t="shared" si="15"/>
        <v>-0.2566605005779436</v>
      </c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143"/>
      <c r="AB395" s="143"/>
      <c r="AD395" s="143"/>
      <c r="AE395" s="143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</row>
    <row r="396" spans="1:43" ht="15" customHeight="1">
      <c r="A396" s="838" t="str">
        <f>+input!B50</f>
        <v>124j</v>
      </c>
      <c r="B396" s="796">
        <f>IF(Stress!F879&lt;=0,input!CO50,input!CN50)</f>
        <v>113115622.55904828</v>
      </c>
      <c r="C396" s="796">
        <f>IF(Stress!F879&lt;=0,input!CO50,input!DD50)</f>
        <v>113115622.55904828</v>
      </c>
      <c r="D396" s="796">
        <f>IF(Stress!F879&lt;=0,input!DU50,input!EJ50)</f>
        <v>125308700.35878479</v>
      </c>
      <c r="E396" s="796">
        <f>IF(Stress!F879&lt;=0,input!DM50,input!EB50)</f>
        <v>149872631.93182287</v>
      </c>
      <c r="F396" s="796">
        <f>IF(Stress!F879&lt;=0,(input!BJ50/10^6-G329/B396-H329/C396-I329/D396)*E396,-(input!BI50/10^6+G329/B396+H329/C396+I329/D396)*E396)</f>
        <v>-36957.351299250426</v>
      </c>
      <c r="G396" s="796">
        <f>IF(Stress!F879&lt;=0,input!CN50,input!CO50)</f>
        <v>160541605.12853247</v>
      </c>
      <c r="H396" s="796">
        <f>IF(Stress!F879&lt;=0,input!CN50,input!DE50)</f>
        <v>160541605.12853247</v>
      </c>
      <c r="I396" s="796">
        <f>IF(Stress!F879&lt;=0,input!DT50,input!EK50)</f>
        <v>164911856.72297066</v>
      </c>
      <c r="J396" s="796">
        <f>IF(Stress!F879&lt;=0,input!DL50,input!EC50)</f>
        <v>172036530.23623022</v>
      </c>
      <c r="K396" s="839">
        <f>IF(Stress!F879&lt;=0,(input!BI50/10^6-G329/G396-H329/H396-I329/I396)*J396,-(input!BJ50/10^6+G329/G396+H329/H396+I329/I396)*J396)</f>
        <v>-48933.759962110249</v>
      </c>
      <c r="L396" s="839">
        <f t="shared" si="13"/>
        <v>36957.351299250426</v>
      </c>
      <c r="M396" s="839">
        <f t="shared" si="14"/>
        <v>52392.973799250423</v>
      </c>
      <c r="N396" s="841">
        <f t="shared" si="15"/>
        <v>-0.20487407692420798</v>
      </c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143"/>
      <c r="AB396" s="143"/>
      <c r="AD396" s="143"/>
      <c r="AE396" s="143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</row>
    <row r="397" spans="1:43" ht="15" customHeight="1">
      <c r="A397" s="838" t="str">
        <f>+input!B51</f>
        <v>125i</v>
      </c>
      <c r="B397" s="796">
        <f>IF(Stress!F880&lt;=0,input!CO51,input!CN51)</f>
        <v>100072715.43821304</v>
      </c>
      <c r="C397" s="796">
        <f>IF(Stress!F880&lt;=0,input!CO51,input!DD51)</f>
        <v>100072715.43821304</v>
      </c>
      <c r="D397" s="796">
        <f>IF(Stress!F880&lt;=0,input!DU51,input!EJ51)</f>
        <v>112044615.96016069</v>
      </c>
      <c r="E397" s="796">
        <f>IF(Stress!F880&lt;=0,input!DM51,input!EB51)</f>
        <v>136197439.64664793</v>
      </c>
      <c r="F397" s="796">
        <f>IF(Stress!F880&lt;=0,(input!BJ51/10^6-G330/B397-H330/C397-I330/D397)*E397,-(input!BI51/10^6+G330/B397+H330/C397+I330/D397)*E397)</f>
        <v>-31263.107385855277</v>
      </c>
      <c r="G397" s="796">
        <f>IF(Stress!F880&lt;=0,input!CN51,input!CO51)</f>
        <v>131749469.3556883</v>
      </c>
      <c r="H397" s="796">
        <f>IF(Stress!F880&lt;=0,input!CN51,input!DE51)</f>
        <v>131749469.3556883</v>
      </c>
      <c r="I397" s="796">
        <f>IF(Stress!F880&lt;=0,input!DT51,input!EK51)</f>
        <v>136003722.8356832</v>
      </c>
      <c r="J397" s="796">
        <f>IF(Stress!F880&lt;=0,input!DL51,input!EC51)</f>
        <v>142845229.80147487</v>
      </c>
      <c r="K397" s="839">
        <f>IF(Stress!F880&lt;=0,(input!BI51/10^6-G330/G397-H330/H397-I330/I397)*J397,-(input!BJ51/10^6+G330/G397+H330/H397+I330/I397)*J397)</f>
        <v>-37665.894350513452</v>
      </c>
      <c r="L397" s="839">
        <f t="shared" si="13"/>
        <v>31263.107385855277</v>
      </c>
      <c r="M397" s="839">
        <f t="shared" si="14"/>
        <v>46698.704885855273</v>
      </c>
      <c r="N397" s="841">
        <f t="shared" si="15"/>
        <v>-0.19432742299652975</v>
      </c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143"/>
      <c r="AB397" s="143"/>
      <c r="AD397" s="143"/>
      <c r="AE397" s="143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</row>
    <row r="398" spans="1:43" ht="15" customHeight="1">
      <c r="A398" s="1036" t="str">
        <f>+input!B52</f>
        <v>125j</v>
      </c>
      <c r="B398" s="1037">
        <f>IF(Stress!F881&lt;=0,input!CO52,input!CN52)</f>
        <v>100072715.43821304</v>
      </c>
      <c r="C398" s="1037">
        <f>IF(Stress!F881&lt;=0,input!CO52,input!DD52)</f>
        <v>100072715.43821304</v>
      </c>
      <c r="D398" s="1037">
        <f>IF(Stress!F881&lt;=0,input!DU52,input!EJ52)</f>
        <v>112044615.96016069</v>
      </c>
      <c r="E398" s="1037">
        <f>IF(Stress!F881&lt;=0,input!DM52,input!EB52)</f>
        <v>136197439.64664793</v>
      </c>
      <c r="F398" s="796">
        <f>IF(Stress!F881&lt;=0,(input!BJ52/10^6-G331/B398-H331/C398-I331/D398)*E398,-(input!BI52/10^6+G331/B398+H331/C398+I331/D398)*E398)</f>
        <v>-42637.708674492846</v>
      </c>
      <c r="G398" s="1037">
        <f>IF(Stress!F881&lt;=0,input!CN52,input!CO52)</f>
        <v>131749469.3556883</v>
      </c>
      <c r="H398" s="1037">
        <f>IF(Stress!F881&lt;=0,input!CN52,input!DE52)</f>
        <v>131749469.3556883</v>
      </c>
      <c r="I398" s="1037">
        <f>IF(Stress!F881&lt;=0,input!DT52,input!EK52)</f>
        <v>136003722.8356832</v>
      </c>
      <c r="J398" s="1037">
        <f>IF(Stress!F881&lt;=0,input!DL52,input!EC52)</f>
        <v>142845229.80147487</v>
      </c>
      <c r="K398" s="839">
        <f>IF(Stress!F881&lt;=0,(input!BI52/10^6-G331/G398-H331/H398-I331/I398)*J398,-(input!BJ52/10^6+G331/G398+H331/H398+I331/I398)*J398)</f>
        <v>-46905.858811395992</v>
      </c>
      <c r="L398" s="1038">
        <f t="shared" si="13"/>
        <v>42637.708674492846</v>
      </c>
      <c r="M398" s="1038">
        <f t="shared" si="14"/>
        <v>49482.936174492846</v>
      </c>
      <c r="N398" s="1039">
        <f t="shared" si="15"/>
        <v>-0.14629228363295887</v>
      </c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143"/>
      <c r="AB398" s="143"/>
      <c r="AD398" s="143"/>
      <c r="AE398" s="143"/>
      <c r="AF398" s="143"/>
      <c r="AG398" s="143"/>
      <c r="AH398" s="143"/>
      <c r="AI398" s="143"/>
      <c r="AJ398" s="143"/>
      <c r="AK398" s="143"/>
      <c r="AL398" s="143"/>
      <c r="AM398" s="143"/>
      <c r="AN398" s="143"/>
      <c r="AO398" s="143"/>
      <c r="AP398" s="143"/>
      <c r="AQ398" s="143"/>
    </row>
    <row r="399" spans="1:43" ht="15" customHeight="1">
      <c r="A399" s="1040" t="str">
        <f>+input!B53</f>
        <v>126i</v>
      </c>
      <c r="B399" s="1041">
        <f>IF(Stress!F882&lt;=0,input!CO53,input!CN53)</f>
        <v>100072715.43821304</v>
      </c>
      <c r="C399" s="1041">
        <f>IF(Stress!F882&lt;=0,input!CO53,input!DD53)</f>
        <v>100072715.43821304</v>
      </c>
      <c r="D399" s="1041">
        <f>IF(Stress!F882&lt;=0,input!DU53,input!EJ53)</f>
        <v>112044615.96016069</v>
      </c>
      <c r="E399" s="1041">
        <f>IF(Stress!F882&lt;=0,input!DM53,input!EB53)</f>
        <v>136197439.64664793</v>
      </c>
      <c r="F399" s="796">
        <f>IF(Stress!F882&lt;=0,(input!BJ53/10^6-G332/B399-H332/C399-I332/D399)*E399,-(input!BI53/10^6+G332/B399+H332/C399+I332/D399)*E399)</f>
        <v>-42637.708674492846</v>
      </c>
      <c r="G399" s="1041">
        <f>IF(Stress!F882&lt;=0,input!CN53,input!CO53)</f>
        <v>131749469.3556883</v>
      </c>
      <c r="H399" s="1041">
        <f>IF(Stress!F882&lt;=0,input!CN53,input!DE53)</f>
        <v>131749469.3556883</v>
      </c>
      <c r="I399" s="1041">
        <f>IF(Stress!F882&lt;=0,input!DT53,input!EK53)</f>
        <v>136003722.8356832</v>
      </c>
      <c r="J399" s="1041">
        <f>IF(Stress!F882&lt;=0,input!DL53,input!EC53)</f>
        <v>142845229.80147487</v>
      </c>
      <c r="K399" s="839">
        <f>IF(Stress!F882&lt;=0,(input!BI53/10^6-G332/G399-H332/H399-I332/I399)*J399,-(input!BJ53/10^6+G332/G399+H332/H399+I332/I399)*J399)</f>
        <v>-46905.858811395992</v>
      </c>
      <c r="L399" s="1042">
        <f t="shared" si="13"/>
        <v>42637.708674492846</v>
      </c>
      <c r="M399" s="1042">
        <f t="shared" si="14"/>
        <v>49482.936174492846</v>
      </c>
      <c r="N399" s="1043">
        <f t="shared" si="15"/>
        <v>-0.14629228363295887</v>
      </c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143"/>
      <c r="AB399" s="143"/>
      <c r="AD399" s="143"/>
      <c r="AE399" s="143"/>
      <c r="AF399" s="143"/>
      <c r="AG399" s="143"/>
      <c r="AH399" s="143"/>
      <c r="AI399" s="143"/>
      <c r="AJ399" s="143"/>
      <c r="AK399" s="143"/>
      <c r="AL399" s="143"/>
      <c r="AM399" s="143"/>
      <c r="AN399" s="143"/>
      <c r="AO399" s="143"/>
      <c r="AP399" s="143"/>
      <c r="AQ399" s="143"/>
    </row>
    <row r="400" spans="1:43" ht="15" customHeight="1">
      <c r="A400" s="838" t="str">
        <f>+input!B54</f>
        <v>126j</v>
      </c>
      <c r="B400" s="796">
        <f>IF(Stress!F883&lt;=0,input!CO54,input!CN54)</f>
        <v>100072715.43821304</v>
      </c>
      <c r="C400" s="796">
        <f>IF(Stress!F883&lt;=0,input!CO54,input!DD54)</f>
        <v>100072715.43821304</v>
      </c>
      <c r="D400" s="796">
        <f>IF(Stress!F883&lt;=0,input!DU54,input!EJ54)</f>
        <v>112044615.96016069</v>
      </c>
      <c r="E400" s="796">
        <f>IF(Stress!F883&lt;=0,input!DM54,input!EB54)</f>
        <v>136197439.64664793</v>
      </c>
      <c r="F400" s="796">
        <f>IF(Stress!F883&lt;=0,(input!BJ54/10^6-G333/B400-H333/C400-I333/D400)*E400,-(input!BI54/10^6+G333/B400+H333/C400+I333/D400)*E400)</f>
        <v>-51213.957831996842</v>
      </c>
      <c r="G400" s="796">
        <f>IF(Stress!F883&lt;=0,input!CN54,input!CO54)</f>
        <v>131749469.3556883</v>
      </c>
      <c r="H400" s="796">
        <f>IF(Stress!F883&lt;=0,input!CN54,input!DE54)</f>
        <v>131749469.3556883</v>
      </c>
      <c r="I400" s="796">
        <f>IF(Stress!F883&lt;=0,input!DT54,input!EK54)</f>
        <v>136003722.8356832</v>
      </c>
      <c r="J400" s="796">
        <f>IF(Stress!F883&lt;=0,input!DL54,input!EC54)</f>
        <v>142845229.80147487</v>
      </c>
      <c r="K400" s="839">
        <f>IF(Stress!F883&lt;=0,(input!BI54/10^6-G333/G400-H333/H400-I333/I400)*J400,-(input!BJ54/10^6+G333/G400+H333/H400+I333/I400)*J400)</f>
        <v>-53872.205501518045</v>
      </c>
      <c r="L400" s="839">
        <f t="shared" si="13"/>
        <v>51213.957831996842</v>
      </c>
      <c r="M400" s="839">
        <f t="shared" si="14"/>
        <v>51582.750331996845</v>
      </c>
      <c r="N400" s="841">
        <f t="shared" si="15"/>
        <v>-0.11006509729792539</v>
      </c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143"/>
      <c r="AB400" s="143"/>
      <c r="AD400" s="143"/>
      <c r="AE400" s="143"/>
      <c r="AF400" s="143"/>
      <c r="AG400" s="143"/>
      <c r="AH400" s="143"/>
      <c r="AI400" s="143"/>
      <c r="AJ400" s="143"/>
      <c r="AK400" s="143"/>
      <c r="AL400" s="143"/>
      <c r="AM400" s="143"/>
      <c r="AN400" s="143"/>
      <c r="AO400" s="143"/>
      <c r="AP400" s="143"/>
      <c r="AQ400" s="143"/>
    </row>
    <row r="401" spans="1:43" ht="15" customHeight="1">
      <c r="A401" s="838" t="str">
        <f>+input!B55</f>
        <v>127i</v>
      </c>
      <c r="B401" s="796">
        <f>IF(Stress!F884&lt;=0,input!CO55,input!CN55)</f>
        <v>93366829.417468861</v>
      </c>
      <c r="C401" s="796">
        <f>IF(Stress!F884&lt;=0,input!CO55,input!DD55)</f>
        <v>93366829.417468861</v>
      </c>
      <c r="D401" s="796">
        <f>IF(Stress!F884&lt;=0,input!DU55,input!EJ55)</f>
        <v>104882870.39911303</v>
      </c>
      <c r="E401" s="796">
        <f>IF(Stress!F884&lt;=0,input!DM55,input!EB55)</f>
        <v>128170348.25213701</v>
      </c>
      <c r="F401" s="796">
        <f>IF(Stress!F884&lt;=0,(input!BJ55/10^6-G334/B401-H334/C401-I334/D401)*E401,-(input!BI55/10^6+G334/B401+H334/C401+I334/D401)*E401)</f>
        <v>-48157.874115254839</v>
      </c>
      <c r="G401" s="796">
        <f>IF(Stress!F884&lt;=0,input!CN55,input!CO55)</f>
        <v>97688095.893257305</v>
      </c>
      <c r="H401" s="796">
        <f>IF(Stress!F884&lt;=0,input!CN55,input!DE55)</f>
        <v>97688095.893257305</v>
      </c>
      <c r="I401" s="796">
        <f>IF(Stress!F884&lt;=0,input!DT55,input!EK55)</f>
        <v>101074301.92638281</v>
      </c>
      <c r="J401" s="796">
        <f>IF(Stress!F884&lt;=0,input!DL55,input!EC55)</f>
        <v>106517321.21679069</v>
      </c>
      <c r="K401" s="839">
        <f>IF(Stress!F884&lt;=0,(input!BI55/10^6-G334/G401-H334/H401-I334/I401)*J401,-(input!BJ55/10^6+G334/G401+H334/H401+I334/I401)*J401)</f>
        <v>-40064.609619956704</v>
      </c>
      <c r="L401" s="839">
        <f t="shared" si="13"/>
        <v>40064.609619956704</v>
      </c>
      <c r="M401" s="839">
        <f t="shared" si="14"/>
        <v>40433.414619956704</v>
      </c>
      <c r="N401" s="841">
        <f t="shared" si="15"/>
        <v>-0.17763749008479016</v>
      </c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143"/>
      <c r="AB401" s="143"/>
      <c r="AD401" s="143"/>
      <c r="AE401" s="143"/>
      <c r="AF401" s="143"/>
      <c r="AG401" s="143"/>
      <c r="AH401" s="143"/>
      <c r="AI401" s="143"/>
      <c r="AJ401" s="143"/>
      <c r="AK401" s="143"/>
      <c r="AL401" s="143"/>
      <c r="AM401" s="143"/>
      <c r="AN401" s="143"/>
      <c r="AO401" s="143"/>
      <c r="AP401" s="143"/>
      <c r="AQ401" s="143"/>
    </row>
    <row r="402" spans="1:43" ht="15" customHeight="1">
      <c r="A402" s="838" t="str">
        <f>+input!B56</f>
        <v>127j</v>
      </c>
      <c r="B402" s="796">
        <f>IF(Stress!F885&lt;=0,input!CO56,input!CN56)</f>
        <v>97688095.893257305</v>
      </c>
      <c r="C402" s="796">
        <f>IF(Stress!F885&lt;=0,input!CO56,input!DD56)</f>
        <v>97688095.893257305</v>
      </c>
      <c r="D402" s="796">
        <f>IF(Stress!F885&lt;=0,input!DU56,input!EJ56)</f>
        <v>124365864.04665887</v>
      </c>
      <c r="E402" s="796">
        <f>IF(Stress!F885&lt;=0,input!DM56,input!EB56)</f>
        <v>134159589.53411455</v>
      </c>
      <c r="F402" s="796">
        <f>IF(Stress!F885&lt;=0,(input!BJ56/10^6-G335/B402-H335/C402-I335/D402)*E402,-(input!BI56/10^6+G335/B402+H335/C402+I335/D402)*E402)</f>
        <v>46954.488296866701</v>
      </c>
      <c r="G402" s="796">
        <f>IF(Stress!F885&lt;=0,input!CN56,input!CO56)</f>
        <v>93366829.417468861</v>
      </c>
      <c r="H402" s="796">
        <f>IF(Stress!F885&lt;=0,input!CN56,input!DE56)</f>
        <v>93366829.417468861</v>
      </c>
      <c r="I402" s="796">
        <f>IF(Stress!F885&lt;=0,input!DT56,input!EK56)</f>
        <v>322245578.76253772</v>
      </c>
      <c r="J402" s="796">
        <f>IF(Stress!F885&lt;=0,input!DL56,input!EC56)</f>
        <v>885577977.09948206</v>
      </c>
      <c r="K402" s="839">
        <f>IF(Stress!F885&lt;=0,(input!BI56/10^6-G335/G402-H335/H402-I335/I402)*J402,-(input!BJ56/10^6+G335/G402+H335/H402+I335/I402)*J402)</f>
        <v>313940.24956508382</v>
      </c>
      <c r="L402" s="839">
        <f t="shared" si="13"/>
        <v>46954.488296866701</v>
      </c>
      <c r="M402" s="839">
        <f t="shared" si="14"/>
        <v>50124.5807968667</v>
      </c>
      <c r="N402" s="841">
        <f t="shared" si="15"/>
        <v>-0.2511040379167957</v>
      </c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143"/>
      <c r="AB402" s="143"/>
      <c r="AD402" s="143"/>
      <c r="AE402" s="143"/>
      <c r="AF402" s="143"/>
      <c r="AG402" s="143"/>
      <c r="AH402" s="143"/>
      <c r="AI402" s="143"/>
      <c r="AJ402" s="143"/>
      <c r="AK402" s="143"/>
      <c r="AL402" s="143"/>
      <c r="AM402" s="143"/>
      <c r="AN402" s="143"/>
      <c r="AO402" s="143"/>
      <c r="AP402" s="143"/>
      <c r="AQ402" s="143"/>
    </row>
    <row r="403" spans="1:43" ht="15" customHeight="1">
      <c r="A403" s="838" t="str">
        <f>+input!B57</f>
        <v>128i</v>
      </c>
      <c r="B403" s="796">
        <f>IF(Stress!F886&lt;=0,input!CO57,input!CN57)</f>
        <v>97688095.893257305</v>
      </c>
      <c r="C403" s="796">
        <f>IF(Stress!F886&lt;=0,input!CO57,input!DD57)</f>
        <v>97688095.893257305</v>
      </c>
      <c r="D403" s="796">
        <f>IF(Stress!F886&lt;=0,input!DU57,input!EJ57)</f>
        <v>124365864.04665887</v>
      </c>
      <c r="E403" s="796">
        <f>IF(Stress!F886&lt;=0,input!DM57,input!EB57)</f>
        <v>134159589.53411455</v>
      </c>
      <c r="F403" s="796">
        <f>IF(Stress!F886&lt;=0,(input!BJ57/10^6-G336/B403-H336/C403-I336/D403)*E403,-(input!BI57/10^6+G336/B403+H336/C403+I336/D403)*E403)</f>
        <v>46954.488296866701</v>
      </c>
      <c r="G403" s="796">
        <f>IF(Stress!F886&lt;=0,input!CN57,input!CO57)</f>
        <v>93366829.417468861</v>
      </c>
      <c r="H403" s="796">
        <f>IF(Stress!F886&lt;=0,input!CN57,input!DE57)</f>
        <v>93366829.417468861</v>
      </c>
      <c r="I403" s="796">
        <f>IF(Stress!F886&lt;=0,input!DT57,input!EK57)</f>
        <v>322245578.76253772</v>
      </c>
      <c r="J403" s="796">
        <f>IF(Stress!F886&lt;=0,input!DL57,input!EC57)</f>
        <v>885577977.09948206</v>
      </c>
      <c r="K403" s="839">
        <f>IF(Stress!F886&lt;=0,(input!BI57/10^6-G336/G403-H336/H403-I336/I403)*J403,-(input!BJ57/10^6+G336/G403+H336/H403+I336/I403)*J403)</f>
        <v>313940.24956508382</v>
      </c>
      <c r="L403" s="839">
        <f t="shared" si="13"/>
        <v>46954.488296866701</v>
      </c>
      <c r="M403" s="839">
        <f t="shared" si="14"/>
        <v>50124.5807968667</v>
      </c>
      <c r="N403" s="841">
        <f t="shared" si="15"/>
        <v>-0.2511040379167957</v>
      </c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143"/>
      <c r="AB403" s="143"/>
      <c r="AD403" s="143"/>
      <c r="AE403" s="143"/>
      <c r="AF403" s="143"/>
      <c r="AG403" s="143"/>
      <c r="AH403" s="143"/>
      <c r="AI403" s="143"/>
      <c r="AJ403" s="143"/>
      <c r="AK403" s="143"/>
      <c r="AL403" s="143"/>
      <c r="AM403" s="143"/>
      <c r="AN403" s="143"/>
      <c r="AO403" s="143"/>
      <c r="AP403" s="143"/>
      <c r="AQ403" s="143"/>
    </row>
    <row r="404" spans="1:43" ht="15" customHeight="1">
      <c r="A404" s="838" t="str">
        <f>+input!B58</f>
        <v>128j</v>
      </c>
      <c r="B404" s="796">
        <f>IF(Stress!F887&lt;=0,input!CO58,input!CN58)</f>
        <v>97688095.893257305</v>
      </c>
      <c r="C404" s="796">
        <f>IF(Stress!F887&lt;=0,input!CO58,input!DD58)</f>
        <v>97688095.893257305</v>
      </c>
      <c r="D404" s="796">
        <f>IF(Stress!F887&lt;=0,input!DU58,input!EJ58)</f>
        <v>124365864.04665887</v>
      </c>
      <c r="E404" s="796">
        <f>IF(Stress!F887&lt;=0,input!DM58,input!EB58)</f>
        <v>134159589.53411455</v>
      </c>
      <c r="F404" s="796">
        <f>IF(Stress!F887&lt;=0,(input!BJ58/10^6-G337/B404-H337/C404-I337/D404)*E404,-(input!BI58/10^6+G337/B404+H337/C404+I337/D404)*E404)</f>
        <v>45011.8273812017</v>
      </c>
      <c r="G404" s="796">
        <f>IF(Stress!F887&lt;=0,input!CN58,input!CO58)</f>
        <v>93366829.417468861</v>
      </c>
      <c r="H404" s="796">
        <f>IF(Stress!F887&lt;=0,input!CN58,input!DE58)</f>
        <v>93366829.417468861</v>
      </c>
      <c r="I404" s="796">
        <f>IF(Stress!F887&lt;=0,input!DT58,input!EK58)</f>
        <v>322245578.76253772</v>
      </c>
      <c r="J404" s="796">
        <f>IF(Stress!F887&lt;=0,input!DL58,input!EC58)</f>
        <v>885577977.09948206</v>
      </c>
      <c r="K404" s="839">
        <f>IF(Stress!F887&lt;=0,(input!BI58/10^6-G337/G404-H337/H404-I337/I404)*J404,-(input!BJ58/10^6+G337/G404+H337/H404+I337/I404)*J404)</f>
        <v>301940.31040341983</v>
      </c>
      <c r="L404" s="839">
        <f t="shared" si="13"/>
        <v>45011.8273812017</v>
      </c>
      <c r="M404" s="839">
        <f t="shared" si="14"/>
        <v>49661.104881201696</v>
      </c>
      <c r="N404" s="841">
        <f t="shared" si="15"/>
        <v>-0.25802868918063299</v>
      </c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143"/>
      <c r="AB404" s="143"/>
      <c r="AD404" s="143"/>
      <c r="AE404" s="143"/>
      <c r="AF404" s="143"/>
      <c r="AG404" s="143"/>
      <c r="AH404" s="143"/>
      <c r="AI404" s="143"/>
      <c r="AJ404" s="143"/>
      <c r="AK404" s="143"/>
      <c r="AL404" s="143"/>
      <c r="AM404" s="143"/>
      <c r="AN404" s="143"/>
      <c r="AO404" s="143"/>
      <c r="AP404" s="143"/>
      <c r="AQ404" s="143"/>
    </row>
    <row r="405" spans="1:43" ht="15" customHeight="1">
      <c r="A405" s="838" t="str">
        <f>+input!B59</f>
        <v>129i</v>
      </c>
      <c r="B405" s="796">
        <f>IF(Stress!F888&lt;=0,input!CO59,input!CN59)</f>
        <v>97688095.893257305</v>
      </c>
      <c r="C405" s="796">
        <f>IF(Stress!F888&lt;=0,input!CO59,input!DD59)</f>
        <v>97688095.893257305</v>
      </c>
      <c r="D405" s="796">
        <f>IF(Stress!F888&lt;=0,input!DU59,input!EJ59)</f>
        <v>124365864.04665887</v>
      </c>
      <c r="E405" s="796">
        <f>IF(Stress!F888&lt;=0,input!DM59,input!EB59)</f>
        <v>134159589.53411455</v>
      </c>
      <c r="F405" s="796">
        <f>IF(Stress!F888&lt;=0,(input!BJ59/10^6-G338/B405-H338/C405-I338/D405)*E405,-(input!BI59/10^6+G338/B405+H338/C405+I338/D405)*E405)</f>
        <v>45011.810214372374</v>
      </c>
      <c r="G405" s="796">
        <f>IF(Stress!F888&lt;=0,input!CN59,input!CO59)</f>
        <v>93366829.417468861</v>
      </c>
      <c r="H405" s="796">
        <f>IF(Stress!F888&lt;=0,input!CN59,input!DE59)</f>
        <v>93366829.417468861</v>
      </c>
      <c r="I405" s="796">
        <f>IF(Stress!F888&lt;=0,input!DT59,input!EK59)</f>
        <v>322245578.76253772</v>
      </c>
      <c r="J405" s="796">
        <f>IF(Stress!F888&lt;=0,input!DL59,input!EC59)</f>
        <v>885577977.09948206</v>
      </c>
      <c r="K405" s="839">
        <f>IF(Stress!F888&lt;=0,(input!BI59/10^6-G338/G405-H338/H405-I338/I405)*J405,-(input!BJ59/10^6+G338/G405+H338/H405+I338/I405)*J405)</f>
        <v>301940.19184177672</v>
      </c>
      <c r="L405" s="839">
        <f t="shared" si="13"/>
        <v>45011.810214372374</v>
      </c>
      <c r="M405" s="839">
        <f t="shared" si="14"/>
        <v>49661.100214372374</v>
      </c>
      <c r="N405" s="841">
        <f t="shared" si="15"/>
        <v>-0.25802875890629612</v>
      </c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143"/>
      <c r="AB405" s="143"/>
      <c r="AD405" s="143"/>
      <c r="AE405" s="143"/>
      <c r="AF405" s="143"/>
      <c r="AG405" s="143"/>
      <c r="AH405" s="143"/>
      <c r="AI405" s="143"/>
      <c r="AJ405" s="143"/>
      <c r="AK405" s="143"/>
      <c r="AL405" s="143"/>
      <c r="AM405" s="143"/>
      <c r="AN405" s="143"/>
      <c r="AO405" s="143"/>
      <c r="AP405" s="143"/>
      <c r="AQ405" s="143"/>
    </row>
    <row r="406" spans="1:43" ht="15" customHeight="1">
      <c r="A406" s="838" t="str">
        <f>+input!B60</f>
        <v>129j</v>
      </c>
      <c r="B406" s="796">
        <f>IF(Stress!F889&lt;=0,input!CO60,input!CN60)</f>
        <v>97688095.893257305</v>
      </c>
      <c r="C406" s="796">
        <f>IF(Stress!F889&lt;=0,input!CO60,input!DD60)</f>
        <v>97688095.893257305</v>
      </c>
      <c r="D406" s="796">
        <f>IF(Stress!F889&lt;=0,input!DU60,input!EJ60)</f>
        <v>124365864.04665887</v>
      </c>
      <c r="E406" s="796">
        <f>IF(Stress!F889&lt;=0,input!DM60,input!EB60)</f>
        <v>134159589.53411455</v>
      </c>
      <c r="F406" s="796">
        <f>IF(Stress!F889&lt;=0,(input!BJ60/10^6-G339/B406-H339/C406-I339/D406)*E406,-(input!BI60/10^6+G339/B406+H339/C406+I339/D406)*E406)</f>
        <v>48036.175183677682</v>
      </c>
      <c r="G406" s="796">
        <f>IF(Stress!F889&lt;=0,input!CN60,input!CO60)</f>
        <v>93366829.417468861</v>
      </c>
      <c r="H406" s="796">
        <f>IF(Stress!F889&lt;=0,input!CN60,input!DE60)</f>
        <v>93366829.417468861</v>
      </c>
      <c r="I406" s="796">
        <f>IF(Stress!F889&lt;=0,input!DT60,input!EK60)</f>
        <v>322245578.76253772</v>
      </c>
      <c r="J406" s="796">
        <f>IF(Stress!F889&lt;=0,input!DL60,input!EC60)</f>
        <v>885577977.09948206</v>
      </c>
      <c r="K406" s="839">
        <f>IF(Stress!F889&lt;=0,(input!BI60/10^6-G339/G406-H339/H406-I339/I406)*J406,-(input!BJ60/10^6+G339/G406+H339/H406+I339/I406)*J406)</f>
        <v>319184.30547784583</v>
      </c>
      <c r="L406" s="839">
        <f t="shared" si="13"/>
        <v>48036.175183677682</v>
      </c>
      <c r="M406" s="839">
        <f t="shared" si="14"/>
        <v>50317.065183677681</v>
      </c>
      <c r="N406" s="841">
        <f t="shared" si="15"/>
        <v>-0.2482281878297698</v>
      </c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143"/>
      <c r="AB406" s="143"/>
      <c r="AD406" s="143"/>
      <c r="AE406" s="143"/>
      <c r="AF406" s="143"/>
      <c r="AG406" s="143"/>
      <c r="AH406" s="143"/>
      <c r="AI406" s="143"/>
      <c r="AJ406" s="143"/>
      <c r="AK406" s="143"/>
      <c r="AL406" s="143"/>
      <c r="AM406" s="143"/>
      <c r="AN406" s="143"/>
      <c r="AO406" s="143"/>
      <c r="AP406" s="143"/>
      <c r="AQ406" s="143"/>
    </row>
    <row r="407" spans="1:43" ht="15" customHeight="1">
      <c r="A407" s="838" t="str">
        <f>+input!B61</f>
        <v>130i</v>
      </c>
      <c r="B407" s="796">
        <f>IF(Stress!F890&lt;=0,input!CO61,input!CN61)</f>
        <v>88583555.468092635</v>
      </c>
      <c r="C407" s="796">
        <f>IF(Stress!F890&lt;=0,input!CO61,input!DD61)</f>
        <v>88583555.468092635</v>
      </c>
      <c r="D407" s="796">
        <f>IF(Stress!F890&lt;=0,input!DU61,input!EJ61)</f>
        <v>112623720.49022205</v>
      </c>
      <c r="E407" s="796">
        <f>IF(Stress!F890&lt;=0,input!DM61,input!EB61)</f>
        <v>121239034.15901999</v>
      </c>
      <c r="F407" s="796">
        <f>IF(Stress!F890&lt;=0,(input!BJ61/10^6-G340/B407-H340/C407-I340/D407)*E407,-(input!BI61/10^6+G340/B407+H340/C407+I340/D407)*E407)</f>
        <v>43135.51543634705</v>
      </c>
      <c r="G407" s="796">
        <f>IF(Stress!F890&lt;=0,input!CN61,input!CO61)</f>
        <v>84522352.757101402</v>
      </c>
      <c r="H407" s="796">
        <f>IF(Stress!F890&lt;=0,input!CN61,input!DE61)</f>
        <v>84522352.757101402</v>
      </c>
      <c r="I407" s="796">
        <f>IF(Stress!F890&lt;=0,input!DT61,input!EK61)</f>
        <v>300416977.63860393</v>
      </c>
      <c r="J407" s="796">
        <f>IF(Stress!F890&lt;=0,input!DL61,input!EC61)</f>
        <v>845992348.55069911</v>
      </c>
      <c r="K407" s="839">
        <f>IF(Stress!F890&lt;=0,(input!BI61/10^6-G340/G407-H340/H407-I340/I407)*J407,-(input!BJ61/10^6+G340/G407+H340/H407+I340/I407)*J407)</f>
        <v>303237.21426111757</v>
      </c>
      <c r="L407" s="839">
        <f t="shared" si="13"/>
        <v>43135.51543634705</v>
      </c>
      <c r="M407" s="839">
        <f t="shared" si="14"/>
        <v>45416.417936347047</v>
      </c>
      <c r="N407" s="841">
        <f t="shared" si="15"/>
        <v>-0.24694764926403098</v>
      </c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143"/>
      <c r="AB407" s="143"/>
      <c r="AD407" s="143"/>
      <c r="AE407" s="143"/>
      <c r="AF407" s="143"/>
      <c r="AG407" s="143"/>
      <c r="AH407" s="143"/>
      <c r="AI407" s="143"/>
      <c r="AJ407" s="143"/>
      <c r="AK407" s="143"/>
      <c r="AL407" s="143"/>
      <c r="AM407" s="143"/>
      <c r="AN407" s="143"/>
      <c r="AO407" s="143"/>
      <c r="AP407" s="143"/>
      <c r="AQ407" s="143"/>
    </row>
    <row r="408" spans="1:43" ht="15" customHeight="1">
      <c r="A408" s="838" t="str">
        <f>+input!B62</f>
        <v>130j</v>
      </c>
      <c r="B408" s="796">
        <f>IF(Stress!F891&lt;=0,input!CO62,input!CN62)</f>
        <v>84522352.757101402</v>
      </c>
      <c r="C408" s="796">
        <f>IF(Stress!F891&lt;=0,input!CO62,input!DD62)</f>
        <v>84522352.757101402</v>
      </c>
      <c r="D408" s="796">
        <f>IF(Stress!F891&lt;=0,input!DU62,input!EJ62)</f>
        <v>95416677.97770752</v>
      </c>
      <c r="E408" s="796">
        <f>IF(Stress!F891&lt;=0,input!DM62,input!EB62)</f>
        <v>117477337.6892875</v>
      </c>
      <c r="F408" s="796">
        <f>IF(Stress!F891&lt;=0,(input!BJ62/10^6-G341/B408-H341/C408-I341/D408)*E408,-(input!BI62/10^6+G341/B408+H341/C408+I341/D408)*E408)</f>
        <v>-44618.828712182432</v>
      </c>
      <c r="G408" s="796">
        <f>IF(Stress!F891&lt;=0,input!CN62,input!CO62)</f>
        <v>88583555.468092635</v>
      </c>
      <c r="H408" s="796">
        <f>IF(Stress!F891&lt;=0,input!CN62,input!DE62)</f>
        <v>88583555.468092635</v>
      </c>
      <c r="I408" s="796">
        <f>IF(Stress!F891&lt;=0,input!DT62,input!EK62)</f>
        <v>91728562.636820614</v>
      </c>
      <c r="J408" s="796">
        <f>IF(Stress!F891&lt;=0,input!DL62,input!EC62)</f>
        <v>96736870.398520574</v>
      </c>
      <c r="K408" s="839">
        <f>IF(Stress!F891&lt;=0,(input!BI62/10^6-G341/G408-H341/H408-I341/I408)*J408,-(input!BJ62/10^6+G341/G408+H341/H408+I341/I408)*J408)</f>
        <v>-36742.001920749863</v>
      </c>
      <c r="L408" s="839">
        <f t="shared" si="13"/>
        <v>36742.001920749863</v>
      </c>
      <c r="M408" s="839">
        <f t="shared" si="14"/>
        <v>36758.604420749863</v>
      </c>
      <c r="N408" s="841">
        <f t="shared" si="15"/>
        <v>-0.17503853585411022</v>
      </c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143"/>
      <c r="AB408" s="143"/>
      <c r="AD408" s="143"/>
      <c r="AE408" s="143"/>
      <c r="AF408" s="143"/>
      <c r="AG408" s="143"/>
      <c r="AH408" s="143"/>
      <c r="AI408" s="143"/>
      <c r="AJ408" s="143"/>
      <c r="AK408" s="143"/>
      <c r="AL408" s="143"/>
      <c r="AM408" s="143"/>
      <c r="AN408" s="143"/>
      <c r="AO408" s="143"/>
      <c r="AP408" s="143"/>
      <c r="AQ408" s="143"/>
    </row>
    <row r="409" spans="1:43" ht="15" customHeight="1">
      <c r="A409" s="838" t="str">
        <f>+input!B63</f>
        <v>131i</v>
      </c>
      <c r="B409" s="796">
        <f>IF(Stress!F892&lt;=0,input!CO63,input!CN63)</f>
        <v>84522352.757101402</v>
      </c>
      <c r="C409" s="796">
        <f>IF(Stress!F892&lt;=0,input!CO63,input!DD63)</f>
        <v>84522352.757101402</v>
      </c>
      <c r="D409" s="796">
        <f>IF(Stress!F892&lt;=0,input!DU63,input!EJ63)</f>
        <v>95416677.97770752</v>
      </c>
      <c r="E409" s="796">
        <f>IF(Stress!F892&lt;=0,input!DM63,input!EB63)</f>
        <v>117477337.6892875</v>
      </c>
      <c r="F409" s="796">
        <f>IF(Stress!F892&lt;=0,(input!BJ63/10^6-G342/B409-H342/C409-I342/D409)*E409,-(input!BI63/10^6+G342/B409+H342/C409+I342/D409)*E409)</f>
        <v>-44618.72535925499</v>
      </c>
      <c r="G409" s="796">
        <f>IF(Stress!F892&lt;=0,input!CN63,input!CO63)</f>
        <v>88583555.468092635</v>
      </c>
      <c r="H409" s="796">
        <f>IF(Stress!F892&lt;=0,input!CN63,input!DE63)</f>
        <v>88583555.468092635</v>
      </c>
      <c r="I409" s="796">
        <f>IF(Stress!F892&lt;=0,input!DT63,input!EK63)</f>
        <v>91728562.636820614</v>
      </c>
      <c r="J409" s="796">
        <f>IF(Stress!F892&lt;=0,input!DL63,input!EC63)</f>
        <v>96736870.398520574</v>
      </c>
      <c r="K409" s="839">
        <f>IF(Stress!F892&lt;=0,(input!BI63/10^6-G342/G409-H342/H409-I342/I409)*J409,-(input!BJ63/10^6+G342/G409+H342/H409+I342/I409)*J409)</f>
        <v>-36741.918317223695</v>
      </c>
      <c r="L409" s="839">
        <f t="shared" si="13"/>
        <v>36741.918317223695</v>
      </c>
      <c r="M409" s="839">
        <f t="shared" si="14"/>
        <v>36758.598317223696</v>
      </c>
      <c r="N409" s="841">
        <f t="shared" si="15"/>
        <v>-0.17503867283357294</v>
      </c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143"/>
      <c r="AB409" s="143"/>
      <c r="AD409" s="143"/>
      <c r="AE409" s="143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</row>
    <row r="410" spans="1:43" ht="15" customHeight="1">
      <c r="A410" s="838" t="str">
        <f>+input!B64</f>
        <v>131j</v>
      </c>
      <c r="B410" s="796">
        <f>IF(Stress!F893&lt;=0,input!CO64,input!CN64)</f>
        <v>88583555.468092635</v>
      </c>
      <c r="C410" s="796">
        <f>IF(Stress!F893&lt;=0,input!CO64,input!DD64)</f>
        <v>88583555.468092635</v>
      </c>
      <c r="D410" s="796">
        <f>IF(Stress!F893&lt;=0,input!DU64,input!EJ64)</f>
        <v>112623720.49022205</v>
      </c>
      <c r="E410" s="796">
        <f>IF(Stress!F893&lt;=0,input!DM64,input!EB64)</f>
        <v>121239034.15901999</v>
      </c>
      <c r="F410" s="796">
        <f>IF(Stress!F893&lt;=0,(input!BJ64/10^6-G343/B410-H343/C410-I343/D410)*E410,-(input!BI64/10^6+G343/B410+H343/C410+I343/D410)*E410)</f>
        <v>46070.8329804276</v>
      </c>
      <c r="G410" s="796">
        <f>IF(Stress!F893&lt;=0,input!CN64,input!CO64)</f>
        <v>84522352.757101402</v>
      </c>
      <c r="H410" s="796">
        <f>IF(Stress!F893&lt;=0,input!CN64,input!DE64)</f>
        <v>84522352.757101402</v>
      </c>
      <c r="I410" s="796">
        <f>IF(Stress!F893&lt;=0,input!DT64,input!EK64)</f>
        <v>300416977.63860393</v>
      </c>
      <c r="J410" s="796">
        <f>IF(Stress!F893&lt;=0,input!DL64,input!EC64)</f>
        <v>845992348.55069911</v>
      </c>
      <c r="K410" s="839">
        <f>IF(Stress!F893&lt;=0,(input!BI64/10^6-G343/G410-H343/H410-I343/I410)*J410,-(input!BJ64/10^6+G343/G410+H343/H410+I343/I410)*J410)</f>
        <v>321477.09244926571</v>
      </c>
      <c r="L410" s="839">
        <f t="shared" si="13"/>
        <v>46070.8329804276</v>
      </c>
      <c r="M410" s="839">
        <f t="shared" si="14"/>
        <v>46070.8329804276</v>
      </c>
      <c r="N410" s="841">
        <f t="shared" si="15"/>
        <v>-0.2360967541539733</v>
      </c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143"/>
      <c r="AB410" s="143"/>
      <c r="AD410" s="143"/>
      <c r="AE410" s="143"/>
      <c r="AF410" s="143"/>
      <c r="AG410" s="143"/>
      <c r="AH410" s="143"/>
      <c r="AI410" s="143"/>
      <c r="AJ410" s="143"/>
      <c r="AK410" s="143"/>
      <c r="AL410" s="143"/>
      <c r="AM410" s="143"/>
      <c r="AN410" s="143"/>
      <c r="AO410" s="143"/>
      <c r="AP410" s="143"/>
      <c r="AQ410" s="143"/>
    </row>
    <row r="411" spans="1:43" ht="15" customHeight="1">
      <c r="A411" s="207"/>
      <c r="G411" s="4"/>
      <c r="H411" s="4"/>
      <c r="I411" s="4"/>
      <c r="L411" s="302"/>
      <c r="O411" s="52"/>
      <c r="Z411" s="302"/>
      <c r="AB411" s="302"/>
    </row>
    <row r="412" spans="1:43" ht="15" customHeight="1">
      <c r="G412" s="4"/>
      <c r="H412" s="4"/>
      <c r="I412" s="4"/>
      <c r="L412" s="302"/>
      <c r="O412" s="52"/>
      <c r="Z412" s="302"/>
      <c r="AB412" s="302"/>
    </row>
    <row r="413" spans="1:43" ht="15" customHeight="1">
      <c r="A413" s="207" t="s">
        <v>828</v>
      </c>
      <c r="G413" s="4"/>
      <c r="H413" s="4"/>
      <c r="I413" s="4"/>
      <c r="L413" s="278"/>
      <c r="N413" s="137" t="s">
        <v>633</v>
      </c>
      <c r="Z413" s="278"/>
      <c r="AB413" s="207"/>
    </row>
    <row r="414" spans="1:43" ht="15" customHeight="1">
      <c r="A414" s="207"/>
      <c r="B414" s="143" t="s">
        <v>628</v>
      </c>
      <c r="C414" s="143" t="s">
        <v>629</v>
      </c>
      <c r="G414" s="4"/>
      <c r="H414" s="4"/>
      <c r="I414" s="4"/>
      <c r="L414" s="278"/>
      <c r="O414" s="52"/>
      <c r="Z414" s="278"/>
      <c r="AB414" s="278"/>
    </row>
    <row r="415" spans="1:43" ht="15" customHeight="1">
      <c r="A415" s="207"/>
      <c r="E415" s="147" t="s">
        <v>630</v>
      </c>
      <c r="G415" s="4"/>
      <c r="H415" s="4"/>
      <c r="I415" s="4"/>
      <c r="L415" s="282"/>
      <c r="O415" s="52"/>
      <c r="Z415" s="282"/>
      <c r="AB415" s="282"/>
    </row>
    <row r="416" spans="1:43" ht="15" customHeight="1">
      <c r="A416" s="207"/>
      <c r="B416" s="143" t="s">
        <v>631</v>
      </c>
      <c r="C416" s="143" t="s">
        <v>632</v>
      </c>
      <c r="E416" s="147"/>
      <c r="G416" s="4"/>
      <c r="H416" s="4"/>
      <c r="I416" s="4"/>
      <c r="L416" s="282"/>
      <c r="O416" s="52"/>
      <c r="Z416" s="282"/>
      <c r="AB416" s="282"/>
    </row>
    <row r="417" spans="1:43" ht="15" customHeight="1">
      <c r="A417" s="80"/>
      <c r="D417" s="75"/>
      <c r="E417" s="147" t="s">
        <v>627</v>
      </c>
      <c r="H417" s="120"/>
      <c r="I417" s="121"/>
      <c r="J417" s="120"/>
      <c r="K417" s="122"/>
      <c r="L417" s="121"/>
      <c r="M417" s="119"/>
      <c r="N417" s="55"/>
      <c r="O417" s="52"/>
      <c r="R417" s="120"/>
      <c r="Z417" s="278"/>
      <c r="AB417" s="278"/>
    </row>
    <row r="418" spans="1:43" ht="15" customHeight="1">
      <c r="C418" s="147"/>
      <c r="E418" s="120"/>
      <c r="G418" s="4"/>
      <c r="H418" s="4"/>
      <c r="I418" s="4"/>
      <c r="L418" s="278"/>
      <c r="O418" s="52"/>
      <c r="Z418" s="278"/>
      <c r="AB418" s="278"/>
    </row>
    <row r="419" spans="1:43" ht="15" customHeight="1">
      <c r="B419" s="143" t="s">
        <v>323</v>
      </c>
      <c r="C419" s="147"/>
      <c r="E419" s="120"/>
      <c r="G419" s="4"/>
      <c r="H419" s="4"/>
      <c r="I419" s="4"/>
      <c r="L419" s="278"/>
      <c r="O419" s="52"/>
      <c r="Z419" s="278"/>
      <c r="AB419" s="278"/>
    </row>
    <row r="420" spans="1:43" ht="15" customHeight="1">
      <c r="C420" s="170" t="s">
        <v>1240</v>
      </c>
      <c r="D420" s="138" t="s">
        <v>324</v>
      </c>
      <c r="E420" s="170" t="s">
        <v>1242</v>
      </c>
      <c r="G420" s="4"/>
      <c r="H420" s="4"/>
      <c r="I420" s="4"/>
      <c r="L420" s="278"/>
      <c r="O420" s="52"/>
      <c r="Z420" s="278"/>
      <c r="AB420" s="278"/>
    </row>
    <row r="421" spans="1:43" ht="15" customHeight="1">
      <c r="C421" s="170" t="s">
        <v>475</v>
      </c>
      <c r="D421" s="138" t="s">
        <v>324</v>
      </c>
      <c r="E421" s="170" t="s">
        <v>718</v>
      </c>
      <c r="G421" s="4"/>
      <c r="H421" s="4"/>
      <c r="I421" s="4"/>
      <c r="L421" s="278"/>
      <c r="O421" s="52"/>
      <c r="Z421" s="278"/>
      <c r="AB421" s="278"/>
    </row>
    <row r="422" spans="1:43" ht="15" customHeight="1">
      <c r="C422" s="170"/>
      <c r="D422" s="138"/>
      <c r="E422" s="170"/>
      <c r="G422" s="4"/>
      <c r="H422" s="4"/>
      <c r="I422" s="4"/>
      <c r="L422" s="300"/>
      <c r="O422" s="52"/>
      <c r="Z422" s="300"/>
      <c r="AB422" s="300"/>
    </row>
    <row r="423" spans="1:43" ht="15" customHeight="1">
      <c r="C423" s="170"/>
      <c r="D423" s="138"/>
      <c r="E423" s="170"/>
      <c r="G423" s="4"/>
      <c r="H423" s="4"/>
      <c r="I423" s="4"/>
      <c r="L423" s="300"/>
      <c r="O423" s="52"/>
      <c r="Z423" s="300"/>
      <c r="AB423" s="300"/>
    </row>
    <row r="424" spans="1:43" ht="15" customHeight="1">
      <c r="C424" s="170"/>
      <c r="D424" s="138"/>
      <c r="E424" s="170"/>
      <c r="G424" s="4"/>
      <c r="H424" s="4"/>
      <c r="I424" s="4"/>
      <c r="L424" s="300"/>
      <c r="O424" s="52"/>
      <c r="Z424" s="300"/>
      <c r="AB424" s="300"/>
    </row>
    <row r="425" spans="1:43" ht="15" customHeight="1">
      <c r="C425" s="170"/>
      <c r="D425" s="138"/>
      <c r="E425" s="170"/>
      <c r="G425" s="4"/>
      <c r="H425" s="4"/>
      <c r="I425" s="4"/>
      <c r="L425" s="300"/>
      <c r="O425" s="52"/>
      <c r="Z425" s="300"/>
      <c r="AB425" s="300"/>
    </row>
    <row r="426" spans="1:43" ht="15" customHeight="1">
      <c r="C426" s="170"/>
      <c r="D426" s="138"/>
      <c r="E426" s="170"/>
      <c r="G426" s="4"/>
      <c r="H426" s="4"/>
      <c r="I426" s="4"/>
      <c r="L426" s="300"/>
      <c r="O426" s="52"/>
      <c r="Z426" s="300"/>
      <c r="AB426" s="300"/>
    </row>
    <row r="427" spans="1:43" ht="15" customHeight="1">
      <c r="C427" s="170"/>
      <c r="D427" s="138"/>
      <c r="E427" s="170"/>
      <c r="G427" s="4"/>
      <c r="H427" s="4"/>
      <c r="I427" s="4"/>
      <c r="L427" s="300"/>
      <c r="O427" s="52"/>
      <c r="Z427" s="300"/>
      <c r="AB427" s="300"/>
    </row>
    <row r="428" spans="1:43" ht="15" customHeight="1">
      <c r="C428" s="170"/>
      <c r="D428" s="138"/>
      <c r="E428" s="170"/>
      <c r="G428" s="4"/>
      <c r="H428" s="4"/>
      <c r="I428" s="4"/>
      <c r="L428" s="300"/>
      <c r="O428" s="52"/>
      <c r="Z428" s="300"/>
      <c r="AB428" s="300"/>
    </row>
    <row r="429" spans="1:43" ht="15" customHeight="1">
      <c r="C429" s="170"/>
      <c r="D429" s="138"/>
      <c r="E429" s="170"/>
      <c r="G429" s="4"/>
      <c r="H429" s="4"/>
      <c r="I429" s="4"/>
      <c r="L429" s="300"/>
      <c r="O429" s="52"/>
      <c r="Z429" s="300"/>
      <c r="AB429" s="300"/>
    </row>
    <row r="430" spans="1:43" ht="15" customHeight="1">
      <c r="C430" s="170"/>
      <c r="D430" s="138"/>
      <c r="E430" s="170"/>
      <c r="G430" s="4"/>
      <c r="H430" s="4"/>
      <c r="I430" s="4"/>
      <c r="L430" s="300"/>
      <c r="O430" s="52"/>
      <c r="Z430" s="300"/>
      <c r="AB430" s="300"/>
    </row>
    <row r="431" spans="1:43" ht="15" customHeight="1" thickBot="1">
      <c r="A431" s="469" t="s">
        <v>1633</v>
      </c>
      <c r="C431" s="147"/>
      <c r="E431" s="120"/>
      <c r="G431" s="4"/>
      <c r="H431" s="4"/>
      <c r="I431" s="4"/>
      <c r="L431" s="278"/>
      <c r="O431" s="52"/>
      <c r="Z431" s="278"/>
      <c r="AB431" s="278"/>
    </row>
    <row r="432" spans="1:43" ht="15" customHeight="1">
      <c r="A432" s="535" t="s">
        <v>16</v>
      </c>
      <c r="B432" s="536" t="s">
        <v>693</v>
      </c>
      <c r="C432" s="1918" t="s">
        <v>625</v>
      </c>
      <c r="D432" s="1911"/>
      <c r="E432" s="1919"/>
      <c r="F432" s="1918" t="s">
        <v>624</v>
      </c>
      <c r="G432" s="1911"/>
      <c r="H432" s="1911"/>
      <c r="I432" s="1911"/>
      <c r="J432" s="1911"/>
      <c r="K432" s="1919"/>
      <c r="L432" s="536" t="s">
        <v>612</v>
      </c>
      <c r="M432" s="478" t="s">
        <v>432</v>
      </c>
      <c r="O432" s="257"/>
      <c r="Q432" s="73"/>
      <c r="R432" s="559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E432" s="143"/>
      <c r="AF432" s="143"/>
      <c r="AG432" s="143"/>
      <c r="AH432" s="143"/>
      <c r="AI432" s="143"/>
      <c r="AJ432" s="143"/>
      <c r="AK432" s="143"/>
      <c r="AL432" s="143"/>
      <c r="AM432" s="143"/>
      <c r="AN432" s="143"/>
      <c r="AO432" s="143"/>
      <c r="AP432" s="143"/>
      <c r="AQ432" s="143"/>
    </row>
    <row r="433" spans="1:43" ht="15" customHeight="1">
      <c r="A433" s="537"/>
      <c r="B433" s="262" t="s">
        <v>829</v>
      </c>
      <c r="C433" s="262" t="s">
        <v>622</v>
      </c>
      <c r="D433" s="262" t="s">
        <v>626</v>
      </c>
      <c r="E433" s="262" t="s">
        <v>476</v>
      </c>
      <c r="F433" s="262" t="s">
        <v>699</v>
      </c>
      <c r="G433" s="262" t="s">
        <v>1607</v>
      </c>
      <c r="H433" s="262" t="s">
        <v>1634</v>
      </c>
      <c r="I433" s="262" t="s">
        <v>1635</v>
      </c>
      <c r="J433" s="262" t="s">
        <v>358</v>
      </c>
      <c r="K433" s="262" t="s">
        <v>623</v>
      </c>
      <c r="L433" s="262"/>
      <c r="M433" s="481"/>
      <c r="O433" s="257"/>
      <c r="Q433" s="73"/>
      <c r="R433" s="559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E433" s="143"/>
      <c r="AF433" s="143"/>
      <c r="AG433" s="143"/>
      <c r="AH433" s="143"/>
      <c r="AI433" s="143"/>
      <c r="AJ433" s="143"/>
      <c r="AK433" s="143"/>
      <c r="AL433" s="143"/>
      <c r="AM433" s="143"/>
      <c r="AN433" s="143"/>
      <c r="AO433" s="143"/>
      <c r="AP433" s="143"/>
      <c r="AQ433" s="143"/>
    </row>
    <row r="434" spans="1:43" ht="15" customHeight="1">
      <c r="A434" s="593" t="str">
        <f>+input!B3</f>
        <v>101i</v>
      </c>
      <c r="B434" s="848" t="str">
        <f>Stress!C832</f>
        <v>Negative</v>
      </c>
      <c r="C434" s="1044">
        <f t="shared" ref="C434:C465" si="16">L200</f>
        <v>8</v>
      </c>
      <c r="D434" s="596">
        <f t="shared" ref="D434:D465" si="17">M200</f>
        <v>1136.8576841769991</v>
      </c>
      <c r="E434" s="596">
        <f>IF(OR(C434=1,C434="a"),input!R3+input!P3+D434,IF(OR(C434=8,C434="b",C434="c",C434="d"),input!M3-D434,IF(C434=2,input!R3+input!P3-input!H3+D434,IF(C434=9,input!H3-D434+input!M3,D434))))</f>
        <v>1463.1423158230009</v>
      </c>
      <c r="F434" s="596">
        <f>input!H3</f>
        <v>22</v>
      </c>
      <c r="G434" s="596">
        <f>input!K3</f>
        <v>12</v>
      </c>
      <c r="H434" s="596">
        <f>input!M3</f>
        <v>2600</v>
      </c>
      <c r="I434" s="596">
        <f>input!R3</f>
        <v>0</v>
      </c>
      <c r="J434" s="596">
        <f>input!P3</f>
        <v>290</v>
      </c>
      <c r="K434" s="596">
        <f>IF(B434="Positive",G434+H434+I434+J434,F434+H434)</f>
        <v>2622</v>
      </c>
      <c r="L434" s="594">
        <f t="shared" ref="L434:L465" si="18">0.42*K434</f>
        <v>1101.24</v>
      </c>
      <c r="M434" s="609" t="str">
        <f>IF(AND(Stress!F832&gt;=0,input!O3=0),"-",IF(E434&lt;=0.42*K434,"OK","NG"))</f>
        <v>-</v>
      </c>
      <c r="O434" s="257"/>
      <c r="Q434" s="73"/>
      <c r="R434" s="559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E434" s="143"/>
      <c r="AF434" s="143"/>
      <c r="AG434" s="143"/>
      <c r="AH434" s="143"/>
      <c r="AI434" s="143"/>
      <c r="AJ434" s="143"/>
      <c r="AK434" s="143"/>
      <c r="AL434" s="143"/>
      <c r="AM434" s="143"/>
      <c r="AN434" s="143"/>
      <c r="AO434" s="143"/>
      <c r="AP434" s="143"/>
      <c r="AQ434" s="143"/>
    </row>
    <row r="435" spans="1:43" ht="15" customHeight="1">
      <c r="A435" s="593" t="str">
        <f>+input!B4</f>
        <v>101j</v>
      </c>
      <c r="B435" s="848" t="str">
        <f>Stress!C833</f>
        <v>Negative</v>
      </c>
      <c r="C435" s="1044">
        <f t="shared" si="16"/>
        <v>8</v>
      </c>
      <c r="D435" s="596">
        <f t="shared" si="17"/>
        <v>1136.8576841769991</v>
      </c>
      <c r="E435" s="596">
        <f>IF(OR(C435=1,C435="a"),input!R4+input!P4+D435,IF(OR(C435=8,C435="b",C435="c",C435="d"),input!M4-D435,IF(C435=2,input!R4+input!P4-input!H4+D435,IF(C435=9,input!H4-D435+input!M4,D435))))</f>
        <v>1463.1423158230009</v>
      </c>
      <c r="F435" s="596">
        <f>input!H4</f>
        <v>22</v>
      </c>
      <c r="G435" s="596">
        <f>input!K4</f>
        <v>12</v>
      </c>
      <c r="H435" s="596">
        <f>input!M4</f>
        <v>2600</v>
      </c>
      <c r="I435" s="596">
        <f>input!R4</f>
        <v>0</v>
      </c>
      <c r="J435" s="596">
        <f>input!P4</f>
        <v>290</v>
      </c>
      <c r="K435" s="596">
        <f t="shared" ref="K435:K465" si="19">IF(B435="Positive",G435+H435+I435+J435,F435+H435)</f>
        <v>2622</v>
      </c>
      <c r="L435" s="594">
        <f t="shared" si="18"/>
        <v>1101.24</v>
      </c>
      <c r="M435" s="609" t="str">
        <f>IF(AND(Stress!F833&gt;=0,input!O4=0),"-",IF(E435&lt;=0.42*K435,"OK","NG"))</f>
        <v>-</v>
      </c>
      <c r="O435" s="257"/>
      <c r="Q435" s="73"/>
      <c r="R435" s="559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E435" s="143"/>
      <c r="AF435" s="143"/>
      <c r="AG435" s="143"/>
      <c r="AH435" s="143"/>
      <c r="AI435" s="143"/>
      <c r="AJ435" s="143"/>
      <c r="AK435" s="143"/>
      <c r="AL435" s="143"/>
      <c r="AM435" s="143"/>
      <c r="AN435" s="143"/>
      <c r="AO435" s="143"/>
      <c r="AP435" s="143"/>
      <c r="AQ435" s="143"/>
    </row>
    <row r="436" spans="1:43" ht="15" customHeight="1">
      <c r="A436" s="593" t="str">
        <f>+input!B5</f>
        <v>102i</v>
      </c>
      <c r="B436" s="848" t="str">
        <f>Stress!C834</f>
        <v>Negative</v>
      </c>
      <c r="C436" s="1044">
        <f t="shared" si="16"/>
        <v>8</v>
      </c>
      <c r="D436" s="596">
        <f t="shared" si="17"/>
        <v>1136.8576841769991</v>
      </c>
      <c r="E436" s="596">
        <f>IF(OR(C436=1,C436="a"),input!R5+input!P5+D436,IF(OR(C436=8,C436="b",C436="c",C436="d"),input!M5-D436,IF(C436=2,input!R5+input!P5-input!H5+D436,IF(C436=9,input!H5-D436+input!M5,D436))))</f>
        <v>1463.1423158230009</v>
      </c>
      <c r="F436" s="596">
        <f>input!H5</f>
        <v>22</v>
      </c>
      <c r="G436" s="596">
        <f>input!K5</f>
        <v>12</v>
      </c>
      <c r="H436" s="596">
        <f>input!M5</f>
        <v>2600</v>
      </c>
      <c r="I436" s="596">
        <f>input!R5</f>
        <v>0</v>
      </c>
      <c r="J436" s="596">
        <f>input!P5</f>
        <v>290</v>
      </c>
      <c r="K436" s="596">
        <f t="shared" si="19"/>
        <v>2622</v>
      </c>
      <c r="L436" s="594">
        <f t="shared" si="18"/>
        <v>1101.24</v>
      </c>
      <c r="M436" s="609" t="str">
        <f>IF(AND(Stress!F834&gt;=0,input!O5=0),"-",IF(E436&lt;=0.42*K436,"OK","NG"))</f>
        <v>-</v>
      </c>
      <c r="O436" s="257"/>
      <c r="Q436" s="73"/>
      <c r="R436" s="559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E436" s="143"/>
      <c r="AF436" s="143"/>
      <c r="AG436" s="143"/>
      <c r="AH436" s="143"/>
      <c r="AI436" s="143"/>
      <c r="AJ436" s="143"/>
      <c r="AK436" s="143"/>
      <c r="AL436" s="143"/>
      <c r="AM436" s="143"/>
      <c r="AN436" s="143"/>
      <c r="AO436" s="143"/>
      <c r="AP436" s="143"/>
      <c r="AQ436" s="143"/>
    </row>
    <row r="437" spans="1:43" ht="15" customHeight="1">
      <c r="A437" s="593" t="str">
        <f>+input!B6</f>
        <v>102j</v>
      </c>
      <c r="B437" s="848" t="str">
        <f>Stress!C835</f>
        <v>Positive</v>
      </c>
      <c r="C437" s="1044">
        <f t="shared" si="16"/>
        <v>4</v>
      </c>
      <c r="D437" s="596">
        <f t="shared" si="17"/>
        <v>250</v>
      </c>
      <c r="E437" s="596">
        <f>IF(OR(C437=1,C437="a"),input!R6+input!P6+D437,IF(OR(C437=8,C437="b",C437="c",C437="d"),input!M6-D437,IF(C437=2,input!R6+input!P6-input!H6+D437,IF(C437=9,input!H6-D437+input!M6,D437))))</f>
        <v>250</v>
      </c>
      <c r="F437" s="596">
        <f>input!H6</f>
        <v>22</v>
      </c>
      <c r="G437" s="596">
        <f>input!K6</f>
        <v>12</v>
      </c>
      <c r="H437" s="596">
        <f>input!M6</f>
        <v>2600</v>
      </c>
      <c r="I437" s="596">
        <f>input!R6</f>
        <v>0</v>
      </c>
      <c r="J437" s="596">
        <f>input!P6</f>
        <v>290</v>
      </c>
      <c r="K437" s="596">
        <f t="shared" si="19"/>
        <v>2902</v>
      </c>
      <c r="L437" s="594">
        <f t="shared" si="18"/>
        <v>1218.8399999999999</v>
      </c>
      <c r="M437" s="609" t="str">
        <f>IF(AND(Stress!F835&gt;=0,input!O6=0),"-",IF(E437&lt;=0.42*K437,"OK","NG"))</f>
        <v>OK</v>
      </c>
      <c r="O437" s="257"/>
      <c r="Q437" s="73"/>
      <c r="R437" s="559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E437" s="143"/>
      <c r="AF437" s="143"/>
      <c r="AG437" s="143"/>
      <c r="AH437" s="143"/>
      <c r="AI437" s="143"/>
      <c r="AJ437" s="143"/>
      <c r="AK437" s="143"/>
      <c r="AL437" s="143"/>
      <c r="AM437" s="143"/>
      <c r="AN437" s="143"/>
      <c r="AO437" s="143"/>
      <c r="AP437" s="143"/>
      <c r="AQ437" s="143"/>
    </row>
    <row r="438" spans="1:43" ht="15" customHeight="1">
      <c r="A438" s="593" t="str">
        <f>+input!B7</f>
        <v>103i</v>
      </c>
      <c r="B438" s="848" t="str">
        <f>Stress!C836</f>
        <v>Positive</v>
      </c>
      <c r="C438" s="1044">
        <f t="shared" si="16"/>
        <v>3</v>
      </c>
      <c r="D438" s="596">
        <f t="shared" si="17"/>
        <v>277.60594899196968</v>
      </c>
      <c r="E438" s="596">
        <f>IF(OR(C438=1,C438="a"),input!R7+input!P7+D438,IF(OR(C438=8,C438="b",C438="c",C438="d"),input!M7-D438,IF(C438=2,input!R7+input!P7-input!H7+D438,IF(C438=9,input!H7-D438+input!M7,D438))))</f>
        <v>277.60594899196968</v>
      </c>
      <c r="F438" s="596">
        <f>input!H7</f>
        <v>30</v>
      </c>
      <c r="G438" s="596">
        <f>input!K7</f>
        <v>18</v>
      </c>
      <c r="H438" s="596">
        <f>input!M7</f>
        <v>2800</v>
      </c>
      <c r="I438" s="596">
        <f>input!R7</f>
        <v>0</v>
      </c>
      <c r="J438" s="596">
        <f>input!P7</f>
        <v>290</v>
      </c>
      <c r="K438" s="596">
        <f t="shared" si="19"/>
        <v>3108</v>
      </c>
      <c r="L438" s="594">
        <f t="shared" si="18"/>
        <v>1305.3599999999999</v>
      </c>
      <c r="M438" s="609" t="str">
        <f>IF(AND(Stress!F836&gt;=0,input!O7=0),"-",IF(E438&lt;=0.42*K438,"OK","NG"))</f>
        <v>OK</v>
      </c>
      <c r="O438" s="257"/>
      <c r="Q438" s="73"/>
      <c r="R438" s="559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E438" s="143"/>
      <c r="AF438" s="143"/>
      <c r="AG438" s="143"/>
      <c r="AH438" s="143"/>
      <c r="AI438" s="143"/>
      <c r="AJ438" s="143"/>
      <c r="AK438" s="143"/>
      <c r="AL438" s="143"/>
      <c r="AM438" s="143"/>
      <c r="AN438" s="143"/>
      <c r="AO438" s="143"/>
      <c r="AP438" s="143"/>
      <c r="AQ438" s="143"/>
    </row>
    <row r="439" spans="1:43" ht="15" customHeight="1">
      <c r="A439" s="593" t="str">
        <f>+input!B8</f>
        <v>103j</v>
      </c>
      <c r="B439" s="848" t="str">
        <f>Stress!C837</f>
        <v>Positive</v>
      </c>
      <c r="C439" s="1044">
        <f t="shared" si="16"/>
        <v>3</v>
      </c>
      <c r="D439" s="596">
        <f t="shared" si="17"/>
        <v>277.60594899196968</v>
      </c>
      <c r="E439" s="596">
        <f>IF(OR(C439=1,C439="a"),input!R8+input!P8+D439,IF(OR(C439=8,C439="b",C439="c",C439="d"),input!M8-D439,IF(C439=2,input!R8+input!P8-input!H8+D439,IF(C439=9,input!H8-D439+input!M8,D439))))</f>
        <v>277.60594899196968</v>
      </c>
      <c r="F439" s="596">
        <f>input!H8</f>
        <v>30</v>
      </c>
      <c r="G439" s="596">
        <f>input!K8</f>
        <v>18</v>
      </c>
      <c r="H439" s="596">
        <f>input!M8</f>
        <v>2800</v>
      </c>
      <c r="I439" s="596">
        <f>input!R8</f>
        <v>0</v>
      </c>
      <c r="J439" s="596">
        <f>input!P8</f>
        <v>290</v>
      </c>
      <c r="K439" s="596">
        <f t="shared" si="19"/>
        <v>3108</v>
      </c>
      <c r="L439" s="594">
        <f t="shared" si="18"/>
        <v>1305.3599999999999</v>
      </c>
      <c r="M439" s="609" t="str">
        <f>IF(AND(Stress!F837&gt;=0,input!O8=0),"-",IF(E439&lt;=0.42*K439,"OK","NG"))</f>
        <v>OK</v>
      </c>
      <c r="O439" s="257"/>
      <c r="Q439" s="73"/>
      <c r="R439" s="559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E439" s="143"/>
      <c r="AF439" s="143"/>
      <c r="AG439" s="143"/>
      <c r="AH439" s="143"/>
      <c r="AI439" s="143"/>
      <c r="AJ439" s="143"/>
      <c r="AK439" s="143"/>
      <c r="AL439" s="143"/>
      <c r="AM439" s="143"/>
      <c r="AN439" s="143"/>
      <c r="AO439" s="143"/>
      <c r="AP439" s="143"/>
      <c r="AQ439" s="143"/>
    </row>
    <row r="440" spans="1:43" ht="15" customHeight="1">
      <c r="A440" s="593" t="str">
        <f>+input!B9</f>
        <v>104i</v>
      </c>
      <c r="B440" s="848" t="str">
        <f>Stress!C838</f>
        <v>Positive</v>
      </c>
      <c r="C440" s="1044">
        <f t="shared" si="16"/>
        <v>3</v>
      </c>
      <c r="D440" s="596">
        <f t="shared" si="17"/>
        <v>277.60594899196968</v>
      </c>
      <c r="E440" s="596">
        <f>IF(OR(C440=1,C440="a"),input!R9+input!P9+D440,IF(OR(C440=8,C440="b",C440="c",C440="d"),input!M9-D440,IF(C440=2,input!R9+input!P9-input!H9+D440,IF(C440=9,input!H9-D440+input!M9,D440))))</f>
        <v>277.60594899196968</v>
      </c>
      <c r="F440" s="596">
        <f>input!H9</f>
        <v>30</v>
      </c>
      <c r="G440" s="596">
        <f>input!K9</f>
        <v>18</v>
      </c>
      <c r="H440" s="596">
        <f>input!M9</f>
        <v>2800</v>
      </c>
      <c r="I440" s="596">
        <f>input!R9</f>
        <v>0</v>
      </c>
      <c r="J440" s="596">
        <f>input!P9</f>
        <v>290</v>
      </c>
      <c r="K440" s="596">
        <f t="shared" si="19"/>
        <v>3108</v>
      </c>
      <c r="L440" s="594">
        <f t="shared" si="18"/>
        <v>1305.3599999999999</v>
      </c>
      <c r="M440" s="609" t="str">
        <f>IF(AND(Stress!F838&gt;=0,input!O9=0),"-",IF(E440&lt;=0.42*K440,"OK","NG"))</f>
        <v>OK</v>
      </c>
      <c r="O440" s="257"/>
      <c r="Q440" s="73"/>
      <c r="R440" s="559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E440" s="143"/>
      <c r="AF440" s="143"/>
      <c r="AG440" s="143"/>
      <c r="AH440" s="143"/>
      <c r="AI440" s="143"/>
      <c r="AJ440" s="143"/>
      <c r="AK440" s="143"/>
      <c r="AL440" s="143"/>
      <c r="AM440" s="143"/>
      <c r="AN440" s="143"/>
      <c r="AO440" s="143"/>
      <c r="AP440" s="143"/>
      <c r="AQ440" s="143"/>
    </row>
    <row r="441" spans="1:43" ht="15" customHeight="1">
      <c r="A441" s="593" t="str">
        <f>+input!B10</f>
        <v>104j</v>
      </c>
      <c r="B441" s="848" t="str">
        <f>Stress!C839</f>
        <v>Positive</v>
      </c>
      <c r="C441" s="1044">
        <f t="shared" si="16"/>
        <v>3</v>
      </c>
      <c r="D441" s="596">
        <f t="shared" si="17"/>
        <v>277.60594899196968</v>
      </c>
      <c r="E441" s="596">
        <f>IF(OR(C441=1,C441="a"),input!R10+input!P10+D441,IF(OR(C441=8,C441="b",C441="c",C441="d"),input!M10-D441,IF(C441=2,input!R10+input!P10-input!H10+D441,IF(C441=9,input!H10-D441+input!M10,D441))))</f>
        <v>277.60594899196968</v>
      </c>
      <c r="F441" s="596">
        <f>input!H10</f>
        <v>30</v>
      </c>
      <c r="G441" s="596">
        <f>input!K10</f>
        <v>18</v>
      </c>
      <c r="H441" s="596">
        <f>input!M10</f>
        <v>2800</v>
      </c>
      <c r="I441" s="596">
        <f>input!R10</f>
        <v>0</v>
      </c>
      <c r="J441" s="596">
        <f>input!P10</f>
        <v>290</v>
      </c>
      <c r="K441" s="596">
        <f t="shared" si="19"/>
        <v>3108</v>
      </c>
      <c r="L441" s="594">
        <f t="shared" si="18"/>
        <v>1305.3599999999999</v>
      </c>
      <c r="M441" s="609" t="str">
        <f>IF(AND(Stress!F839&gt;=0,input!O10=0),"-",IF(E441&lt;=0.42*K441,"OK","NG"))</f>
        <v>OK</v>
      </c>
      <c r="O441" s="257"/>
      <c r="Q441" s="73"/>
      <c r="R441" s="559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E441" s="143"/>
      <c r="AF441" s="143"/>
      <c r="AG441" s="143"/>
      <c r="AH441" s="143"/>
      <c r="AI441" s="143"/>
      <c r="AJ441" s="143"/>
      <c r="AK441" s="143"/>
      <c r="AL441" s="143"/>
      <c r="AM441" s="143"/>
      <c r="AN441" s="143"/>
      <c r="AO441" s="143"/>
      <c r="AP441" s="143"/>
      <c r="AQ441" s="143"/>
    </row>
    <row r="442" spans="1:43" ht="15" customHeight="1">
      <c r="A442" s="593" t="str">
        <f>+input!B11</f>
        <v>105i</v>
      </c>
      <c r="B442" s="848" t="str">
        <f>Stress!C840</f>
        <v>Positive</v>
      </c>
      <c r="C442" s="1044">
        <f t="shared" si="16"/>
        <v>2</v>
      </c>
      <c r="D442" s="596">
        <f t="shared" si="17"/>
        <v>16.851609741856628</v>
      </c>
      <c r="E442" s="596">
        <f>IF(OR(C442=1,C442="a"),input!R11+input!P11+D442,IF(OR(C442=8,C442="b",C442="c",C442="d"),input!M11-D442,IF(C442=2,input!R11+input!P11-input!H11+D442,IF(C442=9,input!H11-D442+input!M11,D442))))</f>
        <v>268.85160974185663</v>
      </c>
      <c r="F442" s="596">
        <f>input!H11</f>
        <v>38</v>
      </c>
      <c r="G442" s="596">
        <f>input!K11</f>
        <v>34</v>
      </c>
      <c r="H442" s="596">
        <f>input!M11</f>
        <v>2800</v>
      </c>
      <c r="I442" s="596">
        <f>input!R11</f>
        <v>0</v>
      </c>
      <c r="J442" s="596">
        <f>input!P11</f>
        <v>290</v>
      </c>
      <c r="K442" s="596">
        <f t="shared" si="19"/>
        <v>3124</v>
      </c>
      <c r="L442" s="594">
        <f t="shared" si="18"/>
        <v>1312.08</v>
      </c>
      <c r="M442" s="609" t="str">
        <f>IF(AND(Stress!F840&gt;=0,input!O11=0),"-",IF(E442&lt;=0.42*K442,"OK","NG"))</f>
        <v>OK</v>
      </c>
      <c r="O442" s="257"/>
      <c r="Q442" s="73"/>
      <c r="R442" s="559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E442" s="143"/>
      <c r="AF442" s="143"/>
      <c r="AG442" s="143"/>
      <c r="AH442" s="143"/>
      <c r="AI442" s="143"/>
      <c r="AJ442" s="143"/>
      <c r="AK442" s="143"/>
      <c r="AL442" s="143"/>
      <c r="AM442" s="143"/>
      <c r="AN442" s="143"/>
      <c r="AO442" s="143"/>
      <c r="AP442" s="143"/>
      <c r="AQ442" s="143"/>
    </row>
    <row r="443" spans="1:43" ht="15" customHeight="1">
      <c r="A443" s="593" t="str">
        <f>+input!B12</f>
        <v>105j</v>
      </c>
      <c r="B443" s="848" t="str">
        <f>Stress!C841</f>
        <v>Positive</v>
      </c>
      <c r="C443" s="1044">
        <f t="shared" si="16"/>
        <v>2</v>
      </c>
      <c r="D443" s="596">
        <f t="shared" si="17"/>
        <v>16.851609741856628</v>
      </c>
      <c r="E443" s="596">
        <f>IF(OR(C443=1,C443="a"),input!R12+input!P12+D443,IF(OR(C443=8,C443="b",C443="c",C443="d"),input!M12-D443,IF(C443=2,input!R12+input!P12-input!H12+D443,IF(C443=9,input!H12-D443+input!M12,D443))))</f>
        <v>268.85160974185663</v>
      </c>
      <c r="F443" s="596">
        <f>input!H12</f>
        <v>38</v>
      </c>
      <c r="G443" s="596">
        <f>input!K12</f>
        <v>34</v>
      </c>
      <c r="H443" s="596">
        <f>input!M12</f>
        <v>2800</v>
      </c>
      <c r="I443" s="596">
        <f>input!R12</f>
        <v>0</v>
      </c>
      <c r="J443" s="596">
        <f>input!P12</f>
        <v>290</v>
      </c>
      <c r="K443" s="596">
        <f t="shared" si="19"/>
        <v>3124</v>
      </c>
      <c r="L443" s="594">
        <f t="shared" si="18"/>
        <v>1312.08</v>
      </c>
      <c r="M443" s="609" t="str">
        <f>IF(AND(Stress!F841&gt;=0,input!O12=0),"-",IF(E443&lt;=0.42*K443,"OK","NG"))</f>
        <v>OK</v>
      </c>
      <c r="O443" s="257"/>
      <c r="Q443" s="73"/>
      <c r="R443" s="559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E443" s="143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</row>
    <row r="444" spans="1:43" ht="15" customHeight="1">
      <c r="A444" s="593" t="str">
        <f>+input!B13</f>
        <v>106i</v>
      </c>
      <c r="B444" s="848" t="str">
        <f>Stress!C842</f>
        <v>Positive</v>
      </c>
      <c r="C444" s="1044">
        <f t="shared" si="16"/>
        <v>2</v>
      </c>
      <c r="D444" s="596">
        <f t="shared" si="17"/>
        <v>16.851609741856628</v>
      </c>
      <c r="E444" s="596">
        <f>IF(OR(C444=1,C444="a"),input!R13+input!P13+D444,IF(OR(C444=8,C444="b",C444="c",C444="d"),input!M13-D444,IF(C444=2,input!R13+input!P13-input!H13+D444,IF(C444=9,input!H13-D444+input!M13,D444))))</f>
        <v>268.85160974185663</v>
      </c>
      <c r="F444" s="596">
        <f>input!H13</f>
        <v>38</v>
      </c>
      <c r="G444" s="596">
        <f>input!K13</f>
        <v>34</v>
      </c>
      <c r="H444" s="596">
        <f>input!M13</f>
        <v>2800</v>
      </c>
      <c r="I444" s="596">
        <f>input!R13</f>
        <v>0</v>
      </c>
      <c r="J444" s="596">
        <f>input!P13</f>
        <v>290</v>
      </c>
      <c r="K444" s="596">
        <f t="shared" si="19"/>
        <v>3124</v>
      </c>
      <c r="L444" s="594">
        <f t="shared" si="18"/>
        <v>1312.08</v>
      </c>
      <c r="M444" s="609" t="str">
        <f>IF(AND(Stress!F842&gt;=0,input!O13=0),"-",IF(E444&lt;=0.42*K444,"OK","NG"))</f>
        <v>OK</v>
      </c>
      <c r="O444" s="257"/>
      <c r="Q444" s="73"/>
      <c r="R444" s="559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E444" s="143"/>
      <c r="AF444" s="143"/>
      <c r="AG444" s="143"/>
      <c r="AH444" s="143"/>
      <c r="AI444" s="143"/>
      <c r="AJ444" s="143"/>
      <c r="AK444" s="143"/>
      <c r="AL444" s="143"/>
      <c r="AM444" s="143"/>
      <c r="AN444" s="143"/>
      <c r="AO444" s="143"/>
      <c r="AP444" s="143"/>
      <c r="AQ444" s="143"/>
    </row>
    <row r="445" spans="1:43" ht="15" customHeight="1">
      <c r="A445" s="593" t="str">
        <f>+input!B14</f>
        <v>106j</v>
      </c>
      <c r="B445" s="848" t="str">
        <f>Stress!C843</f>
        <v>Positive</v>
      </c>
      <c r="C445" s="1044">
        <f t="shared" si="16"/>
        <v>2</v>
      </c>
      <c r="D445" s="596">
        <f t="shared" si="17"/>
        <v>16.851609741856628</v>
      </c>
      <c r="E445" s="596">
        <f>IF(OR(C445=1,C445="a"),input!R14+input!P14+D445,IF(OR(C445=8,C445="b",C445="c",C445="d"),input!M14-D445,IF(C445=2,input!R14+input!P14-input!H14+D445,IF(C445=9,input!H14-D445+input!M14,D445))))</f>
        <v>268.85160974185663</v>
      </c>
      <c r="F445" s="596">
        <f>input!H14</f>
        <v>38</v>
      </c>
      <c r="G445" s="596">
        <f>input!K14</f>
        <v>34</v>
      </c>
      <c r="H445" s="596">
        <f>input!M14</f>
        <v>2800</v>
      </c>
      <c r="I445" s="596">
        <f>input!R14</f>
        <v>0</v>
      </c>
      <c r="J445" s="596">
        <f>input!P14</f>
        <v>290</v>
      </c>
      <c r="K445" s="596">
        <f t="shared" si="19"/>
        <v>3124</v>
      </c>
      <c r="L445" s="594">
        <f t="shared" si="18"/>
        <v>1312.08</v>
      </c>
      <c r="M445" s="609" t="str">
        <f>IF(AND(Stress!F843&gt;=0,input!O14=0),"-",IF(E445&lt;=0.42*K445,"OK","NG"))</f>
        <v>OK</v>
      </c>
      <c r="O445" s="257"/>
      <c r="Q445" s="73"/>
      <c r="R445" s="559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E445" s="143"/>
      <c r="AF445" s="143"/>
      <c r="AG445" s="143"/>
      <c r="AH445" s="143"/>
      <c r="AI445" s="143"/>
      <c r="AJ445" s="143"/>
      <c r="AK445" s="143"/>
      <c r="AL445" s="143"/>
      <c r="AM445" s="143"/>
      <c r="AN445" s="143"/>
      <c r="AO445" s="143"/>
      <c r="AP445" s="143"/>
      <c r="AQ445" s="143"/>
    </row>
    <row r="446" spans="1:43" ht="15" customHeight="1">
      <c r="A446" s="593" t="str">
        <f>+input!B15</f>
        <v>107i</v>
      </c>
      <c r="B446" s="848" t="str">
        <f>Stress!C844</f>
        <v>Positive</v>
      </c>
      <c r="C446" s="1044">
        <f t="shared" si="16"/>
        <v>2</v>
      </c>
      <c r="D446" s="596">
        <f t="shared" si="17"/>
        <v>23.059674784880531</v>
      </c>
      <c r="E446" s="596">
        <f>IF(OR(C446=1,C446="a"),input!R15+input!P15+D446,IF(OR(C446=8,C446="b",C446="c",C446="d"),input!M15-D446,IF(C446=2,input!R15+input!P15-input!H15+D446,IF(C446=9,input!H15-D446+input!M15,D446))))</f>
        <v>273.05967478488054</v>
      </c>
      <c r="F446" s="596">
        <f>input!H15</f>
        <v>40</v>
      </c>
      <c r="G446" s="596">
        <f>input!K15</f>
        <v>40</v>
      </c>
      <c r="H446" s="596">
        <f>input!M15</f>
        <v>2800</v>
      </c>
      <c r="I446" s="596">
        <f>input!R15</f>
        <v>0</v>
      </c>
      <c r="J446" s="596">
        <f>input!P15</f>
        <v>290</v>
      </c>
      <c r="K446" s="596">
        <f t="shared" si="19"/>
        <v>3130</v>
      </c>
      <c r="L446" s="594">
        <f t="shared" si="18"/>
        <v>1314.6</v>
      </c>
      <c r="M446" s="609" t="str">
        <f>IF(AND(Stress!F844&gt;=0,input!O15=0),"-",IF(E446&lt;=0.42*K446,"OK","NG"))</f>
        <v>OK</v>
      </c>
      <c r="O446" s="257"/>
      <c r="Q446" s="73"/>
      <c r="R446" s="559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E446" s="143"/>
      <c r="AF446" s="143"/>
      <c r="AG446" s="143"/>
      <c r="AH446" s="143"/>
      <c r="AI446" s="143"/>
      <c r="AJ446" s="143"/>
      <c r="AK446" s="143"/>
      <c r="AL446" s="143"/>
      <c r="AM446" s="143"/>
      <c r="AN446" s="143"/>
      <c r="AO446" s="143"/>
      <c r="AP446" s="143"/>
      <c r="AQ446" s="143"/>
    </row>
    <row r="447" spans="1:43" ht="15" customHeight="1">
      <c r="A447" s="593" t="str">
        <f>+input!B16</f>
        <v>107j</v>
      </c>
      <c r="B447" s="848" t="str">
        <f>Stress!C845</f>
        <v>Positive</v>
      </c>
      <c r="C447" s="1044">
        <f t="shared" si="16"/>
        <v>2</v>
      </c>
      <c r="D447" s="596">
        <f t="shared" si="17"/>
        <v>23.059674784880531</v>
      </c>
      <c r="E447" s="596">
        <f>IF(OR(C447=1,C447="a"),input!R16+input!P16+D447,IF(OR(C447=8,C447="b",C447="c",C447="d"),input!M16-D447,IF(C447=2,input!R16+input!P16-input!H16+D447,IF(C447=9,input!H16-D447+input!M16,D447))))</f>
        <v>273.05967478488054</v>
      </c>
      <c r="F447" s="596">
        <f>input!H16</f>
        <v>40</v>
      </c>
      <c r="G447" s="596">
        <f>input!K16</f>
        <v>40</v>
      </c>
      <c r="H447" s="596">
        <f>input!M16</f>
        <v>2800</v>
      </c>
      <c r="I447" s="596">
        <f>input!R16</f>
        <v>0</v>
      </c>
      <c r="J447" s="596">
        <f>input!P16</f>
        <v>290</v>
      </c>
      <c r="K447" s="596">
        <f t="shared" si="19"/>
        <v>3130</v>
      </c>
      <c r="L447" s="594">
        <f t="shared" si="18"/>
        <v>1314.6</v>
      </c>
      <c r="M447" s="609" t="str">
        <f>IF(AND(Stress!F845&gt;=0,input!O16=0),"-",IF(E447&lt;=0.42*K447,"OK","NG"))</f>
        <v>OK</v>
      </c>
      <c r="O447" s="257"/>
      <c r="Q447" s="73"/>
      <c r="R447" s="559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E447" s="143"/>
      <c r="AF447" s="143"/>
      <c r="AG447" s="143"/>
      <c r="AH447" s="143"/>
      <c r="AI447" s="143"/>
      <c r="AJ447" s="143"/>
      <c r="AK447" s="143"/>
      <c r="AL447" s="143"/>
      <c r="AM447" s="143"/>
      <c r="AN447" s="143"/>
      <c r="AO447" s="143"/>
      <c r="AP447" s="143"/>
      <c r="AQ447" s="143"/>
    </row>
    <row r="448" spans="1:43" ht="15" customHeight="1">
      <c r="A448" s="593" t="str">
        <f>+input!B17</f>
        <v>108i</v>
      </c>
      <c r="B448" s="848" t="str">
        <f>Stress!C846</f>
        <v>Positive</v>
      </c>
      <c r="C448" s="1044">
        <f t="shared" si="16"/>
        <v>2</v>
      </c>
      <c r="D448" s="596">
        <f t="shared" si="17"/>
        <v>23.059674784880531</v>
      </c>
      <c r="E448" s="596">
        <f>IF(OR(C448=1,C448="a"),input!R17+input!P17+D448,IF(OR(C448=8,C448="b",C448="c",C448="d"),input!M17-D448,IF(C448=2,input!R17+input!P17-input!H17+D448,IF(C448=9,input!H17-D448+input!M17,D448))))</f>
        <v>273.05967478488054</v>
      </c>
      <c r="F448" s="596">
        <f>input!H17</f>
        <v>40</v>
      </c>
      <c r="G448" s="596">
        <f>input!K17</f>
        <v>40</v>
      </c>
      <c r="H448" s="596">
        <f>input!M17</f>
        <v>2800</v>
      </c>
      <c r="I448" s="596">
        <f>input!R17</f>
        <v>0</v>
      </c>
      <c r="J448" s="596">
        <f>input!P17</f>
        <v>290</v>
      </c>
      <c r="K448" s="596">
        <f t="shared" si="19"/>
        <v>3130</v>
      </c>
      <c r="L448" s="594">
        <f t="shared" si="18"/>
        <v>1314.6</v>
      </c>
      <c r="M448" s="609" t="str">
        <f>IF(AND(Stress!F846&gt;=0,input!O17=0),"-",IF(E448&lt;=0.42*K448,"OK","NG"))</f>
        <v>OK</v>
      </c>
      <c r="O448" s="257"/>
      <c r="Q448" s="73"/>
      <c r="R448" s="559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E448" s="143"/>
      <c r="AF448" s="143"/>
      <c r="AG448" s="143"/>
      <c r="AH448" s="143"/>
      <c r="AI448" s="143"/>
      <c r="AJ448" s="143"/>
      <c r="AK448" s="143"/>
      <c r="AL448" s="143"/>
      <c r="AM448" s="143"/>
      <c r="AN448" s="143"/>
      <c r="AO448" s="143"/>
      <c r="AP448" s="143"/>
      <c r="AQ448" s="143"/>
    </row>
    <row r="449" spans="1:43" ht="15" customHeight="1">
      <c r="A449" s="593" t="str">
        <f>+input!B18</f>
        <v>108j</v>
      </c>
      <c r="B449" s="848" t="str">
        <f>Stress!C847</f>
        <v>Positive</v>
      </c>
      <c r="C449" s="1044">
        <f t="shared" si="16"/>
        <v>2</v>
      </c>
      <c r="D449" s="596">
        <f t="shared" si="17"/>
        <v>23.059674784880531</v>
      </c>
      <c r="E449" s="596">
        <f>IF(OR(C449=1,C449="a"),input!R18+input!P18+D449,IF(OR(C449=8,C449="b",C449="c",C449="d"),input!M18-D449,IF(C449=2,input!R18+input!P18-input!H18+D449,IF(C449=9,input!H18-D449+input!M18,D449))))</f>
        <v>273.05967478488054</v>
      </c>
      <c r="F449" s="596">
        <f>input!H18</f>
        <v>40</v>
      </c>
      <c r="G449" s="596">
        <f>input!K18</f>
        <v>40</v>
      </c>
      <c r="H449" s="596">
        <f>input!M18</f>
        <v>2800</v>
      </c>
      <c r="I449" s="596">
        <f>input!R18</f>
        <v>0</v>
      </c>
      <c r="J449" s="596">
        <f>input!P18</f>
        <v>290</v>
      </c>
      <c r="K449" s="596">
        <f t="shared" si="19"/>
        <v>3130</v>
      </c>
      <c r="L449" s="594">
        <f t="shared" si="18"/>
        <v>1314.6</v>
      </c>
      <c r="M449" s="609" t="str">
        <f>IF(AND(Stress!F847&gt;=0,input!O18=0),"-",IF(E449&lt;=0.42*K449,"OK","NG"))</f>
        <v>OK</v>
      </c>
      <c r="O449" s="257"/>
      <c r="Q449" s="73"/>
      <c r="R449" s="559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E449" s="143"/>
      <c r="AF449" s="143"/>
      <c r="AG449" s="143"/>
      <c r="AH449" s="143"/>
      <c r="AI449" s="143"/>
      <c r="AJ449" s="143"/>
      <c r="AK449" s="143"/>
      <c r="AL449" s="143"/>
      <c r="AM449" s="143"/>
      <c r="AN449" s="143"/>
      <c r="AO449" s="143"/>
      <c r="AP449" s="143"/>
      <c r="AQ449" s="143"/>
    </row>
    <row r="450" spans="1:43" ht="15" customHeight="1">
      <c r="A450" s="593" t="str">
        <f>+input!B19</f>
        <v>109i</v>
      </c>
      <c r="B450" s="848" t="str">
        <f>Stress!C848</f>
        <v>Positive</v>
      </c>
      <c r="C450" s="1044">
        <f t="shared" si="16"/>
        <v>2</v>
      </c>
      <c r="D450" s="596">
        <f t="shared" si="17"/>
        <v>23.059674784880531</v>
      </c>
      <c r="E450" s="596">
        <f>IF(OR(C450=1,C450="a"),input!R19+input!P19+D450,IF(OR(C450=8,C450="b",C450="c",C450="d"),input!M19-D450,IF(C450=2,input!R19+input!P19-input!H19+D450,IF(C450=9,input!H19-D450+input!M19,D450))))</f>
        <v>273.05967478488054</v>
      </c>
      <c r="F450" s="596">
        <f>input!H19</f>
        <v>40</v>
      </c>
      <c r="G450" s="596">
        <f>input!K19</f>
        <v>40</v>
      </c>
      <c r="H450" s="596">
        <f>input!M19</f>
        <v>2800</v>
      </c>
      <c r="I450" s="596">
        <f>input!R19</f>
        <v>0</v>
      </c>
      <c r="J450" s="596">
        <f>input!P19</f>
        <v>290</v>
      </c>
      <c r="K450" s="596">
        <f t="shared" si="19"/>
        <v>3130</v>
      </c>
      <c r="L450" s="594">
        <f t="shared" si="18"/>
        <v>1314.6</v>
      </c>
      <c r="M450" s="609" t="str">
        <f>IF(AND(Stress!F848&gt;=0,input!O19=0),"-",IF(E450&lt;=0.42*K450,"OK","NG"))</f>
        <v>OK</v>
      </c>
      <c r="O450" s="257"/>
      <c r="Q450" s="73"/>
      <c r="R450" s="559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E450" s="143"/>
      <c r="AF450" s="143"/>
      <c r="AG450" s="143"/>
      <c r="AH450" s="143"/>
      <c r="AI450" s="143"/>
      <c r="AJ450" s="143"/>
      <c r="AK450" s="143"/>
      <c r="AL450" s="143"/>
      <c r="AM450" s="143"/>
      <c r="AN450" s="143"/>
      <c r="AO450" s="143"/>
      <c r="AP450" s="143"/>
      <c r="AQ450" s="143"/>
    </row>
    <row r="451" spans="1:43" ht="15" customHeight="1">
      <c r="A451" s="593" t="str">
        <f>+input!B20</f>
        <v>109j</v>
      </c>
      <c r="B451" s="848" t="str">
        <f>Stress!C849</f>
        <v>Positive</v>
      </c>
      <c r="C451" s="1044">
        <f t="shared" si="16"/>
        <v>2</v>
      </c>
      <c r="D451" s="596">
        <f t="shared" si="17"/>
        <v>23.059674784880531</v>
      </c>
      <c r="E451" s="596">
        <f>IF(OR(C451=1,C451="a"),input!R20+input!P20+D451,IF(OR(C451=8,C451="b",C451="c",C451="d"),input!M20-D451,IF(C451=2,input!R20+input!P20-input!H20+D451,IF(C451=9,input!H20-D451+input!M20,D451))))</f>
        <v>273.05967478488054</v>
      </c>
      <c r="F451" s="596">
        <f>input!H20</f>
        <v>40</v>
      </c>
      <c r="G451" s="596">
        <f>input!K20</f>
        <v>40</v>
      </c>
      <c r="H451" s="596">
        <f>input!M20</f>
        <v>2800</v>
      </c>
      <c r="I451" s="596">
        <f>input!R20</f>
        <v>0</v>
      </c>
      <c r="J451" s="596">
        <f>input!P20</f>
        <v>290</v>
      </c>
      <c r="K451" s="596">
        <f t="shared" si="19"/>
        <v>3130</v>
      </c>
      <c r="L451" s="594">
        <f t="shared" si="18"/>
        <v>1314.6</v>
      </c>
      <c r="M451" s="609" t="str">
        <f>IF(AND(Stress!F849&gt;=0,input!O20=0),"-",IF(E451&lt;=0.42*K451,"OK","NG"))</f>
        <v>OK</v>
      </c>
      <c r="O451" s="257"/>
      <c r="Q451" s="73"/>
      <c r="R451" s="559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E451" s="143"/>
      <c r="AF451" s="143"/>
      <c r="AG451" s="143"/>
      <c r="AH451" s="143"/>
      <c r="AI451" s="143"/>
      <c r="AJ451" s="143"/>
      <c r="AK451" s="143"/>
      <c r="AL451" s="143"/>
      <c r="AM451" s="143"/>
      <c r="AN451" s="143"/>
      <c r="AO451" s="143"/>
      <c r="AP451" s="143"/>
      <c r="AQ451" s="143"/>
    </row>
    <row r="452" spans="1:43" ht="15" customHeight="1">
      <c r="A452" s="593" t="str">
        <f>+input!B21</f>
        <v>110i</v>
      </c>
      <c r="B452" s="848" t="str">
        <f>Stress!C850</f>
        <v>Positive</v>
      </c>
      <c r="C452" s="1044">
        <f t="shared" si="16"/>
        <v>2</v>
      </c>
      <c r="D452" s="596">
        <f t="shared" si="17"/>
        <v>23.059674784880531</v>
      </c>
      <c r="E452" s="596">
        <f>IF(OR(C452=1,C452="a"),input!R21+input!P21+D452,IF(OR(C452=8,C452="b",C452="c",C452="d"),input!M21-D452,IF(C452=2,input!R21+input!P21-input!H21+D452,IF(C452=9,input!H21-D452+input!M21,D452))))</f>
        <v>273.05967478488054</v>
      </c>
      <c r="F452" s="596">
        <f>input!H21</f>
        <v>40</v>
      </c>
      <c r="G452" s="596">
        <f>input!K21</f>
        <v>40</v>
      </c>
      <c r="H452" s="596">
        <f>input!M21</f>
        <v>2800</v>
      </c>
      <c r="I452" s="596">
        <f>input!R21</f>
        <v>0</v>
      </c>
      <c r="J452" s="596">
        <f>input!P21</f>
        <v>290</v>
      </c>
      <c r="K452" s="596">
        <f t="shared" si="19"/>
        <v>3130</v>
      </c>
      <c r="L452" s="594">
        <f t="shared" si="18"/>
        <v>1314.6</v>
      </c>
      <c r="M452" s="609" t="str">
        <f>IF(AND(Stress!F850&gt;=0,input!O21=0),"-",IF(E452&lt;=0.42*K452,"OK","NG"))</f>
        <v>OK</v>
      </c>
      <c r="O452" s="257"/>
      <c r="Q452" s="73"/>
      <c r="R452" s="559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E452" s="143"/>
      <c r="AF452" s="143"/>
      <c r="AG452" s="143"/>
      <c r="AH452" s="143"/>
      <c r="AI452" s="143"/>
      <c r="AJ452" s="143"/>
      <c r="AK452" s="143"/>
      <c r="AL452" s="143"/>
      <c r="AM452" s="143"/>
      <c r="AN452" s="143"/>
      <c r="AO452" s="143"/>
      <c r="AP452" s="143"/>
      <c r="AQ452" s="143"/>
    </row>
    <row r="453" spans="1:43" ht="15" customHeight="1">
      <c r="A453" s="593" t="str">
        <f>+input!B22</f>
        <v>110j</v>
      </c>
      <c r="B453" s="848" t="str">
        <f>Stress!C851</f>
        <v>Positive</v>
      </c>
      <c r="C453" s="1044">
        <f t="shared" si="16"/>
        <v>2</v>
      </c>
      <c r="D453" s="596">
        <f t="shared" si="17"/>
        <v>23.059674784880531</v>
      </c>
      <c r="E453" s="596">
        <f>IF(OR(C453=1,C453="a"),input!R22+input!P22+D453,IF(OR(C453=8,C453="b",C453="c",C453="d"),input!M22-D453,IF(C453=2,input!R22+input!P22-input!H22+D453,IF(C453=9,input!H22-D453+input!M22,D453))))</f>
        <v>273.05967478488054</v>
      </c>
      <c r="F453" s="596">
        <f>input!H22</f>
        <v>40</v>
      </c>
      <c r="G453" s="596">
        <f>input!K22</f>
        <v>40</v>
      </c>
      <c r="H453" s="596">
        <f>input!M22</f>
        <v>2800</v>
      </c>
      <c r="I453" s="596">
        <f>input!R22</f>
        <v>0</v>
      </c>
      <c r="J453" s="596">
        <f>input!P22</f>
        <v>290</v>
      </c>
      <c r="K453" s="596">
        <f t="shared" si="19"/>
        <v>3130</v>
      </c>
      <c r="L453" s="594">
        <f t="shared" si="18"/>
        <v>1314.6</v>
      </c>
      <c r="M453" s="609" t="str">
        <f>IF(AND(Stress!F851&gt;=0,input!O22=0),"-",IF(E453&lt;=0.42*K453,"OK","NG"))</f>
        <v>OK</v>
      </c>
      <c r="O453" s="257"/>
      <c r="Q453" s="73"/>
      <c r="R453" s="559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E453" s="143"/>
      <c r="AF453" s="143"/>
      <c r="AG453" s="143"/>
      <c r="AH453" s="143"/>
      <c r="AI453" s="143"/>
      <c r="AJ453" s="143"/>
      <c r="AK453" s="143"/>
      <c r="AL453" s="143"/>
      <c r="AM453" s="143"/>
      <c r="AN453" s="143"/>
      <c r="AO453" s="143"/>
      <c r="AP453" s="143"/>
      <c r="AQ453" s="143"/>
    </row>
    <row r="454" spans="1:43" ht="15" customHeight="1">
      <c r="A454" s="593" t="str">
        <f>+input!B23</f>
        <v>111i</v>
      </c>
      <c r="B454" s="848" t="str">
        <f>Stress!C852</f>
        <v>Positive</v>
      </c>
      <c r="C454" s="1044">
        <f t="shared" si="16"/>
        <v>2</v>
      </c>
      <c r="D454" s="596">
        <f t="shared" si="17"/>
        <v>23.059674784880531</v>
      </c>
      <c r="E454" s="596">
        <f>IF(OR(C454=1,C454="a"),input!R23+input!P23+D454,IF(OR(C454=8,C454="b",C454="c",C454="d"),input!M23-D454,IF(C454=2,input!R23+input!P23-input!H23+D454,IF(C454=9,input!H23-D454+input!M23,D454))))</f>
        <v>273.05967478488054</v>
      </c>
      <c r="F454" s="596">
        <f>input!H23</f>
        <v>40</v>
      </c>
      <c r="G454" s="596">
        <f>input!K23</f>
        <v>40</v>
      </c>
      <c r="H454" s="596">
        <f>input!M23</f>
        <v>2800</v>
      </c>
      <c r="I454" s="596">
        <f>input!R23</f>
        <v>0</v>
      </c>
      <c r="J454" s="596">
        <f>input!P23</f>
        <v>290</v>
      </c>
      <c r="K454" s="596">
        <f t="shared" si="19"/>
        <v>3130</v>
      </c>
      <c r="L454" s="594">
        <f t="shared" si="18"/>
        <v>1314.6</v>
      </c>
      <c r="M454" s="609" t="str">
        <f>IF(AND(Stress!F852&gt;=0,input!O23=0),"-",IF(E454&lt;=0.42*K454,"OK","NG"))</f>
        <v>OK</v>
      </c>
      <c r="O454" s="257"/>
      <c r="Q454" s="73"/>
      <c r="R454" s="559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E454" s="143"/>
      <c r="AF454" s="143"/>
      <c r="AG454" s="143"/>
      <c r="AH454" s="143"/>
      <c r="AI454" s="143"/>
      <c r="AJ454" s="143"/>
      <c r="AK454" s="143"/>
      <c r="AL454" s="143"/>
      <c r="AM454" s="143"/>
      <c r="AN454" s="143"/>
      <c r="AO454" s="143"/>
      <c r="AP454" s="143"/>
      <c r="AQ454" s="143"/>
    </row>
    <row r="455" spans="1:43" ht="15" customHeight="1">
      <c r="A455" s="593" t="str">
        <f>+input!B24</f>
        <v>111j</v>
      </c>
      <c r="B455" s="848" t="str">
        <f>Stress!C853</f>
        <v>Positive</v>
      </c>
      <c r="C455" s="1044">
        <f t="shared" si="16"/>
        <v>2</v>
      </c>
      <c r="D455" s="596">
        <f t="shared" si="17"/>
        <v>23.059674784880531</v>
      </c>
      <c r="E455" s="596">
        <f>IF(OR(C455=1,C455="a"),input!R24+input!P24+D455,IF(OR(C455=8,C455="b",C455="c",C455="d"),input!M24-D455,IF(C455=2,input!R24+input!P24-input!H24+D455,IF(C455=9,input!H24-D455+input!M24,D455))))</f>
        <v>273.05967478488054</v>
      </c>
      <c r="F455" s="596">
        <f>input!H24</f>
        <v>40</v>
      </c>
      <c r="G455" s="596">
        <f>input!K24</f>
        <v>40</v>
      </c>
      <c r="H455" s="596">
        <f>input!M24</f>
        <v>2800</v>
      </c>
      <c r="I455" s="596">
        <f>input!R24</f>
        <v>0</v>
      </c>
      <c r="J455" s="596">
        <f>input!P24</f>
        <v>290</v>
      </c>
      <c r="K455" s="596">
        <f t="shared" si="19"/>
        <v>3130</v>
      </c>
      <c r="L455" s="594">
        <f t="shared" si="18"/>
        <v>1314.6</v>
      </c>
      <c r="M455" s="609" t="str">
        <f>IF(AND(Stress!F853&gt;=0,input!O24=0),"-",IF(E455&lt;=0.42*K455,"OK","NG"))</f>
        <v>OK</v>
      </c>
      <c r="O455" s="257"/>
      <c r="Q455" s="73"/>
      <c r="R455" s="559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E455" s="143"/>
      <c r="AF455" s="143"/>
      <c r="AG455" s="143"/>
      <c r="AH455" s="143"/>
      <c r="AI455" s="143"/>
      <c r="AJ455" s="143"/>
      <c r="AK455" s="143"/>
      <c r="AL455" s="143"/>
      <c r="AM455" s="143"/>
      <c r="AN455" s="143"/>
      <c r="AO455" s="143"/>
      <c r="AP455" s="143"/>
      <c r="AQ455" s="143"/>
    </row>
    <row r="456" spans="1:43" ht="15" customHeight="1">
      <c r="A456" s="593" t="str">
        <f>+input!B25</f>
        <v>112i</v>
      </c>
      <c r="B456" s="848" t="str">
        <f>Stress!C854</f>
        <v>Positive</v>
      </c>
      <c r="C456" s="1044">
        <f t="shared" si="16"/>
        <v>2</v>
      </c>
      <c r="D456" s="596">
        <f t="shared" si="17"/>
        <v>13.911609741856637</v>
      </c>
      <c r="E456" s="596">
        <f>IF(OR(C456=1,C456="a"),input!R25+input!P25+D456,IF(OR(C456=8,C456="b",C456="c",C456="d"),input!M25-D456,IF(C456=2,input!R25+input!P25-input!H25+D456,IF(C456=9,input!H25-D456+input!M25,D456))))</f>
        <v>267.91160974185664</v>
      </c>
      <c r="F456" s="596">
        <f>input!H25</f>
        <v>36</v>
      </c>
      <c r="G456" s="596">
        <f>input!K25</f>
        <v>32</v>
      </c>
      <c r="H456" s="596">
        <f>input!M25</f>
        <v>2800</v>
      </c>
      <c r="I456" s="596">
        <f>input!R25</f>
        <v>0</v>
      </c>
      <c r="J456" s="596">
        <f>input!P25</f>
        <v>290</v>
      </c>
      <c r="K456" s="596">
        <f t="shared" si="19"/>
        <v>3122</v>
      </c>
      <c r="L456" s="594">
        <f t="shared" si="18"/>
        <v>1311.24</v>
      </c>
      <c r="M456" s="609" t="str">
        <f>IF(AND(Stress!F854&gt;=0,input!O25=0),"-",IF(E456&lt;=0.42*K456,"OK","NG"))</f>
        <v>OK</v>
      </c>
      <c r="O456" s="257"/>
      <c r="Q456" s="73"/>
      <c r="R456" s="559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E456" s="143"/>
      <c r="AF456" s="143"/>
      <c r="AG456" s="143"/>
      <c r="AH456" s="143"/>
      <c r="AI456" s="143"/>
      <c r="AJ456" s="143"/>
      <c r="AK456" s="143"/>
      <c r="AL456" s="143"/>
      <c r="AM456" s="143"/>
      <c r="AN456" s="143"/>
      <c r="AO456" s="143"/>
      <c r="AP456" s="143"/>
      <c r="AQ456" s="143"/>
    </row>
    <row r="457" spans="1:43" ht="15" customHeight="1">
      <c r="A457" s="593" t="str">
        <f>+input!B26</f>
        <v>112j</v>
      </c>
      <c r="B457" s="848" t="str">
        <f>Stress!C855</f>
        <v>Positive</v>
      </c>
      <c r="C457" s="1044">
        <f t="shared" si="16"/>
        <v>2</v>
      </c>
      <c r="D457" s="596">
        <f t="shared" si="17"/>
        <v>13.911609741856637</v>
      </c>
      <c r="E457" s="596">
        <f>IF(OR(C457=1,C457="a"),input!R26+input!P26+D457,IF(OR(C457=8,C457="b",C457="c",C457="d"),input!M26-D457,IF(C457=2,input!R26+input!P26-input!H26+D457,IF(C457=9,input!H26-D457+input!M26,D457))))</f>
        <v>267.91160974185664</v>
      </c>
      <c r="F457" s="596">
        <f>input!H26</f>
        <v>36</v>
      </c>
      <c r="G457" s="596">
        <f>input!K26</f>
        <v>32</v>
      </c>
      <c r="H457" s="596">
        <f>input!M26</f>
        <v>2800</v>
      </c>
      <c r="I457" s="596">
        <f>input!R26</f>
        <v>0</v>
      </c>
      <c r="J457" s="596">
        <f>input!P26</f>
        <v>290</v>
      </c>
      <c r="K457" s="596">
        <f t="shared" si="19"/>
        <v>3122</v>
      </c>
      <c r="L457" s="594">
        <f t="shared" si="18"/>
        <v>1311.24</v>
      </c>
      <c r="M457" s="609" t="str">
        <f>IF(AND(Stress!F855&gt;=0,input!O26=0),"-",IF(E457&lt;=0.42*K457,"OK","NG"))</f>
        <v>OK</v>
      </c>
      <c r="O457" s="257"/>
      <c r="Q457" s="73"/>
      <c r="R457" s="559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E457" s="143"/>
      <c r="AF457" s="143"/>
      <c r="AG457" s="143"/>
      <c r="AH457" s="143"/>
      <c r="AI457" s="143"/>
      <c r="AJ457" s="143"/>
      <c r="AK457" s="143"/>
      <c r="AL457" s="143"/>
      <c r="AM457" s="143"/>
      <c r="AN457" s="143"/>
      <c r="AO457" s="143"/>
      <c r="AP457" s="143"/>
      <c r="AQ457" s="143"/>
    </row>
    <row r="458" spans="1:43" ht="15" customHeight="1">
      <c r="A458" s="593" t="str">
        <f>+input!B27</f>
        <v>113i</v>
      </c>
      <c r="B458" s="848" t="str">
        <f>Stress!C856</f>
        <v>Positive</v>
      </c>
      <c r="C458" s="1044">
        <f t="shared" si="16"/>
        <v>2</v>
      </c>
      <c r="D458" s="596">
        <f t="shared" si="17"/>
        <v>10.911609741856637</v>
      </c>
      <c r="E458" s="596">
        <f>IF(OR(C458=1,C458="a"),input!R27+input!P27+D458,IF(OR(C458=8,C458="b",C458="c",C458="d"),input!M27-D458,IF(C458=2,input!R27+input!P27-input!H27+D458,IF(C458=9,input!H27-D458+input!M27,D458))))</f>
        <v>270.91160974185664</v>
      </c>
      <c r="F458" s="596">
        <f>input!H27</f>
        <v>30</v>
      </c>
      <c r="G458" s="596">
        <f>input!K27</f>
        <v>32</v>
      </c>
      <c r="H458" s="596">
        <f>input!M27</f>
        <v>2800</v>
      </c>
      <c r="I458" s="596">
        <f>input!R27</f>
        <v>0</v>
      </c>
      <c r="J458" s="596">
        <f>input!P27</f>
        <v>290</v>
      </c>
      <c r="K458" s="596">
        <f t="shared" si="19"/>
        <v>3122</v>
      </c>
      <c r="L458" s="594">
        <f t="shared" si="18"/>
        <v>1311.24</v>
      </c>
      <c r="M458" s="609" t="str">
        <f>IF(AND(Stress!F856&gt;=0,input!O27=0),"-",IF(E458&lt;=0.42*K458,"OK","NG"))</f>
        <v>OK</v>
      </c>
      <c r="O458" s="257"/>
      <c r="Q458" s="73"/>
      <c r="R458" s="559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E458" s="143"/>
      <c r="AF458" s="143"/>
      <c r="AG458" s="143"/>
      <c r="AH458" s="143"/>
      <c r="AI458" s="143"/>
      <c r="AJ458" s="143"/>
      <c r="AK458" s="143"/>
      <c r="AL458" s="143"/>
      <c r="AM458" s="143"/>
      <c r="AN458" s="143"/>
      <c r="AO458" s="143"/>
      <c r="AP458" s="143"/>
      <c r="AQ458" s="143"/>
    </row>
    <row r="459" spans="1:43" ht="15" customHeight="1">
      <c r="A459" s="593" t="str">
        <f>+input!B28</f>
        <v>113j</v>
      </c>
      <c r="B459" s="848" t="str">
        <f>Stress!C857</f>
        <v>Positive</v>
      </c>
      <c r="C459" s="1044">
        <f t="shared" si="16"/>
        <v>2</v>
      </c>
      <c r="D459" s="596">
        <f t="shared" si="17"/>
        <v>10.911609741856637</v>
      </c>
      <c r="E459" s="596">
        <f>IF(OR(C459=1,C459="a"),input!R28+input!P28+D459,IF(OR(C459=8,C459="b",C459="c",C459="d"),input!M28-D459,IF(C459=2,input!R28+input!P28-input!H28+D459,IF(C459=9,input!H28-D459+input!M28,D459))))</f>
        <v>270.91160974185664</v>
      </c>
      <c r="F459" s="596">
        <f>input!H28</f>
        <v>30</v>
      </c>
      <c r="G459" s="596">
        <f>input!K28</f>
        <v>32</v>
      </c>
      <c r="H459" s="596">
        <f>input!M28</f>
        <v>2800</v>
      </c>
      <c r="I459" s="596">
        <f>input!R28</f>
        <v>0</v>
      </c>
      <c r="J459" s="596">
        <f>input!P28</f>
        <v>290</v>
      </c>
      <c r="K459" s="596">
        <f t="shared" si="19"/>
        <v>3122</v>
      </c>
      <c r="L459" s="594">
        <f t="shared" si="18"/>
        <v>1311.24</v>
      </c>
      <c r="M459" s="609" t="str">
        <f>IF(AND(Stress!F857&gt;=0,input!O28=0),"-",IF(E459&lt;=0.42*K459,"OK","NG"))</f>
        <v>OK</v>
      </c>
      <c r="O459" s="257"/>
      <c r="Q459" s="73"/>
      <c r="R459" s="559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E459" s="143"/>
      <c r="AF459" s="143"/>
      <c r="AG459" s="143"/>
      <c r="AH459" s="143"/>
      <c r="AI459" s="143"/>
      <c r="AJ459" s="143"/>
      <c r="AK459" s="143"/>
      <c r="AL459" s="143"/>
      <c r="AM459" s="143"/>
      <c r="AN459" s="143"/>
      <c r="AO459" s="143"/>
      <c r="AP459" s="143"/>
      <c r="AQ459" s="143"/>
    </row>
    <row r="460" spans="1:43" ht="15" customHeight="1">
      <c r="A460" s="593" t="str">
        <f>+input!B29</f>
        <v>114i</v>
      </c>
      <c r="B460" s="848" t="str">
        <f>Stress!C858</f>
        <v>Positive</v>
      </c>
      <c r="C460" s="1044">
        <f t="shared" si="16"/>
        <v>2</v>
      </c>
      <c r="D460" s="596">
        <f t="shared" si="17"/>
        <v>10.911609741856637</v>
      </c>
      <c r="E460" s="596">
        <f>IF(OR(C460=1,C460="a"),input!R29+input!P29+D460,IF(OR(C460=8,C460="b",C460="c",C460="d"),input!M29-D460,IF(C460=2,input!R29+input!P29-input!H29+D460,IF(C460=9,input!H29-D460+input!M29,D460))))</f>
        <v>270.91160974185664</v>
      </c>
      <c r="F460" s="596">
        <f>input!H29</f>
        <v>30</v>
      </c>
      <c r="G460" s="596">
        <f>input!K29</f>
        <v>32</v>
      </c>
      <c r="H460" s="596">
        <f>input!M29</f>
        <v>2800</v>
      </c>
      <c r="I460" s="596">
        <f>input!R29</f>
        <v>0</v>
      </c>
      <c r="J460" s="596">
        <f>input!P29</f>
        <v>290</v>
      </c>
      <c r="K460" s="596">
        <f t="shared" si="19"/>
        <v>3122</v>
      </c>
      <c r="L460" s="594">
        <f t="shared" si="18"/>
        <v>1311.24</v>
      </c>
      <c r="M460" s="609" t="str">
        <f>IF(AND(Stress!F858&gt;=0,input!O29=0),"-",IF(E460&lt;=0.42*K460,"OK","NG"))</f>
        <v>OK</v>
      </c>
      <c r="O460" s="257"/>
      <c r="Q460" s="73"/>
      <c r="R460" s="559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E460" s="143"/>
      <c r="AF460" s="143"/>
      <c r="AG460" s="143"/>
      <c r="AH460" s="143"/>
      <c r="AI460" s="143"/>
      <c r="AJ460" s="143"/>
      <c r="AK460" s="143"/>
      <c r="AL460" s="143"/>
      <c r="AM460" s="143"/>
      <c r="AN460" s="143"/>
      <c r="AO460" s="143"/>
      <c r="AP460" s="143"/>
      <c r="AQ460" s="143"/>
    </row>
    <row r="461" spans="1:43" ht="15" customHeight="1">
      <c r="A461" s="593" t="str">
        <f>+input!B30</f>
        <v>114j</v>
      </c>
      <c r="B461" s="848" t="str">
        <f>Stress!C859</f>
        <v>Positive</v>
      </c>
      <c r="C461" s="1044">
        <f t="shared" si="16"/>
        <v>2</v>
      </c>
      <c r="D461" s="596">
        <f t="shared" si="17"/>
        <v>10.911609741856637</v>
      </c>
      <c r="E461" s="596">
        <f>IF(OR(C461=1,C461="a"),input!R30+input!P30+D461,IF(OR(C461=8,C461="b",C461="c",C461="d"),input!M30-D461,IF(C461=2,input!R30+input!P30-input!H30+D461,IF(C461=9,input!H30-D461+input!M30,D461))))</f>
        <v>270.91160974185664</v>
      </c>
      <c r="F461" s="596">
        <f>input!H30</f>
        <v>30</v>
      </c>
      <c r="G461" s="596">
        <f>input!K30</f>
        <v>32</v>
      </c>
      <c r="H461" s="596">
        <f>input!M30</f>
        <v>2800</v>
      </c>
      <c r="I461" s="596">
        <f>input!R30</f>
        <v>0</v>
      </c>
      <c r="J461" s="596">
        <f>input!P30</f>
        <v>290</v>
      </c>
      <c r="K461" s="596">
        <f t="shared" si="19"/>
        <v>3122</v>
      </c>
      <c r="L461" s="594">
        <f t="shared" si="18"/>
        <v>1311.24</v>
      </c>
      <c r="M461" s="609" t="str">
        <f>IF(AND(Stress!F859&gt;=0,input!O30=0),"-",IF(E461&lt;=0.42*K461,"OK","NG"))</f>
        <v>OK</v>
      </c>
      <c r="O461" s="257"/>
      <c r="Q461" s="73"/>
      <c r="R461" s="559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E461" s="143"/>
      <c r="AF461" s="143"/>
      <c r="AG461" s="143"/>
      <c r="AH461" s="143"/>
      <c r="AI461" s="143"/>
      <c r="AJ461" s="143"/>
      <c r="AK461" s="143"/>
      <c r="AL461" s="143"/>
      <c r="AM461" s="143"/>
      <c r="AN461" s="143"/>
      <c r="AO461" s="143"/>
      <c r="AP461" s="143"/>
      <c r="AQ461" s="143"/>
    </row>
    <row r="462" spans="1:43" ht="15" customHeight="1">
      <c r="A462" s="593" t="str">
        <f>+input!B31</f>
        <v>115i</v>
      </c>
      <c r="B462" s="848" t="str">
        <f>Stress!C860</f>
        <v>Positive</v>
      </c>
      <c r="C462" s="1044">
        <f t="shared" si="16"/>
        <v>3</v>
      </c>
      <c r="D462" s="596">
        <f t="shared" si="17"/>
        <v>259.02688100113699</v>
      </c>
      <c r="E462" s="596">
        <f>IF(OR(C462=1,C462="a"),input!R31+input!P31+D462,IF(OR(C462=8,C462="b",C462="c",C462="d"),input!M31-D462,IF(C462=2,input!R31+input!P31-input!H31+D462,IF(C462=9,input!H31-D462+input!M31,D462))))</f>
        <v>259.02688100113699</v>
      </c>
      <c r="F462" s="596">
        <f>input!H31</f>
        <v>22</v>
      </c>
      <c r="G462" s="596">
        <f>input!K31</f>
        <v>18</v>
      </c>
      <c r="H462" s="596">
        <f>input!M31</f>
        <v>2800</v>
      </c>
      <c r="I462" s="596">
        <f>input!R31</f>
        <v>0</v>
      </c>
      <c r="J462" s="596">
        <f>input!P31</f>
        <v>290</v>
      </c>
      <c r="K462" s="596">
        <f t="shared" si="19"/>
        <v>3108</v>
      </c>
      <c r="L462" s="594">
        <f t="shared" si="18"/>
        <v>1305.3599999999999</v>
      </c>
      <c r="M462" s="609" t="str">
        <f>IF(AND(Stress!F860&gt;=0,input!O31=0),"-",IF(E462&lt;=0.42*K462,"OK","NG"))</f>
        <v>OK</v>
      </c>
      <c r="O462" s="257"/>
      <c r="Q462" s="73"/>
      <c r="R462" s="559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E462" s="143"/>
      <c r="AF462" s="143"/>
      <c r="AG462" s="143"/>
      <c r="AH462" s="143"/>
      <c r="AI462" s="143"/>
      <c r="AJ462" s="143"/>
      <c r="AK462" s="143"/>
      <c r="AL462" s="143"/>
      <c r="AM462" s="143"/>
      <c r="AN462" s="143"/>
      <c r="AO462" s="143"/>
      <c r="AP462" s="143"/>
      <c r="AQ462" s="143"/>
    </row>
    <row r="463" spans="1:43" ht="15" customHeight="1">
      <c r="A463" s="593" t="str">
        <f>+input!B32</f>
        <v>115j</v>
      </c>
      <c r="B463" s="848" t="str">
        <f>Stress!C861</f>
        <v>Negative</v>
      </c>
      <c r="C463" s="1044">
        <f t="shared" si="16"/>
        <v>8</v>
      </c>
      <c r="D463" s="596">
        <f t="shared" si="17"/>
        <v>1494.4306597802793</v>
      </c>
      <c r="E463" s="596">
        <f>IF(OR(C463=1,C463="a"),input!R32+input!P32+D463,IF(OR(C463=8,C463="b",C463="c",C463="d"),input!M32-D463,IF(C463=2,input!R32+input!P32-input!H32+D463,IF(C463=9,input!H32-D463+input!M32,D463))))</f>
        <v>1305.5693402197207</v>
      </c>
      <c r="F463" s="596">
        <f>input!H32</f>
        <v>22</v>
      </c>
      <c r="G463" s="596">
        <f>input!K32</f>
        <v>18</v>
      </c>
      <c r="H463" s="596">
        <f>input!M32</f>
        <v>2800</v>
      </c>
      <c r="I463" s="596">
        <f>input!R32</f>
        <v>0</v>
      </c>
      <c r="J463" s="596">
        <f>input!P32</f>
        <v>290</v>
      </c>
      <c r="K463" s="596">
        <f t="shared" si="19"/>
        <v>2822</v>
      </c>
      <c r="L463" s="594">
        <f t="shared" si="18"/>
        <v>1185.24</v>
      </c>
      <c r="M463" s="609" t="str">
        <f>IF(AND(Stress!F861&gt;=0,input!O32=0),"-",IF(E463&lt;=0.42*K463,"OK","NG"))</f>
        <v>-</v>
      </c>
      <c r="O463" s="257"/>
      <c r="Q463" s="73"/>
      <c r="R463" s="559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E463" s="143"/>
      <c r="AF463" s="143"/>
      <c r="AG463" s="143"/>
      <c r="AH463" s="143"/>
      <c r="AI463" s="143"/>
      <c r="AJ463" s="143"/>
      <c r="AK463" s="143"/>
      <c r="AL463" s="143"/>
      <c r="AM463" s="143"/>
      <c r="AN463" s="143"/>
      <c r="AO463" s="143"/>
      <c r="AP463" s="143"/>
      <c r="AQ463" s="143"/>
    </row>
    <row r="464" spans="1:43" ht="15" customHeight="1">
      <c r="A464" s="593" t="str">
        <f>+input!B33</f>
        <v>116i</v>
      </c>
      <c r="B464" s="848" t="str">
        <f>Stress!C862</f>
        <v>Negative</v>
      </c>
      <c r="C464" s="1044">
        <f t="shared" si="16"/>
        <v>8</v>
      </c>
      <c r="D464" s="596">
        <f t="shared" si="17"/>
        <v>1553.8319903503191</v>
      </c>
      <c r="E464" s="596">
        <f>IF(OR(C464=1,C464="a"),input!R33+input!P33+D464,IF(OR(C464=8,C464="b",C464="c",C464="d"),input!M33-D464,IF(C464=2,input!R33+input!P33-input!H33+D464,IF(C464=9,input!H33-D464+input!M33,D464))))</f>
        <v>1260.1680096496809</v>
      </c>
      <c r="F464" s="596">
        <f>input!H33</f>
        <v>26</v>
      </c>
      <c r="G464" s="596">
        <f>input!K33</f>
        <v>24</v>
      </c>
      <c r="H464" s="596">
        <f>input!M33</f>
        <v>2814</v>
      </c>
      <c r="I464" s="596">
        <f>input!R33</f>
        <v>0</v>
      </c>
      <c r="J464" s="596">
        <f>input!P33</f>
        <v>290</v>
      </c>
      <c r="K464" s="596">
        <f t="shared" si="19"/>
        <v>2840</v>
      </c>
      <c r="L464" s="594">
        <f t="shared" si="18"/>
        <v>1192.8</v>
      </c>
      <c r="M464" s="609" t="str">
        <f>IF(AND(Stress!F862&gt;=0,input!O33=0),"-",IF(E464&lt;=0.42*K464,"OK","NG"))</f>
        <v>-</v>
      </c>
      <c r="O464" s="257"/>
      <c r="Q464" s="73"/>
      <c r="R464" s="559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E464" s="143"/>
      <c r="AF464" s="143"/>
      <c r="AG464" s="143"/>
      <c r="AH464" s="143"/>
      <c r="AI464" s="143"/>
      <c r="AJ464" s="143"/>
      <c r="AK464" s="143"/>
      <c r="AL464" s="143"/>
      <c r="AM464" s="143"/>
      <c r="AN464" s="143"/>
      <c r="AO464" s="143"/>
      <c r="AP464" s="143"/>
      <c r="AQ464" s="143"/>
    </row>
    <row r="465" spans="1:43" ht="15" customHeight="1">
      <c r="A465" s="994" t="str">
        <f>+input!B34</f>
        <v>116j</v>
      </c>
      <c r="B465" s="1045" t="str">
        <f>Stress!C863</f>
        <v>Negative</v>
      </c>
      <c r="C465" s="1046">
        <f t="shared" si="16"/>
        <v>8</v>
      </c>
      <c r="D465" s="1008">
        <f t="shared" si="17"/>
        <v>1553.8319903503191</v>
      </c>
      <c r="E465" s="596">
        <f>IF(OR(C465=1,C465="a"),input!R34+input!P34+D465,IF(OR(C465=8,C465="b",C465="c",C465="d"),input!M34-D465,IF(C465=2,input!R34+input!P34-input!H34+D465,IF(C465=9,input!H34-D465+input!M34,D465))))</f>
        <v>1260.1680096496809</v>
      </c>
      <c r="F465" s="1008">
        <f>input!H34</f>
        <v>26</v>
      </c>
      <c r="G465" s="1008">
        <f>input!K34</f>
        <v>24</v>
      </c>
      <c r="H465" s="1008">
        <f>input!M34</f>
        <v>2814</v>
      </c>
      <c r="I465" s="1008">
        <f>input!R34</f>
        <v>0</v>
      </c>
      <c r="J465" s="1008">
        <f>input!P34</f>
        <v>290</v>
      </c>
      <c r="K465" s="1008">
        <f t="shared" si="19"/>
        <v>2840</v>
      </c>
      <c r="L465" s="995">
        <f t="shared" si="18"/>
        <v>1192.8</v>
      </c>
      <c r="M465" s="1047" t="str">
        <f>IF(AND(Stress!F863&gt;=0,input!O34=0),"-",IF(E465&lt;=0.42*K465,"OK","NG"))</f>
        <v>-</v>
      </c>
      <c r="O465" s="257"/>
      <c r="Q465" s="73"/>
      <c r="R465" s="559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E465" s="143"/>
      <c r="AF465" s="143"/>
      <c r="AG465" s="143"/>
      <c r="AH465" s="143"/>
      <c r="AI465" s="143"/>
      <c r="AJ465" s="143"/>
      <c r="AK465" s="143"/>
      <c r="AL465" s="143"/>
      <c r="AM465" s="143"/>
      <c r="AN465" s="143"/>
      <c r="AO465" s="143"/>
      <c r="AP465" s="143"/>
      <c r="AQ465" s="143"/>
    </row>
    <row r="466" spans="1:43" ht="15" customHeight="1">
      <c r="A466" s="1000" t="str">
        <f>+input!B35</f>
        <v>117i</v>
      </c>
      <c r="B466" s="1048" t="str">
        <f>Stress!C864</f>
        <v>Negative</v>
      </c>
      <c r="C466" s="1049" t="str">
        <f t="shared" ref="C466:C495" si="20">L232</f>
        <v>c</v>
      </c>
      <c r="D466" s="1011">
        <f t="shared" ref="D466:D495" si="21">M232</f>
        <v>2590.9801545639079</v>
      </c>
      <c r="E466" s="596">
        <f>IF(OR(C466=1,C466="a"),input!R35+input!P35+D466,IF(OR(C466=8,C466="b",C466="c",C466="d"),input!M35-D466,IF(C466=2,input!R35+input!P35-input!H35+D466,IF(C466=9,input!H35-D466+input!M35,D466))))</f>
        <v>333.01984543609206</v>
      </c>
      <c r="F466" s="1011">
        <f>input!H35</f>
        <v>36</v>
      </c>
      <c r="G466" s="1011">
        <f>input!K35</f>
        <v>28</v>
      </c>
      <c r="H466" s="1011">
        <f>input!M35</f>
        <v>2924</v>
      </c>
      <c r="I466" s="1011">
        <f>input!R35</f>
        <v>0</v>
      </c>
      <c r="J466" s="1011">
        <f>input!P35</f>
        <v>290</v>
      </c>
      <c r="K466" s="1011">
        <f t="shared" ref="K466:K495" si="22">IF(B466="Positive",G466+H466+I466+J466,F466+H466)</f>
        <v>2960</v>
      </c>
      <c r="L466" s="1001">
        <f t="shared" ref="L466:L495" si="23">0.42*K466</f>
        <v>1243.2</v>
      </c>
      <c r="M466" s="1050" t="str">
        <f>IF(AND(Stress!F864&gt;=0,input!O35=0),"-",IF(E466&lt;=0.42*K466,"OK","NG"))</f>
        <v>OK</v>
      </c>
      <c r="O466" s="257"/>
      <c r="Q466" s="73"/>
      <c r="R466" s="559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E466" s="143"/>
      <c r="AF466" s="143"/>
      <c r="AG466" s="143"/>
      <c r="AH466" s="143"/>
      <c r="AI466" s="143"/>
      <c r="AJ466" s="143"/>
      <c r="AK466" s="143"/>
      <c r="AL466" s="143"/>
      <c r="AM466" s="143"/>
      <c r="AN466" s="143"/>
      <c r="AO466" s="143"/>
      <c r="AP466" s="143"/>
      <c r="AQ466" s="143"/>
    </row>
    <row r="467" spans="1:43" ht="15" customHeight="1">
      <c r="A467" s="593" t="str">
        <f>+input!B36</f>
        <v>117j</v>
      </c>
      <c r="B467" s="848" t="str">
        <f>Stress!C865</f>
        <v>Negative</v>
      </c>
      <c r="C467" s="1044" t="str">
        <f t="shared" si="20"/>
        <v>c</v>
      </c>
      <c r="D467" s="596">
        <f t="shared" si="21"/>
        <v>2590.9801545639079</v>
      </c>
      <c r="E467" s="596">
        <f>IF(OR(C467=1,C467="a"),input!R36+input!P36+D467,IF(OR(C467=8,C467="b",C467="c",C467="d"),input!M36-D467,IF(C467=2,input!R36+input!P36-input!H36+D467,IF(C467=9,input!H36-D467+input!M36,D467))))</f>
        <v>333.01984543609206</v>
      </c>
      <c r="F467" s="596">
        <f>input!H36</f>
        <v>36</v>
      </c>
      <c r="G467" s="596">
        <f>input!K36</f>
        <v>28</v>
      </c>
      <c r="H467" s="596">
        <f>input!M36</f>
        <v>2924</v>
      </c>
      <c r="I467" s="596">
        <f>input!R36</f>
        <v>0</v>
      </c>
      <c r="J467" s="596">
        <f>input!P36</f>
        <v>290</v>
      </c>
      <c r="K467" s="596">
        <f t="shared" si="22"/>
        <v>2960</v>
      </c>
      <c r="L467" s="594">
        <f t="shared" si="23"/>
        <v>1243.2</v>
      </c>
      <c r="M467" s="609" t="str">
        <f>IF(AND(Stress!F865&gt;=0,input!O36=0),"-",IF(E467&lt;=0.42*K467,"OK","NG"))</f>
        <v>OK</v>
      </c>
      <c r="O467" s="257"/>
      <c r="Q467" s="73"/>
      <c r="R467" s="559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E467" s="143"/>
      <c r="AF467" s="143"/>
      <c r="AG467" s="143"/>
      <c r="AH467" s="143"/>
      <c r="AI467" s="143"/>
      <c r="AJ467" s="143"/>
      <c r="AK467" s="143"/>
      <c r="AL467" s="143"/>
      <c r="AM467" s="143"/>
      <c r="AN467" s="143"/>
      <c r="AO467" s="143"/>
      <c r="AP467" s="143"/>
      <c r="AQ467" s="143"/>
    </row>
    <row r="468" spans="1:43" ht="15" customHeight="1">
      <c r="A468" s="593" t="str">
        <f>+input!B37</f>
        <v>118i</v>
      </c>
      <c r="B468" s="848" t="str">
        <f>Stress!C866</f>
        <v>Negative</v>
      </c>
      <c r="C468" s="1044">
        <f t="shared" si="20"/>
        <v>8</v>
      </c>
      <c r="D468" s="596">
        <f t="shared" si="21"/>
        <v>2201.6530514613723</v>
      </c>
      <c r="E468" s="596">
        <f>IF(OR(C468=1,C468="a"),input!R37+input!P37+D468,IF(OR(C468=8,C468="b",C468="c",C468="d"),input!M37-D468,IF(C468=2,input!R37+input!P37-input!H37+D468,IF(C468=9,input!H37-D468+input!M37,D468))))</f>
        <v>901.34694853862766</v>
      </c>
      <c r="F468" s="596">
        <f>input!H37</f>
        <v>40</v>
      </c>
      <c r="G468" s="596">
        <f>input!K37</f>
        <v>30</v>
      </c>
      <c r="H468" s="596">
        <f>input!M37</f>
        <v>3103</v>
      </c>
      <c r="I468" s="596">
        <f>input!R37</f>
        <v>0</v>
      </c>
      <c r="J468" s="596">
        <f>input!P37</f>
        <v>290</v>
      </c>
      <c r="K468" s="596">
        <f t="shared" si="22"/>
        <v>3143</v>
      </c>
      <c r="L468" s="594">
        <f t="shared" si="23"/>
        <v>1320.06</v>
      </c>
      <c r="M468" s="609" t="str">
        <f>IF(AND(Stress!F866&gt;=0,input!O37=0),"-",IF(E468&lt;=0.42*K468,"OK","NG"))</f>
        <v>OK</v>
      </c>
      <c r="O468" s="257"/>
      <c r="Q468" s="73"/>
      <c r="R468" s="559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E468" s="143"/>
      <c r="AF468" s="143"/>
      <c r="AG468" s="143"/>
      <c r="AH468" s="143"/>
      <c r="AI468" s="143"/>
      <c r="AJ468" s="143"/>
      <c r="AK468" s="143"/>
      <c r="AL468" s="143"/>
      <c r="AM468" s="143"/>
      <c r="AN468" s="143"/>
      <c r="AO468" s="143"/>
      <c r="AP468" s="143"/>
      <c r="AQ468" s="143"/>
    </row>
    <row r="469" spans="1:43" ht="15" customHeight="1">
      <c r="A469" s="593" t="str">
        <f>+input!B38</f>
        <v>118j</v>
      </c>
      <c r="B469" s="848" t="str">
        <f>Stress!C867</f>
        <v>Negative</v>
      </c>
      <c r="C469" s="1044">
        <f t="shared" si="20"/>
        <v>8</v>
      </c>
      <c r="D469" s="596">
        <f t="shared" si="21"/>
        <v>2201.6530514613723</v>
      </c>
      <c r="E469" s="596">
        <f>IF(OR(C469=1,C469="a"),input!R38+input!P38+D469,IF(OR(C469=8,C469="b",C469="c",C469="d"),input!M38-D469,IF(C469=2,input!R38+input!P38-input!H38+D469,IF(C469=9,input!H38-D469+input!M38,D469))))</f>
        <v>901.34694853862766</v>
      </c>
      <c r="F469" s="596">
        <f>input!H38</f>
        <v>40</v>
      </c>
      <c r="G469" s="596">
        <f>input!K38</f>
        <v>30</v>
      </c>
      <c r="H469" s="596">
        <f>input!M38</f>
        <v>3103</v>
      </c>
      <c r="I469" s="596">
        <f>input!R38</f>
        <v>0</v>
      </c>
      <c r="J469" s="596">
        <f>input!P38</f>
        <v>290</v>
      </c>
      <c r="K469" s="596">
        <f t="shared" si="22"/>
        <v>3143</v>
      </c>
      <c r="L469" s="594">
        <f t="shared" si="23"/>
        <v>1320.06</v>
      </c>
      <c r="M469" s="609" t="str">
        <f>IF(AND(Stress!F867&gt;=0,input!O38=0),"-",IF(E469&lt;=0.42*K469,"OK","NG"))</f>
        <v>OK</v>
      </c>
      <c r="O469" s="257"/>
      <c r="Q469" s="73"/>
      <c r="R469" s="559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E469" s="143"/>
      <c r="AF469" s="143"/>
      <c r="AG469" s="143"/>
      <c r="AH469" s="143"/>
      <c r="AI469" s="143"/>
      <c r="AJ469" s="143"/>
      <c r="AK469" s="143"/>
      <c r="AL469" s="143"/>
      <c r="AM469" s="143"/>
      <c r="AN469" s="143"/>
      <c r="AO469" s="143"/>
      <c r="AP469" s="143"/>
      <c r="AQ469" s="143"/>
    </row>
    <row r="470" spans="1:43" ht="15" customHeight="1">
      <c r="A470" s="593" t="str">
        <f>+input!B39</f>
        <v>119i</v>
      </c>
      <c r="B470" s="848" t="str">
        <f>Stress!C868</f>
        <v>Negative</v>
      </c>
      <c r="C470" s="1044">
        <f t="shared" si="20"/>
        <v>8</v>
      </c>
      <c r="D470" s="596">
        <f t="shared" si="21"/>
        <v>2535.0404115953443</v>
      </c>
      <c r="E470" s="596">
        <f>IF(OR(C470=1,C470="a"),input!R39+input!P39+D470,IF(OR(C470=8,C470="b",C470="c",C470="d"),input!M39-D470,IF(C470=2,input!R39+input!P39-input!H39+D470,IF(C470=9,input!H39-D470+input!M39,D470))))</f>
        <v>664.95958840465573</v>
      </c>
      <c r="F470" s="596">
        <f>input!H39</f>
        <v>40</v>
      </c>
      <c r="G470" s="596">
        <f>input!K39</f>
        <v>30</v>
      </c>
      <c r="H470" s="596">
        <f>input!M39</f>
        <v>3200</v>
      </c>
      <c r="I470" s="596">
        <f>input!R39</f>
        <v>0</v>
      </c>
      <c r="J470" s="596">
        <f>input!P39</f>
        <v>290</v>
      </c>
      <c r="K470" s="596">
        <f t="shared" si="22"/>
        <v>3240</v>
      </c>
      <c r="L470" s="594">
        <f t="shared" si="23"/>
        <v>1360.8</v>
      </c>
      <c r="M470" s="609" t="str">
        <f>IF(AND(Stress!F868&gt;=0,input!O39=0),"-",IF(E470&lt;=0.42*K470,"OK","NG"))</f>
        <v>OK</v>
      </c>
      <c r="O470" s="257"/>
      <c r="Q470" s="73"/>
      <c r="R470" s="559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E470" s="143"/>
      <c r="AF470" s="143"/>
      <c r="AG470" s="143"/>
      <c r="AH470" s="143"/>
      <c r="AI470" s="143"/>
      <c r="AJ470" s="143"/>
      <c r="AK470" s="143"/>
      <c r="AL470" s="143"/>
      <c r="AM470" s="143"/>
      <c r="AN470" s="143"/>
      <c r="AO470" s="143"/>
      <c r="AP470" s="143"/>
      <c r="AQ470" s="143"/>
    </row>
    <row r="471" spans="1:43" ht="15" customHeight="1">
      <c r="A471" s="593" t="str">
        <f>+input!B40</f>
        <v>119j</v>
      </c>
      <c r="B471" s="848" t="str">
        <f>Stress!C869</f>
        <v>Negative</v>
      </c>
      <c r="C471" s="1044">
        <f t="shared" si="20"/>
        <v>8</v>
      </c>
      <c r="D471" s="596">
        <f t="shared" si="21"/>
        <v>2535.0404115953443</v>
      </c>
      <c r="E471" s="596">
        <f>IF(OR(C471=1,C471="a"),input!R40+input!P40+D471,IF(OR(C471=8,C471="b",C471="c",C471="d"),input!M40-D471,IF(C471=2,input!R40+input!P40-input!H40+D471,IF(C471=9,input!H40-D471+input!M40,D471))))</f>
        <v>664.95958840465573</v>
      </c>
      <c r="F471" s="596">
        <f>input!H40</f>
        <v>40</v>
      </c>
      <c r="G471" s="596">
        <f>input!K40</f>
        <v>30</v>
      </c>
      <c r="H471" s="596">
        <f>input!M40</f>
        <v>3200</v>
      </c>
      <c r="I471" s="596">
        <f>input!R40</f>
        <v>0</v>
      </c>
      <c r="J471" s="596">
        <f>input!P40</f>
        <v>290</v>
      </c>
      <c r="K471" s="596">
        <f t="shared" si="22"/>
        <v>3240</v>
      </c>
      <c r="L471" s="594">
        <f t="shared" si="23"/>
        <v>1360.8</v>
      </c>
      <c r="M471" s="609" t="str">
        <f>IF(AND(Stress!F869&gt;=0,input!O40=0),"-",IF(E471&lt;=0.42*K471,"OK","NG"))</f>
        <v>OK</v>
      </c>
      <c r="O471" s="257"/>
      <c r="Q471" s="73"/>
      <c r="R471" s="559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E471" s="143"/>
      <c r="AF471" s="143"/>
      <c r="AG471" s="143"/>
      <c r="AH471" s="143"/>
      <c r="AI471" s="143"/>
      <c r="AJ471" s="143"/>
      <c r="AK471" s="143"/>
      <c r="AL471" s="143"/>
      <c r="AM471" s="143"/>
      <c r="AN471" s="143"/>
      <c r="AO471" s="143"/>
      <c r="AP471" s="143"/>
      <c r="AQ471" s="143"/>
    </row>
    <row r="472" spans="1:43" ht="15" customHeight="1">
      <c r="A472" s="593" t="str">
        <f>+input!B41</f>
        <v>120i</v>
      </c>
      <c r="B472" s="848" t="str">
        <f>Stress!C870</f>
        <v>Negative</v>
      </c>
      <c r="C472" s="1044">
        <f t="shared" si="20"/>
        <v>8</v>
      </c>
      <c r="D472" s="596">
        <f t="shared" si="21"/>
        <v>2535.0404115953443</v>
      </c>
      <c r="E472" s="596">
        <f>IF(OR(C472=1,C472="a"),input!R41+input!P41+D472,IF(OR(C472=8,C472="b",C472="c",C472="d"),input!M41-D472,IF(C472=2,input!R41+input!P41-input!H41+D472,IF(C472=9,input!H41-D472+input!M41,D472))))</f>
        <v>664.95958840465573</v>
      </c>
      <c r="F472" s="596">
        <f>input!H41</f>
        <v>40</v>
      </c>
      <c r="G472" s="596">
        <f>input!K41</f>
        <v>30</v>
      </c>
      <c r="H472" s="596">
        <f>input!M41</f>
        <v>3200</v>
      </c>
      <c r="I472" s="596">
        <f>input!R41</f>
        <v>0</v>
      </c>
      <c r="J472" s="596">
        <f>input!P41</f>
        <v>290</v>
      </c>
      <c r="K472" s="596">
        <f t="shared" si="22"/>
        <v>3240</v>
      </c>
      <c r="L472" s="594">
        <f t="shared" si="23"/>
        <v>1360.8</v>
      </c>
      <c r="M472" s="609" t="str">
        <f>IF(AND(Stress!F870&gt;=0,input!O41=0),"-",IF(E472&lt;=0.42*K472,"OK","NG"))</f>
        <v>OK</v>
      </c>
      <c r="O472" s="257"/>
      <c r="Q472" s="73"/>
      <c r="R472" s="559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E472" s="143"/>
      <c r="AF472" s="143"/>
      <c r="AG472" s="143"/>
      <c r="AH472" s="143"/>
      <c r="AI472" s="143"/>
      <c r="AJ472" s="143"/>
      <c r="AK472" s="143"/>
      <c r="AL472" s="143"/>
      <c r="AM472" s="143"/>
      <c r="AN472" s="143"/>
      <c r="AO472" s="143"/>
      <c r="AP472" s="143"/>
      <c r="AQ472" s="143"/>
    </row>
    <row r="473" spans="1:43" ht="15" customHeight="1">
      <c r="A473" s="593" t="str">
        <f>+input!B42</f>
        <v>120j</v>
      </c>
      <c r="B473" s="848" t="str">
        <f>Stress!C871</f>
        <v>Negative</v>
      </c>
      <c r="C473" s="1044">
        <f t="shared" si="20"/>
        <v>8</v>
      </c>
      <c r="D473" s="596">
        <f t="shared" si="21"/>
        <v>2535.0404115953443</v>
      </c>
      <c r="E473" s="596">
        <f>IF(OR(C473=1,C473="a"),input!R42+input!P42+D473,IF(OR(C473=8,C473="b",C473="c",C473="d"),input!M42-D473,IF(C473=2,input!R42+input!P42-input!H42+D473,IF(C473=9,input!H42-D473+input!M42,D473))))</f>
        <v>664.95958840465573</v>
      </c>
      <c r="F473" s="596">
        <f>input!H42</f>
        <v>40</v>
      </c>
      <c r="G473" s="596">
        <f>input!K42</f>
        <v>30</v>
      </c>
      <c r="H473" s="596">
        <f>input!M42</f>
        <v>3200</v>
      </c>
      <c r="I473" s="596">
        <f>input!R42</f>
        <v>0</v>
      </c>
      <c r="J473" s="596">
        <f>input!P42</f>
        <v>290</v>
      </c>
      <c r="K473" s="596">
        <f t="shared" si="22"/>
        <v>3240</v>
      </c>
      <c r="L473" s="594">
        <f t="shared" si="23"/>
        <v>1360.8</v>
      </c>
      <c r="M473" s="609" t="str">
        <f>IF(AND(Stress!F871&gt;=0,input!O42=0),"-",IF(E473&lt;=0.42*K473,"OK","NG"))</f>
        <v>OK</v>
      </c>
      <c r="O473" s="257"/>
      <c r="Q473" s="73"/>
      <c r="R473" s="559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E473" s="143"/>
      <c r="AF473" s="143"/>
      <c r="AG473" s="143"/>
      <c r="AH473" s="143"/>
      <c r="AI473" s="143"/>
      <c r="AJ473" s="143"/>
      <c r="AK473" s="143"/>
      <c r="AL473" s="143"/>
      <c r="AM473" s="143"/>
      <c r="AN473" s="143"/>
      <c r="AO473" s="143"/>
      <c r="AP473" s="143"/>
      <c r="AQ473" s="143"/>
    </row>
    <row r="474" spans="1:43" ht="15" customHeight="1">
      <c r="A474" s="593" t="str">
        <f>+input!B43</f>
        <v>121i</v>
      </c>
      <c r="B474" s="848" t="str">
        <f>Stress!C872</f>
        <v>Negative</v>
      </c>
      <c r="C474" s="1044">
        <f t="shared" si="20"/>
        <v>8</v>
      </c>
      <c r="D474" s="596">
        <f t="shared" si="21"/>
        <v>2201.6530514613723</v>
      </c>
      <c r="E474" s="596">
        <f>IF(OR(C474=1,C474="a"),input!R43+input!P43+D474,IF(OR(C474=8,C474="b",C474="c",C474="d"),input!M43-D474,IF(C474=2,input!R43+input!P43-input!H43+D474,IF(C474=9,input!H43-D474+input!M43,D474))))</f>
        <v>901.34694853862766</v>
      </c>
      <c r="F474" s="596">
        <f>input!H43</f>
        <v>40</v>
      </c>
      <c r="G474" s="596">
        <f>input!K43</f>
        <v>30</v>
      </c>
      <c r="H474" s="596">
        <f>input!M43</f>
        <v>3103</v>
      </c>
      <c r="I474" s="596">
        <f>input!R43</f>
        <v>0</v>
      </c>
      <c r="J474" s="596">
        <f>input!P43</f>
        <v>290</v>
      </c>
      <c r="K474" s="596">
        <f t="shared" si="22"/>
        <v>3143</v>
      </c>
      <c r="L474" s="594">
        <f t="shared" si="23"/>
        <v>1320.06</v>
      </c>
      <c r="M474" s="609" t="str">
        <f>IF(AND(Stress!F872&gt;=0,input!O43=0),"-",IF(E474&lt;=0.42*K474,"OK","NG"))</f>
        <v>OK</v>
      </c>
      <c r="O474" s="257"/>
      <c r="Q474" s="73"/>
      <c r="R474" s="559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E474" s="143"/>
      <c r="AF474" s="143"/>
      <c r="AG474" s="143"/>
      <c r="AH474" s="143"/>
      <c r="AI474" s="143"/>
      <c r="AJ474" s="143"/>
      <c r="AK474" s="143"/>
      <c r="AL474" s="143"/>
      <c r="AM474" s="143"/>
      <c r="AN474" s="143"/>
      <c r="AO474" s="143"/>
      <c r="AP474" s="143"/>
      <c r="AQ474" s="143"/>
    </row>
    <row r="475" spans="1:43" ht="15" customHeight="1">
      <c r="A475" s="593" t="str">
        <f>+input!B44</f>
        <v>121j</v>
      </c>
      <c r="B475" s="848" t="str">
        <f>Stress!C873</f>
        <v>Negative</v>
      </c>
      <c r="C475" s="1044">
        <f t="shared" si="20"/>
        <v>8</v>
      </c>
      <c r="D475" s="596">
        <f t="shared" si="21"/>
        <v>2201.6530514613723</v>
      </c>
      <c r="E475" s="596">
        <f>IF(OR(C475=1,C475="a"),input!R44+input!P44+D475,IF(OR(C475=8,C475="b",C475="c",C475="d"),input!M44-D475,IF(C475=2,input!R44+input!P44-input!H44+D475,IF(C475=9,input!H44-D475+input!M44,D475))))</f>
        <v>901.34694853862766</v>
      </c>
      <c r="F475" s="596">
        <f>input!H44</f>
        <v>40</v>
      </c>
      <c r="G475" s="596">
        <f>input!K44</f>
        <v>30</v>
      </c>
      <c r="H475" s="596">
        <f>input!M44</f>
        <v>3103</v>
      </c>
      <c r="I475" s="596">
        <f>input!R44</f>
        <v>0</v>
      </c>
      <c r="J475" s="596">
        <f>input!P44</f>
        <v>290</v>
      </c>
      <c r="K475" s="596">
        <f t="shared" si="22"/>
        <v>3143</v>
      </c>
      <c r="L475" s="594">
        <f t="shared" si="23"/>
        <v>1320.06</v>
      </c>
      <c r="M475" s="609" t="str">
        <f>IF(AND(Stress!F873&gt;=0,input!O44=0),"-",IF(E475&lt;=0.42*K475,"OK","NG"))</f>
        <v>OK</v>
      </c>
      <c r="O475" s="257"/>
      <c r="Q475" s="73"/>
      <c r="R475" s="559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E475" s="143"/>
      <c r="AF475" s="143"/>
      <c r="AG475" s="143"/>
      <c r="AH475" s="143"/>
      <c r="AI475" s="143"/>
      <c r="AJ475" s="143"/>
      <c r="AK475" s="143"/>
      <c r="AL475" s="143"/>
      <c r="AM475" s="143"/>
      <c r="AN475" s="143"/>
      <c r="AO475" s="143"/>
      <c r="AP475" s="143"/>
      <c r="AQ475" s="143"/>
    </row>
    <row r="476" spans="1:43" ht="15" customHeight="1">
      <c r="A476" s="593" t="str">
        <f>+input!B45</f>
        <v>122i</v>
      </c>
      <c r="B476" s="848" t="str">
        <f>Stress!C874</f>
        <v>Negative</v>
      </c>
      <c r="C476" s="1044" t="str">
        <f t="shared" si="20"/>
        <v>c</v>
      </c>
      <c r="D476" s="596">
        <f t="shared" si="21"/>
        <v>2580.0779357312799</v>
      </c>
      <c r="E476" s="596">
        <f>IF(OR(C476=1,C476="a"),input!R45+input!P45+D476,IF(OR(C476=8,C476="b",C476="c",C476="d"),input!M45-D476,IF(C476=2,input!R45+input!P45-input!H45+D476,IF(C476=9,input!H45-D476+input!M45,D476))))</f>
        <v>343.92206426872008</v>
      </c>
      <c r="F476" s="596">
        <f>input!H45</f>
        <v>40</v>
      </c>
      <c r="G476" s="596">
        <f>input!K45</f>
        <v>30</v>
      </c>
      <c r="H476" s="596">
        <f>input!M45</f>
        <v>2924</v>
      </c>
      <c r="I476" s="596">
        <f>input!R45</f>
        <v>0</v>
      </c>
      <c r="J476" s="596">
        <f>input!P45</f>
        <v>290</v>
      </c>
      <c r="K476" s="596">
        <f t="shared" si="22"/>
        <v>2964</v>
      </c>
      <c r="L476" s="594">
        <f t="shared" si="23"/>
        <v>1244.8799999999999</v>
      </c>
      <c r="M476" s="609" t="str">
        <f>IF(AND(Stress!F874&gt;=0,input!O45=0),"-",IF(E476&lt;=0.42*K476,"OK","NG"))</f>
        <v>OK</v>
      </c>
      <c r="O476" s="257"/>
      <c r="Q476" s="73"/>
      <c r="R476" s="559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E476" s="143"/>
      <c r="AF476" s="143"/>
      <c r="AG476" s="143"/>
      <c r="AH476" s="143"/>
      <c r="AI476" s="143"/>
      <c r="AJ476" s="143"/>
      <c r="AK476" s="143"/>
      <c r="AL476" s="143"/>
      <c r="AM476" s="143"/>
      <c r="AN476" s="143"/>
      <c r="AO476" s="143"/>
      <c r="AP476" s="143"/>
      <c r="AQ476" s="143"/>
    </row>
    <row r="477" spans="1:43" ht="15" customHeight="1">
      <c r="A477" s="593" t="str">
        <f>+input!B46</f>
        <v>122j</v>
      </c>
      <c r="B477" s="848" t="str">
        <f>Stress!C875</f>
        <v>Negative</v>
      </c>
      <c r="C477" s="1044" t="str">
        <f t="shared" si="20"/>
        <v>c</v>
      </c>
      <c r="D477" s="596">
        <f t="shared" si="21"/>
        <v>2580.0779357312799</v>
      </c>
      <c r="E477" s="596">
        <f>IF(OR(C477=1,C477="a"),input!R46+input!P46+D477,IF(OR(C477=8,C477="b",C477="c",C477="d"),input!M46-D477,IF(C477=2,input!R46+input!P46-input!H46+D477,IF(C477=9,input!H46-D477+input!M46,D477))))</f>
        <v>343.92206426872008</v>
      </c>
      <c r="F477" s="596">
        <f>input!H46</f>
        <v>40</v>
      </c>
      <c r="G477" s="596">
        <f>input!K46</f>
        <v>30</v>
      </c>
      <c r="H477" s="596">
        <f>input!M46</f>
        <v>2924</v>
      </c>
      <c r="I477" s="596">
        <f>input!R46</f>
        <v>0</v>
      </c>
      <c r="J477" s="596">
        <f>input!P46</f>
        <v>290</v>
      </c>
      <c r="K477" s="596">
        <f t="shared" si="22"/>
        <v>2964</v>
      </c>
      <c r="L477" s="594">
        <f t="shared" si="23"/>
        <v>1244.8799999999999</v>
      </c>
      <c r="M477" s="609" t="str">
        <f>IF(AND(Stress!F875&gt;=0,input!O46=0),"-",IF(E477&lt;=0.42*K477,"OK","NG"))</f>
        <v>OK</v>
      </c>
      <c r="O477" s="257"/>
      <c r="Q477" s="73"/>
      <c r="R477" s="559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E477" s="143"/>
      <c r="AF477" s="143"/>
      <c r="AG477" s="143"/>
      <c r="AH477" s="143"/>
      <c r="AI477" s="143"/>
      <c r="AJ477" s="143"/>
      <c r="AK477" s="143"/>
      <c r="AL477" s="143"/>
      <c r="AM477" s="143"/>
      <c r="AN477" s="143"/>
      <c r="AO477" s="143"/>
      <c r="AP477" s="143"/>
      <c r="AQ477" s="143"/>
    </row>
    <row r="478" spans="1:43" ht="15" customHeight="1">
      <c r="A478" s="593" t="str">
        <f>+input!B47</f>
        <v>123i</v>
      </c>
      <c r="B478" s="848" t="str">
        <f>Stress!C876</f>
        <v>Negative</v>
      </c>
      <c r="C478" s="1044">
        <f t="shared" si="20"/>
        <v>8</v>
      </c>
      <c r="D478" s="596">
        <f t="shared" si="21"/>
        <v>1439.2505946459014</v>
      </c>
      <c r="E478" s="596">
        <f>IF(OR(C478=1,C478="a"),input!R47+input!P47+D478,IF(OR(C478=8,C478="b",C478="c",C478="d"),input!M47-D478,IF(C478=2,input!R47+input!P47-input!H47+D478,IF(C478=9,input!H47-D478+input!M47,D478))))</f>
        <v>1374.7494053540986</v>
      </c>
      <c r="F478" s="596">
        <f>input!H47</f>
        <v>40</v>
      </c>
      <c r="G478" s="596">
        <f>input!K47</f>
        <v>30</v>
      </c>
      <c r="H478" s="596">
        <f>input!M47</f>
        <v>2814</v>
      </c>
      <c r="I478" s="596">
        <f>input!R47</f>
        <v>0</v>
      </c>
      <c r="J478" s="596">
        <f>input!P47</f>
        <v>290</v>
      </c>
      <c r="K478" s="596">
        <f t="shared" si="22"/>
        <v>2854</v>
      </c>
      <c r="L478" s="594">
        <f t="shared" si="23"/>
        <v>1198.68</v>
      </c>
      <c r="M478" s="609" t="str">
        <f>IF(AND(Stress!F876&gt;=0,input!O47=0),"-",IF(E478&lt;=0.42*K478,"OK","NG"))</f>
        <v>-</v>
      </c>
      <c r="O478" s="257"/>
      <c r="Q478" s="73"/>
      <c r="R478" s="559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E478" s="143"/>
      <c r="AF478" s="143"/>
      <c r="AG478" s="14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</row>
    <row r="479" spans="1:43" ht="15" customHeight="1">
      <c r="A479" s="593" t="str">
        <f>+input!B48</f>
        <v>123j</v>
      </c>
      <c r="B479" s="848" t="str">
        <f>Stress!C877</f>
        <v>Negative</v>
      </c>
      <c r="C479" s="1044">
        <f t="shared" si="20"/>
        <v>8</v>
      </c>
      <c r="D479" s="596">
        <f t="shared" si="21"/>
        <v>1439.2505946459014</v>
      </c>
      <c r="E479" s="596">
        <f>IF(OR(C479=1,C479="a"),input!R48+input!P48+D479,IF(OR(C479=8,C479="b",C479="c",C479="d"),input!M48-D479,IF(C479=2,input!R48+input!P48-input!H48+D479,IF(C479=9,input!H48-D479+input!M48,D479))))</f>
        <v>1374.7494053540986</v>
      </c>
      <c r="F479" s="596">
        <f>input!H48</f>
        <v>40</v>
      </c>
      <c r="G479" s="596">
        <f>input!K48</f>
        <v>30</v>
      </c>
      <c r="H479" s="596">
        <f>input!M48</f>
        <v>2814</v>
      </c>
      <c r="I479" s="596">
        <f>input!R48</f>
        <v>0</v>
      </c>
      <c r="J479" s="596">
        <f>input!P48</f>
        <v>290</v>
      </c>
      <c r="K479" s="596">
        <f t="shared" si="22"/>
        <v>2854</v>
      </c>
      <c r="L479" s="594">
        <f t="shared" si="23"/>
        <v>1198.68</v>
      </c>
      <c r="M479" s="609" t="str">
        <f>IF(AND(Stress!F877&gt;=0,input!O48=0),"-",IF(E479&lt;=0.42*K479,"OK","NG"))</f>
        <v>-</v>
      </c>
      <c r="O479" s="257"/>
      <c r="Q479" s="73"/>
      <c r="R479" s="559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E479" s="143"/>
      <c r="AF479" s="143"/>
      <c r="AG479" s="143"/>
      <c r="AH479" s="143"/>
      <c r="AI479" s="143"/>
      <c r="AJ479" s="143"/>
      <c r="AK479" s="143"/>
      <c r="AL479" s="143"/>
      <c r="AM479" s="143"/>
      <c r="AN479" s="143"/>
      <c r="AO479" s="143"/>
      <c r="AP479" s="143"/>
      <c r="AQ479" s="143"/>
    </row>
    <row r="480" spans="1:43" ht="15" customHeight="1">
      <c r="A480" s="593" t="str">
        <f>+input!B49</f>
        <v>124i</v>
      </c>
      <c r="B480" s="848" t="str">
        <f>Stress!C878</f>
        <v>Negative</v>
      </c>
      <c r="C480" s="1044">
        <f t="shared" si="20"/>
        <v>8</v>
      </c>
      <c r="D480" s="596">
        <f t="shared" si="21"/>
        <v>1663.4905853480675</v>
      </c>
      <c r="E480" s="596">
        <f>IF(OR(C480=1,C480="a"),input!R49+input!P49+D480,IF(OR(C480=8,C480="b",C480="c",C480="d"),input!M49-D480,IF(C480=2,input!R49+input!P49-input!H49+D480,IF(C480=9,input!H49-D480+input!M49,D480))))</f>
        <v>1136.5094146519325</v>
      </c>
      <c r="F480" s="596">
        <f>input!H49</f>
        <v>26</v>
      </c>
      <c r="G480" s="596">
        <f>input!K49</f>
        <v>24</v>
      </c>
      <c r="H480" s="596">
        <f>input!M49</f>
        <v>2800</v>
      </c>
      <c r="I480" s="596">
        <f>input!R49</f>
        <v>0</v>
      </c>
      <c r="J480" s="596">
        <f>input!P49</f>
        <v>290</v>
      </c>
      <c r="K480" s="596">
        <f t="shared" si="22"/>
        <v>2826</v>
      </c>
      <c r="L480" s="594">
        <f t="shared" si="23"/>
        <v>1186.9199999999998</v>
      </c>
      <c r="M480" s="609" t="str">
        <f>IF(AND(Stress!F878&gt;=0,input!O49=0),"-",IF(E480&lt;=0.42*K480,"OK","NG"))</f>
        <v>-</v>
      </c>
      <c r="O480" s="257"/>
      <c r="Q480" s="73"/>
      <c r="R480" s="559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E480" s="143"/>
      <c r="AF480" s="143"/>
      <c r="AG480" s="143"/>
      <c r="AH480" s="143"/>
      <c r="AI480" s="143"/>
      <c r="AJ480" s="143"/>
      <c r="AK480" s="143"/>
      <c r="AL480" s="143"/>
      <c r="AM480" s="143"/>
      <c r="AN480" s="143"/>
      <c r="AO480" s="143"/>
      <c r="AP480" s="143"/>
      <c r="AQ480" s="143"/>
    </row>
    <row r="481" spans="1:43" ht="15" customHeight="1">
      <c r="A481" s="593" t="str">
        <f>+input!B50</f>
        <v>124j</v>
      </c>
      <c r="B481" s="848" t="str">
        <f>Stress!C879</f>
        <v>Negative</v>
      </c>
      <c r="C481" s="1044">
        <f t="shared" si="20"/>
        <v>8</v>
      </c>
      <c r="D481" s="596">
        <f t="shared" si="21"/>
        <v>1663.4905853480675</v>
      </c>
      <c r="E481" s="596">
        <f>IF(OR(C481=1,C481="a"),input!R50+input!P50+D481,IF(OR(C481=8,C481="b",C481="c",C481="d"),input!M50-D481,IF(C481=2,input!R50+input!P50-input!H50+D481,IF(C481=9,input!H50-D481+input!M50,D481))))</f>
        <v>1136.5094146519325</v>
      </c>
      <c r="F481" s="596">
        <f>input!H50</f>
        <v>26</v>
      </c>
      <c r="G481" s="596">
        <f>input!K50</f>
        <v>24</v>
      </c>
      <c r="H481" s="596">
        <f>input!M50</f>
        <v>2800</v>
      </c>
      <c r="I481" s="596">
        <f>input!R50</f>
        <v>0</v>
      </c>
      <c r="J481" s="596">
        <f>input!P50</f>
        <v>290</v>
      </c>
      <c r="K481" s="596">
        <f t="shared" si="22"/>
        <v>2826</v>
      </c>
      <c r="L481" s="594">
        <f t="shared" si="23"/>
        <v>1186.9199999999998</v>
      </c>
      <c r="M481" s="609" t="str">
        <f>IF(AND(Stress!F879&gt;=0,input!O50=0),"-",IF(E481&lt;=0.42*K481,"OK","NG"))</f>
        <v>-</v>
      </c>
      <c r="O481" s="257"/>
      <c r="Q481" s="73"/>
      <c r="R481" s="559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E481" s="143"/>
      <c r="AF481" s="143"/>
      <c r="AG481" s="143"/>
      <c r="AH481" s="143"/>
      <c r="AI481" s="143"/>
      <c r="AJ481" s="143"/>
      <c r="AK481" s="143"/>
      <c r="AL481" s="143"/>
      <c r="AM481" s="143"/>
      <c r="AN481" s="143"/>
      <c r="AO481" s="143"/>
      <c r="AP481" s="143"/>
      <c r="AQ481" s="143"/>
    </row>
    <row r="482" spans="1:43" ht="15" customHeight="1">
      <c r="A482" s="593" t="str">
        <f>+input!B51</f>
        <v>125i</v>
      </c>
      <c r="B482" s="848" t="str">
        <f>Stress!C880</f>
        <v>Negative</v>
      </c>
      <c r="C482" s="1044">
        <f t="shared" si="20"/>
        <v>8</v>
      </c>
      <c r="D482" s="596">
        <f t="shared" si="21"/>
        <v>1494.4306597802793</v>
      </c>
      <c r="E482" s="596">
        <f>IF(OR(C482=1,C482="a"),input!R51+input!P51+D482,IF(OR(C482=8,C482="b",C482="c",C482="d"),input!M51-D482,IF(C482=2,input!R51+input!P51-input!H51+D482,IF(C482=9,input!H51-D482+input!M51,D482))))</f>
        <v>1305.5693402197207</v>
      </c>
      <c r="F482" s="596">
        <f>input!H51</f>
        <v>22</v>
      </c>
      <c r="G482" s="596">
        <f>input!K51</f>
        <v>18</v>
      </c>
      <c r="H482" s="596">
        <f>input!M51</f>
        <v>2800</v>
      </c>
      <c r="I482" s="596">
        <f>input!R51</f>
        <v>0</v>
      </c>
      <c r="J482" s="596">
        <f>input!P51</f>
        <v>290</v>
      </c>
      <c r="K482" s="596">
        <f t="shared" si="22"/>
        <v>2822</v>
      </c>
      <c r="L482" s="594">
        <f t="shared" si="23"/>
        <v>1185.24</v>
      </c>
      <c r="M482" s="609" t="str">
        <f>IF(AND(Stress!F880&gt;=0,input!O51=0),"-",IF(E482&lt;=0.42*K482,"OK","NG"))</f>
        <v>-</v>
      </c>
      <c r="O482" s="257"/>
      <c r="Q482" s="73"/>
      <c r="R482" s="559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E482" s="143"/>
      <c r="AF482" s="143"/>
      <c r="AG482" s="143"/>
      <c r="AH482" s="143"/>
      <c r="AI482" s="143"/>
      <c r="AJ482" s="143"/>
      <c r="AK482" s="143"/>
      <c r="AL482" s="143"/>
      <c r="AM482" s="143"/>
      <c r="AN482" s="143"/>
      <c r="AO482" s="143"/>
      <c r="AP482" s="143"/>
      <c r="AQ482" s="143"/>
    </row>
    <row r="483" spans="1:43" ht="15" customHeight="1">
      <c r="A483" s="593" t="str">
        <f>+input!B52</f>
        <v>125j</v>
      </c>
      <c r="B483" s="848" t="str">
        <f>Stress!C881</f>
        <v>Negative</v>
      </c>
      <c r="C483" s="1044">
        <f t="shared" si="20"/>
        <v>8</v>
      </c>
      <c r="D483" s="596">
        <f t="shared" si="21"/>
        <v>1494.4306597802793</v>
      </c>
      <c r="E483" s="596">
        <f>IF(OR(C483=1,C483="a"),input!R52+input!P52+D483,IF(OR(C483=8,C483="b",C483="c",C483="d"),input!M52-D483,IF(C483=2,input!R52+input!P52-input!H52+D483,IF(C483=9,input!H52-D483+input!M52,D483))))</f>
        <v>1305.5693402197207</v>
      </c>
      <c r="F483" s="596">
        <f>input!H52</f>
        <v>22</v>
      </c>
      <c r="G483" s="596">
        <f>input!K52</f>
        <v>18</v>
      </c>
      <c r="H483" s="596">
        <f>input!M52</f>
        <v>2800</v>
      </c>
      <c r="I483" s="596">
        <f>input!R52</f>
        <v>0</v>
      </c>
      <c r="J483" s="596">
        <f>input!P52</f>
        <v>290</v>
      </c>
      <c r="K483" s="596">
        <f t="shared" si="22"/>
        <v>2822</v>
      </c>
      <c r="L483" s="594">
        <f t="shared" si="23"/>
        <v>1185.24</v>
      </c>
      <c r="M483" s="609" t="str">
        <f>IF(AND(Stress!F881&gt;=0,input!O52=0),"-",IF(E483&lt;=0.42*K483,"OK","NG"))</f>
        <v>-</v>
      </c>
      <c r="O483" s="257"/>
      <c r="Q483" s="73"/>
      <c r="R483" s="559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E483" s="143"/>
      <c r="AF483" s="143"/>
      <c r="AG483" s="143"/>
      <c r="AH483" s="143"/>
      <c r="AI483" s="143"/>
      <c r="AJ483" s="143"/>
      <c r="AK483" s="143"/>
      <c r="AL483" s="143"/>
      <c r="AM483" s="143"/>
      <c r="AN483" s="143"/>
      <c r="AO483" s="143"/>
      <c r="AP483" s="143"/>
      <c r="AQ483" s="143"/>
    </row>
    <row r="484" spans="1:43" ht="15" customHeight="1">
      <c r="A484" s="593" t="str">
        <f>+input!B53</f>
        <v>126i</v>
      </c>
      <c r="B484" s="848" t="str">
        <f>Stress!C882</f>
        <v>Negative</v>
      </c>
      <c r="C484" s="1044">
        <f t="shared" si="20"/>
        <v>8</v>
      </c>
      <c r="D484" s="596">
        <f t="shared" si="21"/>
        <v>1494.4306597802793</v>
      </c>
      <c r="E484" s="596">
        <f>IF(OR(C484=1,C484="a"),input!R53+input!P53+D484,IF(OR(C484=8,C484="b",C484="c",C484="d"),input!M53-D484,IF(C484=2,input!R53+input!P53-input!H53+D484,IF(C484=9,input!H53-D484+input!M53,D484))))</f>
        <v>1305.5693402197207</v>
      </c>
      <c r="F484" s="596">
        <f>input!H53</f>
        <v>22</v>
      </c>
      <c r="G484" s="596">
        <f>input!K53</f>
        <v>18</v>
      </c>
      <c r="H484" s="596">
        <f>input!M53</f>
        <v>2800</v>
      </c>
      <c r="I484" s="596">
        <f>input!R53</f>
        <v>0</v>
      </c>
      <c r="J484" s="596">
        <f>input!P53</f>
        <v>290</v>
      </c>
      <c r="K484" s="596">
        <f t="shared" si="22"/>
        <v>2822</v>
      </c>
      <c r="L484" s="594">
        <f t="shared" si="23"/>
        <v>1185.24</v>
      </c>
      <c r="M484" s="609" t="str">
        <f>IF(AND(Stress!F882&gt;=0,input!O53=0),"-",IF(E484&lt;=0.42*K484,"OK","NG"))</f>
        <v>-</v>
      </c>
      <c r="O484" s="257"/>
      <c r="Q484" s="73"/>
      <c r="R484" s="559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E484" s="143"/>
      <c r="AF484" s="143"/>
      <c r="AG484" s="143"/>
      <c r="AH484" s="143"/>
      <c r="AI484" s="143"/>
      <c r="AJ484" s="143"/>
      <c r="AK484" s="143"/>
      <c r="AL484" s="143"/>
      <c r="AM484" s="143"/>
      <c r="AN484" s="143"/>
      <c r="AO484" s="143"/>
      <c r="AP484" s="143"/>
      <c r="AQ484" s="143"/>
    </row>
    <row r="485" spans="1:43" ht="15" customHeight="1">
      <c r="A485" s="593" t="str">
        <f>+input!B54</f>
        <v>126j</v>
      </c>
      <c r="B485" s="848" t="str">
        <f>Stress!C883</f>
        <v>Negative</v>
      </c>
      <c r="C485" s="1044">
        <f t="shared" si="20"/>
        <v>8</v>
      </c>
      <c r="D485" s="596">
        <f t="shared" si="21"/>
        <v>1494.4306597802793</v>
      </c>
      <c r="E485" s="596">
        <f>IF(OR(C485=1,C485="a"),input!R54+input!P54+D485,IF(OR(C485=8,C485="b",C485="c",C485="d"),input!M54-D485,IF(C485=2,input!R54+input!P54-input!H54+D485,IF(C485=9,input!H54-D485+input!M54,D485))))</f>
        <v>1305.5693402197207</v>
      </c>
      <c r="F485" s="596">
        <f>input!H54</f>
        <v>22</v>
      </c>
      <c r="G485" s="596">
        <f>input!K54</f>
        <v>18</v>
      </c>
      <c r="H485" s="596">
        <f>input!M54</f>
        <v>2800</v>
      </c>
      <c r="I485" s="596">
        <f>input!R54</f>
        <v>0</v>
      </c>
      <c r="J485" s="596">
        <f>input!P54</f>
        <v>290</v>
      </c>
      <c r="K485" s="596">
        <f t="shared" si="22"/>
        <v>2822</v>
      </c>
      <c r="L485" s="594">
        <f t="shared" si="23"/>
        <v>1185.24</v>
      </c>
      <c r="M485" s="609" t="str">
        <f>IF(AND(Stress!F883&gt;=0,input!O54=0),"-",IF(E485&lt;=0.42*K485,"OK","NG"))</f>
        <v>-</v>
      </c>
      <c r="O485" s="257"/>
      <c r="Q485" s="73"/>
      <c r="R485" s="559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E485" s="143"/>
      <c r="AF485" s="143"/>
      <c r="AG485" s="143"/>
      <c r="AH485" s="143"/>
      <c r="AI485" s="143"/>
      <c r="AJ485" s="143"/>
      <c r="AK485" s="143"/>
      <c r="AL485" s="143"/>
      <c r="AM485" s="143"/>
      <c r="AN485" s="143"/>
      <c r="AO485" s="143"/>
      <c r="AP485" s="143"/>
      <c r="AQ485" s="143"/>
    </row>
    <row r="486" spans="1:43" ht="15" customHeight="1">
      <c r="A486" s="593" t="str">
        <f>+input!B55</f>
        <v>127i</v>
      </c>
      <c r="B486" s="848" t="str">
        <f>Stress!C884</f>
        <v>Negative</v>
      </c>
      <c r="C486" s="1044">
        <f t="shared" si="20"/>
        <v>8</v>
      </c>
      <c r="D486" s="596">
        <f t="shared" si="21"/>
        <v>1151.0000256425724</v>
      </c>
      <c r="E486" s="596">
        <f>IF(OR(C486=1,C486="a"),input!R55+input!P55+D486,IF(OR(C486=8,C486="b",C486="c",C486="d"),input!M55-D486,IF(C486=2,input!R55+input!P55-input!H55+D486,IF(C486=9,input!H55-D486+input!M55,D486))))</f>
        <v>1648.9999743574276</v>
      </c>
      <c r="F486" s="596">
        <f>input!H55</f>
        <v>22</v>
      </c>
      <c r="G486" s="596">
        <f>input!K55</f>
        <v>10</v>
      </c>
      <c r="H486" s="596">
        <f>input!M55</f>
        <v>2800</v>
      </c>
      <c r="I486" s="596">
        <f>input!R55</f>
        <v>0</v>
      </c>
      <c r="J486" s="596">
        <f>input!P55</f>
        <v>290</v>
      </c>
      <c r="K486" s="596">
        <f t="shared" si="22"/>
        <v>2822</v>
      </c>
      <c r="L486" s="594">
        <f t="shared" si="23"/>
        <v>1185.24</v>
      </c>
      <c r="M486" s="609" t="str">
        <f>IF(AND(Stress!F884&gt;=0,input!O55=0),"-",IF(E486&lt;=0.42*K486,"OK","NG"))</f>
        <v>-</v>
      </c>
      <c r="O486" s="257"/>
      <c r="Q486" s="73"/>
      <c r="R486" s="559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E486" s="143"/>
      <c r="AF486" s="143"/>
      <c r="AG486" s="14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</row>
    <row r="487" spans="1:43" ht="15" customHeight="1">
      <c r="A487" s="593" t="str">
        <f>+input!B56</f>
        <v>127j</v>
      </c>
      <c r="B487" s="848" t="str">
        <f>Stress!C885</f>
        <v>Positive</v>
      </c>
      <c r="C487" s="1044">
        <f t="shared" si="20"/>
        <v>5</v>
      </c>
      <c r="D487" s="596">
        <f t="shared" si="21"/>
        <v>249.52550703213799</v>
      </c>
      <c r="E487" s="596">
        <f>IF(OR(C487=1,C487="a"),input!R56+input!P56+D487,IF(OR(C487=8,C487="b",C487="c",C487="d"),input!M56-D487,IF(C487=2,input!R56+input!P56-input!H56+D487,IF(C487=9,input!H56-D487+input!M56,D487))))</f>
        <v>249.52550703213799</v>
      </c>
      <c r="F487" s="596">
        <f>input!H56</f>
        <v>22</v>
      </c>
      <c r="G487" s="596">
        <f>input!K56</f>
        <v>10</v>
      </c>
      <c r="H487" s="596">
        <f>input!M56</f>
        <v>2800</v>
      </c>
      <c r="I487" s="596">
        <f>input!R56</f>
        <v>0</v>
      </c>
      <c r="J487" s="596">
        <f>input!P56</f>
        <v>290</v>
      </c>
      <c r="K487" s="596">
        <f t="shared" si="22"/>
        <v>3100</v>
      </c>
      <c r="L487" s="594">
        <f t="shared" si="23"/>
        <v>1302</v>
      </c>
      <c r="M487" s="609" t="str">
        <f>IF(AND(Stress!F885&gt;=0,input!O56=0),"-",IF(E487&lt;=0.42*K487,"OK","NG"))</f>
        <v>OK</v>
      </c>
      <c r="O487" s="257"/>
      <c r="Q487" s="73"/>
      <c r="R487" s="559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E487" s="143"/>
      <c r="AF487" s="143"/>
      <c r="AG487" s="143"/>
      <c r="AH487" s="143"/>
      <c r="AI487" s="143"/>
      <c r="AJ487" s="143"/>
      <c r="AK487" s="143"/>
      <c r="AL487" s="143"/>
      <c r="AM487" s="143"/>
      <c r="AN487" s="143"/>
      <c r="AO487" s="143"/>
      <c r="AP487" s="143"/>
      <c r="AQ487" s="143"/>
    </row>
    <row r="488" spans="1:43" ht="15" customHeight="1">
      <c r="A488" s="593" t="str">
        <f>+input!B57</f>
        <v>128i</v>
      </c>
      <c r="B488" s="848" t="str">
        <f>Stress!C886</f>
        <v>Positive</v>
      </c>
      <c r="C488" s="1044">
        <f t="shared" si="20"/>
        <v>5</v>
      </c>
      <c r="D488" s="596">
        <f t="shared" si="21"/>
        <v>249.52550703213799</v>
      </c>
      <c r="E488" s="596">
        <f>IF(OR(C488=1,C488="a"),input!R57+input!P57+D488,IF(OR(C488=8,C488="b",C488="c",C488="d"),input!M57-D488,IF(C488=2,input!R57+input!P57-input!H57+D488,IF(C488=9,input!H57-D488+input!M57,D488))))</f>
        <v>249.52550703213799</v>
      </c>
      <c r="F488" s="596">
        <f>input!H57</f>
        <v>22</v>
      </c>
      <c r="G488" s="596">
        <f>input!K57</f>
        <v>10</v>
      </c>
      <c r="H488" s="596">
        <f>input!M57</f>
        <v>2800</v>
      </c>
      <c r="I488" s="596">
        <f>input!R57</f>
        <v>0</v>
      </c>
      <c r="J488" s="596">
        <f>input!P57</f>
        <v>290</v>
      </c>
      <c r="K488" s="596">
        <f t="shared" si="22"/>
        <v>3100</v>
      </c>
      <c r="L488" s="594">
        <f t="shared" si="23"/>
        <v>1302</v>
      </c>
      <c r="M488" s="609" t="str">
        <f>IF(AND(Stress!F886&gt;=0,input!O57=0),"-",IF(E488&lt;=0.42*K488,"OK","NG"))</f>
        <v>OK</v>
      </c>
      <c r="O488" s="257"/>
      <c r="Q488" s="73"/>
      <c r="R488" s="559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E488" s="143"/>
      <c r="AF488" s="143"/>
      <c r="AG488" s="143"/>
      <c r="AH488" s="143"/>
      <c r="AI488" s="143"/>
      <c r="AJ488" s="143"/>
      <c r="AK488" s="143"/>
      <c r="AL488" s="143"/>
      <c r="AM488" s="143"/>
      <c r="AN488" s="143"/>
      <c r="AO488" s="143"/>
      <c r="AP488" s="143"/>
      <c r="AQ488" s="143"/>
    </row>
    <row r="489" spans="1:43" ht="15" customHeight="1">
      <c r="A489" s="593" t="str">
        <f>+input!B58</f>
        <v>128j</v>
      </c>
      <c r="B489" s="848" t="str">
        <f>Stress!C887</f>
        <v>Positive</v>
      </c>
      <c r="C489" s="1044">
        <f t="shared" si="20"/>
        <v>5</v>
      </c>
      <c r="D489" s="596">
        <f t="shared" si="21"/>
        <v>249.52550703213799</v>
      </c>
      <c r="E489" s="596">
        <f>IF(OR(C489=1,C489="a"),input!R58+input!P58+D489,IF(OR(C489=8,C489="b",C489="c",C489="d"),input!M58-D489,IF(C489=2,input!R58+input!P58-input!H58+D489,IF(C489=9,input!H58-D489+input!M58,D489))))</f>
        <v>249.52550703213799</v>
      </c>
      <c r="F489" s="596">
        <f>input!H58</f>
        <v>22</v>
      </c>
      <c r="G489" s="596">
        <f>input!K58</f>
        <v>10</v>
      </c>
      <c r="H489" s="596">
        <f>input!M58</f>
        <v>2800</v>
      </c>
      <c r="I489" s="596">
        <f>input!R58</f>
        <v>0</v>
      </c>
      <c r="J489" s="596">
        <f>input!P58</f>
        <v>290</v>
      </c>
      <c r="K489" s="596">
        <f t="shared" si="22"/>
        <v>3100</v>
      </c>
      <c r="L489" s="594">
        <f t="shared" si="23"/>
        <v>1302</v>
      </c>
      <c r="M489" s="609" t="str">
        <f>IF(AND(Stress!F887&gt;=0,input!O58=0),"-",IF(E489&lt;=0.42*K489,"OK","NG"))</f>
        <v>OK</v>
      </c>
      <c r="O489" s="257"/>
      <c r="Q489" s="73"/>
      <c r="R489" s="559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E489" s="143"/>
      <c r="AF489" s="143"/>
      <c r="AG489" s="143"/>
      <c r="AH489" s="143"/>
      <c r="AI489" s="143"/>
      <c r="AJ489" s="143"/>
      <c r="AK489" s="143"/>
      <c r="AL489" s="143"/>
      <c r="AM489" s="143"/>
      <c r="AN489" s="143"/>
      <c r="AO489" s="143"/>
      <c r="AP489" s="143"/>
      <c r="AQ489" s="143"/>
    </row>
    <row r="490" spans="1:43" ht="15" customHeight="1">
      <c r="A490" s="593" t="str">
        <f>+input!B59</f>
        <v>129i</v>
      </c>
      <c r="B490" s="848" t="str">
        <f>Stress!C888</f>
        <v>Positive</v>
      </c>
      <c r="C490" s="1044">
        <f t="shared" si="20"/>
        <v>5</v>
      </c>
      <c r="D490" s="596">
        <f t="shared" si="21"/>
        <v>249.52550703213799</v>
      </c>
      <c r="E490" s="596">
        <f>IF(OR(C490=1,C490="a"),input!R59+input!P59+D490,IF(OR(C490=8,C490="b",C490="c",C490="d"),input!M59-D490,IF(C490=2,input!R59+input!P59-input!H59+D490,IF(C490=9,input!H59-D490+input!M59,D490))))</f>
        <v>249.52550703213799</v>
      </c>
      <c r="F490" s="596">
        <f>input!H59</f>
        <v>22</v>
      </c>
      <c r="G490" s="596">
        <f>input!K59</f>
        <v>10</v>
      </c>
      <c r="H490" s="596">
        <f>input!M59</f>
        <v>2800</v>
      </c>
      <c r="I490" s="596">
        <f>input!R59</f>
        <v>0</v>
      </c>
      <c r="J490" s="596">
        <f>input!P59</f>
        <v>290</v>
      </c>
      <c r="K490" s="596">
        <f t="shared" si="22"/>
        <v>3100</v>
      </c>
      <c r="L490" s="594">
        <f t="shared" si="23"/>
        <v>1302</v>
      </c>
      <c r="M490" s="609" t="str">
        <f>IF(AND(Stress!F888&gt;=0,input!O59=0),"-",IF(E490&lt;=0.42*K490,"OK","NG"))</f>
        <v>OK</v>
      </c>
      <c r="O490" s="257"/>
      <c r="Q490" s="73"/>
      <c r="R490" s="559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E490" s="143"/>
      <c r="AF490" s="143"/>
      <c r="AG490" s="143"/>
      <c r="AH490" s="143"/>
      <c r="AI490" s="143"/>
      <c r="AJ490" s="143"/>
      <c r="AK490" s="143"/>
      <c r="AL490" s="143"/>
      <c r="AM490" s="143"/>
      <c r="AN490" s="143"/>
      <c r="AO490" s="143"/>
      <c r="AP490" s="143"/>
      <c r="AQ490" s="143"/>
    </row>
    <row r="491" spans="1:43" ht="15" customHeight="1">
      <c r="A491" s="593" t="str">
        <f>+input!B60</f>
        <v>129j</v>
      </c>
      <c r="B491" s="848" t="str">
        <f>Stress!C889</f>
        <v>Positive</v>
      </c>
      <c r="C491" s="1044">
        <f t="shared" si="20"/>
        <v>5</v>
      </c>
      <c r="D491" s="596">
        <f t="shared" si="21"/>
        <v>249.52550703213799</v>
      </c>
      <c r="E491" s="596">
        <f>IF(OR(C491=1,C491="a"),input!R60+input!P60+D491,IF(OR(C491=8,C491="b",C491="c",C491="d"),input!M60-D491,IF(C491=2,input!R60+input!P60-input!H60+D491,IF(C491=9,input!H60-D491+input!M60,D491))))</f>
        <v>249.52550703213799</v>
      </c>
      <c r="F491" s="596">
        <f>input!H60</f>
        <v>22</v>
      </c>
      <c r="G491" s="596">
        <f>input!K60</f>
        <v>10</v>
      </c>
      <c r="H491" s="596">
        <f>input!M60</f>
        <v>2800</v>
      </c>
      <c r="I491" s="596">
        <f>input!R60</f>
        <v>0</v>
      </c>
      <c r="J491" s="596">
        <f>input!P60</f>
        <v>290</v>
      </c>
      <c r="K491" s="596">
        <f t="shared" si="22"/>
        <v>3100</v>
      </c>
      <c r="L491" s="594">
        <f t="shared" si="23"/>
        <v>1302</v>
      </c>
      <c r="M491" s="609" t="str">
        <f>IF(AND(Stress!F889&gt;=0,input!O60=0),"-",IF(E491&lt;=0.42*K491,"OK","NG"))</f>
        <v>OK</v>
      </c>
      <c r="O491" s="257"/>
      <c r="Q491" s="73"/>
      <c r="R491" s="559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E491" s="143"/>
      <c r="AF491" s="143"/>
      <c r="AG491" s="143"/>
      <c r="AH491" s="143"/>
      <c r="AI491" s="143"/>
      <c r="AJ491" s="143"/>
      <c r="AK491" s="143"/>
      <c r="AL491" s="143"/>
      <c r="AM491" s="143"/>
      <c r="AN491" s="143"/>
      <c r="AO491" s="143"/>
      <c r="AP491" s="143"/>
      <c r="AQ491" s="143"/>
    </row>
    <row r="492" spans="1:43" ht="15" customHeight="1">
      <c r="A492" s="593" t="str">
        <f>+input!B61</f>
        <v>130i</v>
      </c>
      <c r="B492" s="848" t="str">
        <f>Stress!C890</f>
        <v>Positive</v>
      </c>
      <c r="C492" s="1044">
        <f t="shared" si="20"/>
        <v>5</v>
      </c>
      <c r="D492" s="596">
        <f t="shared" si="21"/>
        <v>241.22334554156799</v>
      </c>
      <c r="E492" s="596">
        <f>IF(OR(C492=1,C492="a"),input!R61+input!P61+D492,IF(OR(C492=8,C492="b",C492="c",C492="d"),input!M61-D492,IF(C492=2,input!R61+input!P61-input!H61+D492,IF(C492=9,input!H61-D492+input!M61,D492))))</f>
        <v>241.22334554156799</v>
      </c>
      <c r="F492" s="596">
        <f>input!H61</f>
        <v>22</v>
      </c>
      <c r="G492" s="596">
        <f>input!K61</f>
        <v>10</v>
      </c>
      <c r="H492" s="596">
        <f>input!M61</f>
        <v>2600</v>
      </c>
      <c r="I492" s="596">
        <f>input!R61</f>
        <v>0</v>
      </c>
      <c r="J492" s="596">
        <f>input!P61</f>
        <v>290</v>
      </c>
      <c r="K492" s="596">
        <f t="shared" si="22"/>
        <v>2900</v>
      </c>
      <c r="L492" s="594">
        <f t="shared" si="23"/>
        <v>1218</v>
      </c>
      <c r="M492" s="609" t="str">
        <f>IF(AND(Stress!F890&gt;=0,input!O61=0),"-",IF(E492&lt;=0.42*K492,"OK","NG"))</f>
        <v>OK</v>
      </c>
      <c r="O492" s="257"/>
      <c r="Q492" s="73"/>
      <c r="R492" s="559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E492" s="143"/>
      <c r="AF492" s="143"/>
      <c r="AG492" s="14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</row>
    <row r="493" spans="1:43" ht="15" customHeight="1">
      <c r="A493" s="593" t="str">
        <f>+input!B62</f>
        <v>130j</v>
      </c>
      <c r="B493" s="848" t="str">
        <f>Stress!C891</f>
        <v>Negative</v>
      </c>
      <c r="C493" s="1044">
        <f t="shared" si="20"/>
        <v>8</v>
      </c>
      <c r="D493" s="596">
        <f t="shared" si="21"/>
        <v>1051.0000256425722</v>
      </c>
      <c r="E493" s="596">
        <f>IF(OR(C493=1,C493="a"),input!R62+input!P62+D493,IF(OR(C493=8,C493="b",C493="c",C493="d"),input!M62-D493,IF(C493=2,input!R62+input!P62-input!H62+D493,IF(C493=9,input!H62-D493+input!M62,D493))))</f>
        <v>1548.9999743574278</v>
      </c>
      <c r="F493" s="596">
        <f>input!H62</f>
        <v>22</v>
      </c>
      <c r="G493" s="596">
        <f>input!K62</f>
        <v>10</v>
      </c>
      <c r="H493" s="596">
        <f>input!M62</f>
        <v>2600</v>
      </c>
      <c r="I493" s="596">
        <f>input!R62</f>
        <v>0</v>
      </c>
      <c r="J493" s="596">
        <f>input!P62</f>
        <v>290</v>
      </c>
      <c r="K493" s="596">
        <f t="shared" si="22"/>
        <v>2622</v>
      </c>
      <c r="L493" s="594">
        <f t="shared" si="23"/>
        <v>1101.24</v>
      </c>
      <c r="M493" s="609" t="str">
        <f>IF(AND(Stress!F891&gt;=0,input!O62=0),"-",IF(E493&lt;=0.42*K493,"OK","NG"))</f>
        <v>-</v>
      </c>
      <c r="O493" s="257"/>
      <c r="Q493" s="73"/>
      <c r="R493" s="559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E493" s="143"/>
      <c r="AF493" s="143"/>
      <c r="AG493" s="143"/>
      <c r="AH493" s="143"/>
      <c r="AI493" s="143"/>
      <c r="AJ493" s="143"/>
      <c r="AK493" s="143"/>
      <c r="AL493" s="143"/>
      <c r="AM493" s="143"/>
      <c r="AN493" s="143"/>
      <c r="AO493" s="143"/>
      <c r="AP493" s="143"/>
      <c r="AQ493" s="143"/>
    </row>
    <row r="494" spans="1:43" ht="15" customHeight="1">
      <c r="A494" s="593" t="str">
        <f>+input!B63</f>
        <v>131i</v>
      </c>
      <c r="B494" s="848" t="str">
        <f>Stress!C892</f>
        <v>Negative</v>
      </c>
      <c r="C494" s="1044">
        <f t="shared" si="20"/>
        <v>8</v>
      </c>
      <c r="D494" s="596">
        <f t="shared" si="21"/>
        <v>1051.0000256425722</v>
      </c>
      <c r="E494" s="596">
        <f>IF(OR(C494=1,C494="a"),input!R63+input!P63+D494,IF(OR(C494=8,C494="b",C494="c",C494="d"),input!M63-D494,IF(C494=2,input!R63+input!P63-input!H63+D494,IF(C494=9,input!H63-D494+input!M63,D494))))</f>
        <v>1548.9999743574278</v>
      </c>
      <c r="F494" s="596">
        <f>input!H63</f>
        <v>22</v>
      </c>
      <c r="G494" s="596">
        <f>input!K63</f>
        <v>10</v>
      </c>
      <c r="H494" s="596">
        <f>input!M63</f>
        <v>2600</v>
      </c>
      <c r="I494" s="596">
        <f>input!R63</f>
        <v>0</v>
      </c>
      <c r="J494" s="596">
        <f>input!P63</f>
        <v>290</v>
      </c>
      <c r="K494" s="596">
        <f t="shared" si="22"/>
        <v>2622</v>
      </c>
      <c r="L494" s="594">
        <f t="shared" si="23"/>
        <v>1101.24</v>
      </c>
      <c r="M494" s="609" t="str">
        <f>IF(AND(Stress!F892&gt;=0,input!O63=0),"-",IF(E494&lt;=0.42*K494,"OK","NG"))</f>
        <v>-</v>
      </c>
      <c r="O494" s="257"/>
      <c r="Q494" s="73"/>
      <c r="R494" s="559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E494" s="143"/>
      <c r="AF494" s="143"/>
      <c r="AG494" s="143"/>
      <c r="AH494" s="143"/>
      <c r="AI494" s="143"/>
      <c r="AJ494" s="143"/>
      <c r="AK494" s="143"/>
      <c r="AL494" s="143"/>
      <c r="AM494" s="143"/>
      <c r="AN494" s="143"/>
      <c r="AO494" s="143"/>
      <c r="AP494" s="143"/>
      <c r="AQ494" s="143"/>
    </row>
    <row r="495" spans="1:43" ht="15" customHeight="1">
      <c r="A495" s="593" t="str">
        <f>+input!B64</f>
        <v>131j</v>
      </c>
      <c r="B495" s="848" t="str">
        <f>Stress!C893</f>
        <v>Positive</v>
      </c>
      <c r="C495" s="1044">
        <f t="shared" si="20"/>
        <v>5</v>
      </c>
      <c r="D495" s="596">
        <f t="shared" si="21"/>
        <v>241.22334554156799</v>
      </c>
      <c r="E495" s="596">
        <f>IF(OR(C495=1,C495="a"),input!R64+input!P64+D495,IF(OR(C495=8,C495="b",C495="c",C495="d"),input!M64-D495,IF(C495=2,input!R64+input!P64-input!H64+D495,IF(C495=9,input!H64-D495+input!M64,D495))))</f>
        <v>241.22334554156799</v>
      </c>
      <c r="F495" s="596">
        <f>input!H64</f>
        <v>22</v>
      </c>
      <c r="G495" s="596">
        <f>input!K64</f>
        <v>10</v>
      </c>
      <c r="H495" s="596">
        <f>input!M64</f>
        <v>2600</v>
      </c>
      <c r="I495" s="596">
        <f>input!R64</f>
        <v>0</v>
      </c>
      <c r="J495" s="596">
        <f>input!P64</f>
        <v>290</v>
      </c>
      <c r="K495" s="596">
        <f t="shared" si="22"/>
        <v>2900</v>
      </c>
      <c r="L495" s="594">
        <f t="shared" si="23"/>
        <v>1218</v>
      </c>
      <c r="M495" s="609" t="str">
        <f>IF(AND(Stress!F893&gt;=0,input!O64=0),"-",IF(E495&lt;=0.42*K495,"OK","NG"))</f>
        <v>-</v>
      </c>
      <c r="O495" s="257"/>
      <c r="Q495" s="73"/>
      <c r="R495" s="559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E495" s="143"/>
      <c r="AF495" s="143"/>
      <c r="AG495" s="143"/>
      <c r="AH495" s="143"/>
      <c r="AI495" s="143"/>
      <c r="AJ495" s="143"/>
      <c r="AK495" s="143"/>
      <c r="AL495" s="143"/>
      <c r="AM495" s="143"/>
      <c r="AN495" s="143"/>
      <c r="AO495" s="143"/>
      <c r="AP495" s="143"/>
      <c r="AQ495" s="143"/>
    </row>
    <row r="497" spans="1:31" ht="15" customHeight="1">
      <c r="G497" s="4"/>
      <c r="H497" s="4"/>
      <c r="I497" s="4"/>
      <c r="O497" s="52"/>
      <c r="X497" s="257"/>
      <c r="AB497" s="143"/>
      <c r="AC497" s="257"/>
      <c r="AE497" s="73"/>
    </row>
    <row r="498" spans="1:31" ht="15" customHeight="1">
      <c r="A498" s="207" t="s">
        <v>754</v>
      </c>
      <c r="G498" s="4"/>
      <c r="H498" s="4"/>
      <c r="I498" s="4"/>
      <c r="L498" s="283"/>
      <c r="O498" s="52"/>
      <c r="AB498" s="207"/>
    </row>
    <row r="499" spans="1:31" ht="15" customHeight="1">
      <c r="A499" s="207"/>
      <c r="B499" s="143" t="s">
        <v>628</v>
      </c>
      <c r="C499" s="143" t="s">
        <v>635</v>
      </c>
      <c r="G499" s="4"/>
      <c r="H499" s="4"/>
      <c r="I499" s="4"/>
      <c r="L499" s="289"/>
      <c r="N499" s="137" t="s">
        <v>634</v>
      </c>
      <c r="Z499" s="289"/>
      <c r="AB499" s="207"/>
    </row>
    <row r="500" spans="1:31" ht="15" customHeight="1">
      <c r="A500" s="207"/>
      <c r="B500" s="143" t="s">
        <v>636</v>
      </c>
      <c r="C500" s="143" t="s">
        <v>637</v>
      </c>
      <c r="G500" s="4"/>
      <c r="H500" s="4"/>
      <c r="I500" s="4"/>
      <c r="L500" s="289"/>
      <c r="N500" s="52"/>
      <c r="Z500" s="289"/>
      <c r="AB500" s="207"/>
    </row>
    <row r="501" spans="1:31" ht="15" customHeight="1">
      <c r="A501" s="207"/>
      <c r="G501" s="4"/>
      <c r="H501" s="4"/>
      <c r="I501" s="4"/>
      <c r="L501" s="283"/>
      <c r="N501" s="52"/>
      <c r="Z501" s="278"/>
      <c r="AB501" s="207"/>
    </row>
    <row r="502" spans="1:31" ht="15" customHeight="1">
      <c r="C502" s="147"/>
      <c r="E502" s="120"/>
      <c r="G502" s="4"/>
      <c r="H502" s="4"/>
      <c r="I502" s="4"/>
      <c r="L502" s="283"/>
      <c r="N502" s="52"/>
      <c r="Z502" s="278"/>
      <c r="AB502" s="278"/>
    </row>
    <row r="503" spans="1:31" ht="15" customHeight="1">
      <c r="C503" s="147"/>
      <c r="E503" s="120"/>
      <c r="G503" s="4"/>
      <c r="H503" s="4"/>
      <c r="I503" s="4"/>
      <c r="L503" s="283"/>
      <c r="N503" s="52"/>
      <c r="Z503" s="278"/>
      <c r="AB503" s="278"/>
    </row>
    <row r="504" spans="1:31" ht="15" customHeight="1">
      <c r="C504" s="170"/>
      <c r="D504" s="138"/>
      <c r="E504" s="170"/>
      <c r="G504" s="4"/>
      <c r="H504" s="4"/>
      <c r="I504" s="4"/>
      <c r="L504" s="283"/>
      <c r="N504" s="52"/>
      <c r="Z504" s="278"/>
      <c r="AB504" s="278"/>
    </row>
    <row r="505" spans="1:31" ht="15" customHeight="1">
      <c r="C505" s="170"/>
      <c r="D505" s="138"/>
      <c r="E505" s="170"/>
      <c r="G505" s="4"/>
      <c r="H505" s="4"/>
      <c r="I505" s="4"/>
      <c r="L505" s="283"/>
      <c r="N505" s="52"/>
      <c r="Z505" s="278"/>
      <c r="AB505" s="278"/>
    </row>
    <row r="506" spans="1:31" ht="15" customHeight="1">
      <c r="B506" s="143" t="s">
        <v>638</v>
      </c>
      <c r="C506" s="170" t="s">
        <v>639</v>
      </c>
      <c r="D506" s="138"/>
      <c r="E506" s="170"/>
      <c r="G506" s="4"/>
      <c r="H506" s="4"/>
      <c r="I506" s="4"/>
      <c r="L506" s="289"/>
      <c r="N506" s="137" t="s">
        <v>640</v>
      </c>
      <c r="Z506" s="289"/>
      <c r="AB506" s="289"/>
    </row>
    <row r="507" spans="1:31" ht="15" customHeight="1">
      <c r="C507" s="170"/>
      <c r="D507" s="138"/>
      <c r="E507" s="170" t="s">
        <v>641</v>
      </c>
      <c r="G507" s="4"/>
      <c r="H507" s="4"/>
      <c r="I507" s="4"/>
      <c r="L507" s="289"/>
      <c r="O507" s="52"/>
      <c r="Z507" s="289"/>
      <c r="AB507" s="289"/>
    </row>
    <row r="508" spans="1:31" ht="15" customHeight="1" thickBot="1">
      <c r="C508" s="170"/>
      <c r="D508" s="138"/>
      <c r="E508" s="170"/>
      <c r="G508" s="4"/>
      <c r="H508" s="4"/>
      <c r="I508" s="4"/>
      <c r="L508" s="289"/>
      <c r="O508" s="52"/>
      <c r="Z508" s="289"/>
      <c r="AB508" s="289"/>
    </row>
    <row r="509" spans="1:31" ht="15" customHeight="1">
      <c r="C509" s="170"/>
      <c r="D509" s="1998" t="s">
        <v>654</v>
      </c>
      <c r="E509" s="1999"/>
      <c r="F509" s="2002" t="s">
        <v>656</v>
      </c>
      <c r="G509" s="2003"/>
      <c r="H509" s="1981" t="s">
        <v>658</v>
      </c>
      <c r="I509" s="2003"/>
      <c r="J509" s="1981" t="s">
        <v>657</v>
      </c>
      <c r="K509" s="1982"/>
      <c r="O509" s="52"/>
      <c r="Z509" s="289"/>
      <c r="AB509" s="289"/>
    </row>
    <row r="510" spans="1:31" ht="15" customHeight="1">
      <c r="C510" s="170"/>
      <c r="D510" s="2000"/>
      <c r="E510" s="2001"/>
      <c r="F510" s="1977" t="s">
        <v>660</v>
      </c>
      <c r="G510" s="1978"/>
      <c r="H510" s="1979" t="s">
        <v>653</v>
      </c>
      <c r="I510" s="1980"/>
      <c r="J510" s="646"/>
      <c r="K510" s="645"/>
      <c r="O510" s="52"/>
      <c r="Z510" s="289"/>
      <c r="AB510" s="289"/>
    </row>
    <row r="511" spans="1:31" ht="15" customHeight="1">
      <c r="C511" s="170"/>
      <c r="D511" s="1994" t="s">
        <v>663</v>
      </c>
      <c r="E511" s="1995"/>
      <c r="F511" s="1992">
        <f>Fck</f>
        <v>35</v>
      </c>
      <c r="G511" s="1989"/>
      <c r="H511" s="1988">
        <f>+F511*0.6</f>
        <v>21</v>
      </c>
      <c r="I511" s="1989"/>
      <c r="J511" s="1984">
        <f>Info!L15/Info!L21</f>
        <v>6.4337426860029305</v>
      </c>
      <c r="K511" s="1985"/>
      <c r="O511" s="52"/>
      <c r="Z511" s="289"/>
      <c r="AB511" s="289"/>
    </row>
    <row r="512" spans="1:31" ht="15" customHeight="1" thickBot="1">
      <c r="C512" s="170"/>
      <c r="D512" s="1996" t="s">
        <v>655</v>
      </c>
      <c r="E512" s="1997"/>
      <c r="F512" s="1993">
        <f>Fckb</f>
        <v>50</v>
      </c>
      <c r="G512" s="1991"/>
      <c r="H512" s="1990">
        <f>+F512*0.6</f>
        <v>30</v>
      </c>
      <c r="I512" s="1991"/>
      <c r="J512" s="1986">
        <f>Info!L15/Info!L26</f>
        <v>5.7028140935422975</v>
      </c>
      <c r="K512" s="1987"/>
      <c r="O512" s="52"/>
      <c r="Z512" s="289"/>
      <c r="AB512" s="289"/>
    </row>
    <row r="513" spans="1:43" ht="15" customHeight="1">
      <c r="C513" s="170"/>
      <c r="D513" s="138"/>
      <c r="E513" s="170"/>
      <c r="G513" s="4"/>
      <c r="H513" s="4"/>
      <c r="I513" s="4"/>
      <c r="L513" s="289"/>
      <c r="O513" s="52"/>
      <c r="Z513" s="289"/>
      <c r="AB513" s="289"/>
    </row>
    <row r="514" spans="1:43" ht="15" customHeight="1" thickBot="1">
      <c r="A514" s="468" t="s">
        <v>1636</v>
      </c>
      <c r="C514" s="170"/>
      <c r="D514" s="138"/>
      <c r="E514" s="170"/>
      <c r="G514" s="4"/>
      <c r="H514" s="4"/>
      <c r="I514" s="4"/>
      <c r="L514" s="466"/>
      <c r="O514" s="52"/>
      <c r="Z514" s="466"/>
      <c r="AB514" s="466"/>
    </row>
    <row r="515" spans="1:43" ht="15" customHeight="1">
      <c r="A515" s="535" t="s">
        <v>16</v>
      </c>
      <c r="B515" s="1918" t="s">
        <v>643</v>
      </c>
      <c r="C515" s="1911"/>
      <c r="D515" s="1911"/>
      <c r="E515" s="1911"/>
      <c r="F515" s="1919"/>
      <c r="G515" s="1918" t="s">
        <v>650</v>
      </c>
      <c r="H515" s="1911"/>
      <c r="I515" s="1919"/>
      <c r="J515" s="1918" t="s">
        <v>704</v>
      </c>
      <c r="K515" s="1919"/>
      <c r="L515" s="1918" t="s">
        <v>659</v>
      </c>
      <c r="M515" s="1912"/>
      <c r="O515" s="289"/>
      <c r="Q515" s="73"/>
      <c r="R515" s="559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E515" s="143"/>
      <c r="AF515" s="143"/>
      <c r="AG515" s="143"/>
      <c r="AH515" s="143"/>
      <c r="AI515" s="143"/>
      <c r="AJ515" s="143"/>
      <c r="AK515" s="143"/>
      <c r="AL515" s="143"/>
      <c r="AM515" s="143"/>
      <c r="AN515" s="143"/>
      <c r="AO515" s="143"/>
      <c r="AP515" s="143"/>
      <c r="AQ515" s="143"/>
    </row>
    <row r="516" spans="1:43" ht="15" customHeight="1">
      <c r="A516" s="537"/>
      <c r="B516" s="262" t="s">
        <v>644</v>
      </c>
      <c r="C516" s="262" t="s">
        <v>645</v>
      </c>
      <c r="D516" s="262" t="s">
        <v>642</v>
      </c>
      <c r="E516" s="262" t="s">
        <v>646</v>
      </c>
      <c r="F516" s="262" t="s">
        <v>647</v>
      </c>
      <c r="G516" s="262" t="s">
        <v>1611</v>
      </c>
      <c r="H516" s="262" t="s">
        <v>1612</v>
      </c>
      <c r="I516" s="262" t="s">
        <v>649</v>
      </c>
      <c r="J516" s="262" t="s">
        <v>916</v>
      </c>
      <c r="K516" s="262" t="s">
        <v>917</v>
      </c>
      <c r="L516" s="480" t="s">
        <v>651</v>
      </c>
      <c r="M516" s="648" t="s">
        <v>652</v>
      </c>
      <c r="Q516" s="73"/>
      <c r="R516" s="559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E516" s="143"/>
      <c r="AF516" s="143"/>
      <c r="AG516" s="143"/>
      <c r="AH516" s="143"/>
      <c r="AI516" s="143"/>
      <c r="AJ516" s="143"/>
      <c r="AK516" s="143"/>
      <c r="AL516" s="143"/>
      <c r="AM516" s="143"/>
      <c r="AN516" s="143"/>
      <c r="AO516" s="143"/>
      <c r="AP516" s="143"/>
      <c r="AQ516" s="143"/>
    </row>
    <row r="517" spans="1:43" ht="15" customHeight="1">
      <c r="A517" s="843" t="str">
        <f>+input!B3</f>
        <v>101i</v>
      </c>
      <c r="B517" s="844">
        <f>1.25*Stress!G49</f>
        <v>-3.7499999999999999E-2</v>
      </c>
      <c r="C517" s="844">
        <f>1.25*Stress!H49</f>
        <v>0</v>
      </c>
      <c r="D517" s="844">
        <f>1.5*Stress!I49</f>
        <v>1.4999999999999999E-2</v>
      </c>
      <c r="E517" s="844">
        <f>1.8*Stress!K49</f>
        <v>0</v>
      </c>
      <c r="F517" s="844">
        <f>1.8*Stress!J49</f>
        <v>0</v>
      </c>
      <c r="G517" s="818">
        <f>input!CS3/(input!CU3-input!K3)</f>
        <v>97507504.079295218</v>
      </c>
      <c r="H517" s="818">
        <f>input!DY3/(input!EA3-input!K3)</f>
        <v>106170523.50789456</v>
      </c>
      <c r="I517" s="818">
        <f>input!DI3/(input!BR3-input!DK3)</f>
        <v>480824349.65880078</v>
      </c>
      <c r="J517" s="845" t="str">
        <f>IF(B434="Positive",-(C517+D517+F517)/I517/$J$511*10^6,"-")</f>
        <v>-</v>
      </c>
      <c r="K517" s="845" t="str">
        <f>IF(OR(B434="Positive",input!O3=0),"-",-B517/G517/$J$512*10^6+(-C517-D517-E517)/H517/$J$512*10^6)</f>
        <v>-</v>
      </c>
      <c r="L517" s="846" t="str">
        <f t="shared" ref="L517:L548" si="24">IF(B434="Positive",IF(J517&lt;=$H$511,"OK","NG"),"-")</f>
        <v>-</v>
      </c>
      <c r="M517" s="847" t="str">
        <f>IF(OR(B434="Positive",input!O3=0),"-",IF(K517&lt;=$H$512,"OK","NG"))</f>
        <v>-</v>
      </c>
      <c r="Q517" s="73"/>
      <c r="R517" s="559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E517" s="143"/>
      <c r="AF517" s="143"/>
      <c r="AG517" s="143"/>
      <c r="AH517" s="143"/>
      <c r="AI517" s="143"/>
      <c r="AJ517" s="143"/>
      <c r="AK517" s="143"/>
      <c r="AL517" s="143"/>
      <c r="AM517" s="143"/>
      <c r="AN517" s="143"/>
      <c r="AO517" s="143"/>
      <c r="AP517" s="143"/>
      <c r="AQ517" s="143"/>
    </row>
    <row r="518" spans="1:43" ht="15" customHeight="1">
      <c r="A518" s="843" t="str">
        <f>+input!B4</f>
        <v>101j</v>
      </c>
      <c r="B518" s="844">
        <f>1.25*Stress!G50</f>
        <v>-11.012500000000001</v>
      </c>
      <c r="C518" s="844">
        <f>1.25*Stress!H50</f>
        <v>-1.5249999999999999</v>
      </c>
      <c r="D518" s="844">
        <f>1.5*Stress!I50</f>
        <v>-1.7999999999999998</v>
      </c>
      <c r="E518" s="844">
        <f>1.8*Stress!K50</f>
        <v>-257.88600000000002</v>
      </c>
      <c r="F518" s="844">
        <f>1.8*Stress!J50</f>
        <v>0</v>
      </c>
      <c r="G518" s="818">
        <f>input!CS4/(input!CU4-input!K4)</f>
        <v>97507504.079295218</v>
      </c>
      <c r="H518" s="818">
        <f>input!DY4/(input!EA4-input!K4)</f>
        <v>106170523.50789456</v>
      </c>
      <c r="I518" s="818">
        <f>input!DI4/(input!BR4-input!DK4)</f>
        <v>480824349.65880078</v>
      </c>
      <c r="J518" s="845" t="str">
        <f t="shared" ref="J518:J549" si="25">IF(B435="Positive",(C518+D518+F518)/I518/$J$511*10^6,"-")</f>
        <v>-</v>
      </c>
      <c r="K518" s="845" t="str">
        <f>IF(OR(B435="Positive",input!O4=0),"-",-B518/G518/$J$512*10^6+(-C518-D518-E518)/H518/$J$512*10^6)</f>
        <v>-</v>
      </c>
      <c r="L518" s="846" t="str">
        <f t="shared" si="24"/>
        <v>-</v>
      </c>
      <c r="M518" s="847" t="str">
        <f>IF(OR(B435="Positive",input!O4=0),"-",IF(K518&lt;=$H$512,"OK","NG"))</f>
        <v>-</v>
      </c>
      <c r="Q518" s="73"/>
      <c r="R518" s="559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E518" s="143"/>
      <c r="AF518" s="143"/>
      <c r="AG518" s="143"/>
      <c r="AH518" s="143"/>
      <c r="AI518" s="143"/>
      <c r="AJ518" s="143"/>
      <c r="AK518" s="143"/>
      <c r="AL518" s="143"/>
      <c r="AM518" s="143"/>
      <c r="AN518" s="143"/>
      <c r="AO518" s="143"/>
      <c r="AP518" s="143"/>
      <c r="AQ518" s="143"/>
    </row>
    <row r="519" spans="1:43" ht="15" customHeight="1">
      <c r="A519" s="843" t="str">
        <f>+input!B5</f>
        <v>102i</v>
      </c>
      <c r="B519" s="844">
        <f>1.25*Stress!G51</f>
        <v>-11.05</v>
      </c>
      <c r="C519" s="844">
        <f>1.25*Stress!H51</f>
        <v>-1.5125</v>
      </c>
      <c r="D519" s="844">
        <f>1.5*Stress!I51</f>
        <v>-1.7399999999999998</v>
      </c>
      <c r="E519" s="844">
        <f>1.8*Stress!K51</f>
        <v>-257.904</v>
      </c>
      <c r="F519" s="844">
        <f>1.8*Stress!J51</f>
        <v>-3.6</v>
      </c>
      <c r="G519" s="818">
        <f>input!CS5/(input!CU5-input!K5)</f>
        <v>97507504.079295218</v>
      </c>
      <c r="H519" s="818">
        <f>input!DY5/(input!EA5-input!K5)</f>
        <v>106170523.50789456</v>
      </c>
      <c r="I519" s="818">
        <f>input!DI5/(input!BR5-input!DK5)</f>
        <v>480824349.65880078</v>
      </c>
      <c r="J519" s="845" t="str">
        <f t="shared" si="25"/>
        <v>-</v>
      </c>
      <c r="K519" s="845" t="str">
        <f>IF(OR(B436="Positive",input!O5=0),"-",-B519/G519/$J$512*10^6+(-C519-D519-E519)/H519/$J$512*10^6)</f>
        <v>-</v>
      </c>
      <c r="L519" s="846" t="str">
        <f t="shared" si="24"/>
        <v>-</v>
      </c>
      <c r="M519" s="847" t="str">
        <f>IF(OR(B436="Positive",input!O5=0),"-",IF(K519&lt;=$H$512,"OK","NG"))</f>
        <v>-</v>
      </c>
      <c r="Q519" s="73"/>
      <c r="R519" s="559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E519" s="143"/>
      <c r="AF519" s="143"/>
      <c r="AG519" s="143"/>
      <c r="AH519" s="143"/>
      <c r="AI519" s="143"/>
      <c r="AJ519" s="143"/>
      <c r="AK519" s="143"/>
      <c r="AL519" s="143"/>
      <c r="AM519" s="143"/>
      <c r="AN519" s="143"/>
      <c r="AO519" s="143"/>
      <c r="AP519" s="143"/>
      <c r="AQ519" s="143"/>
    </row>
    <row r="520" spans="1:43" ht="15" customHeight="1">
      <c r="A520" s="843" t="str">
        <f>+input!B6</f>
        <v>102j</v>
      </c>
      <c r="B520" s="844">
        <f>1.25*Stress!G52</f>
        <v>4461.4125000000004</v>
      </c>
      <c r="C520" s="844">
        <f>1.25*Stress!H52</f>
        <v>1048.8125</v>
      </c>
      <c r="D520" s="844">
        <f>1.5*Stress!I52</f>
        <v>1105.605</v>
      </c>
      <c r="E520" s="844">
        <f>1.8*Stress!K52</f>
        <v>-418.82400000000001</v>
      </c>
      <c r="F520" s="844">
        <f>1.8*Stress!J52</f>
        <v>5495.2739999999994</v>
      </c>
      <c r="G520" s="818">
        <f>input!CS6/(input!CU6-input!K6)</f>
        <v>97507504.079295218</v>
      </c>
      <c r="H520" s="818">
        <f>input!DY6/(input!EA6-input!K6)</f>
        <v>106170523.50789456</v>
      </c>
      <c r="I520" s="818">
        <f>input!DI6/(input!BR6-input!DK6)</f>
        <v>480824349.65880078</v>
      </c>
      <c r="J520" s="848">
        <f>IF(B437="Positive",(C520+D520+F520)/I520/$J$511*10^6,"-")</f>
        <v>2.4728272657858699</v>
      </c>
      <c r="K520" s="845" t="str">
        <f>IF(OR(B437="Positive",input!O6=0),"-",-B520/G520/$J$512*10^6+(-C520-D520-E520)/H520/$J$512*10^6)</f>
        <v>-</v>
      </c>
      <c r="L520" s="846" t="str">
        <f t="shared" si="24"/>
        <v>OK</v>
      </c>
      <c r="M520" s="847" t="str">
        <f>IF(OR(B437="Positive",input!O6=0),"-",IF(K520&lt;=$H$512,"OK","NG"))</f>
        <v>-</v>
      </c>
      <c r="Q520" s="73"/>
      <c r="R520" s="559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E520" s="143"/>
      <c r="AF520" s="143"/>
      <c r="AG520" s="143"/>
      <c r="AH520" s="143"/>
      <c r="AI520" s="143"/>
      <c r="AJ520" s="143"/>
      <c r="AK520" s="143"/>
      <c r="AL520" s="143"/>
      <c r="AM520" s="143"/>
      <c r="AN520" s="143"/>
      <c r="AO520" s="143"/>
      <c r="AP520" s="143"/>
      <c r="AQ520" s="143"/>
    </row>
    <row r="521" spans="1:43" ht="15" customHeight="1">
      <c r="A521" s="843" t="str">
        <f>+input!B7</f>
        <v>103i</v>
      </c>
      <c r="B521" s="844">
        <f>1.25*Stress!G53</f>
        <v>4461.3999999999996</v>
      </c>
      <c r="C521" s="844">
        <f>1.25*Stress!H53</f>
        <v>1048.8125</v>
      </c>
      <c r="D521" s="844">
        <f>1.5*Stress!I53</f>
        <v>1105.605</v>
      </c>
      <c r="E521" s="844">
        <f>1.8*Stress!K53</f>
        <v>-418.82400000000001</v>
      </c>
      <c r="F521" s="844">
        <f>1.8*Stress!J53</f>
        <v>5495.2739999999994</v>
      </c>
      <c r="G521" s="818">
        <f>input!CS7/(input!CU7-input!K7)</f>
        <v>139215539.15503711</v>
      </c>
      <c r="H521" s="818">
        <f>input!DY7/(input!EA7-input!K7)</f>
        <v>148122151.45274645</v>
      </c>
      <c r="I521" s="818">
        <f>input!DI7/(input!BR7-input!DK7)</f>
        <v>576651336.4650172</v>
      </c>
      <c r="J521" s="848">
        <f t="shared" si="25"/>
        <v>2.0618968286431296</v>
      </c>
      <c r="K521" s="845" t="str">
        <f>IF(OR(B438="Positive",input!O7=0),"-",-B521/G521/$J$512*10^6+(-C521-D521-E521)/H521/$J$512*10^6)</f>
        <v>-</v>
      </c>
      <c r="L521" s="846" t="str">
        <f t="shared" si="24"/>
        <v>OK</v>
      </c>
      <c r="M521" s="847" t="str">
        <f>IF(OR(B438="Positive",input!O7=0),"-",IF(K521&lt;=$H$512,"OK","NG"))</f>
        <v>-</v>
      </c>
      <c r="Q521" s="73"/>
      <c r="R521" s="559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E521" s="143"/>
      <c r="AF521" s="143"/>
      <c r="AG521" s="143"/>
      <c r="AH521" s="143"/>
      <c r="AI521" s="143"/>
      <c r="AJ521" s="143"/>
      <c r="AK521" s="143"/>
      <c r="AL521" s="143"/>
      <c r="AM521" s="143"/>
      <c r="AN521" s="143"/>
      <c r="AO521" s="143"/>
      <c r="AP521" s="143"/>
      <c r="AQ521" s="143"/>
    </row>
    <row r="522" spans="1:43" ht="15" customHeight="1">
      <c r="A522" s="843" t="str">
        <f>+input!B8</f>
        <v>103j</v>
      </c>
      <c r="B522" s="844">
        <f>1.25*Stress!G54</f>
        <v>10041.1</v>
      </c>
      <c r="C522" s="844">
        <f>1.25*Stress!H54</f>
        <v>2397.15</v>
      </c>
      <c r="D522" s="844">
        <f>1.5*Stress!I54</f>
        <v>2515.6799999999998</v>
      </c>
      <c r="E522" s="844">
        <f>1.8*Stress!K54</f>
        <v>-768.07799999999997</v>
      </c>
      <c r="F522" s="844">
        <f>1.8*Stress!J54</f>
        <v>12261.204</v>
      </c>
      <c r="G522" s="818">
        <f>input!CS8/(input!CU8-input!K8)</f>
        <v>139215539.15503711</v>
      </c>
      <c r="H522" s="818">
        <f>input!DY8/(input!EA8-input!K8)</f>
        <v>148122151.45274645</v>
      </c>
      <c r="I522" s="818">
        <f>input!DI8/(input!BR8-input!DK8)</f>
        <v>576651336.4650172</v>
      </c>
      <c r="J522" s="848">
        <f t="shared" si="25"/>
        <v>4.6290868382874386</v>
      </c>
      <c r="K522" s="845" t="str">
        <f>IF(OR(B439="Positive",input!O8=0),"-",-B522/G522/$J$512*10^6+(-C522-D522-E522)/H522/$J$512*10^6)</f>
        <v>-</v>
      </c>
      <c r="L522" s="846" t="str">
        <f t="shared" si="24"/>
        <v>OK</v>
      </c>
      <c r="M522" s="847" t="str">
        <f>IF(OR(B439="Positive",input!O8=0),"-",IF(K522&lt;=$H$512,"OK","NG"))</f>
        <v>-</v>
      </c>
      <c r="Q522" s="73"/>
      <c r="R522" s="559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E522" s="143"/>
      <c r="AF522" s="143"/>
      <c r="AG522" s="143"/>
      <c r="AH522" s="143"/>
      <c r="AI522" s="143"/>
      <c r="AJ522" s="143"/>
      <c r="AK522" s="143"/>
      <c r="AL522" s="143"/>
      <c r="AM522" s="143"/>
      <c r="AN522" s="143"/>
      <c r="AO522" s="143"/>
      <c r="AP522" s="143"/>
      <c r="AQ522" s="143"/>
    </row>
    <row r="523" spans="1:43" ht="15" customHeight="1">
      <c r="A523" s="843" t="str">
        <f>+input!B9</f>
        <v>104i</v>
      </c>
      <c r="B523" s="844">
        <f>1.25*Stress!G55</f>
        <v>10041.1</v>
      </c>
      <c r="C523" s="844">
        <f>1.25*Stress!H55</f>
        <v>2397.125</v>
      </c>
      <c r="D523" s="844">
        <f>1.5*Stress!I55</f>
        <v>2515.6799999999998</v>
      </c>
      <c r="E523" s="844">
        <f>1.8*Stress!K55</f>
        <v>-768.07799999999997</v>
      </c>
      <c r="F523" s="844">
        <f>1.8*Stress!J55</f>
        <v>12261.222</v>
      </c>
      <c r="G523" s="818">
        <f>input!CS9/(input!CU9-input!K9)</f>
        <v>139215539.15503711</v>
      </c>
      <c r="H523" s="818">
        <f>input!DY9/(input!EA9-input!K9)</f>
        <v>148122151.45274645</v>
      </c>
      <c r="I523" s="818">
        <f>input!DI9/(input!BR9-input!DK9)</f>
        <v>576651336.4650172</v>
      </c>
      <c r="J523" s="848">
        <f t="shared" si="25"/>
        <v>4.6290849515083714</v>
      </c>
      <c r="K523" s="845" t="str">
        <f>IF(OR(B440="Positive",input!O9=0),"-",-B523/G523/$J$512*10^6+(-C523-D523-E523)/H523/$J$512*10^6)</f>
        <v>-</v>
      </c>
      <c r="L523" s="846" t="str">
        <f t="shared" si="24"/>
        <v>OK</v>
      </c>
      <c r="M523" s="847" t="str">
        <f>IF(OR(B440="Positive",input!O9=0),"-",IF(K523&lt;=$H$512,"OK","NG"))</f>
        <v>-</v>
      </c>
      <c r="Q523" s="73"/>
      <c r="R523" s="559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E523" s="143"/>
      <c r="AF523" s="143"/>
      <c r="AG523" s="143"/>
      <c r="AH523" s="143"/>
      <c r="AI523" s="143"/>
      <c r="AJ523" s="143"/>
      <c r="AK523" s="143"/>
      <c r="AL523" s="143"/>
      <c r="AM523" s="143"/>
      <c r="AN523" s="143"/>
      <c r="AO523" s="143"/>
      <c r="AP523" s="143"/>
      <c r="AQ523" s="143"/>
    </row>
    <row r="524" spans="1:43" ht="15" customHeight="1">
      <c r="A524" s="843" t="str">
        <f>+input!B10</f>
        <v>104j</v>
      </c>
      <c r="B524" s="844">
        <f>1.25*Stress!G56</f>
        <v>16173.487500000001</v>
      </c>
      <c r="C524" s="844">
        <f>1.25*Stress!H56</f>
        <v>3867.4624999999996</v>
      </c>
      <c r="D524" s="844">
        <f>1.5*Stress!I56</f>
        <v>4074.84</v>
      </c>
      <c r="E524" s="844">
        <f>1.8*Stress!K56</f>
        <v>-1366.74</v>
      </c>
      <c r="F524" s="844">
        <f>1.8*Stress!J56</f>
        <v>19647.558000000001</v>
      </c>
      <c r="G524" s="818">
        <f>input!CS10/(input!CU10-input!K10)</f>
        <v>139215539.15503711</v>
      </c>
      <c r="H524" s="818">
        <f>input!DY10/(input!EA10-input!K10)</f>
        <v>148122151.45274645</v>
      </c>
      <c r="I524" s="818">
        <f>input!DI10/(input!BR10-input!DK10)</f>
        <v>576651336.4650172</v>
      </c>
      <c r="J524" s="848">
        <f t="shared" si="25"/>
        <v>7.4365673266243979</v>
      </c>
      <c r="K524" s="845" t="str">
        <f>IF(OR(B441="Positive",input!O10=0),"-",-B524/G524/$J$512*10^6+(-C524-D524-E524)/H524/$J$512*10^6)</f>
        <v>-</v>
      </c>
      <c r="L524" s="846" t="str">
        <f t="shared" si="24"/>
        <v>OK</v>
      </c>
      <c r="M524" s="847" t="str">
        <f>IF(OR(B441="Positive",input!O10=0),"-",IF(K524&lt;=$H$512,"OK","NG"))</f>
        <v>-</v>
      </c>
      <c r="Q524" s="73"/>
      <c r="R524" s="559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E524" s="143"/>
      <c r="AF524" s="143"/>
      <c r="AG524" s="143"/>
      <c r="AH524" s="143"/>
      <c r="AI524" s="143"/>
      <c r="AJ524" s="143"/>
      <c r="AK524" s="143"/>
      <c r="AL524" s="143"/>
      <c r="AM524" s="143"/>
      <c r="AN524" s="143"/>
      <c r="AO524" s="143"/>
      <c r="AP524" s="143"/>
      <c r="AQ524" s="143"/>
    </row>
    <row r="525" spans="1:43" ht="15" customHeight="1">
      <c r="A525" s="843" t="str">
        <f>+input!B11</f>
        <v>105i</v>
      </c>
      <c r="B525" s="844">
        <f>1.25*Stress!G57</f>
        <v>16173.4375</v>
      </c>
      <c r="C525" s="844">
        <f>1.25*Stress!H57</f>
        <v>3867.5</v>
      </c>
      <c r="D525" s="844">
        <f>1.5*Stress!I57</f>
        <v>4074.8550000000005</v>
      </c>
      <c r="E525" s="844">
        <f>1.8*Stress!K57</f>
        <v>-1366.74</v>
      </c>
      <c r="F525" s="844">
        <f>1.8*Stress!J57</f>
        <v>19647.558000000001</v>
      </c>
      <c r="G525" s="818">
        <f>input!CS11/(input!CU11-input!K11)</f>
        <v>219677484.50676557</v>
      </c>
      <c r="H525" s="818">
        <f>input!DY11/(input!EA11-input!K11)</f>
        <v>229887318.32044753</v>
      </c>
      <c r="I525" s="818">
        <f>input!DI11/(input!BR11-input!DK11)</f>
        <v>656159291.58603132</v>
      </c>
      <c r="J525" s="848">
        <f t="shared" si="25"/>
        <v>6.5354780503787424</v>
      </c>
      <c r="K525" s="845" t="str">
        <f>IF(OR(B442="Positive",input!O11=0),"-",-B525/G525/$J$512*10^6+(-C525-D525-E525)/H525/$J$512*10^6)</f>
        <v>-</v>
      </c>
      <c r="L525" s="846" t="str">
        <f t="shared" si="24"/>
        <v>OK</v>
      </c>
      <c r="M525" s="847" t="str">
        <f>IF(OR(B442="Positive",input!O11=0),"-",IF(K525&lt;=$H$512,"OK","NG"))</f>
        <v>-</v>
      </c>
      <c r="Q525" s="73"/>
      <c r="R525" s="559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E525" s="143"/>
      <c r="AF525" s="143"/>
      <c r="AG525" s="143"/>
      <c r="AH525" s="143"/>
      <c r="AI525" s="143"/>
      <c r="AJ525" s="143"/>
      <c r="AK525" s="143"/>
      <c r="AL525" s="143"/>
      <c r="AM525" s="143"/>
      <c r="AN525" s="143"/>
      <c r="AO525" s="143"/>
      <c r="AP525" s="143"/>
      <c r="AQ525" s="143"/>
    </row>
    <row r="526" spans="1:43" ht="15" customHeight="1">
      <c r="A526" s="843" t="str">
        <f>+input!B12</f>
        <v>105j</v>
      </c>
      <c r="B526" s="844">
        <f>1.25*Stress!G58</f>
        <v>21187.262500000001</v>
      </c>
      <c r="C526" s="844">
        <f>1.25*Stress!H58</f>
        <v>5086.2</v>
      </c>
      <c r="D526" s="844">
        <f>1.5*Stress!I58</f>
        <v>5344.5</v>
      </c>
      <c r="E526" s="844">
        <f>1.8*Stress!K58</f>
        <v>-1965.5820000000001</v>
      </c>
      <c r="F526" s="844">
        <f>1.8*Stress!J58</f>
        <v>25574.507999999998</v>
      </c>
      <c r="G526" s="818">
        <f>input!CS12/(input!CU12-input!K12)</f>
        <v>219677484.50676557</v>
      </c>
      <c r="H526" s="818">
        <f>input!DY12/(input!EA12-input!K12)</f>
        <v>229887318.32044753</v>
      </c>
      <c r="I526" s="818">
        <f>input!DI12/(input!BR12-input!DK12)</f>
        <v>656159291.58603132</v>
      </c>
      <c r="J526" s="848">
        <f t="shared" si="25"/>
        <v>8.5288868646784461</v>
      </c>
      <c r="K526" s="845" t="str">
        <f>IF(OR(B443="Positive",input!O12=0),"-",-B526/G526/$J$512*10^6+(-C526-D526-E526)/H526/$J$512*10^6)</f>
        <v>-</v>
      </c>
      <c r="L526" s="846" t="str">
        <f t="shared" si="24"/>
        <v>OK</v>
      </c>
      <c r="M526" s="847" t="str">
        <f>IF(OR(B443="Positive",input!O12=0),"-",IF(K526&lt;=$H$512,"OK","NG"))</f>
        <v>-</v>
      </c>
      <c r="Q526" s="73"/>
      <c r="R526" s="559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E526" s="143"/>
      <c r="AF526" s="143"/>
      <c r="AG526" s="143"/>
      <c r="AH526" s="143"/>
      <c r="AI526" s="143"/>
      <c r="AJ526" s="143"/>
      <c r="AK526" s="143"/>
      <c r="AL526" s="143"/>
      <c r="AM526" s="143"/>
      <c r="AN526" s="143"/>
      <c r="AO526" s="143"/>
      <c r="AP526" s="143"/>
      <c r="AQ526" s="143"/>
    </row>
    <row r="527" spans="1:43" ht="15" customHeight="1">
      <c r="A527" s="843" t="str">
        <f>+input!B13</f>
        <v>106i</v>
      </c>
      <c r="B527" s="844">
        <f>1.25*Stress!G59</f>
        <v>21187.137499999997</v>
      </c>
      <c r="C527" s="844">
        <f>1.25*Stress!H59</f>
        <v>5086.1875</v>
      </c>
      <c r="D527" s="844">
        <f>1.5*Stress!I59</f>
        <v>5344.53</v>
      </c>
      <c r="E527" s="844">
        <f>1.8*Stress!K59</f>
        <v>-1965.5820000000001</v>
      </c>
      <c r="F527" s="844">
        <f>1.8*Stress!J59</f>
        <v>25574.507999999998</v>
      </c>
      <c r="G527" s="818">
        <f>input!CS13/(input!CU13-input!K13)</f>
        <v>219677484.50676557</v>
      </c>
      <c r="H527" s="818">
        <f>input!DY13/(input!EA13-input!K13)</f>
        <v>229887318.32044753</v>
      </c>
      <c r="I527" s="818">
        <f>input!DI13/(input!BR13-input!DK13)</f>
        <v>656159291.58603132</v>
      </c>
      <c r="J527" s="848">
        <f t="shared" si="25"/>
        <v>8.5288910100654167</v>
      </c>
      <c r="K527" s="845" t="str">
        <f>IF(OR(B444="Positive",input!O13=0),"-",-B527/G527/$J$512*10^6+(-C527-D527-E527)/H527/$J$512*10^6)</f>
        <v>-</v>
      </c>
      <c r="L527" s="846" t="str">
        <f t="shared" si="24"/>
        <v>OK</v>
      </c>
      <c r="M527" s="847" t="str">
        <f>IF(OR(B444="Positive",input!O13=0),"-",IF(K527&lt;=$H$512,"OK","NG"))</f>
        <v>-</v>
      </c>
      <c r="Q527" s="73"/>
      <c r="R527" s="559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E527" s="143"/>
      <c r="AF527" s="143"/>
      <c r="AG527" s="143"/>
      <c r="AH527" s="143"/>
      <c r="AI527" s="143"/>
      <c r="AJ527" s="143"/>
      <c r="AK527" s="143"/>
      <c r="AL527" s="143"/>
      <c r="AM527" s="143"/>
      <c r="AN527" s="143"/>
      <c r="AO527" s="143"/>
      <c r="AP527" s="143"/>
      <c r="AQ527" s="143"/>
    </row>
    <row r="528" spans="1:43" ht="15" customHeight="1">
      <c r="A528" s="843" t="str">
        <f>+input!B14</f>
        <v>106j</v>
      </c>
      <c r="B528" s="844">
        <f>1.25*Stress!G60</f>
        <v>24573.375</v>
      </c>
      <c r="C528" s="844">
        <f>1.25*Stress!H60</f>
        <v>5899.875</v>
      </c>
      <c r="D528" s="844">
        <f>1.5*Stress!I60</f>
        <v>6212.9699999999993</v>
      </c>
      <c r="E528" s="844">
        <f>1.8*Stress!K60</f>
        <v>-2564.694</v>
      </c>
      <c r="F528" s="844">
        <f>1.8*Stress!J60</f>
        <v>29595.096000000001</v>
      </c>
      <c r="G528" s="818">
        <f>input!CS14/(input!CU14-input!K14)</f>
        <v>219677484.50676557</v>
      </c>
      <c r="H528" s="818">
        <f>input!DY14/(input!EA14-input!K14)</f>
        <v>229887318.32044753</v>
      </c>
      <c r="I528" s="818">
        <f>input!DI14/(input!BR14-input!DK14)</f>
        <v>656159291.58603132</v>
      </c>
      <c r="J528" s="848">
        <f t="shared" si="25"/>
        <v>9.8797460119570353</v>
      </c>
      <c r="K528" s="845" t="str">
        <f>IF(OR(B445="Positive",input!O14=0),"-",-B528/G528/$J$512*10^6+(-C528-D528-E528)/H528/$J$512*10^6)</f>
        <v>-</v>
      </c>
      <c r="L528" s="846" t="str">
        <f t="shared" si="24"/>
        <v>OK</v>
      </c>
      <c r="M528" s="847" t="str">
        <f>IF(OR(B445="Positive",input!O14=0),"-",IF(K528&lt;=$H$512,"OK","NG"))</f>
        <v>-</v>
      </c>
      <c r="Q528" s="73"/>
      <c r="R528" s="559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E528" s="143"/>
      <c r="AF528" s="143"/>
      <c r="AG528" s="143"/>
      <c r="AH528" s="143"/>
      <c r="AI528" s="143"/>
      <c r="AJ528" s="143"/>
      <c r="AK528" s="143"/>
      <c r="AL528" s="143"/>
      <c r="AM528" s="143"/>
      <c r="AN528" s="143"/>
      <c r="AO528" s="143"/>
      <c r="AP528" s="143"/>
      <c r="AQ528" s="143"/>
    </row>
    <row r="529" spans="1:43" ht="15" customHeight="1">
      <c r="A529" s="843" t="str">
        <f>+input!B15</f>
        <v>107i</v>
      </c>
      <c r="B529" s="844">
        <f>1.25*Stress!G61</f>
        <v>24573.362499999999</v>
      </c>
      <c r="C529" s="844">
        <f>1.25*Stress!H61</f>
        <v>5899.8374999999996</v>
      </c>
      <c r="D529" s="844">
        <f>1.5*Stress!I61</f>
        <v>6212.9699999999993</v>
      </c>
      <c r="E529" s="844">
        <f>1.8*Stress!K61</f>
        <v>-2564.694</v>
      </c>
      <c r="F529" s="844">
        <f>1.8*Stress!J61</f>
        <v>29595.096000000001</v>
      </c>
      <c r="G529" s="818">
        <f>input!CS15/(input!CU15-input!K15)</f>
        <v>255133624.16282687</v>
      </c>
      <c r="H529" s="818">
        <f>input!DY15/(input!EA15-input!K15)</f>
        <v>264277509.58230358</v>
      </c>
      <c r="I529" s="818">
        <f>input!DI15/(input!BR15-input!DK15)</f>
        <v>690280014.57275224</v>
      </c>
      <c r="J529" s="848">
        <f t="shared" si="25"/>
        <v>9.3913791197090148</v>
      </c>
      <c r="K529" s="845" t="str">
        <f>IF(OR(B446="Positive",input!O15=0),"-",-B529/G529/$J$512*10^6+(-C529-D529-E529)/H529/$J$512*10^6)</f>
        <v>-</v>
      </c>
      <c r="L529" s="846" t="str">
        <f t="shared" si="24"/>
        <v>OK</v>
      </c>
      <c r="M529" s="847" t="str">
        <f>IF(OR(B446="Positive",input!O15=0),"-",IF(K529&lt;=$H$512,"OK","NG"))</f>
        <v>-</v>
      </c>
      <c r="Q529" s="73"/>
      <c r="R529" s="559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E529" s="143"/>
      <c r="AF529" s="143"/>
      <c r="AG529" s="143"/>
      <c r="AH529" s="143"/>
      <c r="AI529" s="143"/>
      <c r="AJ529" s="143"/>
      <c r="AK529" s="143"/>
      <c r="AL529" s="143"/>
      <c r="AM529" s="143"/>
      <c r="AN529" s="143"/>
      <c r="AO529" s="143"/>
      <c r="AP529" s="143"/>
      <c r="AQ529" s="143"/>
    </row>
    <row r="530" spans="1:43" ht="15" customHeight="1">
      <c r="A530" s="843" t="str">
        <f>+input!B16</f>
        <v>107j</v>
      </c>
      <c r="B530" s="844">
        <f>1.25*Stress!G62</f>
        <v>26840.6875</v>
      </c>
      <c r="C530" s="844">
        <f>1.25*Stress!H62</f>
        <v>6461.8499999999995</v>
      </c>
      <c r="D530" s="844">
        <f>1.5*Stress!I62</f>
        <v>6792.0150000000003</v>
      </c>
      <c r="E530" s="844">
        <f>1.8*Stress!K62</f>
        <v>-3166.3440000000001</v>
      </c>
      <c r="F530" s="844">
        <f>1.8*Stress!J62</f>
        <v>32520.294000000005</v>
      </c>
      <c r="G530" s="818">
        <f>input!CS16/(input!CU16-input!K16)</f>
        <v>255133624.16282687</v>
      </c>
      <c r="H530" s="818">
        <f>input!DY16/(input!EA16-input!K16)</f>
        <v>264277509.58230358</v>
      </c>
      <c r="I530" s="818">
        <f>input!DI16/(input!BR16-input!DK16)</f>
        <v>690280014.57275224</v>
      </c>
      <c r="J530" s="848">
        <f t="shared" si="25"/>
        <v>10.306978893217218</v>
      </c>
      <c r="K530" s="845" t="str">
        <f>IF(OR(B447="Positive",input!O16=0),"-",-B530/G530/$J$512*10^6+(-C530-D530-E530)/H530/$J$512*10^6)</f>
        <v>-</v>
      </c>
      <c r="L530" s="846" t="str">
        <f t="shared" si="24"/>
        <v>OK</v>
      </c>
      <c r="M530" s="847" t="str">
        <f>IF(OR(B447="Positive",input!O16=0),"-",IF(K530&lt;=$H$512,"OK","NG"))</f>
        <v>-</v>
      </c>
      <c r="Q530" s="73"/>
      <c r="R530" s="559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E530" s="143"/>
      <c r="AF530" s="143"/>
      <c r="AG530" s="143"/>
      <c r="AH530" s="143"/>
      <c r="AI530" s="143"/>
      <c r="AJ530" s="143"/>
      <c r="AK530" s="143"/>
      <c r="AL530" s="143"/>
      <c r="AM530" s="143"/>
      <c r="AN530" s="143"/>
      <c r="AO530" s="143"/>
      <c r="AP530" s="143"/>
      <c r="AQ530" s="143"/>
    </row>
    <row r="531" spans="1:43" ht="15" customHeight="1">
      <c r="A531" s="843" t="str">
        <f>+input!B17</f>
        <v>108i</v>
      </c>
      <c r="B531" s="844">
        <f>1.25*Stress!G63</f>
        <v>26840.675000000003</v>
      </c>
      <c r="C531" s="844">
        <f>1.25*Stress!H63</f>
        <v>6461.8499999999995</v>
      </c>
      <c r="D531" s="844">
        <f>1.5*Stress!I63</f>
        <v>6791.9400000000005</v>
      </c>
      <c r="E531" s="844">
        <f>1.8*Stress!K63</f>
        <v>-3166.3440000000001</v>
      </c>
      <c r="F531" s="844">
        <f>1.8*Stress!J63</f>
        <v>32520.294000000005</v>
      </c>
      <c r="G531" s="818">
        <f>input!CS17/(input!CU17-input!K17)</f>
        <v>255133624.16282687</v>
      </c>
      <c r="H531" s="818">
        <f>input!DY17/(input!EA17-input!K17)</f>
        <v>264277509.58230358</v>
      </c>
      <c r="I531" s="818">
        <f>input!DI17/(input!BR17-input!DK17)</f>
        <v>690280014.57275224</v>
      </c>
      <c r="J531" s="848">
        <f t="shared" si="25"/>
        <v>10.306962005448359</v>
      </c>
      <c r="K531" s="845" t="str">
        <f>IF(OR(B448="Positive",input!O17=0),"-",-B531/G531/$J$512*10^6+(-C531-D531-E531)/H531/$J$512*10^6)</f>
        <v>-</v>
      </c>
      <c r="L531" s="846" t="str">
        <f t="shared" si="24"/>
        <v>OK</v>
      </c>
      <c r="M531" s="847" t="str">
        <f>IF(OR(B448="Positive",input!O17=0),"-",IF(K531&lt;=$H$512,"OK","NG"))</f>
        <v>-</v>
      </c>
      <c r="Q531" s="73"/>
      <c r="R531" s="559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E531" s="143"/>
      <c r="AF531" s="143"/>
      <c r="AG531" s="143"/>
      <c r="AH531" s="143"/>
      <c r="AI531" s="143"/>
      <c r="AJ531" s="143"/>
      <c r="AK531" s="143"/>
      <c r="AL531" s="143"/>
      <c r="AM531" s="143"/>
      <c r="AN531" s="143"/>
      <c r="AO531" s="143"/>
      <c r="AP531" s="143"/>
      <c r="AQ531" s="143"/>
    </row>
    <row r="532" spans="1:43" ht="15" customHeight="1">
      <c r="A532" s="843" t="str">
        <f>+input!B18</f>
        <v>108j</v>
      </c>
      <c r="B532" s="844">
        <f>1.25*Stress!G64</f>
        <v>27451.399999999998</v>
      </c>
      <c r="C532" s="844">
        <f>1.25*Stress!H64</f>
        <v>6614.4375</v>
      </c>
      <c r="D532" s="844">
        <f>1.5*Stress!I64</f>
        <v>6966.9149999999991</v>
      </c>
      <c r="E532" s="844">
        <f>1.8*Stress!K64</f>
        <v>-3768.5519999999997</v>
      </c>
      <c r="F532" s="844">
        <f>1.8*Stress!J64</f>
        <v>33542.838000000003</v>
      </c>
      <c r="G532" s="818">
        <f>input!CS18/(input!CU18-input!K18)</f>
        <v>255133624.16282687</v>
      </c>
      <c r="H532" s="818">
        <f>input!DY18/(input!EA18-input!K18)</f>
        <v>264277509.58230358</v>
      </c>
      <c r="I532" s="818">
        <f>input!DI18/(input!BR18-input!DK18)</f>
        <v>690280014.57275224</v>
      </c>
      <c r="J532" s="848">
        <f t="shared" si="25"/>
        <v>10.61096582557524</v>
      </c>
      <c r="K532" s="845" t="str">
        <f>IF(OR(B449="Positive",input!O18=0),"-",-B532/G532/$J$512*10^6+(-C532-D532-E532)/H532/$J$512*10^6)</f>
        <v>-</v>
      </c>
      <c r="L532" s="846" t="str">
        <f t="shared" si="24"/>
        <v>OK</v>
      </c>
      <c r="M532" s="847" t="str">
        <f>IF(OR(B449="Positive",input!O18=0),"-",IF(K532&lt;=$H$512,"OK","NG"))</f>
        <v>-</v>
      </c>
      <c r="Q532" s="73"/>
      <c r="R532" s="559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E532" s="143"/>
      <c r="AF532" s="143"/>
      <c r="AG532" s="143"/>
      <c r="AH532" s="143"/>
      <c r="AI532" s="143"/>
      <c r="AJ532" s="143"/>
      <c r="AK532" s="143"/>
      <c r="AL532" s="143"/>
      <c r="AM532" s="143"/>
      <c r="AN532" s="143"/>
      <c r="AO532" s="143"/>
      <c r="AP532" s="143"/>
      <c r="AQ532" s="143"/>
    </row>
    <row r="533" spans="1:43" ht="15" customHeight="1">
      <c r="A533" s="843" t="str">
        <f>+input!B19</f>
        <v>109i</v>
      </c>
      <c r="B533" s="844">
        <f>1.25*Stress!G65</f>
        <v>27451.45</v>
      </c>
      <c r="C533" s="844">
        <f>1.25*Stress!H65</f>
        <v>6614.4750000000004</v>
      </c>
      <c r="D533" s="844">
        <f>1.5*Stress!I65</f>
        <v>6966.93</v>
      </c>
      <c r="E533" s="844">
        <f>1.8*Stress!K65</f>
        <v>-3768.5519999999997</v>
      </c>
      <c r="F533" s="844">
        <f>1.8*Stress!J65</f>
        <v>33542.838000000003</v>
      </c>
      <c r="G533" s="818">
        <f>input!CS19/(input!CU19-input!K19)</f>
        <v>255133624.16282687</v>
      </c>
      <c r="H533" s="818">
        <f>input!DY19/(input!EA19-input!K19)</f>
        <v>264277509.58230358</v>
      </c>
      <c r="I533" s="818">
        <f>input!DI19/(input!BR19-input!DK19)</f>
        <v>690280014.57275224</v>
      </c>
      <c r="J533" s="848">
        <f t="shared" si="25"/>
        <v>10.610977647013442</v>
      </c>
      <c r="K533" s="845" t="str">
        <f>IF(OR(B450="Positive",input!O19=0),"-",-B533/G533/$J$512*10^6+(-C533-D533-E533)/H533/$J$512*10^6)</f>
        <v>-</v>
      </c>
      <c r="L533" s="846" t="str">
        <f t="shared" si="24"/>
        <v>OK</v>
      </c>
      <c r="M533" s="847" t="str">
        <f>IF(OR(B450="Positive",input!O19=0),"-",IF(K533&lt;=$H$512,"OK","NG"))</f>
        <v>-</v>
      </c>
      <c r="Q533" s="73"/>
      <c r="R533" s="559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E533" s="143"/>
      <c r="AF533" s="143"/>
      <c r="AG533" s="143"/>
      <c r="AH533" s="143"/>
      <c r="AI533" s="143"/>
      <c r="AJ533" s="143"/>
      <c r="AK533" s="143"/>
      <c r="AL533" s="143"/>
      <c r="AM533" s="143"/>
      <c r="AN533" s="143"/>
      <c r="AO533" s="143"/>
      <c r="AP533" s="143"/>
      <c r="AQ533" s="143"/>
    </row>
    <row r="534" spans="1:43" ht="15" customHeight="1">
      <c r="A534" s="843" t="str">
        <f>+input!B20</f>
        <v>109j</v>
      </c>
      <c r="B534" s="844">
        <f>1.25*Stress!G66</f>
        <v>26943.125</v>
      </c>
      <c r="C534" s="844">
        <f>1.25*Stress!H66</f>
        <v>6515.375</v>
      </c>
      <c r="D534" s="844">
        <f>1.5*Stress!I66</f>
        <v>6852.2249999999995</v>
      </c>
      <c r="E534" s="844">
        <f>1.8*Stress!K66</f>
        <v>-4370.7780000000002</v>
      </c>
      <c r="F534" s="844">
        <f>1.8*Stress!J66</f>
        <v>33571.188000000002</v>
      </c>
      <c r="G534" s="818">
        <f>input!CS20/(input!CU20-input!K20)</f>
        <v>255133624.16282687</v>
      </c>
      <c r="H534" s="818">
        <f>input!DY20/(input!EA20-input!K20)</f>
        <v>264277509.58230358</v>
      </c>
      <c r="I534" s="818">
        <f>input!DI20/(input!BR20-input!DK20)</f>
        <v>690280014.57275224</v>
      </c>
      <c r="J534" s="848">
        <f t="shared" si="25"/>
        <v>10.569218698025617</v>
      </c>
      <c r="K534" s="845" t="str">
        <f>IF(OR(B451="Positive",input!O20=0),"-",-B534/G534/$J$512*10^6+(-C534-D534-E534)/H534/$J$512*10^6)</f>
        <v>-</v>
      </c>
      <c r="L534" s="846" t="str">
        <f t="shared" si="24"/>
        <v>OK</v>
      </c>
      <c r="M534" s="847" t="str">
        <f>IF(OR(B451="Positive",input!O20=0),"-",IF(K534&lt;=$H$512,"OK","NG"))</f>
        <v>-</v>
      </c>
      <c r="Q534" s="73"/>
      <c r="R534" s="559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E534" s="143"/>
      <c r="AF534" s="143"/>
      <c r="AG534" s="143"/>
      <c r="AH534" s="143"/>
      <c r="AI534" s="143"/>
      <c r="AJ534" s="143"/>
      <c r="AK534" s="143"/>
      <c r="AL534" s="143"/>
      <c r="AM534" s="143"/>
      <c r="AN534" s="143"/>
      <c r="AO534" s="143"/>
      <c r="AP534" s="143"/>
      <c r="AQ534" s="143"/>
    </row>
    <row r="535" spans="1:43" ht="15" customHeight="1">
      <c r="A535" s="843" t="str">
        <f>+input!B21</f>
        <v>110i</v>
      </c>
      <c r="B535" s="844">
        <f>1.25*Stress!G67</f>
        <v>26943.15</v>
      </c>
      <c r="C535" s="844">
        <f>1.25*Stress!H67</f>
        <v>6515.3625000000002</v>
      </c>
      <c r="D535" s="844">
        <f>1.5*Stress!I67</f>
        <v>6852.2849999999999</v>
      </c>
      <c r="E535" s="844">
        <f>1.8*Stress!K67</f>
        <v>-4370.7780000000002</v>
      </c>
      <c r="F535" s="844">
        <f>1.8*Stress!J67</f>
        <v>33571.170000000006</v>
      </c>
      <c r="G535" s="818">
        <f>input!CS21/(input!CU21-input!K21)</f>
        <v>255133624.16282687</v>
      </c>
      <c r="H535" s="818">
        <f>input!DY21/(input!EA21-input!K21)</f>
        <v>264277509.58230358</v>
      </c>
      <c r="I535" s="818">
        <f>input!DI21/(input!BR21-input!DK21)</f>
        <v>690280014.57275224</v>
      </c>
      <c r="J535" s="848">
        <f t="shared" si="25"/>
        <v>10.569225340548037</v>
      </c>
      <c r="K535" s="845" t="str">
        <f>IF(OR(B452="Positive",input!O21=0),"-",-B535/G535/$J$512*10^6+(-C535-D535-E535)/H535/$J$512*10^6)</f>
        <v>-</v>
      </c>
      <c r="L535" s="846" t="str">
        <f t="shared" si="24"/>
        <v>OK</v>
      </c>
      <c r="M535" s="847" t="str">
        <f>IF(OR(B452="Positive",input!O21=0),"-",IF(K535&lt;=$H$512,"OK","NG"))</f>
        <v>-</v>
      </c>
      <c r="Q535" s="73"/>
      <c r="R535" s="559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E535" s="143"/>
      <c r="AF535" s="143"/>
      <c r="AG535" s="143"/>
      <c r="AH535" s="143"/>
      <c r="AI535" s="143"/>
      <c r="AJ535" s="143"/>
      <c r="AK535" s="143"/>
      <c r="AL535" s="143"/>
      <c r="AM535" s="143"/>
      <c r="AN535" s="143"/>
      <c r="AO535" s="143"/>
      <c r="AP535" s="143"/>
      <c r="AQ535" s="143"/>
    </row>
    <row r="536" spans="1:43" ht="15" customHeight="1">
      <c r="A536" s="843" t="str">
        <f>+input!B22</f>
        <v>110j</v>
      </c>
      <c r="B536" s="844">
        <f>1.25*Stress!G68</f>
        <v>24959.5625</v>
      </c>
      <c r="C536" s="844">
        <f>1.25*Stress!H68</f>
        <v>6057.1124999999993</v>
      </c>
      <c r="D536" s="844">
        <f>1.5*Stress!I68</f>
        <v>6369.9000000000005</v>
      </c>
      <c r="E536" s="844">
        <f>1.8*Stress!K68</f>
        <v>-4971.8159999999998</v>
      </c>
      <c r="F536" s="844">
        <f>1.8*Stress!J68</f>
        <v>32091.929999999997</v>
      </c>
      <c r="G536" s="818">
        <f>input!CS22/(input!CU22-input!K22)</f>
        <v>255133624.16282687</v>
      </c>
      <c r="H536" s="818">
        <f>input!DY22/(input!EA22-input!K22)</f>
        <v>264277509.58230358</v>
      </c>
      <c r="I536" s="818">
        <f>input!DI22/(input!BR22-input!DK22)</f>
        <v>690280014.57275224</v>
      </c>
      <c r="J536" s="848">
        <f t="shared" si="25"/>
        <v>10.024341478253067</v>
      </c>
      <c r="K536" s="845" t="str">
        <f>IF(OR(B453="Positive",input!O22=0),"-",-B536/G536/$J$512*10^6+(-C536-D536-E536)/H536/$J$512*10^6)</f>
        <v>-</v>
      </c>
      <c r="L536" s="846" t="str">
        <f t="shared" si="24"/>
        <v>OK</v>
      </c>
      <c r="M536" s="847" t="str">
        <f>IF(OR(B453="Positive",input!O22=0),"-",IF(K536&lt;=$H$512,"OK","NG"))</f>
        <v>-</v>
      </c>
      <c r="Q536" s="73"/>
      <c r="R536" s="559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E536" s="143"/>
      <c r="AF536" s="143"/>
      <c r="AG536" s="143"/>
      <c r="AH536" s="143"/>
      <c r="AI536" s="143"/>
      <c r="AJ536" s="143"/>
      <c r="AK536" s="143"/>
      <c r="AL536" s="143"/>
      <c r="AM536" s="143"/>
      <c r="AN536" s="143"/>
      <c r="AO536" s="143"/>
      <c r="AP536" s="143"/>
      <c r="AQ536" s="143"/>
    </row>
    <row r="537" spans="1:43" ht="15" customHeight="1">
      <c r="A537" s="843" t="str">
        <f>+input!B23</f>
        <v>111i</v>
      </c>
      <c r="B537" s="844">
        <f>1.25*Stress!G69</f>
        <v>24959.612499999999</v>
      </c>
      <c r="C537" s="844">
        <f>1.25*Stress!H69</f>
        <v>6057.1</v>
      </c>
      <c r="D537" s="844">
        <f>1.5*Stress!I69</f>
        <v>6369.84</v>
      </c>
      <c r="E537" s="844">
        <f>1.8*Stress!K69</f>
        <v>-4971.8159999999998</v>
      </c>
      <c r="F537" s="844">
        <f>1.8*Stress!J69</f>
        <v>32091.929999999997</v>
      </c>
      <c r="G537" s="818">
        <f>input!CS23/(input!CU23-input!K23)</f>
        <v>255133624.16282687</v>
      </c>
      <c r="H537" s="818">
        <f>input!DY23/(input!EA23-input!K23)</f>
        <v>264277509.58230358</v>
      </c>
      <c r="I537" s="818">
        <f>input!DI23/(input!BR23-input!DK23)</f>
        <v>690280014.57275224</v>
      </c>
      <c r="J537" s="848">
        <f t="shared" si="25"/>
        <v>10.024325153409833</v>
      </c>
      <c r="K537" s="845" t="str">
        <f>IF(OR(B454="Positive",input!O23=0),"-",-B537/G537/$J$512*10^6+(-C537-D537-E537)/H537/$J$512*10^6)</f>
        <v>-</v>
      </c>
      <c r="L537" s="846" t="str">
        <f t="shared" si="24"/>
        <v>OK</v>
      </c>
      <c r="M537" s="847" t="str">
        <f>IF(OR(B454="Positive",input!O23=0),"-",IF(K537&lt;=$H$512,"OK","NG"))</f>
        <v>-</v>
      </c>
      <c r="Q537" s="73"/>
      <c r="R537" s="559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E537" s="143"/>
      <c r="AF537" s="143"/>
      <c r="AG537" s="143"/>
      <c r="AH537" s="143"/>
      <c r="AI537" s="143"/>
      <c r="AJ537" s="143"/>
      <c r="AK537" s="143"/>
      <c r="AL537" s="143"/>
      <c r="AM537" s="143"/>
      <c r="AN537" s="143"/>
      <c r="AO537" s="143"/>
      <c r="AP537" s="143"/>
      <c r="AQ537" s="143"/>
    </row>
    <row r="538" spans="1:43" ht="15" customHeight="1">
      <c r="A538" s="843" t="str">
        <f>+input!B24</f>
        <v>111j</v>
      </c>
      <c r="B538" s="844">
        <f>1.25*Stress!G70</f>
        <v>21473.924999999999</v>
      </c>
      <c r="C538" s="844">
        <f>1.25*Stress!H70</f>
        <v>5238.1750000000002</v>
      </c>
      <c r="D538" s="844">
        <f>1.5*Stress!I70</f>
        <v>5518.5750000000007</v>
      </c>
      <c r="E538" s="844">
        <f>1.8*Stress!K70</f>
        <v>-5569.6319999999996</v>
      </c>
      <c r="F538" s="844">
        <f>1.8*Stress!J70</f>
        <v>29081.61</v>
      </c>
      <c r="G538" s="818">
        <f>input!CS24/(input!CU24-input!K24)</f>
        <v>255133624.16282687</v>
      </c>
      <c r="H538" s="818">
        <f>input!DY24/(input!EA24-input!K24)</f>
        <v>264277509.58230358</v>
      </c>
      <c r="I538" s="818">
        <f>input!DI24/(input!BR24-input!DK24)</f>
        <v>690280014.57275224</v>
      </c>
      <c r="J538" s="848">
        <f t="shared" si="25"/>
        <v>8.9704135396652305</v>
      </c>
      <c r="K538" s="845" t="str">
        <f>IF(OR(B455="Positive",input!O24=0),"-",-B538/G538/$J$512*10^6+(-C538-D538-E538)/H538/$J$512*10^6)</f>
        <v>-</v>
      </c>
      <c r="L538" s="846" t="str">
        <f t="shared" si="24"/>
        <v>OK</v>
      </c>
      <c r="M538" s="847" t="str">
        <f>IF(OR(B455="Positive",input!O24=0),"-",IF(K538&lt;=$H$512,"OK","NG"))</f>
        <v>-</v>
      </c>
      <c r="Q538" s="73"/>
      <c r="R538" s="559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E538" s="143"/>
      <c r="AF538" s="143"/>
      <c r="AG538" s="143"/>
      <c r="AH538" s="143"/>
      <c r="AI538" s="143"/>
      <c r="AJ538" s="143"/>
      <c r="AK538" s="143"/>
      <c r="AL538" s="143"/>
      <c r="AM538" s="143"/>
      <c r="AN538" s="143"/>
      <c r="AO538" s="143"/>
      <c r="AP538" s="143"/>
      <c r="AQ538" s="143"/>
    </row>
    <row r="539" spans="1:43" ht="15" customHeight="1">
      <c r="A539" s="843" t="str">
        <f>+input!B25</f>
        <v>112i</v>
      </c>
      <c r="B539" s="844">
        <f>1.25*Stress!G71</f>
        <v>21474.037499999999</v>
      </c>
      <c r="C539" s="844">
        <f>1.25*Stress!H71</f>
        <v>5238.1875</v>
      </c>
      <c r="D539" s="844">
        <f>1.5*Stress!I71</f>
        <v>5518.5599999999995</v>
      </c>
      <c r="E539" s="844">
        <f>1.8*Stress!K71</f>
        <v>-5569.6319999999996</v>
      </c>
      <c r="F539" s="844">
        <f>1.8*Stress!J71</f>
        <v>29081.61</v>
      </c>
      <c r="G539" s="818">
        <f>input!CS25/(input!CU25-input!K25)</f>
        <v>208693533.33519974</v>
      </c>
      <c r="H539" s="818">
        <f>input!DY25/(input!EA25-input!K25)</f>
        <v>219016886.22380108</v>
      </c>
      <c r="I539" s="818">
        <f>input!DI25/(input!BR25-input!DK25)</f>
        <v>646302845.6129024</v>
      </c>
      <c r="J539" s="848">
        <f t="shared" si="25"/>
        <v>9.5807976745566137</v>
      </c>
      <c r="K539" s="845" t="str">
        <f>IF(OR(B456="Positive",input!O25=0),"-",-B539/G539/$J$512*10^6+(-C539-D539-E539)/H539/$J$512*10^6)</f>
        <v>-</v>
      </c>
      <c r="L539" s="846" t="str">
        <f t="shared" si="24"/>
        <v>OK</v>
      </c>
      <c r="M539" s="847" t="str">
        <f>IF(OR(B456="Positive",input!O25=0),"-",IF(K539&lt;=$H$512,"OK","NG"))</f>
        <v>-</v>
      </c>
      <c r="Q539" s="73"/>
      <c r="R539" s="559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E539" s="143"/>
      <c r="AF539" s="143"/>
      <c r="AG539" s="143"/>
      <c r="AH539" s="143"/>
      <c r="AI539" s="143"/>
      <c r="AJ539" s="143"/>
      <c r="AK539" s="143"/>
      <c r="AL539" s="143"/>
      <c r="AM539" s="143"/>
      <c r="AN539" s="143"/>
      <c r="AO539" s="143"/>
      <c r="AP539" s="143"/>
      <c r="AQ539" s="143"/>
    </row>
    <row r="540" spans="1:43" ht="15" customHeight="1">
      <c r="A540" s="843" t="str">
        <f>+input!B26</f>
        <v>112j</v>
      </c>
      <c r="B540" s="844">
        <f>1.25*Stress!G72</f>
        <v>16869.8</v>
      </c>
      <c r="C540" s="844">
        <f>1.25*Stress!H72</f>
        <v>4167.875</v>
      </c>
      <c r="D540" s="844">
        <f>1.5*Stress!I72</f>
        <v>4377.57</v>
      </c>
      <c r="E540" s="844">
        <f>1.8*Stress!K72</f>
        <v>-6167.4480000000003</v>
      </c>
      <c r="F540" s="844">
        <f>1.8*Stress!J72</f>
        <v>25180.416000000001</v>
      </c>
      <c r="G540" s="818">
        <f>input!CS26/(input!CU26-input!K26)</f>
        <v>208693533.33519974</v>
      </c>
      <c r="H540" s="818">
        <f>input!DY26/(input!EA26-input!K26)</f>
        <v>219016886.22380108</v>
      </c>
      <c r="I540" s="818">
        <f>input!DI26/(input!BR26-input!DK26)</f>
        <v>646302845.6129024</v>
      </c>
      <c r="J540" s="848">
        <f t="shared" si="25"/>
        <v>8.1107924853884761</v>
      </c>
      <c r="K540" s="845" t="str">
        <f>IF(OR(B457="Positive",input!O26=0),"-",-B540/G540/$J$512*10^6+(-C540-D540-E540)/H540/$J$512*10^6)</f>
        <v>-</v>
      </c>
      <c r="L540" s="846" t="str">
        <f t="shared" si="24"/>
        <v>OK</v>
      </c>
      <c r="M540" s="847" t="str">
        <f>IF(OR(B457="Positive",input!O26=0),"-",IF(K540&lt;=$H$512,"OK","NG"))</f>
        <v>-</v>
      </c>
      <c r="Q540" s="73"/>
      <c r="R540" s="559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E540" s="143"/>
      <c r="AF540" s="143"/>
      <c r="AG540" s="143"/>
      <c r="AH540" s="143"/>
      <c r="AI540" s="143"/>
      <c r="AJ540" s="143"/>
      <c r="AK540" s="143"/>
      <c r="AL540" s="143"/>
      <c r="AM540" s="143"/>
      <c r="AN540" s="143"/>
      <c r="AO540" s="143"/>
      <c r="AP540" s="143"/>
      <c r="AQ540" s="143"/>
    </row>
    <row r="541" spans="1:43" ht="15" customHeight="1">
      <c r="A541" s="843" t="str">
        <f>+input!B27</f>
        <v>113i</v>
      </c>
      <c r="B541" s="844">
        <f>1.25*Stress!G73</f>
        <v>16869.875</v>
      </c>
      <c r="C541" s="844">
        <f>1.25*Stress!H73</f>
        <v>4167.8374999999996</v>
      </c>
      <c r="D541" s="844">
        <f>1.5*Stress!I73</f>
        <v>4377.6000000000004</v>
      </c>
      <c r="E541" s="844">
        <f>1.8*Stress!K73</f>
        <v>-6167.4480000000003</v>
      </c>
      <c r="F541" s="844">
        <f>1.8*Stress!J73</f>
        <v>25180.416000000001</v>
      </c>
      <c r="G541" s="818">
        <f>input!CS27/(input!CU27-input!K27)</f>
        <v>204166648.07547665</v>
      </c>
      <c r="H541" s="818">
        <f>input!DY27/(input!EA27-input!K27)</f>
        <v>216093952.40351695</v>
      </c>
      <c r="I541" s="818">
        <f>input!DI27/(input!BR27-input!DK27)</f>
        <v>637066277.05972934</v>
      </c>
      <c r="J541" s="848">
        <f t="shared" si="25"/>
        <v>8.2283857842029633</v>
      </c>
      <c r="K541" s="845" t="str">
        <f>IF(OR(B458="Positive",input!O27=0),"-",-B541/G541/$J$512*10^6+(-C541-D541-E541)/H541/$J$512*10^6)</f>
        <v>-</v>
      </c>
      <c r="L541" s="846" t="str">
        <f t="shared" si="24"/>
        <v>OK</v>
      </c>
      <c r="M541" s="847" t="str">
        <f>IF(OR(B458="Positive",input!O27=0),"-",IF(K541&lt;=$H$512,"OK","NG"))</f>
        <v>-</v>
      </c>
      <c r="Q541" s="73"/>
      <c r="R541" s="559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E541" s="143"/>
      <c r="AF541" s="143"/>
      <c r="AG541" s="143"/>
      <c r="AH541" s="143"/>
      <c r="AI541" s="143"/>
      <c r="AJ541" s="143"/>
      <c r="AK541" s="143"/>
      <c r="AL541" s="143"/>
      <c r="AM541" s="143"/>
      <c r="AN541" s="143"/>
      <c r="AO541" s="143"/>
      <c r="AP541" s="143"/>
      <c r="AQ541" s="143"/>
    </row>
    <row r="542" spans="1:43" ht="15" customHeight="1">
      <c r="A542" s="843" t="str">
        <f>+input!B28</f>
        <v>113j</v>
      </c>
      <c r="B542" s="844">
        <f>1.25*Stress!G74</f>
        <v>10649.887500000001</v>
      </c>
      <c r="C542" s="844">
        <f>1.25*Stress!H74</f>
        <v>2689.7000000000003</v>
      </c>
      <c r="D542" s="844">
        <f>1.5*Stress!I74</f>
        <v>2834.82</v>
      </c>
      <c r="E542" s="844">
        <f>1.8*Stress!K74</f>
        <v>-6763.3739999999998</v>
      </c>
      <c r="F542" s="844">
        <f>1.8*Stress!J74</f>
        <v>19614.905999999999</v>
      </c>
      <c r="G542" s="818">
        <f>input!CS28/(input!CU28-input!K28)</f>
        <v>204166648.07547665</v>
      </c>
      <c r="H542" s="818">
        <f>input!DY28/(input!EA28-input!K28)</f>
        <v>216093952.40351695</v>
      </c>
      <c r="I542" s="818">
        <f>input!DI28/(input!BR28-input!DK28)</f>
        <v>637066277.05972934</v>
      </c>
      <c r="J542" s="848">
        <f t="shared" si="25"/>
        <v>6.1334814112687281</v>
      </c>
      <c r="K542" s="845" t="str">
        <f>IF(OR(B459="Positive",input!O28=0),"-",-B542/G542/$J$512*10^6+(-C542-D542-E542)/H542/$J$512*10^6)</f>
        <v>-</v>
      </c>
      <c r="L542" s="846" t="str">
        <f t="shared" si="24"/>
        <v>OK</v>
      </c>
      <c r="M542" s="847" t="str">
        <f>IF(OR(B459="Positive",input!O28=0),"-",IF(K542&lt;=$H$512,"OK","NG"))</f>
        <v>-</v>
      </c>
      <c r="Q542" s="73"/>
      <c r="R542" s="559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E542" s="143"/>
      <c r="AF542" s="143"/>
      <c r="AG542" s="143"/>
      <c r="AH542" s="143"/>
      <c r="AI542" s="143"/>
      <c r="AJ542" s="143"/>
      <c r="AK542" s="143"/>
      <c r="AL542" s="143"/>
      <c r="AM542" s="143"/>
      <c r="AN542" s="143"/>
      <c r="AO542" s="143"/>
      <c r="AP542" s="143"/>
      <c r="AQ542" s="143"/>
    </row>
    <row r="543" spans="1:43" ht="15" customHeight="1">
      <c r="A543" s="843" t="str">
        <f>+input!B29</f>
        <v>114i</v>
      </c>
      <c r="B543" s="844">
        <f>1.25*Stress!G75</f>
        <v>10649.9125</v>
      </c>
      <c r="C543" s="844">
        <f>1.25*Stress!H75</f>
        <v>2689.7250000000004</v>
      </c>
      <c r="D543" s="844">
        <f>1.5*Stress!I75</f>
        <v>2834.8049999999998</v>
      </c>
      <c r="E543" s="844">
        <f>1.8*Stress!K75</f>
        <v>-6763.3739999999998</v>
      </c>
      <c r="F543" s="844">
        <f>1.8*Stress!J75</f>
        <v>19614.905999999999</v>
      </c>
      <c r="G543" s="818">
        <f>input!CS29/(input!CU29-input!K29)</f>
        <v>204166648.07547665</v>
      </c>
      <c r="H543" s="818">
        <f>input!DY29/(input!EA29-input!K29)</f>
        <v>216093952.40351695</v>
      </c>
      <c r="I543" s="818">
        <f>input!DI29/(input!BR29-input!DK29)</f>
        <v>637066277.05972934</v>
      </c>
      <c r="J543" s="848">
        <f t="shared" si="25"/>
        <v>6.1334838510545096</v>
      </c>
      <c r="K543" s="845" t="str">
        <f>IF(OR(B460="Positive",input!O29=0),"-",-B543/G543/$J$512*10^6+(-C543-D543-E543)/H543/$J$512*10^6)</f>
        <v>-</v>
      </c>
      <c r="L543" s="846" t="str">
        <f t="shared" si="24"/>
        <v>OK</v>
      </c>
      <c r="M543" s="847" t="str">
        <f>IF(OR(B460="Positive",input!O29=0),"-",IF(K543&lt;=$H$512,"OK","NG"))</f>
        <v>-</v>
      </c>
      <c r="Q543" s="73"/>
      <c r="R543" s="559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E543" s="143"/>
      <c r="AF543" s="143"/>
      <c r="AG543" s="143"/>
      <c r="AH543" s="143"/>
      <c r="AI543" s="143"/>
      <c r="AJ543" s="143"/>
      <c r="AK543" s="143"/>
      <c r="AL543" s="143"/>
      <c r="AM543" s="143"/>
      <c r="AN543" s="143"/>
      <c r="AO543" s="143"/>
      <c r="AP543" s="143"/>
      <c r="AQ543" s="143"/>
    </row>
    <row r="544" spans="1:43" ht="15" customHeight="1">
      <c r="A544" s="843" t="str">
        <f>+input!B30</f>
        <v>114j</v>
      </c>
      <c r="B544" s="844">
        <f>1.25*Stress!G76</f>
        <v>3311.3999999999996</v>
      </c>
      <c r="C544" s="844">
        <f>1.25*Stress!H76</f>
        <v>959.97500000000002</v>
      </c>
      <c r="D544" s="844">
        <f>1.5*Stress!I76</f>
        <v>1002.4950000000001</v>
      </c>
      <c r="E544" s="844">
        <f>1.8*Stress!K76</f>
        <v>-7419.2039999999997</v>
      </c>
      <c r="F544" s="844">
        <f>1.8*Stress!J76</f>
        <v>13430.088</v>
      </c>
      <c r="G544" s="818">
        <f>input!CS30/(input!CU30-input!K30)</f>
        <v>204166648.07547665</v>
      </c>
      <c r="H544" s="818">
        <f>input!DY30/(input!EA30-input!K30)</f>
        <v>216093952.40351695</v>
      </c>
      <c r="I544" s="818">
        <f>input!DI30/(input!BR30-input!DK30)</f>
        <v>637066277.05972934</v>
      </c>
      <c r="J544" s="848">
        <f t="shared" si="25"/>
        <v>3.7554544151038192</v>
      </c>
      <c r="K544" s="845" t="str">
        <f>IF(OR(B461="Positive",input!O30=0),"-",-B544/G544/$J$512*10^6+(-C544-D544-E544)/H544/$J$512*10^6)</f>
        <v>-</v>
      </c>
      <c r="L544" s="846" t="str">
        <f t="shared" si="24"/>
        <v>OK</v>
      </c>
      <c r="M544" s="847" t="str">
        <f>IF(OR(B461="Positive",input!O30=0),"-",IF(K544&lt;=$H$512,"OK","NG"))</f>
        <v>-</v>
      </c>
      <c r="Q544" s="73"/>
      <c r="R544" s="559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E544" s="143"/>
      <c r="AF544" s="143"/>
      <c r="AG544" s="143"/>
      <c r="AH544" s="143"/>
      <c r="AI544" s="143"/>
      <c r="AJ544" s="143"/>
      <c r="AK544" s="143"/>
      <c r="AL544" s="143"/>
      <c r="AM544" s="143"/>
      <c r="AN544" s="143"/>
      <c r="AO544" s="143"/>
      <c r="AP544" s="143"/>
      <c r="AQ544" s="143"/>
    </row>
    <row r="545" spans="1:43" ht="15" customHeight="1">
      <c r="A545" s="843" t="str">
        <f>+input!B31</f>
        <v>115i</v>
      </c>
      <c r="B545" s="844">
        <f>1.25*Stress!G77</f>
        <v>3311.3375000000001</v>
      </c>
      <c r="C545" s="844">
        <f>1.25*Stress!H77</f>
        <v>959.98749999999995</v>
      </c>
      <c r="D545" s="844">
        <f>1.5*Stress!I77</f>
        <v>1002.4950000000001</v>
      </c>
      <c r="E545" s="844">
        <f>1.8*Stress!K77</f>
        <v>-7419.2039999999997</v>
      </c>
      <c r="F545" s="844">
        <f>1.8*Stress!J77</f>
        <v>13430.088</v>
      </c>
      <c r="G545" s="818">
        <f>input!CS31/(input!CU31-input!K31)</f>
        <v>133712676.18540426</v>
      </c>
      <c r="H545" s="818">
        <f>input!DY31/(input!EA31-input!K31)</f>
        <v>144724538.01330653</v>
      </c>
      <c r="I545" s="818">
        <f>input!DI31/(input!BR31-input!DK31)</f>
        <v>566535651.64754653</v>
      </c>
      <c r="J545" s="848">
        <f t="shared" si="25"/>
        <v>4.2229916137169727</v>
      </c>
      <c r="K545" s="845" t="str">
        <f>IF(OR(B462="Positive",input!O31=0),"-",-B545/G545/$J$512*10^6+(-C545-D545-E545)/H545/$J$512*10^6)</f>
        <v>-</v>
      </c>
      <c r="L545" s="846" t="str">
        <f t="shared" si="24"/>
        <v>OK</v>
      </c>
      <c r="M545" s="847" t="str">
        <f>IF(OR(B462="Positive",input!O31=0),"-",IF(K545&lt;=$H$512,"OK","NG"))</f>
        <v>-</v>
      </c>
      <c r="Q545" s="73"/>
      <c r="R545" s="559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E545" s="143"/>
      <c r="AF545" s="143"/>
      <c r="AG545" s="143"/>
      <c r="AH545" s="143"/>
      <c r="AI545" s="143"/>
      <c r="AJ545" s="143"/>
      <c r="AK545" s="143"/>
      <c r="AL545" s="143"/>
      <c r="AM545" s="143"/>
      <c r="AN545" s="143"/>
      <c r="AO545" s="143"/>
      <c r="AP545" s="143"/>
      <c r="AQ545" s="143"/>
    </row>
    <row r="546" spans="1:43" ht="15" customHeight="1">
      <c r="A546" s="843" t="str">
        <f>+input!B32</f>
        <v>115j</v>
      </c>
      <c r="B546" s="844">
        <f>1.25*Stress!G78</f>
        <v>-5651.9124999999995</v>
      </c>
      <c r="C546" s="844">
        <f>1.25*Stress!H78</f>
        <v>-1170.9875</v>
      </c>
      <c r="D546" s="844">
        <f>1.5*Stress!I78</f>
        <v>-1228.365</v>
      </c>
      <c r="E546" s="844">
        <f>1.8*Stress!K78</f>
        <v>-9789.4800000000014</v>
      </c>
      <c r="F546" s="844">
        <f>1.8*Stress!J78</f>
        <v>7504.2900000000009</v>
      </c>
      <c r="G546" s="818">
        <f>input!CS32/(input!CU32-input!K32)</f>
        <v>133712676.18540426</v>
      </c>
      <c r="H546" s="818">
        <f>input!DY32/(input!EA32-input!K32)</f>
        <v>144724538.01330653</v>
      </c>
      <c r="I546" s="818">
        <f>input!DI32/(input!BR32-input!DK32)</f>
        <v>566535651.64754653</v>
      </c>
      <c r="J546" s="848" t="str">
        <f t="shared" si="25"/>
        <v>-</v>
      </c>
      <c r="K546" s="845" t="str">
        <f>IF(OR(B463="Positive",input!O32=0),"-",-B546/G546/$J$512*10^6+(-C546-D546-E546)/H546/$J$512*10^6)</f>
        <v>-</v>
      </c>
      <c r="L546" s="846" t="str">
        <f t="shared" si="24"/>
        <v>-</v>
      </c>
      <c r="M546" s="847" t="str">
        <f>IF(OR(B463="Positive",input!O32=0),"-",IF(K546&lt;=$H$512,"OK","NG"))</f>
        <v>-</v>
      </c>
      <c r="Q546" s="73"/>
      <c r="R546" s="559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E546" s="143"/>
      <c r="AF546" s="143"/>
      <c r="AG546" s="143"/>
      <c r="AH546" s="143"/>
      <c r="AI546" s="143"/>
      <c r="AJ546" s="143"/>
      <c r="AK546" s="143"/>
      <c r="AL546" s="143"/>
      <c r="AM546" s="143"/>
      <c r="AN546" s="143"/>
      <c r="AO546" s="143"/>
      <c r="AP546" s="143"/>
      <c r="AQ546" s="143"/>
    </row>
    <row r="547" spans="1:43" ht="15" customHeight="1">
      <c r="A547" s="843" t="str">
        <f>+input!B33</f>
        <v>116i</v>
      </c>
      <c r="B547" s="844">
        <f>1.25*Stress!G79</f>
        <v>-5651.9250000000002</v>
      </c>
      <c r="C547" s="844">
        <f>1.25*Stress!H79</f>
        <v>-1170.9875</v>
      </c>
      <c r="D547" s="844">
        <f>1.5*Stress!I79</f>
        <v>-1228.365</v>
      </c>
      <c r="E547" s="844">
        <f>1.8*Stress!K79</f>
        <v>-9789.4800000000014</v>
      </c>
      <c r="F547" s="844">
        <f>1.8*Stress!J79</f>
        <v>7504.2900000000009</v>
      </c>
      <c r="G547" s="818">
        <f>input!CS33/(input!CU33-input!K33)</f>
        <v>168332950.25264898</v>
      </c>
      <c r="H547" s="818">
        <f>input!DY33/(input!EA33-input!K33)</f>
        <v>178321096.96922928</v>
      </c>
      <c r="I547" s="818">
        <f>input!DI33/(input!BR33-input!DK33)</f>
        <v>611055657.36518896</v>
      </c>
      <c r="J547" s="848" t="str">
        <f t="shared" si="25"/>
        <v>-</v>
      </c>
      <c r="K547" s="845" t="str">
        <f>IF(OR(B464="Positive",input!O33=0),"-",-B547/G547/$J$512*10^6+(-C547-D547-E547)/H547/$J$512*10^6)</f>
        <v>-</v>
      </c>
      <c r="L547" s="846" t="str">
        <f t="shared" si="24"/>
        <v>-</v>
      </c>
      <c r="M547" s="847" t="str">
        <f>IF(OR(B464="Positive",input!O33=0),"-",IF(K547&lt;=$H$512,"OK","NG"))</f>
        <v>-</v>
      </c>
      <c r="Q547" s="73"/>
      <c r="R547" s="559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E547" s="143"/>
      <c r="AF547" s="143"/>
      <c r="AG547" s="143"/>
      <c r="AH547" s="143"/>
      <c r="AI547" s="143"/>
      <c r="AJ547" s="143"/>
      <c r="AK547" s="143"/>
      <c r="AL547" s="143"/>
      <c r="AM547" s="143"/>
      <c r="AN547" s="143"/>
      <c r="AO547" s="143"/>
      <c r="AP547" s="143"/>
      <c r="AQ547" s="143"/>
    </row>
    <row r="548" spans="1:43" ht="15" customHeight="1">
      <c r="A548" s="843" t="str">
        <f>+input!B34</f>
        <v>116j</v>
      </c>
      <c r="B548" s="844">
        <f>1.25*Stress!G80</f>
        <v>-15733.987500000001</v>
      </c>
      <c r="C548" s="844">
        <f>1.25*Stress!H80</f>
        <v>-3553.5750000000003</v>
      </c>
      <c r="D548" s="844">
        <f>1.5*Stress!I80</f>
        <v>-3748.7550000000001</v>
      </c>
      <c r="E548" s="844">
        <f>1.8*Stress!K80</f>
        <v>-14647.572</v>
      </c>
      <c r="F548" s="844">
        <f>1.8*Stress!J80</f>
        <v>3742.6319999999996</v>
      </c>
      <c r="G548" s="818">
        <f>input!CS34/(input!CU34-input!K34)</f>
        <v>168332950.25264898</v>
      </c>
      <c r="H548" s="818">
        <f>input!DY34/(input!EA34-input!K34)</f>
        <v>178321096.96922928</v>
      </c>
      <c r="I548" s="818">
        <f>input!DI34/(input!BR34-input!DK34)</f>
        <v>611055657.36518896</v>
      </c>
      <c r="J548" s="848" t="str">
        <f t="shared" si="25"/>
        <v>-</v>
      </c>
      <c r="K548" s="845" t="str">
        <f>IF(OR(B465="Positive",input!O34=0),"-",-B548/G548/$J$512*10^6+(-C548-D548-E548)/H548/$J$512*10^6)</f>
        <v>-</v>
      </c>
      <c r="L548" s="846" t="str">
        <f t="shared" si="24"/>
        <v>-</v>
      </c>
      <c r="M548" s="847" t="str">
        <f>IF(OR(B465="Positive",input!O34=0),"-",IF(K548&lt;=$H$512,"OK","NG"))</f>
        <v>-</v>
      </c>
      <c r="Q548" s="73"/>
      <c r="R548" s="559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E548" s="143"/>
      <c r="AF548" s="143"/>
      <c r="AG548" s="143"/>
      <c r="AH548" s="143"/>
      <c r="AI548" s="143"/>
      <c r="AJ548" s="143"/>
      <c r="AK548" s="143"/>
      <c r="AL548" s="143"/>
      <c r="AM548" s="143"/>
      <c r="AN548" s="143"/>
      <c r="AO548" s="143"/>
      <c r="AP548" s="143"/>
      <c r="AQ548" s="143"/>
    </row>
    <row r="549" spans="1:43" ht="15" customHeight="1">
      <c r="A549" s="843" t="str">
        <f>+input!B35</f>
        <v>117i</v>
      </c>
      <c r="B549" s="844">
        <f>1.25*Stress!G81</f>
        <v>-15733.95</v>
      </c>
      <c r="C549" s="844">
        <f>1.25*Stress!H81</f>
        <v>-3553.5750000000003</v>
      </c>
      <c r="D549" s="844">
        <f>1.5*Stress!I81</f>
        <v>-3748.74</v>
      </c>
      <c r="E549" s="844">
        <f>1.8*Stress!K81</f>
        <v>-14647.59</v>
      </c>
      <c r="F549" s="844">
        <f>1.8*Stress!J81</f>
        <v>3742.6319999999996</v>
      </c>
      <c r="G549" s="818">
        <f>input!CS35/(input!CU35-input!K35)</f>
        <v>418696234.2710129</v>
      </c>
      <c r="H549" s="818">
        <f>input!DY35/(input!EA35-input!K35)</f>
        <v>434884061.95683527</v>
      </c>
      <c r="I549" s="818">
        <f>input!DI35/(input!BR35-input!DK35)</f>
        <v>693872833.32569349</v>
      </c>
      <c r="J549" s="848" t="str">
        <f t="shared" si="25"/>
        <v>-</v>
      </c>
      <c r="K549" s="848">
        <f>IF(OR(B466="Positive",input!O35=0),"-",-B549/G549/$J$512*10^6+(-C549-D549-E549)/H549/$J$512*10^6)</f>
        <v>15.4399984659143</v>
      </c>
      <c r="L549" s="846" t="str">
        <f t="shared" ref="L549:L578" si="26">IF(B466="Positive",IF(J549&lt;=$H$511,"OK","NG"),"-")</f>
        <v>-</v>
      </c>
      <c r="M549" s="847" t="str">
        <f>IF(OR(B466="Positive",input!O35=0),"-",IF(K549&lt;=$H$512,"OK","NG"))</f>
        <v>OK</v>
      </c>
      <c r="Q549" s="73"/>
      <c r="R549" s="559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E549" s="143"/>
      <c r="AF549" s="143"/>
      <c r="AG549" s="143"/>
      <c r="AH549" s="143"/>
      <c r="AI549" s="143"/>
      <c r="AJ549" s="143"/>
      <c r="AK549" s="143"/>
      <c r="AL549" s="143"/>
      <c r="AM549" s="143"/>
      <c r="AN549" s="143"/>
      <c r="AO549" s="143"/>
      <c r="AP549" s="143"/>
      <c r="AQ549" s="143"/>
    </row>
    <row r="550" spans="1:43" ht="15" customHeight="1">
      <c r="A550" s="1051" t="str">
        <f>+input!B36</f>
        <v>117j</v>
      </c>
      <c r="B550" s="1052">
        <f>1.25*Stress!G82</f>
        <v>-27528.337499999998</v>
      </c>
      <c r="C550" s="1052">
        <f>1.25*Stress!H82</f>
        <v>-6347.1875</v>
      </c>
      <c r="D550" s="1052">
        <f>1.5*Stress!I82</f>
        <v>-6675.9749999999995</v>
      </c>
      <c r="E550" s="1052">
        <f>1.8*Stress!K82</f>
        <v>-24154.974000000002</v>
      </c>
      <c r="F550" s="1052">
        <f>1.8*Stress!J82</f>
        <v>1164.1680000000001</v>
      </c>
      <c r="G550" s="1012">
        <f>input!CS36/(input!CU36-input!K36)</f>
        <v>418696234.2710129</v>
      </c>
      <c r="H550" s="1012">
        <f>input!DY36/(input!EA36-input!K36)</f>
        <v>434884061.95683527</v>
      </c>
      <c r="I550" s="1012">
        <f>input!DI36/(input!BR36-input!DK36)</f>
        <v>693872833.32569349</v>
      </c>
      <c r="J550" s="1045" t="str">
        <f t="shared" ref="J550:J578" si="27">IF(B467="Positive",(C550+D550+F550)/I550/$J$511*10^6,"-")</f>
        <v>-</v>
      </c>
      <c r="K550" s="1045">
        <f>IF(OR(B467="Positive",input!O36=0),"-",-B550/G550/$J$512*10^6+(-C550-D550-E550)/H550/$J$512*10^6)</f>
        <v>26.519805527609559</v>
      </c>
      <c r="L550" s="1053" t="str">
        <f t="shared" si="26"/>
        <v>-</v>
      </c>
      <c r="M550" s="1054" t="str">
        <f>IF(OR(B467="Positive",input!O36=0),"-",IF(K550&lt;=$H$512,"OK","NG"))</f>
        <v>OK</v>
      </c>
      <c r="Q550" s="73"/>
      <c r="R550" s="559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E550" s="143"/>
      <c r="AF550" s="143"/>
      <c r="AG550" s="143"/>
      <c r="AH550" s="143"/>
      <c r="AI550" s="143"/>
      <c r="AJ550" s="143"/>
      <c r="AK550" s="143"/>
      <c r="AL550" s="143"/>
      <c r="AM550" s="143"/>
      <c r="AN550" s="143"/>
      <c r="AO550" s="143"/>
      <c r="AP550" s="143"/>
      <c r="AQ550" s="143"/>
    </row>
    <row r="551" spans="1:43" ht="15" customHeight="1">
      <c r="A551" s="1055" t="str">
        <f>+input!B37</f>
        <v>118i</v>
      </c>
      <c r="B551" s="1056">
        <f>1.25*Stress!G83</f>
        <v>-27528.262500000001</v>
      </c>
      <c r="C551" s="1056">
        <f>1.25*Stress!H83</f>
        <v>-6347.2249999999995</v>
      </c>
      <c r="D551" s="1056">
        <f>1.5*Stress!I83</f>
        <v>-6675.99</v>
      </c>
      <c r="E551" s="1056">
        <f>1.8*Stress!K83</f>
        <v>-24154.974000000002</v>
      </c>
      <c r="F551" s="1056">
        <f>1.8*Stress!J83</f>
        <v>1164.1680000000001</v>
      </c>
      <c r="G551" s="1013">
        <f>input!CS37/(input!CU37-input!K37)</f>
        <v>569434270.79572153</v>
      </c>
      <c r="H551" s="1013">
        <f>input!DY37/(input!EA37-input!K37)</f>
        <v>580693032.94558001</v>
      </c>
      <c r="I551" s="1013">
        <f>input!DI37/(input!BR37-input!DK37)</f>
        <v>838677297.18139839</v>
      </c>
      <c r="J551" s="1048" t="str">
        <f t="shared" si="27"/>
        <v>-</v>
      </c>
      <c r="K551" s="1048">
        <f>IF(OR(B468="Positive",input!O37=0),"-",-B551/G551/$J$512*10^6+(-C551-D551-E551)/H551/$J$512*10^6)</f>
        <v>19.703781550591621</v>
      </c>
      <c r="L551" s="1057" t="str">
        <f t="shared" si="26"/>
        <v>-</v>
      </c>
      <c r="M551" s="1058" t="str">
        <f>IF(OR(B468="Positive",input!O37=0),"-",IF(K551&lt;=$H$512,"OK","NG"))</f>
        <v>OK</v>
      </c>
      <c r="Q551" s="73"/>
      <c r="R551" s="559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E551" s="143"/>
      <c r="AF551" s="143"/>
      <c r="AG551" s="143"/>
      <c r="AH551" s="143"/>
      <c r="AI551" s="143"/>
      <c r="AJ551" s="143"/>
      <c r="AK551" s="143"/>
      <c r="AL551" s="143"/>
      <c r="AM551" s="143"/>
      <c r="AN551" s="143"/>
      <c r="AO551" s="143"/>
      <c r="AP551" s="143"/>
      <c r="AQ551" s="143"/>
    </row>
    <row r="552" spans="1:43" ht="15" customHeight="1">
      <c r="A552" s="843" t="str">
        <f>+input!B38</f>
        <v>118j</v>
      </c>
      <c r="B552" s="844">
        <f>1.25*Stress!G84</f>
        <v>-36449.974999999999</v>
      </c>
      <c r="C552" s="844">
        <f>1.25*Stress!H84</f>
        <v>-8452.4</v>
      </c>
      <c r="D552" s="844">
        <f>1.5*Stress!I84</f>
        <v>-8897.2199999999993</v>
      </c>
      <c r="E552" s="844">
        <f>1.8*Stress!K84</f>
        <v>-31990.464</v>
      </c>
      <c r="F552" s="844">
        <f>1.8*Stress!J84</f>
        <v>335.08800000000002</v>
      </c>
      <c r="G552" s="818">
        <f>input!CS38/(input!CU38-input!K38)</f>
        <v>569434270.79572153</v>
      </c>
      <c r="H552" s="818">
        <f>input!DY38/(input!EA38-input!K38)</f>
        <v>580693032.94558001</v>
      </c>
      <c r="I552" s="818">
        <f>input!DI38/(input!BR38-input!DK38)</f>
        <v>838677297.18139839</v>
      </c>
      <c r="J552" s="848" t="str">
        <f t="shared" si="27"/>
        <v>-</v>
      </c>
      <c r="K552" s="848">
        <f>IF(OR(B469="Positive",input!O38=0),"-",-B552/G552/$J$512*10^6+(-C552-D552-E552)/H552/$J$512*10^6)</f>
        <v>26.12367109807861</v>
      </c>
      <c r="L552" s="846" t="str">
        <f t="shared" si="26"/>
        <v>-</v>
      </c>
      <c r="M552" s="847" t="str">
        <f>IF(OR(B469="Positive",input!O38=0),"-",IF(K552&lt;=$H$512,"OK","NG"))</f>
        <v>OK</v>
      </c>
      <c r="Q552" s="73"/>
      <c r="R552" s="559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E552" s="143"/>
      <c r="AF552" s="143"/>
      <c r="AG552" s="143"/>
      <c r="AH552" s="143"/>
      <c r="AI552" s="143"/>
      <c r="AJ552" s="143"/>
      <c r="AK552" s="143"/>
      <c r="AL552" s="143"/>
      <c r="AM552" s="143"/>
      <c r="AN552" s="143"/>
      <c r="AO552" s="143"/>
      <c r="AP552" s="143"/>
      <c r="AQ552" s="143"/>
    </row>
    <row r="553" spans="1:43" ht="15" customHeight="1">
      <c r="A553" s="843" t="str">
        <f>+input!B39</f>
        <v>119i</v>
      </c>
      <c r="B553" s="844">
        <f>1.25*Stress!G85</f>
        <v>-36450.0625</v>
      </c>
      <c r="C553" s="844">
        <f>1.25*Stress!H85</f>
        <v>-8452.4500000000007</v>
      </c>
      <c r="D553" s="844">
        <f>1.5*Stress!I85</f>
        <v>-8897.2649999999994</v>
      </c>
      <c r="E553" s="844">
        <f>1.8*Stress!K85</f>
        <v>-31990.464</v>
      </c>
      <c r="F553" s="844">
        <f>1.8*Stress!J85</f>
        <v>335.08800000000002</v>
      </c>
      <c r="G553" s="818">
        <f>input!CS39/(input!CU39-input!K39)</f>
        <v>619000696.87751603</v>
      </c>
      <c r="H553" s="818">
        <f>input!DY39/(input!EA39-input!K39)</f>
        <v>632189635.29864776</v>
      </c>
      <c r="I553" s="818">
        <f>input!DI39/(input!BR39-input!DK39)</f>
        <v>867902634.06665409</v>
      </c>
      <c r="J553" s="848" t="str">
        <f t="shared" si="27"/>
        <v>-</v>
      </c>
      <c r="K553" s="848">
        <f>IF(OR(B470="Positive",input!O39=0),"-",-B553/G553/$J$512*10^6+(-C553-D553-E553)/H553/$J$512*10^6)</f>
        <v>24.011271711642685</v>
      </c>
      <c r="L553" s="846" t="str">
        <f t="shared" si="26"/>
        <v>-</v>
      </c>
      <c r="M553" s="847" t="str">
        <f>IF(OR(B470="Positive",input!O39=0),"-",IF(K553&lt;=$H$512,"OK","NG"))</f>
        <v>OK</v>
      </c>
      <c r="Q553" s="73"/>
      <c r="R553" s="559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E553" s="143"/>
      <c r="AF553" s="143"/>
      <c r="AG553" s="143"/>
      <c r="AH553" s="143"/>
      <c r="AI553" s="143"/>
      <c r="AJ553" s="143"/>
      <c r="AK553" s="143"/>
      <c r="AL553" s="143"/>
      <c r="AM553" s="143"/>
      <c r="AN553" s="143"/>
      <c r="AO553" s="143"/>
      <c r="AP553" s="143"/>
      <c r="AQ553" s="143"/>
    </row>
    <row r="554" spans="1:43" ht="15" customHeight="1">
      <c r="A554" s="843" t="str">
        <f>+input!B40</f>
        <v>119j</v>
      </c>
      <c r="B554" s="844">
        <f>1.25*Stress!G86</f>
        <v>-40441.1875</v>
      </c>
      <c r="C554" s="844">
        <f>1.25*Stress!H86</f>
        <v>-9392.375</v>
      </c>
      <c r="D554" s="844">
        <f>1.5*Stress!I86</f>
        <v>-9892.6500000000015</v>
      </c>
      <c r="E554" s="844">
        <f>1.8*Stress!K86</f>
        <v>-35591.310000000005</v>
      </c>
      <c r="F554" s="844">
        <f>1.8*Stress!J86</f>
        <v>173.73599999999999</v>
      </c>
      <c r="G554" s="818">
        <f>input!CS40/(input!CU40-input!K40)</f>
        <v>619000696.87751603</v>
      </c>
      <c r="H554" s="818">
        <f>input!DY40/(input!EA40-input!K40)</f>
        <v>632189635.29864776</v>
      </c>
      <c r="I554" s="818">
        <f>input!DI40/(input!BR40-input!DK40)</f>
        <v>867902634.06665409</v>
      </c>
      <c r="J554" s="848" t="str">
        <f t="shared" si="27"/>
        <v>-</v>
      </c>
      <c r="K554" s="848">
        <f>IF(OR(B471="Positive",input!O40=0),"-",-B554/G554/$J$512*10^6+(-C554-D554-E554)/H554/$J$512*10^6)</f>
        <v>26.67746480068778</v>
      </c>
      <c r="L554" s="846" t="str">
        <f t="shared" si="26"/>
        <v>-</v>
      </c>
      <c r="M554" s="847" t="str">
        <f>IF(OR(B471="Positive",input!O40=0),"-",IF(K554&lt;=$H$512,"OK","NG"))</f>
        <v>OK</v>
      </c>
      <c r="Q554" s="73"/>
      <c r="R554" s="559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E554" s="143"/>
      <c r="AF554" s="143"/>
      <c r="AG554" s="143"/>
      <c r="AH554" s="143"/>
      <c r="AI554" s="143"/>
      <c r="AJ554" s="143"/>
      <c r="AK554" s="143"/>
      <c r="AL554" s="143"/>
      <c r="AM554" s="143"/>
      <c r="AN554" s="143"/>
      <c r="AO554" s="143"/>
      <c r="AP554" s="143"/>
      <c r="AQ554" s="143"/>
    </row>
    <row r="555" spans="1:43" ht="15" customHeight="1">
      <c r="A555" s="843" t="str">
        <f>+input!B41</f>
        <v>120i</v>
      </c>
      <c r="B555" s="844">
        <f>1.25*Stress!G87</f>
        <v>-40441.237500000003</v>
      </c>
      <c r="C555" s="844">
        <f>1.25*Stress!H87</f>
        <v>-9392.5125000000007</v>
      </c>
      <c r="D555" s="844">
        <f>1.5*Stress!I87</f>
        <v>-9892.6049999999996</v>
      </c>
      <c r="E555" s="844">
        <f>1.8*Stress!K87</f>
        <v>-35588.502</v>
      </c>
      <c r="F555" s="844">
        <f>1.8*Stress!J87</f>
        <v>184.428</v>
      </c>
      <c r="G555" s="818">
        <f>input!CS41/(input!CU41-input!K41)</f>
        <v>619000696.87751603</v>
      </c>
      <c r="H555" s="818">
        <f>input!DY41/(input!EA41-input!K41)</f>
        <v>632189635.29864776</v>
      </c>
      <c r="I555" s="818">
        <f>input!DI41/(input!BR41-input!DK41)</f>
        <v>867902634.06665409</v>
      </c>
      <c r="J555" s="848" t="str">
        <f t="shared" si="27"/>
        <v>-</v>
      </c>
      <c r="K555" s="848">
        <f>IF(OR(B472="Positive",input!O41=0),"-",-B555/G555/$J$512*10^6+(-C555-D555-E555)/H555/$J$512*10^6)</f>
        <v>26.676725759762313</v>
      </c>
      <c r="L555" s="846" t="str">
        <f t="shared" si="26"/>
        <v>-</v>
      </c>
      <c r="M555" s="847" t="str">
        <f>IF(OR(B472="Positive",input!O41=0),"-",IF(K555&lt;=$H$512,"OK","NG"))</f>
        <v>OK</v>
      </c>
      <c r="Q555" s="73"/>
      <c r="R555" s="559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E555" s="143"/>
      <c r="AF555" s="143"/>
      <c r="AG555" s="143"/>
      <c r="AH555" s="143"/>
      <c r="AI555" s="143"/>
      <c r="AJ555" s="143"/>
      <c r="AK555" s="143"/>
      <c r="AL555" s="143"/>
      <c r="AM555" s="143"/>
      <c r="AN555" s="143"/>
      <c r="AO555" s="143"/>
      <c r="AP555" s="143"/>
      <c r="AQ555" s="143"/>
    </row>
    <row r="556" spans="1:43" ht="15" customHeight="1">
      <c r="A556" s="843" t="str">
        <f>+input!B42</f>
        <v>120j</v>
      </c>
      <c r="B556" s="844">
        <f>1.25*Stress!G88</f>
        <v>-37285.050000000003</v>
      </c>
      <c r="C556" s="844">
        <f>1.25*Stress!H88</f>
        <v>-8654.2749999999996</v>
      </c>
      <c r="D556" s="844">
        <f>1.5*Stress!I88</f>
        <v>-9109.6350000000002</v>
      </c>
      <c r="E556" s="844">
        <f>1.8*Stress!K88</f>
        <v>-33344.928</v>
      </c>
      <c r="F556" s="844">
        <f>1.8*Stress!J88</f>
        <v>603.14400000000001</v>
      </c>
      <c r="G556" s="818">
        <f>input!CS42/(input!CU42-input!K42)</f>
        <v>619000696.87751603</v>
      </c>
      <c r="H556" s="818">
        <f>input!DY42/(input!EA42-input!K42)</f>
        <v>632189635.29864776</v>
      </c>
      <c r="I556" s="818">
        <f>input!DI42/(input!BR42-input!DK42)</f>
        <v>867902634.06665409</v>
      </c>
      <c r="J556" s="848" t="str">
        <f t="shared" si="27"/>
        <v>-</v>
      </c>
      <c r="K556" s="848">
        <f>IF(OR(B473="Positive",input!O42=0),"-",-B556/G556/$J$512*10^6+(-C556-D556-E556)/H556/$J$512*10^6)</f>
        <v>24.738386388171804</v>
      </c>
      <c r="L556" s="846" t="str">
        <f t="shared" si="26"/>
        <v>-</v>
      </c>
      <c r="M556" s="847" t="str">
        <f>IF(OR(B473="Positive",input!O42=0),"-",IF(K556&lt;=$H$512,"OK","NG"))</f>
        <v>OK</v>
      </c>
      <c r="Q556" s="73"/>
      <c r="R556" s="559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E556" s="143"/>
      <c r="AF556" s="143"/>
      <c r="AG556" s="143"/>
      <c r="AH556" s="143"/>
      <c r="AI556" s="143"/>
      <c r="AJ556" s="143"/>
      <c r="AK556" s="143"/>
      <c r="AL556" s="143"/>
      <c r="AM556" s="143"/>
      <c r="AN556" s="143"/>
      <c r="AO556" s="143"/>
      <c r="AP556" s="143"/>
      <c r="AQ556" s="143"/>
    </row>
    <row r="557" spans="1:43" ht="15" customHeight="1">
      <c r="A557" s="843" t="str">
        <f>+input!B43</f>
        <v>121i</v>
      </c>
      <c r="B557" s="844">
        <f>1.25*Stress!G89</f>
        <v>-37284.887499999997</v>
      </c>
      <c r="C557" s="844">
        <f>1.25*Stress!H89</f>
        <v>-8654.2875000000004</v>
      </c>
      <c r="D557" s="844">
        <f>1.5*Stress!I89</f>
        <v>-9109.59</v>
      </c>
      <c r="E557" s="844">
        <f>1.8*Stress!K89</f>
        <v>-33344.928</v>
      </c>
      <c r="F557" s="844">
        <f>1.8*Stress!J89</f>
        <v>603.14400000000001</v>
      </c>
      <c r="G557" s="818">
        <f>input!CS43/(input!CU43-input!K43)</f>
        <v>569434270.79572153</v>
      </c>
      <c r="H557" s="818">
        <f>input!DY43/(input!EA43-input!K43)</f>
        <v>580693032.94558001</v>
      </c>
      <c r="I557" s="818">
        <f>input!DI43/(input!BR43-input!DK43)</f>
        <v>838677297.18139839</v>
      </c>
      <c r="J557" s="848" t="str">
        <f t="shared" si="27"/>
        <v>-</v>
      </c>
      <c r="K557" s="848">
        <f>IF(OR(B474="Positive",input!O43=0),"-",-B557/G557/$J$512*10^6+(-C557-D557-E557)/H557/$J$512*10^6)</f>
        <v>26.914875980235166</v>
      </c>
      <c r="L557" s="846" t="str">
        <f t="shared" si="26"/>
        <v>-</v>
      </c>
      <c r="M557" s="847" t="str">
        <f>IF(OR(B474="Positive",input!O43=0),"-",IF(K557&lt;=$H$512,"OK","NG"))</f>
        <v>OK</v>
      </c>
      <c r="Q557" s="73"/>
      <c r="R557" s="559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E557" s="143"/>
      <c r="AF557" s="143"/>
      <c r="AG557" s="143"/>
      <c r="AH557" s="143"/>
      <c r="AI557" s="143"/>
      <c r="AJ557" s="143"/>
      <c r="AK557" s="143"/>
      <c r="AL557" s="143"/>
      <c r="AM557" s="143"/>
      <c r="AN557" s="143"/>
      <c r="AO557" s="143"/>
      <c r="AP557" s="143"/>
      <c r="AQ557" s="143"/>
    </row>
    <row r="558" spans="1:43" ht="15" customHeight="1">
      <c r="A558" s="843" t="str">
        <f>+input!B44</f>
        <v>121j</v>
      </c>
      <c r="B558" s="844">
        <f>1.25*Stress!G90</f>
        <v>-30311.9</v>
      </c>
      <c r="C558" s="844">
        <f>1.25*Stress!H90</f>
        <v>-7019.8249999999998</v>
      </c>
      <c r="D558" s="844">
        <f>1.5*Stress!I90</f>
        <v>-7383.7800000000007</v>
      </c>
      <c r="E558" s="844">
        <f>1.8*Stress!K90</f>
        <v>-28863.216</v>
      </c>
      <c r="F558" s="844">
        <f>1.8*Stress!J90</f>
        <v>2553.444</v>
      </c>
      <c r="G558" s="818">
        <f>input!CS44/(input!CU44-input!K44)</f>
        <v>569434270.79572153</v>
      </c>
      <c r="H558" s="818">
        <f>input!DY44/(input!EA44-input!K44)</f>
        <v>580693032.94558001</v>
      </c>
      <c r="I558" s="818">
        <f>input!DI44/(input!BR44-input!DK44)</f>
        <v>838677297.18139839</v>
      </c>
      <c r="J558" s="848" t="str">
        <f t="shared" si="27"/>
        <v>-</v>
      </c>
      <c r="K558" s="848">
        <f>IF(OR(B475="Positive",input!O44=0),"-",-B558/G558/$J$512*10^6+(-C558-D558-E558)/H558/$J$512*10^6)</f>
        <v>22.399562789479209</v>
      </c>
      <c r="L558" s="846" t="str">
        <f t="shared" si="26"/>
        <v>-</v>
      </c>
      <c r="M558" s="847" t="str">
        <f>IF(OR(B475="Positive",input!O44=0),"-",IF(K558&lt;=$H$512,"OK","NG"))</f>
        <v>OK</v>
      </c>
      <c r="Q558" s="73"/>
      <c r="R558" s="559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E558" s="143"/>
      <c r="AF558" s="143"/>
      <c r="AG558" s="143"/>
      <c r="AH558" s="143"/>
      <c r="AI558" s="143"/>
      <c r="AJ558" s="143"/>
      <c r="AK558" s="143"/>
      <c r="AL558" s="143"/>
      <c r="AM558" s="143"/>
      <c r="AN558" s="143"/>
      <c r="AO558" s="143"/>
      <c r="AP558" s="143"/>
      <c r="AQ558" s="143"/>
    </row>
    <row r="559" spans="1:43" ht="15" customHeight="1">
      <c r="A559" s="843" t="str">
        <f>+input!B45</f>
        <v>122i</v>
      </c>
      <c r="B559" s="844">
        <f>1.25*Stress!G91</f>
        <v>-30311.787499999999</v>
      </c>
      <c r="C559" s="844">
        <f>1.25*Stress!H91</f>
        <v>-7019.8249999999998</v>
      </c>
      <c r="D559" s="844">
        <f>1.5*Stress!I91</f>
        <v>-7383.7800000000007</v>
      </c>
      <c r="E559" s="844">
        <f>1.8*Stress!K91</f>
        <v>-28863.216</v>
      </c>
      <c r="F559" s="844">
        <f>1.8*Stress!J91</f>
        <v>2553.444</v>
      </c>
      <c r="G559" s="818">
        <f>input!CS45/(input!CU45-input!K45)</f>
        <v>434933535.18008333</v>
      </c>
      <c r="H559" s="818">
        <f>input!DY45/(input!EA45-input!K45)</f>
        <v>449769904.69986451</v>
      </c>
      <c r="I559" s="818">
        <f>input!DI45/(input!BR45-input!DK45)</f>
        <v>712401471.49935484</v>
      </c>
      <c r="J559" s="848" t="str">
        <f t="shared" si="27"/>
        <v>-</v>
      </c>
      <c r="K559" s="848">
        <f>IF(OR(B476="Positive",input!O45=0),"-",-B559/G559/$J$512*10^6+(-C559-D559-E559)/H559/$J$512*10^6)</f>
        <v>29.08925227943876</v>
      </c>
      <c r="L559" s="846" t="str">
        <f t="shared" si="26"/>
        <v>-</v>
      </c>
      <c r="M559" s="847" t="str">
        <f>IF(OR(B476="Positive",input!O45=0),"-",IF(K559&lt;=$H$512,"OK","NG"))</f>
        <v>OK</v>
      </c>
      <c r="Q559" s="73"/>
      <c r="R559" s="559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E559" s="143"/>
      <c r="AF559" s="143"/>
      <c r="AG559" s="143"/>
      <c r="AH559" s="143"/>
      <c r="AI559" s="143"/>
      <c r="AJ559" s="143"/>
      <c r="AK559" s="143"/>
      <c r="AL559" s="143"/>
      <c r="AM559" s="143"/>
      <c r="AN559" s="143"/>
      <c r="AO559" s="143"/>
      <c r="AP559" s="143"/>
      <c r="AQ559" s="143"/>
    </row>
    <row r="560" spans="1:43" ht="15" customHeight="1">
      <c r="A560" s="843" t="str">
        <f>+input!B46</f>
        <v>122j</v>
      </c>
      <c r="B560" s="844">
        <f>1.25*Stress!G92</f>
        <v>-21301.125</v>
      </c>
      <c r="C560" s="844">
        <f>1.25*Stress!H92</f>
        <v>-4898.6875</v>
      </c>
      <c r="D560" s="844">
        <f>1.5*Stress!I92</f>
        <v>-5164.4400000000005</v>
      </c>
      <c r="E560" s="844">
        <f>1.8*Stress!K92</f>
        <v>-24136.812000000002</v>
      </c>
      <c r="F560" s="844">
        <f>1.8*Stress!J92</f>
        <v>7256.7180000000008</v>
      </c>
      <c r="G560" s="818">
        <f>input!CS46/(input!CU46-input!K46)</f>
        <v>434933535.18008333</v>
      </c>
      <c r="H560" s="818">
        <f>input!DY46/(input!EA46-input!K46)</f>
        <v>449769904.69986451</v>
      </c>
      <c r="I560" s="818">
        <f>input!DI46/(input!BR46-input!DK46)</f>
        <v>712401471.49935484</v>
      </c>
      <c r="J560" s="848" t="str">
        <f t="shared" si="27"/>
        <v>-</v>
      </c>
      <c r="K560" s="848">
        <f>IF(OR(B477="Positive",input!O46=0),"-",-B560/G560/$J$512*10^6+(-C560-D560-E560)/H560/$J$512*10^6)</f>
        <v>21.921516362988235</v>
      </c>
      <c r="L560" s="846" t="str">
        <f t="shared" si="26"/>
        <v>-</v>
      </c>
      <c r="M560" s="847" t="str">
        <f>IF(OR(B477="Positive",input!O46=0),"-",IF(K560&lt;=$H$512,"OK","NG"))</f>
        <v>OK</v>
      </c>
      <c r="Q560" s="73"/>
      <c r="R560" s="559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E560" s="143"/>
      <c r="AF560" s="143"/>
      <c r="AG560" s="143"/>
      <c r="AH560" s="143"/>
      <c r="AI560" s="143"/>
      <c r="AJ560" s="143"/>
      <c r="AK560" s="143"/>
      <c r="AL560" s="143"/>
      <c r="AM560" s="143"/>
      <c r="AN560" s="143"/>
      <c r="AO560" s="143"/>
      <c r="AP560" s="143"/>
      <c r="AQ560" s="143"/>
    </row>
    <row r="561" spans="1:43" ht="15" customHeight="1">
      <c r="A561" s="843" t="str">
        <f>+input!B47</f>
        <v>123i</v>
      </c>
      <c r="B561" s="844">
        <f>1.25*Stress!G93</f>
        <v>-21301.137500000001</v>
      </c>
      <c r="C561" s="844">
        <f>1.25*Stress!H93</f>
        <v>-4898.6875</v>
      </c>
      <c r="D561" s="844">
        <f>1.5*Stress!I93</f>
        <v>-5164.4249999999993</v>
      </c>
      <c r="E561" s="844">
        <f>1.8*Stress!K93</f>
        <v>-24136.812000000002</v>
      </c>
      <c r="F561" s="844">
        <f>1.8*Stress!J93</f>
        <v>7256.7180000000008</v>
      </c>
      <c r="G561" s="818">
        <f>input!CS47/(input!CU47-input!K47)</f>
        <v>206744168.48635438</v>
      </c>
      <c r="H561" s="818">
        <f>input!DY47/(input!EA47-input!K47)</f>
        <v>214534013.72839344</v>
      </c>
      <c r="I561" s="818">
        <f>input!DI47/(input!BR47-input!DK47)</f>
        <v>660349858.09108818</v>
      </c>
      <c r="J561" s="848" t="str">
        <f t="shared" si="27"/>
        <v>-</v>
      </c>
      <c r="K561" s="845" t="str">
        <f>IF(OR(B478="Positive",input!O47=0),"-",-B561/G561/$J$512*10^6+(-C561-D561-E561)/H561/$J$512*10^6)</f>
        <v>-</v>
      </c>
      <c r="L561" s="846" t="str">
        <f t="shared" si="26"/>
        <v>-</v>
      </c>
      <c r="M561" s="847" t="str">
        <f>IF(OR(B478="Positive",input!O47=0),"-",IF(K561&lt;=$H$512,"OK","NG"))</f>
        <v>-</v>
      </c>
      <c r="Q561" s="73"/>
      <c r="R561" s="559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E561" s="143"/>
      <c r="AF561" s="143"/>
      <c r="AG561" s="143"/>
      <c r="AH561" s="143"/>
      <c r="AI561" s="143"/>
      <c r="AJ561" s="143"/>
      <c r="AK561" s="143"/>
      <c r="AL561" s="143"/>
      <c r="AM561" s="143"/>
      <c r="AN561" s="143"/>
      <c r="AO561" s="143"/>
      <c r="AP561" s="143"/>
      <c r="AQ561" s="143"/>
    </row>
    <row r="562" spans="1:43" ht="15" customHeight="1">
      <c r="A562" s="843" t="str">
        <f>+input!B48</f>
        <v>123j</v>
      </c>
      <c r="B562" s="844">
        <f>1.25*Stress!G94</f>
        <v>-13959.125</v>
      </c>
      <c r="C562" s="844">
        <f>1.25*Stress!H94</f>
        <v>-3185.4375</v>
      </c>
      <c r="D562" s="844">
        <f>1.5*Stress!I94</f>
        <v>-3348.7049999999999</v>
      </c>
      <c r="E562" s="844">
        <f>1.8*Stress!K94</f>
        <v>-20764.295999999998</v>
      </c>
      <c r="F562" s="844">
        <f>1.8*Stress!J94</f>
        <v>11435.058000000001</v>
      </c>
      <c r="G562" s="818">
        <f>input!CS48/(input!CU48-input!K48)</f>
        <v>206744168.48635438</v>
      </c>
      <c r="H562" s="818">
        <f>input!DY48/(input!EA48-input!K48)</f>
        <v>214534013.72839344</v>
      </c>
      <c r="I562" s="818">
        <f>input!DI48/(input!BR48-input!DK48)</f>
        <v>660349858.09108818</v>
      </c>
      <c r="J562" s="848" t="str">
        <f t="shared" si="27"/>
        <v>-</v>
      </c>
      <c r="K562" s="845" t="str">
        <f>IF(OR(B479="Positive",input!O48=0),"-",-B562/G562/$J$512*10^6+(-C562-D562-E562)/H562/$J$512*10^6)</f>
        <v>-</v>
      </c>
      <c r="L562" s="846" t="str">
        <f t="shared" si="26"/>
        <v>-</v>
      </c>
      <c r="M562" s="847" t="str">
        <f>IF(OR(B479="Positive",input!O48=0),"-",IF(K562&lt;=$H$512,"OK","NG"))</f>
        <v>-</v>
      </c>
      <c r="Q562" s="73"/>
      <c r="R562" s="559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E562" s="143"/>
      <c r="AF562" s="143"/>
      <c r="AG562" s="143"/>
      <c r="AH562" s="143"/>
      <c r="AI562" s="143"/>
      <c r="AJ562" s="143"/>
      <c r="AK562" s="143"/>
      <c r="AL562" s="143"/>
      <c r="AM562" s="143"/>
      <c r="AN562" s="143"/>
      <c r="AO562" s="143"/>
      <c r="AP562" s="143"/>
      <c r="AQ562" s="143"/>
    </row>
    <row r="563" spans="1:43" ht="15" customHeight="1">
      <c r="A563" s="843" t="str">
        <f>+input!B49</f>
        <v>124i</v>
      </c>
      <c r="B563" s="844">
        <f>1.25*Stress!G95</f>
        <v>-13959.15</v>
      </c>
      <c r="C563" s="844">
        <f>1.25*Stress!H95</f>
        <v>-3185.4375</v>
      </c>
      <c r="D563" s="844">
        <f>1.5*Stress!I95</f>
        <v>-3348.7200000000003</v>
      </c>
      <c r="E563" s="844">
        <f>1.8*Stress!K95</f>
        <v>-20764.295999999998</v>
      </c>
      <c r="F563" s="844">
        <f>1.8*Stress!J95</f>
        <v>11435.058000000001</v>
      </c>
      <c r="G563" s="818">
        <f>input!CS49/(input!CU49-input!K49)</f>
        <v>163880305.76694968</v>
      </c>
      <c r="H563" s="818">
        <f>input!DY49/(input!EA49-input!K49)</f>
        <v>175205552.20633179</v>
      </c>
      <c r="I563" s="818">
        <f>input!DI49/(input!BR49-input!DK49)</f>
        <v>600712905.38626349</v>
      </c>
      <c r="J563" s="848" t="str">
        <f t="shared" si="27"/>
        <v>-</v>
      </c>
      <c r="K563" s="845" t="str">
        <f>IF(OR(B480="Positive",input!O49=0),"-",-B563/G563/$J$512*10^6+(-C563-D563-E563)/H563/$J$512*10^6)</f>
        <v>-</v>
      </c>
      <c r="L563" s="846" t="str">
        <f t="shared" si="26"/>
        <v>-</v>
      </c>
      <c r="M563" s="847" t="str">
        <f>IF(OR(B480="Positive",input!O49=0),"-",IF(K563&lt;=$H$512,"OK","NG"))</f>
        <v>-</v>
      </c>
      <c r="Q563" s="73"/>
      <c r="R563" s="559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E563" s="143"/>
      <c r="AF563" s="143"/>
      <c r="AG563" s="143"/>
      <c r="AH563" s="143"/>
      <c r="AI563" s="143"/>
      <c r="AJ563" s="143"/>
      <c r="AK563" s="143"/>
      <c r="AL563" s="143"/>
      <c r="AM563" s="143"/>
      <c r="AN563" s="143"/>
      <c r="AO563" s="143"/>
      <c r="AP563" s="143"/>
      <c r="AQ563" s="143"/>
    </row>
    <row r="564" spans="1:43" ht="15" customHeight="1">
      <c r="A564" s="843" t="str">
        <f>+input!B50</f>
        <v>124j</v>
      </c>
      <c r="B564" s="844">
        <f>1.25*Stress!G96</f>
        <v>-7735.9749999999995</v>
      </c>
      <c r="C564" s="844">
        <f>1.25*Stress!H96</f>
        <v>-1723.7375</v>
      </c>
      <c r="D564" s="844">
        <f>1.5*Stress!I96</f>
        <v>-1822.4850000000001</v>
      </c>
      <c r="E564" s="844">
        <f>1.8*Stress!K96</f>
        <v>-17650.836000000003</v>
      </c>
      <c r="F564" s="844">
        <f>1.8*Stress!J96</f>
        <v>14865.948000000002</v>
      </c>
      <c r="G564" s="818">
        <f>input!CS50/(input!CU50-input!K50)</f>
        <v>163880305.76694968</v>
      </c>
      <c r="H564" s="818">
        <f>input!DY50/(input!EA50-input!K50)</f>
        <v>175205552.20633179</v>
      </c>
      <c r="I564" s="818">
        <f>input!DI50/(input!BR50-input!DK50)</f>
        <v>600712905.38626349</v>
      </c>
      <c r="J564" s="848" t="str">
        <f t="shared" si="27"/>
        <v>-</v>
      </c>
      <c r="K564" s="845" t="str">
        <f>IF(OR(B481="Positive",input!O50=0),"-",-B564/G564/$J$512*10^6+(-C564-D564-E564)/H564/$J$512*10^6)</f>
        <v>-</v>
      </c>
      <c r="L564" s="846" t="str">
        <f t="shared" si="26"/>
        <v>-</v>
      </c>
      <c r="M564" s="847" t="str">
        <f>IF(OR(B481="Positive",input!O50=0),"-",IF(K564&lt;=$H$512,"OK","NG"))</f>
        <v>-</v>
      </c>
      <c r="Q564" s="73"/>
      <c r="R564" s="559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E564" s="143"/>
      <c r="AF564" s="143"/>
      <c r="AG564" s="143"/>
      <c r="AH564" s="143"/>
      <c r="AI564" s="143"/>
      <c r="AJ564" s="143"/>
      <c r="AK564" s="143"/>
      <c r="AL564" s="143"/>
      <c r="AM564" s="143"/>
      <c r="AN564" s="143"/>
      <c r="AO564" s="143"/>
      <c r="AP564" s="143"/>
      <c r="AQ564" s="143"/>
    </row>
    <row r="565" spans="1:43" ht="15" customHeight="1">
      <c r="A565" s="843" t="str">
        <f>+input!B51</f>
        <v>125i</v>
      </c>
      <c r="B565" s="844">
        <f>1.25*Stress!G97</f>
        <v>-7735.9500000000007</v>
      </c>
      <c r="C565" s="844">
        <f>1.25*Stress!H97</f>
        <v>-1723.7375</v>
      </c>
      <c r="D565" s="844">
        <f>1.5*Stress!I97</f>
        <v>-1822.4850000000001</v>
      </c>
      <c r="E565" s="844">
        <f>1.8*Stress!K97</f>
        <v>-17650.836000000003</v>
      </c>
      <c r="F565" s="844">
        <f>1.8*Stress!J97</f>
        <v>14865.948000000002</v>
      </c>
      <c r="G565" s="818">
        <f>input!CS51/(input!CU51-input!K51)</f>
        <v>133712676.18540426</v>
      </c>
      <c r="H565" s="818">
        <f>input!DY51/(input!EA51-input!K51)</f>
        <v>144724538.01330653</v>
      </c>
      <c r="I565" s="818">
        <f>input!DI51/(input!BR51-input!DK51)</f>
        <v>566535651.64754653</v>
      </c>
      <c r="J565" s="848" t="str">
        <f t="shared" si="27"/>
        <v>-</v>
      </c>
      <c r="K565" s="845" t="str">
        <f>IF(OR(B482="Positive",input!O51=0),"-",-B565/G565/$J$512*10^6+(-C565-D565-E565)/H565/$J$512*10^6)</f>
        <v>-</v>
      </c>
      <c r="L565" s="846" t="str">
        <f t="shared" si="26"/>
        <v>-</v>
      </c>
      <c r="M565" s="847" t="str">
        <f>IF(OR(B482="Positive",input!O51=0),"-",IF(K565&lt;=$H$512,"OK","NG"))</f>
        <v>-</v>
      </c>
      <c r="Q565" s="73"/>
      <c r="R565" s="559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E565" s="143"/>
      <c r="AF565" s="143"/>
      <c r="AG565" s="143"/>
      <c r="AH565" s="143"/>
      <c r="AI565" s="143"/>
      <c r="AJ565" s="143"/>
      <c r="AK565" s="143"/>
      <c r="AL565" s="143"/>
      <c r="AM565" s="143"/>
      <c r="AN565" s="143"/>
      <c r="AO565" s="143"/>
      <c r="AP565" s="143"/>
      <c r="AQ565" s="143"/>
    </row>
    <row r="566" spans="1:43" ht="15" customHeight="1">
      <c r="A566" s="843" t="str">
        <f>+input!B52</f>
        <v>125j</v>
      </c>
      <c r="B566" s="844">
        <f>1.25*Stress!G98</f>
        <v>-3183.1124999999997</v>
      </c>
      <c r="C566" s="844">
        <f>1.25*Stress!H98</f>
        <v>-668.51249999999993</v>
      </c>
      <c r="D566" s="844">
        <f>1.5*Stress!I98</f>
        <v>-699.46500000000003</v>
      </c>
      <c r="E566" s="844">
        <f>1.8*Stress!K98</f>
        <v>-14626.728000000001</v>
      </c>
      <c r="F566" s="844">
        <f>1.8*Stress!J98</f>
        <v>16329.689999999999</v>
      </c>
      <c r="G566" s="818">
        <f>input!CS52/(input!CU52-input!K52)</f>
        <v>133712676.18540426</v>
      </c>
      <c r="H566" s="818">
        <f>input!DY52/(input!EA52-input!K52)</f>
        <v>144724538.01330653</v>
      </c>
      <c r="I566" s="818">
        <f>input!DI52/(input!BR52-input!DK52)</f>
        <v>566535651.64754653</v>
      </c>
      <c r="J566" s="848" t="str">
        <f t="shared" si="27"/>
        <v>-</v>
      </c>
      <c r="K566" s="845" t="str">
        <f>IF(OR(B483="Positive",input!O52=0),"-",-B566/G566/$J$512*10^6+(-C566-D566-E566)/H566/$J$512*10^6)</f>
        <v>-</v>
      </c>
      <c r="L566" s="846" t="str">
        <f t="shared" si="26"/>
        <v>-</v>
      </c>
      <c r="M566" s="847" t="str">
        <f>IF(OR(B483="Positive",input!O52=0),"-",IF(K566&lt;=$H$512,"OK","NG"))</f>
        <v>-</v>
      </c>
      <c r="Q566" s="73"/>
      <c r="R566" s="559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E566" s="143"/>
      <c r="AF566" s="143"/>
      <c r="AG566" s="143"/>
      <c r="AH566" s="143"/>
      <c r="AI566" s="143"/>
      <c r="AJ566" s="143"/>
      <c r="AK566" s="143"/>
      <c r="AL566" s="143"/>
      <c r="AM566" s="143"/>
      <c r="AN566" s="143"/>
      <c r="AO566" s="143"/>
      <c r="AP566" s="143"/>
      <c r="AQ566" s="143"/>
    </row>
    <row r="567" spans="1:43" ht="15" customHeight="1">
      <c r="A567" s="843" t="str">
        <f>+input!B53</f>
        <v>126i</v>
      </c>
      <c r="B567" s="844">
        <f>1.25*Stress!G99</f>
        <v>-3183.1124999999997</v>
      </c>
      <c r="C567" s="844">
        <f>1.25*Stress!H99</f>
        <v>-668.51249999999993</v>
      </c>
      <c r="D567" s="844">
        <f>1.5*Stress!I99</f>
        <v>-699.46500000000003</v>
      </c>
      <c r="E567" s="844">
        <f>1.8*Stress!K99</f>
        <v>-14626.728000000001</v>
      </c>
      <c r="F567" s="844">
        <f>1.8*Stress!J99</f>
        <v>16329.689999999999</v>
      </c>
      <c r="G567" s="818">
        <f>input!CS53/(input!CU53-input!K53)</f>
        <v>133712676.18540426</v>
      </c>
      <c r="H567" s="818">
        <f>input!DY53/(input!EA53-input!K53)</f>
        <v>144724538.01330653</v>
      </c>
      <c r="I567" s="818">
        <f>input!DI53/(input!BR53-input!DK53)</f>
        <v>566535651.64754653</v>
      </c>
      <c r="J567" s="848" t="str">
        <f t="shared" si="27"/>
        <v>-</v>
      </c>
      <c r="K567" s="845" t="str">
        <f>IF(OR(B484="Positive",input!O53=0),"-",-B567/G567/$J$512*10^6+(-C567-D567-E567)/H567/$J$512*10^6)</f>
        <v>-</v>
      </c>
      <c r="L567" s="846" t="str">
        <f t="shared" si="26"/>
        <v>-</v>
      </c>
      <c r="M567" s="847" t="str">
        <f>IF(OR(B484="Positive",input!O53=0),"-",IF(K567&lt;=$H$512,"OK","NG"))</f>
        <v>-</v>
      </c>
      <c r="Q567" s="73"/>
      <c r="R567" s="559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E567" s="143"/>
      <c r="AF567" s="143"/>
      <c r="AG567" s="143"/>
      <c r="AH567" s="143"/>
      <c r="AI567" s="143"/>
      <c r="AJ567" s="143"/>
      <c r="AK567" s="143"/>
      <c r="AL567" s="143"/>
      <c r="AM567" s="143"/>
      <c r="AN567" s="143"/>
      <c r="AO567" s="143"/>
      <c r="AP567" s="143"/>
      <c r="AQ567" s="143"/>
    </row>
    <row r="568" spans="1:43" ht="15" customHeight="1">
      <c r="A568" s="843" t="str">
        <f>+input!B54</f>
        <v>126j</v>
      </c>
      <c r="B568" s="844">
        <f>1.25*Stress!G100</f>
        <v>251.02499999999998</v>
      </c>
      <c r="C568" s="844">
        <f>1.25*Stress!H100</f>
        <v>135.13749999999999</v>
      </c>
      <c r="D568" s="844">
        <f>1.5*Stress!I100</f>
        <v>134.07</v>
      </c>
      <c r="E568" s="844">
        <f>1.8*Stress!K100</f>
        <v>-11609.802000000001</v>
      </c>
      <c r="F568" s="844">
        <f>1.8*Stress!J100</f>
        <v>16723.133999999998</v>
      </c>
      <c r="G568" s="818">
        <f>input!CS54/(input!CU54-input!K54)</f>
        <v>133712676.18540426</v>
      </c>
      <c r="H568" s="818">
        <f>input!DY54/(input!EA54-input!K54)</f>
        <v>144724538.01330653</v>
      </c>
      <c r="I568" s="818">
        <f>input!DI54/(input!BR54-input!DK54)</f>
        <v>566535651.64754653</v>
      </c>
      <c r="J568" s="848" t="str">
        <f t="shared" si="27"/>
        <v>-</v>
      </c>
      <c r="K568" s="845" t="str">
        <f>IF(OR(B485="Positive",input!O54=0),"-",-B568/G568/$J$512*10^6+(-C568-D568-E568)/H568/$J$512*10^6)</f>
        <v>-</v>
      </c>
      <c r="L568" s="846" t="str">
        <f t="shared" si="26"/>
        <v>-</v>
      </c>
      <c r="M568" s="847" t="str">
        <f>IF(OR(B485="Positive",input!O54=0),"-",IF(K568&lt;=$H$512,"OK","NG"))</f>
        <v>-</v>
      </c>
      <c r="Q568" s="73"/>
      <c r="R568" s="559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E568" s="143"/>
      <c r="AF568" s="143"/>
      <c r="AG568" s="143"/>
      <c r="AH568" s="143"/>
      <c r="AI568" s="143"/>
      <c r="AJ568" s="143"/>
      <c r="AK568" s="143"/>
      <c r="AL568" s="143"/>
      <c r="AM568" s="143"/>
      <c r="AN568" s="143"/>
      <c r="AO568" s="143"/>
      <c r="AP568" s="143"/>
      <c r="AQ568" s="143"/>
    </row>
    <row r="569" spans="1:43" ht="15" customHeight="1">
      <c r="A569" s="843" t="str">
        <f>+input!B55</f>
        <v>127i</v>
      </c>
      <c r="B569" s="844">
        <f>1.25*Stress!G101</f>
        <v>251.01249999999999</v>
      </c>
      <c r="C569" s="844">
        <f>1.25*Stress!H101</f>
        <v>135.13749999999999</v>
      </c>
      <c r="D569" s="844">
        <f>1.5*Stress!I101</f>
        <v>134.07</v>
      </c>
      <c r="E569" s="844">
        <f>1.8*Stress!K101</f>
        <v>-11609.802000000001</v>
      </c>
      <c r="F569" s="844">
        <f>1.8*Stress!J101</f>
        <v>16723.116000000002</v>
      </c>
      <c r="G569" s="818">
        <f>input!CS55/(input!CU55-input!K55)</f>
        <v>98399085.809834689</v>
      </c>
      <c r="H569" s="818">
        <f>input!DY55/(input!EA55-input!K55)</f>
        <v>107210502.44026554</v>
      </c>
      <c r="I569" s="818">
        <f>input!DI55/(input!BR55-input!DK55)</f>
        <v>515081444.47715718</v>
      </c>
      <c r="J569" s="848" t="str">
        <f t="shared" si="27"/>
        <v>-</v>
      </c>
      <c r="K569" s="845" t="str">
        <f>IF(OR(B486="Positive",input!O55=0),"-",-B569/G569/$J$512*10^6+(-C569-D569-E569)/H569/$J$512*10^6)</f>
        <v>-</v>
      </c>
      <c r="L569" s="846" t="str">
        <f t="shared" si="26"/>
        <v>-</v>
      </c>
      <c r="M569" s="847" t="str">
        <f>IF(OR(B486="Positive",input!O55=0),"-",IF(K569&lt;=$H$512,"OK","NG"))</f>
        <v>-</v>
      </c>
      <c r="Q569" s="73"/>
      <c r="R569" s="559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E569" s="143"/>
      <c r="AF569" s="143"/>
      <c r="AG569" s="143"/>
      <c r="AH569" s="143"/>
      <c r="AI569" s="143"/>
      <c r="AJ569" s="143"/>
      <c r="AK569" s="143"/>
      <c r="AL569" s="143"/>
      <c r="AM569" s="143"/>
      <c r="AN569" s="143"/>
      <c r="AO569" s="143"/>
      <c r="AP569" s="143"/>
      <c r="AQ569" s="143"/>
    </row>
    <row r="570" spans="1:43" ht="15" customHeight="1">
      <c r="A570" s="843" t="str">
        <f>+input!B56</f>
        <v>127j</v>
      </c>
      <c r="B570" s="844">
        <f>1.25*Stress!G102</f>
        <v>2086.2375000000002</v>
      </c>
      <c r="C570" s="844">
        <f>1.25*Stress!H102</f>
        <v>540.01250000000005</v>
      </c>
      <c r="D570" s="844">
        <f>1.5*Stress!I102</f>
        <v>571.60500000000002</v>
      </c>
      <c r="E570" s="844">
        <f>1.8*Stress!K102</f>
        <v>-8612.6759999999995</v>
      </c>
      <c r="F570" s="844">
        <f>1.8*Stress!J102</f>
        <v>14991.966000000002</v>
      </c>
      <c r="G570" s="818">
        <f>input!CS56/(input!CU56-input!K56)</f>
        <v>98399085.809834689</v>
      </c>
      <c r="H570" s="818">
        <f>input!DY56/(input!EA56-input!K56)</f>
        <v>107210502.44026554</v>
      </c>
      <c r="I570" s="818">
        <f>input!DI56/(input!BR56-input!DK56)</f>
        <v>515081444.47715718</v>
      </c>
      <c r="J570" s="848">
        <f t="shared" si="27"/>
        <v>4.859403218875447</v>
      </c>
      <c r="K570" s="845" t="str">
        <f>IF(OR(B487="Positive",input!O56=0),"-",-B570/G570/$J$512*10^6+(-C570-D570-E570)/H570/$J$512*10^6)</f>
        <v>-</v>
      </c>
      <c r="L570" s="846" t="str">
        <f t="shared" si="26"/>
        <v>OK</v>
      </c>
      <c r="M570" s="847" t="str">
        <f>IF(OR(B487="Positive",input!O56=0),"-",IF(K570&lt;=$H$512,"OK","NG"))</f>
        <v>-</v>
      </c>
      <c r="Q570" s="73"/>
      <c r="R570" s="559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E570" s="143"/>
      <c r="AF570" s="143"/>
      <c r="AG570" s="143"/>
      <c r="AH570" s="143"/>
      <c r="AI570" s="143"/>
      <c r="AJ570" s="143"/>
      <c r="AK570" s="143"/>
      <c r="AL570" s="143"/>
      <c r="AM570" s="143"/>
      <c r="AN570" s="143"/>
      <c r="AO570" s="143"/>
      <c r="AP570" s="143"/>
      <c r="AQ570" s="143"/>
    </row>
    <row r="571" spans="1:43" ht="15" customHeight="1">
      <c r="A571" s="843" t="str">
        <f>+input!B57</f>
        <v>128i</v>
      </c>
      <c r="B571" s="844">
        <f>1.25*Stress!G103</f>
        <v>2086.2375000000002</v>
      </c>
      <c r="C571" s="844">
        <f>1.25*Stress!H103</f>
        <v>540.01250000000005</v>
      </c>
      <c r="D571" s="844">
        <f>1.5*Stress!I103</f>
        <v>571.60500000000002</v>
      </c>
      <c r="E571" s="844">
        <f>1.8*Stress!K103</f>
        <v>-8612.6759999999995</v>
      </c>
      <c r="F571" s="844">
        <f>1.8*Stress!J103</f>
        <v>14991.966000000002</v>
      </c>
      <c r="G571" s="818">
        <f>input!CS57/(input!CU57-input!K57)</f>
        <v>98399085.809834689</v>
      </c>
      <c r="H571" s="818">
        <f>input!DY57/(input!EA57-input!K57)</f>
        <v>107210502.44026554</v>
      </c>
      <c r="I571" s="818">
        <f>input!DI57/(input!BR57-input!DK57)</f>
        <v>515081444.47715718</v>
      </c>
      <c r="J571" s="848">
        <f t="shared" si="27"/>
        <v>4.859403218875447</v>
      </c>
      <c r="K571" s="845" t="str">
        <f>IF(OR(B488="Positive",input!O57=0),"-",-B571/G571/$J$512*10^6+(-C571-D571-E571)/H571/$J$512*10^6)</f>
        <v>-</v>
      </c>
      <c r="L571" s="846" t="str">
        <f t="shared" si="26"/>
        <v>OK</v>
      </c>
      <c r="M571" s="847" t="str">
        <f>IF(OR(B488="Positive",input!O57=0),"-",IF(K571&lt;=$H$512,"OK","NG"))</f>
        <v>-</v>
      </c>
      <c r="Q571" s="73"/>
      <c r="R571" s="559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E571" s="143"/>
      <c r="AF571" s="143"/>
      <c r="AG571" s="143"/>
      <c r="AH571" s="143"/>
      <c r="AI571" s="143"/>
      <c r="AJ571" s="143"/>
      <c r="AK571" s="143"/>
      <c r="AL571" s="143"/>
      <c r="AM571" s="143"/>
      <c r="AN571" s="143"/>
      <c r="AO571" s="143"/>
      <c r="AP571" s="143"/>
      <c r="AQ571" s="143"/>
    </row>
    <row r="572" spans="1:43" ht="15" customHeight="1">
      <c r="A572" s="843" t="str">
        <f>+input!B58</f>
        <v>128j</v>
      </c>
      <c r="B572" s="844">
        <f>1.25*Stress!G104</f>
        <v>2802.7</v>
      </c>
      <c r="C572" s="844">
        <f>1.25*Stress!H104</f>
        <v>693.3125</v>
      </c>
      <c r="D572" s="844">
        <f>1.5*Stress!I104</f>
        <v>719.64</v>
      </c>
      <c r="E572" s="844">
        <f>1.8*Stress!K104</f>
        <v>-5615.55</v>
      </c>
      <c r="F572" s="844">
        <f>1.8*Stress!J104</f>
        <v>11894.22</v>
      </c>
      <c r="G572" s="818">
        <f>input!CS58/(input!CU58-input!K58)</f>
        <v>98399085.809834689</v>
      </c>
      <c r="H572" s="818">
        <f>input!DY58/(input!EA58-input!K58)</f>
        <v>107210502.44026554</v>
      </c>
      <c r="I572" s="818">
        <f>input!DI58/(input!BR58-input!DK58)</f>
        <v>515081444.47715718</v>
      </c>
      <c r="J572" s="848">
        <f t="shared" si="27"/>
        <v>4.0155606906146577</v>
      </c>
      <c r="K572" s="845" t="str">
        <f>IF(OR(B489="Positive",input!O58=0),"-",-B572/G572/$J$512*10^6+(-C572-D572-E572)/H572/$J$512*10^6)</f>
        <v>-</v>
      </c>
      <c r="L572" s="846" t="str">
        <f t="shared" si="26"/>
        <v>OK</v>
      </c>
      <c r="M572" s="847" t="str">
        <f>IF(OR(B489="Positive",input!O58=0),"-",IF(K572&lt;=$H$512,"OK","NG"))</f>
        <v>-</v>
      </c>
      <c r="Q572" s="73"/>
      <c r="R572" s="559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E572" s="143"/>
      <c r="AF572" s="143"/>
      <c r="AG572" s="143"/>
      <c r="AH572" s="143"/>
      <c r="AI572" s="143"/>
      <c r="AJ572" s="143"/>
      <c r="AK572" s="143"/>
      <c r="AL572" s="143"/>
      <c r="AM572" s="143"/>
      <c r="AN572" s="143"/>
      <c r="AO572" s="143"/>
      <c r="AP572" s="143"/>
      <c r="AQ572" s="143"/>
    </row>
    <row r="573" spans="1:43" ht="15" customHeight="1">
      <c r="A573" s="843" t="str">
        <f>+input!B59</f>
        <v>129i</v>
      </c>
      <c r="B573" s="844">
        <f>1.25*Stress!G105</f>
        <v>2802.7125000000001</v>
      </c>
      <c r="C573" s="844">
        <f>1.25*Stress!H105</f>
        <v>693.3125</v>
      </c>
      <c r="D573" s="844">
        <f>1.5*Stress!I105</f>
        <v>719.64</v>
      </c>
      <c r="E573" s="844">
        <f>1.8*Stress!K105</f>
        <v>-5615.55</v>
      </c>
      <c r="F573" s="844">
        <f>1.8*Stress!J105</f>
        <v>11894.22</v>
      </c>
      <c r="G573" s="818">
        <f>input!CS59/(input!CU59-input!K59)</f>
        <v>98399085.809834689</v>
      </c>
      <c r="H573" s="818">
        <f>input!DY59/(input!EA59-input!K59)</f>
        <v>107210502.44026554</v>
      </c>
      <c r="I573" s="818">
        <f>input!DI59/(input!BR59-input!DK59)</f>
        <v>515081444.47715718</v>
      </c>
      <c r="J573" s="848">
        <f t="shared" si="27"/>
        <v>4.0155606906146577</v>
      </c>
      <c r="K573" s="845" t="str">
        <f>IF(OR(B490="Positive",input!O59=0),"-",-B573/G573/$J$512*10^6+(-C573-D573-E573)/H573/$J$512*10^6)</f>
        <v>-</v>
      </c>
      <c r="L573" s="846" t="str">
        <f t="shared" si="26"/>
        <v>OK</v>
      </c>
      <c r="M573" s="847" t="str">
        <f>IF(OR(B490="Positive",input!O59=0),"-",IF(K573&lt;=$H$512,"OK","NG"))</f>
        <v>-</v>
      </c>
      <c r="Q573" s="73"/>
      <c r="R573" s="559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E573" s="143"/>
      <c r="AF573" s="143"/>
      <c r="AG573" s="143"/>
      <c r="AH573" s="143"/>
      <c r="AI573" s="143"/>
      <c r="AJ573" s="143"/>
      <c r="AK573" s="143"/>
      <c r="AL573" s="143"/>
      <c r="AM573" s="143"/>
      <c r="AN573" s="143"/>
      <c r="AO573" s="143"/>
      <c r="AP573" s="143"/>
      <c r="AQ573" s="143"/>
    </row>
    <row r="574" spans="1:43" ht="15" customHeight="1">
      <c r="A574" s="843" t="str">
        <f>+input!B60</f>
        <v>129j</v>
      </c>
      <c r="B574" s="844">
        <f>1.25*Stress!G106</f>
        <v>1362.1000000000001</v>
      </c>
      <c r="C574" s="844">
        <f>1.25*Stress!H106</f>
        <v>307.9375</v>
      </c>
      <c r="D574" s="844">
        <f>1.5*Stress!I106</f>
        <v>330.16500000000002</v>
      </c>
      <c r="E574" s="844">
        <f>1.8*Stress!K106</f>
        <v>-1740.78</v>
      </c>
      <c r="F574" s="844">
        <f>1.8*Stress!J106</f>
        <v>4429.5480000000007</v>
      </c>
      <c r="G574" s="818">
        <f>input!CS60/(input!CU60-input!K60)</f>
        <v>98399085.809834689</v>
      </c>
      <c r="H574" s="818">
        <f>input!DY60/(input!EA60-input!K60)</f>
        <v>107210502.44026554</v>
      </c>
      <c r="I574" s="818">
        <f>input!DI60/(input!BR60-input!DK60)</f>
        <v>515081444.47715718</v>
      </c>
      <c r="J574" s="848">
        <f t="shared" si="27"/>
        <v>1.5292097657540487</v>
      </c>
      <c r="K574" s="845" t="str">
        <f>IF(OR(B491="Positive",input!O60=0),"-",-B574/G574/$J$512*10^6+(-C574-D574-E574)/H574/$J$512*10^6)</f>
        <v>-</v>
      </c>
      <c r="L574" s="846" t="str">
        <f t="shared" si="26"/>
        <v>OK</v>
      </c>
      <c r="M574" s="847" t="str">
        <f>IF(OR(B491="Positive",input!O60=0),"-",IF(K574&lt;=$H$512,"OK","NG"))</f>
        <v>-</v>
      </c>
      <c r="Q574" s="73"/>
      <c r="R574" s="559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E574" s="143"/>
      <c r="AF574" s="143"/>
      <c r="AG574" s="143"/>
      <c r="AH574" s="143"/>
      <c r="AI574" s="143"/>
      <c r="AJ574" s="143"/>
      <c r="AK574" s="143"/>
      <c r="AL574" s="143"/>
      <c r="AM574" s="143"/>
      <c r="AN574" s="143"/>
      <c r="AO574" s="143"/>
      <c r="AP574" s="143"/>
      <c r="AQ574" s="143"/>
    </row>
    <row r="575" spans="1:43" ht="15" customHeight="1">
      <c r="A575" s="843" t="str">
        <f>+input!B61</f>
        <v>130i</v>
      </c>
      <c r="B575" s="844">
        <f>1.25*Stress!G107</f>
        <v>1362.1000000000001</v>
      </c>
      <c r="C575" s="844">
        <f>1.25*Stress!H107</f>
        <v>307.9375</v>
      </c>
      <c r="D575" s="844">
        <f>1.5*Stress!I107</f>
        <v>330.16500000000002</v>
      </c>
      <c r="E575" s="844">
        <f>1.8*Stress!K107</f>
        <v>-1740.78</v>
      </c>
      <c r="F575" s="844">
        <f>1.8*Stress!J107</f>
        <v>4429.5480000000007</v>
      </c>
      <c r="G575" s="818">
        <f>input!CS61/(input!CU61-input!K61)</f>
        <v>89278260.022344038</v>
      </c>
      <c r="H575" s="818">
        <f>input!DY61/(input!EA61-input!K61)</f>
        <v>97411739.571922645</v>
      </c>
      <c r="I575" s="818">
        <f>input!DI61/(input!BR61-input!DK61)</f>
        <v>466796096.57690108</v>
      </c>
      <c r="J575" s="848">
        <f t="shared" si="27"/>
        <v>1.6873910918049171</v>
      </c>
      <c r="K575" s="845" t="str">
        <f>IF(OR(B492="Positive",input!O61=0),"-",-B575/G575/$J$512*10^6+(-C575-D575-E575)/H575/$J$512*10^6)</f>
        <v>-</v>
      </c>
      <c r="L575" s="846" t="str">
        <f t="shared" si="26"/>
        <v>OK</v>
      </c>
      <c r="M575" s="847" t="str">
        <f>IF(OR(B492="Positive",input!O61=0),"-",IF(K575&lt;=$H$512,"OK","NG"))</f>
        <v>-</v>
      </c>
      <c r="Q575" s="73"/>
      <c r="R575" s="559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E575" s="143"/>
      <c r="AF575" s="143"/>
      <c r="AG575" s="143"/>
      <c r="AH575" s="143"/>
      <c r="AI575" s="143"/>
      <c r="AJ575" s="143"/>
      <c r="AK575" s="143"/>
      <c r="AL575" s="143"/>
      <c r="AM575" s="143"/>
      <c r="AN575" s="143"/>
      <c r="AO575" s="143"/>
      <c r="AP575" s="143"/>
      <c r="AQ575" s="143"/>
    </row>
    <row r="576" spans="1:43" ht="15" customHeight="1">
      <c r="A576" s="843" t="str">
        <f>+input!B62</f>
        <v>130j</v>
      </c>
      <c r="B576" s="844">
        <f>1.25*Stress!G108</f>
        <v>-11.0375</v>
      </c>
      <c r="C576" s="844">
        <f>1.25*Stress!H108</f>
        <v>-1.5125</v>
      </c>
      <c r="D576" s="844">
        <f>1.5*Stress!I108</f>
        <v>-1.7399999999999998</v>
      </c>
      <c r="E576" s="844">
        <f>1.8*Stress!K108</f>
        <v>-257.92199999999997</v>
      </c>
      <c r="F576" s="844">
        <f>1.8*Stress!J108</f>
        <v>-3.6</v>
      </c>
      <c r="G576" s="818">
        <f>input!CS62/(input!CU62-input!K62)</f>
        <v>89278260.022344038</v>
      </c>
      <c r="H576" s="818">
        <f>input!DY62/(input!EA62-input!K62)</f>
        <v>97411739.571922645</v>
      </c>
      <c r="I576" s="818">
        <f>input!DI62/(input!BR62-input!DK62)</f>
        <v>466796096.57690108</v>
      </c>
      <c r="J576" s="848" t="str">
        <f t="shared" si="27"/>
        <v>-</v>
      </c>
      <c r="K576" s="845" t="str">
        <f>IF(OR(B493="Positive",input!O62=0),"-",-B576/G576/$J$512*10^6+(-C576-D576-E576)/H576/$J$512*10^6)</f>
        <v>-</v>
      </c>
      <c r="L576" s="846" t="str">
        <f t="shared" si="26"/>
        <v>-</v>
      </c>
      <c r="M576" s="847" t="str">
        <f>IF(OR(B493="Positive",input!O62=0),"-",IF(K576&lt;=$H$512,"OK","NG"))</f>
        <v>-</v>
      </c>
      <c r="Q576" s="73"/>
      <c r="R576" s="559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E576" s="143"/>
      <c r="AF576" s="143"/>
      <c r="AG576" s="143"/>
      <c r="AH576" s="143"/>
      <c r="AI576" s="143"/>
      <c r="AJ576" s="143"/>
      <c r="AK576" s="143"/>
      <c r="AL576" s="143"/>
      <c r="AM576" s="143"/>
      <c r="AN576" s="143"/>
      <c r="AO576" s="143"/>
      <c r="AP576" s="143"/>
      <c r="AQ576" s="143"/>
    </row>
    <row r="577" spans="1:43" ht="15" customHeight="1">
      <c r="A577" s="843" t="str">
        <f>+input!B63</f>
        <v>131i</v>
      </c>
      <c r="B577" s="844">
        <f>1.25*Stress!G109</f>
        <v>-11.074999999999999</v>
      </c>
      <c r="C577" s="844">
        <f>1.25*Stress!H109</f>
        <v>-1.5249999999999999</v>
      </c>
      <c r="D577" s="844">
        <f>1.5*Stress!I109</f>
        <v>-1.7549999999999999</v>
      </c>
      <c r="E577" s="844">
        <f>1.8*Stress!K109</f>
        <v>-257.88600000000002</v>
      </c>
      <c r="F577" s="844">
        <f>1.8*Stress!J109</f>
        <v>0</v>
      </c>
      <c r="G577" s="818">
        <f>input!CS63/(input!CU63-input!K63)</f>
        <v>89278260.022344038</v>
      </c>
      <c r="H577" s="818">
        <f>input!DY63/(input!EA63-input!K63)</f>
        <v>97411739.571922645</v>
      </c>
      <c r="I577" s="818">
        <f>input!DI63/(input!BR63-input!DK63)</f>
        <v>466796096.57690108</v>
      </c>
      <c r="J577" s="848" t="str">
        <f t="shared" si="27"/>
        <v>-</v>
      </c>
      <c r="K577" s="845" t="str">
        <f>IF(OR(B494="Positive",input!O63=0),"-",-B577/G577/$J$512*10^6+(-C577-D577-E577)/H577/$J$512*10^6)</f>
        <v>-</v>
      </c>
      <c r="L577" s="846" t="str">
        <f t="shared" si="26"/>
        <v>-</v>
      </c>
      <c r="M577" s="847" t="str">
        <f>IF(OR(B494="Positive",input!O63=0),"-",IF(K577&lt;=$H$512,"OK","NG"))</f>
        <v>-</v>
      </c>
      <c r="Q577" s="73"/>
      <c r="R577" s="559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E577" s="143"/>
      <c r="AF577" s="143"/>
      <c r="AG577" s="143"/>
      <c r="AH577" s="143"/>
      <c r="AI577" s="143"/>
      <c r="AJ577" s="143"/>
      <c r="AK577" s="143"/>
      <c r="AL577" s="143"/>
      <c r="AM577" s="143"/>
      <c r="AN577" s="143"/>
      <c r="AO577" s="143"/>
      <c r="AP577" s="143"/>
      <c r="AQ577" s="143"/>
    </row>
    <row r="578" spans="1:43" ht="15" customHeight="1">
      <c r="A578" s="843" t="str">
        <f>+input!B64</f>
        <v>131j</v>
      </c>
      <c r="B578" s="844">
        <f>1.25*Stress!G110</f>
        <v>0</v>
      </c>
      <c r="C578" s="844">
        <f>1.25*Stress!H110</f>
        <v>0</v>
      </c>
      <c r="D578" s="844">
        <f>1.5*Stress!I110</f>
        <v>0</v>
      </c>
      <c r="E578" s="844">
        <f>1.8*Stress!K110</f>
        <v>0</v>
      </c>
      <c r="F578" s="844">
        <f>1.8*Stress!J110</f>
        <v>0</v>
      </c>
      <c r="G578" s="818">
        <f>input!CS64/(input!CU64-input!K64)</f>
        <v>89278260.022344038</v>
      </c>
      <c r="H578" s="818">
        <f>input!DY64/(input!EA64-input!K64)</f>
        <v>97411739.571922645</v>
      </c>
      <c r="I578" s="818">
        <f>input!DI64/(input!BR64-input!DK64)</f>
        <v>466796096.57690108</v>
      </c>
      <c r="J578" s="848">
        <f t="shared" si="27"/>
        <v>0</v>
      </c>
      <c r="K578" s="845" t="str">
        <f>IF(OR(B495="Positive",input!O64=0),"-",-B578/G578/$J$512*10^6+(-C578-D578-E578)/H578/$J$512*10^6)</f>
        <v>-</v>
      </c>
      <c r="L578" s="846" t="str">
        <f t="shared" si="26"/>
        <v>OK</v>
      </c>
      <c r="M578" s="847" t="str">
        <f>IF(OR(B495="Positive",input!O64=0),"-",IF(K578&lt;=$H$512,"OK","NG"))</f>
        <v>-</v>
      </c>
      <c r="Q578" s="73"/>
      <c r="R578" s="559"/>
      <c r="AE578" s="143"/>
      <c r="AF578" s="143"/>
      <c r="AG578" s="143"/>
      <c r="AH578" s="143"/>
      <c r="AI578" s="143"/>
      <c r="AJ578" s="143"/>
      <c r="AK578" s="143"/>
      <c r="AL578" s="143"/>
      <c r="AM578" s="143"/>
      <c r="AN578" s="143"/>
      <c r="AO578" s="143"/>
      <c r="AP578" s="143"/>
      <c r="AQ578" s="143"/>
    </row>
    <row r="580" spans="1:43" ht="15" customHeight="1">
      <c r="A580" s="134"/>
      <c r="C580" s="147"/>
      <c r="E580" s="120"/>
      <c r="G580" s="4"/>
      <c r="H580" s="4"/>
      <c r="I580" s="4"/>
      <c r="L580" s="283"/>
      <c r="O580" s="52"/>
    </row>
    <row r="581" spans="1:43" ht="15" customHeight="1">
      <c r="G581" s="4"/>
      <c r="H581" s="4"/>
      <c r="I581" s="4"/>
      <c r="L581" s="283"/>
      <c r="O581" s="52"/>
    </row>
    <row r="582" spans="1:43" ht="15" customHeight="1">
      <c r="A582" s="207" t="s">
        <v>755</v>
      </c>
      <c r="G582" s="4"/>
      <c r="H582" s="4"/>
      <c r="I582" s="4"/>
      <c r="O582" s="52"/>
    </row>
    <row r="583" spans="1:43" ht="15" customHeight="1" thickBot="1">
      <c r="A583" s="207"/>
      <c r="G583" s="4"/>
      <c r="H583" s="4"/>
      <c r="I583" s="4"/>
      <c r="L583" s="310"/>
      <c r="O583" s="52"/>
      <c r="Z583" s="249"/>
      <c r="AB583" s="310"/>
    </row>
    <row r="584" spans="1:43" ht="15" customHeight="1">
      <c r="A584" s="207"/>
      <c r="B584" s="1956" t="s">
        <v>792</v>
      </c>
      <c r="C584" s="1911"/>
      <c r="D584" s="1911"/>
      <c r="E584" s="1911"/>
      <c r="F584" s="1911"/>
      <c r="G584" s="1911"/>
      <c r="H584" s="1911"/>
      <c r="I584" s="1957"/>
      <c r="J584" s="1960" t="s">
        <v>793</v>
      </c>
      <c r="K584" s="1961"/>
      <c r="L584" s="1961"/>
      <c r="M584" s="1909"/>
      <c r="Z584" s="143"/>
      <c r="AB584" s="143"/>
      <c r="AE584" s="73"/>
    </row>
    <row r="585" spans="1:43" ht="15" customHeight="1">
      <c r="A585" s="207"/>
      <c r="B585" s="1964" t="s">
        <v>794</v>
      </c>
      <c r="C585" s="1965"/>
      <c r="D585" s="1965"/>
      <c r="E585" s="1966"/>
      <c r="F585" s="1967" t="s">
        <v>795</v>
      </c>
      <c r="G585" s="1968"/>
      <c r="H585" s="1968"/>
      <c r="I585" s="1969"/>
      <c r="J585" s="1962"/>
      <c r="K585" s="1963"/>
      <c r="L585" s="1963"/>
      <c r="M585" s="1953"/>
      <c r="Z585" s="143"/>
      <c r="AB585" s="143"/>
      <c r="AE585" s="73"/>
    </row>
    <row r="586" spans="1:43" ht="15" customHeight="1">
      <c r="A586" s="207"/>
      <c r="B586" s="1975" t="s">
        <v>798</v>
      </c>
      <c r="C586" s="1971"/>
      <c r="D586" s="1971"/>
      <c r="E586" s="1976"/>
      <c r="F586" s="1973" t="s">
        <v>797</v>
      </c>
      <c r="G586" s="1971"/>
      <c r="H586" s="1971"/>
      <c r="I586" s="1974"/>
      <c r="J586" s="1970" t="s">
        <v>796</v>
      </c>
      <c r="K586" s="1971"/>
      <c r="L586" s="1971"/>
      <c r="M586" s="1972"/>
      <c r="Z586" s="143"/>
      <c r="AB586" s="143"/>
      <c r="AE586" s="73"/>
    </row>
    <row r="587" spans="1:43" ht="15" customHeight="1">
      <c r="A587" s="207"/>
      <c r="B587" s="1958" t="s">
        <v>1737</v>
      </c>
      <c r="C587" s="1948"/>
      <c r="D587" s="1948"/>
      <c r="E587" s="1959"/>
      <c r="F587" s="1947" t="s">
        <v>1738</v>
      </c>
      <c r="G587" s="1948"/>
      <c r="H587" s="1948"/>
      <c r="I587" s="1949"/>
      <c r="J587" s="1950" t="s">
        <v>1716</v>
      </c>
      <c r="K587" s="1948"/>
      <c r="L587" s="1948"/>
      <c r="M587" s="1951"/>
      <c r="Z587" s="143"/>
      <c r="AB587" s="143"/>
      <c r="AE587" s="73"/>
    </row>
    <row r="588" spans="1:43" ht="15" customHeight="1" thickBot="1">
      <c r="A588" s="207"/>
      <c r="B588" s="319"/>
      <c r="C588" s="320"/>
      <c r="D588" s="320"/>
      <c r="E588" s="320"/>
      <c r="F588" s="322"/>
      <c r="G588" s="323"/>
      <c r="H588" s="323"/>
      <c r="I588" s="323"/>
      <c r="J588" s="324"/>
      <c r="K588" s="320"/>
      <c r="L588" s="321"/>
      <c r="M588" s="325"/>
      <c r="Z588" s="143"/>
      <c r="AB588" s="143"/>
      <c r="AE588" s="73"/>
    </row>
    <row r="589" spans="1:43" ht="15" customHeight="1">
      <c r="A589" s="207"/>
      <c r="D589" s="170"/>
      <c r="E589" s="312"/>
      <c r="F589" s="312"/>
      <c r="G589" s="312"/>
      <c r="H589" s="170"/>
      <c r="I589" s="170"/>
      <c r="J589" s="242"/>
      <c r="K589" s="221"/>
      <c r="L589" s="312"/>
      <c r="M589" s="312"/>
      <c r="N589" s="170"/>
      <c r="O589" s="170"/>
      <c r="P589" s="312"/>
      <c r="U589" s="170"/>
      <c r="Z589" s="143"/>
      <c r="AB589" s="143"/>
      <c r="AE589" s="73"/>
    </row>
    <row r="590" spans="1:43" ht="15" customHeight="1">
      <c r="A590" s="207"/>
      <c r="E590" s="73"/>
      <c r="F590" s="122"/>
      <c r="G590" s="122"/>
      <c r="H590" s="242"/>
      <c r="I590" s="221"/>
      <c r="J590" s="312"/>
      <c r="K590" s="312"/>
      <c r="L590" s="312"/>
      <c r="M590" s="312"/>
      <c r="O590" s="52"/>
      <c r="Z590" s="249"/>
      <c r="AB590" s="310"/>
    </row>
    <row r="591" spans="1:43" ht="15" customHeight="1">
      <c r="A591" s="207"/>
      <c r="B591" s="96" t="s">
        <v>799</v>
      </c>
      <c r="C591" s="170"/>
      <c r="D591" s="170"/>
      <c r="G591" s="4"/>
      <c r="H591" s="4"/>
      <c r="I591" s="4"/>
      <c r="O591" s="52"/>
      <c r="Z591" s="249"/>
    </row>
    <row r="592" spans="1:43" ht="15" customHeight="1">
      <c r="A592" s="207"/>
      <c r="B592" s="96"/>
      <c r="C592" s="170"/>
      <c r="D592" s="170"/>
      <c r="G592" s="4"/>
      <c r="H592" s="4"/>
      <c r="I592" s="4"/>
      <c r="L592" s="302"/>
      <c r="O592" s="52"/>
      <c r="Z592" s="249"/>
      <c r="AB592" s="302"/>
    </row>
    <row r="593" spans="1:28" ht="15" customHeight="1">
      <c r="A593" s="207"/>
      <c r="B593" s="96"/>
      <c r="C593" s="170"/>
      <c r="D593" s="170"/>
      <c r="G593" s="4"/>
      <c r="H593" s="4"/>
      <c r="I593" s="4"/>
      <c r="L593" s="302"/>
      <c r="O593" s="52"/>
      <c r="Z593" s="249"/>
      <c r="AB593" s="302"/>
    </row>
    <row r="594" spans="1:28" ht="15" customHeight="1">
      <c r="A594" s="207"/>
      <c r="B594" s="96"/>
      <c r="C594" s="170"/>
      <c r="D594" s="170"/>
      <c r="G594" s="4"/>
      <c r="H594" s="4"/>
      <c r="I594" s="4"/>
      <c r="L594" s="302"/>
      <c r="O594" s="52"/>
      <c r="Z594" s="249"/>
      <c r="AB594" s="302"/>
    </row>
    <row r="595" spans="1:28" ht="15" customHeight="1">
      <c r="A595" s="207"/>
      <c r="B595" s="96"/>
      <c r="C595" s="170"/>
      <c r="D595" s="170"/>
      <c r="G595" s="4"/>
      <c r="H595" s="4"/>
      <c r="I595" s="4"/>
      <c r="L595" s="310"/>
      <c r="O595" s="52"/>
      <c r="Z595" s="249"/>
      <c r="AB595" s="310"/>
    </row>
    <row r="596" spans="1:28" ht="15" customHeight="1">
      <c r="A596" s="134"/>
      <c r="B596" s="97" t="s">
        <v>421</v>
      </c>
      <c r="C596" s="147"/>
      <c r="D596" s="54"/>
      <c r="E596" s="79"/>
      <c r="F596" s="120"/>
      <c r="H596" s="4"/>
      <c r="I596" s="4"/>
      <c r="O596" s="52"/>
      <c r="Z596" s="249"/>
      <c r="AA596" s="137"/>
    </row>
    <row r="597" spans="1:28" ht="15" customHeight="1">
      <c r="A597" s="73"/>
      <c r="B597" s="76"/>
      <c r="C597" s="147"/>
      <c r="D597" s="73"/>
      <c r="E597" s="120"/>
      <c r="G597" s="4"/>
      <c r="H597" s="4"/>
      <c r="I597" s="4"/>
      <c r="O597" s="52"/>
      <c r="Z597" s="249"/>
    </row>
    <row r="598" spans="1:28" ht="15" customHeight="1">
      <c r="A598" s="73"/>
      <c r="C598" s="141" t="s">
        <v>269</v>
      </c>
      <c r="D598" s="141"/>
      <c r="E598" s="141"/>
      <c r="F598" s="141"/>
      <c r="G598" s="141"/>
      <c r="H598" s="141"/>
      <c r="I598" s="102" t="s">
        <v>270</v>
      </c>
      <c r="J598" s="141"/>
      <c r="K598" s="141"/>
      <c r="L598" s="141"/>
      <c r="Z598" s="249"/>
    </row>
    <row r="599" spans="1:28" ht="15" customHeight="1">
      <c r="A599" s="73"/>
      <c r="C599" s="306" t="s">
        <v>719</v>
      </c>
      <c r="D599" s="122"/>
      <c r="E599" s="122"/>
      <c r="F599" s="122"/>
      <c r="G599" s="122"/>
      <c r="H599" s="122"/>
      <c r="I599" s="306" t="s">
        <v>720</v>
      </c>
      <c r="J599" s="122"/>
      <c r="K599" s="122"/>
      <c r="Z599" s="249"/>
      <c r="AB599" s="300"/>
    </row>
    <row r="600" spans="1:28" ht="15" customHeight="1">
      <c r="A600" s="73"/>
      <c r="C600" s="170" t="s">
        <v>271</v>
      </c>
      <c r="D600" s="170"/>
      <c r="F600" s="170" t="s">
        <v>453</v>
      </c>
      <c r="G600" s="170"/>
      <c r="H600" s="100"/>
      <c r="I600" s="170"/>
      <c r="J600" s="170"/>
      <c r="L600" s="143"/>
      <c r="Z600" s="249"/>
    </row>
    <row r="601" spans="1:28" ht="15" customHeight="1">
      <c r="A601" s="73"/>
      <c r="C601" s="145" t="s">
        <v>273</v>
      </c>
      <c r="D601" s="145"/>
      <c r="E601" s="145"/>
      <c r="F601" s="145" t="s">
        <v>274</v>
      </c>
      <c r="G601" s="145"/>
      <c r="H601" s="114"/>
      <c r="I601" s="145"/>
      <c r="J601" s="145"/>
      <c r="K601" s="145"/>
      <c r="L601" s="145"/>
      <c r="Z601" s="249"/>
    </row>
    <row r="602" spans="1:28" ht="15" customHeight="1">
      <c r="A602" s="73"/>
      <c r="C602" s="170"/>
      <c r="D602" s="170"/>
      <c r="E602" s="170"/>
      <c r="F602" s="170"/>
      <c r="G602" s="170"/>
      <c r="H602" s="100"/>
      <c r="I602" s="170"/>
      <c r="J602" s="170"/>
      <c r="K602" s="170"/>
      <c r="L602" s="170"/>
      <c r="M602" s="253"/>
      <c r="N602" s="170"/>
      <c r="O602" s="170"/>
      <c r="P602" s="239"/>
      <c r="Q602" s="170"/>
      <c r="R602" s="170"/>
      <c r="Z602" s="249"/>
    </row>
    <row r="603" spans="1:28" ht="15" customHeight="1">
      <c r="A603" s="73"/>
      <c r="C603" s="170"/>
      <c r="D603" s="170"/>
      <c r="E603" s="170"/>
      <c r="F603" s="170"/>
      <c r="G603" s="170"/>
      <c r="H603" s="170" t="s">
        <v>124</v>
      </c>
      <c r="I603" s="170"/>
      <c r="J603" s="170"/>
      <c r="K603" s="170"/>
      <c r="M603" s="253"/>
      <c r="N603" s="170"/>
      <c r="O603" s="170"/>
      <c r="P603" s="239"/>
      <c r="Q603" s="170"/>
      <c r="R603" s="170"/>
      <c r="Z603" s="249"/>
    </row>
    <row r="604" spans="1:28" ht="15" customHeight="1">
      <c r="A604" s="134"/>
      <c r="B604" s="76"/>
      <c r="C604" s="147"/>
      <c r="D604" s="73"/>
      <c r="E604" s="120"/>
      <c r="G604" s="4"/>
      <c r="H604" s="170" t="s">
        <v>125</v>
      </c>
      <c r="I604" s="4"/>
      <c r="O604" s="52"/>
      <c r="Q604" s="170"/>
      <c r="R604" s="170"/>
      <c r="S604" s="170"/>
      <c r="T604" s="170"/>
      <c r="U604" s="253"/>
      <c r="V604" s="170"/>
      <c r="Z604" s="249"/>
    </row>
    <row r="605" spans="1:28" ht="15" customHeight="1">
      <c r="A605" s="134"/>
      <c r="B605" s="76"/>
      <c r="C605" s="147"/>
      <c r="D605" s="73"/>
      <c r="E605" s="120"/>
      <c r="G605" s="170"/>
      <c r="H605" s="4"/>
      <c r="I605" s="4"/>
      <c r="O605" s="52"/>
      <c r="Q605" s="170"/>
      <c r="R605" s="170"/>
      <c r="S605" s="170"/>
      <c r="T605" s="170"/>
      <c r="U605" s="253"/>
      <c r="V605" s="170"/>
      <c r="Z605" s="249"/>
    </row>
    <row r="606" spans="1:28" ht="15" customHeight="1">
      <c r="C606" s="134" t="s">
        <v>32</v>
      </c>
      <c r="D606" s="170" t="s">
        <v>275</v>
      </c>
      <c r="E606" s="170"/>
      <c r="F606" s="147"/>
      <c r="G606" s="170"/>
      <c r="H606" s="170"/>
      <c r="I606" s="170"/>
      <c r="J606" s="170"/>
      <c r="K606" s="136"/>
      <c r="N606" s="137" t="s">
        <v>722</v>
      </c>
      <c r="O606" s="52"/>
      <c r="Q606" s="170"/>
      <c r="R606" s="170"/>
      <c r="S606" s="170"/>
      <c r="T606" s="170"/>
      <c r="U606" s="253"/>
      <c r="V606" s="170"/>
      <c r="Z606" s="249"/>
    </row>
    <row r="607" spans="1:28" ht="15" customHeight="1">
      <c r="C607" s="134"/>
      <c r="D607" s="148" t="s">
        <v>134</v>
      </c>
      <c r="E607" s="141"/>
      <c r="F607" s="141"/>
      <c r="G607" s="141"/>
      <c r="H607" s="141"/>
      <c r="I607" s="148" t="s">
        <v>236</v>
      </c>
      <c r="J607" s="141"/>
      <c r="K607" s="240"/>
      <c r="L607" s="141"/>
      <c r="M607" s="141"/>
      <c r="N607" s="170"/>
      <c r="O607" s="170"/>
      <c r="P607" s="170"/>
      <c r="Q607" s="170"/>
      <c r="R607" s="170"/>
      <c r="S607" s="170"/>
      <c r="T607" s="170"/>
      <c r="U607" s="253"/>
      <c r="V607" s="170"/>
      <c r="Z607" s="249"/>
    </row>
    <row r="608" spans="1:28" ht="15" customHeight="1">
      <c r="C608" s="134"/>
      <c r="D608" s="170" t="s">
        <v>690</v>
      </c>
      <c r="E608" s="170"/>
      <c r="G608" s="170"/>
      <c r="H608" s="170"/>
      <c r="I608" s="142">
        <v>1</v>
      </c>
      <c r="K608" s="136"/>
      <c r="L608" s="143"/>
      <c r="N608" s="170"/>
      <c r="O608" s="170"/>
      <c r="P608" s="170"/>
      <c r="Q608" s="170"/>
      <c r="R608" s="170"/>
      <c r="S608" s="170"/>
      <c r="T608" s="170"/>
      <c r="U608" s="253"/>
      <c r="V608" s="170"/>
      <c r="Z608" s="249"/>
    </row>
    <row r="609" spans="1:26" ht="15" customHeight="1">
      <c r="C609" s="134"/>
      <c r="D609" s="145" t="s">
        <v>136</v>
      </c>
      <c r="E609" s="145"/>
      <c r="F609" s="145"/>
      <c r="G609" s="145"/>
      <c r="H609" s="145"/>
      <c r="I609" s="149" t="s">
        <v>1739</v>
      </c>
      <c r="J609" s="145"/>
      <c r="K609" s="241"/>
      <c r="L609" s="145"/>
      <c r="M609" s="145"/>
      <c r="N609" s="170"/>
      <c r="O609" s="170"/>
      <c r="P609" s="170"/>
      <c r="Q609" s="170"/>
      <c r="R609" s="170"/>
      <c r="S609" s="170"/>
      <c r="T609" s="170"/>
      <c r="U609" s="253"/>
      <c r="V609" s="170"/>
      <c r="Z609" s="249"/>
    </row>
    <row r="610" spans="1:26" ht="15" customHeight="1">
      <c r="A610" s="73"/>
      <c r="B610" s="76"/>
      <c r="C610" s="147"/>
      <c r="D610" s="73"/>
      <c r="E610" s="120"/>
      <c r="G610" s="4"/>
      <c r="H610" s="4"/>
      <c r="I610" s="4"/>
      <c r="O610" s="52"/>
      <c r="P610" s="170"/>
      <c r="Q610" s="170"/>
      <c r="R610" s="170"/>
      <c r="T610" s="170"/>
      <c r="U610" s="253"/>
      <c r="V610" s="170"/>
      <c r="Z610" s="249"/>
    </row>
    <row r="611" spans="1:26" ht="15" customHeight="1">
      <c r="A611" s="73"/>
      <c r="C611" s="147"/>
      <c r="D611" s="649" t="s">
        <v>1740</v>
      </c>
      <c r="E611" s="120"/>
      <c r="H611" s="4"/>
      <c r="I611" s="4"/>
      <c r="O611" s="52"/>
      <c r="Q611" s="170"/>
      <c r="R611" s="170"/>
      <c r="T611" s="170"/>
      <c r="U611" s="253"/>
      <c r="V611" s="170"/>
      <c r="Z611" s="249"/>
    </row>
    <row r="612" spans="1:26" ht="15" customHeight="1">
      <c r="A612" s="73"/>
      <c r="C612" s="147"/>
      <c r="D612" s="255" t="s">
        <v>683</v>
      </c>
      <c r="E612" s="120"/>
      <c r="H612" s="4"/>
      <c r="I612" s="4"/>
      <c r="Q612" s="170"/>
      <c r="R612" s="170"/>
      <c r="T612" s="170"/>
      <c r="U612" s="253"/>
      <c r="V612" s="170"/>
      <c r="Z612" s="249"/>
    </row>
    <row r="613" spans="1:26" ht="15" customHeight="1">
      <c r="A613" s="73"/>
      <c r="C613" s="147"/>
      <c r="D613" s="649" t="s">
        <v>1741</v>
      </c>
      <c r="E613" s="120"/>
      <c r="H613" s="4"/>
      <c r="I613" s="4"/>
      <c r="Q613" s="170"/>
      <c r="R613" s="170"/>
      <c r="T613" s="170"/>
      <c r="U613" s="253"/>
      <c r="V613" s="170"/>
      <c r="Z613" s="249"/>
    </row>
    <row r="614" spans="1:26" ht="15" customHeight="1">
      <c r="A614" s="73"/>
      <c r="C614" s="147"/>
      <c r="D614" s="170" t="s">
        <v>122</v>
      </c>
      <c r="E614" s="120"/>
      <c r="H614" s="4"/>
      <c r="I614" s="4"/>
      <c r="Q614" s="170"/>
      <c r="R614" s="170"/>
      <c r="T614" s="170"/>
      <c r="U614" s="253"/>
      <c r="V614" s="170"/>
      <c r="Z614" s="249"/>
    </row>
    <row r="615" spans="1:26" ht="15" customHeight="1">
      <c r="A615" s="73"/>
      <c r="C615" s="147"/>
      <c r="D615" s="170" t="s">
        <v>130</v>
      </c>
      <c r="E615" s="120"/>
      <c r="H615" s="4"/>
      <c r="I615" s="4"/>
      <c r="Q615" s="170"/>
      <c r="R615" s="170"/>
      <c r="T615" s="170"/>
      <c r="U615" s="253"/>
      <c r="V615" s="170"/>
      <c r="Z615" s="249"/>
    </row>
    <row r="616" spans="1:26" ht="15" customHeight="1">
      <c r="A616" s="73"/>
      <c r="B616" s="170"/>
      <c r="C616" s="147"/>
      <c r="D616" s="73"/>
      <c r="E616" s="120"/>
      <c r="H616" s="4"/>
      <c r="I616" s="4"/>
      <c r="Q616" s="170"/>
      <c r="R616" s="170"/>
      <c r="T616" s="170"/>
      <c r="U616" s="253"/>
      <c r="V616" s="170"/>
      <c r="Z616" s="249"/>
    </row>
    <row r="617" spans="1:26" ht="15" customHeight="1">
      <c r="C617" s="134" t="s">
        <v>32</v>
      </c>
      <c r="D617" s="170" t="s">
        <v>278</v>
      </c>
      <c r="E617" s="170"/>
      <c r="F617" s="170"/>
      <c r="G617" s="170"/>
      <c r="H617" s="170"/>
      <c r="I617" s="100"/>
      <c r="J617" s="170"/>
      <c r="K617" s="170"/>
      <c r="L617" s="170"/>
      <c r="M617" s="170"/>
      <c r="N617" s="137" t="s">
        <v>721</v>
      </c>
      <c r="S617" s="170"/>
      <c r="U617" s="253"/>
      <c r="V617" s="170"/>
      <c r="Z617" s="249"/>
    </row>
    <row r="618" spans="1:26" ht="15" customHeight="1">
      <c r="C618" s="73"/>
      <c r="D618" s="148" t="s">
        <v>134</v>
      </c>
      <c r="E618" s="141"/>
      <c r="F618" s="141"/>
      <c r="G618" s="141"/>
      <c r="H618" s="141"/>
      <c r="I618" s="102"/>
      <c r="J618" s="141"/>
      <c r="K618" s="141"/>
      <c r="L618" s="141" t="s">
        <v>114</v>
      </c>
      <c r="M618" s="141"/>
      <c r="N618" s="170"/>
      <c r="O618" s="170"/>
      <c r="Q618" s="170"/>
      <c r="R618" s="170"/>
      <c r="S618" s="170"/>
      <c r="U618" s="253"/>
      <c r="V618" s="170"/>
      <c r="Z618" s="249"/>
    </row>
    <row r="619" spans="1:26" ht="15" customHeight="1">
      <c r="C619" s="73"/>
      <c r="D619" s="146" t="s">
        <v>2135</v>
      </c>
      <c r="E619" s="103"/>
      <c r="F619" s="103"/>
      <c r="G619" s="103" t="s">
        <v>276</v>
      </c>
      <c r="H619" s="103"/>
      <c r="I619" s="103"/>
      <c r="J619" s="146"/>
      <c r="K619" s="146"/>
      <c r="L619" s="113">
        <v>1</v>
      </c>
      <c r="M619" s="146"/>
      <c r="N619" s="170"/>
      <c r="O619" s="170"/>
      <c r="Q619" s="170"/>
      <c r="R619" s="170"/>
      <c r="S619" s="170"/>
      <c r="U619" s="253"/>
      <c r="V619" s="170"/>
      <c r="Z619" s="249"/>
    </row>
    <row r="620" spans="1:26" ht="15" customHeight="1">
      <c r="C620" s="73"/>
      <c r="D620" s="170" t="s">
        <v>1742</v>
      </c>
      <c r="E620" s="115"/>
      <c r="F620" s="115"/>
      <c r="G620" s="170"/>
      <c r="H620" s="115"/>
      <c r="I620" s="170"/>
      <c r="K620" s="170"/>
      <c r="L620" s="58"/>
      <c r="M620" s="170"/>
      <c r="N620" s="170"/>
      <c r="O620" s="170"/>
      <c r="Q620" s="170"/>
      <c r="R620" s="170"/>
      <c r="S620" s="170"/>
      <c r="U620" s="253"/>
      <c r="V620" s="170"/>
      <c r="Z620" s="249"/>
    </row>
    <row r="621" spans="1:26" ht="15" customHeight="1">
      <c r="C621" s="73"/>
      <c r="D621" s="170" t="s">
        <v>1743</v>
      </c>
      <c r="E621" s="115"/>
      <c r="F621" s="115"/>
      <c r="G621" s="115" t="s">
        <v>276</v>
      </c>
      <c r="H621" s="115"/>
      <c r="I621" s="115"/>
      <c r="K621" s="170"/>
      <c r="L621" s="150">
        <v>1</v>
      </c>
      <c r="M621" s="170"/>
      <c r="N621" s="170"/>
      <c r="O621" s="170"/>
      <c r="Q621" s="170"/>
      <c r="R621" s="170"/>
      <c r="S621" s="170"/>
      <c r="U621" s="253"/>
      <c r="V621" s="170"/>
      <c r="Z621" s="249"/>
    </row>
    <row r="622" spans="1:26" ht="15" customHeight="1">
      <c r="C622" s="73"/>
      <c r="D622" s="118" t="s">
        <v>1744</v>
      </c>
      <c r="E622" s="104"/>
      <c r="F622" s="104"/>
      <c r="G622" s="118"/>
      <c r="H622" s="104"/>
      <c r="I622" s="118"/>
      <c r="J622" s="118"/>
      <c r="K622" s="118"/>
      <c r="L622" s="105"/>
      <c r="M622" s="118"/>
      <c r="N622" s="170"/>
      <c r="O622" s="170"/>
      <c r="Q622" s="170"/>
      <c r="R622" s="170"/>
      <c r="S622" s="170"/>
      <c r="U622" s="253"/>
      <c r="V622" s="170"/>
      <c r="Z622" s="249"/>
    </row>
    <row r="623" spans="1:26" ht="15" customHeight="1">
      <c r="C623" s="73"/>
      <c r="D623" s="110" t="s">
        <v>1745</v>
      </c>
      <c r="E623" s="110"/>
      <c r="F623" s="110"/>
      <c r="G623" s="110" t="s">
        <v>277</v>
      </c>
      <c r="I623" s="110"/>
      <c r="J623" s="110"/>
      <c r="K623" s="110"/>
      <c r="L623" s="106">
        <v>1</v>
      </c>
      <c r="M623" s="110"/>
      <c r="N623" s="170"/>
      <c r="O623" s="170"/>
      <c r="Q623" s="170"/>
      <c r="R623" s="170"/>
      <c r="S623" s="170"/>
      <c r="U623" s="253"/>
      <c r="V623" s="170"/>
      <c r="Z623" s="249"/>
    </row>
    <row r="624" spans="1:26" ht="15" customHeight="1">
      <c r="C624" s="73"/>
      <c r="D624" s="110" t="s">
        <v>1746</v>
      </c>
      <c r="E624" s="110"/>
      <c r="F624" s="110"/>
      <c r="G624" s="110"/>
      <c r="H624" s="110"/>
      <c r="I624" s="101"/>
      <c r="J624" s="110"/>
      <c r="K624" s="110"/>
      <c r="L624" s="106">
        <v>1</v>
      </c>
      <c r="M624" s="110"/>
      <c r="N624" s="170"/>
      <c r="O624" s="170"/>
      <c r="Q624" s="170"/>
      <c r="R624" s="170"/>
      <c r="S624" s="170"/>
      <c r="U624" s="253"/>
      <c r="V624" s="170"/>
      <c r="Z624" s="249"/>
    </row>
    <row r="625" spans="1:31" ht="15" customHeight="1">
      <c r="C625" s="73"/>
      <c r="D625" s="255" t="s">
        <v>136</v>
      </c>
      <c r="E625" s="255"/>
      <c r="F625" s="170"/>
      <c r="G625" s="170"/>
      <c r="H625" s="170"/>
      <c r="I625" s="100"/>
      <c r="K625" s="170"/>
      <c r="L625" s="170"/>
      <c r="M625" s="170"/>
      <c r="N625" s="170"/>
      <c r="O625" s="170"/>
      <c r="Q625" s="170"/>
      <c r="R625" s="170"/>
      <c r="S625" s="170"/>
      <c r="U625" s="253"/>
      <c r="V625" s="170"/>
      <c r="Z625" s="249"/>
    </row>
    <row r="626" spans="1:31" ht="15" customHeight="1">
      <c r="C626" s="73"/>
      <c r="D626" s="256"/>
      <c r="E626" s="256"/>
      <c r="F626" s="145"/>
      <c r="G626" s="145"/>
      <c r="H626" s="112"/>
      <c r="I626" s="114"/>
      <c r="J626" s="145"/>
      <c r="K626" s="145"/>
      <c r="L626" s="145"/>
      <c r="M626" s="145"/>
      <c r="N626" s="170"/>
      <c r="O626" s="170"/>
      <c r="Q626" s="170"/>
      <c r="R626" s="170"/>
      <c r="S626" s="170"/>
      <c r="U626" s="253"/>
      <c r="V626" s="170"/>
      <c r="Z626" s="249"/>
    </row>
    <row r="627" spans="1:31" ht="15" customHeight="1">
      <c r="C627" s="73"/>
      <c r="D627" s="1100" t="s">
        <v>2136</v>
      </c>
      <c r="E627" s="1100"/>
      <c r="F627" s="170"/>
      <c r="G627" s="170"/>
      <c r="H627" s="115"/>
      <c r="I627" s="100"/>
      <c r="J627" s="170"/>
      <c r="K627" s="170"/>
      <c r="L627" s="170"/>
      <c r="M627" s="170"/>
      <c r="N627" s="170"/>
      <c r="O627" s="170"/>
      <c r="Q627" s="170"/>
      <c r="R627" s="170"/>
      <c r="S627" s="170"/>
      <c r="U627" s="1099"/>
      <c r="V627" s="170"/>
      <c r="Z627" s="249"/>
      <c r="AB627" s="1101"/>
    </row>
    <row r="628" spans="1:31" ht="15" customHeight="1">
      <c r="A628" s="73"/>
      <c r="B628" s="170"/>
      <c r="C628" s="147"/>
      <c r="D628" s="73"/>
      <c r="E628" s="120"/>
      <c r="H628" s="4"/>
      <c r="I628" s="4"/>
      <c r="T628" s="170"/>
      <c r="U628" s="253"/>
      <c r="V628" s="170"/>
      <c r="Z628" s="249"/>
    </row>
    <row r="629" spans="1:31" ht="15" customHeight="1">
      <c r="C629" s="134" t="s">
        <v>32</v>
      </c>
      <c r="D629" s="145" t="s">
        <v>2145</v>
      </c>
      <c r="E629" s="140"/>
      <c r="F629" s="140"/>
      <c r="G629" s="140"/>
      <c r="H629" s="140"/>
      <c r="I629" s="140"/>
      <c r="J629" s="170"/>
      <c r="N629" s="137" t="s">
        <v>723</v>
      </c>
      <c r="O629" s="257"/>
      <c r="Q629" s="257"/>
      <c r="T629" s="257"/>
      <c r="Z629" s="143"/>
      <c r="AB629" s="143"/>
      <c r="AE629" s="73"/>
    </row>
    <row r="630" spans="1:31" ht="15" customHeight="1">
      <c r="C630" s="73"/>
      <c r="D630" s="148" t="s">
        <v>134</v>
      </c>
      <c r="E630" s="148"/>
      <c r="F630" s="148"/>
      <c r="G630" s="148"/>
      <c r="H630" s="148"/>
      <c r="I630" s="148"/>
      <c r="J630" s="148" t="s">
        <v>129</v>
      </c>
      <c r="K630" s="148"/>
      <c r="L630" s="148"/>
      <c r="M630" s="148"/>
      <c r="T630" s="257"/>
      <c r="Z630" s="143"/>
      <c r="AB630" s="143"/>
      <c r="AE630" s="73"/>
    </row>
    <row r="631" spans="1:31" ht="15" customHeight="1">
      <c r="C631" s="73"/>
      <c r="D631" s="122" t="s">
        <v>826</v>
      </c>
      <c r="E631" s="147"/>
      <c r="F631" s="147"/>
      <c r="G631" s="147"/>
      <c r="H631" s="147"/>
      <c r="I631" s="147"/>
      <c r="J631" s="613">
        <v>7.2</v>
      </c>
      <c r="K631" s="650"/>
      <c r="L631" s="650"/>
      <c r="M631" s="650"/>
      <c r="T631" s="316"/>
      <c r="Z631" s="143"/>
      <c r="AB631" s="143"/>
      <c r="AE631" s="73"/>
    </row>
    <row r="632" spans="1:31" ht="15" customHeight="1">
      <c r="C632" s="73"/>
      <c r="D632" s="122" t="s">
        <v>827</v>
      </c>
      <c r="E632" s="147"/>
      <c r="F632" s="147"/>
      <c r="G632" s="147"/>
      <c r="H632" s="147"/>
      <c r="I632" s="147"/>
      <c r="J632" s="147"/>
      <c r="K632" s="147"/>
      <c r="L632" s="147"/>
      <c r="M632" s="147"/>
      <c r="T632" s="316"/>
      <c r="Z632" s="143"/>
      <c r="AB632" s="143"/>
      <c r="AE632" s="73"/>
    </row>
    <row r="633" spans="1:31" ht="15" customHeight="1">
      <c r="C633" s="73"/>
      <c r="E633" s="170"/>
      <c r="F633" s="170" t="s">
        <v>262</v>
      </c>
      <c r="G633" s="170"/>
      <c r="H633" s="170"/>
      <c r="I633" s="170"/>
      <c r="J633" s="170" t="s">
        <v>1748</v>
      </c>
      <c r="K633" s="170"/>
      <c r="L633" s="170"/>
      <c r="M633" s="170"/>
      <c r="T633" s="257"/>
      <c r="Z633" s="143"/>
      <c r="AB633" s="143"/>
      <c r="AE633" s="73"/>
    </row>
    <row r="634" spans="1:31" ht="15" customHeight="1">
      <c r="C634" s="73"/>
      <c r="E634" s="170"/>
      <c r="F634" s="170" t="s">
        <v>1704</v>
      </c>
      <c r="G634" s="170"/>
      <c r="H634" s="170"/>
      <c r="I634" s="170"/>
      <c r="J634" s="170" t="s">
        <v>1747</v>
      </c>
      <c r="K634" s="170"/>
      <c r="L634" s="170"/>
      <c r="M634" s="170"/>
      <c r="Z634" s="143"/>
      <c r="AB634" s="143"/>
      <c r="AE634" s="73"/>
    </row>
    <row r="635" spans="1:31" ht="15" customHeight="1">
      <c r="C635" s="73"/>
      <c r="D635" s="145"/>
      <c r="E635" s="145"/>
      <c r="F635" s="145" t="s">
        <v>263</v>
      </c>
      <c r="G635" s="145"/>
      <c r="H635" s="145"/>
      <c r="I635" s="145"/>
      <c r="J635" s="145" t="s">
        <v>1749</v>
      </c>
      <c r="K635" s="145"/>
      <c r="L635" s="145"/>
      <c r="M635" s="145"/>
      <c r="Z635" s="143"/>
      <c r="AB635" s="143"/>
      <c r="AE635" s="73"/>
    </row>
    <row r="636" spans="1:31" ht="15" customHeight="1">
      <c r="A636" s="73"/>
      <c r="B636" s="76"/>
      <c r="C636" s="147"/>
      <c r="D636" s="170" t="s">
        <v>576</v>
      </c>
      <c r="E636" s="120"/>
      <c r="G636" s="4"/>
      <c r="H636" s="4"/>
      <c r="I636" s="4"/>
      <c r="O636" s="52"/>
      <c r="Z636" s="249"/>
    </row>
    <row r="637" spans="1:31" ht="15" customHeight="1">
      <c r="A637" s="73"/>
      <c r="B637" s="76"/>
      <c r="C637" s="147"/>
      <c r="D637" s="170"/>
      <c r="E637" s="120"/>
      <c r="G637" s="4"/>
      <c r="H637" s="4"/>
      <c r="I637" s="4"/>
      <c r="L637" s="316"/>
      <c r="O637" s="52"/>
      <c r="Z637" s="249"/>
      <c r="AB637" s="316"/>
    </row>
    <row r="638" spans="1:31" ht="15" customHeight="1">
      <c r="A638" s="73"/>
      <c r="B638" s="76"/>
      <c r="C638" s="134" t="s">
        <v>32</v>
      </c>
      <c r="D638" s="145" t="s">
        <v>279</v>
      </c>
      <c r="E638" s="170"/>
      <c r="F638" s="170"/>
      <c r="G638" s="299"/>
      <c r="H638" s="170"/>
      <c r="I638" s="108"/>
      <c r="K638" s="249"/>
      <c r="L638" s="143"/>
      <c r="N638" s="137" t="s">
        <v>721</v>
      </c>
      <c r="O638" s="52"/>
      <c r="Z638" s="249"/>
      <c r="AB638" s="300"/>
    </row>
    <row r="639" spans="1:31" ht="15" customHeight="1">
      <c r="A639" s="73"/>
      <c r="B639" s="76"/>
      <c r="C639" s="147"/>
      <c r="D639" s="148" t="s">
        <v>134</v>
      </c>
      <c r="E639" s="148"/>
      <c r="F639" s="148"/>
      <c r="G639" s="148"/>
      <c r="H639" s="148"/>
      <c r="I639" s="148"/>
      <c r="J639" s="148" t="s">
        <v>280</v>
      </c>
      <c r="K639" s="148"/>
      <c r="L639" s="148"/>
      <c r="M639" s="148"/>
      <c r="Z639" s="143"/>
      <c r="AB639" s="143"/>
    </row>
    <row r="640" spans="1:31" ht="15" customHeight="1">
      <c r="A640" s="73"/>
      <c r="B640" s="76"/>
      <c r="C640" s="147"/>
      <c r="D640" s="170" t="s">
        <v>277</v>
      </c>
      <c r="E640" s="170"/>
      <c r="F640" s="170"/>
      <c r="G640" s="170"/>
      <c r="H640" s="170"/>
      <c r="I640" s="1983" t="s">
        <v>281</v>
      </c>
      <c r="J640" s="1983"/>
      <c r="K640" s="1983"/>
      <c r="L640" s="1983"/>
      <c r="Z640" s="143"/>
      <c r="AB640" s="143"/>
    </row>
    <row r="641" spans="1:32" ht="15" customHeight="1">
      <c r="A641" s="73"/>
      <c r="B641" s="76"/>
      <c r="C641" s="147"/>
      <c r="D641" s="118" t="s">
        <v>204</v>
      </c>
      <c r="E641" s="118"/>
      <c r="F641" s="118"/>
      <c r="G641" s="118"/>
      <c r="H641" s="118"/>
      <c r="I641" s="118" t="s">
        <v>282</v>
      </c>
      <c r="J641" s="109"/>
      <c r="K641" s="118"/>
      <c r="L641" s="118"/>
      <c r="Z641" s="143"/>
      <c r="AB641" s="143"/>
    </row>
    <row r="642" spans="1:32" ht="15" customHeight="1">
      <c r="A642" s="73"/>
      <c r="B642" s="76"/>
      <c r="C642" s="147"/>
      <c r="D642" s="145" t="s">
        <v>136</v>
      </c>
      <c r="E642" s="145"/>
      <c r="F642" s="145"/>
      <c r="G642" s="145"/>
      <c r="H642" s="145"/>
      <c r="I642" s="145"/>
      <c r="J642" s="145" t="s">
        <v>283</v>
      </c>
      <c r="K642" s="145"/>
      <c r="L642" s="145"/>
      <c r="M642" s="91"/>
      <c r="Z642" s="143"/>
      <c r="AB642" s="143"/>
    </row>
    <row r="643" spans="1:32" ht="15" customHeight="1">
      <c r="A643" s="73"/>
      <c r="C643" s="147"/>
      <c r="D643" s="170" t="s">
        <v>284</v>
      </c>
      <c r="E643" s="120"/>
      <c r="G643" s="4"/>
      <c r="H643" s="4"/>
      <c r="I643" s="4"/>
      <c r="O643" s="52"/>
      <c r="Z643" s="249"/>
    </row>
    <row r="644" spans="1:32" ht="15" customHeight="1">
      <c r="A644" s="73"/>
      <c r="C644" s="147"/>
      <c r="D644" s="651" t="s">
        <v>1750</v>
      </c>
      <c r="E644" s="120"/>
      <c r="G644" s="4"/>
      <c r="I644" s="4"/>
      <c r="O644" s="52"/>
      <c r="Z644" s="249"/>
    </row>
    <row r="645" spans="1:32" ht="15" customHeight="1">
      <c r="A645" s="73"/>
      <c r="C645" s="147"/>
      <c r="D645" s="170"/>
      <c r="E645" s="120"/>
      <c r="G645" s="4"/>
      <c r="H645" s="4"/>
      <c r="I645" s="4"/>
      <c r="O645" s="52"/>
      <c r="Z645" s="249"/>
    </row>
    <row r="646" spans="1:32" ht="15" customHeight="1">
      <c r="C646" s="134" t="s">
        <v>32</v>
      </c>
      <c r="D646" s="143" t="s">
        <v>247</v>
      </c>
      <c r="E646" s="136"/>
      <c r="F646" s="147"/>
      <c r="G646" s="136"/>
      <c r="H646" s="136"/>
      <c r="I646" s="136"/>
      <c r="J646" s="170"/>
      <c r="K646" s="170"/>
      <c r="L646" s="253"/>
      <c r="M646" s="170"/>
      <c r="N646" s="137" t="s">
        <v>725</v>
      </c>
      <c r="O646" s="170"/>
      <c r="Q646" s="170"/>
      <c r="R646" s="170"/>
      <c r="S646" s="170"/>
      <c r="T646" s="170"/>
      <c r="U646" s="170"/>
      <c r="V646" s="170"/>
      <c r="W646" s="170"/>
      <c r="X646" s="170"/>
      <c r="Y646" s="253"/>
      <c r="Z646" s="170"/>
      <c r="AB646" s="143"/>
      <c r="AD646" s="559"/>
      <c r="AE646" s="73"/>
      <c r="AF646" s="559"/>
    </row>
    <row r="647" spans="1:32" ht="15" customHeight="1">
      <c r="C647" s="170"/>
      <c r="D647" s="148" t="s">
        <v>134</v>
      </c>
      <c r="E647" s="141"/>
      <c r="F647" s="141"/>
      <c r="G647" s="141"/>
      <c r="H647" s="141"/>
      <c r="I647" s="141"/>
      <c r="J647" s="148" t="s">
        <v>248</v>
      </c>
      <c r="K647" s="141"/>
      <c r="L647" s="141"/>
      <c r="M647" s="141"/>
      <c r="N647" s="170"/>
      <c r="O647" s="170"/>
      <c r="P647" s="170"/>
      <c r="Q647" s="170"/>
      <c r="R647" s="170"/>
      <c r="S647" s="170"/>
      <c r="T647" s="170"/>
      <c r="U647" s="170"/>
      <c r="V647" s="170"/>
      <c r="W647" s="170"/>
      <c r="X647" s="170"/>
      <c r="Y647" s="253"/>
      <c r="Z647" s="170"/>
      <c r="AA647" s="170"/>
      <c r="AB647" s="143"/>
      <c r="AD647" s="559"/>
      <c r="AE647" s="73"/>
      <c r="AF647" s="559"/>
    </row>
    <row r="648" spans="1:32" ht="15" customHeight="1">
      <c r="C648" s="170"/>
      <c r="D648" s="652" t="s">
        <v>1751</v>
      </c>
      <c r="E648" s="146"/>
      <c r="F648" s="146"/>
      <c r="G648" s="146"/>
      <c r="H648" s="146"/>
      <c r="I648" s="146"/>
      <c r="J648" s="151" t="s">
        <v>1754</v>
      </c>
      <c r="K648" s="146"/>
      <c r="L648" s="146"/>
      <c r="M648" s="146"/>
      <c r="N648" s="170"/>
      <c r="O648" s="170"/>
      <c r="P648" s="170"/>
      <c r="Q648" s="170"/>
      <c r="R648" s="170"/>
      <c r="S648" s="170"/>
      <c r="T648" s="170"/>
      <c r="U648" s="170"/>
      <c r="V648" s="170"/>
      <c r="W648" s="170"/>
      <c r="X648" s="170"/>
      <c r="Y648" s="253"/>
      <c r="Z648" s="170"/>
      <c r="AA648" s="170"/>
      <c r="AB648" s="143"/>
      <c r="AD648" s="559"/>
      <c r="AE648" s="73"/>
      <c r="AF648" s="559"/>
    </row>
    <row r="649" spans="1:32" ht="15" customHeight="1">
      <c r="C649" s="170"/>
      <c r="D649" s="1954" t="s">
        <v>1752</v>
      </c>
      <c r="E649" s="1954"/>
      <c r="F649" s="666"/>
      <c r="G649" s="170"/>
      <c r="H649" s="170"/>
      <c r="I649" s="170"/>
      <c r="J649" s="170"/>
      <c r="K649" s="170"/>
      <c r="L649" s="170"/>
      <c r="M649" s="170"/>
      <c r="N649" s="170"/>
      <c r="O649" s="170"/>
      <c r="P649" s="170"/>
      <c r="Q649" s="170"/>
      <c r="R649" s="170"/>
      <c r="S649" s="170"/>
      <c r="T649" s="170"/>
      <c r="U649" s="170"/>
      <c r="V649" s="170"/>
      <c r="W649" s="170"/>
      <c r="X649" s="170"/>
      <c r="Y649" s="253"/>
      <c r="Z649" s="170"/>
      <c r="AA649" s="170"/>
      <c r="AB649" s="143"/>
      <c r="AD649" s="559"/>
      <c r="AE649" s="73"/>
      <c r="AF649" s="559"/>
    </row>
    <row r="650" spans="1:32" ht="15" customHeight="1">
      <c r="C650" s="170"/>
      <c r="D650" s="1955"/>
      <c r="E650" s="1955"/>
      <c r="F650" s="104"/>
      <c r="G650" s="170"/>
      <c r="H650" s="170"/>
      <c r="I650" s="170"/>
      <c r="J650" s="170"/>
      <c r="K650" s="170"/>
      <c r="L650" s="170"/>
      <c r="M650" s="170"/>
      <c r="N650" s="170"/>
      <c r="O650" s="170"/>
      <c r="P650" s="170"/>
      <c r="Q650" s="170"/>
      <c r="R650" s="170"/>
      <c r="S650" s="170"/>
      <c r="T650" s="170"/>
      <c r="U650" s="170"/>
      <c r="V650" s="170"/>
      <c r="W650" s="170"/>
      <c r="X650" s="170"/>
      <c r="Y650" s="253"/>
      <c r="Z650" s="170"/>
      <c r="AA650" s="170"/>
      <c r="AB650" s="143"/>
      <c r="AD650" s="559"/>
      <c r="AE650" s="73"/>
      <c r="AF650" s="559"/>
    </row>
    <row r="651" spans="1:32" ht="15" customHeight="1">
      <c r="C651" s="170"/>
      <c r="D651" s="667" t="s">
        <v>1753</v>
      </c>
      <c r="E651" s="91"/>
      <c r="F651" s="91"/>
      <c r="G651" s="91"/>
      <c r="H651" s="91"/>
      <c r="I651" s="91"/>
      <c r="J651" s="92" t="s">
        <v>1755</v>
      </c>
      <c r="K651" s="91"/>
      <c r="L651" s="91"/>
      <c r="M651" s="91"/>
      <c r="N651" s="170"/>
      <c r="O651" s="170"/>
      <c r="P651" s="170"/>
      <c r="Q651" s="170"/>
      <c r="R651" s="170"/>
      <c r="S651" s="170"/>
      <c r="T651" s="170"/>
      <c r="U651" s="170"/>
      <c r="V651" s="170"/>
      <c r="W651" s="170"/>
      <c r="X651" s="170"/>
      <c r="Y651" s="253"/>
      <c r="Z651" s="170"/>
      <c r="AA651" s="170"/>
      <c r="AB651" s="143"/>
      <c r="AD651" s="559"/>
      <c r="AE651" s="73"/>
      <c r="AF651" s="559"/>
    </row>
    <row r="652" spans="1:32" ht="15" customHeight="1">
      <c r="A652" s="170"/>
      <c r="B652" s="170"/>
      <c r="C652" s="170"/>
      <c r="D652" s="170"/>
      <c r="E652" s="170"/>
      <c r="F652" s="253"/>
      <c r="G652" s="170"/>
      <c r="H652" s="253"/>
      <c r="I652" s="170"/>
      <c r="J652" s="170"/>
      <c r="K652" s="170"/>
      <c r="L652" s="253"/>
      <c r="M652" s="170"/>
      <c r="N652" s="170"/>
      <c r="O652" s="170"/>
      <c r="P652" s="170"/>
      <c r="Q652" s="170"/>
      <c r="R652" s="170"/>
      <c r="S652" s="170"/>
      <c r="T652" s="170"/>
      <c r="U652" s="170"/>
      <c r="V652" s="170"/>
      <c r="W652" s="170"/>
      <c r="X652" s="170"/>
      <c r="Y652" s="253"/>
      <c r="Z652" s="170"/>
      <c r="AA652" s="170"/>
      <c r="AB652" s="143"/>
      <c r="AD652" s="559"/>
      <c r="AE652" s="73"/>
      <c r="AF652" s="559"/>
    </row>
    <row r="653" spans="1:32" ht="15" customHeight="1">
      <c r="A653" s="170"/>
      <c r="B653" s="170"/>
      <c r="C653" s="170"/>
      <c r="D653" s="170"/>
      <c r="E653" s="170"/>
      <c r="F653" s="253"/>
      <c r="G653" s="170"/>
      <c r="H653" s="253"/>
      <c r="I653" s="170"/>
      <c r="J653" s="253"/>
      <c r="K653" s="170"/>
      <c r="L653" s="253"/>
      <c r="M653" s="170"/>
      <c r="N653" s="170"/>
      <c r="O653" s="170"/>
      <c r="P653" s="170"/>
      <c r="Q653" s="170"/>
      <c r="R653" s="170"/>
      <c r="S653" s="170"/>
      <c r="T653" s="170"/>
      <c r="U653" s="170"/>
      <c r="V653" s="170"/>
      <c r="W653" s="170"/>
      <c r="X653" s="170"/>
      <c r="Y653" s="253"/>
      <c r="Z653" s="170"/>
      <c r="AA653" s="170"/>
      <c r="AB653" s="143"/>
      <c r="AD653" s="559"/>
      <c r="AE653" s="73"/>
      <c r="AF653" s="559"/>
    </row>
    <row r="654" spans="1:32" ht="15" customHeight="1">
      <c r="A654" s="170"/>
      <c r="B654" s="170"/>
      <c r="C654" s="170"/>
      <c r="D654" s="170"/>
      <c r="E654" s="170"/>
      <c r="F654" s="253"/>
      <c r="G654" s="170"/>
      <c r="H654" s="253"/>
      <c r="I654" s="170"/>
      <c r="J654" s="253"/>
      <c r="K654" s="170"/>
      <c r="L654" s="253"/>
      <c r="M654" s="170"/>
      <c r="N654" s="170"/>
      <c r="O654" s="170"/>
      <c r="P654" s="170"/>
      <c r="Q654" s="170"/>
      <c r="R654" s="170"/>
      <c r="S654" s="170"/>
      <c r="T654" s="170"/>
      <c r="U654" s="170"/>
      <c r="V654" s="170"/>
      <c r="W654" s="170"/>
      <c r="X654" s="170"/>
      <c r="Y654" s="253"/>
      <c r="Z654" s="170"/>
      <c r="AA654" s="170"/>
      <c r="AB654" s="143"/>
      <c r="AD654" s="559"/>
      <c r="AE654" s="73"/>
      <c r="AF654" s="559"/>
    </row>
    <row r="655" spans="1:32" ht="15" customHeight="1">
      <c r="A655" s="134"/>
      <c r="F655" s="253"/>
      <c r="G655" s="170"/>
      <c r="H655" s="253"/>
      <c r="I655" s="170"/>
      <c r="J655" s="253"/>
      <c r="K655" s="170"/>
      <c r="L655" s="253"/>
      <c r="M655" s="170"/>
      <c r="N655" s="170"/>
      <c r="O655" s="170"/>
      <c r="P655" s="170"/>
      <c r="Q655" s="170"/>
      <c r="R655" s="170"/>
      <c r="S655" s="170"/>
      <c r="T655" s="170"/>
      <c r="U655" s="170"/>
      <c r="V655" s="170"/>
      <c r="W655" s="170"/>
      <c r="X655" s="170"/>
      <c r="Y655" s="253"/>
      <c r="Z655" s="170"/>
      <c r="AA655" s="170"/>
      <c r="AB655" s="143"/>
      <c r="AD655" s="559"/>
      <c r="AE655" s="73"/>
      <c r="AF655" s="559"/>
    </row>
    <row r="656" spans="1:32" ht="15" customHeight="1">
      <c r="A656" s="134"/>
      <c r="F656" s="301"/>
      <c r="G656" s="170"/>
      <c r="H656" s="301"/>
      <c r="I656" s="170"/>
      <c r="J656" s="301"/>
      <c r="K656" s="170"/>
      <c r="L656" s="301"/>
      <c r="M656" s="170"/>
      <c r="N656" s="170"/>
      <c r="O656" s="170"/>
      <c r="P656" s="170"/>
      <c r="Q656" s="170"/>
      <c r="R656" s="170"/>
      <c r="S656" s="170"/>
      <c r="T656" s="170"/>
      <c r="U656" s="170"/>
      <c r="V656" s="170"/>
      <c r="W656" s="170"/>
      <c r="X656" s="170"/>
      <c r="Y656" s="301"/>
      <c r="Z656" s="170"/>
      <c r="AA656" s="170"/>
      <c r="AB656" s="143"/>
      <c r="AD656" s="559"/>
      <c r="AE656" s="73"/>
      <c r="AF656" s="559"/>
    </row>
    <row r="657" spans="1:32" ht="15" customHeight="1">
      <c r="A657" s="134"/>
      <c r="D657" s="143" t="s">
        <v>724</v>
      </c>
      <c r="F657" s="301"/>
      <c r="G657" s="170"/>
      <c r="H657" s="301"/>
      <c r="I657" s="170"/>
      <c r="J657" s="301"/>
      <c r="K657" s="170"/>
      <c r="L657" s="301"/>
      <c r="M657" s="170"/>
      <c r="N657" s="170"/>
      <c r="O657" s="170"/>
      <c r="P657" s="170"/>
      <c r="Q657" s="170"/>
      <c r="R657" s="170"/>
      <c r="S657" s="170"/>
      <c r="T657" s="170"/>
      <c r="U657" s="170"/>
      <c r="V657" s="170"/>
      <c r="W657" s="170"/>
      <c r="X657" s="170"/>
      <c r="Y657" s="301"/>
      <c r="Z657" s="170"/>
      <c r="AA657" s="170"/>
      <c r="AB657" s="143"/>
      <c r="AD657" s="559"/>
      <c r="AE657" s="73"/>
      <c r="AF657" s="559"/>
    </row>
    <row r="658" spans="1:32" ht="15" customHeight="1">
      <c r="A658" s="134"/>
      <c r="F658" s="253"/>
      <c r="G658" s="170"/>
      <c r="H658" s="253"/>
      <c r="I658" s="170"/>
      <c r="J658" s="253"/>
      <c r="K658" s="170"/>
      <c r="L658" s="253"/>
      <c r="M658" s="170"/>
      <c r="N658" s="170"/>
      <c r="O658" s="170"/>
      <c r="P658" s="170"/>
      <c r="Q658" s="170"/>
      <c r="R658" s="170"/>
      <c r="S658" s="170"/>
      <c r="T658" s="170"/>
      <c r="U658" s="170"/>
      <c r="V658" s="170"/>
      <c r="W658" s="170"/>
      <c r="X658" s="170"/>
      <c r="Y658" s="253"/>
      <c r="Z658" s="170"/>
      <c r="AA658" s="170"/>
      <c r="AB658" s="143"/>
      <c r="AD658" s="559"/>
      <c r="AE658" s="73"/>
      <c r="AF658" s="559"/>
    </row>
    <row r="659" spans="1:32" ht="15" customHeight="1">
      <c r="A659" s="134"/>
      <c r="F659" s="253"/>
      <c r="G659" s="170"/>
      <c r="H659" s="253"/>
      <c r="I659" s="170"/>
      <c r="J659" s="253"/>
      <c r="K659" s="170"/>
      <c r="L659" s="253"/>
      <c r="M659" s="170"/>
      <c r="N659" s="170"/>
      <c r="O659" s="170"/>
      <c r="P659" s="170"/>
      <c r="Q659" s="170"/>
      <c r="R659" s="170"/>
      <c r="S659" s="170"/>
      <c r="T659" s="170"/>
      <c r="U659" s="170"/>
      <c r="V659" s="170"/>
      <c r="W659" s="170"/>
      <c r="X659" s="170"/>
      <c r="Y659" s="253"/>
      <c r="Z659" s="170"/>
      <c r="AA659" s="170"/>
      <c r="AB659" s="143"/>
      <c r="AD659" s="559"/>
      <c r="AE659" s="73"/>
      <c r="AF659" s="559"/>
    </row>
    <row r="660" spans="1:32" ht="15" customHeight="1">
      <c r="A660" s="134"/>
      <c r="F660" s="253"/>
      <c r="G660" s="170"/>
      <c r="H660" s="253"/>
      <c r="I660" s="170"/>
      <c r="J660" s="253"/>
      <c r="K660" s="170"/>
      <c r="L660" s="253"/>
      <c r="M660" s="170"/>
      <c r="N660" s="170"/>
      <c r="O660" s="170"/>
      <c r="P660" s="170"/>
      <c r="Q660" s="170"/>
      <c r="R660" s="170"/>
      <c r="S660" s="170"/>
      <c r="T660" s="170"/>
      <c r="U660" s="170"/>
      <c r="V660" s="170"/>
      <c r="W660" s="170"/>
      <c r="X660" s="170"/>
      <c r="Y660" s="253"/>
      <c r="Z660" s="170"/>
      <c r="AA660" s="170"/>
      <c r="AB660" s="143"/>
      <c r="AD660" s="559"/>
      <c r="AE660" s="73"/>
      <c r="AF660" s="559"/>
    </row>
    <row r="661" spans="1:32" ht="15" customHeight="1">
      <c r="A661" s="134"/>
      <c r="D661" s="170" t="s">
        <v>400</v>
      </c>
      <c r="E661" s="124" t="s">
        <v>324</v>
      </c>
      <c r="F661" s="170" t="s">
        <v>402</v>
      </c>
      <c r="H661" s="253"/>
      <c r="I661" s="170"/>
      <c r="J661" s="253"/>
      <c r="K661" s="170"/>
      <c r="L661" s="253"/>
      <c r="M661" s="170"/>
      <c r="N661" s="170"/>
      <c r="O661" s="170"/>
      <c r="P661" s="170"/>
      <c r="Q661" s="170"/>
      <c r="R661" s="170"/>
      <c r="S661" s="170"/>
      <c r="T661" s="170"/>
      <c r="U661" s="170"/>
      <c r="V661" s="170"/>
      <c r="W661" s="170"/>
      <c r="X661" s="170"/>
      <c r="Y661" s="253"/>
      <c r="Z661" s="170"/>
      <c r="AA661" s="170"/>
      <c r="AB661" s="143"/>
      <c r="AD661" s="559"/>
      <c r="AE661" s="73"/>
      <c r="AF661" s="559"/>
    </row>
    <row r="662" spans="1:32" ht="15" customHeight="1">
      <c r="A662" s="134"/>
      <c r="D662" s="170" t="s">
        <v>401</v>
      </c>
      <c r="E662" s="124" t="s">
        <v>324</v>
      </c>
      <c r="F662" s="170" t="s">
        <v>403</v>
      </c>
      <c r="H662" s="253"/>
      <c r="I662" s="170"/>
      <c r="J662" s="253"/>
      <c r="K662" s="170"/>
      <c r="L662" s="253"/>
      <c r="M662" s="170"/>
      <c r="N662" s="170"/>
      <c r="O662" s="170"/>
      <c r="P662" s="170"/>
      <c r="Q662" s="170"/>
      <c r="R662" s="170"/>
      <c r="S662" s="170"/>
      <c r="T662" s="170"/>
      <c r="U662" s="170"/>
      <c r="V662" s="170"/>
      <c r="W662" s="170"/>
      <c r="X662" s="170"/>
      <c r="Y662" s="253"/>
      <c r="Z662" s="170"/>
      <c r="AA662" s="170"/>
      <c r="AB662" s="143"/>
      <c r="AD662" s="559"/>
      <c r="AE662" s="73"/>
      <c r="AF662" s="559"/>
    </row>
    <row r="663" spans="1:32" ht="15" customHeight="1">
      <c r="A663" s="134"/>
      <c r="D663" s="170" t="s">
        <v>405</v>
      </c>
      <c r="E663" s="124" t="s">
        <v>324</v>
      </c>
      <c r="F663" s="170" t="s">
        <v>406</v>
      </c>
      <c r="G663" s="170"/>
      <c r="H663" s="253"/>
      <c r="I663" s="170"/>
      <c r="J663" s="253"/>
      <c r="K663" s="170"/>
      <c r="L663" s="253"/>
      <c r="M663" s="170"/>
      <c r="N663" s="170"/>
      <c r="O663" s="170"/>
      <c r="P663" s="170"/>
      <c r="Q663" s="170"/>
      <c r="R663" s="170"/>
      <c r="S663" s="170"/>
      <c r="T663" s="170"/>
      <c r="U663" s="170"/>
      <c r="V663" s="170"/>
      <c r="W663" s="170"/>
      <c r="X663" s="170"/>
      <c r="Y663" s="253"/>
      <c r="Z663" s="170"/>
      <c r="AA663" s="170"/>
      <c r="AB663" s="143"/>
      <c r="AD663" s="559"/>
      <c r="AE663" s="73"/>
      <c r="AF663" s="559"/>
    </row>
    <row r="664" spans="1:32" ht="15" customHeight="1">
      <c r="A664" s="134"/>
      <c r="B664" s="170"/>
      <c r="C664" s="170"/>
      <c r="D664" s="170" t="s">
        <v>407</v>
      </c>
      <c r="E664" s="170"/>
      <c r="F664" s="253"/>
      <c r="G664" s="170"/>
      <c r="H664" s="253"/>
      <c r="I664" s="170"/>
      <c r="J664" s="253"/>
      <c r="K664" s="170"/>
      <c r="L664" s="253"/>
      <c r="M664" s="170"/>
      <c r="N664" s="170"/>
      <c r="O664" s="170"/>
      <c r="P664" s="170"/>
      <c r="Q664" s="170"/>
      <c r="R664" s="170"/>
      <c r="S664" s="170"/>
      <c r="T664" s="170"/>
      <c r="U664" s="170"/>
      <c r="V664" s="170"/>
      <c r="W664" s="170"/>
      <c r="X664" s="170"/>
      <c r="Y664" s="253"/>
      <c r="Z664" s="170"/>
      <c r="AA664" s="170"/>
      <c r="AB664" s="143"/>
      <c r="AE664" s="73"/>
    </row>
    <row r="665" spans="1:32" ht="15" customHeight="1">
      <c r="A665" s="134"/>
      <c r="B665" s="170"/>
      <c r="C665" s="170"/>
      <c r="D665" s="170"/>
      <c r="E665" s="170"/>
      <c r="F665" s="253"/>
      <c r="G665" s="170"/>
      <c r="H665" s="253"/>
      <c r="I665" s="170"/>
      <c r="J665" s="253"/>
      <c r="K665" s="170"/>
      <c r="L665" s="253"/>
      <c r="M665" s="170"/>
      <c r="N665" s="170"/>
      <c r="O665" s="170"/>
      <c r="P665" s="170"/>
      <c r="Q665" s="170"/>
      <c r="R665" s="170"/>
      <c r="S665" s="170"/>
      <c r="T665" s="170"/>
      <c r="U665" s="170"/>
      <c r="V665" s="170"/>
      <c r="W665" s="170"/>
      <c r="X665" s="170"/>
      <c r="Y665" s="253"/>
      <c r="Z665" s="170"/>
      <c r="AA665" s="170"/>
      <c r="AB665" s="143"/>
      <c r="AE665" s="73"/>
    </row>
    <row r="666" spans="1:32" ht="15" customHeight="1">
      <c r="C666" s="134" t="s">
        <v>32</v>
      </c>
      <c r="D666" s="143" t="s">
        <v>2148</v>
      </c>
      <c r="E666" s="136"/>
      <c r="F666" s="147"/>
      <c r="G666" s="136"/>
      <c r="H666" s="136"/>
      <c r="I666" s="136"/>
      <c r="J666" s="170"/>
      <c r="K666" s="170"/>
      <c r="L666" s="170"/>
      <c r="M666" s="170"/>
      <c r="N666" s="137" t="s">
        <v>725</v>
      </c>
      <c r="O666" s="170"/>
      <c r="Q666" s="170"/>
      <c r="R666" s="170"/>
      <c r="S666" s="170"/>
      <c r="Z666" s="143"/>
      <c r="AB666" s="143"/>
      <c r="AE666" s="73"/>
    </row>
    <row r="667" spans="1:32" ht="15" customHeight="1">
      <c r="C667" s="170"/>
      <c r="D667" s="148" t="s">
        <v>134</v>
      </c>
      <c r="E667" s="141"/>
      <c r="F667" s="148"/>
      <c r="G667" s="148"/>
      <c r="H667" s="141"/>
      <c r="I667" s="141"/>
      <c r="J667" s="148" t="s">
        <v>250</v>
      </c>
      <c r="K667" s="141"/>
      <c r="L667" s="141"/>
      <c r="M667" s="141"/>
      <c r="O667" s="170"/>
      <c r="P667" s="170"/>
      <c r="Q667" s="170"/>
      <c r="R667" s="170"/>
      <c r="S667" s="170"/>
      <c r="Z667" s="143"/>
      <c r="AB667" s="143"/>
      <c r="AE667" s="73"/>
    </row>
    <row r="668" spans="1:32" ht="15" customHeight="1">
      <c r="C668" s="134"/>
      <c r="D668" s="668" t="s">
        <v>1757</v>
      </c>
      <c r="E668" s="93"/>
      <c r="F668" s="93"/>
      <c r="G668" s="93"/>
      <c r="H668" s="93"/>
      <c r="I668" s="93"/>
      <c r="J668" s="94" t="s">
        <v>251</v>
      </c>
      <c r="K668" s="93"/>
      <c r="L668" s="93"/>
      <c r="M668" s="93"/>
      <c r="O668" s="170"/>
      <c r="P668" s="170"/>
      <c r="Q668" s="170"/>
      <c r="R668" s="170"/>
      <c r="S668" s="170"/>
      <c r="Z668" s="143"/>
      <c r="AB668" s="143"/>
      <c r="AE668" s="73"/>
    </row>
    <row r="669" spans="1:32" ht="15" customHeight="1">
      <c r="C669" s="170"/>
      <c r="D669" s="110" t="s">
        <v>1758</v>
      </c>
      <c r="E669" s="110"/>
      <c r="F669" s="111"/>
      <c r="G669" s="110"/>
      <c r="H669" s="110"/>
      <c r="I669" s="110"/>
      <c r="J669" s="110" t="s">
        <v>1760</v>
      </c>
      <c r="K669" s="110"/>
      <c r="L669" s="110"/>
      <c r="M669" s="110"/>
      <c r="O669" s="170"/>
      <c r="P669" s="170"/>
      <c r="Q669" s="170"/>
      <c r="R669" s="170"/>
      <c r="S669" s="170"/>
      <c r="Z669" s="143"/>
      <c r="AB669" s="143"/>
      <c r="AE669" s="73"/>
    </row>
    <row r="670" spans="1:32" ht="15" customHeight="1">
      <c r="C670" s="170"/>
      <c r="D670" s="669" t="s">
        <v>1759</v>
      </c>
      <c r="E670" s="145"/>
      <c r="F670" s="149"/>
      <c r="G670" s="145"/>
      <c r="H670" s="145"/>
      <c r="I670" s="145"/>
      <c r="J670" s="145" t="s">
        <v>1761</v>
      </c>
      <c r="K670" s="145"/>
      <c r="L670" s="145"/>
      <c r="M670" s="145"/>
      <c r="O670" s="170"/>
      <c r="P670" s="170"/>
      <c r="Q670" s="170"/>
      <c r="R670" s="170"/>
      <c r="S670" s="170"/>
      <c r="Z670" s="143"/>
      <c r="AB670" s="143"/>
      <c r="AE670" s="73"/>
    </row>
    <row r="671" spans="1:32" ht="15" customHeight="1">
      <c r="A671" s="170"/>
      <c r="B671" s="170"/>
      <c r="C671" s="170"/>
      <c r="D671" s="170"/>
      <c r="E671" s="170"/>
      <c r="F671" s="170"/>
      <c r="G671" s="100"/>
      <c r="H671" s="170"/>
      <c r="I671" s="170"/>
      <c r="J671" s="170"/>
      <c r="K671" s="170"/>
      <c r="L671" s="253"/>
      <c r="M671" s="170"/>
      <c r="N671" s="170"/>
      <c r="O671" s="170"/>
      <c r="P671" s="170"/>
      <c r="Q671" s="170"/>
      <c r="R671" s="170"/>
      <c r="S671" s="170"/>
      <c r="T671" s="170"/>
      <c r="U671" s="170"/>
      <c r="V671" s="170"/>
      <c r="W671" s="170"/>
      <c r="X671" s="170"/>
      <c r="Y671" s="253"/>
      <c r="Z671" s="170"/>
      <c r="AA671" s="170"/>
      <c r="AB671" s="143"/>
      <c r="AE671" s="73"/>
    </row>
    <row r="672" spans="1:32" ht="15" customHeight="1">
      <c r="C672" s="134" t="s">
        <v>32</v>
      </c>
      <c r="D672" s="145" t="s">
        <v>2147</v>
      </c>
      <c r="E672" s="145"/>
      <c r="F672" s="145"/>
      <c r="G672" s="145"/>
      <c r="H672" s="145"/>
      <c r="I672" s="145"/>
      <c r="J672" s="145"/>
      <c r="K672" s="145"/>
      <c r="L672" s="145"/>
      <c r="M672" s="145"/>
      <c r="N672" s="254"/>
      <c r="O672" s="170"/>
      <c r="P672" s="170"/>
      <c r="Q672" s="170"/>
      <c r="R672" s="170"/>
      <c r="S672" s="170"/>
      <c r="T672" s="170"/>
      <c r="U672" s="170"/>
      <c r="V672" s="170"/>
      <c r="W672" s="170"/>
      <c r="X672" s="170"/>
      <c r="Y672" s="170"/>
      <c r="Z672" s="170"/>
      <c r="AA672" s="170"/>
      <c r="AB672" s="143"/>
      <c r="AD672" s="559"/>
      <c r="AE672" s="73"/>
      <c r="AF672" s="559"/>
    </row>
    <row r="673" spans="1:43" ht="15" customHeight="1">
      <c r="C673" s="170"/>
      <c r="D673" s="148" t="s">
        <v>134</v>
      </c>
      <c r="E673" s="148"/>
      <c r="F673" s="141"/>
      <c r="G673" s="141"/>
      <c r="H673" s="148" t="s">
        <v>129</v>
      </c>
      <c r="I673" s="141"/>
      <c r="J673" s="141"/>
      <c r="K673" s="141"/>
      <c r="L673" s="141" t="s">
        <v>252</v>
      </c>
      <c r="M673" s="141"/>
      <c r="N673" s="141"/>
      <c r="O673" s="170"/>
      <c r="P673" s="170"/>
      <c r="Q673" s="170"/>
      <c r="R673" s="170"/>
      <c r="S673" s="170"/>
      <c r="T673" s="170"/>
      <c r="U673" s="170"/>
      <c r="V673" s="170"/>
      <c r="W673" s="170"/>
      <c r="X673" s="170"/>
      <c r="Y673" s="170"/>
      <c r="Z673" s="170"/>
      <c r="AB673" s="143"/>
      <c r="AC673" s="559"/>
      <c r="AQ673" s="143"/>
    </row>
    <row r="674" spans="1:43" ht="15" customHeight="1">
      <c r="C674" s="170"/>
      <c r="D674" s="146" t="s">
        <v>253</v>
      </c>
      <c r="E674" s="146"/>
      <c r="F674" s="146"/>
      <c r="G674" s="146"/>
      <c r="H674" s="113">
        <v>4</v>
      </c>
      <c r="I674" s="146"/>
      <c r="J674" s="146"/>
      <c r="K674" s="146"/>
      <c r="L674" s="630">
        <v>5.34</v>
      </c>
      <c r="M674" s="146"/>
      <c r="N674" s="146"/>
      <c r="O674" s="170"/>
      <c r="P674" s="170"/>
      <c r="Q674" s="170"/>
      <c r="R674" s="170"/>
      <c r="S674" s="170"/>
      <c r="T674" s="170"/>
      <c r="U674" s="170"/>
      <c r="V674" s="170"/>
      <c r="W674" s="170"/>
      <c r="X674" s="170"/>
      <c r="Y674" s="170"/>
      <c r="Z674" s="170"/>
      <c r="AB674" s="143"/>
      <c r="AC674" s="559"/>
      <c r="AQ674" s="143"/>
    </row>
    <row r="675" spans="1:43" ht="15" customHeight="1">
      <c r="C675" s="170"/>
      <c r="D675" s="170"/>
      <c r="E675" s="115"/>
      <c r="F675" s="170" t="s">
        <v>214</v>
      </c>
      <c r="G675" s="170"/>
      <c r="H675" s="170" t="s">
        <v>254</v>
      </c>
      <c r="I675" s="170"/>
      <c r="J675" s="170"/>
      <c r="K675" s="257"/>
      <c r="L675" s="143"/>
      <c r="O675" s="170"/>
      <c r="P675" s="170"/>
      <c r="Q675" s="170"/>
      <c r="R675" s="170"/>
      <c r="S675" s="170"/>
      <c r="T675" s="170"/>
      <c r="U675" s="170"/>
      <c r="V675" s="170"/>
      <c r="W675" s="170"/>
      <c r="X675" s="170"/>
      <c r="Y675" s="170"/>
      <c r="Z675" s="170"/>
      <c r="AB675" s="143"/>
      <c r="AC675" s="559"/>
      <c r="AQ675" s="143"/>
    </row>
    <row r="676" spans="1:43" ht="15" customHeight="1">
      <c r="C676" s="170"/>
      <c r="D676" s="115" t="s">
        <v>255</v>
      </c>
      <c r="E676" s="115"/>
      <c r="F676" s="170"/>
      <c r="G676" s="170"/>
      <c r="H676" s="170"/>
      <c r="I676" s="170"/>
      <c r="J676" s="170"/>
      <c r="K676" s="257"/>
      <c r="L676" s="143"/>
      <c r="O676" s="170"/>
      <c r="P676" s="170"/>
      <c r="Q676" s="170"/>
      <c r="R676" s="170"/>
      <c r="S676" s="170"/>
      <c r="T676" s="170"/>
      <c r="U676" s="170"/>
      <c r="V676" s="170"/>
      <c r="W676" s="170"/>
      <c r="X676" s="170"/>
      <c r="Y676" s="170"/>
      <c r="Z676" s="170"/>
      <c r="AB676" s="143"/>
      <c r="AC676" s="559"/>
      <c r="AQ676" s="143"/>
    </row>
    <row r="677" spans="1:43" ht="15" customHeight="1">
      <c r="C677" s="134"/>
      <c r="D677" s="115"/>
      <c r="E677" s="115"/>
      <c r="F677" s="170" t="s">
        <v>256</v>
      </c>
      <c r="G677" s="170"/>
      <c r="H677" s="170" t="s">
        <v>257</v>
      </c>
      <c r="I677" s="170"/>
      <c r="J677" s="170"/>
      <c r="K677" s="257"/>
      <c r="L677" s="143"/>
      <c r="O677" s="170"/>
      <c r="P677" s="170"/>
      <c r="Q677" s="170"/>
      <c r="R677" s="170"/>
      <c r="S677" s="170"/>
      <c r="T677" s="170"/>
      <c r="U677" s="170"/>
      <c r="V677" s="170"/>
      <c r="W677" s="170"/>
      <c r="X677" s="170"/>
      <c r="Y677" s="170"/>
      <c r="Z677" s="170"/>
      <c r="AB677" s="143"/>
      <c r="AC677" s="559"/>
      <c r="AQ677" s="143"/>
    </row>
    <row r="678" spans="1:43" ht="15" customHeight="1">
      <c r="C678" s="170"/>
      <c r="D678" s="112"/>
      <c r="E678" s="112"/>
      <c r="F678" s="145"/>
      <c r="G678" s="145"/>
      <c r="H678" s="145"/>
      <c r="I678" s="145"/>
      <c r="J678" s="145"/>
      <c r="K678" s="617"/>
      <c r="L678" s="145"/>
      <c r="M678" s="145"/>
      <c r="N678" s="145"/>
      <c r="O678" s="170"/>
      <c r="P678" s="170"/>
      <c r="Q678" s="170"/>
      <c r="R678" s="170"/>
      <c r="S678" s="170"/>
      <c r="T678" s="170"/>
      <c r="U678" s="170"/>
      <c r="V678" s="170"/>
      <c r="W678" s="170"/>
      <c r="X678" s="170"/>
      <c r="Y678" s="170"/>
      <c r="Z678" s="170"/>
      <c r="AB678" s="143"/>
      <c r="AC678" s="559"/>
      <c r="AQ678" s="143"/>
    </row>
    <row r="679" spans="1:43" ht="15" customHeight="1">
      <c r="A679" s="170"/>
      <c r="D679" s="115" t="s">
        <v>126</v>
      </c>
      <c r="E679" s="170"/>
      <c r="F679" s="170"/>
      <c r="G679" s="100"/>
      <c r="H679" s="170"/>
      <c r="I679" s="170"/>
      <c r="K679" s="170"/>
      <c r="L679" s="253"/>
      <c r="M679" s="170"/>
      <c r="N679" s="170"/>
      <c r="O679" s="170"/>
      <c r="P679" s="170"/>
      <c r="Q679" s="170"/>
      <c r="R679" s="170"/>
      <c r="S679" s="170"/>
      <c r="T679" s="170"/>
      <c r="U679" s="170"/>
      <c r="V679" s="170"/>
      <c r="W679" s="170"/>
      <c r="X679" s="170"/>
      <c r="Y679" s="253"/>
      <c r="Z679" s="170"/>
      <c r="AA679" s="170"/>
    </row>
    <row r="680" spans="1:43" ht="15" customHeight="1">
      <c r="A680" s="170"/>
      <c r="D680" s="255" t="s">
        <v>127</v>
      </c>
      <c r="E680" s="170"/>
      <c r="F680" s="170"/>
      <c r="G680" s="100"/>
      <c r="H680" s="170"/>
      <c r="I680" s="170"/>
      <c r="J680" s="170"/>
      <c r="K680" s="170"/>
      <c r="L680" s="253"/>
      <c r="M680" s="170"/>
      <c r="N680" s="170"/>
      <c r="O680" s="170"/>
      <c r="P680" s="170"/>
      <c r="Q680" s="170"/>
      <c r="R680" s="170"/>
      <c r="S680" s="170"/>
      <c r="T680" s="170"/>
      <c r="U680" s="170"/>
      <c r="V680" s="170"/>
      <c r="W680" s="170"/>
      <c r="X680" s="170"/>
      <c r="Y680" s="253"/>
      <c r="Z680" s="170"/>
      <c r="AA680" s="170"/>
    </row>
    <row r="681" spans="1:43" ht="15" customHeight="1">
      <c r="A681" s="73"/>
      <c r="C681" s="147"/>
      <c r="D681" s="170" t="s">
        <v>123</v>
      </c>
      <c r="E681" s="135"/>
      <c r="F681" s="135"/>
      <c r="G681" s="4"/>
      <c r="H681" s="4"/>
      <c r="I681" s="4"/>
      <c r="O681" s="52"/>
      <c r="Z681" s="249"/>
    </row>
    <row r="682" spans="1:43" ht="15" customHeight="1">
      <c r="A682" s="73"/>
      <c r="C682" s="147"/>
      <c r="D682" s="170" t="s">
        <v>454</v>
      </c>
      <c r="E682" s="135"/>
      <c r="F682" s="135"/>
      <c r="G682" s="4"/>
      <c r="H682" s="4"/>
      <c r="I682" s="4"/>
      <c r="O682" s="52"/>
      <c r="Z682" s="249"/>
    </row>
    <row r="683" spans="1:43" ht="15" customHeight="1">
      <c r="A683" s="73"/>
      <c r="C683" s="147"/>
      <c r="D683" s="170" t="s">
        <v>1762</v>
      </c>
      <c r="E683" s="135"/>
      <c r="F683" s="135"/>
      <c r="G683" s="4"/>
      <c r="H683" s="4"/>
      <c r="I683" s="4"/>
      <c r="L683" s="326"/>
      <c r="O683" s="52"/>
      <c r="Z683" s="249"/>
      <c r="AB683" s="326"/>
    </row>
    <row r="684" spans="1:43" ht="15" customHeight="1">
      <c r="A684" s="73"/>
      <c r="C684" s="147"/>
      <c r="D684" s="170" t="s">
        <v>1763</v>
      </c>
      <c r="E684" s="135"/>
      <c r="F684" s="135"/>
      <c r="G684" s="4"/>
      <c r="H684" s="4"/>
      <c r="I684" s="4"/>
      <c r="L684" s="302"/>
      <c r="O684" s="52"/>
      <c r="Z684" s="249"/>
      <c r="AB684" s="302"/>
    </row>
    <row r="685" spans="1:43" ht="15" customHeight="1">
      <c r="A685" s="73"/>
      <c r="C685" s="147"/>
      <c r="D685" s="170"/>
      <c r="E685" s="135"/>
      <c r="F685" s="135"/>
      <c r="G685" s="4"/>
      <c r="H685" s="4"/>
      <c r="I685" s="4"/>
      <c r="L685" s="302"/>
      <c r="O685" s="52"/>
      <c r="Z685" s="249"/>
      <c r="AB685" s="302"/>
    </row>
    <row r="686" spans="1:43" ht="15" customHeight="1">
      <c r="A686" s="73"/>
      <c r="C686" s="147"/>
      <c r="D686" s="170"/>
      <c r="E686" s="135"/>
      <c r="F686" s="135"/>
      <c r="G686" s="4"/>
      <c r="H686" s="4"/>
      <c r="I686" s="4"/>
      <c r="L686" s="302"/>
      <c r="O686" s="52"/>
      <c r="Z686" s="249"/>
      <c r="AB686" s="302"/>
    </row>
    <row r="687" spans="1:43" ht="15" customHeight="1">
      <c r="A687" s="73"/>
      <c r="C687" s="147"/>
      <c r="D687" s="170"/>
      <c r="E687" s="135"/>
      <c r="F687" s="135"/>
      <c r="G687" s="4"/>
      <c r="H687" s="4"/>
      <c r="I687" s="4"/>
      <c r="L687" s="302"/>
      <c r="O687" s="52"/>
      <c r="Z687" s="249"/>
      <c r="AB687" s="302"/>
    </row>
    <row r="688" spans="1:43" ht="15" customHeight="1">
      <c r="A688" s="73"/>
      <c r="C688" s="147"/>
      <c r="D688" s="170"/>
      <c r="E688" s="135"/>
      <c r="F688" s="135"/>
      <c r="G688" s="4"/>
      <c r="H688" s="4"/>
      <c r="I688" s="4"/>
      <c r="L688" s="302"/>
      <c r="O688" s="52"/>
      <c r="Z688" s="249"/>
      <c r="AB688" s="302"/>
    </row>
    <row r="689" spans="1:28" ht="15" customHeight="1">
      <c r="A689" s="73"/>
      <c r="C689" s="147"/>
      <c r="D689" s="170"/>
      <c r="E689" s="135"/>
      <c r="F689" s="135"/>
      <c r="G689" s="4"/>
      <c r="H689" s="4"/>
      <c r="I689" s="4"/>
      <c r="L689" s="302"/>
      <c r="O689" s="52"/>
      <c r="Z689" s="249"/>
      <c r="AB689" s="302"/>
    </row>
    <row r="690" spans="1:28" ht="15" customHeight="1">
      <c r="A690" s="73"/>
      <c r="C690" s="147"/>
      <c r="D690" s="170"/>
      <c r="E690" s="135"/>
      <c r="F690" s="135"/>
      <c r="G690" s="4"/>
      <c r="H690" s="4"/>
      <c r="I690" s="4"/>
      <c r="L690" s="302"/>
      <c r="O690" s="52"/>
      <c r="Z690" s="249"/>
      <c r="AB690" s="302"/>
    </row>
    <row r="691" spans="1:28" ht="15" customHeight="1">
      <c r="A691" s="73"/>
      <c r="C691" s="147"/>
      <c r="D691" s="170"/>
      <c r="E691" s="135"/>
      <c r="F691" s="135"/>
      <c r="G691" s="4"/>
      <c r="H691" s="4"/>
      <c r="I691" s="4"/>
      <c r="L691" s="302"/>
      <c r="O691" s="52"/>
      <c r="Z691" s="249"/>
      <c r="AB691" s="302"/>
    </row>
    <row r="692" spans="1:28" ht="15" customHeight="1">
      <c r="A692" s="73"/>
      <c r="C692" s="147"/>
      <c r="D692" s="170"/>
      <c r="E692" s="135"/>
      <c r="F692" s="135"/>
      <c r="G692" s="4"/>
      <c r="H692" s="4"/>
      <c r="I692" s="4"/>
      <c r="O692" s="52"/>
      <c r="Z692" s="249"/>
    </row>
    <row r="693" spans="1:28" ht="15" customHeight="1">
      <c r="A693" s="73"/>
      <c r="B693" s="97" t="s">
        <v>756</v>
      </c>
      <c r="C693" s="147"/>
      <c r="D693" s="170"/>
      <c r="E693" s="135"/>
      <c r="F693" s="135"/>
      <c r="G693" s="4"/>
      <c r="H693" s="4"/>
      <c r="I693" s="4"/>
      <c r="N693" s="137" t="s">
        <v>771</v>
      </c>
      <c r="O693" s="52"/>
      <c r="Z693" s="249"/>
    </row>
    <row r="694" spans="1:28" ht="15" customHeight="1">
      <c r="A694" s="73"/>
      <c r="B694" s="97"/>
      <c r="C694" s="143" t="s">
        <v>757</v>
      </c>
      <c r="D694" s="170"/>
      <c r="E694" s="135"/>
      <c r="F694" s="135"/>
      <c r="G694" s="4"/>
      <c r="H694" s="4"/>
      <c r="I694" s="4"/>
      <c r="L694" s="302"/>
      <c r="O694" s="52"/>
      <c r="Z694" s="249"/>
      <c r="AB694" s="302"/>
    </row>
    <row r="695" spans="1:28" ht="15" customHeight="1">
      <c r="A695" s="73"/>
      <c r="C695" s="148" t="s">
        <v>134</v>
      </c>
      <c r="D695" s="148"/>
      <c r="E695" s="245"/>
      <c r="F695" s="148"/>
      <c r="G695" s="148"/>
      <c r="H695" s="148" t="s">
        <v>455</v>
      </c>
      <c r="I695" s="245"/>
      <c r="J695" s="245"/>
      <c r="K695" s="245"/>
      <c r="L695" s="245"/>
      <c r="M695" s="245"/>
      <c r="Z695" s="249"/>
    </row>
    <row r="696" spans="1:28" ht="15" customHeight="1">
      <c r="A696" s="73"/>
      <c r="C696" s="170" t="s">
        <v>456</v>
      </c>
      <c r="D696" s="170"/>
      <c r="E696" s="100"/>
      <c r="F696" s="170"/>
      <c r="G696" s="170"/>
      <c r="H696" s="170" t="s">
        <v>457</v>
      </c>
      <c r="I696" s="100"/>
      <c r="J696" s="100"/>
      <c r="K696" s="100"/>
      <c r="L696" s="100"/>
      <c r="M696" s="100"/>
      <c r="Z696" s="249"/>
    </row>
    <row r="697" spans="1:28" ht="15" customHeight="1">
      <c r="A697" s="73"/>
      <c r="C697" s="145" t="s">
        <v>136</v>
      </c>
      <c r="D697" s="145"/>
      <c r="E697" s="114"/>
      <c r="F697" s="145"/>
      <c r="G697" s="145"/>
      <c r="H697" s="145" t="s">
        <v>458</v>
      </c>
      <c r="I697" s="114"/>
      <c r="J697" s="114"/>
      <c r="K697" s="114"/>
      <c r="L697" s="114"/>
      <c r="M697" s="114"/>
      <c r="Z697" s="249"/>
    </row>
    <row r="698" spans="1:28" ht="15" customHeight="1">
      <c r="A698" s="73"/>
      <c r="C698" s="170"/>
      <c r="D698" s="170"/>
      <c r="E698" s="100"/>
      <c r="F698" s="170"/>
      <c r="G698" s="170"/>
      <c r="H698" s="170"/>
      <c r="I698" s="100"/>
      <c r="J698" s="100"/>
      <c r="K698" s="100"/>
      <c r="L698" s="100"/>
      <c r="M698" s="100"/>
      <c r="Z698" s="249"/>
      <c r="AB698" s="302"/>
    </row>
    <row r="699" spans="1:28" ht="15" customHeight="1">
      <c r="A699" s="73"/>
      <c r="B699" s="97"/>
      <c r="C699" s="143" t="s">
        <v>758</v>
      </c>
      <c r="D699" s="170"/>
      <c r="E699" s="135"/>
      <c r="F699" s="135"/>
      <c r="G699" s="135"/>
      <c r="H699" s="302"/>
      <c r="K699" s="52"/>
      <c r="L699" s="143"/>
      <c r="Z699" s="249"/>
      <c r="AB699" s="302"/>
    </row>
    <row r="700" spans="1:28" ht="15" customHeight="1">
      <c r="A700" s="73"/>
      <c r="C700" s="148" t="s">
        <v>134</v>
      </c>
      <c r="D700" s="148"/>
      <c r="E700" s="245"/>
      <c r="F700" s="148"/>
      <c r="G700" s="148"/>
      <c r="H700" s="148" t="s">
        <v>455</v>
      </c>
      <c r="I700" s="245"/>
      <c r="J700" s="245"/>
      <c r="K700" s="245"/>
      <c r="L700" s="245"/>
      <c r="M700" s="245"/>
      <c r="Z700" s="249"/>
      <c r="AB700" s="302"/>
    </row>
    <row r="701" spans="1:28" ht="15" customHeight="1">
      <c r="A701" s="73"/>
      <c r="C701" s="170" t="s">
        <v>456</v>
      </c>
      <c r="D701" s="170"/>
      <c r="E701" s="100"/>
      <c r="F701" s="170"/>
      <c r="G701" s="170"/>
      <c r="H701" s="170" t="s">
        <v>457</v>
      </c>
      <c r="I701" s="100"/>
      <c r="J701" s="100"/>
      <c r="K701" s="100"/>
      <c r="L701" s="100"/>
      <c r="M701" s="100"/>
      <c r="Z701" s="249"/>
      <c r="AB701" s="302"/>
    </row>
    <row r="702" spans="1:28" ht="15" customHeight="1">
      <c r="A702" s="73"/>
      <c r="C702" s="170" t="s">
        <v>759</v>
      </c>
      <c r="D702" s="170"/>
      <c r="E702" s="100"/>
      <c r="F702" s="170"/>
      <c r="G702" s="170"/>
      <c r="H702" s="170" t="s">
        <v>760</v>
      </c>
      <c r="I702" s="100"/>
      <c r="J702" s="100"/>
      <c r="K702" s="100"/>
      <c r="L702" s="100"/>
      <c r="M702" s="100"/>
      <c r="Z702" s="249"/>
      <c r="AB702" s="302"/>
    </row>
    <row r="703" spans="1:28" ht="15" customHeight="1">
      <c r="A703" s="73"/>
      <c r="C703" s="145" t="s">
        <v>136</v>
      </c>
      <c r="D703" s="145"/>
      <c r="E703" s="114"/>
      <c r="F703" s="145"/>
      <c r="G703" s="145"/>
      <c r="H703" s="145" t="s">
        <v>761</v>
      </c>
      <c r="I703" s="114"/>
      <c r="J703" s="114"/>
      <c r="K703" s="114"/>
      <c r="L703" s="114"/>
      <c r="M703" s="114"/>
      <c r="Z703" s="249"/>
      <c r="AB703" s="302"/>
    </row>
    <row r="704" spans="1:28" ht="15" customHeight="1">
      <c r="A704" s="73"/>
      <c r="C704" s="96"/>
      <c r="D704" s="170"/>
      <c r="E704" s="170"/>
      <c r="F704" s="170"/>
      <c r="G704" s="170"/>
      <c r="H704" s="100"/>
      <c r="I704" s="4"/>
      <c r="O704" s="52"/>
      <c r="Z704" s="249"/>
    </row>
    <row r="705" spans="1:31" ht="15" customHeight="1">
      <c r="C705" s="143" t="s">
        <v>762</v>
      </c>
      <c r="L705" s="143"/>
      <c r="Z705" s="143"/>
      <c r="AB705" s="143"/>
      <c r="AE705" s="73"/>
    </row>
    <row r="706" spans="1:31" ht="15" customHeight="1">
      <c r="C706" s="143" t="s">
        <v>763</v>
      </c>
      <c r="L706" s="143"/>
      <c r="Z706" s="143"/>
      <c r="AB706" s="143"/>
      <c r="AE706" s="73"/>
    </row>
    <row r="707" spans="1:31" ht="15" customHeight="1">
      <c r="L707" s="143"/>
      <c r="Z707" s="143"/>
      <c r="AB707" s="143"/>
      <c r="AE707" s="73"/>
    </row>
    <row r="708" spans="1:31" ht="15" customHeight="1">
      <c r="C708" s="143" t="s">
        <v>764</v>
      </c>
      <c r="L708" s="143"/>
      <c r="Z708" s="143"/>
      <c r="AB708" s="143"/>
      <c r="AE708" s="73"/>
    </row>
    <row r="709" spans="1:31" ht="15" customHeight="1">
      <c r="A709" s="73"/>
      <c r="C709" s="170" t="s">
        <v>765</v>
      </c>
      <c r="D709" s="124" t="s">
        <v>766</v>
      </c>
      <c r="E709" s="170" t="s">
        <v>1244</v>
      </c>
      <c r="H709" s="100"/>
      <c r="I709" s="4"/>
      <c r="O709" s="52"/>
      <c r="Z709" s="249"/>
    </row>
    <row r="710" spans="1:31" ht="15" customHeight="1">
      <c r="A710" s="73"/>
      <c r="C710" s="170" t="s">
        <v>740</v>
      </c>
      <c r="D710" s="124" t="s">
        <v>766</v>
      </c>
      <c r="E710" s="170" t="s">
        <v>1246</v>
      </c>
      <c r="G710" s="170"/>
      <c r="H710" s="100"/>
      <c r="I710" s="4"/>
      <c r="L710" s="302"/>
      <c r="O710" s="52"/>
      <c r="Z710" s="249"/>
      <c r="AB710" s="302"/>
    </row>
    <row r="711" spans="1:31" ht="15" customHeight="1">
      <c r="A711" s="73"/>
      <c r="C711" s="170" t="s">
        <v>767</v>
      </c>
      <c r="D711" s="124" t="s">
        <v>766</v>
      </c>
      <c r="E711" s="170" t="s">
        <v>768</v>
      </c>
      <c r="G711" s="170"/>
      <c r="H711" s="100"/>
      <c r="I711" s="4"/>
      <c r="O711" s="52"/>
      <c r="Z711" s="249"/>
    </row>
    <row r="712" spans="1:31" ht="15" customHeight="1">
      <c r="A712" s="73"/>
      <c r="C712" s="170" t="s">
        <v>769</v>
      </c>
      <c r="D712" s="124" t="s">
        <v>770</v>
      </c>
      <c r="E712" s="170" t="s">
        <v>1247</v>
      </c>
      <c r="G712" s="170"/>
      <c r="H712" s="100"/>
      <c r="I712" s="4"/>
      <c r="O712" s="52"/>
      <c r="Z712" s="249"/>
    </row>
    <row r="713" spans="1:31" ht="15" customHeight="1">
      <c r="A713" s="73"/>
      <c r="C713" s="147"/>
      <c r="D713" s="170"/>
      <c r="E713" s="135"/>
      <c r="F713" s="135"/>
      <c r="G713" s="4"/>
      <c r="H713" s="4"/>
      <c r="I713" s="4"/>
      <c r="O713" s="52"/>
      <c r="Z713" s="249"/>
    </row>
    <row r="714" spans="1:31" ht="15" customHeight="1">
      <c r="A714" s="73"/>
      <c r="B714" s="97" t="s">
        <v>459</v>
      </c>
      <c r="G714" s="135"/>
      <c r="H714" s="135"/>
      <c r="J714" s="135"/>
      <c r="K714" s="135"/>
      <c r="L714" s="143"/>
      <c r="N714" s="257"/>
      <c r="Z714" s="249"/>
    </row>
    <row r="715" spans="1:31" ht="15" customHeight="1">
      <c r="A715" s="73"/>
      <c r="E715" s="135"/>
      <c r="F715" s="135"/>
      <c r="G715" s="135"/>
      <c r="H715" s="135"/>
      <c r="J715" s="135"/>
      <c r="K715" s="135"/>
      <c r="L715" s="143"/>
      <c r="N715" s="257"/>
      <c r="Z715" s="249"/>
    </row>
    <row r="716" spans="1:31" ht="15" customHeight="1">
      <c r="A716" s="73"/>
      <c r="C716" s="148" t="s">
        <v>134</v>
      </c>
      <c r="D716" s="148"/>
      <c r="E716" s="148"/>
      <c r="F716" s="148"/>
      <c r="G716" s="148"/>
      <c r="H716" s="148"/>
      <c r="I716" s="148"/>
      <c r="J716" s="148" t="s">
        <v>285</v>
      </c>
      <c r="K716" s="148"/>
      <c r="L716" s="148"/>
      <c r="Z716" s="249"/>
    </row>
    <row r="717" spans="1:31" ht="15" customHeight="1">
      <c r="A717" s="73"/>
      <c r="C717" s="146" t="s">
        <v>286</v>
      </c>
      <c r="D717" s="146"/>
      <c r="E717" s="146"/>
      <c r="F717" s="146"/>
      <c r="G717" s="146"/>
      <c r="H717" s="146"/>
      <c r="I717" s="146"/>
      <c r="J717" s="146" t="s">
        <v>1764</v>
      </c>
      <c r="K717" s="146"/>
      <c r="L717" s="146"/>
      <c r="N717" s="137" t="s">
        <v>772</v>
      </c>
      <c r="Z717" s="249"/>
    </row>
    <row r="718" spans="1:31" ht="15" customHeight="1">
      <c r="A718" s="73"/>
      <c r="C718" s="1937" t="s">
        <v>287</v>
      </c>
      <c r="D718" s="1937"/>
      <c r="E718" s="1937"/>
      <c r="F718" s="170" t="s">
        <v>272</v>
      </c>
      <c r="G718" s="170"/>
      <c r="H718" s="170"/>
      <c r="I718" s="170"/>
      <c r="J718" s="170" t="s">
        <v>288</v>
      </c>
      <c r="K718" s="170"/>
      <c r="L718" s="170"/>
      <c r="N718" s="137" t="s">
        <v>773</v>
      </c>
      <c r="Z718" s="249"/>
    </row>
    <row r="719" spans="1:31" ht="15" customHeight="1">
      <c r="A719" s="73"/>
      <c r="C719" s="1939"/>
      <c r="D719" s="1939"/>
      <c r="E719" s="1939"/>
      <c r="F719" s="145" t="s">
        <v>274</v>
      </c>
      <c r="G719" s="145"/>
      <c r="H719" s="145"/>
      <c r="I719" s="145"/>
      <c r="J719" s="145" t="s">
        <v>1764</v>
      </c>
      <c r="K719" s="145"/>
      <c r="L719" s="145"/>
      <c r="Z719" s="249"/>
    </row>
    <row r="720" spans="1:31" ht="15" customHeight="1">
      <c r="A720" s="73"/>
      <c r="C720" s="303"/>
      <c r="D720" s="303"/>
      <c r="E720" s="303"/>
      <c r="F720" s="303"/>
      <c r="G720" s="303"/>
      <c r="H720" s="170"/>
      <c r="I720" s="170"/>
      <c r="J720" s="170"/>
      <c r="K720" s="170"/>
      <c r="L720" s="170"/>
      <c r="M720" s="170"/>
      <c r="Z720" s="249"/>
      <c r="AB720" s="302"/>
    </row>
    <row r="721" spans="1:43" ht="15" customHeight="1">
      <c r="A721" s="73"/>
      <c r="C721" s="277"/>
      <c r="D721" s="277"/>
      <c r="E721" s="277"/>
      <c r="F721" s="277"/>
      <c r="G721" s="277"/>
      <c r="H721" s="170"/>
      <c r="I721" s="170"/>
      <c r="J721" s="170"/>
      <c r="K721" s="170"/>
      <c r="L721" s="170"/>
      <c r="M721" s="170"/>
      <c r="N721" s="170"/>
      <c r="P721" s="170"/>
      <c r="Z721" s="249"/>
      <c r="AB721" s="278"/>
    </row>
    <row r="722" spans="1:43" ht="15" customHeight="1">
      <c r="A722" s="279"/>
      <c r="B722" s="207" t="s">
        <v>800</v>
      </c>
      <c r="C722" s="147"/>
      <c r="D722" s="73"/>
      <c r="E722" s="122"/>
      <c r="F722" s="122"/>
      <c r="G722" s="242"/>
      <c r="H722" s="221"/>
      <c r="I722" s="243"/>
      <c r="J722" s="243"/>
      <c r="K722" s="243"/>
      <c r="L722" s="243"/>
      <c r="N722" s="137" t="s">
        <v>783</v>
      </c>
      <c r="Q722" s="243"/>
      <c r="R722" s="243"/>
      <c r="S722" s="243"/>
      <c r="T722" s="243"/>
      <c r="U722" s="243"/>
      <c r="V722" s="243"/>
      <c r="W722" s="243"/>
      <c r="X722" s="243"/>
      <c r="Y722" s="243"/>
      <c r="Z722" s="243"/>
      <c r="AB722" s="119"/>
      <c r="AC722" s="119"/>
      <c r="AD722" s="614"/>
      <c r="AL722" s="122"/>
      <c r="AM722" s="122"/>
      <c r="AN722" s="122"/>
      <c r="AO722" s="122"/>
      <c r="AP722" s="122"/>
      <c r="AQ722" s="122"/>
    </row>
    <row r="723" spans="1:43" ht="15" customHeight="1">
      <c r="A723" s="279"/>
      <c r="B723" s="279"/>
      <c r="C723" s="147"/>
      <c r="D723" s="73"/>
      <c r="E723" s="122"/>
      <c r="F723" s="122"/>
      <c r="G723" s="242"/>
      <c r="H723" s="221"/>
      <c r="I723" s="243"/>
      <c r="J723" s="243"/>
      <c r="K723" s="243"/>
      <c r="L723" s="243"/>
      <c r="N723" s="243"/>
      <c r="O723" s="244"/>
      <c r="P723" s="244"/>
      <c r="Q723" s="243"/>
      <c r="R723" s="243"/>
      <c r="S723" s="243"/>
      <c r="T723" s="243"/>
      <c r="U723" s="243"/>
      <c r="V723" s="243"/>
      <c r="W723" s="243"/>
      <c r="X723" s="243"/>
      <c r="Y723" s="243"/>
      <c r="Z723" s="243"/>
      <c r="AB723" s="119"/>
      <c r="AC723" s="119"/>
      <c r="AD723" s="614"/>
      <c r="AL723" s="122"/>
      <c r="AM723" s="122"/>
      <c r="AN723" s="122"/>
      <c r="AO723" s="122"/>
      <c r="AP723" s="122"/>
      <c r="AQ723" s="122"/>
    </row>
    <row r="724" spans="1:43" ht="15" customHeight="1">
      <c r="A724" s="279"/>
      <c r="B724" s="279"/>
      <c r="C724" s="147"/>
      <c r="D724" s="73"/>
      <c r="E724" s="122"/>
      <c r="F724" s="122"/>
      <c r="G724" s="242"/>
      <c r="H724" s="221"/>
      <c r="I724" s="243"/>
      <c r="J724" s="243"/>
      <c r="K724" s="243"/>
      <c r="L724" s="243"/>
      <c r="N724" s="243"/>
      <c r="O724" s="244"/>
      <c r="P724" s="244"/>
      <c r="Q724" s="243"/>
      <c r="R724" s="243"/>
      <c r="S724" s="243"/>
      <c r="T724" s="243"/>
      <c r="U724" s="243"/>
      <c r="V724" s="243"/>
      <c r="W724" s="243"/>
      <c r="X724" s="243"/>
      <c r="Y724" s="243"/>
      <c r="Z724" s="243"/>
      <c r="AB724" s="119"/>
      <c r="AC724" s="119"/>
      <c r="AD724" s="614"/>
      <c r="AL724" s="122"/>
      <c r="AM724" s="122"/>
      <c r="AN724" s="122"/>
      <c r="AO724" s="122"/>
      <c r="AP724" s="122"/>
      <c r="AQ724" s="122"/>
    </row>
    <row r="725" spans="1:43" ht="15" customHeight="1">
      <c r="A725" s="279"/>
      <c r="B725" s="279"/>
      <c r="C725" s="147"/>
      <c r="D725" s="73"/>
      <c r="E725" s="122"/>
      <c r="F725" s="122"/>
      <c r="G725" s="242"/>
      <c r="H725" s="221"/>
      <c r="I725" s="243"/>
      <c r="J725" s="243"/>
      <c r="K725" s="243"/>
      <c r="L725" s="243"/>
      <c r="N725" s="243"/>
      <c r="O725" s="244"/>
      <c r="P725" s="244"/>
      <c r="Q725" s="243"/>
      <c r="R725" s="243"/>
      <c r="S725" s="243"/>
      <c r="T725" s="243"/>
      <c r="U725" s="243"/>
      <c r="V725" s="243"/>
      <c r="W725" s="243"/>
      <c r="X725" s="243"/>
      <c r="Y725" s="243"/>
      <c r="Z725" s="243"/>
      <c r="AB725" s="119"/>
      <c r="AC725" s="119"/>
      <c r="AD725" s="614"/>
      <c r="AL725" s="122"/>
      <c r="AM725" s="122"/>
      <c r="AN725" s="122"/>
      <c r="AO725" s="122"/>
      <c r="AP725" s="122"/>
      <c r="AQ725" s="122"/>
    </row>
    <row r="726" spans="1:43" ht="15" customHeight="1">
      <c r="A726" s="279"/>
      <c r="B726" s="279"/>
      <c r="C726" s="147"/>
      <c r="D726" s="73"/>
      <c r="E726" s="122"/>
      <c r="F726" s="122"/>
      <c r="G726" s="242"/>
      <c r="H726" s="221"/>
      <c r="I726" s="243"/>
      <c r="J726" s="243"/>
      <c r="K726" s="243"/>
      <c r="L726" s="243"/>
      <c r="N726" s="243"/>
      <c r="O726" s="244"/>
      <c r="P726" s="244"/>
      <c r="Q726" s="243"/>
      <c r="R726" s="243"/>
      <c r="S726" s="243"/>
      <c r="T726" s="243"/>
      <c r="U726" s="243"/>
      <c r="V726" s="243"/>
      <c r="W726" s="243"/>
      <c r="X726" s="243"/>
      <c r="Y726" s="243"/>
      <c r="Z726" s="243"/>
      <c r="AB726" s="119"/>
      <c r="AC726" s="119"/>
      <c r="AD726" s="614"/>
      <c r="AL726" s="122"/>
      <c r="AM726" s="122"/>
      <c r="AN726" s="122"/>
      <c r="AO726" s="122"/>
      <c r="AP726" s="122"/>
      <c r="AQ726" s="122"/>
    </row>
    <row r="727" spans="1:43" ht="15" customHeight="1">
      <c r="A727" s="279"/>
      <c r="B727" s="279"/>
      <c r="C727" s="147"/>
      <c r="D727" s="73"/>
      <c r="E727" s="122"/>
      <c r="F727" s="122"/>
      <c r="G727" s="242"/>
      <c r="H727" s="221"/>
      <c r="I727" s="243"/>
      <c r="J727" s="243"/>
      <c r="K727" s="243"/>
      <c r="L727" s="243"/>
      <c r="N727" s="243"/>
      <c r="O727" s="244"/>
      <c r="P727" s="244"/>
      <c r="Q727" s="243"/>
      <c r="R727" s="243"/>
      <c r="S727" s="243"/>
      <c r="T727" s="243"/>
      <c r="U727" s="243"/>
      <c r="V727" s="243"/>
      <c r="W727" s="243"/>
      <c r="X727" s="243"/>
      <c r="Y727" s="243"/>
      <c r="Z727" s="243"/>
      <c r="AB727" s="119"/>
      <c r="AC727" s="119"/>
      <c r="AD727" s="614"/>
      <c r="AL727" s="122"/>
      <c r="AM727" s="122"/>
      <c r="AN727" s="122"/>
      <c r="AO727" s="122"/>
      <c r="AP727" s="122"/>
      <c r="AQ727" s="122"/>
    </row>
    <row r="728" spans="1:43" ht="15" customHeight="1">
      <c r="A728" s="279"/>
      <c r="B728" s="279"/>
      <c r="C728" s="147"/>
      <c r="D728" s="73"/>
      <c r="E728" s="122"/>
      <c r="F728" s="122"/>
      <c r="G728" s="242"/>
      <c r="H728" s="221"/>
      <c r="I728" s="243"/>
      <c r="J728" s="243"/>
      <c r="K728" s="243"/>
      <c r="L728" s="243"/>
      <c r="N728" s="243"/>
      <c r="O728" s="244"/>
      <c r="P728" s="244"/>
      <c r="Q728" s="243"/>
      <c r="R728" s="243"/>
      <c r="S728" s="243"/>
      <c r="T728" s="243"/>
      <c r="U728" s="243"/>
      <c r="V728" s="243"/>
      <c r="W728" s="243"/>
      <c r="X728" s="243"/>
      <c r="Y728" s="243"/>
      <c r="Z728" s="243"/>
      <c r="AB728" s="119"/>
      <c r="AC728" s="119"/>
      <c r="AD728" s="614"/>
      <c r="AL728" s="122"/>
      <c r="AM728" s="122"/>
      <c r="AN728" s="122"/>
      <c r="AO728" s="122"/>
      <c r="AP728" s="122"/>
      <c r="AQ728" s="122"/>
    </row>
    <row r="729" spans="1:43" ht="15" customHeight="1">
      <c r="A729" s="279"/>
      <c r="B729" s="279"/>
      <c r="C729" s="147"/>
      <c r="D729" s="73"/>
      <c r="E729" s="122"/>
      <c r="F729" s="122"/>
      <c r="G729" s="242"/>
      <c r="H729" s="221"/>
      <c r="I729" s="243"/>
      <c r="J729" s="243"/>
      <c r="K729" s="243"/>
      <c r="L729" s="243"/>
      <c r="N729" s="243"/>
      <c r="O729" s="244"/>
      <c r="P729" s="244"/>
      <c r="Q729" s="243"/>
      <c r="R729" s="243"/>
      <c r="S729" s="243"/>
      <c r="T729" s="243"/>
      <c r="U729" s="243"/>
      <c r="V729" s="243"/>
      <c r="W729" s="243"/>
      <c r="X729" s="243"/>
      <c r="Y729" s="243"/>
      <c r="Z729" s="243"/>
      <c r="AB729" s="119"/>
      <c r="AC729" s="119"/>
      <c r="AD729" s="614"/>
      <c r="AL729" s="122"/>
      <c r="AM729" s="122"/>
      <c r="AN729" s="122"/>
      <c r="AO729" s="122"/>
      <c r="AP729" s="122"/>
      <c r="AQ729" s="122"/>
    </row>
    <row r="730" spans="1:43" ht="15" customHeight="1">
      <c r="A730" s="279"/>
      <c r="B730" s="279"/>
      <c r="C730" s="147"/>
      <c r="D730" s="73"/>
      <c r="E730" s="122"/>
      <c r="F730" s="122"/>
      <c r="G730" s="242"/>
      <c r="H730" s="221"/>
      <c r="I730" s="243"/>
      <c r="J730" s="243"/>
      <c r="K730" s="243"/>
      <c r="L730" s="243"/>
      <c r="N730" s="243"/>
      <c r="O730" s="244"/>
      <c r="P730" s="244"/>
      <c r="Q730" s="243"/>
      <c r="R730" s="243"/>
      <c r="S730" s="243"/>
      <c r="T730" s="243"/>
      <c r="U730" s="243"/>
      <c r="V730" s="243"/>
      <c r="W730" s="243"/>
      <c r="X730" s="243"/>
      <c r="Y730" s="243"/>
      <c r="Z730" s="243"/>
      <c r="AB730" s="119"/>
      <c r="AC730" s="119"/>
      <c r="AD730" s="614"/>
      <c r="AL730" s="122"/>
      <c r="AM730" s="122"/>
      <c r="AN730" s="122"/>
      <c r="AO730" s="122"/>
      <c r="AP730" s="122"/>
      <c r="AQ730" s="122"/>
    </row>
    <row r="731" spans="1:43" ht="15" customHeight="1">
      <c r="A731" s="279"/>
      <c r="B731" s="279"/>
      <c r="C731" s="147"/>
      <c r="D731" s="73"/>
      <c r="E731" s="122"/>
      <c r="F731" s="122"/>
      <c r="G731" s="242"/>
      <c r="H731" s="221"/>
      <c r="I731" s="243"/>
      <c r="J731" s="243"/>
      <c r="K731" s="243"/>
      <c r="L731" s="243"/>
      <c r="N731" s="243"/>
      <c r="O731" s="244"/>
      <c r="P731" s="244"/>
      <c r="Q731" s="243"/>
      <c r="R731" s="243"/>
      <c r="S731" s="243"/>
      <c r="T731" s="243"/>
      <c r="U731" s="243"/>
      <c r="V731" s="243"/>
      <c r="W731" s="243"/>
      <c r="X731" s="243"/>
      <c r="Y731" s="243"/>
      <c r="Z731" s="243"/>
      <c r="AB731" s="119"/>
      <c r="AC731" s="119"/>
      <c r="AD731" s="614"/>
      <c r="AL731" s="122"/>
      <c r="AM731" s="122"/>
      <c r="AN731" s="122"/>
      <c r="AO731" s="122"/>
      <c r="AP731" s="122"/>
      <c r="AQ731" s="122"/>
    </row>
    <row r="732" spans="1:43" ht="15" customHeight="1">
      <c r="A732" s="279"/>
      <c r="B732" s="279"/>
      <c r="C732" s="147"/>
      <c r="D732" s="73"/>
      <c r="E732" s="122"/>
      <c r="F732" s="122"/>
      <c r="G732" s="242"/>
      <c r="H732" s="221"/>
      <c r="I732" s="243"/>
      <c r="J732" s="243"/>
      <c r="K732" s="243"/>
      <c r="L732" s="243"/>
      <c r="N732" s="243"/>
      <c r="O732" s="244"/>
      <c r="P732" s="244"/>
      <c r="Q732" s="243"/>
      <c r="R732" s="243"/>
      <c r="S732" s="243"/>
      <c r="T732" s="243"/>
      <c r="U732" s="243"/>
      <c r="V732" s="243"/>
      <c r="W732" s="243"/>
      <c r="X732" s="243"/>
      <c r="Y732" s="243"/>
      <c r="Z732" s="243"/>
      <c r="AB732" s="119"/>
      <c r="AC732" s="119"/>
      <c r="AD732" s="614"/>
      <c r="AL732" s="122"/>
      <c r="AM732" s="122"/>
      <c r="AN732" s="122"/>
      <c r="AO732" s="122"/>
      <c r="AP732" s="122"/>
      <c r="AQ732" s="122"/>
    </row>
    <row r="733" spans="1:43" ht="15" customHeight="1">
      <c r="A733" s="279"/>
      <c r="B733" s="279"/>
      <c r="C733" s="147"/>
      <c r="D733" s="73"/>
      <c r="E733" s="122"/>
      <c r="F733" s="122"/>
      <c r="G733" s="242"/>
      <c r="H733" s="221"/>
      <c r="I733" s="243"/>
      <c r="J733" s="243"/>
      <c r="K733" s="243"/>
      <c r="L733" s="243"/>
      <c r="N733" s="243"/>
      <c r="O733" s="244"/>
      <c r="P733" s="244"/>
      <c r="Q733" s="243"/>
      <c r="R733" s="243"/>
      <c r="S733" s="243"/>
      <c r="T733" s="243"/>
      <c r="U733" s="243"/>
      <c r="V733" s="243"/>
      <c r="W733" s="243"/>
      <c r="X733" s="243"/>
      <c r="Y733" s="243"/>
      <c r="Z733" s="243"/>
      <c r="AB733" s="119"/>
      <c r="AC733" s="119"/>
      <c r="AD733" s="614"/>
      <c r="AL733" s="122"/>
      <c r="AM733" s="122"/>
      <c r="AN733" s="122"/>
      <c r="AO733" s="122"/>
      <c r="AP733" s="122"/>
      <c r="AQ733" s="122"/>
    </row>
    <row r="734" spans="1:43" ht="15" customHeight="1">
      <c r="A734" s="304"/>
      <c r="B734" s="304"/>
      <c r="C734" s="147"/>
      <c r="D734" s="73"/>
      <c r="E734" s="122"/>
      <c r="F734" s="122"/>
      <c r="G734" s="242"/>
      <c r="H734" s="221"/>
      <c r="I734" s="305"/>
      <c r="J734" s="305"/>
      <c r="K734" s="305"/>
      <c r="L734" s="305"/>
      <c r="N734" s="305"/>
      <c r="O734" s="244"/>
      <c r="P734" s="244"/>
      <c r="Q734" s="305"/>
      <c r="R734" s="305"/>
      <c r="S734" s="305"/>
      <c r="T734" s="305"/>
      <c r="U734" s="305"/>
      <c r="V734" s="305"/>
      <c r="W734" s="305"/>
      <c r="X734" s="305"/>
      <c r="Y734" s="305"/>
      <c r="Z734" s="305"/>
      <c r="AB734" s="119"/>
      <c r="AC734" s="119"/>
      <c r="AD734" s="614"/>
      <c r="AL734" s="122"/>
      <c r="AM734" s="122"/>
      <c r="AN734" s="122"/>
      <c r="AO734" s="122"/>
      <c r="AP734" s="122"/>
      <c r="AQ734" s="122"/>
    </row>
    <row r="735" spans="1:43" ht="15" customHeight="1">
      <c r="A735" s="304"/>
      <c r="B735" s="304"/>
      <c r="C735" s="147"/>
      <c r="D735" s="73"/>
      <c r="E735" s="122"/>
      <c r="F735" s="122"/>
      <c r="G735" s="242"/>
      <c r="H735" s="221"/>
      <c r="I735" s="305"/>
      <c r="J735" s="305"/>
      <c r="K735" s="305"/>
      <c r="L735" s="305"/>
      <c r="N735" s="305"/>
      <c r="O735" s="244"/>
      <c r="P735" s="244"/>
      <c r="Q735" s="305"/>
      <c r="R735" s="305"/>
      <c r="S735" s="305"/>
      <c r="T735" s="305"/>
      <c r="U735" s="305"/>
      <c r="V735" s="305"/>
      <c r="W735" s="305"/>
      <c r="X735" s="305"/>
      <c r="Y735" s="305"/>
      <c r="Z735" s="305"/>
      <c r="AB735" s="119"/>
      <c r="AC735" s="119"/>
      <c r="AD735" s="614"/>
      <c r="AL735" s="122"/>
      <c r="AM735" s="122"/>
      <c r="AN735" s="122"/>
      <c r="AO735" s="122"/>
      <c r="AP735" s="122"/>
      <c r="AQ735" s="122"/>
    </row>
    <row r="736" spans="1:43" ht="15" customHeight="1">
      <c r="A736" s="304"/>
      <c r="B736" s="304"/>
      <c r="C736" s="147"/>
      <c r="D736" s="73"/>
      <c r="E736" s="122"/>
      <c r="F736" s="122"/>
      <c r="G736" s="242"/>
      <c r="H736" s="221"/>
      <c r="I736" s="305"/>
      <c r="J736" s="305"/>
      <c r="K736" s="305"/>
      <c r="L736" s="305"/>
      <c r="N736" s="305"/>
      <c r="O736" s="244"/>
      <c r="P736" s="244"/>
      <c r="Q736" s="305"/>
      <c r="R736" s="305"/>
      <c r="S736" s="305"/>
      <c r="T736" s="305"/>
      <c r="U736" s="305"/>
      <c r="V736" s="305"/>
      <c r="W736" s="305"/>
      <c r="X736" s="305"/>
      <c r="Y736" s="305"/>
      <c r="Z736" s="305"/>
      <c r="AB736" s="119"/>
      <c r="AC736" s="119"/>
      <c r="AD736" s="614"/>
      <c r="AL736" s="122"/>
      <c r="AM736" s="122"/>
      <c r="AN736" s="122"/>
      <c r="AO736" s="122"/>
      <c r="AP736" s="122"/>
      <c r="AQ736" s="122"/>
    </row>
    <row r="737" spans="1:43" ht="15" customHeight="1">
      <c r="A737" s="304"/>
      <c r="B737" s="304"/>
      <c r="C737" s="147"/>
      <c r="D737" s="73"/>
      <c r="E737" s="122"/>
      <c r="F737" s="122"/>
      <c r="G737" s="242"/>
      <c r="H737" s="221"/>
      <c r="I737" s="305"/>
      <c r="J737" s="305"/>
      <c r="K737" s="305"/>
      <c r="L737" s="305"/>
      <c r="N737" s="305"/>
      <c r="O737" s="244"/>
      <c r="P737" s="244"/>
      <c r="Q737" s="142"/>
      <c r="R737" s="305"/>
      <c r="S737" s="305"/>
      <c r="T737" s="305"/>
      <c r="U737" s="305"/>
      <c r="V737" s="305"/>
      <c r="W737" s="305"/>
      <c r="X737" s="305"/>
      <c r="Y737" s="305"/>
      <c r="Z737" s="305"/>
      <c r="AB737" s="119"/>
      <c r="AC737" s="119"/>
      <c r="AD737" s="614"/>
      <c r="AL737" s="122"/>
      <c r="AM737" s="122"/>
      <c r="AN737" s="122"/>
      <c r="AO737" s="122"/>
      <c r="AP737" s="122"/>
      <c r="AQ737" s="122"/>
    </row>
    <row r="738" spans="1:43" ht="15" customHeight="1">
      <c r="A738" s="304"/>
      <c r="B738" s="304"/>
      <c r="C738" s="147"/>
      <c r="D738" s="73"/>
      <c r="E738" s="122"/>
      <c r="F738" s="122"/>
      <c r="G738" s="242"/>
      <c r="H738" s="221"/>
      <c r="I738" s="305"/>
      <c r="J738" s="305"/>
      <c r="K738" s="305"/>
      <c r="L738" s="305"/>
      <c r="N738" s="305"/>
      <c r="O738" s="244"/>
      <c r="P738" s="244"/>
      <c r="Q738" s="142"/>
      <c r="R738" s="305"/>
      <c r="S738" s="305"/>
      <c r="T738" s="305"/>
      <c r="U738" s="305"/>
      <c r="V738" s="305"/>
      <c r="W738" s="305"/>
      <c r="X738" s="305"/>
      <c r="Y738" s="305"/>
      <c r="Z738" s="305"/>
      <c r="AB738" s="119"/>
      <c r="AC738" s="119"/>
      <c r="AD738" s="614"/>
      <c r="AL738" s="122"/>
      <c r="AM738" s="122"/>
      <c r="AN738" s="122"/>
      <c r="AO738" s="122"/>
      <c r="AP738" s="122"/>
      <c r="AQ738" s="122"/>
    </row>
    <row r="739" spans="1:43" ht="15" customHeight="1">
      <c r="A739" s="304"/>
      <c r="B739" s="304"/>
      <c r="C739" s="147"/>
      <c r="D739" s="73"/>
      <c r="E739" s="122"/>
      <c r="F739" s="122"/>
      <c r="G739" s="242"/>
      <c r="H739" s="221"/>
      <c r="I739" s="305"/>
      <c r="J739" s="305"/>
      <c r="K739" s="305"/>
      <c r="L739" s="305"/>
      <c r="N739" s="305"/>
      <c r="O739" s="244"/>
      <c r="P739" s="244"/>
      <c r="Q739" s="142"/>
      <c r="R739" s="305"/>
      <c r="S739" s="305"/>
      <c r="T739" s="305"/>
      <c r="U739" s="305"/>
      <c r="V739" s="305"/>
      <c r="W739" s="305"/>
      <c r="X739" s="305"/>
      <c r="Y739" s="305"/>
      <c r="Z739" s="305"/>
      <c r="AB739" s="119"/>
      <c r="AC739" s="119"/>
      <c r="AD739" s="614"/>
      <c r="AL739" s="122"/>
      <c r="AM739" s="122"/>
      <c r="AN739" s="122"/>
      <c r="AO739" s="122"/>
      <c r="AP739" s="122"/>
      <c r="AQ739" s="122"/>
    </row>
    <row r="740" spans="1:43" ht="15" customHeight="1">
      <c r="A740" s="304"/>
      <c r="B740" s="304"/>
      <c r="C740" s="147"/>
      <c r="D740" s="73"/>
      <c r="E740" s="122"/>
      <c r="F740" s="122"/>
      <c r="G740" s="242"/>
      <c r="H740" s="221"/>
      <c r="I740" s="305"/>
      <c r="J740" s="305"/>
      <c r="K740" s="305"/>
      <c r="L740" s="305"/>
      <c r="N740" s="305"/>
      <c r="O740" s="244"/>
      <c r="P740" s="244"/>
      <c r="Q740" s="142"/>
      <c r="R740" s="305"/>
      <c r="S740" s="305"/>
      <c r="T740" s="305"/>
      <c r="U740" s="305"/>
      <c r="V740" s="305"/>
      <c r="W740" s="305"/>
      <c r="X740" s="305"/>
      <c r="Y740" s="305"/>
      <c r="Z740" s="305"/>
      <c r="AB740" s="119"/>
      <c r="AC740" s="119"/>
      <c r="AD740" s="614"/>
      <c r="AL740" s="122"/>
      <c r="AM740" s="122"/>
      <c r="AN740" s="122"/>
      <c r="AO740" s="122"/>
      <c r="AP740" s="122"/>
      <c r="AQ740" s="122"/>
    </row>
    <row r="741" spans="1:43" ht="15" customHeight="1">
      <c r="A741" s="304"/>
      <c r="B741" s="304"/>
      <c r="C741" s="147"/>
      <c r="D741" s="73"/>
      <c r="E741" s="122"/>
      <c r="F741" s="122"/>
      <c r="G741" s="242"/>
      <c r="H741" s="221"/>
      <c r="I741" s="305"/>
      <c r="J741" s="305"/>
      <c r="K741" s="305"/>
      <c r="L741" s="305"/>
      <c r="N741" s="305"/>
      <c r="O741" s="244"/>
      <c r="P741" s="244"/>
      <c r="Q741" s="142"/>
      <c r="R741" s="305"/>
      <c r="S741" s="305"/>
      <c r="T741" s="305"/>
      <c r="U741" s="305"/>
      <c r="V741" s="305"/>
      <c r="X741" s="305"/>
      <c r="Y741" s="305"/>
      <c r="Z741" s="305"/>
      <c r="AB741" s="119"/>
      <c r="AC741" s="119"/>
      <c r="AD741" s="614"/>
      <c r="AL741" s="122"/>
      <c r="AM741" s="122"/>
      <c r="AN741" s="122"/>
      <c r="AO741" s="122"/>
      <c r="AP741" s="122"/>
      <c r="AQ741" s="122"/>
    </row>
    <row r="742" spans="1:43" ht="15" customHeight="1">
      <c r="A742" s="304"/>
      <c r="B742" s="304"/>
      <c r="C742" s="147"/>
      <c r="D742" s="73"/>
      <c r="E742" s="122"/>
      <c r="F742" s="122"/>
      <c r="G742" s="242"/>
      <c r="H742" s="221"/>
      <c r="I742" s="305"/>
      <c r="J742" s="305"/>
      <c r="K742" s="305"/>
      <c r="L742" s="305"/>
      <c r="N742" s="305"/>
      <c r="O742" s="244"/>
      <c r="P742" s="244"/>
      <c r="Q742" s="142"/>
      <c r="R742" s="305"/>
      <c r="S742" s="305"/>
      <c r="T742" s="305"/>
      <c r="U742" s="305"/>
      <c r="V742" s="305"/>
      <c r="X742" s="305"/>
      <c r="Y742" s="305"/>
      <c r="Z742" s="305"/>
      <c r="AB742" s="119"/>
      <c r="AC742" s="119"/>
      <c r="AD742" s="614"/>
      <c r="AL742" s="122"/>
      <c r="AM742" s="122"/>
      <c r="AN742" s="122"/>
      <c r="AO742" s="122"/>
      <c r="AP742" s="122"/>
      <c r="AQ742" s="122"/>
    </row>
    <row r="743" spans="1:43" ht="15" customHeight="1">
      <c r="A743" s="304"/>
      <c r="B743" s="304"/>
      <c r="C743" s="147"/>
      <c r="D743" s="73"/>
      <c r="E743" s="122"/>
      <c r="F743" s="122"/>
      <c r="G743" s="242"/>
      <c r="H743" s="221"/>
      <c r="I743" s="305"/>
      <c r="J743" s="305"/>
      <c r="K743" s="305"/>
      <c r="L743" s="305"/>
      <c r="N743" s="305"/>
      <c r="O743" s="244"/>
      <c r="P743" s="244"/>
      <c r="Q743" s="142"/>
      <c r="R743" s="305"/>
      <c r="S743" s="305"/>
      <c r="T743" s="305"/>
      <c r="U743" s="305"/>
      <c r="V743" s="305"/>
      <c r="W743" s="305"/>
      <c r="X743" s="305"/>
      <c r="Y743" s="305"/>
      <c r="Z743" s="305"/>
      <c r="AB743" s="119"/>
      <c r="AC743" s="119"/>
      <c r="AD743" s="614"/>
      <c r="AL743" s="122"/>
      <c r="AM743" s="122"/>
      <c r="AN743" s="122"/>
      <c r="AO743" s="122"/>
      <c r="AP743" s="122"/>
      <c r="AQ743" s="122"/>
    </row>
    <row r="744" spans="1:43" ht="15" customHeight="1">
      <c r="A744" s="304"/>
      <c r="B744" s="304"/>
      <c r="C744" s="147"/>
      <c r="D744" s="73"/>
      <c r="E744" s="122"/>
      <c r="F744" s="122"/>
      <c r="G744" s="242"/>
      <c r="H744" s="221"/>
      <c r="I744" s="305"/>
      <c r="J744" s="305"/>
      <c r="K744" s="305"/>
      <c r="L744" s="305"/>
      <c r="N744" s="305"/>
      <c r="O744" s="244"/>
      <c r="P744" s="244"/>
      <c r="Q744" s="305"/>
      <c r="R744" s="305"/>
      <c r="S744" s="305"/>
      <c r="T744" s="305"/>
      <c r="U744" s="305"/>
      <c r="V744" s="305"/>
      <c r="W744" s="305"/>
      <c r="X744" s="305"/>
      <c r="Y744" s="305"/>
      <c r="Z744" s="305"/>
      <c r="AB744" s="119"/>
      <c r="AC744" s="119"/>
      <c r="AD744" s="614"/>
      <c r="AL744" s="122"/>
      <c r="AM744" s="122"/>
      <c r="AN744" s="122"/>
      <c r="AO744" s="122"/>
      <c r="AP744" s="122"/>
      <c r="AQ744" s="122"/>
    </row>
    <row r="745" spans="1:43" ht="15" customHeight="1">
      <c r="A745" s="304"/>
      <c r="B745" s="304"/>
      <c r="C745" s="147"/>
      <c r="D745" s="73"/>
      <c r="E745" s="122"/>
      <c r="F745" s="122"/>
      <c r="G745" s="242"/>
      <c r="H745" s="221"/>
      <c r="I745" s="305"/>
      <c r="J745" s="305"/>
      <c r="K745" s="305"/>
      <c r="L745" s="305"/>
      <c r="N745" s="305"/>
      <c r="O745" s="244"/>
      <c r="P745" s="244"/>
      <c r="Q745" s="305"/>
      <c r="R745" s="305"/>
      <c r="S745" s="305"/>
      <c r="T745" s="305"/>
      <c r="U745" s="305"/>
      <c r="V745" s="305"/>
      <c r="W745" s="305"/>
      <c r="X745" s="305"/>
      <c r="Y745" s="305"/>
      <c r="Z745" s="305"/>
      <c r="AB745" s="119"/>
      <c r="AC745" s="119"/>
      <c r="AD745" s="614"/>
      <c r="AL745" s="122"/>
      <c r="AM745" s="122"/>
      <c r="AN745" s="122"/>
      <c r="AO745" s="122"/>
      <c r="AP745" s="122"/>
      <c r="AQ745" s="122"/>
    </row>
    <row r="746" spans="1:43" ht="15" customHeight="1">
      <c r="A746" s="304"/>
      <c r="B746" s="304"/>
      <c r="C746" s="147"/>
      <c r="D746" s="73"/>
      <c r="E746" s="122"/>
      <c r="F746" s="122"/>
      <c r="G746" s="242"/>
      <c r="H746" s="221"/>
      <c r="I746" s="305"/>
      <c r="J746" s="305"/>
      <c r="K746" s="305"/>
      <c r="L746" s="305"/>
      <c r="N746" s="305"/>
      <c r="O746" s="244"/>
      <c r="P746" s="244"/>
      <c r="Q746" s="305"/>
      <c r="R746" s="305"/>
      <c r="S746" s="305"/>
      <c r="T746" s="305"/>
      <c r="U746" s="305"/>
      <c r="V746" s="305"/>
      <c r="W746" s="305"/>
      <c r="X746" s="305"/>
      <c r="Y746" s="305"/>
      <c r="Z746" s="305"/>
      <c r="AB746" s="119"/>
      <c r="AC746" s="119"/>
      <c r="AD746" s="614"/>
      <c r="AL746" s="122"/>
      <c r="AM746" s="122"/>
      <c r="AN746" s="122"/>
      <c r="AO746" s="122"/>
      <c r="AP746" s="122"/>
      <c r="AQ746" s="122"/>
    </row>
    <row r="747" spans="1:43" ht="15" customHeight="1">
      <c r="A747" s="304"/>
      <c r="B747" s="304"/>
      <c r="C747" s="147"/>
      <c r="D747" s="73"/>
      <c r="E747" s="122"/>
      <c r="F747" s="122"/>
      <c r="G747" s="242"/>
      <c r="H747" s="221"/>
      <c r="I747" s="305"/>
      <c r="J747" s="305"/>
      <c r="K747" s="305"/>
      <c r="L747" s="305"/>
      <c r="N747" s="305"/>
      <c r="O747" s="244"/>
      <c r="P747" s="244"/>
      <c r="Q747" s="305"/>
      <c r="R747" s="305"/>
      <c r="S747" s="305"/>
      <c r="T747" s="305"/>
      <c r="U747" s="305"/>
      <c r="V747" s="305"/>
      <c r="W747" s="305"/>
      <c r="X747" s="305"/>
      <c r="Y747" s="305"/>
      <c r="Z747" s="305"/>
      <c r="AB747" s="119"/>
      <c r="AC747" s="119"/>
      <c r="AD747" s="614"/>
      <c r="AL747" s="122"/>
      <c r="AM747" s="122"/>
      <c r="AN747" s="122"/>
      <c r="AO747" s="122"/>
      <c r="AP747" s="122"/>
      <c r="AQ747" s="122"/>
    </row>
    <row r="748" spans="1:43" ht="15" customHeight="1">
      <c r="A748" s="304"/>
      <c r="B748" s="304"/>
      <c r="C748" s="147"/>
      <c r="D748" s="73"/>
      <c r="E748" s="122"/>
      <c r="F748" s="122"/>
      <c r="G748" s="242"/>
      <c r="H748" s="221"/>
      <c r="I748" s="305"/>
      <c r="J748" s="305"/>
      <c r="K748" s="305"/>
      <c r="L748" s="305"/>
      <c r="N748" s="305"/>
      <c r="O748" s="244"/>
      <c r="P748" s="244"/>
      <c r="Q748" s="305"/>
      <c r="R748" s="305"/>
      <c r="S748" s="305"/>
      <c r="T748" s="305"/>
      <c r="U748" s="305"/>
      <c r="V748" s="305"/>
      <c r="W748" s="305"/>
      <c r="X748" s="305"/>
      <c r="Y748" s="305"/>
      <c r="Z748" s="305"/>
      <c r="AB748" s="119"/>
      <c r="AC748" s="119"/>
      <c r="AD748" s="614"/>
      <c r="AL748" s="122"/>
      <c r="AM748" s="122"/>
      <c r="AN748" s="122"/>
      <c r="AO748" s="122"/>
      <c r="AP748" s="122"/>
      <c r="AQ748" s="122"/>
    </row>
    <row r="749" spans="1:43" ht="15" customHeight="1">
      <c r="A749" s="304"/>
      <c r="B749" s="304"/>
      <c r="C749" s="147"/>
      <c r="D749" s="73"/>
      <c r="E749" s="122"/>
      <c r="F749" s="122"/>
      <c r="G749" s="242"/>
      <c r="H749" s="221"/>
      <c r="I749" s="305"/>
      <c r="J749" s="305"/>
      <c r="K749" s="305"/>
      <c r="L749" s="305"/>
      <c r="N749" s="305"/>
      <c r="O749" s="244"/>
      <c r="P749" s="244"/>
      <c r="Q749" s="305"/>
      <c r="R749" s="305"/>
      <c r="S749" s="305"/>
      <c r="T749" s="305"/>
      <c r="U749" s="305"/>
      <c r="V749" s="305"/>
      <c r="W749" s="305"/>
      <c r="X749" s="305"/>
      <c r="Y749" s="305"/>
      <c r="Z749" s="305"/>
      <c r="AB749" s="119"/>
      <c r="AC749" s="119"/>
      <c r="AD749" s="614"/>
      <c r="AL749" s="122"/>
      <c r="AM749" s="122"/>
      <c r="AN749" s="122"/>
      <c r="AO749" s="122"/>
      <c r="AP749" s="122"/>
      <c r="AQ749" s="122"/>
    </row>
    <row r="750" spans="1:43" ht="15" customHeight="1">
      <c r="A750" s="304"/>
      <c r="B750" s="304"/>
      <c r="C750" s="147"/>
      <c r="D750" s="73"/>
      <c r="E750" s="122"/>
      <c r="F750" s="122"/>
      <c r="G750" s="242"/>
      <c r="H750" s="221"/>
      <c r="I750" s="305"/>
      <c r="J750" s="305"/>
      <c r="K750" s="305"/>
      <c r="L750" s="305"/>
      <c r="N750" s="305"/>
      <c r="O750" s="244"/>
      <c r="P750" s="244"/>
      <c r="Q750" s="305"/>
      <c r="R750" s="305"/>
      <c r="S750" s="305"/>
      <c r="T750" s="305"/>
      <c r="U750" s="305"/>
      <c r="V750" s="305"/>
      <c r="W750" s="305"/>
      <c r="X750" s="305"/>
      <c r="Y750" s="305"/>
      <c r="Z750" s="305"/>
      <c r="AB750" s="119"/>
      <c r="AC750" s="119"/>
      <c r="AD750" s="614"/>
      <c r="AL750" s="122"/>
      <c r="AM750" s="122"/>
      <c r="AN750" s="122"/>
      <c r="AO750" s="122"/>
      <c r="AP750" s="122"/>
      <c r="AQ750" s="122"/>
    </row>
    <row r="751" spans="1:43" ht="15" customHeight="1">
      <c r="A751" s="304"/>
      <c r="B751" s="304"/>
      <c r="C751" s="147"/>
      <c r="D751" s="73"/>
      <c r="E751" s="122"/>
      <c r="F751" s="122"/>
      <c r="G751" s="242"/>
      <c r="H751" s="221"/>
      <c r="I751" s="305"/>
      <c r="J751" s="305"/>
      <c r="K751" s="305"/>
      <c r="L751" s="305"/>
      <c r="N751" s="305"/>
      <c r="O751" s="244"/>
      <c r="P751" s="244"/>
      <c r="Q751" s="305"/>
      <c r="R751" s="305"/>
      <c r="S751" s="305"/>
      <c r="T751" s="305"/>
      <c r="U751" s="305"/>
      <c r="V751" s="305"/>
      <c r="W751" s="305"/>
      <c r="X751" s="305"/>
      <c r="Y751" s="305"/>
      <c r="Z751" s="305"/>
      <c r="AB751" s="119"/>
      <c r="AC751" s="119"/>
      <c r="AD751" s="614"/>
      <c r="AL751" s="122"/>
      <c r="AM751" s="122"/>
      <c r="AN751" s="122"/>
      <c r="AO751" s="122"/>
      <c r="AP751" s="122"/>
      <c r="AQ751" s="122"/>
    </row>
    <row r="752" spans="1:43" ht="15" customHeight="1">
      <c r="A752" s="304"/>
      <c r="B752" s="304"/>
      <c r="C752" s="147"/>
      <c r="D752" s="73"/>
      <c r="E752" s="122"/>
      <c r="F752" s="122"/>
      <c r="G752" s="242"/>
      <c r="H752" s="221"/>
      <c r="I752" s="305"/>
      <c r="J752" s="305"/>
      <c r="K752" s="305"/>
      <c r="L752" s="305"/>
      <c r="N752" s="305"/>
      <c r="O752" s="244"/>
      <c r="P752" s="244"/>
      <c r="Q752" s="305"/>
      <c r="R752" s="305"/>
      <c r="S752" s="305"/>
      <c r="T752" s="305"/>
      <c r="U752" s="305"/>
      <c r="V752" s="305"/>
      <c r="W752" s="305"/>
      <c r="X752" s="305"/>
      <c r="Y752" s="305"/>
      <c r="Z752" s="305"/>
      <c r="AB752" s="119"/>
      <c r="AC752" s="119"/>
      <c r="AD752" s="614"/>
      <c r="AL752" s="122"/>
      <c r="AM752" s="122"/>
      <c r="AN752" s="122"/>
      <c r="AO752" s="122"/>
      <c r="AP752" s="122"/>
      <c r="AQ752" s="122"/>
    </row>
    <row r="753" spans="1:43" ht="15" customHeight="1">
      <c r="A753" s="304"/>
      <c r="B753" s="304"/>
      <c r="C753" s="147"/>
      <c r="D753" s="73"/>
      <c r="E753" s="122"/>
      <c r="F753" s="122"/>
      <c r="G753" s="242"/>
      <c r="H753" s="221"/>
      <c r="I753" s="305"/>
      <c r="J753" s="305"/>
      <c r="K753" s="305"/>
      <c r="L753" s="305"/>
      <c r="N753" s="305"/>
      <c r="O753" s="244"/>
      <c r="P753" s="244"/>
      <c r="Q753" s="305"/>
      <c r="R753" s="305"/>
      <c r="S753" s="305"/>
      <c r="T753" s="305"/>
      <c r="U753" s="305"/>
      <c r="V753" s="305"/>
      <c r="W753" s="305"/>
      <c r="X753" s="305"/>
      <c r="Y753" s="305"/>
      <c r="Z753" s="305"/>
      <c r="AB753" s="119"/>
      <c r="AC753" s="119"/>
      <c r="AD753" s="614"/>
      <c r="AL753" s="122"/>
      <c r="AM753" s="122"/>
      <c r="AN753" s="122"/>
      <c r="AO753" s="122"/>
      <c r="AP753" s="122"/>
      <c r="AQ753" s="122"/>
    </row>
    <row r="754" spans="1:43" ht="15" customHeight="1">
      <c r="A754" s="304"/>
      <c r="B754" s="304"/>
      <c r="C754" s="147"/>
      <c r="D754" s="73"/>
      <c r="E754" s="122"/>
      <c r="F754" s="122"/>
      <c r="G754" s="242"/>
      <c r="H754" s="221"/>
      <c r="I754" s="305"/>
      <c r="J754" s="305"/>
      <c r="K754" s="305"/>
      <c r="L754" s="305"/>
      <c r="N754" s="305"/>
      <c r="O754" s="244"/>
      <c r="P754" s="244"/>
      <c r="Q754" s="305"/>
      <c r="R754" s="305"/>
      <c r="S754" s="305"/>
      <c r="T754" s="305"/>
      <c r="U754" s="305"/>
      <c r="V754" s="305"/>
      <c r="W754" s="305"/>
      <c r="X754" s="305"/>
      <c r="Y754" s="305"/>
      <c r="Z754" s="305"/>
      <c r="AB754" s="119"/>
      <c r="AC754" s="119"/>
      <c r="AD754" s="614"/>
      <c r="AL754" s="122"/>
      <c r="AM754" s="122"/>
      <c r="AN754" s="122"/>
      <c r="AO754" s="122"/>
      <c r="AP754" s="122"/>
      <c r="AQ754" s="122"/>
    </row>
    <row r="755" spans="1:43" ht="15" customHeight="1">
      <c r="A755" s="304"/>
      <c r="B755" s="308"/>
      <c r="D755" s="122" t="s">
        <v>774</v>
      </c>
      <c r="E755" s="76" t="s">
        <v>766</v>
      </c>
      <c r="F755" s="122" t="s">
        <v>775</v>
      </c>
      <c r="G755" s="242"/>
      <c r="H755" s="221"/>
      <c r="I755" s="305"/>
      <c r="J755" s="305"/>
      <c r="K755" s="305"/>
      <c r="L755" s="305"/>
      <c r="N755" s="305"/>
      <c r="O755" s="244"/>
      <c r="P755" s="244"/>
      <c r="Q755" s="305"/>
      <c r="R755" s="305"/>
      <c r="S755" s="305"/>
      <c r="T755" s="305"/>
      <c r="U755" s="305"/>
      <c r="V755" s="305"/>
      <c r="W755" s="305"/>
      <c r="X755" s="305"/>
      <c r="Y755" s="305"/>
      <c r="Z755" s="305"/>
      <c r="AB755" s="119"/>
      <c r="AC755" s="119"/>
      <c r="AD755" s="614"/>
      <c r="AL755" s="122"/>
      <c r="AM755" s="122"/>
      <c r="AN755" s="122"/>
      <c r="AO755" s="122"/>
      <c r="AP755" s="122"/>
      <c r="AQ755" s="122"/>
    </row>
    <row r="756" spans="1:43" ht="15" customHeight="1">
      <c r="A756" s="304"/>
      <c r="B756" s="308"/>
      <c r="D756" s="122" t="s">
        <v>776</v>
      </c>
      <c r="E756" s="76" t="s">
        <v>766</v>
      </c>
      <c r="F756" s="122" t="s">
        <v>1248</v>
      </c>
      <c r="G756" s="242"/>
      <c r="H756" s="221"/>
      <c r="I756" s="305"/>
      <c r="J756" s="305"/>
      <c r="K756" s="305"/>
      <c r="L756" s="305"/>
      <c r="N756" s="305"/>
      <c r="O756" s="244"/>
      <c r="P756" s="244"/>
      <c r="Q756" s="305"/>
      <c r="R756" s="305"/>
      <c r="S756" s="305"/>
      <c r="T756" s="305"/>
      <c r="U756" s="305"/>
      <c r="V756" s="305"/>
      <c r="W756" s="305"/>
      <c r="X756" s="305"/>
      <c r="Y756" s="305"/>
      <c r="Z756" s="305"/>
      <c r="AB756" s="119"/>
      <c r="AC756" s="119"/>
      <c r="AD756" s="614"/>
      <c r="AL756" s="122"/>
      <c r="AM756" s="122"/>
      <c r="AN756" s="122"/>
      <c r="AO756" s="122"/>
      <c r="AP756" s="122"/>
      <c r="AQ756" s="122"/>
    </row>
    <row r="757" spans="1:43" ht="15" customHeight="1">
      <c r="A757" s="304"/>
      <c r="B757" s="308"/>
      <c r="D757" s="122" t="s">
        <v>1157</v>
      </c>
      <c r="E757" s="76" t="s">
        <v>766</v>
      </c>
      <c r="F757" s="122" t="s">
        <v>1249</v>
      </c>
      <c r="G757" s="242"/>
      <c r="H757" s="221"/>
      <c r="I757" s="305"/>
      <c r="J757" s="305"/>
      <c r="K757" s="305"/>
      <c r="L757" s="305"/>
      <c r="N757" s="305"/>
      <c r="O757" s="244"/>
      <c r="P757" s="244"/>
      <c r="Q757" s="305"/>
      <c r="R757" s="305"/>
      <c r="S757" s="305"/>
      <c r="T757" s="305"/>
      <c r="U757" s="305"/>
      <c r="V757" s="305"/>
      <c r="W757" s="305"/>
      <c r="X757" s="305"/>
      <c r="Y757" s="305"/>
      <c r="Z757" s="305"/>
      <c r="AB757" s="119"/>
      <c r="AC757" s="119"/>
      <c r="AD757" s="614"/>
      <c r="AL757" s="122"/>
      <c r="AM757" s="122"/>
      <c r="AN757" s="122"/>
      <c r="AO757" s="122"/>
      <c r="AP757" s="122"/>
      <c r="AQ757" s="122"/>
    </row>
    <row r="758" spans="1:43" ht="15" customHeight="1">
      <c r="A758" s="304"/>
      <c r="B758" s="308"/>
      <c r="D758" s="122" t="s">
        <v>777</v>
      </c>
      <c r="E758" s="76" t="s">
        <v>766</v>
      </c>
      <c r="F758" s="122" t="s">
        <v>1251</v>
      </c>
      <c r="G758" s="242"/>
      <c r="H758" s="221"/>
      <c r="I758" s="305"/>
      <c r="J758" s="305"/>
      <c r="K758" s="305"/>
      <c r="L758" s="305"/>
      <c r="N758" s="305"/>
      <c r="O758" s="244"/>
      <c r="P758" s="244"/>
      <c r="Q758" s="305"/>
      <c r="R758" s="305"/>
      <c r="S758" s="305"/>
      <c r="T758" s="305"/>
      <c r="U758" s="305"/>
      <c r="V758" s="305"/>
      <c r="W758" s="305"/>
      <c r="X758" s="305"/>
      <c r="Y758" s="305"/>
      <c r="Z758" s="305"/>
      <c r="AB758" s="119"/>
      <c r="AC758" s="119"/>
      <c r="AD758" s="614"/>
      <c r="AL758" s="122"/>
      <c r="AM758" s="122"/>
      <c r="AN758" s="122"/>
      <c r="AO758" s="122"/>
      <c r="AP758" s="122"/>
      <c r="AQ758" s="122"/>
    </row>
    <row r="759" spans="1:43" ht="15" customHeight="1">
      <c r="A759" s="134"/>
      <c r="D759" s="170" t="s">
        <v>1614</v>
      </c>
      <c r="E759" s="76" t="s">
        <v>766</v>
      </c>
      <c r="F759" s="170" t="s">
        <v>1615</v>
      </c>
      <c r="G759" s="170"/>
      <c r="H759" s="100"/>
      <c r="I759" s="170"/>
      <c r="J759" s="170"/>
      <c r="K759" s="170"/>
      <c r="L759" s="170"/>
      <c r="M759" s="276"/>
      <c r="N759" s="170"/>
      <c r="O759" s="170"/>
      <c r="P759" s="170"/>
      <c r="Q759" s="170"/>
      <c r="R759" s="170"/>
      <c r="S759" s="170"/>
      <c r="T759" s="170"/>
      <c r="U759" s="170"/>
      <c r="V759" s="170"/>
      <c r="W759" s="170"/>
      <c r="X759" s="170"/>
      <c r="Y759" s="170"/>
      <c r="Z759" s="276"/>
      <c r="AA759" s="170"/>
      <c r="AB759" s="119"/>
      <c r="AC759" s="119"/>
      <c r="AD759" s="614"/>
      <c r="AK759" s="122"/>
      <c r="AL759" s="122"/>
      <c r="AM759" s="122"/>
      <c r="AO759" s="122"/>
      <c r="AP759" s="122"/>
    </row>
    <row r="760" spans="1:43" ht="15" customHeight="1">
      <c r="A760" s="134"/>
      <c r="D760" s="170" t="s">
        <v>463</v>
      </c>
      <c r="E760" s="170"/>
      <c r="F760" s="170"/>
      <c r="G760" s="170"/>
      <c r="H760" s="100"/>
      <c r="I760" s="170"/>
      <c r="J760" s="170"/>
      <c r="K760" s="170"/>
      <c r="L760" s="170"/>
      <c r="M760" s="276"/>
      <c r="N760" s="170"/>
      <c r="O760" s="170"/>
      <c r="P760" s="170"/>
      <c r="Q760" s="170"/>
      <c r="R760" s="170"/>
      <c r="S760" s="170"/>
      <c r="T760" s="170"/>
      <c r="U760" s="170"/>
      <c r="V760" s="170"/>
      <c r="W760" s="170"/>
      <c r="X760" s="170"/>
      <c r="Y760" s="170"/>
      <c r="Z760" s="276"/>
      <c r="AA760" s="108"/>
      <c r="AB760" s="278"/>
      <c r="AK760" s="74"/>
      <c r="AL760" s="74"/>
    </row>
    <row r="761" spans="1:43" ht="15" customHeight="1">
      <c r="A761" s="73"/>
      <c r="C761" s="277"/>
      <c r="D761" s="277"/>
      <c r="E761" s="277"/>
      <c r="F761" s="277"/>
      <c r="G761" s="277"/>
      <c r="H761" s="170"/>
      <c r="I761" s="170"/>
      <c r="J761" s="170"/>
      <c r="K761" s="170"/>
      <c r="L761" s="170"/>
      <c r="M761" s="170"/>
      <c r="N761" s="170"/>
      <c r="O761" s="170"/>
      <c r="P761" s="170"/>
      <c r="Z761" s="249"/>
      <c r="AB761" s="278"/>
    </row>
    <row r="762" spans="1:43" ht="15" customHeight="1">
      <c r="A762" s="73"/>
      <c r="C762" s="147"/>
      <c r="D762" s="170"/>
      <c r="E762" s="120"/>
      <c r="G762" s="4"/>
      <c r="H762" s="4"/>
      <c r="I762" s="4"/>
      <c r="O762" s="52"/>
      <c r="Z762" s="249"/>
    </row>
    <row r="763" spans="1:43" ht="15" customHeight="1" thickBot="1">
      <c r="A763" s="468" t="s">
        <v>1637</v>
      </c>
      <c r="G763" s="4"/>
      <c r="H763" s="4"/>
      <c r="I763" s="4"/>
      <c r="O763" s="52"/>
      <c r="Z763" s="249"/>
    </row>
    <row r="764" spans="1:43" ht="15" customHeight="1">
      <c r="A764" s="535" t="s">
        <v>16</v>
      </c>
      <c r="B764" s="1918" t="s">
        <v>834</v>
      </c>
      <c r="C764" s="1911"/>
      <c r="D764" s="1919"/>
      <c r="E764" s="1918" t="s">
        <v>835</v>
      </c>
      <c r="F764" s="1911"/>
      <c r="G764" s="1919"/>
      <c r="H764" s="1918" t="s">
        <v>836</v>
      </c>
      <c r="I764" s="1911"/>
      <c r="J764" s="1919"/>
      <c r="K764" s="477" t="s">
        <v>837</v>
      </c>
      <c r="L764" s="477" t="s">
        <v>148</v>
      </c>
      <c r="M764" s="478" t="s">
        <v>149</v>
      </c>
      <c r="O764" s="326"/>
      <c r="Q764" s="73"/>
      <c r="R764" s="559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E764" s="143"/>
      <c r="AF764" s="143"/>
      <c r="AG764" s="143"/>
      <c r="AH764" s="143"/>
      <c r="AI764" s="143"/>
      <c r="AJ764" s="143"/>
      <c r="AK764" s="143"/>
      <c r="AL764" s="143"/>
      <c r="AM764" s="143"/>
      <c r="AN764" s="143"/>
      <c r="AO764" s="143"/>
      <c r="AP764" s="143"/>
      <c r="AQ764" s="143"/>
    </row>
    <row r="765" spans="1:43" ht="15" customHeight="1">
      <c r="A765" s="537"/>
      <c r="B765" s="532" t="s">
        <v>1638</v>
      </c>
      <c r="C765" s="532" t="s">
        <v>1639</v>
      </c>
      <c r="D765" s="532" t="s">
        <v>699</v>
      </c>
      <c r="E765" s="532" t="s">
        <v>1640</v>
      </c>
      <c r="F765" s="532" t="s">
        <v>1607</v>
      </c>
      <c r="G765" s="532" t="s">
        <v>1641</v>
      </c>
      <c r="H765" s="532" t="s">
        <v>1642</v>
      </c>
      <c r="I765" s="532" t="s">
        <v>358</v>
      </c>
      <c r="J765" s="532" t="s">
        <v>915</v>
      </c>
      <c r="K765" s="480" t="s">
        <v>414</v>
      </c>
      <c r="L765" s="480"/>
      <c r="M765" s="481"/>
      <c r="O765" s="326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E765" s="143"/>
      <c r="AF765" s="143"/>
      <c r="AG765" s="143"/>
      <c r="AH765" s="143"/>
      <c r="AI765" s="143"/>
      <c r="AJ765" s="143"/>
      <c r="AK765" s="143"/>
      <c r="AL765" s="143"/>
      <c r="AM765" s="143"/>
      <c r="AN765" s="143"/>
      <c r="AO765" s="143"/>
      <c r="AP765" s="143"/>
      <c r="AQ765" s="143"/>
    </row>
    <row r="766" spans="1:43" ht="15" customHeight="1">
      <c r="A766" s="593" t="str">
        <f>+input!B3</f>
        <v>101i</v>
      </c>
      <c r="B766" s="594">
        <f>input!F3</f>
        <v>2</v>
      </c>
      <c r="C766" s="594">
        <f>input!G3</f>
        <v>500</v>
      </c>
      <c r="D766" s="594">
        <f>input!H3</f>
        <v>22</v>
      </c>
      <c r="E766" s="594">
        <f>input!J3</f>
        <v>1940</v>
      </c>
      <c r="F766" s="594">
        <f>input!K3</f>
        <v>12</v>
      </c>
      <c r="G766" s="594">
        <f>input!L3</f>
        <v>120</v>
      </c>
      <c r="H766" s="594">
        <f>input!R3</f>
        <v>0</v>
      </c>
      <c r="I766" s="594">
        <f>input!P3</f>
        <v>290</v>
      </c>
      <c r="J766" s="594">
        <f>input!U3</f>
        <v>2350</v>
      </c>
      <c r="K766" s="594">
        <f>input!M3</f>
        <v>2600</v>
      </c>
      <c r="L766" s="850">
        <f t="shared" ref="L766:L797" si="28">+(J766+E766-2*G766)*(K766+D766/2+F766/2)/2</f>
        <v>5299425</v>
      </c>
      <c r="M766" s="851">
        <f t="shared" ref="M766:M797" si="29">+(J766+E766-2*G766)*(K766+F766/2+H766+I766/2)/2</f>
        <v>5570775</v>
      </c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E766" s="143"/>
      <c r="AF766" s="143"/>
      <c r="AG766" s="143"/>
      <c r="AH766" s="143"/>
      <c r="AI766" s="143"/>
      <c r="AJ766" s="143"/>
      <c r="AK766" s="143"/>
      <c r="AL766" s="143"/>
      <c r="AM766" s="143"/>
      <c r="AN766" s="143"/>
      <c r="AO766" s="143"/>
      <c r="AP766" s="143"/>
      <c r="AQ766" s="143"/>
    </row>
    <row r="767" spans="1:43" ht="15" customHeight="1">
      <c r="A767" s="593" t="str">
        <f>+input!B4</f>
        <v>101j</v>
      </c>
      <c r="B767" s="594">
        <f>input!F4</f>
        <v>2</v>
      </c>
      <c r="C767" s="594">
        <f>input!G4</f>
        <v>500</v>
      </c>
      <c r="D767" s="594">
        <f>input!H4</f>
        <v>22</v>
      </c>
      <c r="E767" s="594">
        <f>input!J4</f>
        <v>1940</v>
      </c>
      <c r="F767" s="594">
        <f>input!K4</f>
        <v>12</v>
      </c>
      <c r="G767" s="594">
        <f>input!L4</f>
        <v>120</v>
      </c>
      <c r="H767" s="594">
        <f>input!R4</f>
        <v>0</v>
      </c>
      <c r="I767" s="594">
        <f>input!P4</f>
        <v>290</v>
      </c>
      <c r="J767" s="594">
        <f>input!U4</f>
        <v>2350</v>
      </c>
      <c r="K767" s="594">
        <f>input!M4</f>
        <v>2600</v>
      </c>
      <c r="L767" s="850">
        <f t="shared" si="28"/>
        <v>5299425</v>
      </c>
      <c r="M767" s="851">
        <f t="shared" si="29"/>
        <v>5570775</v>
      </c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E767" s="143"/>
      <c r="AF767" s="143"/>
      <c r="AG767" s="143"/>
      <c r="AH767" s="143"/>
      <c r="AI767" s="143"/>
      <c r="AJ767" s="143"/>
      <c r="AK767" s="143"/>
      <c r="AL767" s="143"/>
      <c r="AM767" s="143"/>
      <c r="AN767" s="143"/>
      <c r="AO767" s="143"/>
      <c r="AP767" s="143"/>
      <c r="AQ767" s="143"/>
    </row>
    <row r="768" spans="1:43" ht="15" customHeight="1">
      <c r="A768" s="593" t="str">
        <f>+input!B5</f>
        <v>102i</v>
      </c>
      <c r="B768" s="594">
        <f>input!F5</f>
        <v>2</v>
      </c>
      <c r="C768" s="594">
        <f>input!G5</f>
        <v>500</v>
      </c>
      <c r="D768" s="594">
        <f>input!H5</f>
        <v>22</v>
      </c>
      <c r="E768" s="594">
        <f>input!J5</f>
        <v>1940</v>
      </c>
      <c r="F768" s="594">
        <f>input!K5</f>
        <v>12</v>
      </c>
      <c r="G768" s="594">
        <f>input!L5</f>
        <v>120</v>
      </c>
      <c r="H768" s="594">
        <f>input!R5</f>
        <v>0</v>
      </c>
      <c r="I768" s="594">
        <f>input!P5</f>
        <v>290</v>
      </c>
      <c r="J768" s="594">
        <f>input!U5</f>
        <v>2350</v>
      </c>
      <c r="K768" s="594">
        <f>input!M5</f>
        <v>2600</v>
      </c>
      <c r="L768" s="850">
        <f t="shared" si="28"/>
        <v>5299425</v>
      </c>
      <c r="M768" s="851">
        <f t="shared" si="29"/>
        <v>5570775</v>
      </c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E768" s="143"/>
      <c r="AF768" s="143"/>
      <c r="AG768" s="143"/>
      <c r="AH768" s="143"/>
      <c r="AI768" s="143"/>
      <c r="AJ768" s="143"/>
      <c r="AK768" s="143"/>
      <c r="AL768" s="143"/>
      <c r="AM768" s="143"/>
      <c r="AN768" s="143"/>
      <c r="AO768" s="143"/>
      <c r="AP768" s="143"/>
      <c r="AQ768" s="143"/>
    </row>
    <row r="769" spans="1:43" ht="15" customHeight="1">
      <c r="A769" s="593" t="str">
        <f>+input!B6</f>
        <v>102j</v>
      </c>
      <c r="B769" s="594">
        <f>input!F6</f>
        <v>2</v>
      </c>
      <c r="C769" s="594">
        <f>input!G6</f>
        <v>500</v>
      </c>
      <c r="D769" s="594">
        <f>input!H6</f>
        <v>22</v>
      </c>
      <c r="E769" s="594">
        <f>input!J6</f>
        <v>1940</v>
      </c>
      <c r="F769" s="594">
        <f>input!K6</f>
        <v>12</v>
      </c>
      <c r="G769" s="594">
        <f>input!L6</f>
        <v>120</v>
      </c>
      <c r="H769" s="594">
        <f>input!R6</f>
        <v>0</v>
      </c>
      <c r="I769" s="594">
        <f>input!P6</f>
        <v>290</v>
      </c>
      <c r="J769" s="594">
        <f>input!U6</f>
        <v>2350</v>
      </c>
      <c r="K769" s="594">
        <f>input!M6</f>
        <v>2600</v>
      </c>
      <c r="L769" s="850">
        <f t="shared" si="28"/>
        <v>5299425</v>
      </c>
      <c r="M769" s="851">
        <f t="shared" si="29"/>
        <v>5570775</v>
      </c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E769" s="143"/>
      <c r="AF769" s="143"/>
      <c r="AG769" s="143"/>
      <c r="AH769" s="143"/>
      <c r="AI769" s="143"/>
      <c r="AJ769" s="143"/>
      <c r="AK769" s="143"/>
      <c r="AL769" s="143"/>
      <c r="AM769" s="143"/>
      <c r="AN769" s="143"/>
      <c r="AO769" s="143"/>
      <c r="AP769" s="143"/>
      <c r="AQ769" s="143"/>
    </row>
    <row r="770" spans="1:43" ht="15" customHeight="1">
      <c r="A770" s="593" t="str">
        <f>+input!B7</f>
        <v>103i</v>
      </c>
      <c r="B770" s="594">
        <f>input!F7</f>
        <v>2</v>
      </c>
      <c r="C770" s="594">
        <f>input!G7</f>
        <v>500</v>
      </c>
      <c r="D770" s="594">
        <f>input!H7</f>
        <v>30</v>
      </c>
      <c r="E770" s="594">
        <f>input!J7</f>
        <v>1940</v>
      </c>
      <c r="F770" s="594">
        <f>input!K7</f>
        <v>18</v>
      </c>
      <c r="G770" s="594">
        <f>input!L7</f>
        <v>120</v>
      </c>
      <c r="H770" s="594">
        <f>input!R7</f>
        <v>0</v>
      </c>
      <c r="I770" s="594">
        <f>input!P7</f>
        <v>290</v>
      </c>
      <c r="J770" s="594">
        <f>input!U7</f>
        <v>2400</v>
      </c>
      <c r="K770" s="594">
        <f>input!M7</f>
        <v>2800</v>
      </c>
      <c r="L770" s="850">
        <f t="shared" si="28"/>
        <v>5789200</v>
      </c>
      <c r="M770" s="851">
        <f t="shared" si="29"/>
        <v>6055700</v>
      </c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E770" s="143"/>
      <c r="AF770" s="143"/>
      <c r="AG770" s="143"/>
      <c r="AH770" s="143"/>
      <c r="AI770" s="143"/>
      <c r="AJ770" s="143"/>
      <c r="AK770" s="143"/>
      <c r="AL770" s="143"/>
      <c r="AM770" s="143"/>
      <c r="AN770" s="143"/>
      <c r="AO770" s="143"/>
      <c r="AP770" s="143"/>
      <c r="AQ770" s="143"/>
    </row>
    <row r="771" spans="1:43" ht="15" customHeight="1">
      <c r="A771" s="593" t="str">
        <f>+input!B8</f>
        <v>103j</v>
      </c>
      <c r="B771" s="594">
        <f>input!F8</f>
        <v>2</v>
      </c>
      <c r="C771" s="594">
        <f>input!G8</f>
        <v>500</v>
      </c>
      <c r="D771" s="594">
        <f>input!H8</f>
        <v>30</v>
      </c>
      <c r="E771" s="594">
        <f>input!J8</f>
        <v>1940</v>
      </c>
      <c r="F771" s="594">
        <f>input!K8</f>
        <v>18</v>
      </c>
      <c r="G771" s="594">
        <f>input!L8</f>
        <v>120</v>
      </c>
      <c r="H771" s="594">
        <f>input!R8</f>
        <v>0</v>
      </c>
      <c r="I771" s="594">
        <f>input!P8</f>
        <v>290</v>
      </c>
      <c r="J771" s="594">
        <f>input!U8</f>
        <v>2400</v>
      </c>
      <c r="K771" s="594">
        <f>input!M8</f>
        <v>2800</v>
      </c>
      <c r="L771" s="850">
        <f t="shared" si="28"/>
        <v>5789200</v>
      </c>
      <c r="M771" s="851">
        <f t="shared" si="29"/>
        <v>6055700</v>
      </c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E771" s="143"/>
      <c r="AF771" s="143"/>
      <c r="AG771" s="143"/>
      <c r="AH771" s="143"/>
      <c r="AI771" s="143"/>
      <c r="AJ771" s="143"/>
      <c r="AK771" s="143"/>
      <c r="AL771" s="143"/>
      <c r="AM771" s="143"/>
      <c r="AN771" s="143"/>
      <c r="AO771" s="143"/>
      <c r="AP771" s="143"/>
      <c r="AQ771" s="143"/>
    </row>
    <row r="772" spans="1:43" ht="15" customHeight="1">
      <c r="A772" s="593" t="str">
        <f>+input!B9</f>
        <v>104i</v>
      </c>
      <c r="B772" s="594">
        <f>input!F9</f>
        <v>2</v>
      </c>
      <c r="C772" s="594">
        <f>input!G9</f>
        <v>500</v>
      </c>
      <c r="D772" s="594">
        <f>input!H9</f>
        <v>30</v>
      </c>
      <c r="E772" s="594">
        <f>input!J9</f>
        <v>1940</v>
      </c>
      <c r="F772" s="594">
        <f>input!K9</f>
        <v>18</v>
      </c>
      <c r="G772" s="594">
        <f>input!L9</f>
        <v>120</v>
      </c>
      <c r="H772" s="594">
        <f>input!R9</f>
        <v>0</v>
      </c>
      <c r="I772" s="594">
        <f>input!P9</f>
        <v>290</v>
      </c>
      <c r="J772" s="594">
        <f>input!U9</f>
        <v>2400</v>
      </c>
      <c r="K772" s="594">
        <f>input!M9</f>
        <v>2800</v>
      </c>
      <c r="L772" s="850">
        <f t="shared" si="28"/>
        <v>5789200</v>
      </c>
      <c r="M772" s="851">
        <f t="shared" si="29"/>
        <v>6055700</v>
      </c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E772" s="143"/>
      <c r="AF772" s="143"/>
      <c r="AG772" s="143"/>
      <c r="AH772" s="143"/>
      <c r="AI772" s="143"/>
      <c r="AJ772" s="143"/>
      <c r="AK772" s="143"/>
      <c r="AL772" s="143"/>
      <c r="AM772" s="143"/>
      <c r="AN772" s="143"/>
      <c r="AO772" s="143"/>
      <c r="AP772" s="143"/>
      <c r="AQ772" s="143"/>
    </row>
    <row r="773" spans="1:43" ht="15" customHeight="1">
      <c r="A773" s="593" t="str">
        <f>+input!B10</f>
        <v>104j</v>
      </c>
      <c r="B773" s="594">
        <f>input!F10</f>
        <v>2</v>
      </c>
      <c r="C773" s="594">
        <f>input!G10</f>
        <v>500</v>
      </c>
      <c r="D773" s="594">
        <f>input!H10</f>
        <v>30</v>
      </c>
      <c r="E773" s="594">
        <f>input!J10</f>
        <v>1940</v>
      </c>
      <c r="F773" s="594">
        <f>input!K10</f>
        <v>18</v>
      </c>
      <c r="G773" s="594">
        <f>input!L10</f>
        <v>120</v>
      </c>
      <c r="H773" s="594">
        <f>input!R10</f>
        <v>0</v>
      </c>
      <c r="I773" s="594">
        <f>input!P10</f>
        <v>290</v>
      </c>
      <c r="J773" s="594">
        <f>input!U10</f>
        <v>2400</v>
      </c>
      <c r="K773" s="594">
        <f>input!M10</f>
        <v>2800</v>
      </c>
      <c r="L773" s="850">
        <f t="shared" si="28"/>
        <v>5789200</v>
      </c>
      <c r="M773" s="851">
        <f t="shared" si="29"/>
        <v>6055700</v>
      </c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E773" s="143"/>
      <c r="AF773" s="143"/>
      <c r="AG773" s="143"/>
      <c r="AH773" s="143"/>
      <c r="AI773" s="143"/>
      <c r="AJ773" s="143"/>
      <c r="AK773" s="143"/>
      <c r="AL773" s="143"/>
      <c r="AM773" s="143"/>
      <c r="AN773" s="143"/>
      <c r="AO773" s="143"/>
      <c r="AP773" s="143"/>
      <c r="AQ773" s="143"/>
    </row>
    <row r="774" spans="1:43" ht="15" customHeight="1">
      <c r="A774" s="593" t="str">
        <f>+input!B11</f>
        <v>105i</v>
      </c>
      <c r="B774" s="594">
        <f>input!F11</f>
        <v>2</v>
      </c>
      <c r="C774" s="594">
        <f>input!G11</f>
        <v>500</v>
      </c>
      <c r="D774" s="594">
        <f>input!H11</f>
        <v>38</v>
      </c>
      <c r="E774" s="594">
        <f>input!J11</f>
        <v>1940</v>
      </c>
      <c r="F774" s="594">
        <f>input!K11</f>
        <v>34</v>
      </c>
      <c r="G774" s="594">
        <f>input!L11</f>
        <v>120</v>
      </c>
      <c r="H774" s="594">
        <f>input!R11</f>
        <v>0</v>
      </c>
      <c r="I774" s="594">
        <f>input!P11</f>
        <v>290</v>
      </c>
      <c r="J774" s="594">
        <f>input!U11</f>
        <v>2400</v>
      </c>
      <c r="K774" s="594">
        <f>input!M11</f>
        <v>2800</v>
      </c>
      <c r="L774" s="850">
        <f t="shared" si="28"/>
        <v>5813800</v>
      </c>
      <c r="M774" s="851">
        <f t="shared" si="29"/>
        <v>6072100</v>
      </c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E774" s="143"/>
      <c r="AF774" s="143"/>
      <c r="AG774" s="143"/>
      <c r="AH774" s="143"/>
      <c r="AI774" s="143"/>
      <c r="AJ774" s="143"/>
      <c r="AK774" s="143"/>
      <c r="AL774" s="143"/>
      <c r="AM774" s="143"/>
      <c r="AN774" s="143"/>
      <c r="AO774" s="143"/>
      <c r="AP774" s="143"/>
      <c r="AQ774" s="143"/>
    </row>
    <row r="775" spans="1:43" ht="15" customHeight="1">
      <c r="A775" s="593" t="str">
        <f>+input!B12</f>
        <v>105j</v>
      </c>
      <c r="B775" s="594">
        <f>input!F12</f>
        <v>2</v>
      </c>
      <c r="C775" s="594">
        <f>input!G12</f>
        <v>500</v>
      </c>
      <c r="D775" s="594">
        <f>input!H12</f>
        <v>38</v>
      </c>
      <c r="E775" s="594">
        <f>input!J12</f>
        <v>1940</v>
      </c>
      <c r="F775" s="594">
        <f>input!K12</f>
        <v>34</v>
      </c>
      <c r="G775" s="594">
        <f>input!L12</f>
        <v>120</v>
      </c>
      <c r="H775" s="594">
        <f>input!R12</f>
        <v>0</v>
      </c>
      <c r="I775" s="594">
        <f>input!P12</f>
        <v>290</v>
      </c>
      <c r="J775" s="594">
        <f>input!U12</f>
        <v>2400</v>
      </c>
      <c r="K775" s="594">
        <f>input!M12</f>
        <v>2800</v>
      </c>
      <c r="L775" s="850">
        <f t="shared" si="28"/>
        <v>5813800</v>
      </c>
      <c r="M775" s="851">
        <f t="shared" si="29"/>
        <v>6072100</v>
      </c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E775" s="143"/>
      <c r="AF775" s="143"/>
      <c r="AG775" s="143"/>
      <c r="AH775" s="143"/>
      <c r="AI775" s="143"/>
      <c r="AJ775" s="143"/>
      <c r="AK775" s="143"/>
      <c r="AL775" s="143"/>
      <c r="AM775" s="143"/>
      <c r="AN775" s="143"/>
      <c r="AO775" s="143"/>
      <c r="AP775" s="143"/>
      <c r="AQ775" s="143"/>
    </row>
    <row r="776" spans="1:43" ht="15" customHeight="1">
      <c r="A776" s="593" t="str">
        <f>+input!B13</f>
        <v>106i</v>
      </c>
      <c r="B776" s="594">
        <f>input!F13</f>
        <v>2</v>
      </c>
      <c r="C776" s="594">
        <f>input!G13</f>
        <v>500</v>
      </c>
      <c r="D776" s="594">
        <f>input!H13</f>
        <v>38</v>
      </c>
      <c r="E776" s="594">
        <f>input!J13</f>
        <v>1940</v>
      </c>
      <c r="F776" s="594">
        <f>input!K13</f>
        <v>34</v>
      </c>
      <c r="G776" s="594">
        <f>input!L13</f>
        <v>120</v>
      </c>
      <c r="H776" s="594">
        <f>input!R13</f>
        <v>0</v>
      </c>
      <c r="I776" s="594">
        <f>input!P13</f>
        <v>290</v>
      </c>
      <c r="J776" s="594">
        <f>input!U13</f>
        <v>2400</v>
      </c>
      <c r="K776" s="594">
        <f>input!M13</f>
        <v>2800</v>
      </c>
      <c r="L776" s="850">
        <f t="shared" si="28"/>
        <v>5813800</v>
      </c>
      <c r="M776" s="851">
        <f t="shared" si="29"/>
        <v>6072100</v>
      </c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E776" s="143"/>
      <c r="AF776" s="143"/>
      <c r="AG776" s="143"/>
      <c r="AH776" s="143"/>
      <c r="AI776" s="143"/>
      <c r="AJ776" s="143"/>
      <c r="AK776" s="143"/>
      <c r="AL776" s="143"/>
      <c r="AM776" s="143"/>
      <c r="AN776" s="143"/>
      <c r="AO776" s="143"/>
      <c r="AP776" s="143"/>
      <c r="AQ776" s="143"/>
    </row>
    <row r="777" spans="1:43" ht="15" customHeight="1">
      <c r="A777" s="593" t="str">
        <f>+input!B14</f>
        <v>106j</v>
      </c>
      <c r="B777" s="594">
        <f>input!F14</f>
        <v>2</v>
      </c>
      <c r="C777" s="594">
        <f>input!G14</f>
        <v>500</v>
      </c>
      <c r="D777" s="594">
        <f>input!H14</f>
        <v>38</v>
      </c>
      <c r="E777" s="594">
        <f>input!J14</f>
        <v>1940</v>
      </c>
      <c r="F777" s="594">
        <f>input!K14</f>
        <v>34</v>
      </c>
      <c r="G777" s="594">
        <f>input!L14</f>
        <v>120</v>
      </c>
      <c r="H777" s="594">
        <f>input!R14</f>
        <v>0</v>
      </c>
      <c r="I777" s="594">
        <f>input!P14</f>
        <v>290</v>
      </c>
      <c r="J777" s="594">
        <f>input!U14</f>
        <v>2400</v>
      </c>
      <c r="K777" s="594">
        <f>input!M14</f>
        <v>2800</v>
      </c>
      <c r="L777" s="850">
        <f t="shared" si="28"/>
        <v>5813800</v>
      </c>
      <c r="M777" s="851">
        <f t="shared" si="29"/>
        <v>6072100</v>
      </c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E777" s="143"/>
      <c r="AF777" s="143"/>
      <c r="AG777" s="143"/>
      <c r="AH777" s="143"/>
      <c r="AI777" s="143"/>
      <c r="AJ777" s="143"/>
      <c r="AK777" s="143"/>
      <c r="AL777" s="143"/>
      <c r="AM777" s="143"/>
      <c r="AN777" s="143"/>
      <c r="AO777" s="143"/>
      <c r="AP777" s="143"/>
      <c r="AQ777" s="143"/>
    </row>
    <row r="778" spans="1:43" ht="15" customHeight="1">
      <c r="A778" s="593" t="str">
        <f>+input!B15</f>
        <v>107i</v>
      </c>
      <c r="B778" s="594">
        <f>input!F15</f>
        <v>2</v>
      </c>
      <c r="C778" s="594">
        <f>input!G15</f>
        <v>600</v>
      </c>
      <c r="D778" s="594">
        <f>input!H15</f>
        <v>40</v>
      </c>
      <c r="E778" s="594">
        <f>input!J15</f>
        <v>1940</v>
      </c>
      <c r="F778" s="594">
        <f>input!K15</f>
        <v>40</v>
      </c>
      <c r="G778" s="594">
        <f>input!L15</f>
        <v>120</v>
      </c>
      <c r="H778" s="594">
        <f>input!R15</f>
        <v>0</v>
      </c>
      <c r="I778" s="594">
        <f>input!P15</f>
        <v>290</v>
      </c>
      <c r="J778" s="594">
        <f>input!U15</f>
        <v>2400</v>
      </c>
      <c r="K778" s="594">
        <f>input!M15</f>
        <v>2800</v>
      </c>
      <c r="L778" s="850">
        <f t="shared" si="28"/>
        <v>5822000</v>
      </c>
      <c r="M778" s="851">
        <f t="shared" si="29"/>
        <v>6078250</v>
      </c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E778" s="143"/>
      <c r="AF778" s="143"/>
      <c r="AG778" s="143"/>
      <c r="AH778" s="143"/>
      <c r="AI778" s="143"/>
      <c r="AJ778" s="143"/>
      <c r="AK778" s="143"/>
      <c r="AL778" s="143"/>
      <c r="AM778" s="143"/>
      <c r="AN778" s="143"/>
      <c r="AO778" s="143"/>
      <c r="AP778" s="143"/>
      <c r="AQ778" s="143"/>
    </row>
    <row r="779" spans="1:43" ht="15" customHeight="1">
      <c r="A779" s="593" t="str">
        <f>+input!B16</f>
        <v>107j</v>
      </c>
      <c r="B779" s="594">
        <f>input!F16</f>
        <v>2</v>
      </c>
      <c r="C779" s="594">
        <f>input!G16</f>
        <v>600</v>
      </c>
      <c r="D779" s="594">
        <f>input!H16</f>
        <v>40</v>
      </c>
      <c r="E779" s="594">
        <f>input!J16</f>
        <v>1940</v>
      </c>
      <c r="F779" s="594">
        <f>input!K16</f>
        <v>40</v>
      </c>
      <c r="G779" s="594">
        <f>input!L16</f>
        <v>120</v>
      </c>
      <c r="H779" s="594">
        <f>input!R16</f>
        <v>0</v>
      </c>
      <c r="I779" s="594">
        <f>input!P16</f>
        <v>290</v>
      </c>
      <c r="J779" s="594">
        <f>input!U16</f>
        <v>2400</v>
      </c>
      <c r="K779" s="594">
        <f>input!M16</f>
        <v>2800</v>
      </c>
      <c r="L779" s="850">
        <f t="shared" si="28"/>
        <v>5822000</v>
      </c>
      <c r="M779" s="851">
        <f t="shared" si="29"/>
        <v>6078250</v>
      </c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E779" s="143"/>
      <c r="AF779" s="143"/>
      <c r="AG779" s="143"/>
      <c r="AH779" s="143"/>
      <c r="AI779" s="143"/>
      <c r="AJ779" s="143"/>
      <c r="AK779" s="143"/>
      <c r="AL779" s="143"/>
      <c r="AM779" s="143"/>
      <c r="AN779" s="143"/>
      <c r="AO779" s="143"/>
      <c r="AP779" s="143"/>
      <c r="AQ779" s="143"/>
    </row>
    <row r="780" spans="1:43" ht="15" customHeight="1">
      <c r="A780" s="593" t="str">
        <f>+input!B17</f>
        <v>108i</v>
      </c>
      <c r="B780" s="594">
        <f>input!F17</f>
        <v>2</v>
      </c>
      <c r="C780" s="594">
        <f>input!G17</f>
        <v>600</v>
      </c>
      <c r="D780" s="594">
        <f>input!H17</f>
        <v>40</v>
      </c>
      <c r="E780" s="594">
        <f>input!J17</f>
        <v>1940</v>
      </c>
      <c r="F780" s="594">
        <f>input!K17</f>
        <v>40</v>
      </c>
      <c r="G780" s="594">
        <f>input!L17</f>
        <v>120</v>
      </c>
      <c r="H780" s="594">
        <f>input!R17</f>
        <v>0</v>
      </c>
      <c r="I780" s="594">
        <f>input!P17</f>
        <v>290</v>
      </c>
      <c r="J780" s="594">
        <f>input!U17</f>
        <v>2400</v>
      </c>
      <c r="K780" s="594">
        <f>input!M17</f>
        <v>2800</v>
      </c>
      <c r="L780" s="850">
        <f t="shared" si="28"/>
        <v>5822000</v>
      </c>
      <c r="M780" s="851">
        <f t="shared" si="29"/>
        <v>6078250</v>
      </c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E780" s="143"/>
      <c r="AF780" s="143"/>
      <c r="AG780" s="143"/>
      <c r="AH780" s="143"/>
      <c r="AI780" s="143"/>
      <c r="AJ780" s="143"/>
      <c r="AK780" s="143"/>
      <c r="AL780" s="143"/>
      <c r="AM780" s="143"/>
      <c r="AN780" s="143"/>
      <c r="AO780" s="143"/>
      <c r="AP780" s="143"/>
      <c r="AQ780" s="143"/>
    </row>
    <row r="781" spans="1:43" ht="15" customHeight="1">
      <c r="A781" s="593" t="str">
        <f>+input!B18</f>
        <v>108j</v>
      </c>
      <c r="B781" s="594">
        <f>input!F18</f>
        <v>2</v>
      </c>
      <c r="C781" s="594">
        <f>input!G18</f>
        <v>600</v>
      </c>
      <c r="D781" s="594">
        <f>input!H18</f>
        <v>40</v>
      </c>
      <c r="E781" s="594">
        <f>input!J18</f>
        <v>1940</v>
      </c>
      <c r="F781" s="594">
        <f>input!K18</f>
        <v>40</v>
      </c>
      <c r="G781" s="594">
        <f>input!L18</f>
        <v>120</v>
      </c>
      <c r="H781" s="594">
        <f>input!R18</f>
        <v>0</v>
      </c>
      <c r="I781" s="594">
        <f>input!P18</f>
        <v>290</v>
      </c>
      <c r="J781" s="594">
        <f>input!U18</f>
        <v>2400</v>
      </c>
      <c r="K781" s="594">
        <f>input!M18</f>
        <v>2800</v>
      </c>
      <c r="L781" s="850">
        <f t="shared" si="28"/>
        <v>5822000</v>
      </c>
      <c r="M781" s="851">
        <f t="shared" si="29"/>
        <v>6078250</v>
      </c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E781" s="143"/>
      <c r="AF781" s="143"/>
      <c r="AG781" s="143"/>
      <c r="AH781" s="143"/>
      <c r="AI781" s="143"/>
      <c r="AJ781" s="143"/>
      <c r="AK781" s="143"/>
      <c r="AL781" s="143"/>
      <c r="AM781" s="143"/>
      <c r="AN781" s="143"/>
      <c r="AO781" s="143"/>
      <c r="AP781" s="143"/>
      <c r="AQ781" s="143"/>
    </row>
    <row r="782" spans="1:43" ht="15" customHeight="1">
      <c r="A782" s="593" t="str">
        <f>+input!B19</f>
        <v>109i</v>
      </c>
      <c r="B782" s="594">
        <f>input!F19</f>
        <v>2</v>
      </c>
      <c r="C782" s="594">
        <f>input!G19</f>
        <v>600</v>
      </c>
      <c r="D782" s="594">
        <f>input!H19</f>
        <v>40</v>
      </c>
      <c r="E782" s="594">
        <f>input!J19</f>
        <v>1940</v>
      </c>
      <c r="F782" s="594">
        <f>input!K19</f>
        <v>40</v>
      </c>
      <c r="G782" s="594">
        <f>input!L19</f>
        <v>120</v>
      </c>
      <c r="H782" s="594">
        <f>input!R19</f>
        <v>0</v>
      </c>
      <c r="I782" s="594">
        <f>input!P19</f>
        <v>290</v>
      </c>
      <c r="J782" s="594">
        <f>input!U19</f>
        <v>2400</v>
      </c>
      <c r="K782" s="594">
        <f>input!M19</f>
        <v>2800</v>
      </c>
      <c r="L782" s="850">
        <f t="shared" si="28"/>
        <v>5822000</v>
      </c>
      <c r="M782" s="851">
        <f t="shared" si="29"/>
        <v>6078250</v>
      </c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E782" s="143"/>
      <c r="AF782" s="143"/>
      <c r="AG782" s="143"/>
      <c r="AH782" s="143"/>
      <c r="AI782" s="143"/>
      <c r="AJ782" s="143"/>
      <c r="AK782" s="143"/>
      <c r="AL782" s="143"/>
      <c r="AM782" s="143"/>
      <c r="AN782" s="143"/>
      <c r="AO782" s="143"/>
      <c r="AP782" s="143"/>
      <c r="AQ782" s="143"/>
    </row>
    <row r="783" spans="1:43" ht="15" customHeight="1">
      <c r="A783" s="593" t="str">
        <f>+input!B20</f>
        <v>109j</v>
      </c>
      <c r="B783" s="594">
        <f>input!F20</f>
        <v>2</v>
      </c>
      <c r="C783" s="594">
        <f>input!G20</f>
        <v>600</v>
      </c>
      <c r="D783" s="594">
        <f>input!H20</f>
        <v>40</v>
      </c>
      <c r="E783" s="594">
        <f>input!J20</f>
        <v>1940</v>
      </c>
      <c r="F783" s="594">
        <f>input!K20</f>
        <v>40</v>
      </c>
      <c r="G783" s="594">
        <f>input!L20</f>
        <v>120</v>
      </c>
      <c r="H783" s="594">
        <f>input!R20</f>
        <v>0</v>
      </c>
      <c r="I783" s="594">
        <f>input!P20</f>
        <v>290</v>
      </c>
      <c r="J783" s="594">
        <f>input!U20</f>
        <v>2400</v>
      </c>
      <c r="K783" s="594">
        <f>input!M20</f>
        <v>2800</v>
      </c>
      <c r="L783" s="850">
        <f t="shared" si="28"/>
        <v>5822000</v>
      </c>
      <c r="M783" s="851">
        <f t="shared" si="29"/>
        <v>6078250</v>
      </c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E783" s="143"/>
      <c r="AF783" s="143"/>
      <c r="AG783" s="143"/>
      <c r="AH783" s="143"/>
      <c r="AI783" s="143"/>
      <c r="AJ783" s="143"/>
      <c r="AK783" s="143"/>
      <c r="AL783" s="143"/>
      <c r="AM783" s="143"/>
      <c r="AN783" s="143"/>
      <c r="AO783" s="143"/>
      <c r="AP783" s="143"/>
      <c r="AQ783" s="143"/>
    </row>
    <row r="784" spans="1:43" ht="15" customHeight="1">
      <c r="A784" s="593" t="str">
        <f>+input!B21</f>
        <v>110i</v>
      </c>
      <c r="B784" s="594">
        <f>input!F21</f>
        <v>2</v>
      </c>
      <c r="C784" s="594">
        <f>input!G21</f>
        <v>600</v>
      </c>
      <c r="D784" s="594">
        <f>input!H21</f>
        <v>40</v>
      </c>
      <c r="E784" s="594">
        <f>input!J21</f>
        <v>1940</v>
      </c>
      <c r="F784" s="594">
        <f>input!K21</f>
        <v>40</v>
      </c>
      <c r="G784" s="594">
        <f>input!L21</f>
        <v>120</v>
      </c>
      <c r="H784" s="594">
        <f>input!R21</f>
        <v>0</v>
      </c>
      <c r="I784" s="594">
        <f>input!P21</f>
        <v>290</v>
      </c>
      <c r="J784" s="594">
        <f>input!U21</f>
        <v>2400</v>
      </c>
      <c r="K784" s="594">
        <f>input!M21</f>
        <v>2800</v>
      </c>
      <c r="L784" s="850">
        <f t="shared" si="28"/>
        <v>5822000</v>
      </c>
      <c r="M784" s="851">
        <f t="shared" si="29"/>
        <v>6078250</v>
      </c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E784" s="143"/>
      <c r="AF784" s="143"/>
      <c r="AG784" s="143"/>
      <c r="AH784" s="143"/>
      <c r="AI784" s="143"/>
      <c r="AJ784" s="143"/>
      <c r="AK784" s="143"/>
      <c r="AL784" s="143"/>
      <c r="AM784" s="143"/>
      <c r="AN784" s="143"/>
      <c r="AO784" s="143"/>
      <c r="AP784" s="143"/>
      <c r="AQ784" s="143"/>
    </row>
    <row r="785" spans="1:43" ht="15" customHeight="1">
      <c r="A785" s="593" t="str">
        <f>+input!B22</f>
        <v>110j</v>
      </c>
      <c r="B785" s="594">
        <f>input!F22</f>
        <v>2</v>
      </c>
      <c r="C785" s="594">
        <f>input!G22</f>
        <v>600</v>
      </c>
      <c r="D785" s="594">
        <f>input!H22</f>
        <v>40</v>
      </c>
      <c r="E785" s="594">
        <f>input!J22</f>
        <v>1940</v>
      </c>
      <c r="F785" s="594">
        <f>input!K22</f>
        <v>40</v>
      </c>
      <c r="G785" s="594">
        <f>input!L22</f>
        <v>120</v>
      </c>
      <c r="H785" s="594">
        <f>input!R22</f>
        <v>0</v>
      </c>
      <c r="I785" s="594">
        <f>input!P22</f>
        <v>290</v>
      </c>
      <c r="J785" s="594">
        <f>input!U22</f>
        <v>2400</v>
      </c>
      <c r="K785" s="594">
        <f>input!M22</f>
        <v>2800</v>
      </c>
      <c r="L785" s="850">
        <f t="shared" si="28"/>
        <v>5822000</v>
      </c>
      <c r="M785" s="851">
        <f t="shared" si="29"/>
        <v>6078250</v>
      </c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E785" s="143"/>
      <c r="AF785" s="143"/>
      <c r="AG785" s="143"/>
      <c r="AH785" s="143"/>
      <c r="AI785" s="143"/>
      <c r="AJ785" s="143"/>
      <c r="AK785" s="143"/>
      <c r="AL785" s="143"/>
      <c r="AM785" s="143"/>
      <c r="AN785" s="143"/>
      <c r="AO785" s="143"/>
      <c r="AP785" s="143"/>
      <c r="AQ785" s="143"/>
    </row>
    <row r="786" spans="1:43" ht="15" customHeight="1">
      <c r="A786" s="593" t="str">
        <f>+input!B23</f>
        <v>111i</v>
      </c>
      <c r="B786" s="594">
        <f>input!F23</f>
        <v>2</v>
      </c>
      <c r="C786" s="594">
        <f>input!G23</f>
        <v>600</v>
      </c>
      <c r="D786" s="594">
        <f>input!H23</f>
        <v>40</v>
      </c>
      <c r="E786" s="594">
        <f>input!J23</f>
        <v>1940</v>
      </c>
      <c r="F786" s="594">
        <f>input!K23</f>
        <v>40</v>
      </c>
      <c r="G786" s="594">
        <f>input!L23</f>
        <v>120</v>
      </c>
      <c r="H786" s="594">
        <f>input!R23</f>
        <v>0</v>
      </c>
      <c r="I786" s="594">
        <f>input!P23</f>
        <v>290</v>
      </c>
      <c r="J786" s="594">
        <f>input!U23</f>
        <v>2400</v>
      </c>
      <c r="K786" s="594">
        <f>input!M23</f>
        <v>2800</v>
      </c>
      <c r="L786" s="850">
        <f t="shared" si="28"/>
        <v>5822000</v>
      </c>
      <c r="M786" s="851">
        <f t="shared" si="29"/>
        <v>6078250</v>
      </c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E786" s="143"/>
      <c r="AF786" s="143"/>
      <c r="AG786" s="143"/>
      <c r="AH786" s="143"/>
      <c r="AI786" s="143"/>
      <c r="AJ786" s="143"/>
      <c r="AK786" s="143"/>
      <c r="AL786" s="143"/>
      <c r="AM786" s="143"/>
      <c r="AN786" s="143"/>
      <c r="AO786" s="143"/>
      <c r="AP786" s="143"/>
      <c r="AQ786" s="143"/>
    </row>
    <row r="787" spans="1:43" ht="15" customHeight="1">
      <c r="A787" s="593" t="str">
        <f>+input!B24</f>
        <v>111j</v>
      </c>
      <c r="B787" s="594">
        <f>input!F24</f>
        <v>2</v>
      </c>
      <c r="C787" s="594">
        <f>input!G24</f>
        <v>600</v>
      </c>
      <c r="D787" s="594">
        <f>input!H24</f>
        <v>40</v>
      </c>
      <c r="E787" s="594">
        <f>input!J24</f>
        <v>1940</v>
      </c>
      <c r="F787" s="594">
        <f>input!K24</f>
        <v>40</v>
      </c>
      <c r="G787" s="594">
        <f>input!L24</f>
        <v>120</v>
      </c>
      <c r="H787" s="594">
        <f>input!R24</f>
        <v>0</v>
      </c>
      <c r="I787" s="594">
        <f>input!P24</f>
        <v>290</v>
      </c>
      <c r="J787" s="594">
        <f>input!U24</f>
        <v>2400</v>
      </c>
      <c r="K787" s="594">
        <f>input!M24</f>
        <v>2800</v>
      </c>
      <c r="L787" s="850">
        <f t="shared" si="28"/>
        <v>5822000</v>
      </c>
      <c r="M787" s="851">
        <f t="shared" si="29"/>
        <v>6078250</v>
      </c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E787" s="143"/>
      <c r="AF787" s="143"/>
      <c r="AG787" s="143"/>
      <c r="AH787" s="143"/>
      <c r="AI787" s="143"/>
      <c r="AJ787" s="143"/>
      <c r="AK787" s="143"/>
      <c r="AL787" s="143"/>
      <c r="AM787" s="143"/>
      <c r="AN787" s="143"/>
      <c r="AO787" s="143"/>
      <c r="AP787" s="143"/>
      <c r="AQ787" s="143"/>
    </row>
    <row r="788" spans="1:43" ht="15" customHeight="1">
      <c r="A788" s="593" t="str">
        <f>+input!B25</f>
        <v>112i</v>
      </c>
      <c r="B788" s="594">
        <f>input!F25</f>
        <v>2</v>
      </c>
      <c r="C788" s="594">
        <f>input!G25</f>
        <v>500</v>
      </c>
      <c r="D788" s="594">
        <f>input!H25</f>
        <v>36</v>
      </c>
      <c r="E788" s="594">
        <f>input!J25</f>
        <v>1940</v>
      </c>
      <c r="F788" s="594">
        <f>input!K25</f>
        <v>32</v>
      </c>
      <c r="G788" s="594">
        <f>input!L25</f>
        <v>120</v>
      </c>
      <c r="H788" s="594">
        <f>input!R25</f>
        <v>0</v>
      </c>
      <c r="I788" s="594">
        <f>input!P25</f>
        <v>290</v>
      </c>
      <c r="J788" s="594">
        <f>input!U25</f>
        <v>2400</v>
      </c>
      <c r="K788" s="594">
        <f>input!M25</f>
        <v>2800</v>
      </c>
      <c r="L788" s="850">
        <f t="shared" si="28"/>
        <v>5809700</v>
      </c>
      <c r="M788" s="851">
        <f t="shared" si="29"/>
        <v>6070050</v>
      </c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E788" s="143"/>
      <c r="AF788" s="143"/>
      <c r="AG788" s="143"/>
      <c r="AH788" s="143"/>
      <c r="AI788" s="143"/>
      <c r="AJ788" s="143"/>
      <c r="AK788" s="143"/>
      <c r="AL788" s="143"/>
      <c r="AM788" s="143"/>
      <c r="AN788" s="143"/>
      <c r="AO788" s="143"/>
      <c r="AP788" s="143"/>
      <c r="AQ788" s="143"/>
    </row>
    <row r="789" spans="1:43" ht="15" customHeight="1">
      <c r="A789" s="593" t="str">
        <f>+input!B26</f>
        <v>112j</v>
      </c>
      <c r="B789" s="594">
        <f>input!F26</f>
        <v>2</v>
      </c>
      <c r="C789" s="594">
        <f>input!G26</f>
        <v>500</v>
      </c>
      <c r="D789" s="594">
        <f>input!H26</f>
        <v>36</v>
      </c>
      <c r="E789" s="594">
        <f>input!J26</f>
        <v>1940</v>
      </c>
      <c r="F789" s="594">
        <f>input!K26</f>
        <v>32</v>
      </c>
      <c r="G789" s="594">
        <f>input!L26</f>
        <v>120</v>
      </c>
      <c r="H789" s="594">
        <f>input!R26</f>
        <v>0</v>
      </c>
      <c r="I789" s="594">
        <f>input!P26</f>
        <v>290</v>
      </c>
      <c r="J789" s="594">
        <f>input!U26</f>
        <v>2400</v>
      </c>
      <c r="K789" s="594">
        <f>input!M26</f>
        <v>2800</v>
      </c>
      <c r="L789" s="850">
        <f t="shared" si="28"/>
        <v>5809700</v>
      </c>
      <c r="M789" s="851">
        <f t="shared" si="29"/>
        <v>6070050</v>
      </c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E789" s="143"/>
      <c r="AF789" s="143"/>
      <c r="AG789" s="143"/>
      <c r="AH789" s="143"/>
      <c r="AI789" s="143"/>
      <c r="AJ789" s="143"/>
      <c r="AK789" s="143"/>
      <c r="AL789" s="143"/>
      <c r="AM789" s="143"/>
      <c r="AN789" s="143"/>
      <c r="AO789" s="143"/>
      <c r="AP789" s="143"/>
      <c r="AQ789" s="143"/>
    </row>
    <row r="790" spans="1:43" ht="15" customHeight="1">
      <c r="A790" s="593" t="str">
        <f>+input!B27</f>
        <v>113i</v>
      </c>
      <c r="B790" s="594">
        <f>input!F27</f>
        <v>2</v>
      </c>
      <c r="C790" s="594">
        <f>input!G27</f>
        <v>500</v>
      </c>
      <c r="D790" s="594">
        <f>input!H27</f>
        <v>30</v>
      </c>
      <c r="E790" s="594">
        <f>input!J27</f>
        <v>1940</v>
      </c>
      <c r="F790" s="594">
        <f>input!K27</f>
        <v>32</v>
      </c>
      <c r="G790" s="594">
        <f>input!L27</f>
        <v>120</v>
      </c>
      <c r="H790" s="594">
        <f>input!R27</f>
        <v>0</v>
      </c>
      <c r="I790" s="594">
        <f>input!P27</f>
        <v>290</v>
      </c>
      <c r="J790" s="594">
        <f>input!U27</f>
        <v>2400</v>
      </c>
      <c r="K790" s="594">
        <f>input!M27</f>
        <v>2800</v>
      </c>
      <c r="L790" s="850">
        <f t="shared" si="28"/>
        <v>5803550</v>
      </c>
      <c r="M790" s="851">
        <f t="shared" si="29"/>
        <v>6070050</v>
      </c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E790" s="143"/>
      <c r="AF790" s="143"/>
      <c r="AG790" s="143"/>
      <c r="AH790" s="143"/>
      <c r="AI790" s="143"/>
      <c r="AJ790" s="143"/>
      <c r="AK790" s="143"/>
      <c r="AL790" s="143"/>
      <c r="AM790" s="143"/>
      <c r="AN790" s="143"/>
      <c r="AO790" s="143"/>
      <c r="AP790" s="143"/>
      <c r="AQ790" s="143"/>
    </row>
    <row r="791" spans="1:43" ht="15" customHeight="1">
      <c r="A791" s="593" t="str">
        <f>+input!B28</f>
        <v>113j</v>
      </c>
      <c r="B791" s="594">
        <f>input!F28</f>
        <v>2</v>
      </c>
      <c r="C791" s="594">
        <f>input!G28</f>
        <v>500</v>
      </c>
      <c r="D791" s="594">
        <f>input!H28</f>
        <v>30</v>
      </c>
      <c r="E791" s="594">
        <f>input!J28</f>
        <v>1940</v>
      </c>
      <c r="F791" s="594">
        <f>input!K28</f>
        <v>32</v>
      </c>
      <c r="G791" s="594">
        <f>input!L28</f>
        <v>120</v>
      </c>
      <c r="H791" s="594">
        <f>input!R28</f>
        <v>0</v>
      </c>
      <c r="I791" s="594">
        <f>input!P28</f>
        <v>290</v>
      </c>
      <c r="J791" s="594">
        <f>input!U28</f>
        <v>2400</v>
      </c>
      <c r="K791" s="594">
        <f>input!M28</f>
        <v>2800</v>
      </c>
      <c r="L791" s="850">
        <f t="shared" si="28"/>
        <v>5803550</v>
      </c>
      <c r="M791" s="851">
        <f t="shared" si="29"/>
        <v>6070050</v>
      </c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E791" s="143"/>
      <c r="AF791" s="143"/>
      <c r="AG791" s="143"/>
      <c r="AH791" s="143"/>
      <c r="AI791" s="143"/>
      <c r="AJ791" s="143"/>
      <c r="AK791" s="143"/>
      <c r="AL791" s="143"/>
      <c r="AM791" s="143"/>
      <c r="AN791" s="143"/>
      <c r="AO791" s="143"/>
      <c r="AP791" s="143"/>
      <c r="AQ791" s="143"/>
    </row>
    <row r="792" spans="1:43" ht="15" customHeight="1">
      <c r="A792" s="593" t="str">
        <f>+input!B29</f>
        <v>114i</v>
      </c>
      <c r="B792" s="594">
        <f>input!F29</f>
        <v>2</v>
      </c>
      <c r="C792" s="594">
        <f>input!G29</f>
        <v>500</v>
      </c>
      <c r="D792" s="594">
        <f>input!H29</f>
        <v>30</v>
      </c>
      <c r="E792" s="594">
        <f>input!J29</f>
        <v>1940</v>
      </c>
      <c r="F792" s="594">
        <f>input!K29</f>
        <v>32</v>
      </c>
      <c r="G792" s="594">
        <f>input!L29</f>
        <v>120</v>
      </c>
      <c r="H792" s="594">
        <f>input!R29</f>
        <v>0</v>
      </c>
      <c r="I792" s="594">
        <f>input!P29</f>
        <v>290</v>
      </c>
      <c r="J792" s="594">
        <f>input!U29</f>
        <v>2400</v>
      </c>
      <c r="K792" s="594">
        <f>input!M29</f>
        <v>2800</v>
      </c>
      <c r="L792" s="850">
        <f t="shared" si="28"/>
        <v>5803550</v>
      </c>
      <c r="M792" s="851">
        <f t="shared" si="29"/>
        <v>6070050</v>
      </c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E792" s="143"/>
      <c r="AF792" s="143"/>
      <c r="AG792" s="143"/>
      <c r="AH792" s="143"/>
      <c r="AI792" s="143"/>
      <c r="AJ792" s="143"/>
      <c r="AK792" s="143"/>
      <c r="AL792" s="143"/>
      <c r="AM792" s="143"/>
      <c r="AN792" s="143"/>
      <c r="AO792" s="143"/>
      <c r="AP792" s="143"/>
      <c r="AQ792" s="143"/>
    </row>
    <row r="793" spans="1:43" ht="15" customHeight="1">
      <c r="A793" s="593" t="str">
        <f>+input!B30</f>
        <v>114j</v>
      </c>
      <c r="B793" s="594">
        <f>input!F30</f>
        <v>2</v>
      </c>
      <c r="C793" s="594">
        <f>input!G30</f>
        <v>500</v>
      </c>
      <c r="D793" s="594">
        <f>input!H30</f>
        <v>30</v>
      </c>
      <c r="E793" s="594">
        <f>input!J30</f>
        <v>1940</v>
      </c>
      <c r="F793" s="594">
        <f>input!K30</f>
        <v>32</v>
      </c>
      <c r="G793" s="594">
        <f>input!L30</f>
        <v>120</v>
      </c>
      <c r="H793" s="594">
        <f>input!R30</f>
        <v>0</v>
      </c>
      <c r="I793" s="594">
        <f>input!P30</f>
        <v>290</v>
      </c>
      <c r="J793" s="594">
        <f>input!U30</f>
        <v>2400</v>
      </c>
      <c r="K793" s="594">
        <f>input!M30</f>
        <v>2800</v>
      </c>
      <c r="L793" s="850">
        <f t="shared" si="28"/>
        <v>5803550</v>
      </c>
      <c r="M793" s="851">
        <f t="shared" si="29"/>
        <v>6070050</v>
      </c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E793" s="143"/>
      <c r="AF793" s="143"/>
      <c r="AG793" s="143"/>
      <c r="AH793" s="143"/>
      <c r="AI793" s="143"/>
      <c r="AJ793" s="143"/>
      <c r="AK793" s="143"/>
      <c r="AL793" s="143"/>
      <c r="AM793" s="143"/>
      <c r="AN793" s="143"/>
      <c r="AO793" s="143"/>
      <c r="AP793" s="143"/>
      <c r="AQ793" s="143"/>
    </row>
    <row r="794" spans="1:43" ht="15" customHeight="1">
      <c r="A794" s="593" t="str">
        <f>+input!B31</f>
        <v>115i</v>
      </c>
      <c r="B794" s="594">
        <f>input!F31</f>
        <v>2</v>
      </c>
      <c r="C794" s="594">
        <f>input!G31</f>
        <v>500</v>
      </c>
      <c r="D794" s="594">
        <f>input!H31</f>
        <v>22</v>
      </c>
      <c r="E794" s="594">
        <f>input!J31</f>
        <v>1940</v>
      </c>
      <c r="F794" s="594">
        <f>input!K31</f>
        <v>18</v>
      </c>
      <c r="G794" s="594">
        <f>input!L31</f>
        <v>120</v>
      </c>
      <c r="H794" s="594">
        <f>input!R31</f>
        <v>0</v>
      </c>
      <c r="I794" s="594">
        <f>input!P31</f>
        <v>290</v>
      </c>
      <c r="J794" s="594">
        <f>input!U31</f>
        <v>2400</v>
      </c>
      <c r="K794" s="594">
        <f>input!M31</f>
        <v>2800</v>
      </c>
      <c r="L794" s="850">
        <f t="shared" si="28"/>
        <v>5781000</v>
      </c>
      <c r="M794" s="851">
        <f t="shared" si="29"/>
        <v>6055700</v>
      </c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E794" s="143"/>
      <c r="AF794" s="143"/>
      <c r="AG794" s="143"/>
      <c r="AH794" s="143"/>
      <c r="AI794" s="143"/>
      <c r="AJ794" s="143"/>
      <c r="AK794" s="143"/>
      <c r="AL794" s="143"/>
      <c r="AM794" s="143"/>
      <c r="AN794" s="143"/>
      <c r="AO794" s="143"/>
      <c r="AP794" s="143"/>
      <c r="AQ794" s="143"/>
    </row>
    <row r="795" spans="1:43" ht="15" customHeight="1">
      <c r="A795" s="593" t="str">
        <f>+input!B32</f>
        <v>115j</v>
      </c>
      <c r="B795" s="594">
        <f>input!F32</f>
        <v>2</v>
      </c>
      <c r="C795" s="594">
        <f>input!G32</f>
        <v>500</v>
      </c>
      <c r="D795" s="594">
        <f>input!H32</f>
        <v>22</v>
      </c>
      <c r="E795" s="594">
        <f>input!J32</f>
        <v>1940</v>
      </c>
      <c r="F795" s="594">
        <f>input!K32</f>
        <v>18</v>
      </c>
      <c r="G795" s="594">
        <f>input!L32</f>
        <v>120</v>
      </c>
      <c r="H795" s="594">
        <f>input!R32</f>
        <v>0</v>
      </c>
      <c r="I795" s="594">
        <f>input!P32</f>
        <v>290</v>
      </c>
      <c r="J795" s="594">
        <f>input!U32</f>
        <v>2400</v>
      </c>
      <c r="K795" s="594">
        <f>input!M32</f>
        <v>2800</v>
      </c>
      <c r="L795" s="850">
        <f t="shared" si="28"/>
        <v>5781000</v>
      </c>
      <c r="M795" s="851">
        <f t="shared" si="29"/>
        <v>6055700</v>
      </c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E795" s="143"/>
      <c r="AF795" s="143"/>
      <c r="AG795" s="143"/>
      <c r="AH795" s="143"/>
      <c r="AI795" s="143"/>
      <c r="AJ795" s="143"/>
      <c r="AK795" s="143"/>
      <c r="AL795" s="143"/>
      <c r="AM795" s="143"/>
      <c r="AN795" s="143"/>
      <c r="AO795" s="143"/>
      <c r="AP795" s="143"/>
      <c r="AQ795" s="143"/>
    </row>
    <row r="796" spans="1:43" ht="15" customHeight="1">
      <c r="A796" s="593" t="str">
        <f>+input!B33</f>
        <v>116i</v>
      </c>
      <c r="B796" s="594">
        <f>input!F33</f>
        <v>2</v>
      </c>
      <c r="C796" s="594">
        <f>input!G33</f>
        <v>600</v>
      </c>
      <c r="D796" s="594">
        <f>input!H33</f>
        <v>26</v>
      </c>
      <c r="E796" s="594">
        <f>input!J33</f>
        <v>1937</v>
      </c>
      <c r="F796" s="594">
        <f>input!K33</f>
        <v>24</v>
      </c>
      <c r="G796" s="594">
        <f>input!L33</f>
        <v>120</v>
      </c>
      <c r="H796" s="594">
        <f>input!R33</f>
        <v>0</v>
      </c>
      <c r="I796" s="594">
        <f>input!P33</f>
        <v>290</v>
      </c>
      <c r="J796" s="594">
        <f>input!U33</f>
        <v>2400</v>
      </c>
      <c r="K796" s="594">
        <f>input!M33</f>
        <v>2814</v>
      </c>
      <c r="L796" s="850">
        <f t="shared" si="28"/>
        <v>5815691.5</v>
      </c>
      <c r="M796" s="851">
        <f t="shared" si="29"/>
        <v>6086093.5</v>
      </c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E796" s="143"/>
      <c r="AF796" s="143"/>
      <c r="AG796" s="143"/>
      <c r="AH796" s="143"/>
      <c r="AI796" s="143"/>
      <c r="AJ796" s="143"/>
      <c r="AK796" s="143"/>
      <c r="AL796" s="143"/>
      <c r="AM796" s="143"/>
      <c r="AN796" s="143"/>
      <c r="AO796" s="143"/>
      <c r="AP796" s="143"/>
      <c r="AQ796" s="143"/>
    </row>
    <row r="797" spans="1:43" ht="15" customHeight="1">
      <c r="A797" s="593" t="str">
        <f>+input!B34</f>
        <v>116j</v>
      </c>
      <c r="B797" s="594">
        <f>input!F34</f>
        <v>2</v>
      </c>
      <c r="C797" s="594">
        <f>input!G34</f>
        <v>600</v>
      </c>
      <c r="D797" s="594">
        <f>input!H34</f>
        <v>26</v>
      </c>
      <c r="E797" s="594">
        <f>input!J34</f>
        <v>1937</v>
      </c>
      <c r="F797" s="594">
        <f>input!K34</f>
        <v>24</v>
      </c>
      <c r="G797" s="594">
        <f>input!L34</f>
        <v>120</v>
      </c>
      <c r="H797" s="594">
        <f>input!R34</f>
        <v>0</v>
      </c>
      <c r="I797" s="594">
        <f>input!P34</f>
        <v>290</v>
      </c>
      <c r="J797" s="594">
        <f>input!U34</f>
        <v>2400</v>
      </c>
      <c r="K797" s="594">
        <f>input!M34</f>
        <v>2814</v>
      </c>
      <c r="L797" s="850">
        <f t="shared" si="28"/>
        <v>5815691.5</v>
      </c>
      <c r="M797" s="851">
        <f t="shared" si="29"/>
        <v>6086093.5</v>
      </c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E797" s="143"/>
      <c r="AF797" s="143"/>
      <c r="AG797" s="143"/>
      <c r="AH797" s="143"/>
      <c r="AI797" s="143"/>
      <c r="AJ797" s="143"/>
      <c r="AK797" s="143"/>
      <c r="AL797" s="143"/>
      <c r="AM797" s="143"/>
      <c r="AN797" s="143"/>
      <c r="AO797" s="143"/>
      <c r="AP797" s="143"/>
      <c r="AQ797" s="143"/>
    </row>
    <row r="798" spans="1:43" ht="15" customHeight="1">
      <c r="A798" s="593" t="str">
        <f>+input!B35</f>
        <v>117i</v>
      </c>
      <c r="B798" s="594">
        <f>input!F35</f>
        <v>2</v>
      </c>
      <c r="C798" s="594">
        <f>input!G35</f>
        <v>800</v>
      </c>
      <c r="D798" s="594">
        <f>input!H35</f>
        <v>36</v>
      </c>
      <c r="E798" s="594">
        <f>input!J35</f>
        <v>1909</v>
      </c>
      <c r="F798" s="594">
        <f>input!K35</f>
        <v>28</v>
      </c>
      <c r="G798" s="594">
        <f>input!L35</f>
        <v>120</v>
      </c>
      <c r="H798" s="594">
        <f>input!R35</f>
        <v>0</v>
      </c>
      <c r="I798" s="594">
        <f>input!P35</f>
        <v>290</v>
      </c>
      <c r="J798" s="594">
        <f>input!U35</f>
        <v>2400</v>
      </c>
      <c r="K798" s="594">
        <f>input!M35</f>
        <v>2924</v>
      </c>
      <c r="L798" s="850">
        <f t="shared" ref="L798:L827" si="30">+(J798+E798-2*G798)*(K798+D798/2+F798/2)/2</f>
        <v>6013982</v>
      </c>
      <c r="M798" s="851">
        <f t="shared" ref="M798:M827" si="31">+(J798+E798-2*G798)*(K798+F798/2+H798+I798/2)/2</f>
        <v>6272363.5</v>
      </c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E798" s="143"/>
      <c r="AF798" s="143"/>
      <c r="AG798" s="143"/>
      <c r="AH798" s="143"/>
      <c r="AI798" s="143"/>
      <c r="AJ798" s="143"/>
      <c r="AK798" s="143"/>
      <c r="AL798" s="143"/>
      <c r="AM798" s="143"/>
      <c r="AN798" s="143"/>
      <c r="AO798" s="143"/>
      <c r="AP798" s="143"/>
      <c r="AQ798" s="143"/>
    </row>
    <row r="799" spans="1:43" ht="15" customHeight="1">
      <c r="A799" s="593" t="str">
        <f>+input!B36</f>
        <v>117j</v>
      </c>
      <c r="B799" s="594">
        <f>input!F36</f>
        <v>2</v>
      </c>
      <c r="C799" s="594">
        <f>input!G36</f>
        <v>800</v>
      </c>
      <c r="D799" s="594">
        <f>input!H36</f>
        <v>36</v>
      </c>
      <c r="E799" s="594">
        <f>input!J36</f>
        <v>1909</v>
      </c>
      <c r="F799" s="594">
        <f>input!K36</f>
        <v>28</v>
      </c>
      <c r="G799" s="594">
        <f>input!L36</f>
        <v>120</v>
      </c>
      <c r="H799" s="594">
        <f>input!R36</f>
        <v>0</v>
      </c>
      <c r="I799" s="594">
        <f>input!P36</f>
        <v>290</v>
      </c>
      <c r="J799" s="594">
        <f>input!U36</f>
        <v>2400</v>
      </c>
      <c r="K799" s="594">
        <f>input!M36</f>
        <v>2924</v>
      </c>
      <c r="L799" s="850">
        <f t="shared" si="30"/>
        <v>6013982</v>
      </c>
      <c r="M799" s="851">
        <f t="shared" si="31"/>
        <v>6272363.5</v>
      </c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E799" s="143"/>
      <c r="AF799" s="143"/>
      <c r="AG799" s="143"/>
      <c r="AH799" s="143"/>
      <c r="AI799" s="143"/>
      <c r="AJ799" s="143"/>
      <c r="AK799" s="143"/>
      <c r="AL799" s="143"/>
      <c r="AM799" s="143"/>
      <c r="AN799" s="143"/>
      <c r="AO799" s="143"/>
      <c r="AP799" s="143"/>
      <c r="AQ799" s="143"/>
    </row>
    <row r="800" spans="1:43" ht="15" customHeight="1">
      <c r="A800" s="593" t="str">
        <f>+input!B37</f>
        <v>118i</v>
      </c>
      <c r="B800" s="594">
        <f>input!F37</f>
        <v>1</v>
      </c>
      <c r="C800" s="594">
        <f>input!G37</f>
        <v>2900</v>
      </c>
      <c r="D800" s="594">
        <f>input!H37</f>
        <v>40</v>
      </c>
      <c r="E800" s="594">
        <f>input!J37</f>
        <v>1864</v>
      </c>
      <c r="F800" s="594">
        <f>input!K37</f>
        <v>30</v>
      </c>
      <c r="G800" s="594">
        <f>input!L37</f>
        <v>120</v>
      </c>
      <c r="H800" s="594">
        <f>input!R37</f>
        <v>0</v>
      </c>
      <c r="I800" s="594">
        <f>input!P37</f>
        <v>290</v>
      </c>
      <c r="J800" s="594">
        <f>input!U37</f>
        <v>2400</v>
      </c>
      <c r="K800" s="594">
        <f>input!M37</f>
        <v>3103</v>
      </c>
      <c r="L800" s="850">
        <f t="shared" si="30"/>
        <v>6313656</v>
      </c>
      <c r="M800" s="851">
        <f t="shared" si="31"/>
        <v>6565156</v>
      </c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E800" s="143"/>
      <c r="AF800" s="143"/>
      <c r="AG800" s="143"/>
      <c r="AH800" s="143"/>
      <c r="AI800" s="143"/>
      <c r="AJ800" s="143"/>
      <c r="AK800" s="143"/>
      <c r="AL800" s="143"/>
      <c r="AM800" s="143"/>
      <c r="AN800" s="143"/>
      <c r="AO800" s="143"/>
      <c r="AP800" s="143"/>
      <c r="AQ800" s="143"/>
    </row>
    <row r="801" spans="1:43" ht="15" customHeight="1">
      <c r="A801" s="593" t="str">
        <f>+input!B38</f>
        <v>118j</v>
      </c>
      <c r="B801" s="594">
        <f>input!F38</f>
        <v>1</v>
      </c>
      <c r="C801" s="594">
        <f>input!G38</f>
        <v>2900</v>
      </c>
      <c r="D801" s="594">
        <f>input!H38</f>
        <v>40</v>
      </c>
      <c r="E801" s="594">
        <f>input!J38</f>
        <v>1864</v>
      </c>
      <c r="F801" s="594">
        <f>input!K38</f>
        <v>30</v>
      </c>
      <c r="G801" s="594">
        <f>input!L38</f>
        <v>120</v>
      </c>
      <c r="H801" s="594">
        <f>input!R38</f>
        <v>0</v>
      </c>
      <c r="I801" s="594">
        <f>input!P38</f>
        <v>290</v>
      </c>
      <c r="J801" s="594">
        <f>input!U38</f>
        <v>2400</v>
      </c>
      <c r="K801" s="594">
        <f>input!M38</f>
        <v>3103</v>
      </c>
      <c r="L801" s="850">
        <f t="shared" si="30"/>
        <v>6313656</v>
      </c>
      <c r="M801" s="851">
        <f t="shared" si="31"/>
        <v>6565156</v>
      </c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E801" s="143"/>
      <c r="AF801" s="143"/>
      <c r="AG801" s="143"/>
      <c r="AH801" s="143"/>
      <c r="AI801" s="143"/>
      <c r="AJ801" s="143"/>
      <c r="AK801" s="143"/>
      <c r="AL801" s="143"/>
      <c r="AM801" s="143"/>
      <c r="AN801" s="143"/>
      <c r="AO801" s="143"/>
      <c r="AP801" s="143"/>
      <c r="AQ801" s="143"/>
    </row>
    <row r="802" spans="1:43" ht="15" customHeight="1">
      <c r="A802" s="593" t="str">
        <f>+input!B39</f>
        <v>119i</v>
      </c>
      <c r="B802" s="594">
        <f>input!F39</f>
        <v>1</v>
      </c>
      <c r="C802" s="594">
        <f>input!G39</f>
        <v>2900</v>
      </c>
      <c r="D802" s="594">
        <f>input!H39</f>
        <v>40</v>
      </c>
      <c r="E802" s="594">
        <f>input!J39</f>
        <v>1840</v>
      </c>
      <c r="F802" s="594">
        <f>input!K39</f>
        <v>30</v>
      </c>
      <c r="G802" s="594">
        <f>input!L39</f>
        <v>120</v>
      </c>
      <c r="H802" s="594">
        <f>input!R39</f>
        <v>0</v>
      </c>
      <c r="I802" s="594">
        <f>input!P39</f>
        <v>290</v>
      </c>
      <c r="J802" s="594">
        <f>input!U39</f>
        <v>2400</v>
      </c>
      <c r="K802" s="594">
        <f>input!M39</f>
        <v>3200</v>
      </c>
      <c r="L802" s="850">
        <f t="shared" si="30"/>
        <v>6470000</v>
      </c>
      <c r="M802" s="851">
        <f t="shared" si="31"/>
        <v>6720000</v>
      </c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E802" s="143"/>
      <c r="AF802" s="143"/>
      <c r="AG802" s="143"/>
      <c r="AH802" s="143"/>
      <c r="AI802" s="143"/>
      <c r="AJ802" s="143"/>
      <c r="AK802" s="143"/>
      <c r="AL802" s="143"/>
      <c r="AM802" s="143"/>
      <c r="AN802" s="143"/>
      <c r="AO802" s="143"/>
      <c r="AP802" s="143"/>
      <c r="AQ802" s="143"/>
    </row>
    <row r="803" spans="1:43" ht="15" customHeight="1">
      <c r="A803" s="593" t="str">
        <f>+input!B40</f>
        <v>119j</v>
      </c>
      <c r="B803" s="594">
        <f>input!F40</f>
        <v>1</v>
      </c>
      <c r="C803" s="594">
        <f>input!G40</f>
        <v>2900</v>
      </c>
      <c r="D803" s="594">
        <f>input!H40</f>
        <v>40</v>
      </c>
      <c r="E803" s="594">
        <f>input!J40</f>
        <v>1840</v>
      </c>
      <c r="F803" s="594">
        <f>input!K40</f>
        <v>30</v>
      </c>
      <c r="G803" s="594">
        <f>input!L40</f>
        <v>120</v>
      </c>
      <c r="H803" s="594">
        <f>input!R40</f>
        <v>0</v>
      </c>
      <c r="I803" s="594">
        <f>input!P40</f>
        <v>290</v>
      </c>
      <c r="J803" s="594">
        <f>input!U40</f>
        <v>2400</v>
      </c>
      <c r="K803" s="594">
        <f>input!M40</f>
        <v>3200</v>
      </c>
      <c r="L803" s="850">
        <f t="shared" si="30"/>
        <v>6470000</v>
      </c>
      <c r="M803" s="851">
        <f t="shared" si="31"/>
        <v>6720000</v>
      </c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E803" s="143"/>
      <c r="AF803" s="143"/>
      <c r="AG803" s="143"/>
      <c r="AH803" s="143"/>
      <c r="AI803" s="143"/>
      <c r="AJ803" s="143"/>
      <c r="AK803" s="143"/>
      <c r="AL803" s="143"/>
      <c r="AM803" s="143"/>
      <c r="AN803" s="143"/>
      <c r="AO803" s="143"/>
      <c r="AP803" s="143"/>
      <c r="AQ803" s="143"/>
    </row>
    <row r="804" spans="1:43" ht="15" customHeight="1">
      <c r="A804" s="593" t="str">
        <f>+input!B41</f>
        <v>120i</v>
      </c>
      <c r="B804" s="594">
        <f>input!F41</f>
        <v>1</v>
      </c>
      <c r="C804" s="594">
        <f>input!G41</f>
        <v>2900</v>
      </c>
      <c r="D804" s="594">
        <f>input!H41</f>
        <v>40</v>
      </c>
      <c r="E804" s="594">
        <f>input!J41</f>
        <v>1840</v>
      </c>
      <c r="F804" s="594">
        <f>input!K41</f>
        <v>30</v>
      </c>
      <c r="G804" s="594">
        <f>input!L41</f>
        <v>120</v>
      </c>
      <c r="H804" s="594">
        <f>input!R41</f>
        <v>0</v>
      </c>
      <c r="I804" s="594">
        <f>input!P41</f>
        <v>290</v>
      </c>
      <c r="J804" s="594">
        <f>input!U41</f>
        <v>2400</v>
      </c>
      <c r="K804" s="594">
        <f>input!M41</f>
        <v>3200</v>
      </c>
      <c r="L804" s="850">
        <f t="shared" si="30"/>
        <v>6470000</v>
      </c>
      <c r="M804" s="851">
        <f t="shared" si="31"/>
        <v>6720000</v>
      </c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E804" s="143"/>
      <c r="AF804" s="143"/>
      <c r="AG804" s="143"/>
      <c r="AH804" s="143"/>
      <c r="AI804" s="143"/>
      <c r="AJ804" s="143"/>
      <c r="AK804" s="143"/>
      <c r="AL804" s="143"/>
      <c r="AM804" s="143"/>
      <c r="AN804" s="143"/>
      <c r="AO804" s="143"/>
      <c r="AP804" s="143"/>
      <c r="AQ804" s="143"/>
    </row>
    <row r="805" spans="1:43" ht="15" customHeight="1">
      <c r="A805" s="593" t="str">
        <f>+input!B42</f>
        <v>120j</v>
      </c>
      <c r="B805" s="594">
        <f>input!F42</f>
        <v>1</v>
      </c>
      <c r="C805" s="594">
        <f>input!G42</f>
        <v>2900</v>
      </c>
      <c r="D805" s="594">
        <f>input!H42</f>
        <v>40</v>
      </c>
      <c r="E805" s="594">
        <f>input!J42</f>
        <v>1840</v>
      </c>
      <c r="F805" s="594">
        <f>input!K42</f>
        <v>30</v>
      </c>
      <c r="G805" s="594">
        <f>input!L42</f>
        <v>120</v>
      </c>
      <c r="H805" s="594">
        <f>input!R42</f>
        <v>0</v>
      </c>
      <c r="I805" s="594">
        <f>input!P42</f>
        <v>290</v>
      </c>
      <c r="J805" s="594">
        <f>input!U42</f>
        <v>2400</v>
      </c>
      <c r="K805" s="594">
        <f>input!M42</f>
        <v>3200</v>
      </c>
      <c r="L805" s="850">
        <f t="shared" si="30"/>
        <v>6470000</v>
      </c>
      <c r="M805" s="851">
        <f t="shared" si="31"/>
        <v>6720000</v>
      </c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E805" s="143"/>
      <c r="AF805" s="143"/>
      <c r="AG805" s="143"/>
      <c r="AH805" s="143"/>
      <c r="AI805" s="143"/>
      <c r="AJ805" s="143"/>
      <c r="AK805" s="143"/>
      <c r="AL805" s="143"/>
      <c r="AM805" s="143"/>
      <c r="AN805" s="143"/>
      <c r="AO805" s="143"/>
      <c r="AP805" s="143"/>
      <c r="AQ805" s="143"/>
    </row>
    <row r="806" spans="1:43" ht="15" customHeight="1">
      <c r="A806" s="593" t="str">
        <f>+input!B43</f>
        <v>121i</v>
      </c>
      <c r="B806" s="594">
        <f>input!F43</f>
        <v>1</v>
      </c>
      <c r="C806" s="594">
        <f>input!G43</f>
        <v>2900</v>
      </c>
      <c r="D806" s="594">
        <f>input!H43</f>
        <v>40</v>
      </c>
      <c r="E806" s="594">
        <f>input!J43</f>
        <v>1864</v>
      </c>
      <c r="F806" s="594">
        <f>input!K43</f>
        <v>30</v>
      </c>
      <c r="G806" s="594">
        <f>input!L43</f>
        <v>120</v>
      </c>
      <c r="H806" s="594">
        <f>input!R43</f>
        <v>0</v>
      </c>
      <c r="I806" s="594">
        <f>input!P43</f>
        <v>290</v>
      </c>
      <c r="J806" s="594">
        <f>input!U43</f>
        <v>2400</v>
      </c>
      <c r="K806" s="594">
        <f>input!M43</f>
        <v>3103</v>
      </c>
      <c r="L806" s="850">
        <f t="shared" si="30"/>
        <v>6313656</v>
      </c>
      <c r="M806" s="851">
        <f t="shared" si="31"/>
        <v>6565156</v>
      </c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E806" s="143"/>
      <c r="AF806" s="143"/>
      <c r="AG806" s="143"/>
      <c r="AH806" s="143"/>
      <c r="AI806" s="143"/>
      <c r="AJ806" s="143"/>
      <c r="AK806" s="143"/>
      <c r="AL806" s="143"/>
      <c r="AM806" s="143"/>
      <c r="AN806" s="143"/>
      <c r="AO806" s="143"/>
      <c r="AP806" s="143"/>
      <c r="AQ806" s="143"/>
    </row>
    <row r="807" spans="1:43" ht="15" customHeight="1">
      <c r="A807" s="593" t="str">
        <f>+input!B44</f>
        <v>121j</v>
      </c>
      <c r="B807" s="594">
        <f>input!F44</f>
        <v>1</v>
      </c>
      <c r="C807" s="594">
        <f>input!G44</f>
        <v>2900</v>
      </c>
      <c r="D807" s="594">
        <f>input!H44</f>
        <v>40</v>
      </c>
      <c r="E807" s="594">
        <f>input!J44</f>
        <v>1864</v>
      </c>
      <c r="F807" s="594">
        <f>input!K44</f>
        <v>30</v>
      </c>
      <c r="G807" s="594">
        <f>input!L44</f>
        <v>120</v>
      </c>
      <c r="H807" s="594">
        <f>input!R44</f>
        <v>0</v>
      </c>
      <c r="I807" s="594">
        <f>input!P44</f>
        <v>290</v>
      </c>
      <c r="J807" s="594">
        <f>input!U44</f>
        <v>2400</v>
      </c>
      <c r="K807" s="594">
        <f>input!M44</f>
        <v>3103</v>
      </c>
      <c r="L807" s="850">
        <f t="shared" si="30"/>
        <v>6313656</v>
      </c>
      <c r="M807" s="851">
        <f t="shared" si="31"/>
        <v>6565156</v>
      </c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E807" s="143"/>
      <c r="AF807" s="143"/>
      <c r="AG807" s="143"/>
      <c r="AH807" s="143"/>
      <c r="AI807" s="143"/>
      <c r="AJ807" s="143"/>
      <c r="AK807" s="143"/>
      <c r="AL807" s="143"/>
      <c r="AM807" s="143"/>
      <c r="AN807" s="143"/>
      <c r="AO807" s="143"/>
      <c r="AP807" s="143"/>
      <c r="AQ807" s="143"/>
    </row>
    <row r="808" spans="1:43" ht="15" customHeight="1">
      <c r="A808" s="593" t="str">
        <f>+input!B45</f>
        <v>122i</v>
      </c>
      <c r="B808" s="594">
        <f>input!F45</f>
        <v>2</v>
      </c>
      <c r="C808" s="594">
        <f>input!G45</f>
        <v>800</v>
      </c>
      <c r="D808" s="594">
        <f>input!H45</f>
        <v>40</v>
      </c>
      <c r="E808" s="594">
        <f>input!J45</f>
        <v>1909</v>
      </c>
      <c r="F808" s="594">
        <f>input!K45</f>
        <v>30</v>
      </c>
      <c r="G808" s="594">
        <f>input!L45</f>
        <v>120</v>
      </c>
      <c r="H808" s="594">
        <f>input!R45</f>
        <v>0</v>
      </c>
      <c r="I808" s="594">
        <f>input!P45</f>
        <v>290</v>
      </c>
      <c r="J808" s="594">
        <f>input!U45</f>
        <v>2400</v>
      </c>
      <c r="K808" s="594">
        <f>input!M45</f>
        <v>2924</v>
      </c>
      <c r="L808" s="850">
        <f t="shared" si="30"/>
        <v>6020085.5</v>
      </c>
      <c r="M808" s="851">
        <f t="shared" si="31"/>
        <v>6274398</v>
      </c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E808" s="143"/>
      <c r="AF808" s="143"/>
      <c r="AG808" s="143"/>
      <c r="AH808" s="143"/>
      <c r="AI808" s="143"/>
      <c r="AJ808" s="143"/>
      <c r="AK808" s="143"/>
      <c r="AL808" s="143"/>
      <c r="AM808" s="143"/>
      <c r="AN808" s="143"/>
      <c r="AO808" s="143"/>
      <c r="AP808" s="143"/>
      <c r="AQ808" s="143"/>
    </row>
    <row r="809" spans="1:43" ht="15" customHeight="1">
      <c r="A809" s="593" t="str">
        <f>+input!B46</f>
        <v>122j</v>
      </c>
      <c r="B809" s="594">
        <f>input!F46</f>
        <v>2</v>
      </c>
      <c r="C809" s="594">
        <f>input!G46</f>
        <v>800</v>
      </c>
      <c r="D809" s="594">
        <f>input!H46</f>
        <v>40</v>
      </c>
      <c r="E809" s="594">
        <f>input!J46</f>
        <v>1909</v>
      </c>
      <c r="F809" s="594">
        <f>input!K46</f>
        <v>30</v>
      </c>
      <c r="G809" s="594">
        <f>input!L46</f>
        <v>120</v>
      </c>
      <c r="H809" s="594">
        <f>input!R46</f>
        <v>0</v>
      </c>
      <c r="I809" s="594">
        <f>input!P46</f>
        <v>290</v>
      </c>
      <c r="J809" s="594">
        <f>input!U46</f>
        <v>2400</v>
      </c>
      <c r="K809" s="594">
        <f>input!M46</f>
        <v>2924</v>
      </c>
      <c r="L809" s="850">
        <f t="shared" si="30"/>
        <v>6020085.5</v>
      </c>
      <c r="M809" s="851">
        <f t="shared" si="31"/>
        <v>6274398</v>
      </c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E809" s="143"/>
      <c r="AF809" s="143"/>
      <c r="AG809" s="143"/>
      <c r="AH809" s="143"/>
      <c r="AI809" s="143"/>
      <c r="AJ809" s="143"/>
      <c r="AK809" s="143"/>
      <c r="AL809" s="143"/>
      <c r="AM809" s="143"/>
      <c r="AN809" s="143"/>
      <c r="AO809" s="143"/>
      <c r="AP809" s="143"/>
      <c r="AQ809" s="143"/>
    </row>
    <row r="810" spans="1:43" ht="15" customHeight="1">
      <c r="A810" s="593" t="str">
        <f>+input!B47</f>
        <v>123i</v>
      </c>
      <c r="B810" s="594">
        <f>input!F47</f>
        <v>2</v>
      </c>
      <c r="C810" s="594">
        <f>input!G47</f>
        <v>600</v>
      </c>
      <c r="D810" s="594">
        <f>input!H47</f>
        <v>40</v>
      </c>
      <c r="E810" s="594">
        <f>input!J47</f>
        <v>1937</v>
      </c>
      <c r="F810" s="594">
        <f>input!K47</f>
        <v>30</v>
      </c>
      <c r="G810" s="594">
        <f>input!L47</f>
        <v>120</v>
      </c>
      <c r="H810" s="594">
        <f>input!R47</f>
        <v>0</v>
      </c>
      <c r="I810" s="594">
        <f>input!P47</f>
        <v>290</v>
      </c>
      <c r="J810" s="594">
        <f>input!U47</f>
        <v>2400</v>
      </c>
      <c r="K810" s="594">
        <f>input!M47</f>
        <v>2814</v>
      </c>
      <c r="L810" s="850">
        <f t="shared" si="30"/>
        <v>5836176.5</v>
      </c>
      <c r="M810" s="851">
        <f t="shared" si="31"/>
        <v>6092239</v>
      </c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E810" s="143"/>
      <c r="AF810" s="143"/>
      <c r="AG810" s="143"/>
      <c r="AH810" s="143"/>
      <c r="AI810" s="143"/>
      <c r="AJ810" s="143"/>
      <c r="AK810" s="143"/>
      <c r="AL810" s="143"/>
      <c r="AM810" s="143"/>
      <c r="AN810" s="143"/>
      <c r="AO810" s="143"/>
      <c r="AP810" s="143"/>
      <c r="AQ810" s="143"/>
    </row>
    <row r="811" spans="1:43" ht="15" customHeight="1">
      <c r="A811" s="593" t="str">
        <f>+input!B48</f>
        <v>123j</v>
      </c>
      <c r="B811" s="594">
        <f>input!F48</f>
        <v>2</v>
      </c>
      <c r="C811" s="594">
        <f>input!G48</f>
        <v>600</v>
      </c>
      <c r="D811" s="594">
        <f>input!H48</f>
        <v>40</v>
      </c>
      <c r="E811" s="594">
        <f>input!J48</f>
        <v>1937</v>
      </c>
      <c r="F811" s="594">
        <f>input!K48</f>
        <v>30</v>
      </c>
      <c r="G811" s="594">
        <f>input!L48</f>
        <v>120</v>
      </c>
      <c r="H811" s="594">
        <f>input!R48</f>
        <v>0</v>
      </c>
      <c r="I811" s="594">
        <f>input!P48</f>
        <v>290</v>
      </c>
      <c r="J811" s="594">
        <f>input!U48</f>
        <v>2400</v>
      </c>
      <c r="K811" s="594">
        <f>input!M48</f>
        <v>2814</v>
      </c>
      <c r="L811" s="850">
        <f t="shared" si="30"/>
        <v>5836176.5</v>
      </c>
      <c r="M811" s="851">
        <f t="shared" si="31"/>
        <v>6092239</v>
      </c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E811" s="143"/>
      <c r="AF811" s="143"/>
      <c r="AG811" s="143"/>
      <c r="AH811" s="143"/>
      <c r="AI811" s="143"/>
      <c r="AJ811" s="143"/>
      <c r="AK811" s="143"/>
      <c r="AL811" s="143"/>
      <c r="AM811" s="143"/>
      <c r="AN811" s="143"/>
      <c r="AO811" s="143"/>
      <c r="AP811" s="143"/>
      <c r="AQ811" s="143"/>
    </row>
    <row r="812" spans="1:43" ht="15" customHeight="1">
      <c r="A812" s="593" t="str">
        <f>+input!B49</f>
        <v>124i</v>
      </c>
      <c r="B812" s="594">
        <f>input!F49</f>
        <v>2</v>
      </c>
      <c r="C812" s="594">
        <f>input!G49</f>
        <v>500</v>
      </c>
      <c r="D812" s="594">
        <f>input!H49</f>
        <v>26</v>
      </c>
      <c r="E812" s="594">
        <f>input!J49</f>
        <v>1940</v>
      </c>
      <c r="F812" s="594">
        <f>input!K49</f>
        <v>24</v>
      </c>
      <c r="G812" s="594">
        <f>input!L49</f>
        <v>120</v>
      </c>
      <c r="H812" s="594">
        <f>input!R49</f>
        <v>0</v>
      </c>
      <c r="I812" s="594">
        <f>input!P49</f>
        <v>290</v>
      </c>
      <c r="J812" s="594">
        <f>input!U49</f>
        <v>2400</v>
      </c>
      <c r="K812" s="594">
        <f>input!M49</f>
        <v>2800</v>
      </c>
      <c r="L812" s="850">
        <f t="shared" si="30"/>
        <v>5791250</v>
      </c>
      <c r="M812" s="851">
        <f t="shared" si="31"/>
        <v>6061850</v>
      </c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E812" s="143"/>
      <c r="AF812" s="143"/>
      <c r="AG812" s="143"/>
      <c r="AH812" s="143"/>
      <c r="AI812" s="143"/>
      <c r="AJ812" s="143"/>
      <c r="AK812" s="143"/>
      <c r="AL812" s="143"/>
      <c r="AM812" s="143"/>
      <c r="AN812" s="143"/>
      <c r="AO812" s="143"/>
      <c r="AP812" s="143"/>
      <c r="AQ812" s="143"/>
    </row>
    <row r="813" spans="1:43" ht="15" customHeight="1">
      <c r="A813" s="593" t="str">
        <f>+input!B50</f>
        <v>124j</v>
      </c>
      <c r="B813" s="594">
        <f>input!F50</f>
        <v>2</v>
      </c>
      <c r="C813" s="594">
        <f>input!G50</f>
        <v>500</v>
      </c>
      <c r="D813" s="594">
        <f>input!H50</f>
        <v>26</v>
      </c>
      <c r="E813" s="594">
        <f>input!J50</f>
        <v>1940</v>
      </c>
      <c r="F813" s="594">
        <f>input!K50</f>
        <v>24</v>
      </c>
      <c r="G813" s="594">
        <f>input!L50</f>
        <v>120</v>
      </c>
      <c r="H813" s="594">
        <f>input!R50</f>
        <v>0</v>
      </c>
      <c r="I813" s="594">
        <f>input!P50</f>
        <v>290</v>
      </c>
      <c r="J813" s="594">
        <f>input!U50</f>
        <v>2400</v>
      </c>
      <c r="K813" s="594">
        <f>input!M50</f>
        <v>2800</v>
      </c>
      <c r="L813" s="850">
        <f t="shared" si="30"/>
        <v>5791250</v>
      </c>
      <c r="M813" s="851">
        <f t="shared" si="31"/>
        <v>6061850</v>
      </c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E813" s="143"/>
      <c r="AF813" s="143"/>
      <c r="AG813" s="143"/>
      <c r="AH813" s="143"/>
      <c r="AI813" s="143"/>
      <c r="AJ813" s="143"/>
      <c r="AK813" s="143"/>
      <c r="AL813" s="143"/>
      <c r="AM813" s="143"/>
      <c r="AN813" s="143"/>
      <c r="AO813" s="143"/>
      <c r="AP813" s="143"/>
      <c r="AQ813" s="143"/>
    </row>
    <row r="814" spans="1:43" ht="15" customHeight="1">
      <c r="A814" s="593" t="str">
        <f>+input!B51</f>
        <v>125i</v>
      </c>
      <c r="B814" s="594">
        <f>input!F51</f>
        <v>2</v>
      </c>
      <c r="C814" s="594">
        <f>input!G51</f>
        <v>500</v>
      </c>
      <c r="D814" s="594">
        <f>input!H51</f>
        <v>22</v>
      </c>
      <c r="E814" s="594">
        <f>input!J51</f>
        <v>1940</v>
      </c>
      <c r="F814" s="594">
        <f>input!K51</f>
        <v>18</v>
      </c>
      <c r="G814" s="594">
        <f>input!L51</f>
        <v>120</v>
      </c>
      <c r="H814" s="594">
        <f>input!R51</f>
        <v>0</v>
      </c>
      <c r="I814" s="594">
        <f>input!P51</f>
        <v>290</v>
      </c>
      <c r="J814" s="594">
        <f>input!U51</f>
        <v>2400</v>
      </c>
      <c r="K814" s="594">
        <f>input!M51</f>
        <v>2800</v>
      </c>
      <c r="L814" s="850">
        <f t="shared" si="30"/>
        <v>5781000</v>
      </c>
      <c r="M814" s="851">
        <f t="shared" si="31"/>
        <v>6055700</v>
      </c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E814" s="143"/>
      <c r="AF814" s="143"/>
      <c r="AG814" s="143"/>
      <c r="AH814" s="143"/>
      <c r="AI814" s="143"/>
      <c r="AJ814" s="143"/>
      <c r="AK814" s="143"/>
      <c r="AL814" s="143"/>
      <c r="AM814" s="143"/>
      <c r="AN814" s="143"/>
      <c r="AO814" s="143"/>
      <c r="AP814" s="143"/>
      <c r="AQ814" s="143"/>
    </row>
    <row r="815" spans="1:43" ht="15" customHeight="1">
      <c r="A815" s="994" t="str">
        <f>+input!B52</f>
        <v>125j</v>
      </c>
      <c r="B815" s="995">
        <f>input!F52</f>
        <v>2</v>
      </c>
      <c r="C815" s="995">
        <f>input!G52</f>
        <v>500</v>
      </c>
      <c r="D815" s="995">
        <f>input!H52</f>
        <v>22</v>
      </c>
      <c r="E815" s="995">
        <f>input!J52</f>
        <v>1940</v>
      </c>
      <c r="F815" s="995">
        <f>input!K52</f>
        <v>18</v>
      </c>
      <c r="G815" s="995">
        <f>input!L52</f>
        <v>120</v>
      </c>
      <c r="H815" s="995">
        <f>input!R52</f>
        <v>0</v>
      </c>
      <c r="I815" s="995">
        <f>input!P52</f>
        <v>290</v>
      </c>
      <c r="J815" s="995">
        <f>input!U52</f>
        <v>2400</v>
      </c>
      <c r="K815" s="995">
        <f>input!M52</f>
        <v>2800</v>
      </c>
      <c r="L815" s="1059">
        <f t="shared" si="30"/>
        <v>5781000</v>
      </c>
      <c r="M815" s="1060">
        <f t="shared" si="31"/>
        <v>6055700</v>
      </c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E815" s="143"/>
      <c r="AF815" s="143"/>
      <c r="AG815" s="143"/>
      <c r="AH815" s="143"/>
      <c r="AI815" s="143"/>
      <c r="AJ815" s="143"/>
      <c r="AK815" s="143"/>
      <c r="AL815" s="143"/>
      <c r="AM815" s="143"/>
      <c r="AN815" s="143"/>
      <c r="AO815" s="143"/>
      <c r="AP815" s="143"/>
      <c r="AQ815" s="143"/>
    </row>
    <row r="816" spans="1:43" ht="15" customHeight="1">
      <c r="A816" s="1000" t="str">
        <f>+input!B53</f>
        <v>126i</v>
      </c>
      <c r="B816" s="1001">
        <f>input!F53</f>
        <v>2</v>
      </c>
      <c r="C816" s="1001">
        <f>input!G53</f>
        <v>500</v>
      </c>
      <c r="D816" s="1001">
        <f>input!H53</f>
        <v>22</v>
      </c>
      <c r="E816" s="1001">
        <f>input!J53</f>
        <v>1940</v>
      </c>
      <c r="F816" s="1001">
        <f>input!K53</f>
        <v>18</v>
      </c>
      <c r="G816" s="1001">
        <f>input!L53</f>
        <v>120</v>
      </c>
      <c r="H816" s="1001">
        <f>input!R53</f>
        <v>0</v>
      </c>
      <c r="I816" s="1001">
        <f>input!P53</f>
        <v>290</v>
      </c>
      <c r="J816" s="1001">
        <f>input!U53</f>
        <v>2400</v>
      </c>
      <c r="K816" s="1001">
        <f>input!M53</f>
        <v>2800</v>
      </c>
      <c r="L816" s="1061">
        <f t="shared" si="30"/>
        <v>5781000</v>
      </c>
      <c r="M816" s="1062">
        <f t="shared" si="31"/>
        <v>6055700</v>
      </c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E816" s="143"/>
      <c r="AF816" s="143"/>
      <c r="AG816" s="143"/>
      <c r="AH816" s="143"/>
      <c r="AI816" s="143"/>
      <c r="AJ816" s="143"/>
      <c r="AK816" s="143"/>
      <c r="AL816" s="143"/>
      <c r="AM816" s="143"/>
      <c r="AN816" s="143"/>
      <c r="AO816" s="143"/>
      <c r="AP816" s="143"/>
      <c r="AQ816" s="143"/>
    </row>
    <row r="817" spans="1:43" ht="15" customHeight="1">
      <c r="A817" s="593" t="str">
        <f>+input!B54</f>
        <v>126j</v>
      </c>
      <c r="B817" s="594">
        <f>input!F54</f>
        <v>2</v>
      </c>
      <c r="C817" s="594">
        <f>input!G54</f>
        <v>500</v>
      </c>
      <c r="D817" s="594">
        <f>input!H54</f>
        <v>22</v>
      </c>
      <c r="E817" s="594">
        <f>input!J54</f>
        <v>1940</v>
      </c>
      <c r="F817" s="594">
        <f>input!K54</f>
        <v>18</v>
      </c>
      <c r="G817" s="594">
        <f>input!L54</f>
        <v>120</v>
      </c>
      <c r="H817" s="594">
        <f>input!R54</f>
        <v>0</v>
      </c>
      <c r="I817" s="594">
        <f>input!P54</f>
        <v>290</v>
      </c>
      <c r="J817" s="594">
        <f>input!U54</f>
        <v>2400</v>
      </c>
      <c r="K817" s="594">
        <f>input!M54</f>
        <v>2800</v>
      </c>
      <c r="L817" s="850">
        <f t="shared" si="30"/>
        <v>5781000</v>
      </c>
      <c r="M817" s="851">
        <f t="shared" si="31"/>
        <v>6055700</v>
      </c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E817" s="143"/>
      <c r="AF817" s="143"/>
      <c r="AG817" s="143"/>
      <c r="AH817" s="143"/>
      <c r="AI817" s="143"/>
      <c r="AJ817" s="143"/>
      <c r="AK817" s="143"/>
      <c r="AL817" s="143"/>
      <c r="AM817" s="143"/>
      <c r="AN817" s="143"/>
      <c r="AO817" s="143"/>
      <c r="AP817" s="143"/>
      <c r="AQ817" s="143"/>
    </row>
    <row r="818" spans="1:43" ht="15" customHeight="1">
      <c r="A818" s="593" t="str">
        <f>+input!B55</f>
        <v>127i</v>
      </c>
      <c r="B818" s="594">
        <f>input!F55</f>
        <v>2</v>
      </c>
      <c r="C818" s="594">
        <f>input!G55</f>
        <v>500</v>
      </c>
      <c r="D818" s="594">
        <f>input!H55</f>
        <v>22</v>
      </c>
      <c r="E818" s="594">
        <f>input!J55</f>
        <v>1940</v>
      </c>
      <c r="F818" s="594">
        <f>input!K55</f>
        <v>10</v>
      </c>
      <c r="G818" s="594">
        <f>input!L55</f>
        <v>120</v>
      </c>
      <c r="H818" s="594">
        <f>input!R55</f>
        <v>0</v>
      </c>
      <c r="I818" s="594">
        <f>input!P55</f>
        <v>290</v>
      </c>
      <c r="J818" s="594">
        <f>input!U55</f>
        <v>2400</v>
      </c>
      <c r="K818" s="594">
        <f>input!M55</f>
        <v>2800</v>
      </c>
      <c r="L818" s="850">
        <f t="shared" si="30"/>
        <v>5772800</v>
      </c>
      <c r="M818" s="851">
        <f t="shared" si="31"/>
        <v>6047500</v>
      </c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E818" s="143"/>
      <c r="AF818" s="143"/>
      <c r="AG818" s="143"/>
      <c r="AH818" s="143"/>
      <c r="AI818" s="143"/>
      <c r="AJ818" s="143"/>
      <c r="AK818" s="143"/>
      <c r="AL818" s="143"/>
      <c r="AM818" s="143"/>
      <c r="AN818" s="143"/>
      <c r="AO818" s="143"/>
      <c r="AP818" s="143"/>
      <c r="AQ818" s="143"/>
    </row>
    <row r="819" spans="1:43" ht="15" customHeight="1">
      <c r="A819" s="593" t="str">
        <f>+input!B56</f>
        <v>127j</v>
      </c>
      <c r="B819" s="594">
        <f>input!F56</f>
        <v>2</v>
      </c>
      <c r="C819" s="594">
        <f>input!G56</f>
        <v>500</v>
      </c>
      <c r="D819" s="594">
        <f>input!H56</f>
        <v>22</v>
      </c>
      <c r="E819" s="594">
        <f>input!J56</f>
        <v>1940</v>
      </c>
      <c r="F819" s="594">
        <f>input!K56</f>
        <v>10</v>
      </c>
      <c r="G819" s="594">
        <f>input!L56</f>
        <v>120</v>
      </c>
      <c r="H819" s="594">
        <f>input!R56</f>
        <v>0</v>
      </c>
      <c r="I819" s="594">
        <f>input!P56</f>
        <v>290</v>
      </c>
      <c r="J819" s="594">
        <f>input!U56</f>
        <v>2400</v>
      </c>
      <c r="K819" s="594">
        <f>input!M56</f>
        <v>2800</v>
      </c>
      <c r="L819" s="850">
        <f t="shared" si="30"/>
        <v>5772800</v>
      </c>
      <c r="M819" s="851">
        <f t="shared" si="31"/>
        <v>6047500</v>
      </c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E819" s="143"/>
      <c r="AF819" s="143"/>
      <c r="AG819" s="143"/>
      <c r="AH819" s="143"/>
      <c r="AI819" s="143"/>
      <c r="AJ819" s="143"/>
      <c r="AK819" s="143"/>
      <c r="AL819" s="143"/>
      <c r="AM819" s="143"/>
      <c r="AN819" s="143"/>
      <c r="AO819" s="143"/>
      <c r="AP819" s="143"/>
      <c r="AQ819" s="143"/>
    </row>
    <row r="820" spans="1:43" ht="15" customHeight="1">
      <c r="A820" s="593" t="str">
        <f>+input!B57</f>
        <v>128i</v>
      </c>
      <c r="B820" s="594">
        <f>input!F57</f>
        <v>2</v>
      </c>
      <c r="C820" s="594">
        <f>input!G57</f>
        <v>500</v>
      </c>
      <c r="D820" s="594">
        <f>input!H57</f>
        <v>22</v>
      </c>
      <c r="E820" s="594">
        <f>input!J57</f>
        <v>1940</v>
      </c>
      <c r="F820" s="594">
        <f>input!K57</f>
        <v>10</v>
      </c>
      <c r="G820" s="594">
        <f>input!L57</f>
        <v>120</v>
      </c>
      <c r="H820" s="594">
        <f>input!R57</f>
        <v>0</v>
      </c>
      <c r="I820" s="594">
        <f>input!P57</f>
        <v>290</v>
      </c>
      <c r="J820" s="594">
        <f>input!U57</f>
        <v>2400</v>
      </c>
      <c r="K820" s="594">
        <f>input!M57</f>
        <v>2800</v>
      </c>
      <c r="L820" s="850">
        <f t="shared" si="30"/>
        <v>5772800</v>
      </c>
      <c r="M820" s="851">
        <f t="shared" si="31"/>
        <v>6047500</v>
      </c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E820" s="143"/>
      <c r="AF820" s="143"/>
      <c r="AG820" s="143"/>
      <c r="AH820" s="143"/>
      <c r="AI820" s="143"/>
      <c r="AJ820" s="143"/>
      <c r="AK820" s="143"/>
      <c r="AL820" s="143"/>
      <c r="AM820" s="143"/>
      <c r="AN820" s="143"/>
      <c r="AO820" s="143"/>
      <c r="AP820" s="143"/>
      <c r="AQ820" s="143"/>
    </row>
    <row r="821" spans="1:43" ht="15" customHeight="1">
      <c r="A821" s="593" t="str">
        <f>+input!B58</f>
        <v>128j</v>
      </c>
      <c r="B821" s="594">
        <f>input!F58</f>
        <v>2</v>
      </c>
      <c r="C821" s="594">
        <f>input!G58</f>
        <v>500</v>
      </c>
      <c r="D821" s="594">
        <f>input!H58</f>
        <v>22</v>
      </c>
      <c r="E821" s="594">
        <f>input!J58</f>
        <v>1940</v>
      </c>
      <c r="F821" s="594">
        <f>input!K58</f>
        <v>10</v>
      </c>
      <c r="G821" s="594">
        <f>input!L58</f>
        <v>120</v>
      </c>
      <c r="H821" s="594">
        <f>input!R58</f>
        <v>0</v>
      </c>
      <c r="I821" s="594">
        <f>input!P58</f>
        <v>290</v>
      </c>
      <c r="J821" s="594">
        <f>input!U58</f>
        <v>2400</v>
      </c>
      <c r="K821" s="594">
        <f>input!M58</f>
        <v>2800</v>
      </c>
      <c r="L821" s="850">
        <f t="shared" si="30"/>
        <v>5772800</v>
      </c>
      <c r="M821" s="851">
        <f t="shared" si="31"/>
        <v>6047500</v>
      </c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E821" s="143"/>
      <c r="AF821" s="143"/>
      <c r="AG821" s="143"/>
      <c r="AH821" s="143"/>
      <c r="AI821" s="143"/>
      <c r="AJ821" s="143"/>
      <c r="AK821" s="143"/>
      <c r="AL821" s="143"/>
      <c r="AM821" s="143"/>
      <c r="AN821" s="143"/>
      <c r="AO821" s="143"/>
      <c r="AP821" s="143"/>
      <c r="AQ821" s="143"/>
    </row>
    <row r="822" spans="1:43" ht="15" customHeight="1">
      <c r="A822" s="593" t="str">
        <f>+input!B59</f>
        <v>129i</v>
      </c>
      <c r="B822" s="594">
        <f>input!F59</f>
        <v>2</v>
      </c>
      <c r="C822" s="594">
        <f>input!G59</f>
        <v>500</v>
      </c>
      <c r="D822" s="594">
        <f>input!H59</f>
        <v>22</v>
      </c>
      <c r="E822" s="594">
        <f>input!J59</f>
        <v>1940</v>
      </c>
      <c r="F822" s="594">
        <f>input!K59</f>
        <v>10</v>
      </c>
      <c r="G822" s="594">
        <f>input!L59</f>
        <v>120</v>
      </c>
      <c r="H822" s="594">
        <f>input!R59</f>
        <v>0</v>
      </c>
      <c r="I822" s="594">
        <f>input!P59</f>
        <v>290</v>
      </c>
      <c r="J822" s="594">
        <f>input!U59</f>
        <v>2400</v>
      </c>
      <c r="K822" s="594">
        <f>input!M59</f>
        <v>2800</v>
      </c>
      <c r="L822" s="850">
        <f t="shared" si="30"/>
        <v>5772800</v>
      </c>
      <c r="M822" s="851">
        <f t="shared" si="31"/>
        <v>6047500</v>
      </c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E822" s="143"/>
      <c r="AF822" s="143"/>
      <c r="AG822" s="143"/>
      <c r="AH822" s="143"/>
      <c r="AI822" s="143"/>
      <c r="AJ822" s="143"/>
      <c r="AK822" s="143"/>
      <c r="AL822" s="143"/>
      <c r="AM822" s="143"/>
      <c r="AN822" s="143"/>
      <c r="AO822" s="143"/>
      <c r="AP822" s="143"/>
      <c r="AQ822" s="143"/>
    </row>
    <row r="823" spans="1:43" ht="15" customHeight="1">
      <c r="A823" s="593" t="str">
        <f>+input!B60</f>
        <v>129j</v>
      </c>
      <c r="B823" s="594">
        <f>input!F60</f>
        <v>2</v>
      </c>
      <c r="C823" s="594">
        <f>input!G60</f>
        <v>500</v>
      </c>
      <c r="D823" s="594">
        <f>input!H60</f>
        <v>22</v>
      </c>
      <c r="E823" s="594">
        <f>input!J60</f>
        <v>1940</v>
      </c>
      <c r="F823" s="594">
        <f>input!K60</f>
        <v>10</v>
      </c>
      <c r="G823" s="594">
        <f>input!L60</f>
        <v>120</v>
      </c>
      <c r="H823" s="594">
        <f>input!R60</f>
        <v>0</v>
      </c>
      <c r="I823" s="594">
        <f>input!P60</f>
        <v>290</v>
      </c>
      <c r="J823" s="594">
        <f>input!U60</f>
        <v>2400</v>
      </c>
      <c r="K823" s="594">
        <f>input!M60</f>
        <v>2800</v>
      </c>
      <c r="L823" s="850">
        <f t="shared" si="30"/>
        <v>5772800</v>
      </c>
      <c r="M823" s="851">
        <f t="shared" si="31"/>
        <v>6047500</v>
      </c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E823" s="143"/>
      <c r="AF823" s="143"/>
      <c r="AG823" s="143"/>
      <c r="AH823" s="143"/>
      <c r="AI823" s="143"/>
      <c r="AJ823" s="143"/>
      <c r="AK823" s="143"/>
      <c r="AL823" s="143"/>
      <c r="AM823" s="143"/>
      <c r="AN823" s="143"/>
      <c r="AO823" s="143"/>
      <c r="AP823" s="143"/>
      <c r="AQ823" s="143"/>
    </row>
    <row r="824" spans="1:43" ht="15" customHeight="1">
      <c r="A824" s="593" t="str">
        <f>+input!B61</f>
        <v>130i</v>
      </c>
      <c r="B824" s="594">
        <f>input!F61</f>
        <v>2</v>
      </c>
      <c r="C824" s="594">
        <f>input!G61</f>
        <v>500</v>
      </c>
      <c r="D824" s="594">
        <f>input!H61</f>
        <v>22</v>
      </c>
      <c r="E824" s="594">
        <f>input!J61</f>
        <v>1940</v>
      </c>
      <c r="F824" s="594">
        <f>input!K61</f>
        <v>10</v>
      </c>
      <c r="G824" s="594">
        <f>input!L61</f>
        <v>120</v>
      </c>
      <c r="H824" s="594">
        <f>input!R61</f>
        <v>0</v>
      </c>
      <c r="I824" s="594">
        <f>input!P61</f>
        <v>290</v>
      </c>
      <c r="J824" s="594">
        <f>input!U61</f>
        <v>2350</v>
      </c>
      <c r="K824" s="594">
        <f>input!M61</f>
        <v>2600</v>
      </c>
      <c r="L824" s="850">
        <f t="shared" si="30"/>
        <v>5297400</v>
      </c>
      <c r="M824" s="851">
        <f t="shared" si="31"/>
        <v>5568750</v>
      </c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E824" s="143"/>
      <c r="AF824" s="143"/>
      <c r="AG824" s="143"/>
      <c r="AH824" s="143"/>
      <c r="AI824" s="143"/>
      <c r="AJ824" s="143"/>
      <c r="AK824" s="143"/>
      <c r="AL824" s="143"/>
      <c r="AM824" s="143"/>
      <c r="AN824" s="143"/>
      <c r="AO824" s="143"/>
      <c r="AP824" s="143"/>
      <c r="AQ824" s="143"/>
    </row>
    <row r="825" spans="1:43" ht="15" customHeight="1">
      <c r="A825" s="593" t="str">
        <f>+input!B62</f>
        <v>130j</v>
      </c>
      <c r="B825" s="594">
        <f>input!F62</f>
        <v>2</v>
      </c>
      <c r="C825" s="594">
        <f>input!G62</f>
        <v>500</v>
      </c>
      <c r="D825" s="594">
        <f>input!H62</f>
        <v>22</v>
      </c>
      <c r="E825" s="594">
        <f>input!J62</f>
        <v>1940</v>
      </c>
      <c r="F825" s="594">
        <f>input!K62</f>
        <v>10</v>
      </c>
      <c r="G825" s="594">
        <f>input!L62</f>
        <v>120</v>
      </c>
      <c r="H825" s="594">
        <f>input!R62</f>
        <v>0</v>
      </c>
      <c r="I825" s="594">
        <f>input!P62</f>
        <v>290</v>
      </c>
      <c r="J825" s="594">
        <f>input!U62</f>
        <v>2350</v>
      </c>
      <c r="K825" s="594">
        <f>input!M62</f>
        <v>2600</v>
      </c>
      <c r="L825" s="850">
        <f t="shared" si="30"/>
        <v>5297400</v>
      </c>
      <c r="M825" s="851">
        <f t="shared" si="31"/>
        <v>5568750</v>
      </c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E825" s="143"/>
      <c r="AF825" s="143"/>
      <c r="AG825" s="143"/>
      <c r="AH825" s="143"/>
      <c r="AI825" s="143"/>
      <c r="AJ825" s="143"/>
      <c r="AK825" s="143"/>
      <c r="AL825" s="143"/>
      <c r="AM825" s="143"/>
      <c r="AN825" s="143"/>
      <c r="AO825" s="143"/>
      <c r="AP825" s="143"/>
      <c r="AQ825" s="143"/>
    </row>
    <row r="826" spans="1:43" ht="15" customHeight="1">
      <c r="A826" s="593" t="str">
        <f>+input!B63</f>
        <v>131i</v>
      </c>
      <c r="B826" s="594">
        <f>input!F63</f>
        <v>2</v>
      </c>
      <c r="C826" s="594">
        <f>input!G63</f>
        <v>500</v>
      </c>
      <c r="D826" s="594">
        <f>input!H63</f>
        <v>22</v>
      </c>
      <c r="E826" s="594">
        <f>input!J63</f>
        <v>1940</v>
      </c>
      <c r="F826" s="594">
        <f>input!K63</f>
        <v>10</v>
      </c>
      <c r="G826" s="594">
        <f>input!L63</f>
        <v>120</v>
      </c>
      <c r="H826" s="594">
        <f>input!R63</f>
        <v>0</v>
      </c>
      <c r="I826" s="594">
        <f>input!P63</f>
        <v>290</v>
      </c>
      <c r="J826" s="594">
        <f>input!U63</f>
        <v>2350</v>
      </c>
      <c r="K826" s="594">
        <f>input!M63</f>
        <v>2600</v>
      </c>
      <c r="L826" s="850">
        <f t="shared" si="30"/>
        <v>5297400</v>
      </c>
      <c r="M826" s="851">
        <f t="shared" si="31"/>
        <v>5568750</v>
      </c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E826" s="143"/>
      <c r="AF826" s="143"/>
      <c r="AG826" s="143"/>
      <c r="AH826" s="143"/>
      <c r="AI826" s="143"/>
      <c r="AJ826" s="143"/>
      <c r="AK826" s="143"/>
      <c r="AL826" s="143"/>
      <c r="AM826" s="143"/>
      <c r="AN826" s="143"/>
      <c r="AO826" s="143"/>
      <c r="AP826" s="143"/>
      <c r="AQ826" s="143"/>
    </row>
    <row r="827" spans="1:43" ht="15" customHeight="1">
      <c r="A827" s="593" t="str">
        <f>+input!B64</f>
        <v>131j</v>
      </c>
      <c r="B827" s="594">
        <f>input!F64</f>
        <v>2</v>
      </c>
      <c r="C827" s="594">
        <f>input!G64</f>
        <v>500</v>
      </c>
      <c r="D827" s="594">
        <f>input!H64</f>
        <v>22</v>
      </c>
      <c r="E827" s="594">
        <f>input!J64</f>
        <v>1940</v>
      </c>
      <c r="F827" s="594">
        <f>input!K64</f>
        <v>10</v>
      </c>
      <c r="G827" s="594">
        <f>input!L64</f>
        <v>120</v>
      </c>
      <c r="H827" s="594">
        <f>input!R64</f>
        <v>0</v>
      </c>
      <c r="I827" s="594">
        <f>input!P64</f>
        <v>290</v>
      </c>
      <c r="J827" s="594">
        <f>input!U64</f>
        <v>2350</v>
      </c>
      <c r="K827" s="594">
        <f>input!M64</f>
        <v>2600</v>
      </c>
      <c r="L827" s="850">
        <f t="shared" si="30"/>
        <v>5297400</v>
      </c>
      <c r="M827" s="851">
        <f t="shared" si="31"/>
        <v>5568750</v>
      </c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E827" s="143"/>
      <c r="AF827" s="143"/>
      <c r="AG827" s="143"/>
      <c r="AH827" s="143"/>
      <c r="AI827" s="143"/>
      <c r="AJ827" s="143"/>
      <c r="AK827" s="143"/>
      <c r="AL827" s="143"/>
      <c r="AM827" s="143"/>
      <c r="AN827" s="143"/>
      <c r="AO827" s="143"/>
      <c r="AP827" s="143"/>
      <c r="AQ827" s="143"/>
    </row>
    <row r="828" spans="1:43" ht="15" customHeight="1">
      <c r="A828" s="318"/>
      <c r="B828" s="318"/>
      <c r="C828" s="220"/>
      <c r="D828" s="220"/>
      <c r="E828" s="220"/>
      <c r="F828" s="220"/>
      <c r="G828" s="242"/>
      <c r="H828" s="242"/>
      <c r="I828" s="242"/>
      <c r="J828" s="242"/>
      <c r="K828" s="242"/>
      <c r="L828" s="242"/>
      <c r="M828" s="317"/>
      <c r="N828" s="317"/>
      <c r="O828" s="317"/>
      <c r="P828" s="317"/>
      <c r="Q828" s="317"/>
      <c r="R828" s="317"/>
      <c r="S828" s="244"/>
      <c r="T828" s="244"/>
      <c r="U828" s="317"/>
      <c r="V828" s="317"/>
      <c r="W828" s="317"/>
      <c r="X828" s="317"/>
      <c r="Y828" s="242"/>
      <c r="Z828" s="242"/>
      <c r="AB828" s="316"/>
    </row>
    <row r="829" spans="1:43" ht="15" customHeight="1" thickBot="1">
      <c r="A829" s="468" t="s">
        <v>1643</v>
      </c>
      <c r="G829" s="4"/>
      <c r="H829" s="4"/>
      <c r="I829" s="4"/>
      <c r="L829" s="326"/>
      <c r="AB829" s="326"/>
    </row>
    <row r="830" spans="1:43" ht="15" customHeight="1">
      <c r="A830" s="535" t="s">
        <v>16</v>
      </c>
      <c r="B830" s="1918" t="s">
        <v>838</v>
      </c>
      <c r="C830" s="1911"/>
      <c r="D830" s="1911"/>
      <c r="E830" s="1911"/>
      <c r="F830" s="1911"/>
      <c r="G830" s="1911"/>
      <c r="H830" s="1919"/>
      <c r="I830" s="536" t="s">
        <v>150</v>
      </c>
      <c r="J830" s="536" t="s">
        <v>151</v>
      </c>
      <c r="K830" s="536" t="s">
        <v>152</v>
      </c>
      <c r="L830" s="478" t="s">
        <v>408</v>
      </c>
      <c r="N830" s="249"/>
      <c r="AA830" s="73"/>
      <c r="AB830" s="73"/>
      <c r="AC830" s="73"/>
      <c r="AE830" s="73"/>
      <c r="AF830" s="143"/>
      <c r="AG830" s="143"/>
      <c r="AH830" s="143"/>
      <c r="AI830" s="143"/>
      <c r="AJ830" s="143"/>
      <c r="AK830" s="143"/>
      <c r="AL830" s="143"/>
      <c r="AM830" s="143"/>
      <c r="AN830" s="143"/>
      <c r="AO830" s="143"/>
      <c r="AP830" s="143"/>
      <c r="AQ830" s="143"/>
    </row>
    <row r="831" spans="1:43" ht="15" customHeight="1">
      <c r="A831" s="537"/>
      <c r="B831" s="532" t="s">
        <v>830</v>
      </c>
      <c r="C831" s="532" t="s">
        <v>9</v>
      </c>
      <c r="D831" s="532" t="s">
        <v>10</v>
      </c>
      <c r="E831" s="532" t="s">
        <v>197</v>
      </c>
      <c r="F831" s="532" t="s">
        <v>831</v>
      </c>
      <c r="G831" s="532" t="s">
        <v>832</v>
      </c>
      <c r="H831" s="532" t="s">
        <v>833</v>
      </c>
      <c r="I831" s="262"/>
      <c r="J831" s="262"/>
      <c r="K831" s="262"/>
      <c r="L831" s="481"/>
      <c r="AA831" s="73"/>
      <c r="AB831" s="73"/>
      <c r="AC831" s="73"/>
      <c r="AE831" s="73"/>
      <c r="AF831" s="143"/>
      <c r="AG831" s="143"/>
      <c r="AH831" s="143"/>
      <c r="AI831" s="143"/>
      <c r="AJ831" s="143"/>
      <c r="AK831" s="143"/>
      <c r="AL831" s="143"/>
      <c r="AM831" s="143"/>
      <c r="AN831" s="143"/>
      <c r="AO831" s="143"/>
      <c r="AP831" s="143"/>
      <c r="AQ831" s="143"/>
    </row>
    <row r="832" spans="1:43" ht="15" customHeight="1">
      <c r="A832" s="593" t="str">
        <f>+input!B3</f>
        <v>101i</v>
      </c>
      <c r="B832" s="595">
        <f>MST!L4</f>
        <v>0</v>
      </c>
      <c r="C832" s="595">
        <f>MST!M4</f>
        <v>0</v>
      </c>
      <c r="D832" s="595">
        <f>MST!N4</f>
        <v>0</v>
      </c>
      <c r="E832" s="595">
        <f>MST!O4</f>
        <v>0</v>
      </c>
      <c r="F832" s="595">
        <f>MST!P4</f>
        <v>0</v>
      </c>
      <c r="G832" s="596">
        <f>MST!Z4</f>
        <v>160.28</v>
      </c>
      <c r="H832" s="596">
        <f>MST!AA4</f>
        <v>-46.09</v>
      </c>
      <c r="I832" s="595">
        <f>1.25*(B832+C832+D832)/2/L766/IF(B434="Positive",input!H3,input!K3)*10^6</f>
        <v>0</v>
      </c>
      <c r="J832" s="595">
        <f>(1.25*E832+1.5*F832+1.8*IF(1.25*E832+1.5*F832&gt;=0,G832,H832))/2/M766/IF(B434="Positive",input!H3,input!K3)*10^6</f>
        <v>2.1578685191916747</v>
      </c>
      <c r="K832" s="595">
        <f t="shared" ref="K832:K863" si="32">+I832+J832</f>
        <v>2.1578685191916747</v>
      </c>
      <c r="L832" s="597">
        <f>SQRT(1-(K832/input!BI3)^2)</f>
        <v>0.99998387661327959</v>
      </c>
      <c r="AA832" s="73"/>
      <c r="AB832" s="73"/>
      <c r="AC832" s="73"/>
      <c r="AE832" s="73"/>
      <c r="AF832" s="143"/>
      <c r="AG832" s="143"/>
      <c r="AH832" s="143"/>
      <c r="AI832" s="143"/>
      <c r="AJ832" s="143"/>
      <c r="AK832" s="143"/>
      <c r="AL832" s="143"/>
      <c r="AM832" s="143"/>
      <c r="AN832" s="143"/>
      <c r="AO832" s="143"/>
      <c r="AP832" s="143"/>
      <c r="AQ832" s="143"/>
    </row>
    <row r="833" spans="1:43" ht="15" customHeight="1">
      <c r="A833" s="593" t="str">
        <f>+input!B4</f>
        <v>101j</v>
      </c>
      <c r="B833" s="595">
        <f>MST!L5</f>
        <v>0</v>
      </c>
      <c r="C833" s="595">
        <f>MST!M5</f>
        <v>0</v>
      </c>
      <c r="D833" s="595">
        <f>MST!N5</f>
        <v>0.9</v>
      </c>
      <c r="E833" s="595">
        <f>MST!O5</f>
        <v>15.89</v>
      </c>
      <c r="F833" s="595">
        <f>MST!P5</f>
        <v>-0.72</v>
      </c>
      <c r="G833" s="596">
        <f>MST!Z5</f>
        <v>160.28</v>
      </c>
      <c r="H833" s="596">
        <f>MST!AA5</f>
        <v>-46.09</v>
      </c>
      <c r="I833" s="595">
        <f>1.25*(B833+C833+D833)/2/L767/IF(B435="Positive",input!H4,input!K4)*10^6</f>
        <v>8.8452992541643675E-3</v>
      </c>
      <c r="J833" s="595">
        <f>(1.25*E833+1.5*F833+1.8*IF(1.25*E833+1.5*F833&gt;=0,G833,H833))/2/M767/IF(B435="Positive",input!H4,input!K4)*10^6</f>
        <v>2.2983524135630442</v>
      </c>
      <c r="K833" s="595">
        <f t="shared" si="32"/>
        <v>2.3071977128172088</v>
      </c>
      <c r="L833" s="597">
        <f>SQRT(1-(K833/input!BI4)^2)</f>
        <v>0.99998156783121472</v>
      </c>
      <c r="AA833" s="73"/>
      <c r="AB833" s="73"/>
      <c r="AC833" s="73"/>
      <c r="AE833" s="73"/>
      <c r="AF833" s="143"/>
      <c r="AG833" s="143"/>
      <c r="AH833" s="143"/>
      <c r="AI833" s="143"/>
      <c r="AJ833" s="143"/>
      <c r="AK833" s="143"/>
      <c r="AL833" s="143"/>
      <c r="AM833" s="143"/>
      <c r="AN833" s="143"/>
      <c r="AO833" s="143"/>
      <c r="AP833" s="143"/>
      <c r="AQ833" s="143"/>
    </row>
    <row r="834" spans="1:43" ht="15" customHeight="1">
      <c r="A834" s="593" t="str">
        <f>+input!B5</f>
        <v>102i</v>
      </c>
      <c r="B834" s="595">
        <f>MST!L6</f>
        <v>2.91</v>
      </c>
      <c r="C834" s="595">
        <f>MST!M6</f>
        <v>0</v>
      </c>
      <c r="D834" s="595">
        <f>MST!N6</f>
        <v>31.24</v>
      </c>
      <c r="E834" s="595">
        <f>MST!O6</f>
        <v>-243.31</v>
      </c>
      <c r="F834" s="595">
        <f>MST!P6</f>
        <v>26.85</v>
      </c>
      <c r="G834" s="596">
        <f>MST!Z6</f>
        <v>974.62</v>
      </c>
      <c r="H834" s="596">
        <f>MST!AA6</f>
        <v>-2.0699999999999998</v>
      </c>
      <c r="I834" s="595">
        <f>1.25*(B834+C834+D834)/2/L768/IF(B436="Positive",input!H5,input!K5)*10^6</f>
        <v>0.33562996614412571</v>
      </c>
      <c r="J834" s="595">
        <f>(1.25*E834+1.5*F834+1.8*IF(1.25*E834+1.5*F834&gt;=0,G834,H834))/2/M768/IF(B436="Positive",input!H5,input!K5)*10^6</f>
        <v>-2.0014308302405555</v>
      </c>
      <c r="K834" s="595">
        <f t="shared" si="32"/>
        <v>-1.6658008640964297</v>
      </c>
      <c r="L834" s="597">
        <f>SQRT(1-(K834/input!BI5)^2)</f>
        <v>0.99999039160024228</v>
      </c>
      <c r="AA834" s="73"/>
      <c r="AB834" s="73"/>
      <c r="AC834" s="73"/>
      <c r="AE834" s="73"/>
      <c r="AF834" s="143"/>
      <c r="AG834" s="143"/>
      <c r="AH834" s="143"/>
      <c r="AI834" s="143"/>
      <c r="AJ834" s="143"/>
      <c r="AK834" s="143"/>
      <c r="AL834" s="143"/>
      <c r="AM834" s="143"/>
      <c r="AN834" s="143"/>
      <c r="AO834" s="143"/>
      <c r="AP834" s="143"/>
      <c r="AQ834" s="143"/>
    </row>
    <row r="835" spans="1:43" ht="15" customHeight="1">
      <c r="A835" s="593" t="str">
        <f>+input!B6</f>
        <v>102j</v>
      </c>
      <c r="B835" s="595">
        <f>MST!L7</f>
        <v>2.91</v>
      </c>
      <c r="C835" s="595">
        <f>MST!M7</f>
        <v>0</v>
      </c>
      <c r="D835" s="595">
        <f>MST!N7</f>
        <v>35.58</v>
      </c>
      <c r="E835" s="595">
        <f>MST!O7</f>
        <v>-166.73</v>
      </c>
      <c r="F835" s="595">
        <f>MST!P7</f>
        <v>23.38</v>
      </c>
      <c r="G835" s="596">
        <f>MST!Z7</f>
        <v>978.06</v>
      </c>
      <c r="H835" s="596">
        <f>MST!AA7</f>
        <v>-1000.04</v>
      </c>
      <c r="I835" s="595">
        <f>1.25*(B835+C835+D835)/2/L769/IF(B437="Positive",input!H6,input!K6)*10^6</f>
        <v>0.20633670805623422</v>
      </c>
      <c r="J835" s="595">
        <f>(1.25*E835+1.5*F835+1.8*IF(1.25*E835+1.5*F835&gt;=0,G835,H835))/2/M769/IF(B437="Positive",input!H6,input!K6)*10^6</f>
        <v>-8.0510035938365014</v>
      </c>
      <c r="K835" s="595">
        <f t="shared" si="32"/>
        <v>-7.8446668857802671</v>
      </c>
      <c r="L835" s="597">
        <f>SQRT(1-(K835/input!BI6)^2)</f>
        <v>0.99978689281015287</v>
      </c>
      <c r="AA835" s="73"/>
      <c r="AB835" s="73"/>
      <c r="AC835" s="73"/>
      <c r="AE835" s="73"/>
      <c r="AF835" s="143"/>
      <c r="AG835" s="143"/>
      <c r="AH835" s="143"/>
      <c r="AI835" s="143"/>
      <c r="AJ835" s="143"/>
      <c r="AK835" s="143"/>
      <c r="AL835" s="143"/>
      <c r="AM835" s="143"/>
      <c r="AN835" s="143"/>
      <c r="AO835" s="143"/>
      <c r="AP835" s="143"/>
      <c r="AQ835" s="143"/>
    </row>
    <row r="836" spans="1:43" ht="15" customHeight="1">
      <c r="A836" s="593" t="str">
        <f>+input!B7</f>
        <v>103i</v>
      </c>
      <c r="B836" s="595">
        <f>MST!L8</f>
        <v>2.91</v>
      </c>
      <c r="C836" s="595">
        <f>MST!M8</f>
        <v>0</v>
      </c>
      <c r="D836" s="595">
        <f>MST!N8</f>
        <v>35.58</v>
      </c>
      <c r="E836" s="595">
        <f>MST!O8</f>
        <v>-166.73</v>
      </c>
      <c r="F836" s="595">
        <f>MST!P8</f>
        <v>23.38</v>
      </c>
      <c r="G836" s="596">
        <f>MST!Z8</f>
        <v>978.06</v>
      </c>
      <c r="H836" s="596">
        <f>MST!AA8</f>
        <v>-1000.04</v>
      </c>
      <c r="I836" s="595">
        <f>1.25*(B836+C836+D836)/2/L770/IF(B438="Positive",input!H7,input!K7)*10^6</f>
        <v>0.13851222966903889</v>
      </c>
      <c r="J836" s="595">
        <f>(1.25*E836+1.5*F836+1.8*IF(1.25*E836+1.5*F836&gt;=0,G836,H836))/2/M770/IF(B438="Positive",input!H7,input!K7)*10^6</f>
        <v>-5.4312865014229006</v>
      </c>
      <c r="K836" s="595">
        <f t="shared" si="32"/>
        <v>-5.2927742717538617</v>
      </c>
      <c r="L836" s="597">
        <f>SQRT(1-(K836/input!BI7)^2)</f>
        <v>0.99990299578161523</v>
      </c>
      <c r="AA836" s="73"/>
      <c r="AB836" s="73"/>
      <c r="AC836" s="73"/>
      <c r="AE836" s="73"/>
      <c r="AF836" s="143"/>
      <c r="AG836" s="143"/>
      <c r="AH836" s="143"/>
      <c r="AI836" s="143"/>
      <c r="AJ836" s="143"/>
      <c r="AK836" s="143"/>
      <c r="AL836" s="143"/>
      <c r="AM836" s="143"/>
      <c r="AN836" s="143"/>
      <c r="AO836" s="143"/>
      <c r="AP836" s="143"/>
      <c r="AQ836" s="143"/>
    </row>
    <row r="837" spans="1:43" ht="15" customHeight="1">
      <c r="A837" s="593" t="str">
        <f>+input!B8</f>
        <v>103j</v>
      </c>
      <c r="B837" s="595">
        <f>MST!L9</f>
        <v>2.91</v>
      </c>
      <c r="C837" s="595">
        <f>MST!M9</f>
        <v>0</v>
      </c>
      <c r="D837" s="595">
        <f>MST!N9</f>
        <v>32.549999999999997</v>
      </c>
      <c r="E837" s="595">
        <f>MST!O9</f>
        <v>-59.8</v>
      </c>
      <c r="F837" s="595">
        <f>MST!P9</f>
        <v>18.54</v>
      </c>
      <c r="G837" s="596">
        <f>MST!Z9</f>
        <v>983.39</v>
      </c>
      <c r="H837" s="596">
        <f>MST!AA9</f>
        <v>-1000.04</v>
      </c>
      <c r="I837" s="595">
        <f>1.25*(B837+C837+D837)/2/L771/IF(B439="Positive",input!H8,input!K8)*10^6</f>
        <v>0.12760830511987836</v>
      </c>
      <c r="J837" s="595">
        <f>(1.25*E837+1.5*F837+1.8*IF(1.25*E837+1.5*F837&gt;=0,G837,H837))/2/M771/IF(B439="Positive",input!H8,input!K8)*10^6</f>
        <v>-5.0833980106896535</v>
      </c>
      <c r="K837" s="595">
        <f t="shared" si="32"/>
        <v>-4.9557897055697753</v>
      </c>
      <c r="L837" s="597">
        <f>SQRT(1-(K837/input!BI8)^2)</f>
        <v>0.99991495534628716</v>
      </c>
      <c r="AA837" s="73"/>
      <c r="AB837" s="73"/>
      <c r="AC837" s="73"/>
      <c r="AE837" s="73"/>
      <c r="AF837" s="143"/>
      <c r="AG837" s="143"/>
      <c r="AH837" s="143"/>
      <c r="AI837" s="143"/>
      <c r="AJ837" s="143"/>
      <c r="AK837" s="143"/>
      <c r="AL837" s="143"/>
      <c r="AM837" s="143"/>
      <c r="AN837" s="143"/>
      <c r="AO837" s="143"/>
      <c r="AP837" s="143"/>
      <c r="AQ837" s="143"/>
    </row>
    <row r="838" spans="1:43" ht="15" customHeight="1">
      <c r="A838" s="593" t="str">
        <f>+input!B9</f>
        <v>104i</v>
      </c>
      <c r="B838" s="595">
        <f>MST!L10</f>
        <v>2.93</v>
      </c>
      <c r="C838" s="595">
        <f>MST!M10</f>
        <v>0</v>
      </c>
      <c r="D838" s="595">
        <f>MST!N10</f>
        <v>20.57</v>
      </c>
      <c r="E838" s="595">
        <f>MST!O10</f>
        <v>-254.66</v>
      </c>
      <c r="F838" s="595">
        <f>MST!P10</f>
        <v>22.37</v>
      </c>
      <c r="G838" s="596">
        <f>MST!Z10</f>
        <v>1047.6300000000001</v>
      </c>
      <c r="H838" s="596">
        <f>MST!AA10</f>
        <v>-1064.74</v>
      </c>
      <c r="I838" s="595">
        <f>1.25*(B838+C838+D838)/2/L772/IF(B440="Positive",input!H9,input!K9)*10^6</f>
        <v>8.4568391717911501E-2</v>
      </c>
      <c r="J838" s="595">
        <f>(1.25*E838+1.5*F838+1.8*IF(1.25*E838+1.5*F838&gt;=0,G838,H838))/2/M772/IF(B440="Positive",input!H9,input!K9)*10^6</f>
        <v>-6.0584848434807981</v>
      </c>
      <c r="K838" s="595">
        <f t="shared" si="32"/>
        <v>-5.9739164517628867</v>
      </c>
      <c r="L838" s="597">
        <f>SQRT(1-(K838/input!BI9)^2)</f>
        <v>0.99987642007254418</v>
      </c>
      <c r="AA838" s="73"/>
      <c r="AB838" s="73"/>
      <c r="AC838" s="73"/>
      <c r="AE838" s="73"/>
      <c r="AF838" s="143"/>
      <c r="AG838" s="143"/>
      <c r="AH838" s="143"/>
      <c r="AI838" s="143"/>
      <c r="AJ838" s="143"/>
      <c r="AK838" s="143"/>
      <c r="AL838" s="143"/>
      <c r="AM838" s="143"/>
      <c r="AN838" s="143"/>
      <c r="AO838" s="143"/>
      <c r="AP838" s="143"/>
      <c r="AQ838" s="143"/>
    </row>
    <row r="839" spans="1:43" ht="15" customHeight="1">
      <c r="A839" s="593" t="str">
        <f>+input!B10</f>
        <v>104j</v>
      </c>
      <c r="B839" s="595">
        <f>MST!L11</f>
        <v>2.93</v>
      </c>
      <c r="C839" s="595">
        <f>MST!M11</f>
        <v>0</v>
      </c>
      <c r="D839" s="595">
        <f>MST!N11</f>
        <v>16.47</v>
      </c>
      <c r="E839" s="595">
        <f>MST!O11</f>
        <v>-110.16</v>
      </c>
      <c r="F839" s="595">
        <f>MST!P11</f>
        <v>15.82</v>
      </c>
      <c r="G839" s="596">
        <f>MST!Z11</f>
        <v>1054.8399999999999</v>
      </c>
      <c r="H839" s="596">
        <f>MST!AA11</f>
        <v>-1064.74</v>
      </c>
      <c r="I839" s="595">
        <f>1.25*(B839+C839+D839)/2/L773/IF(B441="Positive",input!H10,input!K10)*10^6</f>
        <v>6.9813906354361008E-2</v>
      </c>
      <c r="J839" s="595">
        <f>(1.25*E839+1.5*F839+1.8*IF(1.25*E839+1.5*F839&gt;=0,G839,H839))/2/M773/IF(B441="Positive",input!H10,input!K10)*10^6</f>
        <v>-5.5884043132916101</v>
      </c>
      <c r="K839" s="595">
        <f t="shared" si="32"/>
        <v>-5.5185904069372489</v>
      </c>
      <c r="L839" s="597">
        <f>SQRT(1-(K839/input!BI10)^2)</f>
        <v>0.99989454139187417</v>
      </c>
      <c r="AA839" s="73"/>
      <c r="AB839" s="73"/>
      <c r="AC839" s="73"/>
      <c r="AE839" s="73"/>
      <c r="AF839" s="143"/>
      <c r="AG839" s="143"/>
      <c r="AH839" s="143"/>
      <c r="AI839" s="143"/>
      <c r="AJ839" s="143"/>
      <c r="AK839" s="143"/>
      <c r="AL839" s="143"/>
      <c r="AM839" s="143"/>
      <c r="AN839" s="143"/>
      <c r="AO839" s="143"/>
      <c r="AP839" s="143"/>
      <c r="AQ839" s="143"/>
    </row>
    <row r="840" spans="1:43" ht="15" customHeight="1">
      <c r="A840" s="593" t="str">
        <f>+input!B11</f>
        <v>105i</v>
      </c>
      <c r="B840" s="595">
        <f>MST!L12</f>
        <v>2.93</v>
      </c>
      <c r="C840" s="595">
        <f>MST!M12</f>
        <v>0</v>
      </c>
      <c r="D840" s="595">
        <f>MST!N12</f>
        <v>16.47</v>
      </c>
      <c r="E840" s="595">
        <f>MST!O12</f>
        <v>-110.16</v>
      </c>
      <c r="F840" s="595">
        <f>MST!P12</f>
        <v>15.82</v>
      </c>
      <c r="G840" s="596">
        <f>MST!Z12</f>
        <v>1054.8399999999999</v>
      </c>
      <c r="H840" s="596">
        <f>MST!AA12</f>
        <v>-1064.74</v>
      </c>
      <c r="I840" s="595">
        <f>1.25*(B840+C840+D840)/2/L774/IF(B442="Positive",input!H11,input!K11)*10^6</f>
        <v>5.4883027859303907E-2</v>
      </c>
      <c r="J840" s="595">
        <f>(1.25*E840+1.5*F840+1.8*IF(1.25*E840+1.5*F840&gt;=0,G840,H840))/2/M774/IF(B442="Positive",input!H11,input!K11)*10^6</f>
        <v>-4.3999821443894813</v>
      </c>
      <c r="K840" s="595">
        <f t="shared" si="32"/>
        <v>-4.3450991165301778</v>
      </c>
      <c r="L840" s="597">
        <f>SQRT(1-(K840/input!BI11)^2)</f>
        <v>0.99993462429537538</v>
      </c>
      <c r="AA840" s="73"/>
      <c r="AB840" s="73"/>
      <c r="AC840" s="73"/>
      <c r="AE840" s="73"/>
      <c r="AF840" s="143"/>
      <c r="AG840" s="143"/>
      <c r="AH840" s="143"/>
      <c r="AI840" s="143"/>
      <c r="AJ840" s="143"/>
      <c r="AK840" s="143"/>
      <c r="AL840" s="143"/>
      <c r="AM840" s="143"/>
      <c r="AN840" s="143"/>
      <c r="AO840" s="143"/>
      <c r="AP840" s="143"/>
      <c r="AQ840" s="143"/>
    </row>
    <row r="841" spans="1:43" ht="15" customHeight="1">
      <c r="A841" s="593" t="str">
        <f>+input!B12</f>
        <v>105j</v>
      </c>
      <c r="B841" s="595">
        <f>MST!L13</f>
        <v>2.93</v>
      </c>
      <c r="C841" s="595">
        <f>MST!M13</f>
        <v>0</v>
      </c>
      <c r="D841" s="595">
        <f>MST!N13</f>
        <v>12.37</v>
      </c>
      <c r="E841" s="595">
        <f>MST!O13</f>
        <v>34.340000000000003</v>
      </c>
      <c r="F841" s="595">
        <f>MST!P13</f>
        <v>9.27</v>
      </c>
      <c r="G841" s="596">
        <f>MST!Z13</f>
        <v>1062.05</v>
      </c>
      <c r="H841" s="596">
        <f>MST!AA13</f>
        <v>-1064.74</v>
      </c>
      <c r="I841" s="595">
        <f>1.25*(B841+C841+D841)/2/L775/IF(B443="Positive",input!H12,input!K12)*10^6</f>
        <v>4.3284037435430404E-2</v>
      </c>
      <c r="J841" s="595">
        <f>(1.25*E841+1.5*F841+1.8*IF(1.25*E841+1.5*F841&gt;=0,G841,H841))/2/M775/IF(B443="Positive",input!H12,input!K12)*10^6</f>
        <v>4.2656706818676273</v>
      </c>
      <c r="K841" s="595">
        <f t="shared" si="32"/>
        <v>4.308954719303058</v>
      </c>
      <c r="L841" s="597">
        <f>SQRT(1-(K841/input!BI12)^2)</f>
        <v>0.9999357074527182</v>
      </c>
      <c r="AA841" s="73"/>
      <c r="AB841" s="73"/>
      <c r="AC841" s="73"/>
      <c r="AE841" s="73"/>
      <c r="AF841" s="143"/>
      <c r="AG841" s="143"/>
      <c r="AH841" s="143"/>
      <c r="AI841" s="143"/>
      <c r="AJ841" s="143"/>
      <c r="AK841" s="143"/>
      <c r="AL841" s="143"/>
      <c r="AM841" s="143"/>
      <c r="AN841" s="143"/>
      <c r="AO841" s="143"/>
      <c r="AP841" s="143"/>
      <c r="AQ841" s="143"/>
    </row>
    <row r="842" spans="1:43" ht="15" customHeight="1">
      <c r="A842" s="593" t="str">
        <f>+input!B13</f>
        <v>106i</v>
      </c>
      <c r="B842" s="595">
        <f>MST!L14</f>
        <v>1</v>
      </c>
      <c r="C842" s="595">
        <f>MST!M14</f>
        <v>0</v>
      </c>
      <c r="D842" s="595">
        <f>MST!N14</f>
        <v>6.68</v>
      </c>
      <c r="E842" s="595">
        <f>MST!O14</f>
        <v>-193.07</v>
      </c>
      <c r="F842" s="595">
        <f>MST!P14</f>
        <v>13.42</v>
      </c>
      <c r="G842" s="596">
        <f>MST!Z14</f>
        <v>816.45</v>
      </c>
      <c r="H842" s="596">
        <f>MST!AA14</f>
        <v>-813.78</v>
      </c>
      <c r="I842" s="595">
        <f>1.25*(B842+C842+D842)/2/L776/IF(B444="Positive",input!H13,input!K13)*10^6</f>
        <v>2.1726889379353298E-2</v>
      </c>
      <c r="J842" s="595">
        <f>(1.25*E842+1.5*F842+1.8*IF(1.25*E842+1.5*F842&gt;=0,G842,H842))/2/M776/IF(B444="Positive",input!H13,input!K13)*10^6</f>
        <v>-3.653490858534159</v>
      </c>
      <c r="K842" s="595">
        <f t="shared" si="32"/>
        <v>-3.6317639691548056</v>
      </c>
      <c r="L842" s="597">
        <f>SQRT(1-(K842/input!BI13)^2)</f>
        <v>0.99995432821768249</v>
      </c>
      <c r="AA842" s="73"/>
      <c r="AB842" s="73"/>
      <c r="AC842" s="73"/>
      <c r="AE842" s="73"/>
      <c r="AF842" s="143"/>
      <c r="AG842" s="143"/>
      <c r="AH842" s="143"/>
      <c r="AI842" s="143"/>
      <c r="AJ842" s="143"/>
      <c r="AK842" s="143"/>
      <c r="AL842" s="143"/>
      <c r="AM842" s="143"/>
      <c r="AN842" s="143"/>
      <c r="AO842" s="143"/>
      <c r="AP842" s="143"/>
      <c r="AQ842" s="143"/>
    </row>
    <row r="843" spans="1:43" ht="15" customHeight="1">
      <c r="A843" s="593" t="str">
        <f>+input!B14</f>
        <v>106j</v>
      </c>
      <c r="B843" s="595">
        <f>MST!L15</f>
        <v>1</v>
      </c>
      <c r="C843" s="595">
        <f>MST!M15</f>
        <v>0</v>
      </c>
      <c r="D843" s="595">
        <f>MST!N15</f>
        <v>2.58</v>
      </c>
      <c r="E843" s="595">
        <f>MST!O15</f>
        <v>-48.57</v>
      </c>
      <c r="F843" s="595">
        <f>MST!P15</f>
        <v>6.87</v>
      </c>
      <c r="G843" s="596">
        <f>MST!Z15</f>
        <v>823.66</v>
      </c>
      <c r="H843" s="596">
        <f>MST!AA15</f>
        <v>-813.52</v>
      </c>
      <c r="I843" s="595">
        <f>1.25*(B843+C843+D843)/2/L777/IF(B445="Positive",input!H14,input!K14)*10^6</f>
        <v>1.0127898955479794E-2</v>
      </c>
      <c r="J843" s="595">
        <f>(1.25*E843+1.5*F843+1.8*IF(1.25*E843+1.5*F843&gt;=0,G843,H843))/2/M777/IF(B445="Positive",input!H14,input!K14)*10^6</f>
        <v>-3.2823628606768316</v>
      </c>
      <c r="K843" s="595">
        <f t="shared" si="32"/>
        <v>-3.272234961721352</v>
      </c>
      <c r="L843" s="597">
        <f>SQRT(1-(K843/input!BI14)^2)</f>
        <v>0.99996292340669113</v>
      </c>
      <c r="AA843" s="73"/>
      <c r="AB843" s="73"/>
      <c r="AC843" s="73"/>
      <c r="AE843" s="7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</row>
    <row r="844" spans="1:43" ht="15" customHeight="1">
      <c r="A844" s="593" t="str">
        <f>+input!B15</f>
        <v>107i</v>
      </c>
      <c r="B844" s="595">
        <f>MST!L16</f>
        <v>1</v>
      </c>
      <c r="C844" s="595">
        <f>MST!M16</f>
        <v>0</v>
      </c>
      <c r="D844" s="595">
        <f>MST!N16</f>
        <v>2.58</v>
      </c>
      <c r="E844" s="595">
        <f>MST!O16</f>
        <v>-48.57</v>
      </c>
      <c r="F844" s="595">
        <f>MST!P16</f>
        <v>6.87</v>
      </c>
      <c r="G844" s="596">
        <f>MST!Z16</f>
        <v>823.66</v>
      </c>
      <c r="H844" s="596">
        <f>MST!AA16</f>
        <v>-813.52</v>
      </c>
      <c r="I844" s="595">
        <f>1.25*(B844+C844+D844)/2/L778/IF(B446="Positive",input!H15,input!K15)*10^6</f>
        <v>9.6079525936104415E-3</v>
      </c>
      <c r="J844" s="595">
        <f>(1.25*E844+1.5*F844+1.8*IF(1.25*E844+1.5*F844&gt;=0,G844,H844))/2/M778/IF(B446="Positive",input!H15,input!K15)*10^6</f>
        <v>-3.1150896639657795</v>
      </c>
      <c r="K844" s="595">
        <f t="shared" si="32"/>
        <v>-3.1054817113721689</v>
      </c>
      <c r="L844" s="597">
        <f>SQRT(1-(K844/input!BI15)^2)</f>
        <v>0.99996660603293508</v>
      </c>
      <c r="AA844" s="73"/>
      <c r="AB844" s="73"/>
      <c r="AC844" s="73"/>
      <c r="AE844" s="73"/>
      <c r="AF844" s="143"/>
      <c r="AG844" s="143"/>
      <c r="AH844" s="143"/>
      <c r="AI844" s="143"/>
      <c r="AJ844" s="143"/>
      <c r="AK844" s="143"/>
      <c r="AL844" s="143"/>
      <c r="AM844" s="143"/>
      <c r="AN844" s="143"/>
      <c r="AO844" s="143"/>
      <c r="AP844" s="143"/>
      <c r="AQ844" s="143"/>
    </row>
    <row r="845" spans="1:43" ht="15" customHeight="1">
      <c r="A845" s="593" t="str">
        <f>+input!B16</f>
        <v>107j</v>
      </c>
      <c r="B845" s="595">
        <f>MST!L17</f>
        <v>1</v>
      </c>
      <c r="C845" s="595">
        <f>MST!M17</f>
        <v>0</v>
      </c>
      <c r="D845" s="595">
        <f>MST!N17</f>
        <v>-1.52</v>
      </c>
      <c r="E845" s="595">
        <f>MST!O17</f>
        <v>95.93</v>
      </c>
      <c r="F845" s="595">
        <f>MST!P17</f>
        <v>0.32</v>
      </c>
      <c r="G845" s="596">
        <f>MST!Z17</f>
        <v>830.87</v>
      </c>
      <c r="H845" s="596">
        <f>MST!AA17</f>
        <v>-813.52</v>
      </c>
      <c r="I845" s="595">
        <f>1.25*(B845+C845+D845)/2/L779/IF(B447="Positive",input!H16,input!K16)*10^6</f>
        <v>-1.3955685331501204E-3</v>
      </c>
      <c r="J845" s="595">
        <f>(1.25*E845+1.5*F845+1.8*IF(1.25*E845+1.5*F845&gt;=0,G845,H845))/2/M779/IF(B447="Positive",input!H16,input!K16)*10^6</f>
        <v>3.3232396248920328</v>
      </c>
      <c r="K845" s="595">
        <f t="shared" si="32"/>
        <v>3.3218440563588829</v>
      </c>
      <c r="L845" s="597">
        <f>SQRT(1-(K845/input!BI16)^2)</f>
        <v>0.99996179065529045</v>
      </c>
      <c r="AA845" s="73"/>
      <c r="AB845" s="73"/>
      <c r="AC845" s="73"/>
      <c r="AE845" s="73"/>
      <c r="AF845" s="143"/>
      <c r="AG845" s="143"/>
      <c r="AH845" s="143"/>
      <c r="AI845" s="143"/>
      <c r="AJ845" s="143"/>
      <c r="AK845" s="143"/>
      <c r="AL845" s="143"/>
      <c r="AM845" s="143"/>
      <c r="AN845" s="143"/>
      <c r="AO845" s="143"/>
      <c r="AP845" s="143"/>
      <c r="AQ845" s="143"/>
    </row>
    <row r="846" spans="1:43" ht="15" customHeight="1">
      <c r="A846" s="593" t="str">
        <f>+input!B17</f>
        <v>108i</v>
      </c>
      <c r="B846" s="595">
        <f>MST!L18</f>
        <v>-2.04</v>
      </c>
      <c r="C846" s="595">
        <f>MST!M18</f>
        <v>0</v>
      </c>
      <c r="D846" s="595">
        <f>MST!N18</f>
        <v>-11.49</v>
      </c>
      <c r="E846" s="595">
        <f>MST!O18</f>
        <v>-143.97</v>
      </c>
      <c r="F846" s="595">
        <f>MST!P18</f>
        <v>5.47</v>
      </c>
      <c r="G846" s="596">
        <f>MST!Z18</f>
        <v>639.02</v>
      </c>
      <c r="H846" s="596">
        <f>MST!AA18</f>
        <v>-617.11</v>
      </c>
      <c r="I846" s="595">
        <f>1.25*(B846+C846+D846)/2/L780/IF(B448="Positive",input!H17,input!K17)*10^6</f>
        <v>-3.6311619718309859E-2</v>
      </c>
      <c r="J846" s="595">
        <f>(1.25*E846+1.5*F846+1.8*IF(1.25*E846+1.5*F846&gt;=0,G846,H846))/2/M780/IF(B448="Positive",input!H17,input!K17)*10^6</f>
        <v>-2.6375920289557024</v>
      </c>
      <c r="K846" s="595">
        <f t="shared" si="32"/>
        <v>-2.6739036486740124</v>
      </c>
      <c r="L846" s="597">
        <f>SQRT(1-(K846/input!BI17)^2)</f>
        <v>0.99997524290433815</v>
      </c>
      <c r="AA846" s="73"/>
      <c r="AB846" s="73"/>
      <c r="AC846" s="73"/>
      <c r="AE846" s="73"/>
      <c r="AF846" s="143"/>
      <c r="AG846" s="143"/>
      <c r="AH846" s="143"/>
      <c r="AI846" s="143"/>
      <c r="AJ846" s="143"/>
      <c r="AK846" s="143"/>
      <c r="AL846" s="143"/>
      <c r="AM846" s="143"/>
      <c r="AN846" s="143"/>
      <c r="AO846" s="143"/>
      <c r="AP846" s="143"/>
      <c r="AQ846" s="143"/>
    </row>
    <row r="847" spans="1:43" ht="15" customHeight="1">
      <c r="A847" s="593" t="str">
        <f>+input!B18</f>
        <v>108j</v>
      </c>
      <c r="B847" s="595">
        <f>MST!L19</f>
        <v>-2.04</v>
      </c>
      <c r="C847" s="595">
        <f>MST!M19</f>
        <v>0</v>
      </c>
      <c r="D847" s="595">
        <f>MST!N19</f>
        <v>-15.59</v>
      </c>
      <c r="E847" s="595">
        <f>MST!O19</f>
        <v>0.53</v>
      </c>
      <c r="F847" s="595">
        <f>MST!P19</f>
        <v>-1.08</v>
      </c>
      <c r="G847" s="596">
        <f>MST!Z19</f>
        <v>644.38</v>
      </c>
      <c r="H847" s="596">
        <f>MST!AA19</f>
        <v>-597.45000000000005</v>
      </c>
      <c r="I847" s="595">
        <f>1.25*(B847+C847+D847)/2/L781/IF(B449="Positive",input!H18,input!K18)*10^6</f>
        <v>-4.7315140845070415E-2</v>
      </c>
      <c r="J847" s="595">
        <f>(1.25*E847+1.5*F847+1.8*IF(1.25*E847+1.5*F847&gt;=0,G847,H847))/2/M781/IF(B449="Positive",input!H18,input!K18)*10^6</f>
        <v>-2.2135637313371452</v>
      </c>
      <c r="K847" s="595">
        <f t="shared" si="32"/>
        <v>-2.2608788721822157</v>
      </c>
      <c r="L847" s="597">
        <f>SQRT(1-(K847/input!BI18)^2)</f>
        <v>0.99998230048991943</v>
      </c>
      <c r="AA847" s="73"/>
      <c r="AB847" s="73"/>
      <c r="AC847" s="73"/>
      <c r="AE847" s="73"/>
      <c r="AF847" s="143"/>
      <c r="AG847" s="143"/>
      <c r="AH847" s="143"/>
      <c r="AI847" s="143"/>
      <c r="AJ847" s="143"/>
      <c r="AK847" s="143"/>
      <c r="AL847" s="143"/>
      <c r="AM847" s="143"/>
      <c r="AN847" s="143"/>
      <c r="AO847" s="143"/>
      <c r="AP847" s="143"/>
      <c r="AQ847" s="143"/>
    </row>
    <row r="848" spans="1:43" ht="15" customHeight="1">
      <c r="A848" s="593" t="str">
        <f>+input!B19</f>
        <v>109i</v>
      </c>
      <c r="B848" s="595">
        <f>MST!L20</f>
        <v>-2.04</v>
      </c>
      <c r="C848" s="595">
        <f>MST!M20</f>
        <v>0</v>
      </c>
      <c r="D848" s="595">
        <f>MST!N20</f>
        <v>-15.59</v>
      </c>
      <c r="E848" s="595">
        <f>MST!O20</f>
        <v>0.53</v>
      </c>
      <c r="F848" s="595">
        <f>MST!P20</f>
        <v>-1.08</v>
      </c>
      <c r="G848" s="596">
        <f>MST!Z20</f>
        <v>644.38</v>
      </c>
      <c r="H848" s="596">
        <f>MST!AA20</f>
        <v>-597.45000000000005</v>
      </c>
      <c r="I848" s="595">
        <f>1.25*(B848+C848+D848)/2/L782/IF(B450="Positive",input!H19,input!K19)*10^6</f>
        <v>-4.7315140845070415E-2</v>
      </c>
      <c r="J848" s="595">
        <f>(1.25*E848+1.5*F848+1.8*IF(1.25*E848+1.5*F848&gt;=0,G848,H848))/2/M782/IF(B450="Positive",input!H19,input!K19)*10^6</f>
        <v>-2.2135637313371452</v>
      </c>
      <c r="K848" s="595">
        <f t="shared" si="32"/>
        <v>-2.2608788721822157</v>
      </c>
      <c r="L848" s="597">
        <f>SQRT(1-(K848/input!BI19)^2)</f>
        <v>0.99998230048991943</v>
      </c>
      <c r="AA848" s="73"/>
      <c r="AB848" s="73"/>
      <c r="AC848" s="73"/>
      <c r="AE848" s="7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</row>
    <row r="849" spans="1:43" ht="15" customHeight="1">
      <c r="A849" s="593" t="str">
        <f>+input!B20</f>
        <v>109j</v>
      </c>
      <c r="B849" s="595">
        <f>MST!L21</f>
        <v>-2.04</v>
      </c>
      <c r="C849" s="595">
        <f>MST!M21</f>
        <v>0</v>
      </c>
      <c r="D849" s="595">
        <f>MST!N21</f>
        <v>-19.690000000000001</v>
      </c>
      <c r="E849" s="595">
        <f>MST!O21</f>
        <v>145.03</v>
      </c>
      <c r="F849" s="595">
        <f>MST!P21</f>
        <v>-7.63</v>
      </c>
      <c r="G849" s="596">
        <f>MST!Z21</f>
        <v>653.1</v>
      </c>
      <c r="H849" s="596">
        <f>MST!AA21</f>
        <v>-597.37</v>
      </c>
      <c r="I849" s="595">
        <f>1.25*(B849+C849+D849)/2/L783/IF(B451="Positive",input!H20,input!K20)*10^6</f>
        <v>-5.8318661971830991E-2</v>
      </c>
      <c r="J849" s="595">
        <f>(1.25*E849+1.5*F849+1.8*IF(1.25*E849+1.5*F849&gt;=0,G849,H849))/2/M783/IF(B451="Positive",input!H20,input!K20)*10^6</f>
        <v>2.7668788302554193</v>
      </c>
      <c r="K849" s="595">
        <f t="shared" si="32"/>
        <v>2.7085601682835883</v>
      </c>
      <c r="L849" s="597">
        <f>SQRT(1-(K849/input!BI20)^2)</f>
        <v>0.99997459698279623</v>
      </c>
      <c r="AA849" s="73"/>
      <c r="AB849" s="73"/>
      <c r="AC849" s="73"/>
      <c r="AE849" s="73"/>
      <c r="AF849" s="143"/>
      <c r="AG849" s="143"/>
      <c r="AH849" s="143"/>
      <c r="AI849" s="143"/>
      <c r="AJ849" s="143"/>
      <c r="AK849" s="143"/>
      <c r="AL849" s="143"/>
      <c r="AM849" s="143"/>
      <c r="AN849" s="143"/>
      <c r="AO849" s="143"/>
      <c r="AP849" s="143"/>
      <c r="AQ849" s="143"/>
    </row>
    <row r="850" spans="1:43" ht="15" customHeight="1">
      <c r="A850" s="593" t="str">
        <f>+input!B21</f>
        <v>110i</v>
      </c>
      <c r="B850" s="595">
        <f>MST!L22</f>
        <v>0.67</v>
      </c>
      <c r="C850" s="595">
        <f>MST!M22</f>
        <v>0</v>
      </c>
      <c r="D850" s="595">
        <f>MST!N22</f>
        <v>2.94</v>
      </c>
      <c r="E850" s="595">
        <f>MST!O22</f>
        <v>-82.34</v>
      </c>
      <c r="F850" s="595">
        <f>MST!P22</f>
        <v>4.78</v>
      </c>
      <c r="G850" s="596">
        <f>MST!Z22</f>
        <v>615.52</v>
      </c>
      <c r="H850" s="596">
        <f>MST!AA22</f>
        <v>-635.11</v>
      </c>
      <c r="I850" s="595">
        <f>1.25*(B850+C850+D850)/2/L784/IF(B452="Positive",input!H21,input!K21)*10^6</f>
        <v>9.6884661628306428E-3</v>
      </c>
      <c r="J850" s="595">
        <f>(1.25*E850+1.5*F850+1.8*IF(1.25*E850+1.5*F850&gt;=0,G850,H850))/2/M784/IF(B452="Positive",input!H21,input!K21)*10^6</f>
        <v>-2.5479229218936372</v>
      </c>
      <c r="K850" s="595">
        <f t="shared" si="32"/>
        <v>-2.5382344557308065</v>
      </c>
      <c r="L850" s="597">
        <f>SQRT(1-(K850/input!BI21)^2)</f>
        <v>0.99997769146116366</v>
      </c>
      <c r="AA850" s="73"/>
      <c r="AB850" s="73"/>
      <c r="AC850" s="73"/>
      <c r="AE850" s="73"/>
      <c r="AF850" s="143"/>
      <c r="AG850" s="143"/>
      <c r="AH850" s="143"/>
      <c r="AI850" s="143"/>
      <c r="AJ850" s="143"/>
      <c r="AK850" s="143"/>
      <c r="AL850" s="143"/>
      <c r="AM850" s="143"/>
      <c r="AN850" s="143"/>
      <c r="AO850" s="143"/>
      <c r="AP850" s="143"/>
      <c r="AQ850" s="143"/>
    </row>
    <row r="851" spans="1:43" ht="15" customHeight="1">
      <c r="A851" s="593" t="str">
        <f>+input!B22</f>
        <v>110j</v>
      </c>
      <c r="B851" s="595">
        <f>MST!L23</f>
        <v>0.67</v>
      </c>
      <c r="C851" s="595">
        <f>MST!M23</f>
        <v>0</v>
      </c>
      <c r="D851" s="595">
        <f>MST!N23</f>
        <v>-1.1599999999999999</v>
      </c>
      <c r="E851" s="595">
        <f>MST!O23</f>
        <v>62.16</v>
      </c>
      <c r="F851" s="595">
        <f>MST!P23</f>
        <v>-1.77</v>
      </c>
      <c r="G851" s="596">
        <f>MST!Z23</f>
        <v>616.87</v>
      </c>
      <c r="H851" s="596">
        <f>MST!AA23</f>
        <v>-629.24</v>
      </c>
      <c r="I851" s="595">
        <f>1.25*(B851+C851+D851)/2/L785/IF(B453="Positive",input!H22,input!K22)*10^6</f>
        <v>-1.3150549639299204E-3</v>
      </c>
      <c r="J851" s="595">
        <f>(1.25*E851+1.5*F851+1.8*IF(1.25*E851+1.5*F851&gt;=0,G851,H851))/2/M785/IF(B453="Positive",input!H22,input!K22)*10^6</f>
        <v>2.4378131041006865</v>
      </c>
      <c r="K851" s="595">
        <f t="shared" si="32"/>
        <v>2.4364980491367567</v>
      </c>
      <c r="L851" s="597">
        <f>SQRT(1-(K851/input!BI22)^2)</f>
        <v>0.99997944396205063</v>
      </c>
      <c r="AA851" s="73"/>
      <c r="AB851" s="73"/>
      <c r="AC851" s="73"/>
      <c r="AE851" s="73"/>
      <c r="AF851" s="143"/>
      <c r="AG851" s="143"/>
      <c r="AH851" s="143"/>
      <c r="AI851" s="143"/>
      <c r="AJ851" s="143"/>
      <c r="AK851" s="143"/>
      <c r="AL851" s="143"/>
      <c r="AM851" s="143"/>
      <c r="AN851" s="143"/>
      <c r="AO851" s="143"/>
      <c r="AP851" s="143"/>
      <c r="AQ851" s="143"/>
    </row>
    <row r="852" spans="1:43" ht="15" customHeight="1">
      <c r="A852" s="593" t="str">
        <f>+input!B23</f>
        <v>111i</v>
      </c>
      <c r="B852" s="595">
        <f>MST!L24</f>
        <v>0.19</v>
      </c>
      <c r="C852" s="595">
        <f>MST!M24</f>
        <v>-0.01</v>
      </c>
      <c r="D852" s="595">
        <f>MST!N24</f>
        <v>15.33</v>
      </c>
      <c r="E852" s="595">
        <f>MST!O24</f>
        <v>-166.65</v>
      </c>
      <c r="F852" s="595">
        <f>MST!P24</f>
        <v>10.55</v>
      </c>
      <c r="G852" s="596">
        <f>MST!Z24</f>
        <v>679</v>
      </c>
      <c r="H852" s="596">
        <f>MST!AA24</f>
        <v>-729.58</v>
      </c>
      <c r="I852" s="595">
        <f>1.25*(B852+C852+D852)/2/L786/IF(B454="Positive",input!H23,input!K23)*10^6</f>
        <v>4.1625515286843009E-2</v>
      </c>
      <c r="J852" s="595">
        <f>(1.25*E852+1.5*F852+1.8*IF(1.25*E852+1.5*F852&gt;=0,G852,H852))/2/M786/IF(B454="Positive",input!H23,input!K23)*10^6</f>
        <v>-3.0965563690206888</v>
      </c>
      <c r="K852" s="595">
        <f t="shared" si="32"/>
        <v>-3.0549308537338455</v>
      </c>
      <c r="L852" s="597">
        <f>SQRT(1-(K852/input!BI23)^2)</f>
        <v>0.99996768437216765</v>
      </c>
      <c r="AA852" s="73"/>
      <c r="AB852" s="73"/>
      <c r="AC852" s="73"/>
      <c r="AE852" s="73"/>
      <c r="AF852" s="143"/>
      <c r="AG852" s="143"/>
      <c r="AH852" s="143"/>
      <c r="AI852" s="143"/>
      <c r="AJ852" s="143"/>
      <c r="AK852" s="143"/>
      <c r="AL852" s="143"/>
      <c r="AM852" s="143"/>
      <c r="AN852" s="143"/>
      <c r="AO852" s="143"/>
      <c r="AP852" s="143"/>
      <c r="AQ852" s="143"/>
    </row>
    <row r="853" spans="1:43" ht="15" customHeight="1">
      <c r="A853" s="593" t="str">
        <f>+input!B24</f>
        <v>111j</v>
      </c>
      <c r="B853" s="595">
        <f>MST!L25</f>
        <v>0.19</v>
      </c>
      <c r="C853" s="595">
        <f>MST!M25</f>
        <v>-0.01</v>
      </c>
      <c r="D853" s="595">
        <f>MST!N25</f>
        <v>11.23</v>
      </c>
      <c r="E853" s="595">
        <f>MST!O25</f>
        <v>-22.15</v>
      </c>
      <c r="F853" s="595">
        <f>MST!P25</f>
        <v>4</v>
      </c>
      <c r="G853" s="596">
        <f>MST!Z25</f>
        <v>679</v>
      </c>
      <c r="H853" s="596">
        <f>MST!AA25</f>
        <v>-722.37</v>
      </c>
      <c r="I853" s="595">
        <f>1.25*(B853+C853+D853)/2/L787/IF(B455="Positive",input!H24,input!K24)*10^6</f>
        <v>3.0621994160082443E-2</v>
      </c>
      <c r="J853" s="595">
        <f>(1.25*E853+1.5*F853+1.8*IF(1.25*E853+1.5*F853&gt;=0,G853,H853))/2/M787/IF(B455="Positive",input!H24,input!K24)*10^6</f>
        <v>-2.7186145272076669</v>
      </c>
      <c r="K853" s="595">
        <f t="shared" si="32"/>
        <v>-2.6879925330475847</v>
      </c>
      <c r="L853" s="597">
        <f>SQRT(1-(K853/input!BI24)^2)</f>
        <v>0.99997498132187457</v>
      </c>
      <c r="AA853" s="73"/>
      <c r="AB853" s="73"/>
      <c r="AC853" s="73"/>
      <c r="AE853" s="73"/>
      <c r="AF853" s="143"/>
      <c r="AG853" s="143"/>
      <c r="AH853" s="143"/>
      <c r="AI853" s="143"/>
      <c r="AJ853" s="143"/>
      <c r="AK853" s="143"/>
      <c r="AL853" s="143"/>
      <c r="AM853" s="143"/>
      <c r="AN853" s="143"/>
      <c r="AO853" s="143"/>
      <c r="AP853" s="143"/>
      <c r="AQ853" s="143"/>
    </row>
    <row r="854" spans="1:43" ht="15" customHeight="1">
      <c r="A854" s="593" t="str">
        <f>+input!B25</f>
        <v>112i</v>
      </c>
      <c r="B854" s="595">
        <f>MST!L26</f>
        <v>0.19</v>
      </c>
      <c r="C854" s="595">
        <f>MST!M26</f>
        <v>-0.01</v>
      </c>
      <c r="D854" s="595">
        <f>MST!N26</f>
        <v>11.23</v>
      </c>
      <c r="E854" s="595">
        <f>MST!O26</f>
        <v>-22.15</v>
      </c>
      <c r="F854" s="595">
        <f>MST!P26</f>
        <v>4</v>
      </c>
      <c r="G854" s="596">
        <f>MST!Z26</f>
        <v>679</v>
      </c>
      <c r="H854" s="596">
        <f>MST!AA26</f>
        <v>-722.37</v>
      </c>
      <c r="I854" s="595">
        <f>1.25*(B854+C854+D854)/2/L788/IF(B456="Positive",input!H25,input!K25)*10^6</f>
        <v>3.4096472757246983E-2</v>
      </c>
      <c r="J854" s="595">
        <f>(1.25*E854+1.5*F854+1.8*IF(1.25*E854+1.5*F854&gt;=0,G854,H854))/2/M788/IF(B456="Positive",input!H25,input!K25)*10^6</f>
        <v>-3.0247634332135287</v>
      </c>
      <c r="K854" s="595">
        <f t="shared" si="32"/>
        <v>-2.9906669604562817</v>
      </c>
      <c r="L854" s="597">
        <f>SQRT(1-(K854/input!BI25)^2)</f>
        <v>0.99996902968361789</v>
      </c>
      <c r="AA854" s="73"/>
      <c r="AB854" s="73"/>
      <c r="AC854" s="73"/>
      <c r="AE854" s="73"/>
      <c r="AF854" s="143"/>
      <c r="AG854" s="143"/>
      <c r="AH854" s="143"/>
      <c r="AI854" s="143"/>
      <c r="AJ854" s="143"/>
      <c r="AK854" s="143"/>
      <c r="AL854" s="143"/>
      <c r="AM854" s="143"/>
      <c r="AN854" s="143"/>
      <c r="AO854" s="143"/>
      <c r="AP854" s="143"/>
      <c r="AQ854" s="143"/>
    </row>
    <row r="855" spans="1:43" ht="15" customHeight="1">
      <c r="A855" s="593" t="str">
        <f>+input!B26</f>
        <v>112j</v>
      </c>
      <c r="B855" s="595">
        <f>MST!L27</f>
        <v>0.19</v>
      </c>
      <c r="C855" s="595">
        <f>MST!M27</f>
        <v>-0.01</v>
      </c>
      <c r="D855" s="595">
        <f>MST!N27</f>
        <v>7.13</v>
      </c>
      <c r="E855" s="595">
        <f>MST!O27</f>
        <v>122.35</v>
      </c>
      <c r="F855" s="595">
        <f>MST!P27</f>
        <v>-2.5499999999999998</v>
      </c>
      <c r="G855" s="596">
        <f>MST!Z27</f>
        <v>686.94</v>
      </c>
      <c r="H855" s="596">
        <f>MST!AA27</f>
        <v>-715.16</v>
      </c>
      <c r="I855" s="595">
        <f>1.25*(B855+C855+D855)/2/L789/IF(B457="Positive",input!H26,input!K26)*10^6</f>
        <v>2.1844453624493901E-2</v>
      </c>
      <c r="J855" s="595">
        <f>(1.25*E855+1.5*F855+1.8*IF(1.25*E855+1.5*F855&gt;=0,G855,H855))/2/M789/IF(B457="Positive",input!H26,input!K26)*10^6</f>
        <v>3.1704033647901491</v>
      </c>
      <c r="K855" s="595">
        <f t="shared" si="32"/>
        <v>3.1922478184146428</v>
      </c>
      <c r="L855" s="597">
        <f>SQRT(1-(K855/input!BI26)^2)</f>
        <v>0.99996471389914154</v>
      </c>
      <c r="AA855" s="73"/>
      <c r="AB855" s="73"/>
      <c r="AC855" s="73"/>
      <c r="AE855" s="73"/>
      <c r="AF855" s="143"/>
      <c r="AG855" s="143"/>
      <c r="AH855" s="143"/>
      <c r="AI855" s="143"/>
      <c r="AJ855" s="143"/>
      <c r="AK855" s="143"/>
      <c r="AL855" s="143"/>
      <c r="AM855" s="143"/>
      <c r="AN855" s="143"/>
      <c r="AO855" s="143"/>
      <c r="AP855" s="143"/>
      <c r="AQ855" s="143"/>
    </row>
    <row r="856" spans="1:43" ht="15" customHeight="1">
      <c r="A856" s="593" t="str">
        <f>+input!B27</f>
        <v>113i</v>
      </c>
      <c r="B856" s="595">
        <f>MST!L28</f>
        <v>0.69</v>
      </c>
      <c r="C856" s="595">
        <f>MST!M28</f>
        <v>-0.02</v>
      </c>
      <c r="D856" s="595">
        <f>MST!N28</f>
        <v>6.16</v>
      </c>
      <c r="E856" s="595">
        <f>MST!O28</f>
        <v>-123.22</v>
      </c>
      <c r="F856" s="595">
        <f>MST!P28</f>
        <v>3.91</v>
      </c>
      <c r="G856" s="596">
        <f>MST!Z28</f>
        <v>848.05</v>
      </c>
      <c r="H856" s="596">
        <f>MST!AA28</f>
        <v>-889.26</v>
      </c>
      <c r="I856" s="595">
        <f>1.25*(B856+C856+D856)/2/L790/IF(B458="Positive",input!H27,input!K27)*10^6</f>
        <v>2.4518039246093623E-2</v>
      </c>
      <c r="J856" s="595">
        <f>(1.25*E856+1.5*F856+1.8*IF(1.25*E856+1.5*F856&gt;=0,G856,H856))/2/M790/IF(B458="Positive",input!H27,input!K27)*10^6</f>
        <v>-4.8017946035590047</v>
      </c>
      <c r="K856" s="595">
        <f t="shared" si="32"/>
        <v>-4.7772765643129107</v>
      </c>
      <c r="L856" s="597">
        <f>SQRT(1-(K856/input!BI27)^2)</f>
        <v>0.99992097204567099</v>
      </c>
      <c r="AA856" s="73"/>
      <c r="AB856" s="73"/>
      <c r="AC856" s="73"/>
      <c r="AE856" s="73"/>
      <c r="AF856" s="143"/>
      <c r="AG856" s="143"/>
      <c r="AH856" s="143"/>
      <c r="AI856" s="143"/>
      <c r="AJ856" s="143"/>
      <c r="AK856" s="143"/>
      <c r="AL856" s="143"/>
      <c r="AM856" s="143"/>
      <c r="AN856" s="143"/>
      <c r="AO856" s="143"/>
      <c r="AP856" s="143"/>
      <c r="AQ856" s="143"/>
    </row>
    <row r="857" spans="1:43" ht="15" customHeight="1">
      <c r="A857" s="593" t="str">
        <f>+input!B28</f>
        <v>113j</v>
      </c>
      <c r="B857" s="595">
        <f>MST!L29</f>
        <v>0.69</v>
      </c>
      <c r="C857" s="595">
        <f>MST!M29</f>
        <v>-0.02</v>
      </c>
      <c r="D857" s="595">
        <f>MST!N29</f>
        <v>2.06</v>
      </c>
      <c r="E857" s="595">
        <f>MST!O29</f>
        <v>21.28</v>
      </c>
      <c r="F857" s="595">
        <f>MST!P29</f>
        <v>-2.64</v>
      </c>
      <c r="G857" s="596">
        <f>MST!Z29</f>
        <v>848.05</v>
      </c>
      <c r="H857" s="596">
        <f>MST!AA29</f>
        <v>-882.05</v>
      </c>
      <c r="I857" s="595">
        <f>1.25*(B857+C857+D857)/2/L791/IF(B459="Positive",input!H28,input!K28)*10^6</f>
        <v>9.8000361847489902E-3</v>
      </c>
      <c r="J857" s="595">
        <f>(1.25*E857+1.5*F857+1.8*IF(1.25*E857+1.5*F857&gt;=0,G857,H857))/2/M791/IF(B459="Positive",input!H28,input!K28)*10^6</f>
        <v>4.2534795155449023</v>
      </c>
      <c r="K857" s="595">
        <f t="shared" si="32"/>
        <v>4.2632795517296511</v>
      </c>
      <c r="L857" s="597">
        <f>SQRT(1-(K857/input!BI28)^2)</f>
        <v>0.99993706328078591</v>
      </c>
      <c r="AA857" s="73"/>
      <c r="AB857" s="73"/>
      <c r="AC857" s="73"/>
      <c r="AE857" s="73"/>
      <c r="AF857" s="143"/>
      <c r="AG857" s="143"/>
      <c r="AH857" s="143"/>
      <c r="AI857" s="143"/>
      <c r="AJ857" s="143"/>
      <c r="AK857" s="143"/>
      <c r="AL857" s="143"/>
      <c r="AM857" s="143"/>
      <c r="AN857" s="143"/>
      <c r="AO857" s="143"/>
      <c r="AP857" s="143"/>
      <c r="AQ857" s="143"/>
    </row>
    <row r="858" spans="1:43" ht="15" customHeight="1">
      <c r="A858" s="593" t="str">
        <f>+input!B29</f>
        <v>114i</v>
      </c>
      <c r="B858" s="595">
        <f>MST!L30</f>
        <v>0.69</v>
      </c>
      <c r="C858" s="595">
        <f>MST!M30</f>
        <v>-0.02</v>
      </c>
      <c r="D858" s="595">
        <f>MST!N30</f>
        <v>2.06</v>
      </c>
      <c r="E858" s="595">
        <f>MST!O30</f>
        <v>21.28</v>
      </c>
      <c r="F858" s="595">
        <f>MST!P30</f>
        <v>-2.64</v>
      </c>
      <c r="G858" s="596">
        <f>MST!Z30</f>
        <v>848.05</v>
      </c>
      <c r="H858" s="596">
        <f>MST!AA30</f>
        <v>-882.05</v>
      </c>
      <c r="I858" s="595">
        <f>1.25*(B858+C858+D858)/2/L792/IF(B460="Positive",input!H29,input!K29)*10^6</f>
        <v>9.8000361847489902E-3</v>
      </c>
      <c r="J858" s="595">
        <f>(1.25*E858+1.5*F858+1.8*IF(1.25*E858+1.5*F858&gt;=0,G858,H858))/2/M792/IF(B460="Positive",input!H29,input!K29)*10^6</f>
        <v>4.2534795155449023</v>
      </c>
      <c r="K858" s="595">
        <f t="shared" si="32"/>
        <v>4.2632795517296511</v>
      </c>
      <c r="L858" s="597">
        <f>SQRT(1-(K858/input!BI29)^2)</f>
        <v>0.99993706328078591</v>
      </c>
      <c r="AA858" s="73"/>
      <c r="AB858" s="73"/>
      <c r="AC858" s="73"/>
      <c r="AE858" s="73"/>
      <c r="AF858" s="143"/>
      <c r="AG858" s="143"/>
      <c r="AH858" s="143"/>
      <c r="AI858" s="143"/>
      <c r="AJ858" s="143"/>
      <c r="AK858" s="143"/>
      <c r="AL858" s="143"/>
      <c r="AM858" s="143"/>
      <c r="AN858" s="143"/>
      <c r="AO858" s="143"/>
      <c r="AP858" s="143"/>
      <c r="AQ858" s="143"/>
    </row>
    <row r="859" spans="1:43" ht="15" customHeight="1">
      <c r="A859" s="593" t="str">
        <f>+input!B30</f>
        <v>114j</v>
      </c>
      <c r="B859" s="595">
        <f>MST!L31</f>
        <v>0.69</v>
      </c>
      <c r="C859" s="595">
        <f>MST!M31</f>
        <v>-0.02</v>
      </c>
      <c r="D859" s="595">
        <f>MST!N31</f>
        <v>-2.04</v>
      </c>
      <c r="E859" s="595">
        <f>MST!O31</f>
        <v>165.78</v>
      </c>
      <c r="F859" s="595">
        <f>MST!P31</f>
        <v>-9.19</v>
      </c>
      <c r="G859" s="596">
        <f>MST!Z31</f>
        <v>850.33</v>
      </c>
      <c r="H859" s="596">
        <f>MST!AA31</f>
        <v>-874.84</v>
      </c>
      <c r="I859" s="595">
        <f>1.25*(B859+C859+D859)/2/L793/IF(B461="Positive",input!H30,input!K30)*10^6</f>
        <v>-4.9179668765956469E-3</v>
      </c>
      <c r="J859" s="595">
        <f>(1.25*E859+1.5*F859+1.8*IF(1.25*E859+1.5*F859&gt;=0,G859,H859))/2/M793/IF(B461="Positive",input!H30,input!K30)*10^6</f>
        <v>4.733717185196169</v>
      </c>
      <c r="K859" s="595">
        <f t="shared" si="32"/>
        <v>4.7287992183195735</v>
      </c>
      <c r="L859" s="597">
        <f>SQRT(1-(K859/input!BI30)^2)</f>
        <v>0.99992256783991706</v>
      </c>
      <c r="AA859" s="73"/>
      <c r="AB859" s="73"/>
      <c r="AC859" s="73"/>
      <c r="AE859" s="73"/>
      <c r="AF859" s="143"/>
      <c r="AG859" s="143"/>
      <c r="AH859" s="143"/>
      <c r="AI859" s="143"/>
      <c r="AJ859" s="143"/>
      <c r="AK859" s="143"/>
      <c r="AL859" s="143"/>
      <c r="AM859" s="143"/>
      <c r="AN859" s="143"/>
      <c r="AO859" s="143"/>
      <c r="AP859" s="143"/>
      <c r="AQ859" s="143"/>
    </row>
    <row r="860" spans="1:43" ht="15" customHeight="1">
      <c r="A860" s="593" t="str">
        <f>+input!B31</f>
        <v>115i</v>
      </c>
      <c r="B860" s="595">
        <f>MST!L32</f>
        <v>0.2</v>
      </c>
      <c r="C860" s="595">
        <f>MST!M32</f>
        <v>-0.05</v>
      </c>
      <c r="D860" s="595">
        <f>MST!N32</f>
        <v>-2.78</v>
      </c>
      <c r="E860" s="595">
        <f>MST!O32</f>
        <v>-73.17</v>
      </c>
      <c r="F860" s="595">
        <f>MST!P32</f>
        <v>-2.66</v>
      </c>
      <c r="G860" s="596">
        <f>MST!Z32</f>
        <v>1097.3499999999999</v>
      </c>
      <c r="H860" s="596">
        <f>MST!AA32</f>
        <v>-1085.8699999999999</v>
      </c>
      <c r="I860" s="595">
        <f>1.25*(B860+C860+D860)/2/L794/IF(B462="Positive",input!H31,input!K31)*10^6</f>
        <v>-1.2924391816452014E-2</v>
      </c>
      <c r="J860" s="595">
        <f>(1.25*E860+1.5*F860+1.8*IF(1.25*E860+1.5*F860&gt;=0,G860,H860))/2/M794/IF(B462="Positive",input!H31,input!K31)*10^6</f>
        <v>-7.6937975040795505</v>
      </c>
      <c r="K860" s="595">
        <f t="shared" si="32"/>
        <v>-7.7067218958960026</v>
      </c>
      <c r="L860" s="597">
        <f>SQRT(1-(K860/input!BI31)^2)</f>
        <v>0.99979432246894218</v>
      </c>
      <c r="AA860" s="73"/>
      <c r="AB860" s="73"/>
      <c r="AC860" s="73"/>
      <c r="AE860" s="73"/>
      <c r="AF860" s="143"/>
      <c r="AG860" s="143"/>
      <c r="AH860" s="143"/>
      <c r="AI860" s="143"/>
      <c r="AJ860" s="143"/>
      <c r="AK860" s="143"/>
      <c r="AL860" s="143"/>
      <c r="AM860" s="143"/>
      <c r="AN860" s="143"/>
      <c r="AO860" s="143"/>
      <c r="AP860" s="143"/>
      <c r="AQ860" s="143"/>
    </row>
    <row r="861" spans="1:43" ht="15" customHeight="1">
      <c r="A861" s="593" t="str">
        <f>+input!B32</f>
        <v>115j</v>
      </c>
      <c r="B861" s="595">
        <f>MST!L33</f>
        <v>0.2</v>
      </c>
      <c r="C861" s="595">
        <f>MST!M33</f>
        <v>-0.05</v>
      </c>
      <c r="D861" s="595">
        <f>MST!N33</f>
        <v>-6.88</v>
      </c>
      <c r="E861" s="595">
        <f>MST!O33</f>
        <v>71.33</v>
      </c>
      <c r="F861" s="595">
        <f>MST!P33</f>
        <v>-9.2100000000000009</v>
      </c>
      <c r="G861" s="596">
        <f>MST!Z33</f>
        <v>1097.3499999999999</v>
      </c>
      <c r="H861" s="596">
        <f>MST!AA33</f>
        <v>-1078.6600000000001</v>
      </c>
      <c r="I861" s="595">
        <f>1.25*(B861+C861+D861)/2/L795/IF(B463="Positive",input!H32,input!K32)*10^6</f>
        <v>-4.0422168406081226E-2</v>
      </c>
      <c r="J861" s="595">
        <f>(1.25*E861+1.5*F861+1.8*IF(1.25*E861+1.5*F861&gt;=0,G861,H861))/2/M795/IF(B463="Positive",input!H32,input!K32)*10^6</f>
        <v>9.4060944417839565</v>
      </c>
      <c r="K861" s="595">
        <f t="shared" si="32"/>
        <v>9.365672273377875</v>
      </c>
      <c r="L861" s="597">
        <f>SQRT(1-(K861/input!BI32)^2)</f>
        <v>0.99969622873293418</v>
      </c>
      <c r="AA861" s="73"/>
      <c r="AB861" s="73"/>
      <c r="AC861" s="73"/>
      <c r="AE861" s="73"/>
      <c r="AF861" s="143"/>
      <c r="AG861" s="143"/>
      <c r="AH861" s="143"/>
      <c r="AI861" s="143"/>
      <c r="AJ861" s="143"/>
      <c r="AK861" s="143"/>
      <c r="AL861" s="143"/>
      <c r="AM861" s="143"/>
      <c r="AN861" s="143"/>
      <c r="AO861" s="143"/>
      <c r="AP861" s="143"/>
      <c r="AQ861" s="143"/>
    </row>
    <row r="862" spans="1:43" ht="15" customHeight="1">
      <c r="A862" s="593" t="str">
        <f>+input!B33</f>
        <v>116i</v>
      </c>
      <c r="B862" s="595">
        <f>MST!L34</f>
        <v>0.2</v>
      </c>
      <c r="C862" s="595">
        <f>MST!M34</f>
        <v>-0.05</v>
      </c>
      <c r="D862" s="595">
        <f>MST!N34</f>
        <v>-6.88</v>
      </c>
      <c r="E862" s="595">
        <f>MST!O34</f>
        <v>71.33</v>
      </c>
      <c r="F862" s="595">
        <f>MST!P34</f>
        <v>-9.2100000000000009</v>
      </c>
      <c r="G862" s="596">
        <f>MST!Z34</f>
        <v>1097.3499999999999</v>
      </c>
      <c r="H862" s="596">
        <f>MST!AA34</f>
        <v>-1078.6600000000001</v>
      </c>
      <c r="I862" s="595">
        <f>1.25*(B862+C862+D862)/2/L796/IF(B464="Positive",input!H33,input!K33)*10^6</f>
        <v>-3.013578293598735E-2</v>
      </c>
      <c r="J862" s="595">
        <f>(1.25*E862+1.5*F862+1.8*IF(1.25*E862+1.5*F862&gt;=0,G862,H862))/2/M796/IF(B464="Positive",input!H33,input!K33)*10^6</f>
        <v>7.0193408273029867</v>
      </c>
      <c r="K862" s="595">
        <f t="shared" si="32"/>
        <v>6.9892050443669991</v>
      </c>
      <c r="L862" s="597">
        <f>SQRT(1-(K862/input!BI33)^2)</f>
        <v>0.99983084100026109</v>
      </c>
      <c r="AA862" s="73"/>
      <c r="AB862" s="73"/>
      <c r="AC862" s="73"/>
      <c r="AE862" s="73"/>
      <c r="AF862" s="143"/>
      <c r="AG862" s="143"/>
      <c r="AH862" s="143"/>
      <c r="AI862" s="143"/>
      <c r="AJ862" s="143"/>
      <c r="AK862" s="143"/>
      <c r="AL862" s="143"/>
      <c r="AM862" s="143"/>
      <c r="AN862" s="143"/>
      <c r="AO862" s="143"/>
      <c r="AP862" s="143"/>
      <c r="AQ862" s="143"/>
    </row>
    <row r="863" spans="1:43" ht="15" customHeight="1">
      <c r="A863" s="593" t="str">
        <f>+input!B34</f>
        <v>116j</v>
      </c>
      <c r="B863" s="595">
        <f>MST!L35</f>
        <v>0.2</v>
      </c>
      <c r="C863" s="595">
        <f>MST!M35</f>
        <v>-0.05</v>
      </c>
      <c r="D863" s="595">
        <f>MST!N35</f>
        <v>-10.98</v>
      </c>
      <c r="E863" s="595">
        <f>MST!O35</f>
        <v>215.83</v>
      </c>
      <c r="F863" s="595">
        <f>MST!P35</f>
        <v>-15.76</v>
      </c>
      <c r="G863" s="596">
        <f>MST!Z35</f>
        <v>1097.3699999999999</v>
      </c>
      <c r="H863" s="596">
        <f>MST!AA35</f>
        <v>-1071.46</v>
      </c>
      <c r="I863" s="595">
        <f>1.25*(B863+C863+D863)/2/L797/IF(B465="Positive",input!H34,input!K34)*10^6</f>
        <v>-4.8494878038149031E-2</v>
      </c>
      <c r="J863" s="595">
        <f>(1.25*E863+1.5*F863+1.8*IF(1.25*E863+1.5*F863&gt;=0,G863,H863))/2/M797/IF(B465="Positive",input!H34,input!K34)*10^6</f>
        <v>7.6041302876248382</v>
      </c>
      <c r="K863" s="595">
        <f t="shared" si="32"/>
        <v>7.5556354095866896</v>
      </c>
      <c r="L863" s="597">
        <f>SQRT(1-(K863/input!BI34)^2)</f>
        <v>0.99980230862234698</v>
      </c>
      <c r="AA863" s="73"/>
      <c r="AB863" s="73"/>
      <c r="AC863" s="73"/>
      <c r="AE863" s="73"/>
      <c r="AF863" s="143"/>
      <c r="AG863" s="143"/>
      <c r="AH863" s="143"/>
      <c r="AI863" s="143"/>
      <c r="AJ863" s="143"/>
      <c r="AK863" s="143"/>
      <c r="AL863" s="143"/>
      <c r="AM863" s="143"/>
      <c r="AN863" s="143"/>
      <c r="AO863" s="143"/>
      <c r="AP863" s="143"/>
      <c r="AQ863" s="143"/>
    </row>
    <row r="864" spans="1:43" ht="15" customHeight="1">
      <c r="A864" s="593" t="str">
        <f>+input!B35</f>
        <v>117i</v>
      </c>
      <c r="B864" s="595">
        <f>MST!L36</f>
        <v>-9.6199999999999992</v>
      </c>
      <c r="C864" s="595">
        <f>MST!M36</f>
        <v>0.23</v>
      </c>
      <c r="D864" s="595">
        <f>MST!N36</f>
        <v>-45.35</v>
      </c>
      <c r="E864" s="595">
        <f>MST!O36</f>
        <v>-8.3000000000000007</v>
      </c>
      <c r="F864" s="595">
        <f>MST!P36</f>
        <v>-13.2</v>
      </c>
      <c r="G864" s="596">
        <f>MST!Z36</f>
        <v>1260.31</v>
      </c>
      <c r="H864" s="596">
        <f>MST!AA36</f>
        <v>-1228.9100000000001</v>
      </c>
      <c r="I864" s="595">
        <f>1.25*(B864+C864+D864)/2/L798/IF(B466="Positive",input!H35,input!K35)*10^6</f>
        <v>-0.2031723739778403</v>
      </c>
      <c r="J864" s="595">
        <f>(1.25*E864+1.5*F864+1.8*IF(1.25*E864+1.5*F864&gt;=0,G864,H864))/2/M798/IF(B466="Positive",input!H35,input!K35)*10^6</f>
        <v>-6.3834817381267621</v>
      </c>
      <c r="K864" s="595">
        <f t="shared" ref="K864:K893" si="33">+I864+J864</f>
        <v>-6.5866541121046023</v>
      </c>
      <c r="L864" s="597">
        <f>SQRT(1-(K864/input!BI35)^2)</f>
        <v>0.99984976706547413</v>
      </c>
      <c r="AA864" s="73"/>
      <c r="AB864" s="73"/>
      <c r="AC864" s="73"/>
      <c r="AE864" s="73"/>
      <c r="AF864" s="143"/>
      <c r="AG864" s="143"/>
      <c r="AH864" s="143"/>
      <c r="AI864" s="143"/>
      <c r="AJ864" s="143"/>
      <c r="AK864" s="143"/>
      <c r="AL864" s="143"/>
      <c r="AM864" s="143"/>
      <c r="AN864" s="143"/>
      <c r="AO864" s="143"/>
      <c r="AP864" s="143"/>
      <c r="AQ864" s="143"/>
    </row>
    <row r="865" spans="1:43" ht="15" customHeight="1">
      <c r="A865" s="593" t="str">
        <f>+input!B36</f>
        <v>117j</v>
      </c>
      <c r="B865" s="595">
        <f>MST!L37</f>
        <v>-9.6199999999999992</v>
      </c>
      <c r="C865" s="595">
        <f>MST!M37</f>
        <v>0.23</v>
      </c>
      <c r="D865" s="595">
        <f>MST!N37</f>
        <v>-49.45</v>
      </c>
      <c r="E865" s="595">
        <f>MST!O37</f>
        <v>136.19999999999999</v>
      </c>
      <c r="F865" s="595">
        <f>MST!P37</f>
        <v>-19.75</v>
      </c>
      <c r="G865" s="596">
        <f>MST!Z37</f>
        <v>1260.31</v>
      </c>
      <c r="H865" s="596">
        <f>MST!AA37</f>
        <v>-1221.7</v>
      </c>
      <c r="I865" s="595">
        <f>1.25*(B865+C865+D865)/2/L799/IF(B467="Positive",input!H36,input!K36)*10^6</f>
        <v>-0.21838988828747033</v>
      </c>
      <c r="J865" s="595">
        <f>(1.25*E865+1.5*F865+1.8*IF(1.25*E865+1.5*F865&gt;=0,G865,H865))/2/M799/IF(B467="Positive",input!H36,input!K36)*10^6</f>
        <v>6.8588379802924369</v>
      </c>
      <c r="K865" s="595">
        <f t="shared" si="33"/>
        <v>6.6404480920049664</v>
      </c>
      <c r="L865" s="597">
        <f>SQRT(1-(K865/input!BI36)^2)</f>
        <v>0.9998473029163758</v>
      </c>
      <c r="AA865" s="73"/>
      <c r="AB865" s="73"/>
      <c r="AC865" s="73"/>
      <c r="AE865" s="73"/>
      <c r="AF865" s="143"/>
      <c r="AG865" s="143"/>
      <c r="AH865" s="143"/>
      <c r="AI865" s="143"/>
      <c r="AJ865" s="143"/>
      <c r="AK865" s="143"/>
      <c r="AL865" s="143"/>
      <c r="AM865" s="143"/>
      <c r="AN865" s="143"/>
      <c r="AO865" s="143"/>
      <c r="AP865" s="143"/>
      <c r="AQ865" s="143"/>
    </row>
    <row r="866" spans="1:43" ht="15" customHeight="1">
      <c r="A866" s="593" t="str">
        <f>+input!B37</f>
        <v>118i</v>
      </c>
      <c r="B866" s="595">
        <f>MST!L38</f>
        <v>-9.6199999999999992</v>
      </c>
      <c r="C866" s="595">
        <f>MST!M38</f>
        <v>0.23</v>
      </c>
      <c r="D866" s="595">
        <f>MST!N38</f>
        <v>-49.45</v>
      </c>
      <c r="E866" s="595">
        <f>MST!O38</f>
        <v>136.19999999999999</v>
      </c>
      <c r="F866" s="595">
        <f>MST!P38</f>
        <v>-19.75</v>
      </c>
      <c r="G866" s="596">
        <f>MST!Z38</f>
        <v>1260.31</v>
      </c>
      <c r="H866" s="596">
        <f>MST!AA38</f>
        <v>-1221.7</v>
      </c>
      <c r="I866" s="595">
        <f>1.25*(B866+C866+D866)/2/L800/IF(B468="Positive",input!H37,input!K37)*10^6</f>
        <v>-0.1941558636285115</v>
      </c>
      <c r="J866" s="595">
        <f>(1.25*E866+1.5*F866+1.8*IF(1.25*E866+1.5*F866&gt;=0,G866,H866))/2/M800/IF(B468="Positive",input!H37,input!K37)*10^6</f>
        <v>6.1160846749109998</v>
      </c>
      <c r="K866" s="595">
        <f t="shared" si="33"/>
        <v>5.9219288112824886</v>
      </c>
      <c r="L866" s="597">
        <f>SQRT(1-(K866/input!BI37)^2)</f>
        <v>0.9998785617370185</v>
      </c>
      <c r="AA866" s="73"/>
      <c r="AB866" s="73"/>
      <c r="AC866" s="73"/>
      <c r="AE866" s="73"/>
      <c r="AF866" s="143"/>
      <c r="AG866" s="143"/>
      <c r="AH866" s="143"/>
      <c r="AI866" s="143"/>
      <c r="AJ866" s="143"/>
      <c r="AK866" s="143"/>
      <c r="AL866" s="143"/>
      <c r="AM866" s="143"/>
      <c r="AN866" s="143"/>
      <c r="AO866" s="143"/>
      <c r="AP866" s="143"/>
      <c r="AQ866" s="143"/>
    </row>
    <row r="867" spans="1:43" ht="15" customHeight="1">
      <c r="A867" s="593" t="str">
        <f>+input!B38</f>
        <v>118j</v>
      </c>
      <c r="B867" s="595">
        <f>MST!L39</f>
        <v>-9.6199999999999992</v>
      </c>
      <c r="C867" s="595">
        <f>MST!M39</f>
        <v>0.23</v>
      </c>
      <c r="D867" s="595">
        <f>MST!N39</f>
        <v>-52.32</v>
      </c>
      <c r="E867" s="595">
        <f>MST!O39</f>
        <v>237.35</v>
      </c>
      <c r="F867" s="595">
        <f>MST!P39</f>
        <v>-24.34</v>
      </c>
      <c r="G867" s="596">
        <f>MST!Z39</f>
        <v>1264.48</v>
      </c>
      <c r="H867" s="596">
        <f>MST!AA39</f>
        <v>-1216.7</v>
      </c>
      <c r="I867" s="595">
        <f>1.25*(B867+C867+D867)/2/L801/IF(B469="Positive",input!H38,input!K38)*10^6</f>
        <v>-0.20362607655532705</v>
      </c>
      <c r="J867" s="595">
        <f>(1.25*E867+1.5*F867+1.8*IF(1.25*E867+1.5*F867&gt;=0,G867,H867))/2/M801/IF(B469="Positive",input!H38,input!K38)*10^6</f>
        <v>6.4386423820952112</v>
      </c>
      <c r="K867" s="595">
        <f t="shared" si="33"/>
        <v>6.235016305539884</v>
      </c>
      <c r="L867" s="597">
        <f>SQRT(1-(K867/input!BI38)^2)</f>
        <v>0.99986538072992592</v>
      </c>
      <c r="AA867" s="73"/>
      <c r="AB867" s="73"/>
      <c r="AC867" s="73"/>
      <c r="AE867" s="73"/>
      <c r="AF867" s="143"/>
      <c r="AG867" s="143"/>
      <c r="AH867" s="143"/>
      <c r="AI867" s="143"/>
      <c r="AJ867" s="143"/>
      <c r="AK867" s="143"/>
      <c r="AL867" s="143"/>
      <c r="AM867" s="143"/>
      <c r="AN867" s="143"/>
      <c r="AO867" s="143"/>
      <c r="AP867" s="143"/>
      <c r="AQ867" s="143"/>
    </row>
    <row r="868" spans="1:43" ht="15" customHeight="1">
      <c r="A868" s="593" t="str">
        <f>+input!B39</f>
        <v>119i</v>
      </c>
      <c r="B868" s="595">
        <f>MST!L40</f>
        <v>-9.6199999999999992</v>
      </c>
      <c r="C868" s="595">
        <f>MST!M40</f>
        <v>0.23</v>
      </c>
      <c r="D868" s="595">
        <f>MST!N40</f>
        <v>-52.32</v>
      </c>
      <c r="E868" s="595">
        <f>MST!O40</f>
        <v>237.35</v>
      </c>
      <c r="F868" s="595">
        <f>MST!P40</f>
        <v>-24.34</v>
      </c>
      <c r="G868" s="596">
        <f>MST!Z40</f>
        <v>1264.48</v>
      </c>
      <c r="H868" s="596">
        <f>MST!AA40</f>
        <v>-1216.7</v>
      </c>
      <c r="I868" s="595">
        <f>1.25*(B868+C868+D868)/2/L802/IF(B470="Positive",input!H39,input!K39)*10^6</f>
        <v>-0.19870556414219473</v>
      </c>
      <c r="J868" s="595">
        <f>(1.25*E868+1.5*F868+1.8*IF(1.25*E868+1.5*F868&gt;=0,G868,H868))/2/M802/IF(B470="Positive",input!H39,input!K39)*10^6</f>
        <v>6.2902814980158732</v>
      </c>
      <c r="K868" s="595">
        <f t="shared" si="33"/>
        <v>6.0915759338736786</v>
      </c>
      <c r="L868" s="597">
        <f>SQRT(1-(K868/input!BI39)^2)</f>
        <v>0.9998715038726339</v>
      </c>
      <c r="AA868" s="73"/>
      <c r="AB868" s="73"/>
      <c r="AC868" s="73"/>
      <c r="AE868" s="73"/>
      <c r="AF868" s="143"/>
      <c r="AG868" s="143"/>
      <c r="AH868" s="143"/>
      <c r="AI868" s="143"/>
      <c r="AJ868" s="143"/>
      <c r="AK868" s="143"/>
      <c r="AL868" s="143"/>
      <c r="AM868" s="143"/>
      <c r="AN868" s="143"/>
      <c r="AO868" s="143"/>
      <c r="AP868" s="143"/>
      <c r="AQ868" s="143"/>
    </row>
    <row r="869" spans="1:43" ht="15" customHeight="1">
      <c r="A869" s="593" t="str">
        <f>+input!B40</f>
        <v>119j</v>
      </c>
      <c r="B869" s="595">
        <f>MST!L41</f>
        <v>-9.6199999999999992</v>
      </c>
      <c r="C869" s="595">
        <f>MST!M41</f>
        <v>0.23</v>
      </c>
      <c r="D869" s="595">
        <f>MST!N41</f>
        <v>-53.55</v>
      </c>
      <c r="E869" s="595">
        <f>MST!O41</f>
        <v>280.7</v>
      </c>
      <c r="F869" s="595">
        <f>MST!P41</f>
        <v>-26.3</v>
      </c>
      <c r="G869" s="596">
        <f>MST!Z41</f>
        <v>1268.82</v>
      </c>
      <c r="H869" s="596">
        <f>MST!AA41</f>
        <v>-1215.57</v>
      </c>
      <c r="I869" s="595">
        <f>1.25*(B869+C869+D869)/2/L803/IF(B471="Positive",input!H40,input!K40)*10^6</f>
        <v>-0.20266615146831529</v>
      </c>
      <c r="J869" s="595">
        <f>(1.25*E869+1.5*F869+1.8*IF(1.25*E869+1.5*F869&gt;=0,G869,H869))/2/M803/IF(B471="Positive",input!H40,input!K40)*10^6</f>
        <v>6.4367584325396816</v>
      </c>
      <c r="K869" s="595">
        <f t="shared" si="33"/>
        <v>6.2340922810713666</v>
      </c>
      <c r="L869" s="597">
        <f>SQRT(1-(K869/input!BI40)^2)</f>
        <v>0.99986542063059236</v>
      </c>
      <c r="AA869" s="73"/>
      <c r="AB869" s="73"/>
      <c r="AC869" s="73"/>
      <c r="AE869" s="73"/>
      <c r="AF869" s="143"/>
      <c r="AG869" s="143"/>
      <c r="AH869" s="143"/>
      <c r="AI869" s="143"/>
      <c r="AJ869" s="143"/>
      <c r="AK869" s="143"/>
      <c r="AL869" s="143"/>
      <c r="AM869" s="143"/>
      <c r="AN869" s="143"/>
      <c r="AO869" s="143"/>
      <c r="AP869" s="143"/>
      <c r="AQ869" s="143"/>
    </row>
    <row r="870" spans="1:43" ht="15" customHeight="1">
      <c r="A870" s="593" t="str">
        <f>+input!B41</f>
        <v>120i</v>
      </c>
      <c r="B870" s="595">
        <f>MST!L42</f>
        <v>7.99</v>
      </c>
      <c r="C870" s="595">
        <f>MST!M42</f>
        <v>-0.22</v>
      </c>
      <c r="D870" s="595">
        <f>MST!N42</f>
        <v>50.57</v>
      </c>
      <c r="E870" s="595">
        <f>MST!O42</f>
        <v>-266.98</v>
      </c>
      <c r="F870" s="595">
        <f>MST!P42</f>
        <v>24.26</v>
      </c>
      <c r="G870" s="596">
        <f>MST!Z42</f>
        <v>974.91</v>
      </c>
      <c r="H870" s="596">
        <f>MST!AA42</f>
        <v>-1036.2</v>
      </c>
      <c r="I870" s="595">
        <f>1.25*(B870+C870+D870)/2/L804/IF(B472="Positive",input!H41,input!K41)*10^6</f>
        <v>0.18785419886656365</v>
      </c>
      <c r="J870" s="595">
        <f>(1.25*E870+1.5*F870+1.8*IF(1.25*E870+1.5*F870&gt;=0,G870,H870))/2/M804/IF(B472="Positive",input!H41,input!K41)*10^6</f>
        <v>-5.3633308531746033</v>
      </c>
      <c r="K870" s="595">
        <f t="shared" si="33"/>
        <v>-5.1754766543080395</v>
      </c>
      <c r="L870" s="597">
        <f>SQRT(1-(K870/input!BI41)^2)</f>
        <v>0.99990724791944241</v>
      </c>
      <c r="AA870" s="73"/>
      <c r="AB870" s="73"/>
      <c r="AC870" s="73"/>
      <c r="AE870" s="73"/>
      <c r="AF870" s="143"/>
      <c r="AG870" s="143"/>
      <c r="AH870" s="143"/>
      <c r="AI870" s="143"/>
      <c r="AJ870" s="143"/>
      <c r="AK870" s="143"/>
      <c r="AL870" s="143"/>
      <c r="AM870" s="143"/>
      <c r="AN870" s="143"/>
      <c r="AO870" s="143"/>
      <c r="AP870" s="143"/>
      <c r="AQ870" s="143"/>
    </row>
    <row r="871" spans="1:43" ht="15" customHeight="1">
      <c r="A871" s="593" t="str">
        <f>+input!B42</f>
        <v>120j</v>
      </c>
      <c r="B871" s="595">
        <f>MST!L43</f>
        <v>7.99</v>
      </c>
      <c r="C871" s="595">
        <f>MST!M43</f>
        <v>-0.22</v>
      </c>
      <c r="D871" s="595">
        <f>MST!N43</f>
        <v>49.34</v>
      </c>
      <c r="E871" s="595">
        <f>MST!O43</f>
        <v>-223.63</v>
      </c>
      <c r="F871" s="595">
        <f>MST!P43</f>
        <v>22.3</v>
      </c>
      <c r="G871" s="596">
        <f>MST!Z43</f>
        <v>976</v>
      </c>
      <c r="H871" s="596">
        <f>MST!AA43</f>
        <v>-1035.1300000000001</v>
      </c>
      <c r="I871" s="595">
        <f>1.25*(B871+C871+D871)/2/L805/IF(B473="Positive",input!H42,input!K42)*10^6</f>
        <v>0.18389361154044306</v>
      </c>
      <c r="J871" s="595">
        <f>(1.25*E871+1.5*F871+1.8*IF(1.25*E871+1.5*F871&gt;=0,G871,H871))/2/M805/IF(B473="Positive",input!H42,input!K42)*10^6</f>
        <v>-5.231452132936508</v>
      </c>
      <c r="K871" s="595">
        <f t="shared" si="33"/>
        <v>-5.0475585213960645</v>
      </c>
      <c r="L871" s="597">
        <f>SQRT(1-(K871/input!BI42)^2)</f>
        <v>0.99991177641637818</v>
      </c>
      <c r="AA871" s="73"/>
      <c r="AB871" s="73"/>
      <c r="AC871" s="73"/>
      <c r="AE871" s="73"/>
      <c r="AF871" s="143"/>
      <c r="AG871" s="143"/>
      <c r="AH871" s="143"/>
      <c r="AI871" s="143"/>
      <c r="AJ871" s="143"/>
      <c r="AK871" s="143"/>
      <c r="AL871" s="143"/>
      <c r="AM871" s="143"/>
      <c r="AN871" s="143"/>
      <c r="AO871" s="143"/>
      <c r="AP871" s="143"/>
      <c r="AQ871" s="143"/>
    </row>
    <row r="872" spans="1:43" ht="15" customHeight="1">
      <c r="A872" s="593" t="str">
        <f>+input!B43</f>
        <v>121i</v>
      </c>
      <c r="B872" s="595">
        <f>MST!L44</f>
        <v>7.99</v>
      </c>
      <c r="C872" s="595">
        <f>MST!M44</f>
        <v>-0.22</v>
      </c>
      <c r="D872" s="595">
        <f>MST!N44</f>
        <v>49.34</v>
      </c>
      <c r="E872" s="595">
        <f>MST!O44</f>
        <v>-223.63</v>
      </c>
      <c r="F872" s="595">
        <f>MST!P44</f>
        <v>22.3</v>
      </c>
      <c r="G872" s="596">
        <f>MST!Z44</f>
        <v>976</v>
      </c>
      <c r="H872" s="596">
        <f>MST!AA44</f>
        <v>-1035.1300000000001</v>
      </c>
      <c r="I872" s="595">
        <f>1.25*(B872+C872+D872)/2/L806/IF(B474="Positive",input!H43,input!K43)*10^6</f>
        <v>0.18844733806635436</v>
      </c>
      <c r="J872" s="595">
        <f>(1.25*E872+1.5*F872+1.8*IF(1.25*E872+1.5*F872&gt;=0,G872,H872))/2/M806/IF(B474="Positive",input!H43,input!K43)*10^6</f>
        <v>-5.3548397529827678</v>
      </c>
      <c r="K872" s="595">
        <f t="shared" si="33"/>
        <v>-5.1663924149164133</v>
      </c>
      <c r="L872" s="597">
        <f>SQRT(1-(K872/input!BI43)^2)</f>
        <v>0.99990757325432389</v>
      </c>
      <c r="AA872" s="73"/>
      <c r="AB872" s="73"/>
      <c r="AC872" s="73"/>
      <c r="AE872" s="73"/>
      <c r="AF872" s="143"/>
      <c r="AG872" s="143"/>
      <c r="AH872" s="143"/>
      <c r="AI872" s="143"/>
      <c r="AJ872" s="143"/>
      <c r="AK872" s="143"/>
      <c r="AL872" s="143"/>
      <c r="AM872" s="143"/>
      <c r="AN872" s="143"/>
      <c r="AO872" s="143"/>
      <c r="AP872" s="143"/>
      <c r="AQ872" s="143"/>
    </row>
    <row r="873" spans="1:43" ht="15" customHeight="1">
      <c r="A873" s="593" t="str">
        <f>+input!B44</f>
        <v>121j</v>
      </c>
      <c r="B873" s="595">
        <f>MST!L45</f>
        <v>7.99</v>
      </c>
      <c r="C873" s="595">
        <f>MST!M45</f>
        <v>-0.22</v>
      </c>
      <c r="D873" s="595">
        <f>MST!N45</f>
        <v>46.47</v>
      </c>
      <c r="E873" s="595">
        <f>MST!O45</f>
        <v>-122.48</v>
      </c>
      <c r="F873" s="595">
        <f>MST!P45</f>
        <v>17.71</v>
      </c>
      <c r="G873" s="596">
        <f>MST!Z45</f>
        <v>980.99</v>
      </c>
      <c r="H873" s="596">
        <f>MST!AA45</f>
        <v>-1035.07</v>
      </c>
      <c r="I873" s="595">
        <f>1.25*(B873+C873+D873)/2/L807/IF(B475="Positive",input!H44,input!K44)*10^6</f>
        <v>0.17897712513953878</v>
      </c>
      <c r="J873" s="595">
        <f>(1.25*E873+1.5*F873+1.8*IF(1.25*E873+1.5*F873&gt;=0,G873,H873))/2/M807/IF(B475="Positive",input!H44,input!K44)*10^6</f>
        <v>-5.0510630161212715</v>
      </c>
      <c r="K873" s="595">
        <f t="shared" si="33"/>
        <v>-4.8720858909817331</v>
      </c>
      <c r="L873" s="597">
        <f>SQRT(1-(K873/input!BI44)^2)</f>
        <v>0.99991780402866637</v>
      </c>
      <c r="AA873" s="73"/>
      <c r="AB873" s="73"/>
      <c r="AC873" s="73"/>
      <c r="AE873" s="73"/>
      <c r="AF873" s="143"/>
      <c r="AG873" s="143"/>
      <c r="AH873" s="143"/>
      <c r="AI873" s="143"/>
      <c r="AJ873" s="143"/>
      <c r="AK873" s="143"/>
      <c r="AL873" s="143"/>
      <c r="AM873" s="143"/>
      <c r="AN873" s="143"/>
      <c r="AO873" s="143"/>
      <c r="AP873" s="143"/>
      <c r="AQ873" s="143"/>
    </row>
    <row r="874" spans="1:43" ht="15" customHeight="1">
      <c r="A874" s="593" t="str">
        <f>+input!B45</f>
        <v>122i</v>
      </c>
      <c r="B874" s="595">
        <f>MST!L46</f>
        <v>7.99</v>
      </c>
      <c r="C874" s="595">
        <f>MST!M46</f>
        <v>-0.22</v>
      </c>
      <c r="D874" s="595">
        <f>MST!N46</f>
        <v>46.47</v>
      </c>
      <c r="E874" s="595">
        <f>MST!O46</f>
        <v>-122.48</v>
      </c>
      <c r="F874" s="595">
        <f>MST!P46</f>
        <v>17.71</v>
      </c>
      <c r="G874" s="596">
        <f>MST!Z46</f>
        <v>980.99</v>
      </c>
      <c r="H874" s="596">
        <f>MST!AA46</f>
        <v>-1035.07</v>
      </c>
      <c r="I874" s="595">
        <f>1.25*(B874+C874+D874)/2/L808/IF(B476="Positive",input!H45,input!K45)*10^6</f>
        <v>0.18770497528648056</v>
      </c>
      <c r="J874" s="595">
        <f>(1.25*E874+1.5*F874+1.8*IF(1.25*E874+1.5*F874&gt;=0,G874,H874))/2/M808/IF(B476="Positive",input!H45,input!K45)*10^6</f>
        <v>-5.2851312056816706</v>
      </c>
      <c r="K874" s="595">
        <f t="shared" si="33"/>
        <v>-5.0974262303951896</v>
      </c>
      <c r="L874" s="597">
        <f>SQRT(1-(K874/input!BI45)^2)</f>
        <v>0.99991002450423305</v>
      </c>
      <c r="AA874" s="73"/>
      <c r="AB874" s="73"/>
      <c r="AC874" s="73"/>
      <c r="AE874" s="73"/>
      <c r="AF874" s="143"/>
      <c r="AG874" s="143"/>
      <c r="AH874" s="143"/>
      <c r="AI874" s="143"/>
      <c r="AJ874" s="143"/>
      <c r="AK874" s="143"/>
      <c r="AL874" s="143"/>
      <c r="AM874" s="143"/>
      <c r="AN874" s="143"/>
      <c r="AO874" s="143"/>
      <c r="AP874" s="143"/>
      <c r="AQ874" s="143"/>
    </row>
    <row r="875" spans="1:43" ht="15" customHeight="1">
      <c r="A875" s="593" t="str">
        <f>+input!B46</f>
        <v>122j</v>
      </c>
      <c r="B875" s="595">
        <f>MST!L47</f>
        <v>7.99</v>
      </c>
      <c r="C875" s="595">
        <f>MST!M47</f>
        <v>-0.22</v>
      </c>
      <c r="D875" s="595">
        <f>MST!N47</f>
        <v>42.37</v>
      </c>
      <c r="E875" s="595">
        <f>MST!O47</f>
        <v>22.02</v>
      </c>
      <c r="F875" s="595">
        <f>MST!P47</f>
        <v>11.16</v>
      </c>
      <c r="G875" s="596">
        <f>MST!Z47</f>
        <v>988.2</v>
      </c>
      <c r="H875" s="596">
        <f>MST!AA47</f>
        <v>-1035.07</v>
      </c>
      <c r="I875" s="595">
        <f>1.25*(B875+C875+D875)/2/L809/IF(B477="Positive",input!H46,input!K46)*10^6</f>
        <v>0.17351636174159538</v>
      </c>
      <c r="J875" s="595">
        <f>(1.25*E875+1.5*F875+1.8*IF(1.25*E875+1.5*F875&gt;=0,G875,H875))/2/M809/IF(B477="Positive",input!H46,input!K46)*10^6</f>
        <v>4.8424964434835038</v>
      </c>
      <c r="K875" s="595">
        <f t="shared" si="33"/>
        <v>5.016012805225099</v>
      </c>
      <c r="L875" s="597">
        <f>SQRT(1-(K875/input!BI46)^2)</f>
        <v>0.99991287575986976</v>
      </c>
      <c r="AA875" s="73"/>
      <c r="AB875" s="73"/>
      <c r="AC875" s="73"/>
      <c r="AE875" s="73"/>
      <c r="AF875" s="143"/>
      <c r="AG875" s="143"/>
      <c r="AH875" s="143"/>
      <c r="AI875" s="143"/>
      <c r="AJ875" s="143"/>
      <c r="AK875" s="143"/>
      <c r="AL875" s="143"/>
      <c r="AM875" s="143"/>
      <c r="AN875" s="143"/>
      <c r="AO875" s="143"/>
      <c r="AP875" s="143"/>
      <c r="AQ875" s="143"/>
    </row>
    <row r="876" spans="1:43" ht="15" customHeight="1">
      <c r="A876" s="593" t="str">
        <f>+input!B47</f>
        <v>123i</v>
      </c>
      <c r="B876" s="595">
        <f>MST!L48</f>
        <v>2</v>
      </c>
      <c r="C876" s="595">
        <f>MST!M48</f>
        <v>0.05</v>
      </c>
      <c r="D876" s="595">
        <f>MST!N48</f>
        <v>15.96</v>
      </c>
      <c r="E876" s="595">
        <f>MST!O48</f>
        <v>-198.37</v>
      </c>
      <c r="F876" s="595">
        <f>MST!P48</f>
        <v>13.94</v>
      </c>
      <c r="G876" s="596">
        <f>MST!Z48</f>
        <v>660.32</v>
      </c>
      <c r="H876" s="596">
        <f>MST!AA48</f>
        <v>-694.74</v>
      </c>
      <c r="I876" s="595">
        <f>1.25*(B876+C876+D876)/2/L810/IF(B478="Positive",input!H47,input!K47)*10^6</f>
        <v>6.429009357981777E-2</v>
      </c>
      <c r="J876" s="595">
        <f>(1.25*E876+1.5*F876+1.8*IF(1.25*E876+1.5*F876&gt;=0,G876,H876))/2/M810/IF(B478="Positive",input!H47,input!K47)*10^6</f>
        <v>-4.0422590665489873</v>
      </c>
      <c r="K876" s="595">
        <f t="shared" si="33"/>
        <v>-3.9779689729691694</v>
      </c>
      <c r="L876" s="597">
        <f>SQRT(1-(K876/input!BI47)^2)</f>
        <v>0.99994520543385423</v>
      </c>
      <c r="AA876" s="73"/>
      <c r="AB876" s="73"/>
      <c r="AC876" s="73"/>
      <c r="AE876" s="73"/>
      <c r="AF876" s="143"/>
      <c r="AG876" s="143"/>
      <c r="AH876" s="143"/>
      <c r="AI876" s="143"/>
      <c r="AJ876" s="143"/>
      <c r="AK876" s="143"/>
      <c r="AL876" s="143"/>
      <c r="AM876" s="143"/>
      <c r="AN876" s="143"/>
      <c r="AO876" s="143"/>
      <c r="AP876" s="143"/>
      <c r="AQ876" s="143"/>
    </row>
    <row r="877" spans="1:43" ht="15" customHeight="1">
      <c r="A877" s="593" t="str">
        <f>+input!B48</f>
        <v>123j</v>
      </c>
      <c r="B877" s="595">
        <f>MST!L49</f>
        <v>2</v>
      </c>
      <c r="C877" s="595">
        <f>MST!M49</f>
        <v>0.05</v>
      </c>
      <c r="D877" s="595">
        <f>MST!N49</f>
        <v>11.86</v>
      </c>
      <c r="E877" s="595">
        <f>MST!O49</f>
        <v>-53.87</v>
      </c>
      <c r="F877" s="595">
        <f>MST!P49</f>
        <v>7.39</v>
      </c>
      <c r="G877" s="596">
        <f>MST!Z49</f>
        <v>667.53</v>
      </c>
      <c r="H877" s="596">
        <f>MST!AA49</f>
        <v>-694.27</v>
      </c>
      <c r="I877" s="595">
        <f>1.25*(B877+C877+D877)/2/L811/IF(B479="Positive",input!H48,input!K48)*10^6</f>
        <v>4.9654369888687683E-2</v>
      </c>
      <c r="J877" s="595">
        <f>(1.25*E877+1.5*F877+1.8*IF(1.25*E877+1.5*F877&gt;=0,G877,H877))/2/M811/IF(B479="Positive",input!H48,input!K48)*10^6</f>
        <v>-3.5726834857704479</v>
      </c>
      <c r="K877" s="595">
        <f t="shared" si="33"/>
        <v>-3.5230291158817604</v>
      </c>
      <c r="L877" s="597">
        <f>SQRT(1-(K877/input!BI48)^2)</f>
        <v>0.99995702215764593</v>
      </c>
      <c r="AA877" s="73"/>
      <c r="AB877" s="73"/>
      <c r="AC877" s="73"/>
      <c r="AE877" s="73"/>
      <c r="AF877" s="143"/>
      <c r="AG877" s="143"/>
      <c r="AH877" s="143"/>
      <c r="AI877" s="143"/>
      <c r="AJ877" s="143"/>
      <c r="AK877" s="143"/>
      <c r="AL877" s="143"/>
      <c r="AM877" s="143"/>
      <c r="AN877" s="143"/>
      <c r="AO877" s="143"/>
      <c r="AP877" s="143"/>
      <c r="AQ877" s="143"/>
    </row>
    <row r="878" spans="1:43" ht="15" customHeight="1">
      <c r="A878" s="593" t="str">
        <f>+input!B49</f>
        <v>124i</v>
      </c>
      <c r="B878" s="595">
        <f>MST!L50</f>
        <v>2</v>
      </c>
      <c r="C878" s="595">
        <f>MST!M50</f>
        <v>0.05</v>
      </c>
      <c r="D878" s="595">
        <f>MST!N50</f>
        <v>11.86</v>
      </c>
      <c r="E878" s="595">
        <f>MST!O50</f>
        <v>-53.87</v>
      </c>
      <c r="F878" s="595">
        <f>MST!P50</f>
        <v>7.39</v>
      </c>
      <c r="G878" s="596">
        <f>MST!Z50</f>
        <v>667.53</v>
      </c>
      <c r="H878" s="596">
        <f>MST!AA50</f>
        <v>-694.27</v>
      </c>
      <c r="I878" s="595">
        <f>1.25*(B878+C878+D878)/2/L812/IF(B480="Positive",input!H49,input!K49)*10^6</f>
        <v>6.2549463990215118E-2</v>
      </c>
      <c r="J878" s="595">
        <f>(1.25*E878+1.5*F878+1.8*IF(1.25*E878+1.5*F878&gt;=0,G878,H878))/2/M812/IF(B480="Positive",input!H49,input!K49)*10^6</f>
        <v>-4.4882423820010944</v>
      </c>
      <c r="K878" s="595">
        <f t="shared" si="33"/>
        <v>-4.4256929180108795</v>
      </c>
      <c r="L878" s="597">
        <f>SQRT(1-(K878/input!BI49)^2)</f>
        <v>0.99993217651645383</v>
      </c>
      <c r="AA878" s="73"/>
      <c r="AB878" s="73"/>
      <c r="AC878" s="73"/>
      <c r="AE878" s="73"/>
      <c r="AF878" s="143"/>
      <c r="AG878" s="143"/>
      <c r="AH878" s="143"/>
      <c r="AI878" s="143"/>
      <c r="AJ878" s="143"/>
      <c r="AK878" s="143"/>
      <c r="AL878" s="143"/>
      <c r="AM878" s="143"/>
      <c r="AN878" s="143"/>
      <c r="AO878" s="143"/>
      <c r="AP878" s="143"/>
      <c r="AQ878" s="143"/>
    </row>
    <row r="879" spans="1:43" ht="15" customHeight="1">
      <c r="A879" s="593" t="str">
        <f>+input!B50</f>
        <v>124j</v>
      </c>
      <c r="B879" s="595">
        <f>MST!L51</f>
        <v>2</v>
      </c>
      <c r="C879" s="595">
        <f>MST!M51</f>
        <v>0.05</v>
      </c>
      <c r="D879" s="595">
        <f>MST!N51</f>
        <v>7.76</v>
      </c>
      <c r="E879" s="595">
        <f>MST!O51</f>
        <v>90.63</v>
      </c>
      <c r="F879" s="595">
        <f>MST!P51</f>
        <v>0.84</v>
      </c>
      <c r="G879" s="596">
        <f>MST!Z51</f>
        <v>686.35</v>
      </c>
      <c r="H879" s="596">
        <f>MST!AA51</f>
        <v>-694.27</v>
      </c>
      <c r="I879" s="595">
        <f>1.25*(B879+C879+D879)/2/L813/IF(B481="Positive",input!H50,input!K50)*10^6</f>
        <v>4.4112885819123683E-2</v>
      </c>
      <c r="J879" s="595">
        <f>(1.25*E879+1.5*F879+1.8*IF(1.25*E879+1.5*F879&gt;=0,G879,H879))/2/M813/IF(B481="Positive",input!H50,input!K50)*10^6</f>
        <v>4.6395953792983988</v>
      </c>
      <c r="K879" s="595">
        <f t="shared" si="33"/>
        <v>4.6837082651175228</v>
      </c>
      <c r="L879" s="597">
        <f>SQRT(1-(K879/input!BI50)^2)</f>
        <v>0.99992403754728809</v>
      </c>
      <c r="AA879" s="73"/>
      <c r="AB879" s="73"/>
      <c r="AC879" s="73"/>
      <c r="AE879" s="73"/>
      <c r="AF879" s="143"/>
      <c r="AG879" s="143"/>
      <c r="AH879" s="143"/>
      <c r="AI879" s="143"/>
      <c r="AJ879" s="143"/>
      <c r="AK879" s="143"/>
      <c r="AL879" s="143"/>
      <c r="AM879" s="143"/>
      <c r="AN879" s="143"/>
      <c r="AO879" s="143"/>
      <c r="AP879" s="143"/>
      <c r="AQ879" s="143"/>
    </row>
    <row r="880" spans="1:43" ht="15" customHeight="1">
      <c r="A880" s="593" t="str">
        <f>+input!B51</f>
        <v>125i</v>
      </c>
      <c r="B880" s="595">
        <f>MST!L52</f>
        <v>-0.97</v>
      </c>
      <c r="C880" s="595">
        <f>MST!M52</f>
        <v>0.01</v>
      </c>
      <c r="D880" s="595">
        <f>MST!N52</f>
        <v>1.17</v>
      </c>
      <c r="E880" s="595">
        <f>MST!O52</f>
        <v>-142.09</v>
      </c>
      <c r="F880" s="595">
        <f>MST!P52</f>
        <v>5.47</v>
      </c>
      <c r="G880" s="596">
        <f>MST!Z52</f>
        <v>312.62</v>
      </c>
      <c r="H880" s="596">
        <f>MST!AA52</f>
        <v>-429.21</v>
      </c>
      <c r="I880" s="595">
        <f>1.25*(B880+C880+D880)/2/L814/IF(B482="Positive",input!H51,input!K51)*10^6</f>
        <v>1.2613158046474078E-3</v>
      </c>
      <c r="J880" s="595">
        <f>(1.25*E880+1.5*F880+1.8*IF(1.25*E880+1.5*F880&gt;=0,G880,H880))/2/M814/IF(B482="Positive",input!H51,input!K51)*10^6</f>
        <v>-4.3209313355828218</v>
      </c>
      <c r="K880" s="595">
        <f t="shared" si="33"/>
        <v>-4.3196700197781741</v>
      </c>
      <c r="L880" s="597">
        <f>SQRT(1-(K880/input!BI51)^2)</f>
        <v>0.99993538728559106</v>
      </c>
      <c r="AA880" s="73"/>
      <c r="AB880" s="73"/>
      <c r="AC880" s="73"/>
      <c r="AE880" s="73"/>
      <c r="AF880" s="143"/>
      <c r="AG880" s="143"/>
      <c r="AH880" s="143"/>
      <c r="AI880" s="143"/>
      <c r="AJ880" s="143"/>
      <c r="AK880" s="143"/>
      <c r="AL880" s="143"/>
      <c r="AM880" s="143"/>
      <c r="AN880" s="143"/>
      <c r="AO880" s="143"/>
      <c r="AP880" s="143"/>
      <c r="AQ880" s="143"/>
    </row>
    <row r="881" spans="1:43" ht="15" customHeight="1">
      <c r="A881" s="994" t="str">
        <f>+input!B52</f>
        <v>125j</v>
      </c>
      <c r="B881" s="998">
        <f>MST!L53</f>
        <v>-0.97</v>
      </c>
      <c r="C881" s="998">
        <f>MST!M53</f>
        <v>0.01</v>
      </c>
      <c r="D881" s="998">
        <f>MST!N53</f>
        <v>-2.93</v>
      </c>
      <c r="E881" s="998">
        <f>MST!O53</f>
        <v>2.41</v>
      </c>
      <c r="F881" s="998">
        <f>MST!P53</f>
        <v>-1.08</v>
      </c>
      <c r="G881" s="1008">
        <f>MST!Z53</f>
        <v>326.17</v>
      </c>
      <c r="H881" s="1008">
        <f>MST!AA53</f>
        <v>-350.36</v>
      </c>
      <c r="I881" s="998">
        <f>1.25*(B881+C881+D881)/2/L815/IF(B483="Positive",input!H52,input!K52)*10^6</f>
        <v>-2.3364373714659131E-2</v>
      </c>
      <c r="J881" s="998">
        <f>(1.25*E881+1.5*F881+1.8*IF(1.25*E881+1.5*F881&gt;=0,G881,H881))/2/M815/IF(B483="Positive",input!H52,input!K52)*10^6</f>
        <v>2.6994700126419002</v>
      </c>
      <c r="K881" s="998">
        <f t="shared" si="33"/>
        <v>2.6761056389272411</v>
      </c>
      <c r="L881" s="597">
        <f>SQRT(1-(K881/input!BI52)^2)</f>
        <v>0.99997520211153967</v>
      </c>
      <c r="AA881" s="73"/>
      <c r="AB881" s="73"/>
      <c r="AC881" s="73"/>
      <c r="AE881" s="73"/>
      <c r="AF881" s="143"/>
      <c r="AG881" s="143"/>
      <c r="AH881" s="143"/>
      <c r="AI881" s="143"/>
      <c r="AJ881" s="143"/>
      <c r="AK881" s="143"/>
      <c r="AL881" s="143"/>
      <c r="AM881" s="143"/>
      <c r="AN881" s="143"/>
      <c r="AO881" s="143"/>
      <c r="AP881" s="143"/>
      <c r="AQ881" s="143"/>
    </row>
    <row r="882" spans="1:43" ht="15" customHeight="1">
      <c r="A882" s="1000" t="str">
        <f>+input!B53</f>
        <v>126i</v>
      </c>
      <c r="B882" s="1004">
        <f>MST!L54</f>
        <v>-0.97</v>
      </c>
      <c r="C882" s="1004">
        <f>MST!M54</f>
        <v>0.01</v>
      </c>
      <c r="D882" s="1004">
        <f>MST!N54</f>
        <v>-2.93</v>
      </c>
      <c r="E882" s="1004">
        <f>MST!O54</f>
        <v>2.41</v>
      </c>
      <c r="F882" s="1004">
        <f>MST!P54</f>
        <v>-1.08</v>
      </c>
      <c r="G882" s="1011">
        <f>MST!Z54</f>
        <v>326.17</v>
      </c>
      <c r="H882" s="1011">
        <f>MST!AA54</f>
        <v>-350.36</v>
      </c>
      <c r="I882" s="1004">
        <f>1.25*(B882+C882+D882)/2/L816/IF(B484="Positive",input!H53,input!K53)*10^6</f>
        <v>-2.3364373714659131E-2</v>
      </c>
      <c r="J882" s="1004">
        <f>(1.25*E882+1.5*F882+1.8*IF(1.25*E882+1.5*F882&gt;=0,G882,H882))/2/M816/IF(B484="Positive",input!H53,input!K53)*10^6</f>
        <v>2.6994700126419002</v>
      </c>
      <c r="K882" s="1004">
        <f t="shared" si="33"/>
        <v>2.6761056389272411</v>
      </c>
      <c r="L882" s="597">
        <f>SQRT(1-(K882/input!BI53)^2)</f>
        <v>0.99997520211153967</v>
      </c>
      <c r="AA882" s="73"/>
      <c r="AB882" s="73"/>
      <c r="AC882" s="73"/>
      <c r="AE882" s="73"/>
      <c r="AF882" s="143"/>
      <c r="AG882" s="143"/>
      <c r="AH882" s="143"/>
      <c r="AI882" s="143"/>
      <c r="AJ882" s="143"/>
      <c r="AK882" s="143"/>
      <c r="AL882" s="143"/>
      <c r="AM882" s="143"/>
      <c r="AN882" s="143"/>
      <c r="AO882" s="143"/>
      <c r="AP882" s="143"/>
      <c r="AQ882" s="143"/>
    </row>
    <row r="883" spans="1:43" ht="15" customHeight="1">
      <c r="A883" s="593" t="str">
        <f>+input!B54</f>
        <v>126j</v>
      </c>
      <c r="B883" s="595">
        <f>MST!L55</f>
        <v>-0.97</v>
      </c>
      <c r="C883" s="595">
        <f>MST!M55</f>
        <v>0.01</v>
      </c>
      <c r="D883" s="595">
        <f>MST!N55</f>
        <v>-7.03</v>
      </c>
      <c r="E883" s="595">
        <f>MST!O55</f>
        <v>146.91</v>
      </c>
      <c r="F883" s="595">
        <f>MST!P55</f>
        <v>-7.63</v>
      </c>
      <c r="G883" s="596">
        <f>MST!Z55</f>
        <v>405.83</v>
      </c>
      <c r="H883" s="596">
        <f>MST!AA55</f>
        <v>-301.36</v>
      </c>
      <c r="I883" s="595">
        <f>1.25*(B883+C883+D883)/2/L817/IF(B485="Positive",input!H54,input!K54)*10^6</f>
        <v>-4.799006323396568E-2</v>
      </c>
      <c r="J883" s="595">
        <f>(1.25*E883+1.5*F883+1.8*IF(1.25*E883+1.5*F883&gt;=0,G883,H883))/2/M817/IF(B485="Positive",input!H54,input!K54)*10^6</f>
        <v>4.140664993312086</v>
      </c>
      <c r="K883" s="595">
        <f t="shared" si="33"/>
        <v>4.09267493007812</v>
      </c>
      <c r="L883" s="597">
        <f>SQRT(1-(K883/input!BI54)^2)</f>
        <v>0.99994199974428954</v>
      </c>
      <c r="AA883" s="73"/>
      <c r="AB883" s="73"/>
      <c r="AC883" s="73"/>
      <c r="AE883" s="73"/>
      <c r="AF883" s="143"/>
      <c r="AG883" s="143"/>
      <c r="AH883" s="143"/>
      <c r="AI883" s="143"/>
      <c r="AJ883" s="143"/>
      <c r="AK883" s="143"/>
      <c r="AL883" s="143"/>
      <c r="AM883" s="143"/>
      <c r="AN883" s="143"/>
      <c r="AO883" s="143"/>
      <c r="AP883" s="143"/>
      <c r="AQ883" s="143"/>
    </row>
    <row r="884" spans="1:43" ht="15" customHeight="1">
      <c r="A884" s="593" t="str">
        <f>+input!B55</f>
        <v>127i</v>
      </c>
      <c r="B884" s="595">
        <f>MST!L56</f>
        <v>-1.29</v>
      </c>
      <c r="C884" s="595">
        <f>MST!M56</f>
        <v>0.01</v>
      </c>
      <c r="D884" s="595">
        <f>MST!N56</f>
        <v>-1.08</v>
      </c>
      <c r="E884" s="595">
        <f>MST!O56</f>
        <v>-83.29</v>
      </c>
      <c r="F884" s="595">
        <f>MST!P56</f>
        <v>-1.79</v>
      </c>
      <c r="G884" s="596">
        <f>MST!Z56</f>
        <v>445.08</v>
      </c>
      <c r="H884" s="596">
        <f>MST!AA56</f>
        <v>-502.64</v>
      </c>
      <c r="I884" s="595">
        <f>1.25*(B884+C884+D884)/2/L818/IF(B486="Positive",input!H55,input!K55)*10^6</f>
        <v>-2.5550859201773836E-2</v>
      </c>
      <c r="J884" s="595">
        <f>(1.25*E884+1.5*F884+1.8*IF(1.25*E884+1.5*F884&gt;=0,G884,H884))/2/M818/IF(B486="Positive",input!H55,input!K55)*10^6</f>
        <v>-8.3633691608102527</v>
      </c>
      <c r="K884" s="595">
        <f t="shared" si="33"/>
        <v>-8.3889200200120264</v>
      </c>
      <c r="L884" s="597">
        <f>SQRT(1-(K884/input!BI55)^2)</f>
        <v>0.9997562930905135</v>
      </c>
      <c r="AA884" s="73"/>
      <c r="AB884" s="73"/>
      <c r="AC884" s="73"/>
      <c r="AE884" s="73"/>
      <c r="AF884" s="143"/>
      <c r="AG884" s="143"/>
      <c r="AH884" s="143"/>
      <c r="AI884" s="143"/>
      <c r="AJ884" s="143"/>
      <c r="AK884" s="143"/>
      <c r="AL884" s="143"/>
      <c r="AM884" s="143"/>
      <c r="AN884" s="143"/>
      <c r="AO884" s="143"/>
      <c r="AP884" s="143"/>
      <c r="AQ884" s="143"/>
    </row>
    <row r="885" spans="1:43" ht="15" customHeight="1">
      <c r="A885" s="593" t="str">
        <f>+input!B56</f>
        <v>127j</v>
      </c>
      <c r="B885" s="595">
        <f>MST!L57</f>
        <v>-1.29</v>
      </c>
      <c r="C885" s="595">
        <f>MST!M57</f>
        <v>0.01</v>
      </c>
      <c r="D885" s="595">
        <f>MST!N57</f>
        <v>-5.18</v>
      </c>
      <c r="E885" s="595">
        <f>MST!O57</f>
        <v>61.21</v>
      </c>
      <c r="F885" s="595">
        <f>MST!P57</f>
        <v>-8.34</v>
      </c>
      <c r="G885" s="596">
        <f>MST!Z57</f>
        <v>445.08</v>
      </c>
      <c r="H885" s="596">
        <f>MST!AA57</f>
        <v>-431.01</v>
      </c>
      <c r="I885" s="595">
        <f>1.25*(B885+C885+D885)/2/L819/IF(B487="Positive",input!H56,input!K56)*10^6</f>
        <v>-3.1790938066921993E-2</v>
      </c>
      <c r="J885" s="595">
        <f>(1.25*E885+1.5*F885+1.8*IF(1.25*E885+1.5*F885&gt;=0,G885,H885))/2/M819/IF(B487="Positive",input!H56,input!K56)*10^6</f>
        <v>3.2513303769401336</v>
      </c>
      <c r="K885" s="595">
        <f t="shared" si="33"/>
        <v>3.2195394388732117</v>
      </c>
      <c r="L885" s="597">
        <f>SQRT(1-(K885/input!BI56)^2)</f>
        <v>0.99996410796322688</v>
      </c>
      <c r="AA885" s="73"/>
      <c r="AB885" s="73"/>
      <c r="AC885" s="73"/>
      <c r="AE885" s="73"/>
      <c r="AF885" s="143"/>
      <c r="AG885" s="143"/>
      <c r="AH885" s="143"/>
      <c r="AI885" s="143"/>
      <c r="AJ885" s="143"/>
      <c r="AK885" s="143"/>
      <c r="AL885" s="143"/>
      <c r="AM885" s="143"/>
      <c r="AN885" s="143"/>
      <c r="AO885" s="143"/>
      <c r="AP885" s="143"/>
      <c r="AQ885" s="143"/>
    </row>
    <row r="886" spans="1:43" ht="15" customHeight="1">
      <c r="A886" s="593" t="str">
        <f>+input!B57</f>
        <v>128i</v>
      </c>
      <c r="B886" s="595">
        <f>MST!L58</f>
        <v>-1.29</v>
      </c>
      <c r="C886" s="595">
        <f>MST!M58</f>
        <v>0.01</v>
      </c>
      <c r="D886" s="595">
        <f>MST!N58</f>
        <v>-5.18</v>
      </c>
      <c r="E886" s="595">
        <f>MST!O58</f>
        <v>61.21</v>
      </c>
      <c r="F886" s="595">
        <f>MST!P58</f>
        <v>-8.34</v>
      </c>
      <c r="G886" s="596">
        <f>MST!Z58</f>
        <v>445.08</v>
      </c>
      <c r="H886" s="596">
        <f>MST!AA58</f>
        <v>-431.01</v>
      </c>
      <c r="I886" s="595">
        <f>1.25*(B886+C886+D886)/2/L820/IF(B488="Positive",input!H57,input!K57)*10^6</f>
        <v>-3.1790938066921993E-2</v>
      </c>
      <c r="J886" s="595">
        <f>(1.25*E886+1.5*F886+1.8*IF(1.25*E886+1.5*F886&gt;=0,G886,H886))/2/M820/IF(B488="Positive",input!H57,input!K57)*10^6</f>
        <v>3.2513303769401336</v>
      </c>
      <c r="K886" s="595">
        <f t="shared" si="33"/>
        <v>3.2195394388732117</v>
      </c>
      <c r="L886" s="597">
        <f>SQRT(1-(K886/input!BI57)^2)</f>
        <v>0.99996410796322688</v>
      </c>
      <c r="AA886" s="73"/>
      <c r="AB886" s="73"/>
      <c r="AC886" s="73"/>
      <c r="AE886" s="73"/>
      <c r="AF886" s="143"/>
      <c r="AG886" s="143"/>
      <c r="AH886" s="143"/>
      <c r="AI886" s="143"/>
      <c r="AJ886" s="143"/>
      <c r="AK886" s="143"/>
      <c r="AL886" s="143"/>
      <c r="AM886" s="143"/>
      <c r="AN886" s="143"/>
      <c r="AO886" s="143"/>
      <c r="AP886" s="143"/>
      <c r="AQ886" s="143"/>
    </row>
    <row r="887" spans="1:43" ht="15" customHeight="1">
      <c r="A887" s="593" t="str">
        <f>+input!B58</f>
        <v>128j</v>
      </c>
      <c r="B887" s="595">
        <f>MST!L59</f>
        <v>-1.29</v>
      </c>
      <c r="C887" s="595">
        <f>MST!M59</f>
        <v>0.01</v>
      </c>
      <c r="D887" s="595">
        <f>MST!N59</f>
        <v>-9.2799999999999994</v>
      </c>
      <c r="E887" s="595">
        <f>MST!O59</f>
        <v>205.71</v>
      </c>
      <c r="F887" s="595">
        <f>MST!P59</f>
        <v>-14.89</v>
      </c>
      <c r="G887" s="596">
        <f>MST!Z59</f>
        <v>478.4</v>
      </c>
      <c r="H887" s="596">
        <f>MST!AA59</f>
        <v>-423.8</v>
      </c>
      <c r="I887" s="595">
        <f>1.25*(B887+C887+D887)/2/L821/IF(B489="Positive",input!H58,input!K58)*10^6</f>
        <v>-5.1967849223946781E-2</v>
      </c>
      <c r="J887" s="595">
        <f>(1.25*E887+1.5*F887+1.8*IF(1.25*E887+1.5*F887&gt;=0,G887,H887))/2/M821/IF(B489="Positive",input!H58,input!K58)*10^6</f>
        <v>4.1186158818444882</v>
      </c>
      <c r="K887" s="595">
        <f t="shared" si="33"/>
        <v>4.0666480326205416</v>
      </c>
      <c r="L887" s="597">
        <f>SQRT(1-(K887/input!BI58)^2)</f>
        <v>0.99994273511167786</v>
      </c>
      <c r="AA887" s="73"/>
      <c r="AB887" s="73"/>
      <c r="AC887" s="73"/>
      <c r="AE887" s="73"/>
      <c r="AF887" s="143"/>
      <c r="AG887" s="143"/>
      <c r="AH887" s="143"/>
      <c r="AI887" s="143"/>
      <c r="AJ887" s="143"/>
      <c r="AK887" s="143"/>
      <c r="AL887" s="143"/>
      <c r="AM887" s="143"/>
      <c r="AN887" s="143"/>
      <c r="AO887" s="143"/>
      <c r="AP887" s="143"/>
      <c r="AQ887" s="143"/>
    </row>
    <row r="888" spans="1:43" ht="15" customHeight="1">
      <c r="A888" s="593" t="str">
        <f>+input!B59</f>
        <v>129i</v>
      </c>
      <c r="B888" s="595">
        <f>MST!L60</f>
        <v>-4.93</v>
      </c>
      <c r="C888" s="595">
        <f>MST!M60</f>
        <v>0.01</v>
      </c>
      <c r="D888" s="595">
        <f>MST!N60</f>
        <v>-29.12</v>
      </c>
      <c r="E888" s="595">
        <f>MST!O60</f>
        <v>-11.11</v>
      </c>
      <c r="F888" s="595">
        <f>MST!P60</f>
        <v>-13.55</v>
      </c>
      <c r="G888" s="596">
        <f>MST!Z60</f>
        <v>653.04</v>
      </c>
      <c r="H888" s="596">
        <f>MST!AA60</f>
        <v>-618.69000000000005</v>
      </c>
      <c r="I888" s="595">
        <f>1.25*(B888+C888+D888)/2/L822/IF(B490="Positive",input!H59,input!K59)*10^6</f>
        <v>-0.16751757458173755</v>
      </c>
      <c r="J888" s="595">
        <f>(1.25*E888+1.5*F888+1.8*IF(1.25*E888+1.5*F888&gt;=0,G888,H888))/2/M822/IF(B490="Positive",input!H59,input!K59)*10^6</f>
        <v>-4.3137829305873963</v>
      </c>
      <c r="K888" s="595">
        <f t="shared" si="33"/>
        <v>-4.4813005051691341</v>
      </c>
      <c r="L888" s="597">
        <f>SQRT(1-(K888/input!BI59)^2)</f>
        <v>0.99993046138337593</v>
      </c>
      <c r="AA888" s="73"/>
      <c r="AB888" s="73"/>
      <c r="AC888" s="73"/>
      <c r="AE888" s="73"/>
      <c r="AF888" s="143"/>
      <c r="AG888" s="143"/>
      <c r="AH888" s="143"/>
      <c r="AI888" s="143"/>
      <c r="AJ888" s="143"/>
      <c r="AK888" s="143"/>
      <c r="AL888" s="143"/>
      <c r="AM888" s="143"/>
      <c r="AN888" s="143"/>
      <c r="AO888" s="143"/>
      <c r="AP888" s="143"/>
      <c r="AQ888" s="143"/>
    </row>
    <row r="889" spans="1:43" ht="15" customHeight="1">
      <c r="A889" s="593" t="str">
        <f>+input!B60</f>
        <v>129j</v>
      </c>
      <c r="B889" s="595">
        <f>MST!L61</f>
        <v>-4.93</v>
      </c>
      <c r="C889" s="595">
        <f>MST!M61</f>
        <v>0.01</v>
      </c>
      <c r="D889" s="595">
        <f>MST!N61</f>
        <v>-34.42</v>
      </c>
      <c r="E889" s="595">
        <f>MST!O61</f>
        <v>175.87</v>
      </c>
      <c r="F889" s="595">
        <f>MST!P61</f>
        <v>-22.03</v>
      </c>
      <c r="G889" s="596">
        <f>MST!Z61</f>
        <v>653.04999999999995</v>
      </c>
      <c r="H889" s="596">
        <f>MST!AA61</f>
        <v>-608.53</v>
      </c>
      <c r="I889" s="595">
        <f>1.25*(B889+C889+D889)/2/L823/IF(B491="Positive",input!H60,input!K60)*10^6</f>
        <v>-0.1935999231505745</v>
      </c>
      <c r="J889" s="595">
        <f>(1.25*E889+1.5*F889+1.8*IF(1.25*E889+1.5*F889&gt;=0,G889,H889))/2/M823/IF(B491="Positive",input!H60,input!K60)*10^6</f>
        <v>5.1196305761208611</v>
      </c>
      <c r="K889" s="595">
        <f t="shared" si="33"/>
        <v>4.9260306529702866</v>
      </c>
      <c r="L889" s="597">
        <f>SQRT(1-(K889/input!BI60)^2)</f>
        <v>0.99991597369280227</v>
      </c>
      <c r="AA889" s="73"/>
      <c r="AB889" s="73"/>
      <c r="AC889" s="73"/>
      <c r="AE889" s="73"/>
      <c r="AF889" s="143"/>
      <c r="AG889" s="143"/>
      <c r="AH889" s="143"/>
      <c r="AI889" s="143"/>
      <c r="AJ889" s="143"/>
      <c r="AK889" s="143"/>
      <c r="AL889" s="143"/>
      <c r="AM889" s="143"/>
      <c r="AN889" s="143"/>
      <c r="AO889" s="143"/>
      <c r="AP889" s="143"/>
      <c r="AQ889" s="143"/>
    </row>
    <row r="890" spans="1:43" ht="15" customHeight="1">
      <c r="A890" s="593" t="str">
        <f>+input!B61</f>
        <v>130i</v>
      </c>
      <c r="B890" s="595">
        <f>MST!L62</f>
        <v>-4.93</v>
      </c>
      <c r="C890" s="595">
        <f>MST!M62</f>
        <v>0.01</v>
      </c>
      <c r="D890" s="595">
        <f>MST!N62</f>
        <v>-34.42</v>
      </c>
      <c r="E890" s="595">
        <f>MST!O62</f>
        <v>175.87</v>
      </c>
      <c r="F890" s="595">
        <f>MST!P62</f>
        <v>-22.03</v>
      </c>
      <c r="G890" s="596">
        <f>MST!Z62</f>
        <v>653.04999999999995</v>
      </c>
      <c r="H890" s="596">
        <f>MST!AA62</f>
        <v>-608.53</v>
      </c>
      <c r="I890" s="595">
        <f>1.25*(B890+C890+D890)/2/L824/IF(B492="Positive",input!H61,input!K61)*10^6</f>
        <v>-0.21097399410345388</v>
      </c>
      <c r="J890" s="595">
        <f>(1.25*E890+1.5*F890+1.8*IF(1.25*E890+1.5*F890&gt;=0,G890,H890))/2/M824/IF(B492="Positive",input!H61,input!K61)*10^6</f>
        <v>5.559769411284563</v>
      </c>
      <c r="K890" s="595">
        <f t="shared" si="33"/>
        <v>5.3487954171811092</v>
      </c>
      <c r="L890" s="597">
        <f>SQRT(1-(K890/input!BI61)^2)</f>
        <v>0.999900931337801</v>
      </c>
      <c r="AA890" s="73"/>
      <c r="AB890" s="73"/>
      <c r="AC890" s="73"/>
      <c r="AE890" s="73"/>
      <c r="AF890" s="143"/>
      <c r="AG890" s="143"/>
      <c r="AH890" s="143"/>
      <c r="AI890" s="143"/>
      <c r="AJ890" s="143"/>
      <c r="AK890" s="143"/>
      <c r="AL890" s="143"/>
      <c r="AM890" s="143"/>
      <c r="AN890" s="143"/>
      <c r="AO890" s="143"/>
      <c r="AP890" s="143"/>
      <c r="AQ890" s="143"/>
    </row>
    <row r="891" spans="1:43" ht="15" customHeight="1">
      <c r="A891" s="593" t="str">
        <f>+input!B62</f>
        <v>130j</v>
      </c>
      <c r="B891" s="595">
        <f>MST!L63</f>
        <v>-4.93</v>
      </c>
      <c r="C891" s="595">
        <f>MST!M63</f>
        <v>0.01</v>
      </c>
      <c r="D891" s="595">
        <f>MST!N63</f>
        <v>-29.67</v>
      </c>
      <c r="E891" s="595">
        <f>MST!O63</f>
        <v>259.68</v>
      </c>
      <c r="F891" s="595">
        <f>MST!P63</f>
        <v>-25.82</v>
      </c>
      <c r="G891" s="596">
        <f>MST!Z63</f>
        <v>657.38</v>
      </c>
      <c r="H891" s="596">
        <f>MST!AA63</f>
        <v>-2.0699999999999998</v>
      </c>
      <c r="I891" s="595">
        <f>1.25*(B891+C891+D891)/2/L825/IF(B493="Positive",input!H62,input!K62)*10^6</f>
        <v>-0.40810114395741304</v>
      </c>
      <c r="J891" s="595">
        <f>(1.25*E891+1.5*F891+1.8*IF(1.25*E891+1.5*F891&gt;=0,G891,H891))/2/M825/IF(B493="Positive",input!H62,input!K62)*10^6</f>
        <v>13.191057239057239</v>
      </c>
      <c r="K891" s="595">
        <f t="shared" si="33"/>
        <v>12.782956095099825</v>
      </c>
      <c r="L891" s="597">
        <f>SQRT(1-(K891/input!BI62)^2)</f>
        <v>0.99943403663453068</v>
      </c>
      <c r="AA891" s="73"/>
      <c r="AB891" s="73"/>
      <c r="AC891" s="73"/>
      <c r="AE891" s="73"/>
      <c r="AF891" s="143"/>
      <c r="AG891" s="143"/>
      <c r="AH891" s="143"/>
      <c r="AI891" s="143"/>
      <c r="AJ891" s="143"/>
      <c r="AK891" s="143"/>
      <c r="AL891" s="143"/>
      <c r="AM891" s="143"/>
      <c r="AN891" s="143"/>
      <c r="AO891" s="143"/>
      <c r="AP891" s="143"/>
      <c r="AQ891" s="143"/>
    </row>
    <row r="892" spans="1:43" ht="15" customHeight="1">
      <c r="A892" s="593" t="str">
        <f>+input!B63</f>
        <v>131i</v>
      </c>
      <c r="B892" s="595">
        <f>MST!L64</f>
        <v>0</v>
      </c>
      <c r="C892" s="595">
        <f>MST!M64</f>
        <v>0</v>
      </c>
      <c r="D892" s="595">
        <f>MST!N64</f>
        <v>-0.9</v>
      </c>
      <c r="E892" s="595">
        <f>MST!O64</f>
        <v>-15.89</v>
      </c>
      <c r="F892" s="595">
        <f>MST!P64</f>
        <v>0.72</v>
      </c>
      <c r="G892" s="596">
        <f>MST!Z64</f>
        <v>46.09</v>
      </c>
      <c r="H892" s="596">
        <f>MST!AA64</f>
        <v>-160.28</v>
      </c>
      <c r="I892" s="595">
        <f>1.25*(B892+C892+D892)/2/L826/IF(B494="Positive",input!H63,input!K63)*10^6</f>
        <v>-1.0618416581719333E-2</v>
      </c>
      <c r="J892" s="595">
        <f>(1.25*E892+1.5*F892+1.8*IF(1.25*E892+1.5*F892&gt;=0,G892,H892))/2/M826/IF(B494="Positive",input!H63,input!K63)*10^6</f>
        <v>-2.7590258136924808</v>
      </c>
      <c r="K892" s="595">
        <f t="shared" si="33"/>
        <v>-2.7696442302742001</v>
      </c>
      <c r="L892" s="597">
        <f>SQRT(1-(K892/input!BI63)^2)</f>
        <v>0.99997343825817087</v>
      </c>
      <c r="AA892" s="73"/>
      <c r="AB892" s="73"/>
      <c r="AC892" s="73"/>
      <c r="AE892" s="73"/>
      <c r="AF892" s="143"/>
      <c r="AG892" s="143"/>
      <c r="AH892" s="143"/>
      <c r="AI892" s="143"/>
      <c r="AJ892" s="143"/>
      <c r="AK892" s="143"/>
      <c r="AL892" s="143"/>
      <c r="AM892" s="143"/>
      <c r="AN892" s="143"/>
      <c r="AO892" s="143"/>
      <c r="AP892" s="143"/>
      <c r="AQ892" s="143"/>
    </row>
    <row r="893" spans="1:43" ht="15" customHeight="1">
      <c r="A893" s="593" t="str">
        <f>+input!B64</f>
        <v>131j</v>
      </c>
      <c r="B893" s="595">
        <f>MST!L65</f>
        <v>0</v>
      </c>
      <c r="C893" s="595">
        <f>MST!M65</f>
        <v>0</v>
      </c>
      <c r="D893" s="595">
        <f>MST!N65</f>
        <v>0</v>
      </c>
      <c r="E893" s="595">
        <f>MST!O65</f>
        <v>0</v>
      </c>
      <c r="F893" s="595">
        <f>MST!P65</f>
        <v>0</v>
      </c>
      <c r="G893" s="596">
        <f>MST!Z65</f>
        <v>46.09</v>
      </c>
      <c r="H893" s="596">
        <f>MST!AA65</f>
        <v>-160.28</v>
      </c>
      <c r="I893" s="595">
        <f>1.25*(B893+C893+D893)/2/L827/IF(B495="Positive",input!H64,input!K64)*10^6</f>
        <v>0</v>
      </c>
      <c r="J893" s="595">
        <f>(1.25*E893+1.5*F893+1.8*IF(1.25*E893+1.5*F893&gt;=0,G893,H893))/2/M827/IF(B495="Positive",input!H64,input!K64)*10^6</f>
        <v>0.3385858585858586</v>
      </c>
      <c r="K893" s="595">
        <f t="shared" si="33"/>
        <v>0.3385858585858586</v>
      </c>
      <c r="L893" s="597">
        <f>SQRT(1-(K893/input!BI64)^2)</f>
        <v>0.99999960304568425</v>
      </c>
      <c r="AA893" s="73"/>
      <c r="AB893" s="73"/>
      <c r="AC893" s="73"/>
      <c r="AE893" s="73"/>
      <c r="AF893" s="143"/>
      <c r="AG893" s="143"/>
      <c r="AH893" s="143"/>
      <c r="AI893" s="143"/>
      <c r="AJ893" s="143"/>
      <c r="AK893" s="143"/>
      <c r="AL893" s="143"/>
      <c r="AM893" s="143"/>
      <c r="AN893" s="143"/>
      <c r="AO893" s="143"/>
      <c r="AP893" s="143"/>
      <c r="AQ893" s="143"/>
    </row>
    <row r="894" spans="1:43" ht="15" customHeight="1">
      <c r="B894" s="318"/>
      <c r="C894" s="318"/>
      <c r="D894" s="220"/>
      <c r="E894" s="220"/>
      <c r="F894" s="220"/>
      <c r="G894" s="220"/>
      <c r="H894" s="242"/>
      <c r="I894" s="242"/>
      <c r="J894" s="242"/>
      <c r="K894" s="242"/>
      <c r="L894" s="242"/>
      <c r="M894" s="242"/>
      <c r="N894" s="317"/>
      <c r="O894" s="317"/>
      <c r="P894" s="317"/>
      <c r="Q894" s="317"/>
      <c r="R894" s="317"/>
      <c r="S894" s="317"/>
      <c r="T894" s="244"/>
      <c r="U894" s="244"/>
      <c r="V894" s="317"/>
      <c r="W894" s="317"/>
      <c r="X894" s="317"/>
      <c r="Y894" s="317"/>
      <c r="Z894" s="143"/>
      <c r="AA894" s="326"/>
    </row>
    <row r="895" spans="1:43" ht="15" customHeight="1">
      <c r="Z895" s="143"/>
    </row>
    <row r="896" spans="1:43" ht="15" customHeight="1">
      <c r="A896" s="181"/>
      <c r="B896" s="181"/>
      <c r="C896" s="220"/>
      <c r="D896" s="220"/>
      <c r="E896" s="220"/>
      <c r="F896" s="220"/>
      <c r="G896" s="242"/>
      <c r="H896" s="242"/>
      <c r="I896" s="242"/>
      <c r="J896" s="242"/>
      <c r="K896" s="242"/>
      <c r="L896" s="242"/>
      <c r="M896" s="243"/>
      <c r="N896" s="243"/>
      <c r="O896" s="243"/>
      <c r="P896" s="243"/>
      <c r="Q896" s="243"/>
      <c r="R896" s="243"/>
      <c r="S896" s="244"/>
      <c r="T896" s="244"/>
      <c r="U896" s="243"/>
      <c r="V896" s="243"/>
      <c r="W896" s="243"/>
      <c r="X896" s="243"/>
      <c r="Y896" s="243"/>
      <c r="Z896" s="243"/>
      <c r="AD896" s="614"/>
    </row>
    <row r="897" spans="1:43" ht="15" customHeight="1" thickBot="1">
      <c r="A897" s="468" t="s">
        <v>2137</v>
      </c>
      <c r="G897" s="4"/>
      <c r="H897" s="4"/>
      <c r="I897" s="4"/>
      <c r="L897" s="297"/>
    </row>
    <row r="898" spans="1:43" ht="15" customHeight="1">
      <c r="A898" s="535" t="s">
        <v>702</v>
      </c>
      <c r="B898" s="1918" t="s">
        <v>700</v>
      </c>
      <c r="C898" s="1911"/>
      <c r="D898" s="1911"/>
      <c r="E898" s="1911"/>
      <c r="F898" s="1919"/>
      <c r="G898" s="536" t="s">
        <v>685</v>
      </c>
      <c r="H898" s="1918" t="s">
        <v>701</v>
      </c>
      <c r="I898" s="1919"/>
      <c r="J898" s="536" t="s">
        <v>688</v>
      </c>
      <c r="K898" s="536" t="s">
        <v>360</v>
      </c>
      <c r="L898" s="478" t="s">
        <v>689</v>
      </c>
      <c r="Z898" s="73"/>
      <c r="AA898" s="73"/>
      <c r="AB898" s="73"/>
      <c r="AC898" s="73"/>
      <c r="AE898" s="73"/>
      <c r="AF898" s="143"/>
      <c r="AG898" s="143"/>
      <c r="AH898" s="143"/>
      <c r="AI898" s="143"/>
      <c r="AJ898" s="143"/>
      <c r="AK898" s="143"/>
      <c r="AL898" s="143"/>
      <c r="AM898" s="143"/>
      <c r="AN898" s="143"/>
      <c r="AO898" s="143"/>
      <c r="AP898" s="143"/>
      <c r="AQ898" s="143"/>
    </row>
    <row r="899" spans="1:43" ht="15" customHeight="1">
      <c r="A899" s="537"/>
      <c r="B899" s="532" t="s">
        <v>697</v>
      </c>
      <c r="C899" s="532" t="s">
        <v>698</v>
      </c>
      <c r="D899" s="532" t="s">
        <v>1613</v>
      </c>
      <c r="E899" s="532" t="s">
        <v>1607</v>
      </c>
      <c r="F899" s="532" t="s">
        <v>684</v>
      </c>
      <c r="G899" s="262"/>
      <c r="H899" s="532" t="s">
        <v>686</v>
      </c>
      <c r="I899" s="532" t="s">
        <v>687</v>
      </c>
      <c r="J899" s="262"/>
      <c r="K899" s="262"/>
      <c r="L899" s="481"/>
      <c r="Z899" s="73"/>
      <c r="AA899" s="73"/>
      <c r="AB899" s="73"/>
      <c r="AC899" s="73"/>
      <c r="AE899" s="73"/>
      <c r="AF899" s="143"/>
      <c r="AG899" s="143"/>
      <c r="AH899" s="143"/>
      <c r="AI899" s="143"/>
      <c r="AJ899" s="143"/>
      <c r="AK899" s="143"/>
      <c r="AL899" s="143"/>
      <c r="AM899" s="143"/>
      <c r="AN899" s="143"/>
      <c r="AO899" s="143"/>
      <c r="AP899" s="143"/>
      <c r="AQ899" s="143"/>
    </row>
    <row r="900" spans="1:43" ht="15" customHeight="1">
      <c r="A900" s="593" t="str">
        <f>+input!B3</f>
        <v>101i</v>
      </c>
      <c r="B900" s="596">
        <f>IF(B434="Positive",input!DJ3,input!DZ3)</f>
        <v>1232.932145019611</v>
      </c>
      <c r="C900" s="596">
        <f>IF(B434="Positive",input!DK3,input!EA3)</f>
        <v>1401.067854980389</v>
      </c>
      <c r="D900" s="594">
        <f>input!H3</f>
        <v>22</v>
      </c>
      <c r="E900" s="594">
        <f>input!K3</f>
        <v>12</v>
      </c>
      <c r="F900" s="596">
        <f>MAX(B900-D900,C900-E900)</f>
        <v>1389.067854980389</v>
      </c>
      <c r="G900" s="850">
        <f>IF(B900-D900&gt;=C900-E900,input!F3*input!G3*input!H3,input!J3*input!K3)</f>
        <v>23280</v>
      </c>
      <c r="H900" s="595">
        <f>MAX(ABS(Stress!F832),ABS(Stress!G832),input!BI3)</f>
        <v>380</v>
      </c>
      <c r="I900" s="595">
        <f>MIN(input!BK3/H900,1)</f>
        <v>0.93421052631578949</v>
      </c>
      <c r="J900" s="595">
        <f>input!N3</f>
        <v>12</v>
      </c>
      <c r="K900" s="595">
        <f t="shared" ref="K900:K931" si="34">2*F900*J900/G900</f>
        <v>1.4320287164746279</v>
      </c>
      <c r="L900" s="597">
        <f>IF(input!BK3&gt;=input!BI3,1,(12+K900*(3*I900-I900^3))/(12+2*K900))</f>
        <v>0.99877645922455283</v>
      </c>
      <c r="Z900" s="73"/>
      <c r="AA900" s="73"/>
      <c r="AB900" s="73"/>
      <c r="AC900" s="73"/>
      <c r="AE900" s="73"/>
      <c r="AF900" s="143"/>
      <c r="AG900" s="143"/>
      <c r="AH900" s="143"/>
      <c r="AI900" s="143"/>
      <c r="AJ900" s="143"/>
      <c r="AK900" s="143"/>
      <c r="AL900" s="143"/>
      <c r="AM900" s="143"/>
      <c r="AN900" s="143"/>
      <c r="AO900" s="143"/>
      <c r="AP900" s="143"/>
      <c r="AQ900" s="143"/>
    </row>
    <row r="901" spans="1:43" ht="15" customHeight="1">
      <c r="A901" s="593" t="str">
        <f>+input!B4</f>
        <v>101j</v>
      </c>
      <c r="B901" s="596">
        <f>IF(B435="Positive",input!DJ4,input!DZ4)</f>
        <v>1232.932145019611</v>
      </c>
      <c r="C901" s="596">
        <f>IF(B435="Positive",input!DK4,input!EA4)</f>
        <v>1401.067854980389</v>
      </c>
      <c r="D901" s="594">
        <f>input!H4</f>
        <v>22</v>
      </c>
      <c r="E901" s="594">
        <f>input!K4</f>
        <v>12</v>
      </c>
      <c r="F901" s="596">
        <f t="shared" ref="F901:F931" si="35">MAX(B901-D901,C901-E901)</f>
        <v>1389.067854980389</v>
      </c>
      <c r="G901" s="850">
        <f>IF(B901-D901&gt;=C901-E901,input!F4*input!G4*input!H4,input!J4*input!K4)</f>
        <v>23280</v>
      </c>
      <c r="H901" s="595">
        <f>MAX(ABS(Stress!F833),ABS(Stress!G833),input!BI4)</f>
        <v>380</v>
      </c>
      <c r="I901" s="595">
        <f>MIN(input!BK4/H901,1)</f>
        <v>0.93421052631578949</v>
      </c>
      <c r="J901" s="595">
        <f>input!N4</f>
        <v>12</v>
      </c>
      <c r="K901" s="595">
        <f t="shared" si="34"/>
        <v>1.4320287164746279</v>
      </c>
      <c r="L901" s="597">
        <f>IF(input!BK4&gt;=input!BI4,1,(12+K901*(3*I901-I901^3))/(12+2*K901))</f>
        <v>0.99877645922455283</v>
      </c>
      <c r="Z901" s="73"/>
      <c r="AA901" s="73"/>
      <c r="AB901" s="73"/>
      <c r="AC901" s="73"/>
      <c r="AE901" s="73"/>
      <c r="AF901" s="143"/>
      <c r="AG901" s="143"/>
      <c r="AH901" s="143"/>
      <c r="AI901" s="143"/>
      <c r="AJ901" s="143"/>
      <c r="AK901" s="143"/>
      <c r="AL901" s="143"/>
      <c r="AM901" s="143"/>
      <c r="AN901" s="143"/>
      <c r="AO901" s="143"/>
      <c r="AP901" s="143"/>
      <c r="AQ901" s="143"/>
    </row>
    <row r="902" spans="1:43" ht="15" customHeight="1">
      <c r="A902" s="593" t="str">
        <f>+input!B5</f>
        <v>102i</v>
      </c>
      <c r="B902" s="596">
        <f>IF(B436="Positive",input!DJ5,input!DZ5)</f>
        <v>1232.932145019611</v>
      </c>
      <c r="C902" s="596">
        <f>IF(B436="Positive",input!DK5,input!EA5)</f>
        <v>1401.067854980389</v>
      </c>
      <c r="D902" s="594">
        <f>input!H5</f>
        <v>22</v>
      </c>
      <c r="E902" s="594">
        <f>input!K5</f>
        <v>12</v>
      </c>
      <c r="F902" s="596">
        <f t="shared" si="35"/>
        <v>1389.067854980389</v>
      </c>
      <c r="G902" s="850">
        <f>IF(B902-D902&gt;=C902-E902,input!F5*input!G5*input!H5,input!J5*input!K5)</f>
        <v>23280</v>
      </c>
      <c r="H902" s="595">
        <f>MAX(ABS(Stress!F834),ABS(Stress!G834),input!BI5)</f>
        <v>380</v>
      </c>
      <c r="I902" s="595">
        <f>MIN(input!BK5/H902,1)</f>
        <v>0.93421052631578949</v>
      </c>
      <c r="J902" s="595">
        <f>input!N5</f>
        <v>12</v>
      </c>
      <c r="K902" s="595">
        <f t="shared" si="34"/>
        <v>1.4320287164746279</v>
      </c>
      <c r="L902" s="597">
        <f>IF(input!BK5&gt;=input!BI5,1,(12+K902*(3*I902-I902^3))/(12+2*K902))</f>
        <v>0.99877645922455283</v>
      </c>
      <c r="Z902" s="73"/>
      <c r="AA902" s="73"/>
      <c r="AB902" s="73"/>
      <c r="AC902" s="73"/>
      <c r="AE902" s="73"/>
      <c r="AF902" s="143"/>
      <c r="AG902" s="143"/>
      <c r="AH902" s="143"/>
      <c r="AI902" s="143"/>
      <c r="AJ902" s="143"/>
      <c r="AK902" s="143"/>
      <c r="AL902" s="143"/>
      <c r="AM902" s="143"/>
      <c r="AN902" s="143"/>
      <c r="AO902" s="143"/>
      <c r="AP902" s="143"/>
      <c r="AQ902" s="143"/>
    </row>
    <row r="903" spans="1:43" ht="15" customHeight="1">
      <c r="A903" s="593" t="str">
        <f>+input!B6</f>
        <v>102j</v>
      </c>
      <c r="B903" s="596">
        <f>IF(B437="Positive",input!DJ6,input!DZ6)</f>
        <v>354.80712314225229</v>
      </c>
      <c r="C903" s="596">
        <f>IF(B437="Positive",input!DK6,input!EA6)</f>
        <v>2279.1928768577477</v>
      </c>
      <c r="D903" s="594">
        <f>input!H6</f>
        <v>22</v>
      </c>
      <c r="E903" s="594">
        <f>input!K6</f>
        <v>12</v>
      </c>
      <c r="F903" s="596">
        <f t="shared" si="35"/>
        <v>2267.1928768577477</v>
      </c>
      <c r="G903" s="850">
        <f>IF(B903-D903&gt;=C903-E903,input!F6*input!G6*input!H6,input!J6*input!K6)</f>
        <v>23280</v>
      </c>
      <c r="H903" s="595">
        <f>MAX(ABS(Stress!F835),ABS(Stress!G835),input!BI6)</f>
        <v>380</v>
      </c>
      <c r="I903" s="595">
        <f>MIN(input!BK6/H903,1)</f>
        <v>0.93421052631578949</v>
      </c>
      <c r="J903" s="595">
        <f>input!N6</f>
        <v>12</v>
      </c>
      <c r="K903" s="595">
        <f t="shared" si="34"/>
        <v>2.337312244183245</v>
      </c>
      <c r="L903" s="597">
        <f>IF(input!BK6&gt;=input!BI6,1,(12+K903*(3*I903-I903^3))/(12+2*K903))</f>
        <v>0.99821981651945046</v>
      </c>
      <c r="Z903" s="73"/>
      <c r="AA903" s="73"/>
      <c r="AB903" s="73"/>
      <c r="AC903" s="73"/>
      <c r="AE903" s="73"/>
      <c r="AF903" s="143"/>
      <c r="AG903" s="143"/>
      <c r="AH903" s="143"/>
      <c r="AI903" s="143"/>
      <c r="AJ903" s="143"/>
      <c r="AK903" s="143"/>
      <c r="AL903" s="143"/>
      <c r="AM903" s="143"/>
      <c r="AN903" s="143"/>
      <c r="AO903" s="143"/>
      <c r="AP903" s="143"/>
      <c r="AQ903" s="143"/>
    </row>
    <row r="904" spans="1:43" ht="15" customHeight="1">
      <c r="A904" s="593" t="str">
        <f>+input!B7</f>
        <v>103i</v>
      </c>
      <c r="B904" s="596">
        <f>IF(B438="Positive",input!DJ7,input!DZ7)</f>
        <v>471.90520652049327</v>
      </c>
      <c r="C904" s="596">
        <f>IF(B438="Positive",input!DK7,input!EA7)</f>
        <v>2376.0947934795067</v>
      </c>
      <c r="D904" s="594">
        <f>input!H7</f>
        <v>30</v>
      </c>
      <c r="E904" s="594">
        <f>input!K7</f>
        <v>18</v>
      </c>
      <c r="F904" s="596">
        <f t="shared" si="35"/>
        <v>2358.0947934795067</v>
      </c>
      <c r="G904" s="850">
        <f>IF(B904-D904&gt;=C904-E904,input!F7*input!G7*input!H7,input!J7*input!K7)</f>
        <v>34920</v>
      </c>
      <c r="H904" s="595">
        <f>MAX(ABS(Stress!F836),ABS(Stress!G836),input!BI7)</f>
        <v>380</v>
      </c>
      <c r="I904" s="595">
        <f>MIN(input!BK7/H904,1)</f>
        <v>0.93421052631578949</v>
      </c>
      <c r="J904" s="595">
        <f>input!N7</f>
        <v>12</v>
      </c>
      <c r="K904" s="595">
        <f t="shared" si="34"/>
        <v>1.6206837068587676</v>
      </c>
      <c r="L904" s="597">
        <f>IF(input!BK7&gt;=input!BI7,1,(12+K904*(3*I904-I904^3))/(12+2*K904))</f>
        <v>0.99864955025098268</v>
      </c>
      <c r="Z904" s="73"/>
      <c r="AA904" s="73"/>
      <c r="AB904" s="73"/>
      <c r="AC904" s="73"/>
      <c r="AE904" s="73"/>
      <c r="AF904" s="143"/>
      <c r="AG904" s="143"/>
      <c r="AH904" s="143"/>
      <c r="AI904" s="143"/>
      <c r="AJ904" s="143"/>
      <c r="AK904" s="143"/>
      <c r="AL904" s="143"/>
      <c r="AM904" s="143"/>
      <c r="AN904" s="143"/>
      <c r="AO904" s="143"/>
      <c r="AP904" s="143"/>
      <c r="AQ904" s="143"/>
    </row>
    <row r="905" spans="1:43" ht="15" customHeight="1">
      <c r="A905" s="593" t="str">
        <f>+input!B8</f>
        <v>103j</v>
      </c>
      <c r="B905" s="596">
        <f>IF(B439="Positive",input!DJ8,input!DZ8)</f>
        <v>471.90520652049327</v>
      </c>
      <c r="C905" s="596">
        <f>IF(B439="Positive",input!DK8,input!EA8)</f>
        <v>2376.0947934795067</v>
      </c>
      <c r="D905" s="594">
        <f>input!H8</f>
        <v>30</v>
      </c>
      <c r="E905" s="594">
        <f>input!K8</f>
        <v>18</v>
      </c>
      <c r="F905" s="596">
        <f t="shared" si="35"/>
        <v>2358.0947934795067</v>
      </c>
      <c r="G905" s="850">
        <f>IF(B905-D905&gt;=C905-E905,input!F8*input!G8*input!H8,input!J8*input!K8)</f>
        <v>34920</v>
      </c>
      <c r="H905" s="595">
        <f>MAX(ABS(Stress!F837),ABS(Stress!G837),input!BI8)</f>
        <v>380</v>
      </c>
      <c r="I905" s="595">
        <f>MIN(input!BK8/H905,1)</f>
        <v>0.93421052631578949</v>
      </c>
      <c r="J905" s="595">
        <f>input!N8</f>
        <v>12</v>
      </c>
      <c r="K905" s="595">
        <f t="shared" si="34"/>
        <v>1.6206837068587676</v>
      </c>
      <c r="L905" s="597">
        <f>IF(input!BK8&gt;=input!BI8,1,(12+K905*(3*I905-I905^3))/(12+2*K905))</f>
        <v>0.99864955025098268</v>
      </c>
      <c r="Z905" s="73"/>
      <c r="AA905" s="73"/>
      <c r="AB905" s="73"/>
      <c r="AC905" s="73"/>
      <c r="AE905" s="73"/>
      <c r="AF905" s="143"/>
      <c r="AG905" s="143"/>
      <c r="AH905" s="143"/>
      <c r="AI905" s="143"/>
      <c r="AJ905" s="143"/>
      <c r="AK905" s="143"/>
      <c r="AL905" s="143"/>
      <c r="AM905" s="143"/>
      <c r="AN905" s="143"/>
      <c r="AO905" s="143"/>
      <c r="AP905" s="143"/>
      <c r="AQ905" s="143"/>
    </row>
    <row r="906" spans="1:43" ht="15" customHeight="1">
      <c r="A906" s="593" t="str">
        <f>+input!B9</f>
        <v>104i</v>
      </c>
      <c r="B906" s="596">
        <f>IF(B440="Positive",input!DJ9,input!DZ9)</f>
        <v>471.90520652049327</v>
      </c>
      <c r="C906" s="596">
        <f>IF(B440="Positive",input!DK9,input!EA9)</f>
        <v>2376.0947934795067</v>
      </c>
      <c r="D906" s="594">
        <f>input!H9</f>
        <v>30</v>
      </c>
      <c r="E906" s="594">
        <f>input!K9</f>
        <v>18</v>
      </c>
      <c r="F906" s="596">
        <f t="shared" si="35"/>
        <v>2358.0947934795067</v>
      </c>
      <c r="G906" s="850">
        <f>IF(B906-D906&gt;=C906-E906,input!F9*input!G9*input!H9,input!J9*input!K9)</f>
        <v>34920</v>
      </c>
      <c r="H906" s="595">
        <f>MAX(ABS(Stress!F838),ABS(Stress!G838),input!BI9)</f>
        <v>380</v>
      </c>
      <c r="I906" s="595">
        <f>MIN(input!BK9/H906,1)</f>
        <v>0.93421052631578949</v>
      </c>
      <c r="J906" s="595">
        <f>input!N9</f>
        <v>12</v>
      </c>
      <c r="K906" s="595">
        <f t="shared" si="34"/>
        <v>1.6206837068587676</v>
      </c>
      <c r="L906" s="597">
        <f>IF(input!BK9&gt;=input!BI9,1,(12+K906*(3*I906-I906^3))/(12+2*K906))</f>
        <v>0.99864955025098268</v>
      </c>
      <c r="Z906" s="73"/>
      <c r="AA906" s="73"/>
      <c r="AB906" s="73"/>
      <c r="AC906" s="73"/>
      <c r="AE906" s="73"/>
      <c r="AF906" s="143"/>
      <c r="AG906" s="143"/>
      <c r="AH906" s="143"/>
      <c r="AI906" s="143"/>
      <c r="AJ906" s="143"/>
      <c r="AK906" s="143"/>
      <c r="AL906" s="143"/>
      <c r="AM906" s="143"/>
      <c r="AN906" s="143"/>
      <c r="AO906" s="143"/>
      <c r="AP906" s="143"/>
      <c r="AQ906" s="143"/>
    </row>
    <row r="907" spans="1:43" ht="15" customHeight="1">
      <c r="A907" s="593" t="str">
        <f>+input!B10</f>
        <v>104j</v>
      </c>
      <c r="B907" s="596">
        <f>IF(B441="Positive",input!DJ10,input!DZ10)</f>
        <v>471.90520652049327</v>
      </c>
      <c r="C907" s="596">
        <f>IF(B441="Positive",input!DK10,input!EA10)</f>
        <v>2376.0947934795067</v>
      </c>
      <c r="D907" s="594">
        <f>input!H10</f>
        <v>30</v>
      </c>
      <c r="E907" s="594">
        <f>input!K10</f>
        <v>18</v>
      </c>
      <c r="F907" s="596">
        <f t="shared" si="35"/>
        <v>2358.0947934795067</v>
      </c>
      <c r="G907" s="850">
        <f>IF(B907-D907&gt;=C907-E907,input!F10*input!G10*input!H10,input!J10*input!K10)</f>
        <v>34920</v>
      </c>
      <c r="H907" s="595">
        <f>MAX(ABS(Stress!F839),ABS(Stress!G839),input!BI10)</f>
        <v>380</v>
      </c>
      <c r="I907" s="595">
        <f>MIN(input!BK10/H907,1)</f>
        <v>0.93421052631578949</v>
      </c>
      <c r="J907" s="595">
        <f>input!N10</f>
        <v>12</v>
      </c>
      <c r="K907" s="595">
        <f t="shared" si="34"/>
        <v>1.6206837068587676</v>
      </c>
      <c r="L907" s="597">
        <f>IF(input!BK10&gt;=input!BI10,1,(12+K907*(3*I907-I907^3))/(12+2*K907))</f>
        <v>0.99864955025098268</v>
      </c>
      <c r="Z907" s="73"/>
      <c r="AA907" s="73"/>
      <c r="AB907" s="73"/>
      <c r="AC907" s="73"/>
      <c r="AE907" s="73"/>
      <c r="AF907" s="143"/>
      <c r="AG907" s="143"/>
      <c r="AH907" s="143"/>
      <c r="AI907" s="143"/>
      <c r="AJ907" s="143"/>
      <c r="AK907" s="143"/>
      <c r="AL907" s="143"/>
      <c r="AM907" s="143"/>
      <c r="AN907" s="143"/>
      <c r="AO907" s="143"/>
      <c r="AP907" s="143"/>
      <c r="AQ907" s="143"/>
    </row>
    <row r="908" spans="1:43" ht="15" customHeight="1">
      <c r="A908" s="593" t="str">
        <f>+input!B11</f>
        <v>105i</v>
      </c>
      <c r="B908" s="596">
        <f>IF(B442="Positive",input!DJ11,input!DZ11)</f>
        <v>645.18102281284291</v>
      </c>
      <c r="C908" s="596">
        <f>IF(B442="Positive",input!DK11,input!EA11)</f>
        <v>2226.8189771871571</v>
      </c>
      <c r="D908" s="594">
        <f>input!H11</f>
        <v>38</v>
      </c>
      <c r="E908" s="594">
        <f>input!K11</f>
        <v>34</v>
      </c>
      <c r="F908" s="596">
        <f t="shared" si="35"/>
        <v>2192.8189771871571</v>
      </c>
      <c r="G908" s="850">
        <f>IF(B908-D908&gt;=C908-E908,input!F11*input!G11*input!H11,input!J11*input!K11)</f>
        <v>65960</v>
      </c>
      <c r="H908" s="595">
        <f>MAX(ABS(Stress!F840),ABS(Stress!G840),input!BI11)</f>
        <v>380</v>
      </c>
      <c r="I908" s="595">
        <f>MIN(input!BK11/H908,1)</f>
        <v>0.93421052631578949</v>
      </c>
      <c r="J908" s="595">
        <f>input!N11</f>
        <v>12</v>
      </c>
      <c r="K908" s="595">
        <f t="shared" si="34"/>
        <v>0.79787227793347137</v>
      </c>
      <c r="L908" s="597">
        <f>IF(input!BK11&gt;=input!BI11,1,(12+K908*(3*I908-I908^3))/(12+2*K908))</f>
        <v>0.99925469424550584</v>
      </c>
      <c r="Z908" s="73"/>
      <c r="AA908" s="73"/>
      <c r="AB908" s="73"/>
      <c r="AC908" s="73"/>
      <c r="AE908" s="73"/>
      <c r="AF908" s="143"/>
      <c r="AG908" s="143"/>
      <c r="AH908" s="143"/>
      <c r="AI908" s="143"/>
      <c r="AJ908" s="143"/>
      <c r="AK908" s="143"/>
      <c r="AL908" s="143"/>
      <c r="AM908" s="143"/>
      <c r="AN908" s="143"/>
      <c r="AO908" s="143"/>
      <c r="AP908" s="143"/>
      <c r="AQ908" s="143"/>
    </row>
    <row r="909" spans="1:43" ht="15" customHeight="1">
      <c r="A909" s="593" t="str">
        <f>+input!B12</f>
        <v>105j</v>
      </c>
      <c r="B909" s="596">
        <f>IF(B443="Positive",input!DJ12,input!DZ12)</f>
        <v>645.18102281284291</v>
      </c>
      <c r="C909" s="596">
        <f>IF(B443="Positive",input!DK12,input!EA12)</f>
        <v>2226.8189771871571</v>
      </c>
      <c r="D909" s="594">
        <f>input!H12</f>
        <v>38</v>
      </c>
      <c r="E909" s="594">
        <f>input!K12</f>
        <v>34</v>
      </c>
      <c r="F909" s="596">
        <f t="shared" si="35"/>
        <v>2192.8189771871571</v>
      </c>
      <c r="G909" s="850">
        <f>IF(B909-D909&gt;=C909-E909,input!F12*input!G12*input!H12,input!J12*input!K12)</f>
        <v>65960</v>
      </c>
      <c r="H909" s="595">
        <f>MAX(ABS(Stress!F841),ABS(Stress!G841),input!BI12)</f>
        <v>380</v>
      </c>
      <c r="I909" s="595">
        <f>MIN(input!BK12/H909,1)</f>
        <v>0.93421052631578949</v>
      </c>
      <c r="J909" s="595">
        <f>input!N12</f>
        <v>12</v>
      </c>
      <c r="K909" s="595">
        <f t="shared" si="34"/>
        <v>0.79787227793347137</v>
      </c>
      <c r="L909" s="597">
        <f>IF(input!BK12&gt;=input!BI12,1,(12+K909*(3*I909-I909^3))/(12+2*K909))</f>
        <v>0.99925469424550584</v>
      </c>
      <c r="Z909" s="73"/>
      <c r="AA909" s="73"/>
      <c r="AB909" s="73"/>
      <c r="AC909" s="73"/>
      <c r="AE909" s="73"/>
      <c r="AF909" s="143"/>
      <c r="AG909" s="143"/>
      <c r="AH909" s="143"/>
      <c r="AI909" s="143"/>
      <c r="AJ909" s="143"/>
      <c r="AK909" s="143"/>
      <c r="AL909" s="143"/>
      <c r="AM909" s="143"/>
      <c r="AN909" s="143"/>
      <c r="AO909" s="143"/>
      <c r="AP909" s="143"/>
      <c r="AQ909" s="143"/>
    </row>
    <row r="910" spans="1:43" ht="15" customHeight="1">
      <c r="A910" s="593" t="str">
        <f>+input!B13</f>
        <v>106i</v>
      </c>
      <c r="B910" s="596">
        <f>IF(B444="Positive",input!DJ13,input!DZ13)</f>
        <v>645.18102281284291</v>
      </c>
      <c r="C910" s="596">
        <f>IF(B444="Positive",input!DK13,input!EA13)</f>
        <v>2226.8189771871571</v>
      </c>
      <c r="D910" s="594">
        <f>input!H13</f>
        <v>38</v>
      </c>
      <c r="E910" s="594">
        <f>input!K13</f>
        <v>34</v>
      </c>
      <c r="F910" s="596">
        <f t="shared" si="35"/>
        <v>2192.8189771871571</v>
      </c>
      <c r="G910" s="850">
        <f>IF(B910-D910&gt;=C910-E910,input!F13*input!G13*input!H13,input!J13*input!K13)</f>
        <v>65960</v>
      </c>
      <c r="H910" s="595">
        <f>MAX(ABS(Stress!F842),ABS(Stress!G842),input!BI13)</f>
        <v>380</v>
      </c>
      <c r="I910" s="595">
        <f>MIN(input!BK13/H910,1)</f>
        <v>0.93421052631578949</v>
      </c>
      <c r="J910" s="595">
        <f>input!N13</f>
        <v>12</v>
      </c>
      <c r="K910" s="595">
        <f t="shared" si="34"/>
        <v>0.79787227793347137</v>
      </c>
      <c r="L910" s="597">
        <f>IF(input!BK13&gt;=input!BI13,1,(12+K910*(3*I910-I910^3))/(12+2*K910))</f>
        <v>0.99925469424550584</v>
      </c>
      <c r="Z910" s="73"/>
      <c r="AA910" s="73"/>
      <c r="AB910" s="73"/>
      <c r="AC910" s="73"/>
      <c r="AE910" s="73"/>
      <c r="AF910" s="143"/>
      <c r="AG910" s="143"/>
      <c r="AH910" s="143"/>
      <c r="AI910" s="143"/>
      <c r="AJ910" s="143"/>
      <c r="AK910" s="143"/>
      <c r="AL910" s="143"/>
      <c r="AM910" s="143"/>
      <c r="AN910" s="143"/>
      <c r="AO910" s="143"/>
      <c r="AP910" s="143"/>
      <c r="AQ910" s="143"/>
    </row>
    <row r="911" spans="1:43" ht="15" customHeight="1">
      <c r="A911" s="593" t="str">
        <f>+input!B14</f>
        <v>106j</v>
      </c>
      <c r="B911" s="596">
        <f>IF(B445="Positive",input!DJ14,input!DZ14)</f>
        <v>645.18102281284291</v>
      </c>
      <c r="C911" s="596">
        <f>IF(B445="Positive",input!DK14,input!EA14)</f>
        <v>2226.8189771871571</v>
      </c>
      <c r="D911" s="594">
        <f>input!H14</f>
        <v>38</v>
      </c>
      <c r="E911" s="594">
        <f>input!K14</f>
        <v>34</v>
      </c>
      <c r="F911" s="596">
        <f t="shared" si="35"/>
        <v>2192.8189771871571</v>
      </c>
      <c r="G911" s="850">
        <f>IF(B911-D911&gt;=C911-E911,input!F14*input!G14*input!H14,input!J14*input!K14)</f>
        <v>65960</v>
      </c>
      <c r="H911" s="595">
        <f>MAX(ABS(Stress!F843),ABS(Stress!G843),input!BI14)</f>
        <v>380</v>
      </c>
      <c r="I911" s="595">
        <f>MIN(input!BK14/H911,1)</f>
        <v>0.93421052631578949</v>
      </c>
      <c r="J911" s="595">
        <f>input!N14</f>
        <v>12</v>
      </c>
      <c r="K911" s="595">
        <f t="shared" si="34"/>
        <v>0.79787227793347137</v>
      </c>
      <c r="L911" s="597">
        <f>IF(input!BK14&gt;=input!BI14,1,(12+K911*(3*I911-I911^3))/(12+2*K911))</f>
        <v>0.99925469424550584</v>
      </c>
      <c r="Z911" s="73"/>
      <c r="AA911" s="73"/>
      <c r="AB911" s="73"/>
      <c r="AC911" s="73"/>
      <c r="AE911" s="73"/>
      <c r="AF911" s="143"/>
      <c r="AG911" s="143"/>
      <c r="AH911" s="143"/>
      <c r="AI911" s="143"/>
      <c r="AJ911" s="143"/>
      <c r="AK911" s="143"/>
      <c r="AL911" s="143"/>
      <c r="AM911" s="143"/>
      <c r="AN911" s="143"/>
      <c r="AO911" s="143"/>
      <c r="AP911" s="143"/>
      <c r="AQ911" s="143"/>
    </row>
    <row r="912" spans="1:43" ht="15" customHeight="1">
      <c r="A912" s="593" t="str">
        <f>+input!B15</f>
        <v>107i</v>
      </c>
      <c r="B912" s="596">
        <f>IF(B446="Positive",input!DJ15,input!DZ15)</f>
        <v>691.19374362829694</v>
      </c>
      <c r="C912" s="596">
        <f>IF(B446="Positive",input!DK15,input!EA15)</f>
        <v>2188.8062563717031</v>
      </c>
      <c r="D912" s="594">
        <f>input!H15</f>
        <v>40</v>
      </c>
      <c r="E912" s="594">
        <f>input!K15</f>
        <v>40</v>
      </c>
      <c r="F912" s="596">
        <f t="shared" si="35"/>
        <v>2148.8062563717031</v>
      </c>
      <c r="G912" s="850">
        <f>IF(B912-D912&gt;=C912-E912,input!F15*input!G15*input!H15,input!J15*input!K15)</f>
        <v>77600</v>
      </c>
      <c r="H912" s="595">
        <f>MAX(ABS(Stress!F844),ABS(Stress!G844),input!BI15)</f>
        <v>380</v>
      </c>
      <c r="I912" s="595">
        <f>MIN(input!BK15/H912,1)</f>
        <v>0.93421052631578949</v>
      </c>
      <c r="J912" s="595">
        <f>input!N15</f>
        <v>12</v>
      </c>
      <c r="K912" s="595">
        <f t="shared" si="34"/>
        <v>0.66457925454794942</v>
      </c>
      <c r="L912" s="597">
        <f>IF(input!BK15&gt;=input!BI15,1,(12+K912*(3*I912-I912^3))/(12+2*K912))</f>
        <v>0.99936678944932145</v>
      </c>
      <c r="Z912" s="73"/>
      <c r="AA912" s="73"/>
      <c r="AB912" s="73"/>
      <c r="AC912" s="73"/>
      <c r="AE912" s="73"/>
      <c r="AF912" s="143"/>
      <c r="AG912" s="143"/>
      <c r="AH912" s="143"/>
      <c r="AI912" s="143"/>
      <c r="AJ912" s="143"/>
      <c r="AK912" s="143"/>
      <c r="AL912" s="143"/>
      <c r="AM912" s="143"/>
      <c r="AN912" s="143"/>
      <c r="AO912" s="143"/>
      <c r="AP912" s="143"/>
      <c r="AQ912" s="143"/>
    </row>
    <row r="913" spans="1:43" ht="15" customHeight="1">
      <c r="A913" s="593" t="str">
        <f>+input!B16</f>
        <v>107j</v>
      </c>
      <c r="B913" s="596">
        <f>IF(B447="Positive",input!DJ16,input!DZ16)</f>
        <v>691.19374362829694</v>
      </c>
      <c r="C913" s="596">
        <f>IF(B447="Positive",input!DK16,input!EA16)</f>
        <v>2188.8062563717031</v>
      </c>
      <c r="D913" s="594">
        <f>input!H16</f>
        <v>40</v>
      </c>
      <c r="E913" s="594">
        <f>input!K16</f>
        <v>40</v>
      </c>
      <c r="F913" s="596">
        <f t="shared" si="35"/>
        <v>2148.8062563717031</v>
      </c>
      <c r="G913" s="850">
        <f>IF(B913-D913&gt;=C913-E913,input!F16*input!G16*input!H16,input!J16*input!K16)</f>
        <v>77600</v>
      </c>
      <c r="H913" s="595">
        <f>MAX(ABS(Stress!F845),ABS(Stress!G845),input!BI16)</f>
        <v>380</v>
      </c>
      <c r="I913" s="595">
        <f>MIN(input!BK16/H913,1)</f>
        <v>0.93421052631578949</v>
      </c>
      <c r="J913" s="595">
        <f>input!N16</f>
        <v>12</v>
      </c>
      <c r="K913" s="595">
        <f t="shared" si="34"/>
        <v>0.66457925454794942</v>
      </c>
      <c r="L913" s="597">
        <f>IF(input!BK16&gt;=input!BI16,1,(12+K913*(3*I913-I913^3))/(12+2*K913))</f>
        <v>0.99936678944932145</v>
      </c>
      <c r="Z913" s="73"/>
      <c r="AA913" s="73"/>
      <c r="AB913" s="73"/>
      <c r="AC913" s="73"/>
      <c r="AE913" s="73"/>
      <c r="AF913" s="143"/>
      <c r="AG913" s="143"/>
      <c r="AH913" s="143"/>
      <c r="AI913" s="143"/>
      <c r="AJ913" s="143"/>
      <c r="AK913" s="143"/>
      <c r="AL913" s="143"/>
      <c r="AM913" s="143"/>
      <c r="AN913" s="143"/>
      <c r="AO913" s="143"/>
      <c r="AP913" s="143"/>
      <c r="AQ913" s="143"/>
    </row>
    <row r="914" spans="1:43" ht="15" customHeight="1">
      <c r="A914" s="593" t="str">
        <f>+input!B17</f>
        <v>108i</v>
      </c>
      <c r="B914" s="596">
        <f>IF(B448="Positive",input!DJ17,input!DZ17)</f>
        <v>691.19374362829694</v>
      </c>
      <c r="C914" s="596">
        <f>IF(B448="Positive",input!DK17,input!EA17)</f>
        <v>2188.8062563717031</v>
      </c>
      <c r="D914" s="594">
        <f>input!H17</f>
        <v>40</v>
      </c>
      <c r="E914" s="594">
        <f>input!K17</f>
        <v>40</v>
      </c>
      <c r="F914" s="596">
        <f t="shared" si="35"/>
        <v>2148.8062563717031</v>
      </c>
      <c r="G914" s="850">
        <f>IF(B914-D914&gt;=C914-E914,input!F17*input!G17*input!H17,input!J17*input!K17)</f>
        <v>77600</v>
      </c>
      <c r="H914" s="595">
        <f>MAX(ABS(Stress!F846),ABS(Stress!G846),input!BI17)</f>
        <v>380</v>
      </c>
      <c r="I914" s="595">
        <f>MIN(input!BK17/H914,1)</f>
        <v>0.93421052631578949</v>
      </c>
      <c r="J914" s="595">
        <f>input!N17</f>
        <v>12</v>
      </c>
      <c r="K914" s="595">
        <f t="shared" si="34"/>
        <v>0.66457925454794942</v>
      </c>
      <c r="L914" s="597">
        <f>IF(input!BK17&gt;=input!BI17,1,(12+K914*(3*I914-I914^3))/(12+2*K914))</f>
        <v>0.99936678944932145</v>
      </c>
      <c r="Z914" s="73"/>
      <c r="AA914" s="73"/>
      <c r="AB914" s="73"/>
      <c r="AC914" s="73"/>
      <c r="AE914" s="73"/>
      <c r="AF914" s="143"/>
      <c r="AG914" s="143"/>
      <c r="AH914" s="143"/>
      <c r="AI914" s="143"/>
      <c r="AJ914" s="143"/>
      <c r="AK914" s="143"/>
      <c r="AL914" s="143"/>
      <c r="AM914" s="143"/>
      <c r="AN914" s="143"/>
      <c r="AO914" s="143"/>
      <c r="AP914" s="143"/>
      <c r="AQ914" s="143"/>
    </row>
    <row r="915" spans="1:43" ht="15" customHeight="1">
      <c r="A915" s="593" t="str">
        <f>+input!B18</f>
        <v>108j</v>
      </c>
      <c r="B915" s="596">
        <f>IF(B449="Positive",input!DJ18,input!DZ18)</f>
        <v>691.19374362829694</v>
      </c>
      <c r="C915" s="596">
        <f>IF(B449="Positive",input!DK18,input!EA18)</f>
        <v>2188.8062563717031</v>
      </c>
      <c r="D915" s="594">
        <f>input!H18</f>
        <v>40</v>
      </c>
      <c r="E915" s="594">
        <f>input!K18</f>
        <v>40</v>
      </c>
      <c r="F915" s="596">
        <f t="shared" si="35"/>
        <v>2148.8062563717031</v>
      </c>
      <c r="G915" s="850">
        <f>IF(B915-D915&gt;=C915-E915,input!F18*input!G18*input!H18,input!J18*input!K18)</f>
        <v>77600</v>
      </c>
      <c r="H915" s="595">
        <f>MAX(ABS(Stress!F847),ABS(Stress!G847),input!BI18)</f>
        <v>380</v>
      </c>
      <c r="I915" s="595">
        <f>MIN(input!BK18/H915,1)</f>
        <v>0.93421052631578949</v>
      </c>
      <c r="J915" s="595">
        <f>input!N18</f>
        <v>12</v>
      </c>
      <c r="K915" s="595">
        <f t="shared" si="34"/>
        <v>0.66457925454794942</v>
      </c>
      <c r="L915" s="597">
        <f>IF(input!BK18&gt;=input!BI18,1,(12+K915*(3*I915-I915^3))/(12+2*K915))</f>
        <v>0.99936678944932145</v>
      </c>
      <c r="Z915" s="73"/>
      <c r="AA915" s="73"/>
      <c r="AB915" s="73"/>
      <c r="AC915" s="73"/>
      <c r="AE915" s="73"/>
      <c r="AF915" s="143"/>
      <c r="AG915" s="143"/>
      <c r="AH915" s="143"/>
      <c r="AI915" s="143"/>
      <c r="AJ915" s="143"/>
      <c r="AK915" s="143"/>
      <c r="AL915" s="143"/>
      <c r="AM915" s="143"/>
      <c r="AN915" s="143"/>
      <c r="AO915" s="143"/>
      <c r="AP915" s="143"/>
      <c r="AQ915" s="143"/>
    </row>
    <row r="916" spans="1:43" ht="15" customHeight="1">
      <c r="A916" s="593" t="str">
        <f>+input!B19</f>
        <v>109i</v>
      </c>
      <c r="B916" s="596">
        <f>IF(B450="Positive",input!DJ19,input!DZ19)</f>
        <v>691.19374362829694</v>
      </c>
      <c r="C916" s="596">
        <f>IF(B450="Positive",input!DK19,input!EA19)</f>
        <v>2188.8062563717031</v>
      </c>
      <c r="D916" s="594">
        <f>input!H19</f>
        <v>40</v>
      </c>
      <c r="E916" s="594">
        <f>input!K19</f>
        <v>40</v>
      </c>
      <c r="F916" s="596">
        <f t="shared" si="35"/>
        <v>2148.8062563717031</v>
      </c>
      <c r="G916" s="850">
        <f>IF(B916-D916&gt;=C916-E916,input!F19*input!G19*input!H19,input!J19*input!K19)</f>
        <v>77600</v>
      </c>
      <c r="H916" s="595">
        <f>MAX(ABS(Stress!F848),ABS(Stress!G848),input!BI19)</f>
        <v>380</v>
      </c>
      <c r="I916" s="595">
        <f>MIN(input!BK19/H916,1)</f>
        <v>0.93421052631578949</v>
      </c>
      <c r="J916" s="595">
        <f>input!N19</f>
        <v>12</v>
      </c>
      <c r="K916" s="595">
        <f t="shared" si="34"/>
        <v>0.66457925454794942</v>
      </c>
      <c r="L916" s="597">
        <f>IF(input!BK19&gt;=input!BI19,1,(12+K916*(3*I916-I916^3))/(12+2*K916))</f>
        <v>0.99936678944932145</v>
      </c>
      <c r="Z916" s="73"/>
      <c r="AA916" s="73"/>
      <c r="AB916" s="73"/>
      <c r="AC916" s="73"/>
      <c r="AE916" s="73"/>
      <c r="AF916" s="143"/>
      <c r="AG916" s="143"/>
      <c r="AH916" s="143"/>
      <c r="AI916" s="143"/>
      <c r="AJ916" s="143"/>
      <c r="AK916" s="143"/>
      <c r="AL916" s="143"/>
      <c r="AM916" s="143"/>
      <c r="AN916" s="143"/>
      <c r="AO916" s="143"/>
      <c r="AP916" s="143"/>
      <c r="AQ916" s="143"/>
    </row>
    <row r="917" spans="1:43" ht="15" customHeight="1">
      <c r="A917" s="593" t="str">
        <f>+input!B20</f>
        <v>109j</v>
      </c>
      <c r="B917" s="596">
        <f>IF(B451="Positive",input!DJ20,input!DZ20)</f>
        <v>691.19374362829694</v>
      </c>
      <c r="C917" s="596">
        <f>IF(B451="Positive",input!DK20,input!EA20)</f>
        <v>2188.8062563717031</v>
      </c>
      <c r="D917" s="594">
        <f>input!H20</f>
        <v>40</v>
      </c>
      <c r="E917" s="594">
        <f>input!K20</f>
        <v>40</v>
      </c>
      <c r="F917" s="596">
        <f t="shared" si="35"/>
        <v>2148.8062563717031</v>
      </c>
      <c r="G917" s="850">
        <f>IF(B917-D917&gt;=C917-E917,input!F20*input!G20*input!H20,input!J20*input!K20)</f>
        <v>77600</v>
      </c>
      <c r="H917" s="595">
        <f>MAX(ABS(Stress!F849),ABS(Stress!G849),input!BI20)</f>
        <v>380</v>
      </c>
      <c r="I917" s="595">
        <f>MIN(input!BK20/H917,1)</f>
        <v>0.93421052631578949</v>
      </c>
      <c r="J917" s="595">
        <f>input!N20</f>
        <v>12</v>
      </c>
      <c r="K917" s="595">
        <f t="shared" si="34"/>
        <v>0.66457925454794942</v>
      </c>
      <c r="L917" s="597">
        <f>IF(input!BK20&gt;=input!BI20,1,(12+K917*(3*I917-I917^3))/(12+2*K917))</f>
        <v>0.99936678944932145</v>
      </c>
      <c r="Z917" s="73"/>
      <c r="AA917" s="73"/>
      <c r="AB917" s="73"/>
      <c r="AC917" s="73"/>
      <c r="AE917" s="73"/>
      <c r="AF917" s="143"/>
      <c r="AG917" s="143"/>
      <c r="AH917" s="143"/>
      <c r="AI917" s="143"/>
      <c r="AJ917" s="143"/>
      <c r="AK917" s="143"/>
      <c r="AL917" s="143"/>
      <c r="AM917" s="143"/>
      <c r="AN917" s="143"/>
      <c r="AO917" s="143"/>
      <c r="AP917" s="143"/>
      <c r="AQ917" s="143"/>
    </row>
    <row r="918" spans="1:43" ht="15" customHeight="1">
      <c r="A918" s="593" t="str">
        <f>+input!B21</f>
        <v>110i</v>
      </c>
      <c r="B918" s="596">
        <f>IF(B452="Positive",input!DJ21,input!DZ21)</f>
        <v>691.19374362829694</v>
      </c>
      <c r="C918" s="596">
        <f>IF(B452="Positive",input!DK21,input!EA21)</f>
        <v>2188.8062563717031</v>
      </c>
      <c r="D918" s="594">
        <f>input!H21</f>
        <v>40</v>
      </c>
      <c r="E918" s="594">
        <f>input!K21</f>
        <v>40</v>
      </c>
      <c r="F918" s="596">
        <f t="shared" si="35"/>
        <v>2148.8062563717031</v>
      </c>
      <c r="G918" s="850">
        <f>IF(B918-D918&gt;=C918-E918,input!F21*input!G21*input!H21,input!J21*input!K21)</f>
        <v>77600</v>
      </c>
      <c r="H918" s="595">
        <f>MAX(ABS(Stress!F850),ABS(Stress!G850),input!BI21)</f>
        <v>380</v>
      </c>
      <c r="I918" s="595">
        <f>MIN(input!BK21/H918,1)</f>
        <v>0.93421052631578949</v>
      </c>
      <c r="J918" s="595">
        <f>input!N21</f>
        <v>12</v>
      </c>
      <c r="K918" s="595">
        <f t="shared" si="34"/>
        <v>0.66457925454794942</v>
      </c>
      <c r="L918" s="597">
        <f>IF(input!BK21&gt;=input!BI21,1,(12+K918*(3*I918-I918^3))/(12+2*K918))</f>
        <v>0.99936678944932145</v>
      </c>
      <c r="Z918" s="73"/>
      <c r="AA918" s="73"/>
      <c r="AB918" s="73"/>
      <c r="AC918" s="73"/>
      <c r="AE918" s="73"/>
      <c r="AF918" s="143"/>
      <c r="AG918" s="143"/>
      <c r="AH918" s="143"/>
      <c r="AI918" s="143"/>
      <c r="AJ918" s="143"/>
      <c r="AK918" s="143"/>
      <c r="AL918" s="143"/>
      <c r="AM918" s="143"/>
      <c r="AN918" s="143"/>
      <c r="AO918" s="143"/>
      <c r="AP918" s="143"/>
      <c r="AQ918" s="143"/>
    </row>
    <row r="919" spans="1:43" ht="15" customHeight="1">
      <c r="A919" s="593" t="str">
        <f>+input!B22</f>
        <v>110j</v>
      </c>
      <c r="B919" s="596">
        <f>IF(B453="Positive",input!DJ22,input!DZ22)</f>
        <v>691.19374362829694</v>
      </c>
      <c r="C919" s="596">
        <f>IF(B453="Positive",input!DK22,input!EA22)</f>
        <v>2188.8062563717031</v>
      </c>
      <c r="D919" s="594">
        <f>input!H22</f>
        <v>40</v>
      </c>
      <c r="E919" s="594">
        <f>input!K22</f>
        <v>40</v>
      </c>
      <c r="F919" s="596">
        <f t="shared" si="35"/>
        <v>2148.8062563717031</v>
      </c>
      <c r="G919" s="850">
        <f>IF(B919-D919&gt;=C919-E919,input!F22*input!G22*input!H22,input!J22*input!K22)</f>
        <v>77600</v>
      </c>
      <c r="H919" s="595">
        <f>MAX(ABS(Stress!F851),ABS(Stress!G851),input!BI22)</f>
        <v>380</v>
      </c>
      <c r="I919" s="595">
        <f>MIN(input!BK22/H919,1)</f>
        <v>0.93421052631578949</v>
      </c>
      <c r="J919" s="595">
        <f>input!N22</f>
        <v>12</v>
      </c>
      <c r="K919" s="595">
        <f t="shared" si="34"/>
        <v>0.66457925454794942</v>
      </c>
      <c r="L919" s="597">
        <f>IF(input!BK22&gt;=input!BI22,1,(12+K919*(3*I919-I919^3))/(12+2*K919))</f>
        <v>0.99936678944932145</v>
      </c>
      <c r="Z919" s="73"/>
      <c r="AA919" s="73"/>
      <c r="AB919" s="73"/>
      <c r="AC919" s="73"/>
      <c r="AE919" s="73"/>
      <c r="AF919" s="143"/>
      <c r="AG919" s="143"/>
      <c r="AH919" s="143"/>
      <c r="AI919" s="143"/>
      <c r="AJ919" s="143"/>
      <c r="AK919" s="143"/>
      <c r="AL919" s="143"/>
      <c r="AM919" s="143"/>
      <c r="AN919" s="143"/>
      <c r="AO919" s="143"/>
      <c r="AP919" s="143"/>
      <c r="AQ919" s="143"/>
    </row>
    <row r="920" spans="1:43" ht="15" customHeight="1">
      <c r="A920" s="593" t="str">
        <f>+input!B23</f>
        <v>111i</v>
      </c>
      <c r="B920" s="596">
        <f>IF(B454="Positive",input!DJ23,input!DZ23)</f>
        <v>691.19374362829694</v>
      </c>
      <c r="C920" s="596">
        <f>IF(B454="Positive",input!DK23,input!EA23)</f>
        <v>2188.8062563717031</v>
      </c>
      <c r="D920" s="594">
        <f>input!H23</f>
        <v>40</v>
      </c>
      <c r="E920" s="594">
        <f>input!K23</f>
        <v>40</v>
      </c>
      <c r="F920" s="596">
        <f t="shared" si="35"/>
        <v>2148.8062563717031</v>
      </c>
      <c r="G920" s="850">
        <f>IF(B920-D920&gt;=C920-E920,input!F23*input!G23*input!H23,input!J23*input!K23)</f>
        <v>77600</v>
      </c>
      <c r="H920" s="595">
        <f>MAX(ABS(Stress!F852),ABS(Stress!G852),input!BI23)</f>
        <v>380</v>
      </c>
      <c r="I920" s="595">
        <f>MIN(input!BK23/H920,1)</f>
        <v>0.93421052631578949</v>
      </c>
      <c r="J920" s="595">
        <f>input!N23</f>
        <v>12</v>
      </c>
      <c r="K920" s="595">
        <f t="shared" si="34"/>
        <v>0.66457925454794942</v>
      </c>
      <c r="L920" s="597">
        <f>IF(input!BK23&gt;=input!BI23,1,(12+K920*(3*I920-I920^3))/(12+2*K920))</f>
        <v>0.99936678944932145</v>
      </c>
      <c r="Z920" s="73"/>
      <c r="AA920" s="73"/>
      <c r="AB920" s="73"/>
      <c r="AC920" s="73"/>
      <c r="AE920" s="73"/>
      <c r="AF920" s="143"/>
      <c r="AG920" s="143"/>
      <c r="AH920" s="143"/>
      <c r="AI920" s="143"/>
      <c r="AJ920" s="143"/>
      <c r="AK920" s="143"/>
      <c r="AL920" s="143"/>
      <c r="AM920" s="143"/>
      <c r="AN920" s="143"/>
      <c r="AO920" s="143"/>
      <c r="AP920" s="143"/>
      <c r="AQ920" s="143"/>
    </row>
    <row r="921" spans="1:43" ht="15" customHeight="1">
      <c r="A921" s="593" t="str">
        <f>+input!B24</f>
        <v>111j</v>
      </c>
      <c r="B921" s="596">
        <f>IF(B455="Positive",input!DJ24,input!DZ24)</f>
        <v>691.19374362829694</v>
      </c>
      <c r="C921" s="596">
        <f>IF(B455="Positive",input!DK24,input!EA24)</f>
        <v>2188.8062563717031</v>
      </c>
      <c r="D921" s="594">
        <f>input!H24</f>
        <v>40</v>
      </c>
      <c r="E921" s="594">
        <f>input!K24</f>
        <v>40</v>
      </c>
      <c r="F921" s="596">
        <f t="shared" si="35"/>
        <v>2148.8062563717031</v>
      </c>
      <c r="G921" s="850">
        <f>IF(B921-D921&gt;=C921-E921,input!F24*input!G24*input!H24,input!J24*input!K24)</f>
        <v>77600</v>
      </c>
      <c r="H921" s="595">
        <f>MAX(ABS(Stress!F853),ABS(Stress!G853),input!BI24)</f>
        <v>380</v>
      </c>
      <c r="I921" s="595">
        <f>MIN(input!BK24/H921,1)</f>
        <v>0.93421052631578949</v>
      </c>
      <c r="J921" s="595">
        <f>input!N24</f>
        <v>12</v>
      </c>
      <c r="K921" s="595">
        <f t="shared" si="34"/>
        <v>0.66457925454794942</v>
      </c>
      <c r="L921" s="597">
        <f>IF(input!BK24&gt;=input!BI24,1,(12+K921*(3*I921-I921^3))/(12+2*K921))</f>
        <v>0.99936678944932145</v>
      </c>
      <c r="Z921" s="73"/>
      <c r="AA921" s="73"/>
      <c r="AB921" s="73"/>
      <c r="AC921" s="73"/>
      <c r="AE921" s="73"/>
      <c r="AF921" s="143"/>
      <c r="AG921" s="143"/>
      <c r="AH921" s="143"/>
      <c r="AI921" s="143"/>
      <c r="AJ921" s="143"/>
      <c r="AK921" s="143"/>
      <c r="AL921" s="143"/>
      <c r="AM921" s="143"/>
      <c r="AN921" s="143"/>
      <c r="AO921" s="143"/>
      <c r="AP921" s="143"/>
      <c r="AQ921" s="143"/>
    </row>
    <row r="922" spans="1:43" ht="15" customHeight="1">
      <c r="A922" s="593" t="str">
        <f>+input!B25</f>
        <v>112i</v>
      </c>
      <c r="B922" s="596">
        <f>IF(B456="Positive",input!DJ25,input!DZ25)</f>
        <v>625.63754698657112</v>
      </c>
      <c r="C922" s="596">
        <f>IF(B456="Positive",input!DK25,input!EA25)</f>
        <v>2242.3624530134289</v>
      </c>
      <c r="D922" s="594">
        <f>input!H25</f>
        <v>36</v>
      </c>
      <c r="E922" s="594">
        <f>input!K25</f>
        <v>32</v>
      </c>
      <c r="F922" s="596">
        <f t="shared" si="35"/>
        <v>2210.3624530134289</v>
      </c>
      <c r="G922" s="850">
        <f>IF(B922-D922&gt;=C922-E922,input!F25*input!G25*input!H25,input!J25*input!K25)</f>
        <v>62080</v>
      </c>
      <c r="H922" s="595">
        <f>MAX(ABS(Stress!F854),ABS(Stress!G854),input!BI25)</f>
        <v>380</v>
      </c>
      <c r="I922" s="595">
        <f>MIN(input!BK25/H922,1)</f>
        <v>0.93421052631578949</v>
      </c>
      <c r="J922" s="595">
        <f>input!N25</f>
        <v>12</v>
      </c>
      <c r="K922" s="595">
        <f t="shared" si="34"/>
        <v>0.85452156688663483</v>
      </c>
      <c r="L922" s="597">
        <f>IF(input!BK25&gt;=input!BI25,1,(12+K922*(3*I922-I922^3))/(12+2*K922))</f>
        <v>0.99920837412667252</v>
      </c>
      <c r="Z922" s="73"/>
      <c r="AA922" s="73"/>
      <c r="AB922" s="73"/>
      <c r="AC922" s="73"/>
      <c r="AE922" s="73"/>
      <c r="AF922" s="143"/>
      <c r="AG922" s="143"/>
      <c r="AH922" s="143"/>
      <c r="AI922" s="143"/>
      <c r="AJ922" s="143"/>
      <c r="AK922" s="143"/>
      <c r="AL922" s="143"/>
      <c r="AM922" s="143"/>
      <c r="AN922" s="143"/>
      <c r="AO922" s="143"/>
      <c r="AP922" s="143"/>
      <c r="AQ922" s="143"/>
    </row>
    <row r="923" spans="1:43" ht="15" customHeight="1">
      <c r="A923" s="593" t="str">
        <f>+input!B26</f>
        <v>112j</v>
      </c>
      <c r="B923" s="596">
        <f>IF(B457="Positive",input!DJ26,input!DZ26)</f>
        <v>625.63754698657112</v>
      </c>
      <c r="C923" s="596">
        <f>IF(B457="Positive",input!DK26,input!EA26)</f>
        <v>2242.3624530134289</v>
      </c>
      <c r="D923" s="594">
        <f>input!H26</f>
        <v>36</v>
      </c>
      <c r="E923" s="594">
        <f>input!K26</f>
        <v>32</v>
      </c>
      <c r="F923" s="596">
        <f t="shared" si="35"/>
        <v>2210.3624530134289</v>
      </c>
      <c r="G923" s="850">
        <f>IF(B923-D923&gt;=C923-E923,input!F26*input!G26*input!H26,input!J26*input!K26)</f>
        <v>62080</v>
      </c>
      <c r="H923" s="595">
        <f>MAX(ABS(Stress!F855),ABS(Stress!G855),input!BI26)</f>
        <v>380</v>
      </c>
      <c r="I923" s="595">
        <f>MIN(input!BK26/H923,1)</f>
        <v>0.93421052631578949</v>
      </c>
      <c r="J923" s="595">
        <f>input!N26</f>
        <v>12</v>
      </c>
      <c r="K923" s="595">
        <f t="shared" si="34"/>
        <v>0.85452156688663483</v>
      </c>
      <c r="L923" s="597">
        <f>IF(input!BK26&gt;=input!BI26,1,(12+K923*(3*I923-I923^3))/(12+2*K923))</f>
        <v>0.99920837412667252</v>
      </c>
      <c r="Z923" s="73"/>
      <c r="AA923" s="73"/>
      <c r="AB923" s="73"/>
      <c r="AC923" s="73"/>
      <c r="AE923" s="73"/>
      <c r="AF923" s="143"/>
      <c r="AG923" s="143"/>
      <c r="AH923" s="143"/>
      <c r="AI923" s="143"/>
      <c r="AJ923" s="143"/>
      <c r="AK923" s="143"/>
      <c r="AL923" s="143"/>
      <c r="AM923" s="143"/>
      <c r="AN923" s="143"/>
      <c r="AO923" s="143"/>
      <c r="AP923" s="143"/>
      <c r="AQ923" s="143"/>
    </row>
    <row r="924" spans="1:43" ht="15" customHeight="1">
      <c r="A924" s="593" t="str">
        <f>+input!B27</f>
        <v>113i</v>
      </c>
      <c r="B924" s="596">
        <f>IF(B458="Positive",input!DJ27,input!DZ27)</f>
        <v>628.6867517160681</v>
      </c>
      <c r="C924" s="596">
        <f>IF(B458="Positive",input!DK27,input!EA27)</f>
        <v>2233.3132482839319</v>
      </c>
      <c r="D924" s="594">
        <f>input!H27</f>
        <v>30</v>
      </c>
      <c r="E924" s="594">
        <f>input!K27</f>
        <v>32</v>
      </c>
      <c r="F924" s="596">
        <f t="shared" si="35"/>
        <v>2201.3132482839319</v>
      </c>
      <c r="G924" s="850">
        <f>IF(B924-D924&gt;=C924-E924,input!F27*input!G27*input!H27,input!J27*input!K27)</f>
        <v>62080</v>
      </c>
      <c r="H924" s="595">
        <f>MAX(ABS(Stress!F856),ABS(Stress!G856),input!BI27)</f>
        <v>380</v>
      </c>
      <c r="I924" s="595">
        <f>MIN(input!BK27/H924,1)</f>
        <v>0.93421052631578949</v>
      </c>
      <c r="J924" s="595">
        <f>input!N27</f>
        <v>12</v>
      </c>
      <c r="K924" s="595">
        <f t="shared" si="34"/>
        <v>0.85102316299636538</v>
      </c>
      <c r="L924" s="597">
        <f>IF(input!BK27&gt;=input!BI27,1,(12+K924*(3*I924-I924^3))/(12+2*K924))</f>
        <v>0.9992112124555369</v>
      </c>
      <c r="Z924" s="73"/>
      <c r="AA924" s="73"/>
      <c r="AB924" s="73"/>
      <c r="AC924" s="73"/>
      <c r="AE924" s="73"/>
      <c r="AF924" s="143"/>
      <c r="AG924" s="143"/>
      <c r="AH924" s="143"/>
      <c r="AI924" s="143"/>
      <c r="AJ924" s="143"/>
      <c r="AK924" s="143"/>
      <c r="AL924" s="143"/>
      <c r="AM924" s="143"/>
      <c r="AN924" s="143"/>
      <c r="AO924" s="143"/>
      <c r="AP924" s="143"/>
      <c r="AQ924" s="143"/>
    </row>
    <row r="925" spans="1:43" ht="15" customHeight="1">
      <c r="A925" s="593" t="str">
        <f>+input!B28</f>
        <v>113j</v>
      </c>
      <c r="B925" s="596">
        <f>IF(B459="Positive",input!DJ28,input!DZ28)</f>
        <v>628.6867517160681</v>
      </c>
      <c r="C925" s="596">
        <f>IF(B459="Positive",input!DK28,input!EA28)</f>
        <v>2233.3132482839319</v>
      </c>
      <c r="D925" s="594">
        <f>input!H28</f>
        <v>30</v>
      </c>
      <c r="E925" s="594">
        <f>input!K28</f>
        <v>32</v>
      </c>
      <c r="F925" s="596">
        <f t="shared" si="35"/>
        <v>2201.3132482839319</v>
      </c>
      <c r="G925" s="850">
        <f>IF(B925-D925&gt;=C925-E925,input!F28*input!G28*input!H28,input!J28*input!K28)</f>
        <v>62080</v>
      </c>
      <c r="H925" s="595">
        <f>MAX(ABS(Stress!F857),ABS(Stress!G857),input!BI28)</f>
        <v>380</v>
      </c>
      <c r="I925" s="595">
        <f>MIN(input!BK28/H925,1)</f>
        <v>0.93421052631578949</v>
      </c>
      <c r="J925" s="595">
        <f>input!N28</f>
        <v>12</v>
      </c>
      <c r="K925" s="595">
        <f t="shared" si="34"/>
        <v>0.85102316299636538</v>
      </c>
      <c r="L925" s="597">
        <f>IF(input!BK28&gt;=input!BI28,1,(12+K925*(3*I925-I925^3))/(12+2*K925))</f>
        <v>0.9992112124555369</v>
      </c>
      <c r="Z925" s="73"/>
      <c r="AA925" s="73"/>
      <c r="AB925" s="73"/>
      <c r="AC925" s="73"/>
      <c r="AE925" s="73"/>
      <c r="AF925" s="143"/>
      <c r="AG925" s="143"/>
      <c r="AH925" s="143"/>
      <c r="AI925" s="143"/>
      <c r="AJ925" s="143"/>
      <c r="AK925" s="143"/>
      <c r="AL925" s="143"/>
      <c r="AM925" s="143"/>
      <c r="AN925" s="143"/>
      <c r="AO925" s="143"/>
      <c r="AP925" s="143"/>
      <c r="AQ925" s="143"/>
    </row>
    <row r="926" spans="1:43" ht="15" customHeight="1">
      <c r="A926" s="593" t="str">
        <f>+input!B29</f>
        <v>114i</v>
      </c>
      <c r="B926" s="596">
        <f>IF(B460="Positive",input!DJ29,input!DZ29)</f>
        <v>628.6867517160681</v>
      </c>
      <c r="C926" s="596">
        <f>IF(B460="Positive",input!DK29,input!EA29)</f>
        <v>2233.3132482839319</v>
      </c>
      <c r="D926" s="594">
        <f>input!H29</f>
        <v>30</v>
      </c>
      <c r="E926" s="594">
        <f>input!K29</f>
        <v>32</v>
      </c>
      <c r="F926" s="596">
        <f t="shared" si="35"/>
        <v>2201.3132482839319</v>
      </c>
      <c r="G926" s="850">
        <f>IF(B926-D926&gt;=C926-E926,input!F29*input!G29*input!H29,input!J29*input!K29)</f>
        <v>62080</v>
      </c>
      <c r="H926" s="595">
        <f>MAX(ABS(Stress!F858),ABS(Stress!G858),input!BI29)</f>
        <v>380</v>
      </c>
      <c r="I926" s="595">
        <f>MIN(input!BK29/H926,1)</f>
        <v>0.93421052631578949</v>
      </c>
      <c r="J926" s="595">
        <f>input!N29</f>
        <v>12</v>
      </c>
      <c r="K926" s="595">
        <f t="shared" si="34"/>
        <v>0.85102316299636538</v>
      </c>
      <c r="L926" s="597">
        <f>IF(input!BK29&gt;=input!BI29,1,(12+K926*(3*I926-I926^3))/(12+2*K926))</f>
        <v>0.9992112124555369</v>
      </c>
      <c r="Z926" s="73"/>
      <c r="AA926" s="73"/>
      <c r="AB926" s="73"/>
      <c r="AC926" s="73"/>
      <c r="AE926" s="73"/>
      <c r="AF926" s="143"/>
      <c r="AG926" s="143"/>
      <c r="AH926" s="143"/>
      <c r="AI926" s="143"/>
      <c r="AJ926" s="143"/>
      <c r="AK926" s="143"/>
      <c r="AL926" s="143"/>
      <c r="AM926" s="143"/>
      <c r="AN926" s="143"/>
      <c r="AO926" s="143"/>
      <c r="AP926" s="143"/>
      <c r="AQ926" s="143"/>
    </row>
    <row r="927" spans="1:43" ht="15" customHeight="1">
      <c r="A927" s="593" t="str">
        <f>+input!B30</f>
        <v>114j</v>
      </c>
      <c r="B927" s="596">
        <f>IF(B461="Positive",input!DJ30,input!DZ30)</f>
        <v>628.6867517160681</v>
      </c>
      <c r="C927" s="596">
        <f>IF(B461="Positive",input!DK30,input!EA30)</f>
        <v>2233.3132482839319</v>
      </c>
      <c r="D927" s="594">
        <f>input!H30</f>
        <v>30</v>
      </c>
      <c r="E927" s="594">
        <f>input!K30</f>
        <v>32</v>
      </c>
      <c r="F927" s="596">
        <f t="shared" si="35"/>
        <v>2201.3132482839319</v>
      </c>
      <c r="G927" s="850">
        <f>IF(B927-D927&gt;=C927-E927,input!F30*input!G30*input!H30,input!J30*input!K30)</f>
        <v>62080</v>
      </c>
      <c r="H927" s="595">
        <f>MAX(ABS(Stress!F859),ABS(Stress!G859),input!BI30)</f>
        <v>380</v>
      </c>
      <c r="I927" s="595">
        <f>MIN(input!BK30/H927,1)</f>
        <v>0.93421052631578949</v>
      </c>
      <c r="J927" s="595">
        <f>input!N30</f>
        <v>12</v>
      </c>
      <c r="K927" s="595">
        <f t="shared" si="34"/>
        <v>0.85102316299636538</v>
      </c>
      <c r="L927" s="597">
        <f>IF(input!BK30&gt;=input!BI30,1,(12+K927*(3*I927-I927^3))/(12+2*K927))</f>
        <v>0.9992112124555369</v>
      </c>
      <c r="Z927" s="73"/>
      <c r="AA927" s="73"/>
      <c r="AB927" s="73"/>
      <c r="AC927" s="73"/>
      <c r="AE927" s="73"/>
      <c r="AF927" s="143"/>
      <c r="AG927" s="143"/>
      <c r="AH927" s="143"/>
      <c r="AI927" s="143"/>
      <c r="AJ927" s="143"/>
      <c r="AK927" s="143"/>
      <c r="AL927" s="143"/>
      <c r="AM927" s="143"/>
      <c r="AN927" s="143"/>
      <c r="AO927" s="143"/>
      <c r="AP927" s="143"/>
      <c r="AQ927" s="143"/>
    </row>
    <row r="928" spans="1:43" ht="15" customHeight="1">
      <c r="A928" s="593" t="str">
        <f>+input!B31</f>
        <v>115i</v>
      </c>
      <c r="B928" s="596">
        <f>IF(B462="Positive",input!DJ31,input!DZ31)</f>
        <v>473.81649295745774</v>
      </c>
      <c r="C928" s="596">
        <f>IF(B462="Positive",input!DK31,input!EA31)</f>
        <v>2366.1835070425423</v>
      </c>
      <c r="D928" s="594">
        <f>input!H31</f>
        <v>22</v>
      </c>
      <c r="E928" s="594">
        <f>input!K31</f>
        <v>18</v>
      </c>
      <c r="F928" s="596">
        <f t="shared" si="35"/>
        <v>2348.1835070425423</v>
      </c>
      <c r="G928" s="850">
        <f>IF(B928-D928&gt;=C928-E928,input!F31*input!G31*input!H31,input!J31*input!K31)</f>
        <v>34920</v>
      </c>
      <c r="H928" s="595">
        <f>MAX(ABS(Stress!F860),ABS(Stress!G860),input!BI31)</f>
        <v>380</v>
      </c>
      <c r="I928" s="595">
        <f>MIN(input!BK31/H928,1)</f>
        <v>0.93421052631578949</v>
      </c>
      <c r="J928" s="595">
        <f>input!N31</f>
        <v>12</v>
      </c>
      <c r="K928" s="595">
        <f t="shared" si="34"/>
        <v>1.6138718261460772</v>
      </c>
      <c r="L928" s="597">
        <f>IF(input!BK31&gt;=input!BI31,1,(12+K928*(3*I928-I928^3))/(12+2*K928))</f>
        <v>0.99865402318905505</v>
      </c>
      <c r="Z928" s="73"/>
      <c r="AA928" s="73"/>
      <c r="AB928" s="73"/>
      <c r="AC928" s="73"/>
      <c r="AE928" s="73"/>
      <c r="AF928" s="143"/>
      <c r="AG928" s="143"/>
      <c r="AH928" s="143"/>
      <c r="AI928" s="143"/>
      <c r="AJ928" s="143"/>
      <c r="AK928" s="143"/>
      <c r="AL928" s="143"/>
      <c r="AM928" s="143"/>
      <c r="AN928" s="143"/>
      <c r="AO928" s="143"/>
      <c r="AP928" s="143"/>
      <c r="AQ928" s="143"/>
    </row>
    <row r="929" spans="1:43" ht="15" customHeight="1">
      <c r="A929" s="593" t="str">
        <f>+input!B32</f>
        <v>115j</v>
      </c>
      <c r="B929" s="596">
        <f>IF(B463="Positive",input!DJ32,input!DZ32)</f>
        <v>1453.8294571168058</v>
      </c>
      <c r="C929" s="596">
        <f>IF(B463="Positive",input!DK32,input!EA32)</f>
        <v>1386.1705428831942</v>
      </c>
      <c r="D929" s="594">
        <f>input!H32</f>
        <v>22</v>
      </c>
      <c r="E929" s="594">
        <f>input!K32</f>
        <v>18</v>
      </c>
      <c r="F929" s="596">
        <f t="shared" si="35"/>
        <v>1431.8294571168058</v>
      </c>
      <c r="G929" s="850">
        <f>IF(B929-D929&gt;=C929-E929,input!F32*input!G32*input!H32,input!J32*input!K32)</f>
        <v>22000</v>
      </c>
      <c r="H929" s="595">
        <f>MAX(ABS(Stress!F861),ABS(Stress!G861),input!BI32)</f>
        <v>380</v>
      </c>
      <c r="I929" s="595">
        <f>MIN(input!BK32/H929,1)</f>
        <v>0.93421052631578949</v>
      </c>
      <c r="J929" s="595">
        <f>input!N32</f>
        <v>12</v>
      </c>
      <c r="K929" s="595">
        <f t="shared" si="34"/>
        <v>1.5619957714001516</v>
      </c>
      <c r="L929" s="597">
        <f>IF(input!BK32&gt;=input!BI32,1,(12+K929*(3*I929-I929^3))/(12+2*K929))</f>
        <v>0.9986883513310395</v>
      </c>
      <c r="Z929" s="73"/>
      <c r="AA929" s="73"/>
      <c r="AB929" s="73"/>
      <c r="AC929" s="73"/>
      <c r="AE929" s="73"/>
      <c r="AF929" s="143"/>
      <c r="AG929" s="143"/>
      <c r="AH929" s="143"/>
      <c r="AI929" s="143"/>
      <c r="AJ929" s="143"/>
      <c r="AK929" s="143"/>
      <c r="AL929" s="143"/>
      <c r="AM929" s="143"/>
      <c r="AN929" s="143"/>
      <c r="AO929" s="143"/>
      <c r="AP929" s="143"/>
      <c r="AQ929" s="143"/>
    </row>
    <row r="930" spans="1:43" ht="15" customHeight="1">
      <c r="A930" s="593" t="str">
        <f>+input!B33</f>
        <v>116i</v>
      </c>
      <c r="B930" s="596">
        <f>IF(B464="Positive",input!DJ33,input!DZ33)</f>
        <v>1481.7529632923504</v>
      </c>
      <c r="C930" s="596">
        <f>IF(B464="Positive",input!DK33,input!EA33)</f>
        <v>1382.2470367076496</v>
      </c>
      <c r="D930" s="594">
        <f>input!H33</f>
        <v>26</v>
      </c>
      <c r="E930" s="594">
        <f>input!K33</f>
        <v>24</v>
      </c>
      <c r="F930" s="596">
        <f t="shared" si="35"/>
        <v>1455.7529632923504</v>
      </c>
      <c r="G930" s="850">
        <f>IF(B930-D930&gt;=C930-E930,input!F33*input!G33*input!H33,input!J33*input!K33)</f>
        <v>31200</v>
      </c>
      <c r="H930" s="595">
        <f>MAX(ABS(Stress!F862),ABS(Stress!G862),input!BI33)</f>
        <v>380</v>
      </c>
      <c r="I930" s="595">
        <f>MIN(input!BK33/H930,1)</f>
        <v>0.93421052631578949</v>
      </c>
      <c r="J930" s="595">
        <f>input!N33</f>
        <v>12</v>
      </c>
      <c r="K930" s="595">
        <f t="shared" si="34"/>
        <v>1.1198099717633463</v>
      </c>
      <c r="L930" s="597">
        <f>IF(input!BK33&gt;=input!BI33,1,(12+K930*(3*I930-I930^3))/(12+2*K930))</f>
        <v>0.9990012655574797</v>
      </c>
      <c r="Z930" s="73"/>
      <c r="AA930" s="73"/>
      <c r="AB930" s="73"/>
      <c r="AC930" s="73"/>
      <c r="AE930" s="73"/>
      <c r="AF930" s="143"/>
      <c r="AG930" s="143"/>
      <c r="AH930" s="143"/>
      <c r="AI930" s="143"/>
      <c r="AJ930" s="143"/>
      <c r="AK930" s="143"/>
      <c r="AL930" s="143"/>
      <c r="AM930" s="143"/>
      <c r="AN930" s="143"/>
      <c r="AO930" s="143"/>
      <c r="AP930" s="143"/>
      <c r="AQ930" s="143"/>
    </row>
    <row r="931" spans="1:43" ht="15" customHeight="1">
      <c r="A931" s="593" t="str">
        <f>+input!B34</f>
        <v>116j</v>
      </c>
      <c r="B931" s="596">
        <f>IF(B465="Positive",input!DJ34,input!DZ34)</f>
        <v>1481.7529632923504</v>
      </c>
      <c r="C931" s="596">
        <f>IF(B465="Positive",input!DK34,input!EA34)</f>
        <v>1382.2470367076496</v>
      </c>
      <c r="D931" s="594">
        <f>input!H34</f>
        <v>26</v>
      </c>
      <c r="E931" s="594">
        <f>input!K34</f>
        <v>24</v>
      </c>
      <c r="F931" s="596">
        <f t="shared" si="35"/>
        <v>1455.7529632923504</v>
      </c>
      <c r="G931" s="850">
        <f>IF(B931-D931&gt;=C931-E931,input!F34*input!G34*input!H34,input!J34*input!K34)</f>
        <v>31200</v>
      </c>
      <c r="H931" s="595">
        <f>MAX(ABS(Stress!F863),ABS(Stress!G863),input!BI34)</f>
        <v>380</v>
      </c>
      <c r="I931" s="595">
        <f>MIN(input!BK34/H931,1)</f>
        <v>0.93421052631578949</v>
      </c>
      <c r="J931" s="595">
        <f>input!N34</f>
        <v>12</v>
      </c>
      <c r="K931" s="595">
        <f t="shared" si="34"/>
        <v>1.1198099717633463</v>
      </c>
      <c r="L931" s="597">
        <f>IF(input!BK34&gt;=input!BI34,1,(12+K931*(3*I931-I931^3))/(12+2*K931))</f>
        <v>0.9990012655574797</v>
      </c>
      <c r="Z931" s="73"/>
      <c r="AA931" s="73"/>
      <c r="AB931" s="73"/>
      <c r="AC931" s="73"/>
      <c r="AE931" s="73"/>
      <c r="AF931" s="143"/>
      <c r="AG931" s="143"/>
      <c r="AH931" s="143"/>
      <c r="AI931" s="143"/>
      <c r="AJ931" s="143"/>
      <c r="AK931" s="143"/>
      <c r="AL931" s="143"/>
      <c r="AM931" s="143"/>
      <c r="AN931" s="143"/>
      <c r="AO931" s="143"/>
      <c r="AP931" s="143"/>
      <c r="AQ931" s="143"/>
    </row>
    <row r="932" spans="1:43" ht="15" customHeight="1">
      <c r="A932" s="593" t="str">
        <f>+input!B35</f>
        <v>117i</v>
      </c>
      <c r="B932" s="596">
        <f>IF(B466="Positive",input!DJ35,input!DZ35)</f>
        <v>1878.7990093436404</v>
      </c>
      <c r="C932" s="596">
        <f>IF(B466="Positive",input!DK35,input!EA35)</f>
        <v>1109.2009906563596</v>
      </c>
      <c r="D932" s="594">
        <f>input!H35</f>
        <v>36</v>
      </c>
      <c r="E932" s="594">
        <f>input!K35</f>
        <v>28</v>
      </c>
      <c r="F932" s="596">
        <f t="shared" ref="F932:F961" si="36">MAX(B932-D932,C932-E932)</f>
        <v>1842.7990093436404</v>
      </c>
      <c r="G932" s="850">
        <f>IF(B932-D932&gt;=C932-E932,input!F35*input!G35*input!H35,input!J35*input!K35)</f>
        <v>57600</v>
      </c>
      <c r="H932" s="595">
        <f>MAX(ABS(Stress!F864),ABS(Stress!G864),input!BI35)</f>
        <v>380</v>
      </c>
      <c r="I932" s="595">
        <f>MIN(input!BK35/H932,1)</f>
        <v>0.93421052631578949</v>
      </c>
      <c r="J932" s="595">
        <f>input!N35</f>
        <v>12</v>
      </c>
      <c r="K932" s="595">
        <f t="shared" ref="K932:K961" si="37">2*F932*J932/G932</f>
        <v>0.7678329205598502</v>
      </c>
      <c r="L932" s="597">
        <f>IF(input!BK35&gt;=input!BI35,1,(12+K932*(3*I932-I932^3))/(12+2*K932))</f>
        <v>0.99927957097925801</v>
      </c>
      <c r="Z932" s="73"/>
      <c r="AA932" s="73"/>
      <c r="AB932" s="73"/>
      <c r="AC932" s="73"/>
      <c r="AE932" s="73"/>
      <c r="AF932" s="143"/>
      <c r="AG932" s="143"/>
      <c r="AH932" s="143"/>
      <c r="AI932" s="143"/>
      <c r="AJ932" s="143"/>
      <c r="AK932" s="143"/>
      <c r="AL932" s="143"/>
      <c r="AM932" s="143"/>
      <c r="AN932" s="143"/>
      <c r="AO932" s="143"/>
      <c r="AP932" s="143"/>
      <c r="AQ932" s="143"/>
    </row>
    <row r="933" spans="1:43" ht="15" customHeight="1">
      <c r="A933" s="593" t="str">
        <f>+input!B36</f>
        <v>117j</v>
      </c>
      <c r="B933" s="596">
        <f>IF(B467="Positive",input!DJ36,input!DZ36)</f>
        <v>1878.7990093436404</v>
      </c>
      <c r="C933" s="596">
        <f>IF(B467="Positive",input!DK36,input!EA36)</f>
        <v>1109.2009906563596</v>
      </c>
      <c r="D933" s="594">
        <f>input!H36</f>
        <v>36</v>
      </c>
      <c r="E933" s="594">
        <f>input!K36</f>
        <v>28</v>
      </c>
      <c r="F933" s="596">
        <f t="shared" si="36"/>
        <v>1842.7990093436404</v>
      </c>
      <c r="G933" s="850">
        <f>IF(B933-D933&gt;=C933-E933,input!F36*input!G36*input!H36,input!J36*input!K36)</f>
        <v>57600</v>
      </c>
      <c r="H933" s="595">
        <f>MAX(ABS(Stress!F865),ABS(Stress!G865),input!BI36)</f>
        <v>380</v>
      </c>
      <c r="I933" s="595">
        <f>MIN(input!BK36/H933,1)</f>
        <v>0.93421052631578949</v>
      </c>
      <c r="J933" s="595">
        <f>input!N36</f>
        <v>12</v>
      </c>
      <c r="K933" s="595">
        <f t="shared" si="37"/>
        <v>0.7678329205598502</v>
      </c>
      <c r="L933" s="597">
        <f>IF(input!BK36&gt;=input!BI36,1,(12+K933*(3*I933-I933^3))/(12+2*K933))</f>
        <v>0.99927957097925801</v>
      </c>
      <c r="Z933" s="73"/>
      <c r="AA933" s="73"/>
      <c r="AB933" s="73"/>
      <c r="AC933" s="73"/>
      <c r="AE933" s="73"/>
      <c r="AF933" s="143"/>
      <c r="AG933" s="143"/>
      <c r="AH933" s="143"/>
      <c r="AI933" s="143"/>
      <c r="AJ933" s="143"/>
      <c r="AK933" s="143"/>
      <c r="AL933" s="143"/>
      <c r="AM933" s="143"/>
      <c r="AN933" s="143"/>
      <c r="AO933" s="143"/>
      <c r="AP933" s="143"/>
      <c r="AQ933" s="143"/>
    </row>
    <row r="934" spans="1:43" ht="15" customHeight="1">
      <c r="A934" s="593" t="str">
        <f>+input!B37</f>
        <v>118i</v>
      </c>
      <c r="B934" s="596">
        <f>IF(B468="Positive",input!DJ37,input!DZ37)</f>
        <v>1793.7637850793956</v>
      </c>
      <c r="C934" s="596">
        <f>IF(B468="Positive",input!DK37,input!EA37)</f>
        <v>1379.2362149206044</v>
      </c>
      <c r="D934" s="594">
        <f>input!H37</f>
        <v>40</v>
      </c>
      <c r="E934" s="594">
        <f>input!K37</f>
        <v>30</v>
      </c>
      <c r="F934" s="596">
        <f t="shared" si="36"/>
        <v>1753.7637850793956</v>
      </c>
      <c r="G934" s="850">
        <f>IF(B934-D934&gt;=C934-E934,input!F37*input!G37*input!H37,input!J37*input!K37)</f>
        <v>116000</v>
      </c>
      <c r="H934" s="595">
        <f>MAX(ABS(Stress!F866),ABS(Stress!G866),input!BI37)</f>
        <v>380</v>
      </c>
      <c r="I934" s="595">
        <f>MIN(input!BK37/H934,1)</f>
        <v>0.93421052631578949</v>
      </c>
      <c r="J934" s="595">
        <f>input!N37</f>
        <v>14</v>
      </c>
      <c r="K934" s="595">
        <f t="shared" si="37"/>
        <v>0.42332229295019891</v>
      </c>
      <c r="L934" s="597">
        <f>IF(input!BK37&gt;=input!BI37,1,(12+K934*(3*I934-I934^3))/(12+2*K934))</f>
        <v>0.99958150957525504</v>
      </c>
      <c r="Z934" s="73"/>
      <c r="AA934" s="73"/>
      <c r="AB934" s="73"/>
      <c r="AC934" s="73"/>
      <c r="AE934" s="73"/>
      <c r="AF934" s="143"/>
      <c r="AG934" s="143"/>
      <c r="AH934" s="143"/>
      <c r="AI934" s="143"/>
      <c r="AJ934" s="143"/>
      <c r="AK934" s="143"/>
      <c r="AL934" s="143"/>
      <c r="AM934" s="143"/>
      <c r="AN934" s="143"/>
      <c r="AO934" s="143"/>
      <c r="AP934" s="143"/>
      <c r="AQ934" s="143"/>
    </row>
    <row r="935" spans="1:43" ht="15" customHeight="1">
      <c r="A935" s="593" t="str">
        <f>+input!B38</f>
        <v>118j</v>
      </c>
      <c r="B935" s="596">
        <f>IF(B469="Positive",input!DJ38,input!DZ38)</f>
        <v>1793.7637850793956</v>
      </c>
      <c r="C935" s="596">
        <f>IF(B469="Positive",input!DK38,input!EA38)</f>
        <v>1379.2362149206044</v>
      </c>
      <c r="D935" s="594">
        <f>input!H38</f>
        <v>40</v>
      </c>
      <c r="E935" s="594">
        <f>input!K38</f>
        <v>30</v>
      </c>
      <c r="F935" s="596">
        <f t="shared" si="36"/>
        <v>1753.7637850793956</v>
      </c>
      <c r="G935" s="850">
        <f>IF(B935-D935&gt;=C935-E935,input!F38*input!G38*input!H38,input!J38*input!K38)</f>
        <v>116000</v>
      </c>
      <c r="H935" s="595">
        <f>MAX(ABS(Stress!F867),ABS(Stress!G867),input!BI38)</f>
        <v>380</v>
      </c>
      <c r="I935" s="595">
        <f>MIN(input!BK38/H935,1)</f>
        <v>0.93421052631578949</v>
      </c>
      <c r="J935" s="595">
        <f>input!N38</f>
        <v>14</v>
      </c>
      <c r="K935" s="595">
        <f t="shared" si="37"/>
        <v>0.42332229295019891</v>
      </c>
      <c r="L935" s="597">
        <f>IF(input!BK38&gt;=input!BI38,1,(12+K935*(3*I935-I935^3))/(12+2*K935))</f>
        <v>0.99958150957525504</v>
      </c>
      <c r="Z935" s="73"/>
      <c r="AA935" s="73"/>
      <c r="AB935" s="73"/>
      <c r="AC935" s="73"/>
      <c r="AE935" s="73"/>
      <c r="AF935" s="143"/>
      <c r="AG935" s="143"/>
      <c r="AH935" s="143"/>
      <c r="AI935" s="143"/>
      <c r="AJ935" s="143"/>
      <c r="AK935" s="143"/>
      <c r="AL935" s="143"/>
      <c r="AM935" s="143"/>
      <c r="AN935" s="143"/>
      <c r="AO935" s="143"/>
      <c r="AP935" s="143"/>
      <c r="AQ935" s="143"/>
    </row>
    <row r="936" spans="1:43" ht="15" customHeight="1">
      <c r="A936" s="593" t="str">
        <f>+input!B39</f>
        <v>119i</v>
      </c>
      <c r="B936" s="596">
        <f>IF(B470="Positive",input!DJ39,input!DZ39)</f>
        <v>1892.4928954468974</v>
      </c>
      <c r="C936" s="596">
        <f>IF(B470="Positive",input!DK39,input!EA39)</f>
        <v>1377.5071045531026</v>
      </c>
      <c r="D936" s="594">
        <f>input!H39</f>
        <v>40</v>
      </c>
      <c r="E936" s="594">
        <f>input!K39</f>
        <v>30</v>
      </c>
      <c r="F936" s="596">
        <f t="shared" si="36"/>
        <v>1852.4928954468974</v>
      </c>
      <c r="G936" s="850">
        <f>IF(B936-D936&gt;=C936-E936,input!F39*input!G39*input!H39,input!J39*input!K39)</f>
        <v>116000</v>
      </c>
      <c r="H936" s="595">
        <f>MAX(ABS(Stress!F868),ABS(Stress!G868),input!BI39)</f>
        <v>380</v>
      </c>
      <c r="I936" s="595">
        <f>MIN(input!BK39/H936,1)</f>
        <v>0.93421052631578949</v>
      </c>
      <c r="J936" s="595">
        <f>input!N39</f>
        <v>14</v>
      </c>
      <c r="K936" s="595">
        <f t="shared" si="37"/>
        <v>0.44715345752166485</v>
      </c>
      <c r="L936" s="597">
        <f>IF(input!BK39&gt;=input!BI39,1,(12+K936*(3*I936-I936^3))/(12+2*K936))</f>
        <v>0.99955958440904513</v>
      </c>
      <c r="Z936" s="73"/>
      <c r="AA936" s="73"/>
      <c r="AB936" s="73"/>
      <c r="AC936" s="73"/>
      <c r="AE936" s="73"/>
      <c r="AF936" s="143"/>
      <c r="AG936" s="143"/>
      <c r="AH936" s="143"/>
      <c r="AI936" s="143"/>
      <c r="AJ936" s="143"/>
      <c r="AK936" s="143"/>
      <c r="AL936" s="143"/>
      <c r="AM936" s="143"/>
      <c r="AN936" s="143"/>
      <c r="AO936" s="143"/>
      <c r="AP936" s="143"/>
      <c r="AQ936" s="143"/>
    </row>
    <row r="937" spans="1:43" ht="15" customHeight="1">
      <c r="A937" s="593" t="str">
        <f>+input!B40</f>
        <v>119j</v>
      </c>
      <c r="B937" s="596">
        <f>IF(B471="Positive",input!DJ40,input!DZ40)</f>
        <v>1892.4928954468974</v>
      </c>
      <c r="C937" s="596">
        <f>IF(B471="Positive",input!DK40,input!EA40)</f>
        <v>1377.5071045531026</v>
      </c>
      <c r="D937" s="594">
        <f>input!H40</f>
        <v>40</v>
      </c>
      <c r="E937" s="594">
        <f>input!K40</f>
        <v>30</v>
      </c>
      <c r="F937" s="596">
        <f t="shared" si="36"/>
        <v>1852.4928954468974</v>
      </c>
      <c r="G937" s="850">
        <f>IF(B937-D937&gt;=C937-E937,input!F40*input!G40*input!H40,input!J40*input!K40)</f>
        <v>116000</v>
      </c>
      <c r="H937" s="595">
        <f>MAX(ABS(Stress!F869),ABS(Stress!G869),input!BI40)</f>
        <v>380</v>
      </c>
      <c r="I937" s="595">
        <f>MIN(input!BK40/H937,1)</f>
        <v>0.93421052631578949</v>
      </c>
      <c r="J937" s="595">
        <f>input!N40</f>
        <v>14</v>
      </c>
      <c r="K937" s="595">
        <f t="shared" si="37"/>
        <v>0.44715345752166485</v>
      </c>
      <c r="L937" s="597">
        <f>IF(input!BK40&gt;=input!BI40,1,(12+K937*(3*I937-I937^3))/(12+2*K937))</f>
        <v>0.99955958440904513</v>
      </c>
      <c r="Z937" s="73"/>
      <c r="AA937" s="73"/>
      <c r="AB937" s="73"/>
      <c r="AC937" s="73"/>
      <c r="AE937" s="73"/>
      <c r="AF937" s="143"/>
      <c r="AG937" s="143"/>
      <c r="AH937" s="143"/>
      <c r="AI937" s="143"/>
      <c r="AJ937" s="143"/>
      <c r="AK937" s="143"/>
      <c r="AL937" s="143"/>
      <c r="AM937" s="143"/>
      <c r="AN937" s="143"/>
      <c r="AO937" s="143"/>
      <c r="AP937" s="143"/>
      <c r="AQ937" s="143"/>
    </row>
    <row r="938" spans="1:43" ht="15" customHeight="1">
      <c r="A938" s="593" t="str">
        <f>+input!B41</f>
        <v>120i</v>
      </c>
      <c r="B938" s="596">
        <f>IF(B472="Positive",input!DJ41,input!DZ41)</f>
        <v>1892.4928954468974</v>
      </c>
      <c r="C938" s="596">
        <f>IF(B472="Positive",input!DK41,input!EA41)</f>
        <v>1377.5071045531026</v>
      </c>
      <c r="D938" s="594">
        <f>input!H41</f>
        <v>40</v>
      </c>
      <c r="E938" s="594">
        <f>input!K41</f>
        <v>30</v>
      </c>
      <c r="F938" s="596">
        <f t="shared" si="36"/>
        <v>1852.4928954468974</v>
      </c>
      <c r="G938" s="850">
        <f>IF(B938-D938&gt;=C938-E938,input!F41*input!G41*input!H41,input!J41*input!K41)</f>
        <v>116000</v>
      </c>
      <c r="H938" s="595">
        <f>MAX(ABS(Stress!F870),ABS(Stress!G870),input!BI41)</f>
        <v>380</v>
      </c>
      <c r="I938" s="595">
        <f>MIN(input!BK41/H938,1)</f>
        <v>0.93421052631578949</v>
      </c>
      <c r="J938" s="595">
        <f>input!N41</f>
        <v>14</v>
      </c>
      <c r="K938" s="595">
        <f t="shared" si="37"/>
        <v>0.44715345752166485</v>
      </c>
      <c r="L938" s="597">
        <f>IF(input!BK41&gt;=input!BI41,1,(12+K938*(3*I938-I938^3))/(12+2*K938))</f>
        <v>0.99955958440904513</v>
      </c>
      <c r="Z938" s="73"/>
      <c r="AA938" s="73"/>
      <c r="AB938" s="73"/>
      <c r="AC938" s="73"/>
      <c r="AE938" s="73"/>
      <c r="AF938" s="143"/>
      <c r="AG938" s="143"/>
      <c r="AH938" s="143"/>
      <c r="AI938" s="143"/>
      <c r="AJ938" s="143"/>
      <c r="AK938" s="143"/>
      <c r="AL938" s="143"/>
      <c r="AM938" s="143"/>
      <c r="AN938" s="143"/>
      <c r="AO938" s="143"/>
      <c r="AP938" s="143"/>
      <c r="AQ938" s="143"/>
    </row>
    <row r="939" spans="1:43" ht="15" customHeight="1">
      <c r="A939" s="593" t="str">
        <f>+input!B42</f>
        <v>120j</v>
      </c>
      <c r="B939" s="596">
        <f>IF(B473="Positive",input!DJ42,input!DZ42)</f>
        <v>1892.4928954468974</v>
      </c>
      <c r="C939" s="596">
        <f>IF(B473="Positive",input!DK42,input!EA42)</f>
        <v>1377.5071045531026</v>
      </c>
      <c r="D939" s="594">
        <f>input!H42</f>
        <v>40</v>
      </c>
      <c r="E939" s="594">
        <f>input!K42</f>
        <v>30</v>
      </c>
      <c r="F939" s="596">
        <f t="shared" si="36"/>
        <v>1852.4928954468974</v>
      </c>
      <c r="G939" s="850">
        <f>IF(B939-D939&gt;=C939-E939,input!F42*input!G42*input!H42,input!J42*input!K42)</f>
        <v>116000</v>
      </c>
      <c r="H939" s="595">
        <f>MAX(ABS(Stress!F871),ABS(Stress!G871),input!BI42)</f>
        <v>380</v>
      </c>
      <c r="I939" s="595">
        <f>MIN(input!BK42/H939,1)</f>
        <v>0.93421052631578949</v>
      </c>
      <c r="J939" s="595">
        <f>input!N42</f>
        <v>14</v>
      </c>
      <c r="K939" s="595">
        <f t="shared" si="37"/>
        <v>0.44715345752166485</v>
      </c>
      <c r="L939" s="597">
        <f>IF(input!BK42&gt;=input!BI42,1,(12+K939*(3*I939-I939^3))/(12+2*K939))</f>
        <v>0.99955958440904513</v>
      </c>
      <c r="Z939" s="73"/>
      <c r="AA939" s="73"/>
      <c r="AB939" s="73"/>
      <c r="AC939" s="73"/>
      <c r="AE939" s="73"/>
      <c r="AF939" s="143"/>
      <c r="AG939" s="143"/>
      <c r="AH939" s="143"/>
      <c r="AI939" s="143"/>
      <c r="AJ939" s="143"/>
      <c r="AK939" s="143"/>
      <c r="AL939" s="143"/>
      <c r="AM939" s="143"/>
      <c r="AN939" s="143"/>
      <c r="AO939" s="143"/>
      <c r="AP939" s="143"/>
      <c r="AQ939" s="143"/>
    </row>
    <row r="940" spans="1:43" ht="15" customHeight="1">
      <c r="A940" s="593" t="str">
        <f>+input!B43</f>
        <v>121i</v>
      </c>
      <c r="B940" s="596">
        <f>IF(B474="Positive",input!DJ43,input!DZ43)</f>
        <v>1793.7637850793956</v>
      </c>
      <c r="C940" s="596">
        <f>IF(B474="Positive",input!DK43,input!EA43)</f>
        <v>1379.2362149206044</v>
      </c>
      <c r="D940" s="594">
        <f>input!H43</f>
        <v>40</v>
      </c>
      <c r="E940" s="594">
        <f>input!K43</f>
        <v>30</v>
      </c>
      <c r="F940" s="596">
        <f t="shared" si="36"/>
        <v>1753.7637850793956</v>
      </c>
      <c r="G940" s="850">
        <f>IF(B940-D940&gt;=C940-E940,input!F43*input!G43*input!H43,input!J43*input!K43)</f>
        <v>116000</v>
      </c>
      <c r="H940" s="595">
        <f>MAX(ABS(Stress!F872),ABS(Stress!G872),input!BI43)</f>
        <v>380</v>
      </c>
      <c r="I940" s="595">
        <f>MIN(input!BK43/H940,1)</f>
        <v>0.93421052631578949</v>
      </c>
      <c r="J940" s="595">
        <f>input!N43</f>
        <v>14</v>
      </c>
      <c r="K940" s="595">
        <f t="shared" si="37"/>
        <v>0.42332229295019891</v>
      </c>
      <c r="L940" s="597">
        <f>IF(input!BK43&gt;=input!BI43,1,(12+K940*(3*I940-I940^3))/(12+2*K940))</f>
        <v>0.99958150957525504</v>
      </c>
      <c r="Z940" s="73"/>
      <c r="AA940" s="73"/>
      <c r="AB940" s="73"/>
      <c r="AC940" s="73"/>
      <c r="AE940" s="73"/>
      <c r="AF940" s="143"/>
      <c r="AG940" s="143"/>
      <c r="AH940" s="143"/>
      <c r="AI940" s="143"/>
      <c r="AJ940" s="143"/>
      <c r="AK940" s="143"/>
      <c r="AL940" s="143"/>
      <c r="AM940" s="143"/>
      <c r="AN940" s="143"/>
      <c r="AO940" s="143"/>
      <c r="AP940" s="143"/>
      <c r="AQ940" s="143"/>
    </row>
    <row r="941" spans="1:43" ht="15" customHeight="1">
      <c r="A941" s="593" t="str">
        <f>+input!B44</f>
        <v>121j</v>
      </c>
      <c r="B941" s="596">
        <f>IF(B475="Positive",input!DJ44,input!DZ44)</f>
        <v>1793.7637850793956</v>
      </c>
      <c r="C941" s="596">
        <f>IF(B475="Positive",input!DK44,input!EA44)</f>
        <v>1379.2362149206044</v>
      </c>
      <c r="D941" s="594">
        <f>input!H44</f>
        <v>40</v>
      </c>
      <c r="E941" s="594">
        <f>input!K44</f>
        <v>30</v>
      </c>
      <c r="F941" s="596">
        <f t="shared" si="36"/>
        <v>1753.7637850793956</v>
      </c>
      <c r="G941" s="850">
        <f>IF(B941-D941&gt;=C941-E941,input!F44*input!G44*input!H44,input!J44*input!K44)</f>
        <v>116000</v>
      </c>
      <c r="H941" s="595">
        <f>MAX(ABS(Stress!F873),ABS(Stress!G873),input!BI44)</f>
        <v>380</v>
      </c>
      <c r="I941" s="595">
        <f>MIN(input!BK44/H941,1)</f>
        <v>0.93421052631578949</v>
      </c>
      <c r="J941" s="595">
        <f>input!N44</f>
        <v>14</v>
      </c>
      <c r="K941" s="595">
        <f t="shared" si="37"/>
        <v>0.42332229295019891</v>
      </c>
      <c r="L941" s="597">
        <f>IF(input!BK44&gt;=input!BI44,1,(12+K941*(3*I941-I941^3))/(12+2*K941))</f>
        <v>0.99958150957525504</v>
      </c>
      <c r="Z941" s="73"/>
      <c r="AA941" s="73"/>
      <c r="AB941" s="73"/>
      <c r="AC941" s="73"/>
      <c r="AE941" s="73"/>
      <c r="AF941" s="143"/>
      <c r="AG941" s="143"/>
      <c r="AH941" s="143"/>
      <c r="AI941" s="143"/>
      <c r="AJ941" s="143"/>
      <c r="AK941" s="143"/>
      <c r="AL941" s="143"/>
      <c r="AM941" s="143"/>
      <c r="AN941" s="143"/>
      <c r="AO941" s="143"/>
      <c r="AP941" s="143"/>
      <c r="AQ941" s="143"/>
    </row>
    <row r="942" spans="1:43" ht="15" customHeight="1">
      <c r="A942" s="593" t="str">
        <f>+input!B45</f>
        <v>122i</v>
      </c>
      <c r="B942" s="596">
        <f>IF(B476="Positive",input!DJ45,input!DZ45)</f>
        <v>1858.2110394410092</v>
      </c>
      <c r="C942" s="596">
        <f>IF(B476="Positive",input!DK45,input!EA45)</f>
        <v>1135.7889605589908</v>
      </c>
      <c r="D942" s="594">
        <f>input!H45</f>
        <v>40</v>
      </c>
      <c r="E942" s="594">
        <f>input!K45</f>
        <v>30</v>
      </c>
      <c r="F942" s="596">
        <f t="shared" si="36"/>
        <v>1818.2110394410092</v>
      </c>
      <c r="G942" s="850">
        <f>IF(B942-D942&gt;=C942-E942,input!F45*input!G45*input!H45,input!J45*input!K45)</f>
        <v>64000</v>
      </c>
      <c r="H942" s="595">
        <f>MAX(ABS(Stress!F874),ABS(Stress!G874),input!BI45)</f>
        <v>380</v>
      </c>
      <c r="I942" s="595">
        <f>MIN(input!BK45/H942,1)</f>
        <v>0.93421052631578949</v>
      </c>
      <c r="J942" s="595">
        <f>input!N45</f>
        <v>12</v>
      </c>
      <c r="K942" s="595">
        <f t="shared" si="37"/>
        <v>0.68182913979037851</v>
      </c>
      <c r="L942" s="597">
        <f>IF(input!BK45&gt;=input!BI45,1,(12+K942*(3*I942-I942^3))/(12+2*K942))</f>
        <v>0.99935203090728109</v>
      </c>
      <c r="Z942" s="73"/>
      <c r="AA942" s="73"/>
      <c r="AB942" s="73"/>
      <c r="AC942" s="73"/>
      <c r="AE942" s="73"/>
      <c r="AF942" s="143"/>
      <c r="AG942" s="143"/>
      <c r="AH942" s="143"/>
      <c r="AI942" s="143"/>
      <c r="AJ942" s="143"/>
      <c r="AK942" s="143"/>
      <c r="AL942" s="143"/>
      <c r="AM942" s="143"/>
      <c r="AN942" s="143"/>
      <c r="AO942" s="143"/>
      <c r="AP942" s="143"/>
      <c r="AQ942" s="143"/>
    </row>
    <row r="943" spans="1:43" ht="15" customHeight="1">
      <c r="A943" s="593" t="str">
        <f>+input!B46</f>
        <v>122j</v>
      </c>
      <c r="B943" s="596">
        <f>IF(B477="Positive",input!DJ46,input!DZ46)</f>
        <v>1858.2110394410092</v>
      </c>
      <c r="C943" s="596">
        <f>IF(B477="Positive",input!DK46,input!EA46)</f>
        <v>1135.7889605589908</v>
      </c>
      <c r="D943" s="594">
        <f>input!H46</f>
        <v>40</v>
      </c>
      <c r="E943" s="594">
        <f>input!K46</f>
        <v>30</v>
      </c>
      <c r="F943" s="596">
        <f t="shared" si="36"/>
        <v>1818.2110394410092</v>
      </c>
      <c r="G943" s="850">
        <f>IF(B943-D943&gt;=C943-E943,input!F46*input!G46*input!H46,input!J46*input!K46)</f>
        <v>64000</v>
      </c>
      <c r="H943" s="595">
        <f>MAX(ABS(Stress!F875),ABS(Stress!G875),input!BI46)</f>
        <v>380</v>
      </c>
      <c r="I943" s="595">
        <f>MIN(input!BK46/H943,1)</f>
        <v>0.93421052631578949</v>
      </c>
      <c r="J943" s="595">
        <f>input!N46</f>
        <v>12</v>
      </c>
      <c r="K943" s="595">
        <f t="shared" si="37"/>
        <v>0.68182913979037851</v>
      </c>
      <c r="L943" s="597">
        <f>IF(input!BK46&gt;=input!BI46,1,(12+K943*(3*I943-I943^3))/(12+2*K943))</f>
        <v>0.99935203090728109</v>
      </c>
      <c r="Z943" s="73"/>
      <c r="AA943" s="73"/>
      <c r="AB943" s="73"/>
      <c r="AC943" s="73"/>
      <c r="AE943" s="73"/>
      <c r="AF943" s="143"/>
      <c r="AG943" s="143"/>
      <c r="AH943" s="143"/>
      <c r="AI943" s="143"/>
      <c r="AJ943" s="143"/>
      <c r="AK943" s="143"/>
      <c r="AL943" s="143"/>
      <c r="AM943" s="143"/>
      <c r="AN943" s="143"/>
      <c r="AO943" s="143"/>
      <c r="AP943" s="143"/>
      <c r="AQ943" s="143"/>
    </row>
    <row r="944" spans="1:43" ht="15" customHeight="1">
      <c r="A944" s="593" t="str">
        <f>+input!B47</f>
        <v>123i</v>
      </c>
      <c r="B944" s="596">
        <f>IF(B478="Positive",input!DJ47,input!DZ47)</f>
        <v>1449.4282395478074</v>
      </c>
      <c r="C944" s="596">
        <f>IF(B478="Positive",input!DK47,input!EA47)</f>
        <v>1434.5717604521926</v>
      </c>
      <c r="D944" s="594">
        <f>input!H47</f>
        <v>40</v>
      </c>
      <c r="E944" s="594">
        <f>input!K47</f>
        <v>30</v>
      </c>
      <c r="F944" s="596">
        <f t="shared" si="36"/>
        <v>1409.4282395478074</v>
      </c>
      <c r="G944" s="850">
        <f>IF(B944-D944&gt;=C944-E944,input!F47*input!G47*input!H47,input!J47*input!K47)</f>
        <v>48000</v>
      </c>
      <c r="H944" s="595">
        <f>MAX(ABS(Stress!F876),ABS(Stress!G876),input!BI47)</f>
        <v>380</v>
      </c>
      <c r="I944" s="595">
        <f>MIN(input!BK47/H944,1)</f>
        <v>0.93421052631578949</v>
      </c>
      <c r="J944" s="595">
        <f>input!N47</f>
        <v>12</v>
      </c>
      <c r="K944" s="595">
        <f t="shared" si="37"/>
        <v>0.70471411977390364</v>
      </c>
      <c r="L944" s="597">
        <f>IF(input!BK47&gt;=input!BI47,1,(12+K944*(3*I944-I944^3))/(12+2*K944))</f>
        <v>0.99933256833423689</v>
      </c>
      <c r="Z944" s="73"/>
      <c r="AA944" s="73"/>
      <c r="AB944" s="73"/>
      <c r="AC944" s="73"/>
      <c r="AE944" s="73"/>
      <c r="AF944" s="143"/>
      <c r="AG944" s="143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</row>
    <row r="945" spans="1:43" ht="15" customHeight="1">
      <c r="A945" s="593" t="str">
        <f>+input!B48</f>
        <v>123j</v>
      </c>
      <c r="B945" s="596">
        <f>IF(B479="Positive",input!DJ48,input!DZ48)</f>
        <v>1449.4282395478074</v>
      </c>
      <c r="C945" s="596">
        <f>IF(B479="Positive",input!DK48,input!EA48)</f>
        <v>1434.5717604521926</v>
      </c>
      <c r="D945" s="594">
        <f>input!H48</f>
        <v>40</v>
      </c>
      <c r="E945" s="594">
        <f>input!K48</f>
        <v>30</v>
      </c>
      <c r="F945" s="596">
        <f t="shared" si="36"/>
        <v>1409.4282395478074</v>
      </c>
      <c r="G945" s="850">
        <f>IF(B945-D945&gt;=C945-E945,input!F48*input!G48*input!H48,input!J48*input!K48)</f>
        <v>48000</v>
      </c>
      <c r="H945" s="595">
        <f>MAX(ABS(Stress!F877),ABS(Stress!G877),input!BI48)</f>
        <v>380</v>
      </c>
      <c r="I945" s="595">
        <f>MIN(input!BK48/H945,1)</f>
        <v>0.93421052631578949</v>
      </c>
      <c r="J945" s="595">
        <f>input!N48</f>
        <v>12</v>
      </c>
      <c r="K945" s="595">
        <f t="shared" si="37"/>
        <v>0.70471411977390364</v>
      </c>
      <c r="L945" s="597">
        <f>IF(input!BK48&gt;=input!BI48,1,(12+K945*(3*I945-I945^3))/(12+2*K945))</f>
        <v>0.99933256833423689</v>
      </c>
      <c r="Z945" s="73"/>
      <c r="AA945" s="73"/>
      <c r="AB945" s="73"/>
      <c r="AC945" s="73"/>
      <c r="AE945" s="73"/>
      <c r="AF945" s="143"/>
      <c r="AG945" s="143"/>
      <c r="AH945" s="143"/>
      <c r="AI945" s="143"/>
      <c r="AJ945" s="143"/>
      <c r="AK945" s="143"/>
      <c r="AL945" s="143"/>
      <c r="AM945" s="143"/>
      <c r="AN945" s="143"/>
      <c r="AO945" s="143"/>
      <c r="AP945" s="143"/>
      <c r="AQ945" s="143"/>
    </row>
    <row r="946" spans="1:43" ht="15" customHeight="1">
      <c r="A946" s="593" t="str">
        <f>+input!B49</f>
        <v>124i</v>
      </c>
      <c r="B946" s="596">
        <f>IF(B480="Positive",input!DJ49,input!DZ49)</f>
        <v>1523.1132530402854</v>
      </c>
      <c r="C946" s="596">
        <f>IF(B480="Positive",input!DK49,input!EA49)</f>
        <v>1326.8867469597146</v>
      </c>
      <c r="D946" s="594">
        <f>input!H49</f>
        <v>26</v>
      </c>
      <c r="E946" s="594">
        <f>input!K49</f>
        <v>24</v>
      </c>
      <c r="F946" s="596">
        <f t="shared" si="36"/>
        <v>1497.1132530402854</v>
      </c>
      <c r="G946" s="850">
        <f>IF(B946-D946&gt;=C946-E946,input!F49*input!G49*input!H49,input!J49*input!K49)</f>
        <v>26000</v>
      </c>
      <c r="H946" s="595">
        <f>MAX(ABS(Stress!F878),ABS(Stress!G878),input!BI49)</f>
        <v>380</v>
      </c>
      <c r="I946" s="595">
        <f>MIN(input!BK49/H946,1)</f>
        <v>0.93421052631578949</v>
      </c>
      <c r="J946" s="595">
        <f>input!N49</f>
        <v>12</v>
      </c>
      <c r="K946" s="595">
        <f t="shared" si="37"/>
        <v>1.3819506951141094</v>
      </c>
      <c r="L946" s="597">
        <f>IF(input!BK49&gt;=input!BI49,1,(12+K946*(3*I946-I946^3))/(12+2*K946))</f>
        <v>0.99881123637478653</v>
      </c>
      <c r="Z946" s="73"/>
      <c r="AA946" s="73"/>
      <c r="AB946" s="73"/>
      <c r="AC946" s="73"/>
      <c r="AE946" s="7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</row>
    <row r="947" spans="1:43" ht="15" customHeight="1">
      <c r="A947" s="593" t="str">
        <f>+input!B50</f>
        <v>124j</v>
      </c>
      <c r="B947" s="596">
        <f>IF(B481="Positive",input!DJ50,input!DZ50)</f>
        <v>1523.1132530402854</v>
      </c>
      <c r="C947" s="596">
        <f>IF(B481="Positive",input!DK50,input!EA50)</f>
        <v>1326.8867469597146</v>
      </c>
      <c r="D947" s="594">
        <f>input!H50</f>
        <v>26</v>
      </c>
      <c r="E947" s="594">
        <f>input!K50</f>
        <v>24</v>
      </c>
      <c r="F947" s="596">
        <f t="shared" si="36"/>
        <v>1497.1132530402854</v>
      </c>
      <c r="G947" s="850">
        <f>IF(B947-D947&gt;=C947-E947,input!F50*input!G50*input!H50,input!J50*input!K50)</f>
        <v>26000</v>
      </c>
      <c r="H947" s="595">
        <f>MAX(ABS(Stress!F879),ABS(Stress!G879),input!BI50)</f>
        <v>380</v>
      </c>
      <c r="I947" s="595">
        <f>MIN(input!BK50/H947,1)</f>
        <v>0.93421052631578949</v>
      </c>
      <c r="J947" s="595">
        <f>input!N50</f>
        <v>12</v>
      </c>
      <c r="K947" s="595">
        <f t="shared" si="37"/>
        <v>1.3819506951141094</v>
      </c>
      <c r="L947" s="597">
        <f>IF(input!BK50&gt;=input!BI50,1,(12+K947*(3*I947-I947^3))/(12+2*K947))</f>
        <v>0.99881123637478653</v>
      </c>
      <c r="Z947" s="73"/>
      <c r="AA947" s="73"/>
      <c r="AB947" s="73"/>
      <c r="AC947" s="73"/>
      <c r="AE947" s="73"/>
      <c r="AF947" s="143"/>
      <c r="AG947" s="143"/>
      <c r="AH947" s="143"/>
      <c r="AI947" s="143"/>
      <c r="AJ947" s="143"/>
      <c r="AK947" s="143"/>
      <c r="AL947" s="143"/>
      <c r="AM947" s="143"/>
      <c r="AN947" s="143"/>
      <c r="AO947" s="143"/>
      <c r="AP947" s="143"/>
      <c r="AQ947" s="143"/>
    </row>
    <row r="948" spans="1:43" ht="15" customHeight="1">
      <c r="A948" s="593" t="str">
        <f>+input!B51</f>
        <v>125i</v>
      </c>
      <c r="B948" s="596">
        <f>IF(B482="Positive",input!DJ51,input!DZ51)</f>
        <v>1453.8294571168058</v>
      </c>
      <c r="C948" s="596">
        <f>IF(B482="Positive",input!DK51,input!EA51)</f>
        <v>1386.1705428831942</v>
      </c>
      <c r="D948" s="594">
        <f>input!H51</f>
        <v>22</v>
      </c>
      <c r="E948" s="594">
        <f>input!K51</f>
        <v>18</v>
      </c>
      <c r="F948" s="596">
        <f t="shared" si="36"/>
        <v>1431.8294571168058</v>
      </c>
      <c r="G948" s="850">
        <f>IF(B948-D948&gt;=C948-E948,input!F51*input!G51*input!H51,input!J51*input!K51)</f>
        <v>22000</v>
      </c>
      <c r="H948" s="595">
        <f>MAX(ABS(Stress!F880),ABS(Stress!G880),input!BI51)</f>
        <v>380</v>
      </c>
      <c r="I948" s="595">
        <f>MIN(input!BK51/H948,1)</f>
        <v>0.93421052631578949</v>
      </c>
      <c r="J948" s="595">
        <f>input!N51</f>
        <v>12</v>
      </c>
      <c r="K948" s="595">
        <f t="shared" si="37"/>
        <v>1.5619957714001516</v>
      </c>
      <c r="L948" s="597">
        <f>IF(input!BK51&gt;=input!BI51,1,(12+K948*(3*I948-I948^3))/(12+2*K948))</f>
        <v>0.9986883513310395</v>
      </c>
      <c r="Z948" s="73"/>
      <c r="AA948" s="73"/>
      <c r="AB948" s="73"/>
      <c r="AC948" s="73"/>
      <c r="AE948" s="73"/>
      <c r="AF948" s="143"/>
      <c r="AG948" s="143"/>
      <c r="AH948" s="143"/>
      <c r="AI948" s="143"/>
      <c r="AJ948" s="143"/>
      <c r="AK948" s="143"/>
      <c r="AL948" s="143"/>
      <c r="AM948" s="143"/>
      <c r="AN948" s="143"/>
      <c r="AO948" s="143"/>
      <c r="AP948" s="143"/>
      <c r="AQ948" s="143"/>
    </row>
    <row r="949" spans="1:43" ht="15" customHeight="1">
      <c r="A949" s="994" t="str">
        <f>+input!B52</f>
        <v>125j</v>
      </c>
      <c r="B949" s="1008">
        <f>IF(B483="Positive",input!DJ52,input!DZ52)</f>
        <v>1453.8294571168058</v>
      </c>
      <c r="C949" s="1008">
        <f>IF(B483="Positive",input!DK52,input!EA52)</f>
        <v>1386.1705428831942</v>
      </c>
      <c r="D949" s="995">
        <f>input!H52</f>
        <v>22</v>
      </c>
      <c r="E949" s="995">
        <f>input!K52</f>
        <v>18</v>
      </c>
      <c r="F949" s="1008">
        <f t="shared" si="36"/>
        <v>1431.8294571168058</v>
      </c>
      <c r="G949" s="1059">
        <f>IF(B949-D949&gt;=C949-E949,input!F52*input!G52*input!H52,input!J52*input!K52)</f>
        <v>22000</v>
      </c>
      <c r="H949" s="595">
        <f>MAX(ABS(Stress!F881),ABS(Stress!G881),input!BI52)</f>
        <v>380</v>
      </c>
      <c r="I949" s="595">
        <f>MIN(input!BK52/H949,1)</f>
        <v>0.93421052631578949</v>
      </c>
      <c r="J949" s="998">
        <f>input!N52</f>
        <v>12</v>
      </c>
      <c r="K949" s="998">
        <f t="shared" si="37"/>
        <v>1.5619957714001516</v>
      </c>
      <c r="L949" s="597">
        <f>IF(input!BK52&gt;=input!BI52,1,(12+K949*(3*I949-I949^3))/(12+2*K949))</f>
        <v>0.9986883513310395</v>
      </c>
      <c r="Z949" s="73"/>
      <c r="AA949" s="73"/>
      <c r="AB949" s="73"/>
      <c r="AC949" s="73"/>
      <c r="AE949" s="73"/>
      <c r="AF949" s="143"/>
      <c r="AG949" s="143"/>
      <c r="AH949" s="143"/>
      <c r="AI949" s="143"/>
      <c r="AJ949" s="143"/>
      <c r="AK949" s="143"/>
      <c r="AL949" s="143"/>
      <c r="AM949" s="143"/>
      <c r="AN949" s="143"/>
      <c r="AO949" s="143"/>
      <c r="AP949" s="143"/>
      <c r="AQ949" s="143"/>
    </row>
    <row r="950" spans="1:43" ht="15" customHeight="1">
      <c r="A950" s="1000" t="str">
        <f>+input!B53</f>
        <v>126i</v>
      </c>
      <c r="B950" s="1011">
        <f>IF(B484="Positive",input!DJ53,input!DZ53)</f>
        <v>1453.8294571168058</v>
      </c>
      <c r="C950" s="1011">
        <f>IF(B484="Positive",input!DK53,input!EA53)</f>
        <v>1386.1705428831942</v>
      </c>
      <c r="D950" s="1001">
        <f>input!H53</f>
        <v>22</v>
      </c>
      <c r="E950" s="1001">
        <f>input!K53</f>
        <v>18</v>
      </c>
      <c r="F950" s="1011">
        <f t="shared" si="36"/>
        <v>1431.8294571168058</v>
      </c>
      <c r="G950" s="1061">
        <f>IF(B950-D950&gt;=C950-E950,input!F53*input!G53*input!H53,input!J53*input!K53)</f>
        <v>22000</v>
      </c>
      <c r="H950" s="595">
        <f>MAX(ABS(Stress!F882),ABS(Stress!G882),input!BI53)</f>
        <v>380</v>
      </c>
      <c r="I950" s="595">
        <f>MIN(input!BK53/H950,1)</f>
        <v>0.93421052631578949</v>
      </c>
      <c r="J950" s="1004">
        <f>input!N53</f>
        <v>12</v>
      </c>
      <c r="K950" s="1004">
        <f t="shared" si="37"/>
        <v>1.5619957714001516</v>
      </c>
      <c r="L950" s="597">
        <f>IF(input!BK53&gt;=input!BI53,1,(12+K950*(3*I950-I950^3))/(12+2*K950))</f>
        <v>0.9986883513310395</v>
      </c>
      <c r="Z950" s="73"/>
      <c r="AA950" s="73"/>
      <c r="AB950" s="73"/>
      <c r="AC950" s="73"/>
      <c r="AE950" s="73"/>
      <c r="AF950" s="143"/>
      <c r="AG950" s="143"/>
      <c r="AH950" s="143"/>
      <c r="AI950" s="143"/>
      <c r="AJ950" s="143"/>
      <c r="AK950" s="143"/>
      <c r="AL950" s="143"/>
      <c r="AM950" s="143"/>
      <c r="AN950" s="143"/>
      <c r="AO950" s="143"/>
      <c r="AP950" s="143"/>
      <c r="AQ950" s="143"/>
    </row>
    <row r="951" spans="1:43" ht="15" customHeight="1">
      <c r="A951" s="593" t="str">
        <f>+input!B54</f>
        <v>126j</v>
      </c>
      <c r="B951" s="596">
        <f>IF(B485="Positive",input!DJ54,input!DZ54)</f>
        <v>1453.8294571168058</v>
      </c>
      <c r="C951" s="596">
        <f>IF(B485="Positive",input!DK54,input!EA54)</f>
        <v>1386.1705428831942</v>
      </c>
      <c r="D951" s="594">
        <f>input!H54</f>
        <v>22</v>
      </c>
      <c r="E951" s="594">
        <f>input!K54</f>
        <v>18</v>
      </c>
      <c r="F951" s="596">
        <f t="shared" si="36"/>
        <v>1431.8294571168058</v>
      </c>
      <c r="G951" s="850">
        <f>IF(B951-D951&gt;=C951-E951,input!F54*input!G54*input!H54,input!J54*input!K54)</f>
        <v>22000</v>
      </c>
      <c r="H951" s="595">
        <f>MAX(ABS(Stress!F883),ABS(Stress!G883),input!BI54)</f>
        <v>380</v>
      </c>
      <c r="I951" s="595">
        <f>MIN(input!BK54/H951,1)</f>
        <v>0.93421052631578949</v>
      </c>
      <c r="J951" s="595">
        <f>input!N54</f>
        <v>12</v>
      </c>
      <c r="K951" s="595">
        <f t="shared" si="37"/>
        <v>1.5619957714001516</v>
      </c>
      <c r="L951" s="597">
        <f>IF(input!BK54&gt;=input!BI54,1,(12+K951*(3*I951-I951^3))/(12+2*K951))</f>
        <v>0.9986883513310395</v>
      </c>
      <c r="Z951" s="73"/>
      <c r="AA951" s="73"/>
      <c r="AB951" s="73"/>
      <c r="AC951" s="73"/>
      <c r="AE951" s="73"/>
      <c r="AF951" s="143"/>
      <c r="AG951" s="143"/>
      <c r="AH951" s="143"/>
      <c r="AI951" s="143"/>
      <c r="AJ951" s="143"/>
      <c r="AK951" s="143"/>
      <c r="AL951" s="143"/>
      <c r="AM951" s="143"/>
      <c r="AN951" s="143"/>
      <c r="AO951" s="143"/>
      <c r="AP951" s="143"/>
      <c r="AQ951" s="143"/>
    </row>
    <row r="952" spans="1:43" ht="15" customHeight="1">
      <c r="A952" s="593" t="str">
        <f>+input!B55</f>
        <v>127i</v>
      </c>
      <c r="B952" s="596">
        <f>IF(B486="Positive",input!DJ55,input!DZ55)</f>
        <v>1285.3553591825589</v>
      </c>
      <c r="C952" s="596">
        <f>IF(B486="Positive",input!DK55,input!EA55)</f>
        <v>1546.6446408174411</v>
      </c>
      <c r="D952" s="594">
        <f>input!H55</f>
        <v>22</v>
      </c>
      <c r="E952" s="594">
        <f>input!K55</f>
        <v>10</v>
      </c>
      <c r="F952" s="596">
        <f t="shared" si="36"/>
        <v>1536.6446408174411</v>
      </c>
      <c r="G952" s="850">
        <f>IF(B952-D952&gt;=C952-E952,input!F55*input!G55*input!H55,input!J55*input!K55)</f>
        <v>19400</v>
      </c>
      <c r="H952" s="595">
        <f>MAX(ABS(Stress!F884),ABS(Stress!G884),input!BI55)</f>
        <v>380</v>
      </c>
      <c r="I952" s="595">
        <f>MIN(input!BK55/H952,1)</f>
        <v>0.93421052631578949</v>
      </c>
      <c r="J952" s="595">
        <f>input!N55</f>
        <v>12</v>
      </c>
      <c r="K952" s="595">
        <f t="shared" si="37"/>
        <v>1.9010036793617826</v>
      </c>
      <c r="L952" s="597">
        <f>IF(input!BK55&gt;=input!BI55,1,(12+K952*(3*I952-I952^3))/(12+2*K952))</f>
        <v>0.9984721708472587</v>
      </c>
      <c r="Z952" s="73"/>
      <c r="AA952" s="73"/>
      <c r="AB952" s="73"/>
      <c r="AC952" s="73"/>
      <c r="AE952" s="73"/>
      <c r="AF952" s="143"/>
      <c r="AG952" s="143"/>
      <c r="AH952" s="143"/>
      <c r="AI952" s="143"/>
      <c r="AJ952" s="143"/>
      <c r="AK952" s="143"/>
      <c r="AL952" s="143"/>
      <c r="AM952" s="143"/>
      <c r="AN952" s="143"/>
      <c r="AO952" s="143"/>
      <c r="AP952" s="143"/>
      <c r="AQ952" s="143"/>
    </row>
    <row r="953" spans="1:43" ht="15" customHeight="1">
      <c r="A953" s="593" t="str">
        <f>+input!B56</f>
        <v>127j</v>
      </c>
      <c r="B953" s="596">
        <f>IF(B487="Positive",input!DJ56,input!DZ56)</f>
        <v>372.58601623836148</v>
      </c>
      <c r="C953" s="596">
        <f>IF(B487="Positive",input!DK56,input!EA56)</f>
        <v>2459.4139837616385</v>
      </c>
      <c r="D953" s="594">
        <f>input!H56</f>
        <v>22</v>
      </c>
      <c r="E953" s="594">
        <f>input!K56</f>
        <v>10</v>
      </c>
      <c r="F953" s="596">
        <f t="shared" si="36"/>
        <v>2449.4139837616385</v>
      </c>
      <c r="G953" s="850">
        <f>IF(B953-D953&gt;=C953-E953,input!F56*input!G56*input!H56,input!J56*input!K56)</f>
        <v>19400</v>
      </c>
      <c r="H953" s="595">
        <f>MAX(ABS(Stress!F885),ABS(Stress!G885),input!BI56)</f>
        <v>380</v>
      </c>
      <c r="I953" s="595">
        <f>MIN(input!BK56/H953,1)</f>
        <v>0.93421052631578949</v>
      </c>
      <c r="J953" s="595">
        <f>input!N56</f>
        <v>12</v>
      </c>
      <c r="K953" s="595">
        <f t="shared" si="37"/>
        <v>3.0302028665092435</v>
      </c>
      <c r="L953" s="597">
        <f>IF(input!BK56&gt;=input!BI56,1,(12+K953*(3*I953-I953^3))/(12+2*K953))</f>
        <v>0.99786917248109319</v>
      </c>
      <c r="Z953" s="73"/>
      <c r="AA953" s="73"/>
      <c r="AB953" s="73"/>
      <c r="AC953" s="73"/>
      <c r="AE953" s="73"/>
      <c r="AF953" s="143"/>
      <c r="AG953" s="143"/>
      <c r="AH953" s="143"/>
      <c r="AI953" s="143"/>
      <c r="AJ953" s="143"/>
      <c r="AK953" s="143"/>
      <c r="AL953" s="143"/>
      <c r="AM953" s="143"/>
      <c r="AN953" s="143"/>
      <c r="AO953" s="143"/>
      <c r="AP953" s="143"/>
      <c r="AQ953" s="143"/>
    </row>
    <row r="954" spans="1:43" ht="15" customHeight="1">
      <c r="A954" s="593" t="str">
        <f>+input!B57</f>
        <v>128i</v>
      </c>
      <c r="B954" s="596">
        <f>IF(B488="Positive",input!DJ57,input!DZ57)</f>
        <v>372.58601623836148</v>
      </c>
      <c r="C954" s="596">
        <f>IF(B488="Positive",input!DK57,input!EA57)</f>
        <v>2459.4139837616385</v>
      </c>
      <c r="D954" s="594">
        <f>input!H57</f>
        <v>22</v>
      </c>
      <c r="E954" s="594">
        <f>input!K57</f>
        <v>10</v>
      </c>
      <c r="F954" s="596">
        <f t="shared" si="36"/>
        <v>2449.4139837616385</v>
      </c>
      <c r="G954" s="850">
        <f>IF(B954-D954&gt;=C954-E954,input!F57*input!G57*input!H57,input!J57*input!K57)</f>
        <v>19400</v>
      </c>
      <c r="H954" s="595">
        <f>MAX(ABS(Stress!F886),ABS(Stress!G886),input!BI57)</f>
        <v>380</v>
      </c>
      <c r="I954" s="595">
        <f>MIN(input!BK57/H954,1)</f>
        <v>0.93421052631578949</v>
      </c>
      <c r="J954" s="595">
        <f>input!N57</f>
        <v>12</v>
      </c>
      <c r="K954" s="595">
        <f t="shared" si="37"/>
        <v>3.0302028665092435</v>
      </c>
      <c r="L954" s="597">
        <f>IF(input!BK57&gt;=input!BI57,1,(12+K954*(3*I954-I954^3))/(12+2*K954))</f>
        <v>0.99786917248109319</v>
      </c>
      <c r="Z954" s="73"/>
      <c r="AA954" s="73"/>
      <c r="AB954" s="73"/>
      <c r="AC954" s="73"/>
      <c r="AE954" s="7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</row>
    <row r="955" spans="1:43" ht="15" customHeight="1">
      <c r="A955" s="593" t="str">
        <f>+input!B58</f>
        <v>128j</v>
      </c>
      <c r="B955" s="596">
        <f>IF(B489="Positive",input!DJ58,input!DZ58)</f>
        <v>372.58601623836148</v>
      </c>
      <c r="C955" s="596">
        <f>IF(B489="Positive",input!DK58,input!EA58)</f>
        <v>2459.4139837616385</v>
      </c>
      <c r="D955" s="594">
        <f>input!H58</f>
        <v>22</v>
      </c>
      <c r="E955" s="594">
        <f>input!K58</f>
        <v>10</v>
      </c>
      <c r="F955" s="596">
        <f t="shared" si="36"/>
        <v>2449.4139837616385</v>
      </c>
      <c r="G955" s="850">
        <f>IF(B955-D955&gt;=C955-E955,input!F58*input!G58*input!H58,input!J58*input!K58)</f>
        <v>19400</v>
      </c>
      <c r="H955" s="595">
        <f>MAX(ABS(Stress!F887),ABS(Stress!G887),input!BI58)</f>
        <v>380</v>
      </c>
      <c r="I955" s="595">
        <f>MIN(input!BK58/H955,1)</f>
        <v>0.93421052631578949</v>
      </c>
      <c r="J955" s="595">
        <f>input!N58</f>
        <v>12</v>
      </c>
      <c r="K955" s="595">
        <f t="shared" si="37"/>
        <v>3.0302028665092435</v>
      </c>
      <c r="L955" s="597">
        <f>IF(input!BK58&gt;=input!BI58,1,(12+K955*(3*I955-I955^3))/(12+2*K955))</f>
        <v>0.99786917248109319</v>
      </c>
      <c r="Z955" s="73"/>
      <c r="AA955" s="73"/>
      <c r="AB955" s="73"/>
      <c r="AC955" s="73"/>
      <c r="AE955" s="73"/>
      <c r="AF955" s="143"/>
      <c r="AG955" s="143"/>
      <c r="AH955" s="143"/>
      <c r="AI955" s="143"/>
      <c r="AJ955" s="143"/>
      <c r="AK955" s="143"/>
      <c r="AL955" s="143"/>
      <c r="AM955" s="143"/>
      <c r="AN955" s="143"/>
      <c r="AO955" s="143"/>
      <c r="AP955" s="143"/>
      <c r="AQ955" s="143"/>
    </row>
    <row r="956" spans="1:43" ht="15" customHeight="1">
      <c r="A956" s="593" t="str">
        <f>+input!B59</f>
        <v>129i</v>
      </c>
      <c r="B956" s="596">
        <f>IF(B490="Positive",input!DJ59,input!DZ59)</f>
        <v>372.58601623836148</v>
      </c>
      <c r="C956" s="596">
        <f>IF(B490="Positive",input!DK59,input!EA59)</f>
        <v>2459.4139837616385</v>
      </c>
      <c r="D956" s="594">
        <f>input!H59</f>
        <v>22</v>
      </c>
      <c r="E956" s="594">
        <f>input!K59</f>
        <v>10</v>
      </c>
      <c r="F956" s="596">
        <f t="shared" si="36"/>
        <v>2449.4139837616385</v>
      </c>
      <c r="G956" s="850">
        <f>IF(B956-D956&gt;=C956-E956,input!F59*input!G59*input!H59,input!J59*input!K59)</f>
        <v>19400</v>
      </c>
      <c r="H956" s="595">
        <f>MAX(ABS(Stress!F888),ABS(Stress!G888),input!BI59)</f>
        <v>380</v>
      </c>
      <c r="I956" s="595">
        <f>MIN(input!BK59/H956,1)</f>
        <v>0.93421052631578949</v>
      </c>
      <c r="J956" s="595">
        <f>input!N59</f>
        <v>12</v>
      </c>
      <c r="K956" s="595">
        <f t="shared" si="37"/>
        <v>3.0302028665092435</v>
      </c>
      <c r="L956" s="597">
        <f>IF(input!BK59&gt;=input!BI59,1,(12+K956*(3*I956-I956^3))/(12+2*K956))</f>
        <v>0.99786917248109319</v>
      </c>
      <c r="Z956" s="73"/>
      <c r="AA956" s="73"/>
      <c r="AB956" s="73"/>
      <c r="AC956" s="73"/>
      <c r="AE956" s="73"/>
      <c r="AF956" s="143"/>
      <c r="AG956" s="143"/>
      <c r="AH956" s="143"/>
      <c r="AI956" s="143"/>
      <c r="AJ956" s="143"/>
      <c r="AK956" s="143"/>
      <c r="AL956" s="143"/>
      <c r="AM956" s="143"/>
      <c r="AN956" s="143"/>
      <c r="AO956" s="143"/>
      <c r="AP956" s="143"/>
      <c r="AQ956" s="143"/>
    </row>
    <row r="957" spans="1:43" ht="15" customHeight="1">
      <c r="A957" s="593" t="str">
        <f>+input!B60</f>
        <v>129j</v>
      </c>
      <c r="B957" s="596">
        <f>IF(B491="Positive",input!DJ60,input!DZ60)</f>
        <v>372.58601623836148</v>
      </c>
      <c r="C957" s="596">
        <f>IF(B491="Positive",input!DK60,input!EA60)</f>
        <v>2459.4139837616385</v>
      </c>
      <c r="D957" s="594">
        <f>input!H60</f>
        <v>22</v>
      </c>
      <c r="E957" s="594">
        <f>input!K60</f>
        <v>10</v>
      </c>
      <c r="F957" s="596">
        <f t="shared" si="36"/>
        <v>2449.4139837616385</v>
      </c>
      <c r="G957" s="850">
        <f>IF(B957-D957&gt;=C957-E957,input!F60*input!G60*input!H60,input!J60*input!K60)</f>
        <v>19400</v>
      </c>
      <c r="H957" s="595">
        <f>MAX(ABS(Stress!F889),ABS(Stress!G889),input!BI60)</f>
        <v>380</v>
      </c>
      <c r="I957" s="595">
        <f>MIN(input!BK60/H957,1)</f>
        <v>0.93421052631578949</v>
      </c>
      <c r="J957" s="595">
        <f>input!N60</f>
        <v>12</v>
      </c>
      <c r="K957" s="595">
        <f t="shared" si="37"/>
        <v>3.0302028665092435</v>
      </c>
      <c r="L957" s="597">
        <f>IF(input!BK60&gt;=input!BI60,1,(12+K957*(3*I957-I957^3))/(12+2*K957))</f>
        <v>0.99786917248109319</v>
      </c>
      <c r="Z957" s="73"/>
      <c r="AA957" s="73"/>
      <c r="AB957" s="73"/>
      <c r="AC957" s="73"/>
      <c r="AE957" s="73"/>
      <c r="AF957" s="143"/>
      <c r="AG957" s="143"/>
      <c r="AH957" s="143"/>
      <c r="AI957" s="143"/>
      <c r="AJ957" s="143"/>
      <c r="AK957" s="143"/>
      <c r="AL957" s="143"/>
      <c r="AM957" s="143"/>
      <c r="AN957" s="143"/>
      <c r="AO957" s="143"/>
      <c r="AP957" s="143"/>
      <c r="AQ957" s="143"/>
    </row>
    <row r="958" spans="1:43" ht="15" customHeight="1">
      <c r="A958" s="593" t="str">
        <f>+input!B61</f>
        <v>130i</v>
      </c>
      <c r="B958" s="596">
        <f>IF(B492="Positive",input!DJ61,input!DZ61)</f>
        <v>329.91189451749597</v>
      </c>
      <c r="C958" s="596">
        <f>IF(B492="Positive",input!DK61,input!EA61)</f>
        <v>2302.088105482504</v>
      </c>
      <c r="D958" s="594">
        <f>input!H61</f>
        <v>22</v>
      </c>
      <c r="E958" s="594">
        <f>input!K61</f>
        <v>10</v>
      </c>
      <c r="F958" s="596">
        <f t="shared" si="36"/>
        <v>2292.088105482504</v>
      </c>
      <c r="G958" s="850">
        <f>IF(B958-D958&gt;=C958-E958,input!F61*input!G61*input!H61,input!J61*input!K61)</f>
        <v>19400</v>
      </c>
      <c r="H958" s="595">
        <f>MAX(ABS(Stress!F890),ABS(Stress!G890),input!BI61)</f>
        <v>380</v>
      </c>
      <c r="I958" s="595">
        <f>MIN(input!BK61/H958,1)</f>
        <v>0.93421052631578949</v>
      </c>
      <c r="J958" s="595">
        <f>input!N61</f>
        <v>12</v>
      </c>
      <c r="K958" s="595">
        <f t="shared" si="37"/>
        <v>2.8355729139989743</v>
      </c>
      <c r="L958" s="597">
        <f>IF(input!BK61&gt;=input!BI61,1,(12+K958*(3*I958-I958^3))/(12+2*K958))</f>
        <v>0.99796211251019107</v>
      </c>
      <c r="Z958" s="73"/>
      <c r="AA958" s="73"/>
      <c r="AB958" s="73"/>
      <c r="AC958" s="73"/>
      <c r="AE958" s="73"/>
      <c r="AF958" s="143"/>
      <c r="AG958" s="143"/>
      <c r="AH958" s="143"/>
      <c r="AI958" s="143"/>
      <c r="AJ958" s="143"/>
      <c r="AK958" s="143"/>
      <c r="AL958" s="143"/>
      <c r="AM958" s="143"/>
      <c r="AN958" s="143"/>
      <c r="AO958" s="143"/>
      <c r="AP958" s="143"/>
      <c r="AQ958" s="143"/>
    </row>
    <row r="959" spans="1:43" ht="15" customHeight="1">
      <c r="A959" s="593" t="str">
        <f>+input!B62</f>
        <v>130j</v>
      </c>
      <c r="B959" s="596">
        <f>IF(B493="Positive",input!DJ62,input!DZ62)</f>
        <v>1188.5833585069154</v>
      </c>
      <c r="C959" s="596">
        <f>IF(B493="Positive",input!DK62,input!EA62)</f>
        <v>1443.4166414930846</v>
      </c>
      <c r="D959" s="594">
        <f>input!H62</f>
        <v>22</v>
      </c>
      <c r="E959" s="594">
        <f>input!K62</f>
        <v>10</v>
      </c>
      <c r="F959" s="596">
        <f t="shared" si="36"/>
        <v>1433.4166414930846</v>
      </c>
      <c r="G959" s="850">
        <f>IF(B959-D959&gt;=C959-E959,input!F62*input!G62*input!H62,input!J62*input!K62)</f>
        <v>19400</v>
      </c>
      <c r="H959" s="595">
        <f>MAX(ABS(Stress!F891),ABS(Stress!G891),input!BI62)</f>
        <v>380</v>
      </c>
      <c r="I959" s="595">
        <f>MIN(input!BK62/H959,1)</f>
        <v>0.93421052631578949</v>
      </c>
      <c r="J959" s="595">
        <f>input!N62</f>
        <v>12</v>
      </c>
      <c r="K959" s="595">
        <f t="shared" si="37"/>
        <v>1.7732989379295894</v>
      </c>
      <c r="L959" s="597">
        <f>IF(input!BK62&gt;=input!BI62,1,(12+K959*(3*I959-I959^3))/(12+2*K959))</f>
        <v>0.99855139265312309</v>
      </c>
      <c r="Z959" s="73"/>
      <c r="AA959" s="73"/>
      <c r="AB959" s="73"/>
      <c r="AC959" s="73"/>
      <c r="AE959" s="73"/>
      <c r="AF959" s="143"/>
      <c r="AG959" s="143"/>
      <c r="AH959" s="143"/>
      <c r="AI959" s="143"/>
      <c r="AJ959" s="143"/>
      <c r="AK959" s="143"/>
      <c r="AL959" s="143"/>
      <c r="AM959" s="143"/>
      <c r="AN959" s="143"/>
      <c r="AO959" s="143"/>
      <c r="AP959" s="143"/>
      <c r="AQ959" s="143"/>
    </row>
    <row r="960" spans="1:43" ht="15" customHeight="1">
      <c r="A960" s="593" t="str">
        <f>+input!B63</f>
        <v>131i</v>
      </c>
      <c r="B960" s="596">
        <f>IF(B494="Positive",input!DJ63,input!DZ63)</f>
        <v>1188.5833585069154</v>
      </c>
      <c r="C960" s="596">
        <f>IF(B494="Positive",input!DK63,input!EA63)</f>
        <v>1443.4166414930846</v>
      </c>
      <c r="D960" s="594">
        <f>input!H63</f>
        <v>22</v>
      </c>
      <c r="E960" s="594">
        <f>input!K63</f>
        <v>10</v>
      </c>
      <c r="F960" s="596">
        <f t="shared" si="36"/>
        <v>1433.4166414930846</v>
      </c>
      <c r="G960" s="850">
        <f>IF(B960-D960&gt;=C960-E960,input!F63*input!G63*input!H63,input!J63*input!K63)</f>
        <v>19400</v>
      </c>
      <c r="H960" s="595">
        <f>MAX(ABS(Stress!F892),ABS(Stress!G892),input!BI63)</f>
        <v>380</v>
      </c>
      <c r="I960" s="595">
        <f>MIN(input!BK63/H960,1)</f>
        <v>0.93421052631578949</v>
      </c>
      <c r="J960" s="595">
        <f>input!N63</f>
        <v>12</v>
      </c>
      <c r="K960" s="595">
        <f t="shared" si="37"/>
        <v>1.7732989379295894</v>
      </c>
      <c r="L960" s="597">
        <f>IF(input!BK63&gt;=input!BI63,1,(12+K960*(3*I960-I960^3))/(12+2*K960))</f>
        <v>0.99855139265312309</v>
      </c>
      <c r="Z960" s="73"/>
      <c r="AA960" s="73"/>
      <c r="AB960" s="73"/>
      <c r="AC960" s="73"/>
      <c r="AE960" s="7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</row>
    <row r="961" spans="1:76" ht="15" customHeight="1">
      <c r="A961" s="593" t="str">
        <f>+input!B64</f>
        <v>131j</v>
      </c>
      <c r="B961" s="596">
        <f>IF(B495="Positive",input!DJ64,input!DZ64)</f>
        <v>329.91189451749597</v>
      </c>
      <c r="C961" s="596">
        <f>IF(B495="Positive",input!DK64,input!EA64)</f>
        <v>2302.088105482504</v>
      </c>
      <c r="D961" s="594">
        <f>input!H64</f>
        <v>22</v>
      </c>
      <c r="E961" s="594">
        <f>input!K64</f>
        <v>10</v>
      </c>
      <c r="F961" s="596">
        <f t="shared" si="36"/>
        <v>2292.088105482504</v>
      </c>
      <c r="G961" s="850">
        <f>IF(B961-D961&gt;=C961-E961,input!F64*input!G64*input!H64,input!J64*input!K64)</f>
        <v>19400</v>
      </c>
      <c r="H961" s="595">
        <f>MAX(ABS(Stress!F893),ABS(Stress!G893),input!BI64)</f>
        <v>380</v>
      </c>
      <c r="I961" s="595">
        <f>MIN(input!BK64/H961,1)</f>
        <v>0.93421052631578949</v>
      </c>
      <c r="J961" s="595">
        <f>input!N64</f>
        <v>12</v>
      </c>
      <c r="K961" s="595">
        <f t="shared" si="37"/>
        <v>2.8355729139989743</v>
      </c>
      <c r="L961" s="597">
        <f>IF(input!BK64&gt;=input!BI64,1,(12+K961*(3*I961-I961^3))/(12+2*K961))</f>
        <v>0.99796211251019107</v>
      </c>
      <c r="Z961" s="73"/>
      <c r="AA961" s="73"/>
      <c r="AB961" s="73"/>
      <c r="AC961" s="73"/>
      <c r="AE961" s="73"/>
      <c r="AF961" s="143"/>
      <c r="AG961" s="143"/>
      <c r="AH961" s="143"/>
      <c r="AI961" s="143"/>
      <c r="AJ961" s="143"/>
      <c r="AK961" s="143"/>
      <c r="AL961" s="143"/>
      <c r="AM961" s="143"/>
      <c r="AN961" s="143"/>
      <c r="AO961" s="143"/>
      <c r="AP961" s="143"/>
      <c r="AQ961" s="143"/>
    </row>
    <row r="962" spans="1:76" ht="15" customHeight="1">
      <c r="B962" s="328"/>
      <c r="C962" s="328"/>
      <c r="D962" s="219"/>
      <c r="E962" s="219"/>
      <c r="F962" s="219"/>
      <c r="G962" s="219"/>
      <c r="H962" s="219"/>
      <c r="I962" s="219"/>
      <c r="J962" s="219"/>
      <c r="K962" s="219"/>
      <c r="L962" s="219"/>
      <c r="M962" s="219"/>
      <c r="N962" s="220"/>
      <c r="O962" s="220"/>
      <c r="P962" s="219"/>
      <c r="Q962" s="219"/>
      <c r="R962" s="242"/>
      <c r="S962" s="242"/>
      <c r="T962" s="242"/>
      <c r="U962" s="242"/>
      <c r="V962" s="327"/>
      <c r="W962" s="327"/>
      <c r="X962" s="242"/>
      <c r="Y962" s="242"/>
      <c r="Z962" s="143"/>
      <c r="AB962" s="143"/>
      <c r="AE962" s="73"/>
    </row>
    <row r="963" spans="1:76" ht="15" customHeight="1">
      <c r="A963" s="181"/>
      <c r="B963" s="181"/>
      <c r="C963" s="220"/>
      <c r="D963" s="220"/>
      <c r="E963" s="220"/>
      <c r="F963" s="220"/>
      <c r="G963" s="242"/>
      <c r="H963" s="242"/>
      <c r="I963" s="242"/>
      <c r="J963" s="242"/>
      <c r="K963" s="242"/>
      <c r="L963" s="242"/>
      <c r="M963" s="243"/>
      <c r="N963" s="243"/>
      <c r="O963" s="243"/>
      <c r="P963" s="243"/>
      <c r="Q963" s="243"/>
      <c r="R963" s="243"/>
      <c r="S963" s="243"/>
      <c r="T963" s="243"/>
      <c r="U963" s="243"/>
      <c r="V963" s="243"/>
      <c r="W963" s="243"/>
      <c r="X963" s="243"/>
      <c r="Y963" s="243"/>
      <c r="Z963" s="243"/>
      <c r="AE963" s="73"/>
    </row>
    <row r="964" spans="1:76" ht="15" customHeight="1" thickBot="1">
      <c r="A964" s="468" t="s">
        <v>2138</v>
      </c>
      <c r="B964" s="135"/>
      <c r="C964" s="135"/>
      <c r="D964" s="135"/>
      <c r="E964" s="135"/>
      <c r="F964" s="135"/>
      <c r="H964" s="135"/>
      <c r="I964" s="135"/>
      <c r="AE964" s="73"/>
    </row>
    <row r="965" spans="1:76" ht="15" customHeight="1">
      <c r="A965" s="476" t="s">
        <v>702</v>
      </c>
      <c r="B965" s="477" t="s">
        <v>693</v>
      </c>
      <c r="C965" s="477" t="s">
        <v>405</v>
      </c>
      <c r="D965" s="477" t="s">
        <v>839</v>
      </c>
      <c r="E965" s="477" t="s">
        <v>979</v>
      </c>
      <c r="F965" s="675" t="s">
        <v>1765</v>
      </c>
      <c r="G965" s="477" t="s">
        <v>840</v>
      </c>
      <c r="H965" s="477" t="s">
        <v>425</v>
      </c>
      <c r="I965" s="477" t="s">
        <v>841</v>
      </c>
      <c r="J965" s="675" t="s">
        <v>1766</v>
      </c>
      <c r="K965" s="675" t="s">
        <v>1767</v>
      </c>
      <c r="L965" s="477" t="s">
        <v>115</v>
      </c>
      <c r="M965" s="478" t="s">
        <v>842</v>
      </c>
      <c r="Z965" s="73"/>
      <c r="AA965" s="73"/>
      <c r="AB965" s="73"/>
      <c r="AC965" s="73"/>
      <c r="AE965" s="7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</row>
    <row r="966" spans="1:76" ht="15" customHeight="1">
      <c r="A966" s="479"/>
      <c r="B966" s="480" t="s">
        <v>694</v>
      </c>
      <c r="C966" s="480"/>
      <c r="D966" s="480"/>
      <c r="E966" s="480"/>
      <c r="F966" s="480"/>
      <c r="G966" s="480"/>
      <c r="H966" s="480"/>
      <c r="I966" s="480"/>
      <c r="J966" s="480"/>
      <c r="K966" s="480"/>
      <c r="L966" s="480"/>
      <c r="M966" s="481"/>
      <c r="Z966" s="73"/>
      <c r="AA966" s="73"/>
      <c r="AB966" s="73"/>
      <c r="AC966" s="73"/>
      <c r="AE966" s="73"/>
      <c r="AF966" s="143"/>
      <c r="AG966" s="143"/>
      <c r="AH966" s="143"/>
      <c r="AI966" s="143"/>
      <c r="AJ966" s="143"/>
      <c r="AK966" s="143"/>
      <c r="AL966" s="143"/>
      <c r="AM966" s="143"/>
      <c r="AN966" s="143"/>
      <c r="AO966" s="143"/>
      <c r="AP966" s="143"/>
      <c r="AQ966" s="143"/>
    </row>
    <row r="967" spans="1:76" ht="15" customHeight="1">
      <c r="A967" s="482" t="str">
        <f>+input!B3</f>
        <v>101i</v>
      </c>
      <c r="B967" s="1063" t="str">
        <f t="shared" ref="B967:B998" si="38">B434</f>
        <v>Negative</v>
      </c>
      <c r="C967" s="575">
        <f>Cons!H516</f>
        <v>556</v>
      </c>
      <c r="D967" s="849">
        <f>IF(B967="Positive",input!H3,input!K3)</f>
        <v>12</v>
      </c>
      <c r="E967" s="676">
        <f>Cons!J516</f>
        <v>1940</v>
      </c>
      <c r="F967" s="21">
        <f>Cons!D583</f>
        <v>46.333333333333336</v>
      </c>
      <c r="G967" s="834">
        <f>Cons!G516</f>
        <v>21845333.333333332</v>
      </c>
      <c r="H967" s="575">
        <f>Cons!L516</f>
        <v>2.7291404622167161</v>
      </c>
      <c r="I967" s="21">
        <f>Cons!M516</f>
        <v>1.4873025121999799</v>
      </c>
      <c r="J967" s="575">
        <f>0.57*SQRT(Es*H967/input!BJ3/L832)</f>
        <v>22.136509906819807</v>
      </c>
      <c r="K967" s="575">
        <f>0.95*SQRT(Es*H967/MIN((L832-0.3)*input!BJ3,input!BK3))</f>
        <v>44.097135611236531</v>
      </c>
      <c r="L967" s="575">
        <f>IF(F967&lt;=J967,1*L900*input!BJ3*L832,IF(F967&lt;=K967,1*L900*input!BJ3*(L832-(L832-(L832-0.3)/L900)*(F967-J967)/(K967-J967)),0.9*Es*1*H967/F967^2))</f>
        <v>240.27058259047843</v>
      </c>
      <c r="M967" s="597">
        <f>IF(F967&lt;=1.12*SQRT(Es*I967/input!BJ3),0.58*input!BJ3,IF(F967&lt;=1.4*SQRT(Es*I967/input!BJ3),0.65*SQRT(input!BJ3*Es*I967)/F967,0.9*Es*I967/F967^2))</f>
        <v>130.94050894116069</v>
      </c>
      <c r="N967" s="185"/>
      <c r="Z967" s="73"/>
      <c r="AA967" s="73"/>
      <c r="AB967" s="73"/>
      <c r="AC967" s="73"/>
      <c r="AE967" s="73"/>
      <c r="AF967" s="143"/>
      <c r="AG967" s="143"/>
      <c r="AH967" s="143"/>
      <c r="AI967" s="143"/>
      <c r="AJ967" s="143"/>
      <c r="AK967" s="143"/>
      <c r="AL967" s="143"/>
      <c r="AM967" s="143"/>
      <c r="AN967" s="143"/>
      <c r="AO967" s="143"/>
      <c r="AP967" s="143"/>
      <c r="AQ967" s="143"/>
    </row>
    <row r="968" spans="1:76" ht="15" customHeight="1">
      <c r="A968" s="482" t="str">
        <f>+input!B4</f>
        <v>101j</v>
      </c>
      <c r="B968" s="1063" t="str">
        <f t="shared" si="38"/>
        <v>Negative</v>
      </c>
      <c r="C968" s="575">
        <f>Cons!H517</f>
        <v>556</v>
      </c>
      <c r="D968" s="676">
        <f>IF(B968="Positive",input!H4,input!K4)</f>
        <v>12</v>
      </c>
      <c r="E968" s="676">
        <f>Cons!J517</f>
        <v>1940</v>
      </c>
      <c r="F968" s="21">
        <f>Cons!D584</f>
        <v>46.333333333333336</v>
      </c>
      <c r="G968" s="834">
        <f>Cons!G517</f>
        <v>21845333.333333332</v>
      </c>
      <c r="H968" s="575">
        <f>Cons!L517</f>
        <v>2.7291404622167161</v>
      </c>
      <c r="I968" s="21">
        <f>Cons!M517</f>
        <v>1.4873025121999799</v>
      </c>
      <c r="J968" s="575">
        <f>0.57*SQRT(Es*H968/input!BJ4/L833)</f>
        <v>22.136535461464611</v>
      </c>
      <c r="K968" s="575">
        <f>0.95*SQRT(Es*H968/MIN((L833-0.3)*input!BJ4,input!BK4))</f>
        <v>44.09720833500279</v>
      </c>
      <c r="L968" s="575">
        <f>IF(F968&lt;=J968,1*L901*input!BJ4*L833,IF(F968&lt;=K968,1*L901*input!BJ4*(L833-(L833-(L833-0.3)/L901)*(F968-J968)/(K968-J968)),0.9*Es*1*H968/F968^2))</f>
        <v>240.27058259047843</v>
      </c>
      <c r="M968" s="597">
        <f>IF(F968&lt;=1.12*SQRT(Es*I968/input!BJ4),0.58*input!BJ4,IF(F968&lt;=1.4*SQRT(Es*I968/input!BJ4),0.65*SQRT(input!BJ4*Es*I968)/F968,0.9*Es*I968/F968^2))</f>
        <v>130.94050894116069</v>
      </c>
      <c r="N968" s="185"/>
      <c r="Z968" s="73"/>
      <c r="AA968" s="73"/>
      <c r="AB968" s="73"/>
      <c r="AC968" s="73"/>
      <c r="AE968" s="73"/>
      <c r="AF968" s="143"/>
      <c r="AG968" s="143"/>
      <c r="AH968" s="143"/>
      <c r="AI968" s="143"/>
      <c r="AJ968" s="143"/>
      <c r="AK968" s="143"/>
      <c r="AL968" s="143"/>
      <c r="AM968" s="143"/>
      <c r="AN968" s="143"/>
      <c r="AO968" s="143"/>
      <c r="AP968" s="143"/>
      <c r="AQ968" s="143"/>
    </row>
    <row r="969" spans="1:76" ht="15" customHeight="1">
      <c r="A969" s="482" t="str">
        <f>+input!B5</f>
        <v>102i</v>
      </c>
      <c r="B969" s="1063" t="str">
        <f t="shared" si="38"/>
        <v>Negative</v>
      </c>
      <c r="C969" s="575">
        <f>Cons!H518</f>
        <v>556</v>
      </c>
      <c r="D969" s="676">
        <f>IF(B969="Positive",input!H5,input!K5)</f>
        <v>12</v>
      </c>
      <c r="E969" s="676">
        <f>Cons!J518</f>
        <v>1940</v>
      </c>
      <c r="F969" s="21">
        <f>Cons!D585</f>
        <v>46.333333333333336</v>
      </c>
      <c r="G969" s="834">
        <f>Cons!G518</f>
        <v>21845333.333333332</v>
      </c>
      <c r="H969" s="575">
        <f>Cons!L518</f>
        <v>2.7291404622167161</v>
      </c>
      <c r="I969" s="21">
        <f>Cons!M518</f>
        <v>1.4873025121999799</v>
      </c>
      <c r="J969" s="575">
        <f>0.57*SQRT(Es*H969/input!BJ5/L834)</f>
        <v>22.136437796472769</v>
      </c>
      <c r="K969" s="575">
        <f>0.95*SQRT(Es*H969/MIN((L834-0.3)*input!BJ5,input!BK5))</f>
        <v>44.096930399182533</v>
      </c>
      <c r="L969" s="575">
        <f>IF(F969&lt;=J969,1*L902*input!BJ5*L834,IF(F969&lt;=K969,1*L902*input!BJ5*(L834-(L834-(L834-0.3)/L902)*(F969-J969)/(K969-J969)),0.9*Es*1*H969/F969^2))</f>
        <v>240.27058259047843</v>
      </c>
      <c r="M969" s="597">
        <f>IF(F969&lt;=1.12*SQRT(Es*I969/input!BJ5),0.58*input!BJ5,IF(F969&lt;=1.4*SQRT(Es*I969/input!BJ5),0.65*SQRT(input!BJ5*Es*I969)/F969,0.9*Es*I969/F969^2))</f>
        <v>130.94050894116069</v>
      </c>
      <c r="N969" s="185"/>
      <c r="Z969" s="73"/>
      <c r="AA969" s="73"/>
      <c r="AB969" s="73"/>
      <c r="AC969" s="73"/>
      <c r="AE969" s="73"/>
      <c r="AF969" s="143"/>
      <c r="AG969" s="143"/>
      <c r="AH969" s="143"/>
      <c r="AI969" s="143"/>
      <c r="AJ969" s="143"/>
      <c r="AK969" s="143"/>
      <c r="AL969" s="143"/>
      <c r="AM969" s="143"/>
      <c r="AN969" s="143"/>
      <c r="AO969" s="143"/>
      <c r="AP969" s="143"/>
      <c r="AQ969" s="143"/>
    </row>
    <row r="970" spans="1:76" ht="15" customHeight="1">
      <c r="A970" s="482" t="str">
        <f>+input!B6</f>
        <v>102j</v>
      </c>
      <c r="B970" s="1063" t="str">
        <f t="shared" si="38"/>
        <v>Positive</v>
      </c>
      <c r="C970" s="575">
        <f>Cons!H519</f>
        <v>0</v>
      </c>
      <c r="D970" s="676">
        <f>IF(B970="Positive",input!H6,input!K6)</f>
        <v>22</v>
      </c>
      <c r="E970" s="676">
        <f>Cons!J519</f>
        <v>500</v>
      </c>
      <c r="F970" s="21">
        <f>Cons!D586</f>
        <v>22.727272727272727</v>
      </c>
      <c r="G970" s="834">
        <f>Cons!G519</f>
        <v>0</v>
      </c>
      <c r="H970" s="575">
        <f>Cons!L519</f>
        <v>4</v>
      </c>
      <c r="I970" s="21">
        <f>Cons!M519</f>
        <v>5.34</v>
      </c>
      <c r="J970" s="575">
        <f>0.57*SQRT(Es*H970/input!BJ6/L835)</f>
        <v>26.802109734263823</v>
      </c>
      <c r="K970" s="575">
        <f>0.95*SQRT(Es*H970/MIN((L835-0.3)*input!BJ6,input!BK6))</f>
        <v>53.393519409461454</v>
      </c>
      <c r="L970" s="575">
        <f>IF(F970&lt;=J970,1*L903*input!BJ6*L835,IF(F970&lt;=K970,1*L903*input!BJ6*(L835-(L835-(L835-0.3)/L903)*(F970-J970)/(K970-J970)),0.9*Es*1*H970/F970^2))</f>
        <v>379.24269370581084</v>
      </c>
      <c r="M970" s="597">
        <f>IF(F970&lt;=1.12*SQRT(Es*I970/input!BJ6),0.58*input!BJ6,IF(F970&lt;=1.4*SQRT(Es*I970/input!BJ6),0.65*SQRT(input!BJ6*Es*I970)/F970,0.9*Es*I970/F970^2))</f>
        <v>220.39999999999998</v>
      </c>
      <c r="N970" s="185"/>
      <c r="Z970" s="73"/>
      <c r="AA970" s="73"/>
      <c r="AB970" s="73"/>
      <c r="AC970" s="73"/>
      <c r="AE970" s="73"/>
      <c r="AF970" s="143"/>
      <c r="AG970" s="143"/>
      <c r="AH970" s="143"/>
      <c r="AI970" s="143"/>
      <c r="AJ970" s="143"/>
      <c r="AK970" s="143"/>
      <c r="AL970" s="143"/>
      <c r="AM970" s="143"/>
      <c r="AN970" s="143"/>
      <c r="AO970" s="143"/>
      <c r="AP970" s="143"/>
      <c r="AQ970" s="143"/>
    </row>
    <row r="971" spans="1:76" ht="15" customHeight="1">
      <c r="A971" s="482" t="str">
        <f>+input!B7</f>
        <v>103i</v>
      </c>
      <c r="B971" s="1063" t="str">
        <f t="shared" si="38"/>
        <v>Positive</v>
      </c>
      <c r="C971" s="575">
        <f>Cons!H520</f>
        <v>0</v>
      </c>
      <c r="D971" s="676">
        <f>IF(B971="Positive",input!H7,input!K7)</f>
        <v>30</v>
      </c>
      <c r="E971" s="676">
        <f>Cons!J520</f>
        <v>500</v>
      </c>
      <c r="F971" s="21">
        <f>Cons!D587</f>
        <v>16.666666666666668</v>
      </c>
      <c r="G971" s="834">
        <f>Cons!G520</f>
        <v>0</v>
      </c>
      <c r="H971" s="575">
        <f>Cons!L520</f>
        <v>4</v>
      </c>
      <c r="I971" s="21">
        <f>Cons!M520</f>
        <v>5.34</v>
      </c>
      <c r="J971" s="575">
        <f>0.57*SQRT(Es*H971/input!BJ7/L836)</f>
        <v>26.800553635856684</v>
      </c>
      <c r="K971" s="575">
        <f>0.95*SQRT(Es*H971/MIN((L836-0.3)*input!BJ7,input!BK7))</f>
        <v>53.389090650473179</v>
      </c>
      <c r="L971" s="575">
        <f>IF(F971&lt;=J971,1*L904*input!BJ7*L836,IF(F971&lt;=K971,1*L904*input!BJ7*(L836-(L836-(L836-0.3)/L904)*(F971-J971)/(K971-J971)),0.9*Es*1*H971/F971^2))</f>
        <v>379.45001727212968</v>
      </c>
      <c r="M971" s="597">
        <f>IF(F971&lt;=1.12*SQRT(Es*I971/input!BJ7),0.58*input!BJ7,IF(F971&lt;=1.4*SQRT(Es*I971/input!BJ7),0.65*SQRT(input!BJ7*Es*I971)/F971,0.9*Es*I971/F971^2))</f>
        <v>220.39999999999998</v>
      </c>
      <c r="N971" s="185"/>
      <c r="Z971" s="73"/>
      <c r="AA971" s="73"/>
      <c r="AB971" s="73"/>
      <c r="AC971" s="73"/>
      <c r="AE971" s="73"/>
      <c r="AF971" s="143"/>
      <c r="AG971" s="143"/>
      <c r="AH971" s="143"/>
      <c r="AI971" s="143"/>
      <c r="AJ971" s="143"/>
      <c r="AK971" s="143"/>
      <c r="AL971" s="143"/>
      <c r="AM971" s="143"/>
      <c r="AN971" s="143"/>
      <c r="AO971" s="143"/>
      <c r="AP971" s="143"/>
      <c r="AQ971" s="143"/>
    </row>
    <row r="972" spans="1:76" ht="15" customHeight="1">
      <c r="A972" s="482" t="str">
        <f>+input!B8</f>
        <v>103j</v>
      </c>
      <c r="B972" s="1063" t="str">
        <f t="shared" si="38"/>
        <v>Positive</v>
      </c>
      <c r="C972" s="575">
        <f>Cons!H521</f>
        <v>0</v>
      </c>
      <c r="D972" s="676">
        <f>IF(B972="Positive",input!H8,input!K8)</f>
        <v>30</v>
      </c>
      <c r="E972" s="676">
        <f>Cons!J521</f>
        <v>500</v>
      </c>
      <c r="F972" s="21">
        <f>Cons!D588</f>
        <v>16.666666666666668</v>
      </c>
      <c r="G972" s="834">
        <f>Cons!G521</f>
        <v>0</v>
      </c>
      <c r="H972" s="575">
        <f>Cons!L521</f>
        <v>4</v>
      </c>
      <c r="I972" s="21">
        <f>Cons!M521</f>
        <v>5.34</v>
      </c>
      <c r="J972" s="575">
        <f>0.57*SQRT(Es*H972/input!BJ8/L837)</f>
        <v>26.80039336026967</v>
      </c>
      <c r="K972" s="575">
        <f>0.95*SQRT(Es*H972/MIN((L837-0.3)*input!BJ8,input!BK8))</f>
        <v>53.388634514334683</v>
      </c>
      <c r="L972" s="575">
        <f>IF(F972&lt;=J972,1*L905*input!BJ8*L837,IF(F972&lt;=K972,1*L905*input!BJ8*(L837-(L837-(L837-0.3)/L905)*(F972-J972)/(K972-J972)),0.9*Es*1*H972/F972^2))</f>
        <v>379.45455576940441</v>
      </c>
      <c r="M972" s="597">
        <f>IF(F972&lt;=1.12*SQRT(Es*I972/input!BJ8),0.58*input!BJ8,IF(F972&lt;=1.4*SQRT(Es*I972/input!BJ8),0.65*SQRT(input!BJ8*Es*I972)/F972,0.9*Es*I972/F972^2))</f>
        <v>220.39999999999998</v>
      </c>
      <c r="N972" s="185"/>
      <c r="Z972" s="73"/>
      <c r="AA972" s="73"/>
      <c r="AB972" s="73"/>
      <c r="AC972" s="73"/>
      <c r="AE972" s="73"/>
      <c r="AF972" s="143"/>
      <c r="AG972" s="143"/>
      <c r="AH972" s="143"/>
      <c r="AI972" s="143"/>
      <c r="AJ972" s="143"/>
      <c r="AK972" s="143"/>
      <c r="AL972" s="143"/>
      <c r="AM972" s="143"/>
      <c r="AN972" s="143"/>
      <c r="AO972" s="143"/>
      <c r="AP972" s="143"/>
      <c r="AQ972" s="143"/>
    </row>
    <row r="973" spans="1:76" ht="15" customHeight="1">
      <c r="A973" s="482" t="str">
        <f>+input!B9</f>
        <v>104i</v>
      </c>
      <c r="B973" s="1063" t="str">
        <f t="shared" si="38"/>
        <v>Positive</v>
      </c>
      <c r="C973" s="575">
        <f>Cons!H522</f>
        <v>0</v>
      </c>
      <c r="D973" s="676">
        <f>IF(B973="Positive",input!H9,input!K9)</f>
        <v>30</v>
      </c>
      <c r="E973" s="676">
        <f>Cons!J522</f>
        <v>500</v>
      </c>
      <c r="F973" s="21">
        <f>Cons!D589</f>
        <v>16.666666666666668</v>
      </c>
      <c r="G973" s="834">
        <f>Cons!G522</f>
        <v>0</v>
      </c>
      <c r="H973" s="575">
        <f>Cons!L522</f>
        <v>4</v>
      </c>
      <c r="I973" s="21">
        <f>Cons!M522</f>
        <v>5.34</v>
      </c>
      <c r="J973" s="575">
        <f>0.57*SQRT(Es*H973/input!BJ9/L838)</f>
        <v>26.800909799363222</v>
      </c>
      <c r="K973" s="575">
        <f>0.95*SQRT(Es*H973/MIN((L838-0.3)*input!BJ9,input!BK9))</f>
        <v>53.390104286188766</v>
      </c>
      <c r="L973" s="575">
        <f>IF(F973&lt;=J973,1*L906*input!BJ9*L838,IF(F973&lt;=K973,1*L906*input!BJ9*(L838-(L838-(L838-0.3)/L906)*(F973-J973)/(K973-J973)),0.9*Es*1*H973/F973^2))</f>
        <v>379.43993214056337</v>
      </c>
      <c r="M973" s="597">
        <f>IF(F973&lt;=1.12*SQRT(Es*I973/input!BJ9),0.58*input!BJ9,IF(F973&lt;=1.4*SQRT(Es*I973/input!BJ9),0.65*SQRT(input!BJ9*Es*I973)/F973,0.9*Es*I973/F973^2))</f>
        <v>220.39999999999998</v>
      </c>
      <c r="N973" s="185"/>
      <c r="Z973" s="73"/>
      <c r="AA973" s="73"/>
      <c r="AB973" s="73"/>
      <c r="AC973" s="73"/>
      <c r="AE973" s="73"/>
      <c r="AF973" s="143"/>
      <c r="AG973" s="143"/>
      <c r="AH973" s="143"/>
      <c r="AI973" s="143"/>
      <c r="AJ973" s="143"/>
      <c r="AK973" s="143"/>
      <c r="AL973" s="143"/>
      <c r="AM973" s="143"/>
      <c r="AN973" s="143"/>
      <c r="AO973" s="143"/>
      <c r="AP973" s="143"/>
      <c r="AQ973" s="143"/>
    </row>
    <row r="974" spans="1:76" ht="15" customHeight="1">
      <c r="A974" s="482" t="str">
        <f>+input!B10</f>
        <v>104j</v>
      </c>
      <c r="B974" s="1063" t="str">
        <f t="shared" si="38"/>
        <v>Positive</v>
      </c>
      <c r="C974" s="575">
        <f>Cons!H523</f>
        <v>0</v>
      </c>
      <c r="D974" s="676">
        <f>IF(B974="Positive",input!H10,input!K10)</f>
        <v>30</v>
      </c>
      <c r="E974" s="676">
        <f>Cons!J523</f>
        <v>500</v>
      </c>
      <c r="F974" s="21">
        <f>Cons!D590</f>
        <v>16.666666666666668</v>
      </c>
      <c r="G974" s="834">
        <f>Cons!G523</f>
        <v>0</v>
      </c>
      <c r="H974" s="575">
        <f>Cons!L523</f>
        <v>4</v>
      </c>
      <c r="I974" s="21">
        <f>Cons!M523</f>
        <v>5.34</v>
      </c>
      <c r="J974" s="575">
        <f>0.57*SQRT(Es*H974/input!BJ10/L839)</f>
        <v>26.800666938728831</v>
      </c>
      <c r="K974" s="575">
        <f>0.95*SQRT(Es*H974/MIN((L839-0.3)*input!BJ10,input!BK10))</f>
        <v>53.38941310677945</v>
      </c>
      <c r="L974" s="575">
        <f>IF(F974&lt;=J974,1*L907*input!BJ10*L839,IF(F974&lt;=K974,1*L907*input!BJ10*(L839-(L839-(L839-0.3)/L907)*(F974-J974)/(K974-J974)),0.9*Es*1*H974/F974^2))</f>
        <v>379.44680894257493</v>
      </c>
      <c r="M974" s="597">
        <f>IF(F974&lt;=1.12*SQRT(Es*I974/input!BJ10),0.58*input!BJ10,IF(F974&lt;=1.4*SQRT(Es*I974/input!BJ10),0.65*SQRT(input!BJ10*Es*I974)/F974,0.9*Es*I974/F974^2))</f>
        <v>220.39999999999998</v>
      </c>
      <c r="N974" s="185"/>
      <c r="Z974" s="73"/>
      <c r="AA974" s="73"/>
      <c r="AB974" s="73"/>
      <c r="AC974" s="73"/>
      <c r="AE974" s="73"/>
      <c r="AF974" s="143"/>
      <c r="AG974" s="143"/>
      <c r="AH974" s="143"/>
      <c r="AI974" s="143"/>
      <c r="AJ974" s="143"/>
      <c r="AK974" s="143"/>
      <c r="AL974" s="143"/>
      <c r="AM974" s="143"/>
      <c r="AN974" s="143"/>
      <c r="AO974" s="143"/>
      <c r="AP974" s="143"/>
      <c r="AQ974" s="143"/>
    </row>
    <row r="975" spans="1:76" s="257" customFormat="1" ht="15" customHeight="1">
      <c r="A975" s="482" t="str">
        <f>+input!B11</f>
        <v>105i</v>
      </c>
      <c r="B975" s="1063" t="str">
        <f t="shared" si="38"/>
        <v>Positive</v>
      </c>
      <c r="C975" s="575">
        <f>Cons!H524</f>
        <v>0</v>
      </c>
      <c r="D975" s="676">
        <f>IF(B975="Positive",input!H11,input!K11)</f>
        <v>38</v>
      </c>
      <c r="E975" s="676">
        <f>Cons!J524</f>
        <v>500</v>
      </c>
      <c r="F975" s="21">
        <f>Cons!D591</f>
        <v>13.157894736842104</v>
      </c>
      <c r="G975" s="834">
        <f>Cons!G524</f>
        <v>0</v>
      </c>
      <c r="H975" s="575">
        <f>Cons!L524</f>
        <v>4</v>
      </c>
      <c r="I975" s="21">
        <f>Cons!M524</f>
        <v>5.34</v>
      </c>
      <c r="J975" s="575">
        <f>0.57*SQRT(Es*H975/input!BJ11/L840)</f>
        <v>26.800129773955135</v>
      </c>
      <c r="K975" s="575">
        <f>0.95*SQRT(Es*H975/MIN((L840-0.3)*input!BJ11,input!BK11))</f>
        <v>53.387884368767473</v>
      </c>
      <c r="L975" s="575">
        <f>IF(F975&lt;=J975,1*L908*input!BJ11*L840,IF(F975&lt;=K975,1*L908*input!BJ11*(L840-(L840-(L840-0.3)/L908)*(F975-J975)/(K975-J975)),0.9*Es*1*H975/F975^2))</f>
        <v>379.69195956099264</v>
      </c>
      <c r="M975" s="597">
        <f>IF(F975&lt;=1.12*SQRT(Es*I975/input!BJ11),0.58*input!BJ11,IF(F975&lt;=1.4*SQRT(Es*I975/input!BJ11),0.65*SQRT(input!BJ11*Es*I975)/F975,0.9*Es*I975/F975^2))</f>
        <v>220.39999999999998</v>
      </c>
      <c r="N975" s="185"/>
      <c r="Z975" s="73"/>
      <c r="AA975" s="73"/>
      <c r="AB975" s="73"/>
      <c r="AC975" s="559"/>
      <c r="AD975" s="559"/>
      <c r="AE975" s="559"/>
      <c r="AY975" s="143"/>
      <c r="AZ975" s="143"/>
      <c r="BA975" s="143"/>
      <c r="BB975" s="143"/>
      <c r="BC975" s="143"/>
      <c r="BD975" s="143"/>
      <c r="BE975" s="143"/>
      <c r="BF975" s="143"/>
      <c r="BG975" s="143"/>
      <c r="BH975" s="143"/>
      <c r="BI975" s="143"/>
      <c r="BJ975" s="143"/>
      <c r="BK975" s="143"/>
      <c r="BL975" s="143"/>
      <c r="BM975" s="143"/>
      <c r="BN975" s="143"/>
      <c r="BO975" s="143"/>
      <c r="BP975" s="143"/>
      <c r="BQ975" s="143"/>
      <c r="BR975" s="143"/>
      <c r="BS975" s="143"/>
      <c r="BT975" s="143"/>
      <c r="BU975" s="143"/>
      <c r="BV975" s="143"/>
      <c r="BW975" s="143"/>
      <c r="BX975" s="143"/>
    </row>
    <row r="976" spans="1:76" s="257" customFormat="1" ht="15" customHeight="1">
      <c r="A976" s="482" t="str">
        <f>+input!B12</f>
        <v>105j</v>
      </c>
      <c r="B976" s="1063" t="str">
        <f t="shared" si="38"/>
        <v>Positive</v>
      </c>
      <c r="C976" s="575">
        <f>Cons!H525</f>
        <v>0</v>
      </c>
      <c r="D976" s="676">
        <f>IF(B976="Positive",input!H12,input!K12)</f>
        <v>38</v>
      </c>
      <c r="E976" s="676">
        <f>Cons!J525</f>
        <v>500</v>
      </c>
      <c r="F976" s="21">
        <f>Cons!D592</f>
        <v>13.157894736842104</v>
      </c>
      <c r="G976" s="834">
        <f>Cons!G525</f>
        <v>0</v>
      </c>
      <c r="H976" s="575">
        <f>Cons!L525</f>
        <v>4</v>
      </c>
      <c r="I976" s="21">
        <f>Cons!M525</f>
        <v>5.34</v>
      </c>
      <c r="J976" s="575">
        <f>0.57*SQRT(Es*H976/input!BJ12/L841)</f>
        <v>26.800115258639298</v>
      </c>
      <c r="K976" s="575">
        <f>0.95*SQRT(Es*H976/MIN((L841-0.3)*input!BJ12,input!BK12))</f>
        <v>53.387843059615278</v>
      </c>
      <c r="L976" s="575">
        <f>IF(F976&lt;=J976,1*L909*input!BJ12*L841,IF(F976&lt;=K976,1*L909*input!BJ12*(L841-(L841-(L841-0.3)/L909)*(F976-J976)/(K976-J976)),0.9*Es*1*H976/F976^2))</f>
        <v>379.69237085401522</v>
      </c>
      <c r="M976" s="597">
        <f>IF(F976&lt;=1.12*SQRT(Es*I976/input!BJ12),0.58*input!BJ12,IF(F976&lt;=1.4*SQRT(Es*I976/input!BJ12),0.65*SQRT(input!BJ12*Es*I976)/F976,0.9*Es*I976/F976^2))</f>
        <v>220.39999999999998</v>
      </c>
      <c r="N976" s="185"/>
      <c r="Z976" s="73"/>
      <c r="AA976" s="73"/>
      <c r="AB976" s="73"/>
      <c r="AC976" s="559"/>
      <c r="AD976" s="559"/>
      <c r="AE976" s="559"/>
      <c r="AY976" s="143"/>
      <c r="AZ976" s="143"/>
      <c r="BA976" s="143"/>
      <c r="BB976" s="143"/>
      <c r="BC976" s="143"/>
      <c r="BD976" s="143"/>
      <c r="BE976" s="143"/>
      <c r="BF976" s="143"/>
      <c r="BG976" s="143"/>
      <c r="BH976" s="143"/>
      <c r="BI976" s="143"/>
      <c r="BJ976" s="143"/>
      <c r="BK976" s="143"/>
      <c r="BL976" s="143"/>
      <c r="BM976" s="143"/>
      <c r="BN976" s="143"/>
      <c r="BO976" s="143"/>
      <c r="BP976" s="143"/>
      <c r="BQ976" s="143"/>
      <c r="BR976" s="143"/>
      <c r="BS976" s="143"/>
      <c r="BT976" s="143"/>
      <c r="BU976" s="143"/>
      <c r="BV976" s="143"/>
      <c r="BW976" s="143"/>
      <c r="BX976" s="143"/>
    </row>
    <row r="977" spans="1:76" s="257" customFormat="1" ht="15" customHeight="1">
      <c r="A977" s="482" t="str">
        <f>+input!B13</f>
        <v>106i</v>
      </c>
      <c r="B977" s="1063" t="str">
        <f t="shared" si="38"/>
        <v>Positive</v>
      </c>
      <c r="C977" s="575">
        <f>Cons!H526</f>
        <v>0</v>
      </c>
      <c r="D977" s="676">
        <f>IF(B977="Positive",input!H13,input!K13)</f>
        <v>38</v>
      </c>
      <c r="E977" s="676">
        <f>Cons!J526</f>
        <v>500</v>
      </c>
      <c r="F977" s="21">
        <f>Cons!D593</f>
        <v>13.157894736842104</v>
      </c>
      <c r="G977" s="834">
        <f>Cons!G526</f>
        <v>0</v>
      </c>
      <c r="H977" s="575">
        <f>Cons!L526</f>
        <v>4</v>
      </c>
      <c r="I977" s="21">
        <f>Cons!M526</f>
        <v>5.34</v>
      </c>
      <c r="J977" s="575">
        <f>0.57*SQRT(Es*H977/input!BJ13/L842)</f>
        <v>26.799865726757485</v>
      </c>
      <c r="K977" s="575">
        <f>0.95*SQRT(Es*H977/MIN((L842-0.3)*input!BJ13,input!BK13))</f>
        <v>53.38713292107537</v>
      </c>
      <c r="L977" s="575">
        <f>IF(F977&lt;=J977,1*L910*input!BJ13*L842,IF(F977&lt;=K977,1*L910*input!BJ13*(L842-(L842-(L842-0.3)/L910)*(F977-J977)/(K977-J977)),0.9*Es*1*H977/F977^2))</f>
        <v>379.6994414709996</v>
      </c>
      <c r="M977" s="597">
        <f>IF(F977&lt;=1.12*SQRT(Es*I977/input!BJ13),0.58*input!BJ13,IF(F977&lt;=1.4*SQRT(Es*I977/input!BJ13),0.65*SQRT(input!BJ13*Es*I977)/F977,0.9*Es*I977/F977^2))</f>
        <v>220.39999999999998</v>
      </c>
      <c r="N977" s="185"/>
      <c r="Z977" s="73"/>
      <c r="AA977" s="73"/>
      <c r="AB977" s="73"/>
      <c r="AC977" s="559"/>
      <c r="AD977" s="559"/>
      <c r="AE977" s="559"/>
      <c r="AY977" s="143"/>
      <c r="AZ977" s="143"/>
      <c r="BA977" s="143"/>
      <c r="BB977" s="143"/>
      <c r="BC977" s="143"/>
      <c r="BD977" s="143"/>
      <c r="BE977" s="143"/>
      <c r="BF977" s="143"/>
      <c r="BG977" s="143"/>
      <c r="BH977" s="143"/>
      <c r="BI977" s="143"/>
      <c r="BJ977" s="143"/>
      <c r="BK977" s="143"/>
      <c r="BL977" s="143"/>
      <c r="BM977" s="143"/>
      <c r="BN977" s="143"/>
      <c r="BO977" s="143"/>
      <c r="BP977" s="143"/>
      <c r="BQ977" s="143"/>
      <c r="BR977" s="143"/>
      <c r="BS977" s="143"/>
      <c r="BT977" s="143"/>
      <c r="BU977" s="143"/>
      <c r="BV977" s="143"/>
      <c r="BW977" s="143"/>
      <c r="BX977" s="143"/>
    </row>
    <row r="978" spans="1:76" s="257" customFormat="1" ht="15" customHeight="1">
      <c r="A978" s="482" t="str">
        <f>+input!B14</f>
        <v>106j</v>
      </c>
      <c r="B978" s="1063" t="str">
        <f t="shared" si="38"/>
        <v>Positive</v>
      </c>
      <c r="C978" s="575">
        <f>Cons!H527</f>
        <v>0</v>
      </c>
      <c r="D978" s="676">
        <f>IF(B978="Positive",input!H14,input!K14)</f>
        <v>38</v>
      </c>
      <c r="E978" s="676">
        <f>Cons!J527</f>
        <v>500</v>
      </c>
      <c r="F978" s="21">
        <f>Cons!D594</f>
        <v>13.157894736842104</v>
      </c>
      <c r="G978" s="834">
        <f>Cons!G527</f>
        <v>0</v>
      </c>
      <c r="H978" s="575">
        <f>Cons!L527</f>
        <v>4</v>
      </c>
      <c r="I978" s="21">
        <f>Cons!M527</f>
        <v>5.34</v>
      </c>
      <c r="J978" s="575">
        <f>0.57*SQRT(Es*H978/input!BJ14/L843)</f>
        <v>26.799750547283864</v>
      </c>
      <c r="K978" s="575">
        <f>0.95*SQRT(Es*H978/MIN((L843-0.3)*input!BJ14,input!BK14))</f>
        <v>53.386805136637498</v>
      </c>
      <c r="L978" s="575">
        <f>IF(F978&lt;=J978,1*L911*input!BJ14*L843,IF(F978&lt;=K978,1*L911*input!BJ14*(L843-(L843-(L843-0.3)/L911)*(F978-J978)/(K978-J978)),0.9*Es*1*H978/F978^2))</f>
        <v>379.70270520852625</v>
      </c>
      <c r="M978" s="597">
        <f>IF(F978&lt;=1.12*SQRT(Es*I978/input!BJ14),0.58*input!BJ14,IF(F978&lt;=1.4*SQRT(Es*I978/input!BJ14),0.65*SQRT(input!BJ14*Es*I978)/F978,0.9*Es*I978/F978^2))</f>
        <v>220.39999999999998</v>
      </c>
      <c r="N978" s="185"/>
      <c r="Z978" s="73"/>
      <c r="AA978" s="73"/>
      <c r="AB978" s="73"/>
      <c r="AC978" s="559"/>
      <c r="AD978" s="559"/>
      <c r="AE978" s="559"/>
      <c r="AY978" s="143"/>
      <c r="AZ978" s="143"/>
      <c r="BA978" s="143"/>
      <c r="BB978" s="143"/>
      <c r="BC978" s="143"/>
      <c r="BD978" s="143"/>
      <c r="BE978" s="143"/>
      <c r="BF978" s="143"/>
      <c r="BG978" s="143"/>
      <c r="BH978" s="143"/>
      <c r="BI978" s="143"/>
      <c r="BJ978" s="143"/>
      <c r="BK978" s="143"/>
      <c r="BL978" s="143"/>
      <c r="BM978" s="143"/>
      <c r="BN978" s="143"/>
      <c r="BO978" s="143"/>
      <c r="BP978" s="143"/>
      <c r="BQ978" s="143"/>
      <c r="BR978" s="143"/>
      <c r="BS978" s="143"/>
      <c r="BT978" s="143"/>
      <c r="BU978" s="143"/>
      <c r="BV978" s="143"/>
      <c r="BW978" s="143"/>
      <c r="BX978" s="143"/>
    </row>
    <row r="979" spans="1:76" s="257" customFormat="1" ht="15" customHeight="1">
      <c r="A979" s="482" t="str">
        <f>+input!B15</f>
        <v>107i</v>
      </c>
      <c r="B979" s="1063" t="str">
        <f t="shared" si="38"/>
        <v>Positive</v>
      </c>
      <c r="C979" s="575">
        <f>Cons!H528</f>
        <v>0</v>
      </c>
      <c r="D979" s="676">
        <f>IF(B979="Positive",input!H15,input!K15)</f>
        <v>40</v>
      </c>
      <c r="E979" s="676">
        <f>Cons!J528</f>
        <v>600</v>
      </c>
      <c r="F979" s="21">
        <f>Cons!D595</f>
        <v>15</v>
      </c>
      <c r="G979" s="834">
        <f>Cons!G528</f>
        <v>0</v>
      </c>
      <c r="H979" s="575">
        <f>Cons!L528</f>
        <v>4</v>
      </c>
      <c r="I979" s="21">
        <f>Cons!M528</f>
        <v>5.34</v>
      </c>
      <c r="J979" s="575">
        <f>0.57*SQRT(Es*H979/input!BJ15/L844)</f>
        <v>26.799701198858138</v>
      </c>
      <c r="K979" s="575">
        <f>0.95*SQRT(Es*H979/MIN((L844-0.3)*input!BJ15,input!BK15))</f>
        <v>53.386664698574755</v>
      </c>
      <c r="L979" s="575">
        <f>IF(F979&lt;=J979,1*L912*input!BJ15*L844,IF(F979&lt;=K979,1*L912*input!BJ15*(L844-(L844-(L844-0.3)/L912)*(F979-J979)/(K979-J979)),0.9*Es*1*H979/F979^2))</f>
        <v>379.74669831851418</v>
      </c>
      <c r="M979" s="597">
        <f>IF(F979&lt;=1.12*SQRT(Es*I979/input!BJ15),0.58*input!BJ15,IF(F979&lt;=1.4*SQRT(Es*I979/input!BJ15),0.65*SQRT(input!BJ15*Es*I979)/F979,0.9*Es*I979/F979^2))</f>
        <v>220.39999999999998</v>
      </c>
      <c r="N979" s="185"/>
      <c r="Z979" s="73"/>
      <c r="AA979" s="73"/>
      <c r="AB979" s="73"/>
      <c r="AC979" s="559"/>
      <c r="AD979" s="559"/>
      <c r="AE979" s="559"/>
      <c r="AY979" s="143"/>
      <c r="AZ979" s="143"/>
      <c r="BA979" s="143"/>
      <c r="BB979" s="143"/>
      <c r="BC979" s="143"/>
      <c r="BD979" s="143"/>
      <c r="BE979" s="143"/>
      <c r="BF979" s="143"/>
      <c r="BG979" s="143"/>
      <c r="BH979" s="143"/>
      <c r="BI979" s="143"/>
      <c r="BJ979" s="143"/>
      <c r="BK979" s="143"/>
      <c r="BL979" s="143"/>
      <c r="BM979" s="143"/>
      <c r="BN979" s="143"/>
      <c r="BO979" s="143"/>
      <c r="BP979" s="143"/>
      <c r="BQ979" s="143"/>
      <c r="BR979" s="143"/>
      <c r="BS979" s="143"/>
      <c r="BT979" s="143"/>
      <c r="BU979" s="143"/>
      <c r="BV979" s="143"/>
      <c r="BW979" s="143"/>
      <c r="BX979" s="143"/>
    </row>
    <row r="980" spans="1:76" s="257" customFormat="1" ht="15" customHeight="1">
      <c r="A980" s="482" t="str">
        <f>+input!B16</f>
        <v>107j</v>
      </c>
      <c r="B980" s="1063" t="str">
        <f t="shared" si="38"/>
        <v>Positive</v>
      </c>
      <c r="C980" s="575">
        <f>Cons!H529</f>
        <v>0</v>
      </c>
      <c r="D980" s="676">
        <f>IF(B980="Positive",input!H16,input!K16)</f>
        <v>40</v>
      </c>
      <c r="E980" s="676">
        <f>Cons!J529</f>
        <v>600</v>
      </c>
      <c r="F980" s="21">
        <f>Cons!D596</f>
        <v>15</v>
      </c>
      <c r="G980" s="834">
        <f>Cons!G529</f>
        <v>0</v>
      </c>
      <c r="H980" s="575">
        <f>Cons!L529</f>
        <v>4</v>
      </c>
      <c r="I980" s="21">
        <f>Cons!M529</f>
        <v>5.34</v>
      </c>
      <c r="J980" s="575">
        <f>0.57*SQRT(Es*H980/input!BJ16/L845)</f>
        <v>26.79976572658704</v>
      </c>
      <c r="K980" s="575">
        <f>0.95*SQRT(Es*H980/MIN((L845-0.3)*input!BJ16,input!BK16))</f>
        <v>53.386848334676763</v>
      </c>
      <c r="L980" s="575">
        <f>IF(F980&lt;=J980,1*L913*input!BJ16*L845,IF(F980&lt;=K980,1*L913*input!BJ16*(L845-(L845-(L845-0.3)/L913)*(F980-J980)/(K980-J980)),0.9*Es*1*H980/F980^2))</f>
        <v>379.74486963368543</v>
      </c>
      <c r="M980" s="597">
        <f>IF(F980&lt;=1.12*SQRT(Es*I980/input!BJ16),0.58*input!BJ16,IF(F980&lt;=1.4*SQRT(Es*I980/input!BJ16),0.65*SQRT(input!BJ16*Es*I980)/F980,0.9*Es*I980/F980^2))</f>
        <v>220.39999999999998</v>
      </c>
      <c r="N980" s="185"/>
      <c r="Z980" s="73"/>
      <c r="AA980" s="73"/>
      <c r="AB980" s="73"/>
      <c r="AC980" s="559"/>
      <c r="AD980" s="559"/>
      <c r="AE980" s="559"/>
      <c r="AY980" s="143"/>
      <c r="AZ980" s="143"/>
      <c r="BA980" s="143"/>
      <c r="BB980" s="143"/>
      <c r="BC980" s="143"/>
      <c r="BD980" s="143"/>
      <c r="BE980" s="143"/>
      <c r="BF980" s="143"/>
      <c r="BG980" s="143"/>
      <c r="BH980" s="143"/>
      <c r="BI980" s="143"/>
      <c r="BJ980" s="143"/>
      <c r="BK980" s="143"/>
      <c r="BL980" s="143"/>
      <c r="BM980" s="143"/>
      <c r="BN980" s="143"/>
      <c r="BO980" s="143"/>
      <c r="BP980" s="143"/>
      <c r="BQ980" s="143"/>
      <c r="BR980" s="143"/>
      <c r="BS980" s="143"/>
      <c r="BT980" s="143"/>
      <c r="BU980" s="143"/>
      <c r="BV980" s="143"/>
      <c r="BW980" s="143"/>
      <c r="BX980" s="143"/>
    </row>
    <row r="981" spans="1:76" s="257" customFormat="1" ht="15" customHeight="1">
      <c r="A981" s="482" t="str">
        <f>+input!B17</f>
        <v>108i</v>
      </c>
      <c r="B981" s="1063" t="str">
        <f t="shared" si="38"/>
        <v>Positive</v>
      </c>
      <c r="C981" s="575">
        <f>Cons!H530</f>
        <v>0</v>
      </c>
      <c r="D981" s="676">
        <f>IF(B981="Positive",input!H17,input!K17)</f>
        <v>40</v>
      </c>
      <c r="E981" s="676">
        <f>Cons!J530</f>
        <v>600</v>
      </c>
      <c r="F981" s="21">
        <f>Cons!D597</f>
        <v>15</v>
      </c>
      <c r="G981" s="834">
        <f>Cons!G530</f>
        <v>0</v>
      </c>
      <c r="H981" s="575">
        <f>Cons!L530</f>
        <v>4</v>
      </c>
      <c r="I981" s="21">
        <f>Cons!M530</f>
        <v>5.34</v>
      </c>
      <c r="J981" s="575">
        <f>0.57*SQRT(Es*H981/input!BJ17/L846)</f>
        <v>26.799585462956507</v>
      </c>
      <c r="K981" s="575">
        <f>0.95*SQRT(Es*H981/MIN((L846-0.3)*input!BJ17,input!BK17))</f>
        <v>53.386335333226008</v>
      </c>
      <c r="L981" s="575">
        <f>IF(F981&lt;=J981,1*L914*input!BJ17*L846,IF(F981&lt;=K981,1*L914*input!BJ17*(L846-(L846-(L846-0.3)/L914)*(F981-J981)/(K981-J981)),0.9*Es*1*H981/F981^2))</f>
        <v>379.74997825144322</v>
      </c>
      <c r="M981" s="597">
        <f>IF(F981&lt;=1.12*SQRT(Es*I981/input!BJ17),0.58*input!BJ17,IF(F981&lt;=1.4*SQRT(Es*I981/input!BJ17),0.65*SQRT(input!BJ17*Es*I981)/F981,0.9*Es*I981/F981^2))</f>
        <v>220.39999999999998</v>
      </c>
      <c r="N981" s="185"/>
      <c r="Z981" s="73"/>
      <c r="AA981" s="73"/>
      <c r="AB981" s="73"/>
      <c r="AC981" s="559"/>
      <c r="AD981" s="559"/>
      <c r="AE981" s="559"/>
      <c r="AY981" s="143"/>
      <c r="AZ981" s="143"/>
      <c r="BA981" s="143"/>
      <c r="BB981" s="143"/>
      <c r="BC981" s="143"/>
      <c r="BD981" s="143"/>
      <c r="BE981" s="143"/>
      <c r="BF981" s="143"/>
      <c r="BG981" s="143"/>
      <c r="BH981" s="143"/>
      <c r="BI981" s="143"/>
      <c r="BJ981" s="143"/>
      <c r="BK981" s="143"/>
      <c r="BL981" s="143"/>
      <c r="BM981" s="143"/>
      <c r="BN981" s="143"/>
      <c r="BO981" s="143"/>
      <c r="BP981" s="143"/>
      <c r="BQ981" s="143"/>
      <c r="BR981" s="143"/>
      <c r="BS981" s="143"/>
      <c r="BT981" s="143"/>
      <c r="BU981" s="143"/>
      <c r="BV981" s="143"/>
      <c r="BW981" s="143"/>
      <c r="BX981" s="143"/>
    </row>
    <row r="982" spans="1:76" s="257" customFormat="1" ht="15" customHeight="1">
      <c r="A982" s="482" t="str">
        <f>+input!B18</f>
        <v>108j</v>
      </c>
      <c r="B982" s="1063" t="str">
        <f t="shared" si="38"/>
        <v>Positive</v>
      </c>
      <c r="C982" s="575">
        <f>Cons!H531</f>
        <v>0</v>
      </c>
      <c r="D982" s="676">
        <f>IF(B982="Positive",input!H18,input!K18)</f>
        <v>40</v>
      </c>
      <c r="E982" s="676">
        <f>Cons!J531</f>
        <v>600</v>
      </c>
      <c r="F982" s="21">
        <f>Cons!D598</f>
        <v>15</v>
      </c>
      <c r="G982" s="834">
        <f>Cons!G531</f>
        <v>0</v>
      </c>
      <c r="H982" s="575">
        <f>Cons!L531</f>
        <v>4</v>
      </c>
      <c r="I982" s="21">
        <f>Cons!M531</f>
        <v>5.34</v>
      </c>
      <c r="J982" s="575">
        <f>0.57*SQRT(Es*H982/input!BJ18/L847)</f>
        <v>26.799490890931793</v>
      </c>
      <c r="K982" s="575">
        <f>0.95*SQRT(Es*H982/MIN((L847-0.3)*input!BJ18,input!BK18))</f>
        <v>53.386066198149344</v>
      </c>
      <c r="L982" s="575">
        <f>IF(F982&lt;=J982,1*L915*input!BJ18*L847,IF(F982&lt;=K982,1*L915*input!BJ18*(L847-(L847-(L847-0.3)/L915)*(F982-J982)/(K982-J982)),0.9*Es*1*H982/F982^2))</f>
        <v>379.75265843576784</v>
      </c>
      <c r="M982" s="597">
        <f>IF(F982&lt;=1.12*SQRT(Es*I982/input!BJ18),0.58*input!BJ18,IF(F982&lt;=1.4*SQRT(Es*I982/input!BJ18),0.65*SQRT(input!BJ18*Es*I982)/F982,0.9*Es*I982/F982^2))</f>
        <v>220.39999999999998</v>
      </c>
      <c r="N982" s="185"/>
      <c r="Z982" s="73"/>
      <c r="AA982" s="73"/>
      <c r="AB982" s="73"/>
      <c r="AC982" s="559"/>
      <c r="AD982" s="559"/>
      <c r="AE982" s="559"/>
      <c r="AY982" s="143"/>
      <c r="AZ982" s="143"/>
      <c r="BA982" s="143"/>
      <c r="BB982" s="143"/>
      <c r="BC982" s="143"/>
      <c r="BD982" s="143"/>
      <c r="BE982" s="143"/>
      <c r="BF982" s="143"/>
      <c r="BG982" s="143"/>
      <c r="BH982" s="143"/>
      <c r="BI982" s="143"/>
      <c r="BJ982" s="143"/>
      <c r="BK982" s="143"/>
      <c r="BL982" s="143"/>
      <c r="BM982" s="143"/>
      <c r="BN982" s="143"/>
      <c r="BO982" s="143"/>
      <c r="BP982" s="143"/>
      <c r="BQ982" s="143"/>
      <c r="BR982" s="143"/>
      <c r="BS982" s="143"/>
      <c r="BT982" s="143"/>
      <c r="BU982" s="143"/>
      <c r="BV982" s="143"/>
      <c r="BW982" s="143"/>
      <c r="BX982" s="143"/>
    </row>
    <row r="983" spans="1:76" s="257" customFormat="1" ht="15" customHeight="1">
      <c r="A983" s="482" t="str">
        <f>+input!B19</f>
        <v>109i</v>
      </c>
      <c r="B983" s="1063" t="str">
        <f t="shared" si="38"/>
        <v>Positive</v>
      </c>
      <c r="C983" s="575">
        <f>Cons!H532</f>
        <v>0</v>
      </c>
      <c r="D983" s="676">
        <f>IF(B983="Positive",input!H19,input!K19)</f>
        <v>40</v>
      </c>
      <c r="E983" s="676">
        <f>Cons!J532</f>
        <v>600</v>
      </c>
      <c r="F983" s="21">
        <f>Cons!D599</f>
        <v>15</v>
      </c>
      <c r="G983" s="834">
        <f>Cons!G532</f>
        <v>0</v>
      </c>
      <c r="H983" s="575">
        <f>Cons!L532</f>
        <v>4</v>
      </c>
      <c r="I983" s="21">
        <f>Cons!M532</f>
        <v>5.34</v>
      </c>
      <c r="J983" s="575">
        <f>0.57*SQRT(Es*H983/input!BJ19/L848)</f>
        <v>26.799490890931793</v>
      </c>
      <c r="K983" s="575">
        <f>0.95*SQRT(Es*H983/MIN((L848-0.3)*input!BJ19,input!BK19))</f>
        <v>53.386066198149344</v>
      </c>
      <c r="L983" s="575">
        <f>IF(F983&lt;=J983,1*L916*input!BJ19*L848,IF(F983&lt;=K983,1*L916*input!BJ19*(L848-(L848-(L848-0.3)/L916)*(F983-J983)/(K983-J983)),0.9*Es*1*H983/F983^2))</f>
        <v>379.75265843576784</v>
      </c>
      <c r="M983" s="597">
        <f>IF(F983&lt;=1.12*SQRT(Es*I983/input!BJ19),0.58*input!BJ19,IF(F983&lt;=1.4*SQRT(Es*I983/input!BJ19),0.65*SQRT(input!BJ19*Es*I983)/F983,0.9*Es*I983/F983^2))</f>
        <v>220.39999999999998</v>
      </c>
      <c r="N983" s="185"/>
      <c r="Z983" s="73"/>
      <c r="AA983" s="73"/>
      <c r="AB983" s="73"/>
      <c r="AC983" s="559"/>
      <c r="AD983" s="559"/>
      <c r="AE983" s="559"/>
      <c r="AY983" s="143"/>
      <c r="AZ983" s="143"/>
      <c r="BA983" s="143"/>
      <c r="BB983" s="143"/>
      <c r="BC983" s="143"/>
      <c r="BD983" s="143"/>
      <c r="BE983" s="143"/>
      <c r="BF983" s="143"/>
      <c r="BG983" s="143"/>
      <c r="BH983" s="143"/>
      <c r="BI983" s="143"/>
      <c r="BJ983" s="143"/>
      <c r="BK983" s="143"/>
      <c r="BL983" s="143"/>
      <c r="BM983" s="143"/>
      <c r="BN983" s="143"/>
      <c r="BO983" s="143"/>
      <c r="BP983" s="143"/>
      <c r="BQ983" s="143"/>
      <c r="BR983" s="143"/>
      <c r="BS983" s="143"/>
      <c r="BT983" s="143"/>
      <c r="BU983" s="143"/>
      <c r="BV983" s="143"/>
      <c r="BW983" s="143"/>
      <c r="BX983" s="143"/>
    </row>
    <row r="984" spans="1:76" s="257" customFormat="1" ht="15" customHeight="1">
      <c r="A984" s="482" t="str">
        <f>+input!B20</f>
        <v>109j</v>
      </c>
      <c r="B984" s="1063" t="str">
        <f t="shared" si="38"/>
        <v>Positive</v>
      </c>
      <c r="C984" s="575">
        <f>Cons!H533</f>
        <v>0</v>
      </c>
      <c r="D984" s="676">
        <f>IF(B984="Positive",input!H20,input!K20)</f>
        <v>40</v>
      </c>
      <c r="E984" s="676">
        <f>Cons!J533</f>
        <v>600</v>
      </c>
      <c r="F984" s="21">
        <f>Cons!D600</f>
        <v>15</v>
      </c>
      <c r="G984" s="834">
        <f>Cons!G533</f>
        <v>0</v>
      </c>
      <c r="H984" s="575">
        <f>Cons!L533</f>
        <v>4</v>
      </c>
      <c r="I984" s="21">
        <f>Cons!M533</f>
        <v>5.34</v>
      </c>
      <c r="J984" s="575">
        <f>0.57*SQRT(Es*H984/input!BJ20/L849)</f>
        <v>26.79959411838977</v>
      </c>
      <c r="K984" s="575">
        <f>0.95*SQRT(Es*H984/MIN((L849-0.3)*input!BJ20,input!BK20))</f>
        <v>53.38635996510282</v>
      </c>
      <c r="L984" s="575">
        <f>IF(F984&lt;=J984,1*L917*input!BJ20*L849,IF(F984&lt;=K984,1*L917*input!BJ20*(L849-(L849-(L849-0.3)/L917)*(F984-J984)/(K984-J984)),0.9*Es*1*H984/F984^2))</f>
        <v>379.74973295667894</v>
      </c>
      <c r="M984" s="597">
        <f>IF(F984&lt;=1.12*SQRT(Es*I984/input!BJ20),0.58*input!BJ20,IF(F984&lt;=1.4*SQRT(Es*I984/input!BJ20),0.65*SQRT(input!BJ20*Es*I984)/F984,0.9*Es*I984/F984^2))</f>
        <v>220.39999999999998</v>
      </c>
      <c r="N984" s="185"/>
      <c r="Z984" s="73"/>
      <c r="AA984" s="73"/>
      <c r="AB984" s="73"/>
      <c r="AC984" s="559"/>
      <c r="AD984" s="559"/>
      <c r="AE984" s="559"/>
      <c r="AY984" s="143"/>
      <c r="AZ984" s="143"/>
      <c r="BA984" s="143"/>
      <c r="BB984" s="143"/>
      <c r="BC984" s="143"/>
      <c r="BD984" s="143"/>
      <c r="BE984" s="143"/>
      <c r="BF984" s="143"/>
      <c r="BG984" s="143"/>
      <c r="BH984" s="143"/>
      <c r="BI984" s="143"/>
      <c r="BJ984" s="143"/>
      <c r="BK984" s="143"/>
      <c r="BL984" s="143"/>
      <c r="BM984" s="143"/>
      <c r="BN984" s="143"/>
      <c r="BO984" s="143"/>
      <c r="BP984" s="143"/>
      <c r="BQ984" s="143"/>
      <c r="BR984" s="143"/>
      <c r="BS984" s="143"/>
      <c r="BT984" s="143"/>
      <c r="BU984" s="143"/>
      <c r="BV984" s="143"/>
      <c r="BW984" s="143"/>
      <c r="BX984" s="143"/>
    </row>
    <row r="985" spans="1:76" s="257" customFormat="1" ht="15" customHeight="1">
      <c r="A985" s="482" t="str">
        <f>+input!B21</f>
        <v>110i</v>
      </c>
      <c r="B985" s="1063" t="str">
        <f t="shared" si="38"/>
        <v>Positive</v>
      </c>
      <c r="C985" s="575">
        <f>Cons!H534</f>
        <v>0</v>
      </c>
      <c r="D985" s="676">
        <f>IF(B985="Positive",input!H21,input!K21)</f>
        <v>40</v>
      </c>
      <c r="E985" s="676">
        <f>Cons!J534</f>
        <v>600</v>
      </c>
      <c r="F985" s="21">
        <f>Cons!D601</f>
        <v>15</v>
      </c>
      <c r="G985" s="834">
        <f>Cons!G534</f>
        <v>0</v>
      </c>
      <c r="H985" s="575">
        <f>Cons!L534</f>
        <v>4</v>
      </c>
      <c r="I985" s="21">
        <f>Cons!M534</f>
        <v>5.34</v>
      </c>
      <c r="J985" s="575">
        <f>0.57*SQRT(Es*H985/input!BJ21/L850)</f>
        <v>26.799552652050508</v>
      </c>
      <c r="K985" s="575">
        <f>0.95*SQRT(Es*H985/MIN((L850-0.3)*input!BJ21,input!BK21))</f>
        <v>53.386241959114457</v>
      </c>
      <c r="L985" s="575">
        <f>IF(F985&lt;=J985,1*L918*input!BJ21*L850,IF(F985&lt;=K985,1*L918*input!BJ21*(L850-(L850-(L850-0.3)/L918)*(F985-J985)/(K985-J985)),0.9*Es*1*H985/F985^2))</f>
        <v>379.75090811386519</v>
      </c>
      <c r="M985" s="597">
        <f>IF(F985&lt;=1.12*SQRT(Es*I985/input!BJ21),0.58*input!BJ21,IF(F985&lt;=1.4*SQRT(Es*I985/input!BJ21),0.65*SQRT(input!BJ21*Es*I985)/F985,0.9*Es*I985/F985^2))</f>
        <v>220.39999999999998</v>
      </c>
      <c r="N985" s="185"/>
      <c r="Z985" s="73"/>
      <c r="AA985" s="73"/>
      <c r="AB985" s="73"/>
      <c r="AC985" s="559"/>
      <c r="AD985" s="559"/>
      <c r="AE985" s="559"/>
      <c r="AY985" s="143"/>
      <c r="AZ985" s="143"/>
      <c r="BA985" s="143"/>
      <c r="BB985" s="143"/>
      <c r="BC985" s="143"/>
      <c r="BD985" s="143"/>
      <c r="BE985" s="143"/>
      <c r="BF985" s="143"/>
      <c r="BG985" s="143"/>
      <c r="BH985" s="143"/>
      <c r="BI985" s="143"/>
      <c r="BJ985" s="143"/>
      <c r="BK985" s="143"/>
      <c r="BL985" s="143"/>
      <c r="BM985" s="143"/>
      <c r="BN985" s="143"/>
      <c r="BO985" s="143"/>
      <c r="BP985" s="143"/>
      <c r="BQ985" s="143"/>
      <c r="BR985" s="143"/>
      <c r="BS985" s="143"/>
      <c r="BT985" s="143"/>
      <c r="BU985" s="143"/>
      <c r="BV985" s="143"/>
      <c r="BW985" s="143"/>
      <c r="BX985" s="143"/>
    </row>
    <row r="986" spans="1:76" s="257" customFormat="1" ht="15" customHeight="1">
      <c r="A986" s="482" t="str">
        <f>+input!B22</f>
        <v>110j</v>
      </c>
      <c r="B986" s="1063" t="str">
        <f t="shared" si="38"/>
        <v>Positive</v>
      </c>
      <c r="C986" s="575">
        <f>Cons!H535</f>
        <v>0</v>
      </c>
      <c r="D986" s="676">
        <f>IF(B986="Positive",input!H22,input!K22)</f>
        <v>40</v>
      </c>
      <c r="E986" s="676">
        <f>Cons!J535</f>
        <v>600</v>
      </c>
      <c r="F986" s="21">
        <f>Cons!D602</f>
        <v>15</v>
      </c>
      <c r="G986" s="834">
        <f>Cons!G535</f>
        <v>0</v>
      </c>
      <c r="H986" s="575">
        <f>Cons!L535</f>
        <v>4</v>
      </c>
      <c r="I986" s="21">
        <f>Cons!M535</f>
        <v>5.34</v>
      </c>
      <c r="J986" s="575">
        <f>0.57*SQRT(Es*H986/input!BJ22/L851)</f>
        <v>26.799529168437591</v>
      </c>
      <c r="K986" s="575">
        <f>0.95*SQRT(Es*H986/MIN((L851-0.3)*input!BJ22,input!BK22))</f>
        <v>53.386175128941268</v>
      </c>
      <c r="L986" s="575">
        <f>IF(F986&lt;=J986,1*L919*input!BJ22*L851,IF(F986&lt;=K986,1*L919*input!BJ22*(L851-(L851-(L851-0.3)/L919)*(F986-J986)/(K986-J986)),0.9*Es*1*H986/F986^2))</f>
        <v>379.75157364251544</v>
      </c>
      <c r="M986" s="597">
        <f>IF(F986&lt;=1.12*SQRT(Es*I986/input!BJ22),0.58*input!BJ22,IF(F986&lt;=1.4*SQRT(Es*I986/input!BJ22),0.65*SQRT(input!BJ22*Es*I986)/F986,0.9*Es*I986/F986^2))</f>
        <v>220.39999999999998</v>
      </c>
      <c r="N986" s="185"/>
      <c r="Z986" s="73"/>
      <c r="AA986" s="73"/>
      <c r="AB986" s="73"/>
      <c r="AC986" s="559"/>
      <c r="AD986" s="559"/>
      <c r="AE986" s="559"/>
      <c r="AP986" s="143"/>
      <c r="AQ986" s="143"/>
      <c r="AR986" s="143"/>
      <c r="AS986" s="143"/>
      <c r="AT986" s="143"/>
      <c r="AU986" s="143"/>
      <c r="AV986" s="143"/>
      <c r="AW986" s="143"/>
      <c r="AX986" s="143"/>
      <c r="AY986" s="143"/>
      <c r="AZ986" s="143"/>
      <c r="BA986" s="143"/>
      <c r="BB986" s="143"/>
      <c r="BC986" s="143"/>
      <c r="BD986" s="143"/>
      <c r="BE986" s="143"/>
      <c r="BF986" s="143"/>
      <c r="BG986" s="143"/>
      <c r="BH986" s="143"/>
      <c r="BI986" s="143"/>
      <c r="BJ986" s="143"/>
      <c r="BK986" s="143"/>
      <c r="BL986" s="143"/>
      <c r="BM986" s="143"/>
      <c r="BN986" s="143"/>
      <c r="BO986" s="143"/>
    </row>
    <row r="987" spans="1:76" s="257" customFormat="1" ht="15" customHeight="1">
      <c r="A987" s="482" t="str">
        <f>+input!B23</f>
        <v>111i</v>
      </c>
      <c r="B987" s="1063" t="str">
        <f t="shared" si="38"/>
        <v>Positive</v>
      </c>
      <c r="C987" s="575">
        <f>Cons!H536</f>
        <v>0</v>
      </c>
      <c r="D987" s="676">
        <f>IF(B987="Positive",input!H23,input!K23)</f>
        <v>40</v>
      </c>
      <c r="E987" s="676">
        <f>Cons!J536</f>
        <v>600</v>
      </c>
      <c r="F987" s="21">
        <f>Cons!D603</f>
        <v>15</v>
      </c>
      <c r="G987" s="834">
        <f>Cons!G536</f>
        <v>0</v>
      </c>
      <c r="H987" s="575">
        <f>Cons!L536</f>
        <v>4</v>
      </c>
      <c r="I987" s="21">
        <f>Cons!M536</f>
        <v>5.34</v>
      </c>
      <c r="J987" s="575">
        <f>0.57*SQRT(Es*H987/input!BJ23/L852)</f>
        <v>26.799686748802667</v>
      </c>
      <c r="K987" s="575">
        <f>0.95*SQRT(Es*H987/MIN((L852-0.3)*input!BJ23,input!BK23))</f>
        <v>53.386623575992601</v>
      </c>
      <c r="L987" s="575">
        <f>IF(F987&lt;=J987,1*L920*input!BJ23*L852,IF(F987&lt;=K987,1*L920*input!BJ23*(L852-(L852-(L852-0.3)/L920)*(F987-J987)/(K987-J987)),0.9*Es*1*H987/F987^2))</f>
        <v>379.74710782795256</v>
      </c>
      <c r="M987" s="597">
        <f>IF(F987&lt;=1.12*SQRT(Es*I987/input!BJ23),0.58*input!BJ23,IF(F987&lt;=1.4*SQRT(Es*I987/input!BJ23),0.65*SQRT(input!BJ23*Es*I987)/F987,0.9*Es*I987/F987^2))</f>
        <v>220.39999999999998</v>
      </c>
      <c r="N987" s="185"/>
      <c r="Z987" s="73"/>
      <c r="AA987" s="73"/>
      <c r="AB987" s="73"/>
      <c r="AC987" s="559"/>
      <c r="AD987" s="559"/>
      <c r="AE987" s="559"/>
      <c r="AP987" s="143"/>
      <c r="AQ987" s="143"/>
      <c r="AR987" s="143"/>
      <c r="AS987" s="143"/>
      <c r="AT987" s="143"/>
      <c r="AU987" s="143"/>
      <c r="AV987" s="143"/>
      <c r="AW987" s="143"/>
      <c r="AX987" s="143"/>
      <c r="AY987" s="143"/>
      <c r="AZ987" s="143"/>
      <c r="BA987" s="143"/>
      <c r="BB987" s="143"/>
      <c r="BC987" s="143"/>
      <c r="BD987" s="143"/>
      <c r="BE987" s="143"/>
      <c r="BF987" s="143"/>
      <c r="BG987" s="143"/>
      <c r="BH987" s="143"/>
      <c r="BI987" s="143"/>
      <c r="BJ987" s="143"/>
      <c r="BK987" s="143"/>
      <c r="BL987" s="143"/>
      <c r="BM987" s="143"/>
      <c r="BN987" s="143"/>
      <c r="BO987" s="143"/>
    </row>
    <row r="988" spans="1:76" s="257" customFormat="1" ht="15" customHeight="1">
      <c r="A988" s="482" t="str">
        <f>+input!B24</f>
        <v>111j</v>
      </c>
      <c r="B988" s="1063" t="str">
        <f t="shared" si="38"/>
        <v>Positive</v>
      </c>
      <c r="C988" s="575">
        <f>Cons!H537</f>
        <v>0</v>
      </c>
      <c r="D988" s="676">
        <f>IF(B988="Positive",input!H24,input!K24)</f>
        <v>40</v>
      </c>
      <c r="E988" s="676">
        <f>Cons!J537</f>
        <v>600</v>
      </c>
      <c r="F988" s="21">
        <f>Cons!D604</f>
        <v>15</v>
      </c>
      <c r="G988" s="834">
        <f>Cons!G537</f>
        <v>0</v>
      </c>
      <c r="H988" s="575">
        <f>Cons!L537</f>
        <v>4</v>
      </c>
      <c r="I988" s="21">
        <f>Cons!M537</f>
        <v>5.34</v>
      </c>
      <c r="J988" s="575">
        <f>0.57*SQRT(Es*H988/input!BJ24/L853)</f>
        <v>26.799588968194769</v>
      </c>
      <c r="K988" s="575">
        <f>0.95*SQRT(Es*H988/MIN((L853-0.3)*input!BJ24,input!BK24))</f>
        <v>53.386345308530977</v>
      </c>
      <c r="L988" s="575">
        <f>IF(F988&lt;=J988,1*L921*input!BJ24*L853,IF(F988&lt;=K988,1*L921*input!BJ24*(L853-(L853-(L853-0.3)/L921)*(F988-J988)/(K988-J988)),0.9*Es*1*H988/F988^2))</f>
        <v>379.74987891304903</v>
      </c>
      <c r="M988" s="597">
        <f>IF(F988&lt;=1.12*SQRT(Es*I988/input!BJ24),0.58*input!BJ24,IF(F988&lt;=1.4*SQRT(Es*I988/input!BJ24),0.65*SQRT(input!BJ24*Es*I988)/F988,0.9*Es*I988/F988^2))</f>
        <v>220.39999999999998</v>
      </c>
      <c r="N988" s="185"/>
      <c r="Z988" s="73"/>
      <c r="AA988" s="73"/>
      <c r="AB988" s="73"/>
      <c r="AC988" s="559"/>
      <c r="AD988" s="559"/>
      <c r="AE988" s="559"/>
      <c r="AP988" s="143"/>
      <c r="AQ988" s="143"/>
      <c r="AR988" s="143"/>
      <c r="AS988" s="143"/>
      <c r="AT988" s="143"/>
      <c r="AU988" s="143"/>
      <c r="AV988" s="143"/>
      <c r="AW988" s="143"/>
      <c r="AX988" s="143"/>
      <c r="AY988" s="143"/>
      <c r="AZ988" s="143"/>
      <c r="BA988" s="143"/>
      <c r="BB988" s="143"/>
      <c r="BC988" s="143"/>
      <c r="BD988" s="143"/>
      <c r="BE988" s="143"/>
      <c r="BF988" s="143"/>
      <c r="BG988" s="143"/>
      <c r="BH988" s="143"/>
      <c r="BI988" s="143"/>
      <c r="BJ988" s="143"/>
      <c r="BK988" s="143"/>
      <c r="BL988" s="143"/>
      <c r="BM988" s="143"/>
      <c r="BN988" s="143"/>
      <c r="BO988" s="143"/>
    </row>
    <row r="989" spans="1:76" s="257" customFormat="1" ht="15" customHeight="1">
      <c r="A989" s="482" t="str">
        <f>+input!B25</f>
        <v>112i</v>
      </c>
      <c r="B989" s="1063" t="str">
        <f t="shared" si="38"/>
        <v>Positive</v>
      </c>
      <c r="C989" s="575">
        <f>Cons!H538</f>
        <v>0</v>
      </c>
      <c r="D989" s="676">
        <f>IF(B989="Positive",input!H25,input!K25)</f>
        <v>36</v>
      </c>
      <c r="E989" s="676">
        <f>Cons!J538</f>
        <v>500</v>
      </c>
      <c r="F989" s="21">
        <f>Cons!D605</f>
        <v>13.888888888888889</v>
      </c>
      <c r="G989" s="834">
        <f>Cons!G538</f>
        <v>0</v>
      </c>
      <c r="H989" s="575">
        <f>Cons!L538</f>
        <v>4</v>
      </c>
      <c r="I989" s="21">
        <f>Cons!M538</f>
        <v>5.34</v>
      </c>
      <c r="J989" s="575">
        <f>0.57*SQRT(Es*H989/input!BJ25/L854)</f>
        <v>26.79966872127557</v>
      </c>
      <c r="K989" s="575">
        <f>0.95*SQRT(Es*H989/MIN((L854-0.3)*input!BJ25,input!BK25))</f>
        <v>53.386572272529563</v>
      </c>
      <c r="L989" s="575">
        <f>IF(F989&lt;=J989,1*L922*input!BJ25*L854,IF(F989&lt;=K989,1*L922*input!BJ25*(L854-(L854-(L854-0.3)/L922)*(F989-J989)/(K989-J989)),0.9*Es*1*H989/F989^2))</f>
        <v>379.6874227643338</v>
      </c>
      <c r="M989" s="597">
        <f>IF(F989&lt;=1.12*SQRT(Es*I989/input!BJ25),0.58*input!BJ25,IF(F989&lt;=1.4*SQRT(Es*I989/input!BJ25),0.65*SQRT(input!BJ25*Es*I989)/F989,0.9*Es*I989/F989^2))</f>
        <v>220.39999999999998</v>
      </c>
      <c r="N989" s="185"/>
      <c r="Z989" s="73"/>
      <c r="AA989" s="73"/>
      <c r="AB989" s="73"/>
      <c r="AC989" s="559"/>
      <c r="AD989" s="559"/>
      <c r="AE989" s="559"/>
      <c r="AP989" s="143"/>
      <c r="AQ989" s="143"/>
      <c r="AR989" s="143"/>
      <c r="AS989" s="143"/>
      <c r="AT989" s="143"/>
      <c r="AU989" s="143"/>
      <c r="AV989" s="143"/>
      <c r="AW989" s="143"/>
      <c r="AX989" s="143"/>
      <c r="AY989" s="143"/>
      <c r="AZ989" s="143"/>
      <c r="BA989" s="143"/>
      <c r="BB989" s="143"/>
      <c r="BC989" s="143"/>
      <c r="BD989" s="143"/>
      <c r="BE989" s="143"/>
      <c r="BF989" s="143"/>
      <c r="BG989" s="143"/>
      <c r="BH989" s="143"/>
      <c r="BI989" s="143"/>
      <c r="BJ989" s="143"/>
      <c r="BK989" s="143"/>
      <c r="BL989" s="143"/>
      <c r="BM989" s="143"/>
      <c r="BN989" s="143"/>
      <c r="BO989" s="143"/>
    </row>
    <row r="990" spans="1:76" s="257" customFormat="1" ht="15" customHeight="1">
      <c r="A990" s="482" t="str">
        <f>+input!B26</f>
        <v>112j</v>
      </c>
      <c r="B990" s="1063" t="str">
        <f t="shared" si="38"/>
        <v>Positive</v>
      </c>
      <c r="C990" s="575">
        <f>Cons!H539</f>
        <v>0</v>
      </c>
      <c r="D990" s="676">
        <f>IF(B990="Positive",input!H26,input!K26)</f>
        <v>36</v>
      </c>
      <c r="E990" s="676">
        <f>Cons!J539</f>
        <v>500</v>
      </c>
      <c r="F990" s="21">
        <f>Cons!D606</f>
        <v>13.888888888888889</v>
      </c>
      <c r="G990" s="834">
        <f>Cons!G539</f>
        <v>0</v>
      </c>
      <c r="H990" s="575">
        <f>Cons!L539</f>
        <v>4</v>
      </c>
      <c r="I990" s="21">
        <f>Cons!M539</f>
        <v>5.34</v>
      </c>
      <c r="J990" s="575">
        <f>0.57*SQRT(Es*H990/input!BJ26/L855)</f>
        <v>26.799726554050981</v>
      </c>
      <c r="K990" s="575">
        <f>0.95*SQRT(Es*H990/MIN((L855-0.3)*input!BJ26,input!BK26))</f>
        <v>53.386736855529328</v>
      </c>
      <c r="L990" s="575">
        <f>IF(F990&lt;=J990,1*L923*input!BJ26*L855,IF(F990&lt;=K990,1*L923*input!BJ26*(L855-(L855-(L855-0.3)/L923)*(F990-J990)/(K990-J990)),0.9*Es*1*H990/F990^2))</f>
        <v>379.68578406449768</v>
      </c>
      <c r="M990" s="597">
        <f>IF(F990&lt;=1.12*SQRT(Es*I990/input!BJ26),0.58*input!BJ26,IF(F990&lt;=1.4*SQRT(Es*I990/input!BJ26),0.65*SQRT(input!BJ26*Es*I990)/F990,0.9*Es*I990/F990^2))</f>
        <v>220.39999999999998</v>
      </c>
      <c r="N990" s="185"/>
      <c r="Z990" s="73"/>
      <c r="AA990" s="73"/>
      <c r="AB990" s="73"/>
      <c r="AC990" s="559"/>
      <c r="AD990" s="559"/>
      <c r="AE990" s="559"/>
      <c r="AP990" s="143"/>
      <c r="AQ990" s="143"/>
      <c r="AR990" s="143"/>
      <c r="AS990" s="143"/>
      <c r="AT990" s="143"/>
      <c r="AU990" s="143"/>
      <c r="AV990" s="143"/>
      <c r="AW990" s="143"/>
      <c r="AX990" s="143"/>
      <c r="AY990" s="143"/>
      <c r="AZ990" s="143"/>
      <c r="BA990" s="143"/>
      <c r="BB990" s="143"/>
      <c r="BC990" s="143"/>
      <c r="BD990" s="143"/>
      <c r="BE990" s="143"/>
      <c r="BF990" s="143"/>
      <c r="BG990" s="143"/>
      <c r="BH990" s="143"/>
      <c r="BI990" s="143"/>
      <c r="BJ990" s="143"/>
      <c r="BK990" s="143"/>
      <c r="BL990" s="143"/>
      <c r="BM990" s="143"/>
      <c r="BN990" s="143"/>
      <c r="BO990" s="143"/>
    </row>
    <row r="991" spans="1:76" s="257" customFormat="1" ht="15" customHeight="1">
      <c r="A991" s="482" t="str">
        <f>+input!B27</f>
        <v>113i</v>
      </c>
      <c r="B991" s="1063" t="str">
        <f t="shared" si="38"/>
        <v>Positive</v>
      </c>
      <c r="C991" s="575">
        <f>Cons!H540</f>
        <v>0</v>
      </c>
      <c r="D991" s="676">
        <f>IF(B991="Positive",input!H27,input!K27)</f>
        <v>30</v>
      </c>
      <c r="E991" s="676">
        <f>Cons!J540</f>
        <v>500</v>
      </c>
      <c r="F991" s="21">
        <f>Cons!D607</f>
        <v>16.666666666666668</v>
      </c>
      <c r="G991" s="834">
        <f>Cons!G540</f>
        <v>0</v>
      </c>
      <c r="H991" s="575">
        <f>Cons!L540</f>
        <v>4</v>
      </c>
      <c r="I991" s="21">
        <f>Cons!M540</f>
        <v>5.34</v>
      </c>
      <c r="J991" s="575">
        <f>0.57*SQRT(Es*H991/input!BJ27/L856)</f>
        <v>26.80031272882114</v>
      </c>
      <c r="K991" s="575">
        <f>0.95*SQRT(Es*H991/MIN((L856-0.3)*input!BJ27,input!BK27))</f>
        <v>53.388405042674627</v>
      </c>
      <c r="L991" s="575">
        <f>IF(F991&lt;=J991,1*L924*input!BJ27*L856,IF(F991&lt;=K991,1*L924*input!BJ27*(L856-(L856-(L856-0.3)/L924)*(F991-J991)/(K991-J991)),0.9*Es*1*H991/F991^2))</f>
        <v>379.67025379824008</v>
      </c>
      <c r="M991" s="597">
        <f>IF(F991&lt;=1.12*SQRT(Es*I991/input!BJ27),0.58*input!BJ27,IF(F991&lt;=1.4*SQRT(Es*I991/input!BJ27),0.65*SQRT(input!BJ27*Es*I991)/F991,0.9*Es*I991/F991^2))</f>
        <v>220.39999999999998</v>
      </c>
      <c r="N991" s="185"/>
      <c r="Z991" s="73"/>
      <c r="AA991" s="73"/>
      <c r="AB991" s="73"/>
      <c r="AC991" s="559"/>
      <c r="AD991" s="559"/>
      <c r="AE991" s="559"/>
      <c r="AP991" s="143"/>
      <c r="AQ991" s="143"/>
      <c r="AR991" s="143"/>
      <c r="AS991" s="143"/>
      <c r="AT991" s="143"/>
      <c r="AU991" s="143"/>
      <c r="AV991" s="143"/>
      <c r="AW991" s="143"/>
      <c r="AX991" s="143"/>
      <c r="AY991" s="143"/>
      <c r="AZ991" s="143"/>
      <c r="BA991" s="143"/>
      <c r="BB991" s="143"/>
      <c r="BC991" s="143"/>
      <c r="BD991" s="143"/>
      <c r="BE991" s="143"/>
      <c r="BF991" s="143"/>
      <c r="BG991" s="143"/>
      <c r="BH991" s="143"/>
      <c r="BI991" s="143"/>
      <c r="BJ991" s="143"/>
      <c r="BK991" s="143"/>
      <c r="BL991" s="143"/>
      <c r="BM991" s="143"/>
      <c r="BN991" s="143"/>
      <c r="BO991" s="143"/>
    </row>
    <row r="992" spans="1:76" s="257" customFormat="1" ht="15" customHeight="1">
      <c r="A992" s="482" t="str">
        <f>+input!B28</f>
        <v>113j</v>
      </c>
      <c r="B992" s="1063" t="str">
        <f t="shared" si="38"/>
        <v>Positive</v>
      </c>
      <c r="C992" s="575">
        <f>Cons!H541</f>
        <v>0</v>
      </c>
      <c r="D992" s="676">
        <f>IF(B992="Positive",input!H28,input!K28)</f>
        <v>30</v>
      </c>
      <c r="E992" s="676">
        <f>Cons!J541</f>
        <v>500</v>
      </c>
      <c r="F992" s="21">
        <f>Cons!D608</f>
        <v>16.666666666666668</v>
      </c>
      <c r="G992" s="834">
        <f>Cons!G541</f>
        <v>0</v>
      </c>
      <c r="H992" s="575">
        <f>Cons!L541</f>
        <v>4</v>
      </c>
      <c r="I992" s="21">
        <f>Cons!M541</f>
        <v>5.34</v>
      </c>
      <c r="J992" s="575">
        <f>0.57*SQRT(Es*H992/input!BJ28/L857)</f>
        <v>26.800097089315379</v>
      </c>
      <c r="K992" s="575">
        <f>0.95*SQRT(Es*H992/MIN((L857-0.3)*input!BJ28,input!BK28))</f>
        <v>53.387791351558256</v>
      </c>
      <c r="L992" s="575">
        <f>IF(F992&lt;=J992,1*L925*input!BJ28*L857,IF(F992&lt;=K992,1*L925*input!BJ28*(L857-(L857-(L857-0.3)/L925)*(F992-J992)/(K992-J992)),0.9*Es*1*H992/F992^2))</f>
        <v>379.67636364440875</v>
      </c>
      <c r="M992" s="597">
        <f>IF(F992&lt;=1.12*SQRT(Es*I992/input!BJ28),0.58*input!BJ28,IF(F992&lt;=1.4*SQRT(Es*I992/input!BJ28),0.65*SQRT(input!BJ28*Es*I992)/F992,0.9*Es*I992/F992^2))</f>
        <v>220.39999999999998</v>
      </c>
      <c r="N992" s="185"/>
      <c r="Z992" s="73"/>
      <c r="AA992" s="73"/>
      <c r="AB992" s="73"/>
      <c r="AC992" s="559"/>
      <c r="AD992" s="559"/>
      <c r="AE992" s="559"/>
      <c r="AY992" s="143"/>
      <c r="AZ992" s="143"/>
      <c r="BA992" s="143"/>
      <c r="BB992" s="143"/>
      <c r="BC992" s="143"/>
      <c r="BD992" s="143"/>
      <c r="BE992" s="143"/>
      <c r="BF992" s="143"/>
      <c r="BG992" s="143"/>
      <c r="BH992" s="143"/>
      <c r="BI992" s="143"/>
      <c r="BJ992" s="143"/>
      <c r="BK992" s="143"/>
      <c r="BL992" s="143"/>
      <c r="BM992" s="143"/>
      <c r="BN992" s="143"/>
      <c r="BO992" s="143"/>
      <c r="BP992" s="143"/>
      <c r="BQ992" s="143"/>
      <c r="BR992" s="143"/>
      <c r="BS992" s="143"/>
      <c r="BT992" s="143"/>
      <c r="BU992" s="143"/>
      <c r="BV992" s="143"/>
      <c r="BW992" s="143"/>
      <c r="BX992" s="143"/>
    </row>
    <row r="993" spans="1:76" s="257" customFormat="1" ht="15" customHeight="1">
      <c r="A993" s="482" t="str">
        <f>+input!B29</f>
        <v>114i</v>
      </c>
      <c r="B993" s="1063" t="str">
        <f t="shared" si="38"/>
        <v>Positive</v>
      </c>
      <c r="C993" s="575">
        <f>Cons!H542</f>
        <v>0</v>
      </c>
      <c r="D993" s="676">
        <f>IF(B993="Positive",input!H29,input!K29)</f>
        <v>30</v>
      </c>
      <c r="E993" s="676">
        <f>Cons!J542</f>
        <v>500</v>
      </c>
      <c r="F993" s="21">
        <f>Cons!D609</f>
        <v>16.666666666666668</v>
      </c>
      <c r="G993" s="834">
        <f>Cons!G542</f>
        <v>0</v>
      </c>
      <c r="H993" s="575">
        <f>Cons!L542</f>
        <v>4</v>
      </c>
      <c r="I993" s="21">
        <f>Cons!M542</f>
        <v>5.34</v>
      </c>
      <c r="J993" s="575">
        <f>0.57*SQRT(Es*H993/input!BJ29/L858)</f>
        <v>26.800097089315379</v>
      </c>
      <c r="K993" s="575">
        <f>0.95*SQRT(Es*H993/MIN((L858-0.3)*input!BJ29,input!BK29))</f>
        <v>53.387791351558256</v>
      </c>
      <c r="L993" s="575">
        <f>IF(F993&lt;=J993,1*L926*input!BJ29*L858,IF(F993&lt;=K993,1*L926*input!BJ29*(L858-(L858-(L858-0.3)/L926)*(F993-J993)/(K993-J993)),0.9*Es*1*H993/F993^2))</f>
        <v>379.67636364440875</v>
      </c>
      <c r="M993" s="597">
        <f>IF(F993&lt;=1.12*SQRT(Es*I993/input!BJ29),0.58*input!BJ29,IF(F993&lt;=1.4*SQRT(Es*I993/input!BJ29),0.65*SQRT(input!BJ29*Es*I993)/F993,0.9*Es*I993/F993^2))</f>
        <v>220.39999999999998</v>
      </c>
      <c r="N993" s="185"/>
      <c r="Z993" s="73"/>
      <c r="AA993" s="73"/>
      <c r="AB993" s="73"/>
      <c r="AC993" s="559"/>
      <c r="AD993" s="559"/>
      <c r="AE993" s="559"/>
      <c r="AY993" s="143"/>
      <c r="AZ993" s="143"/>
      <c r="BA993" s="143"/>
      <c r="BB993" s="143"/>
      <c r="BC993" s="143"/>
      <c r="BD993" s="143"/>
      <c r="BE993" s="143"/>
      <c r="BF993" s="143"/>
      <c r="BG993" s="143"/>
      <c r="BH993" s="143"/>
      <c r="BI993" s="143"/>
      <c r="BJ993" s="143"/>
      <c r="BK993" s="143"/>
      <c r="BL993" s="143"/>
      <c r="BM993" s="143"/>
      <c r="BN993" s="143"/>
      <c r="BO993" s="143"/>
      <c r="BP993" s="143"/>
      <c r="BQ993" s="143"/>
      <c r="BR993" s="143"/>
      <c r="BS993" s="143"/>
      <c r="BT993" s="143"/>
      <c r="BU993" s="143"/>
      <c r="BV993" s="143"/>
      <c r="BW993" s="143"/>
      <c r="BX993" s="143"/>
    </row>
    <row r="994" spans="1:76" s="257" customFormat="1" ht="15" customHeight="1">
      <c r="A994" s="482" t="str">
        <f>+input!B30</f>
        <v>114j</v>
      </c>
      <c r="B994" s="1063" t="str">
        <f t="shared" si="38"/>
        <v>Positive</v>
      </c>
      <c r="C994" s="575">
        <f>Cons!H543</f>
        <v>0</v>
      </c>
      <c r="D994" s="676">
        <f>IF(B994="Positive",input!H30,input!K30)</f>
        <v>30</v>
      </c>
      <c r="E994" s="676">
        <f>Cons!J543</f>
        <v>500</v>
      </c>
      <c r="F994" s="21">
        <f>Cons!D610</f>
        <v>16.666666666666668</v>
      </c>
      <c r="G994" s="834">
        <f>Cons!G543</f>
        <v>0</v>
      </c>
      <c r="H994" s="575">
        <f>Cons!L543</f>
        <v>4</v>
      </c>
      <c r="I994" s="21">
        <f>Cons!M543</f>
        <v>5.34</v>
      </c>
      <c r="J994" s="575">
        <f>0.57*SQRT(Es*H994/input!BJ30/L859)</f>
        <v>26.800291343264256</v>
      </c>
      <c r="K994" s="575">
        <f>0.95*SQRT(Es*H994/MIN((L859-0.3)*input!BJ30,input!BK30))</f>
        <v>53.388344180972169</v>
      </c>
      <c r="L994" s="575">
        <f>IF(F994&lt;=J994,1*L927*input!BJ30*L859,IF(F994&lt;=K994,1*L927*input!BJ30*(L859-(L859-(L859-0.3)/L927)*(F994-J994)/(K994-J994)),0.9*Es*1*H994/F994^2))</f>
        <v>379.6708597217314</v>
      </c>
      <c r="M994" s="597">
        <f>IF(F994&lt;=1.12*SQRT(Es*I994/input!BJ30),0.58*input!BJ30,IF(F994&lt;=1.4*SQRT(Es*I994/input!BJ30),0.65*SQRT(input!BJ30*Es*I994)/F994,0.9*Es*I994/F994^2))</f>
        <v>220.39999999999998</v>
      </c>
      <c r="N994" s="185"/>
      <c r="Z994" s="73"/>
      <c r="AA994" s="73"/>
      <c r="AB994" s="73"/>
      <c r="AC994" s="559"/>
      <c r="AD994" s="559"/>
      <c r="AE994" s="559"/>
      <c r="AY994" s="143"/>
      <c r="AZ994" s="143"/>
      <c r="BA994" s="143"/>
      <c r="BB994" s="143"/>
      <c r="BC994" s="143"/>
      <c r="BD994" s="143"/>
      <c r="BE994" s="143"/>
      <c r="BF994" s="143"/>
      <c r="BG994" s="143"/>
      <c r="BH994" s="143"/>
      <c r="BI994" s="143"/>
      <c r="BJ994" s="143"/>
      <c r="BK994" s="143"/>
      <c r="BL994" s="143"/>
      <c r="BM994" s="143"/>
      <c r="BN994" s="143"/>
      <c r="BO994" s="143"/>
      <c r="BP994" s="143"/>
      <c r="BQ994" s="143"/>
      <c r="BR994" s="143"/>
      <c r="BS994" s="143"/>
      <c r="BT994" s="143"/>
      <c r="BU994" s="143"/>
      <c r="BV994" s="143"/>
      <c r="BW994" s="143"/>
      <c r="BX994" s="143"/>
    </row>
    <row r="995" spans="1:76" s="257" customFormat="1" ht="15" customHeight="1">
      <c r="A995" s="482" t="str">
        <f>+input!B31</f>
        <v>115i</v>
      </c>
      <c r="B995" s="1063" t="str">
        <f t="shared" si="38"/>
        <v>Positive</v>
      </c>
      <c r="C995" s="575">
        <f>Cons!H544</f>
        <v>0</v>
      </c>
      <c r="D995" s="676">
        <f>IF(B995="Positive",input!H31,input!K31)</f>
        <v>22</v>
      </c>
      <c r="E995" s="676">
        <f>Cons!J544</f>
        <v>500</v>
      </c>
      <c r="F995" s="21">
        <f>Cons!D611</f>
        <v>22.727272727272727</v>
      </c>
      <c r="G995" s="834">
        <f>Cons!G544</f>
        <v>0</v>
      </c>
      <c r="H995" s="575">
        <f>Cons!L544</f>
        <v>4</v>
      </c>
      <c r="I995" s="21">
        <f>Cons!M544</f>
        <v>5.34</v>
      </c>
      <c r="J995" s="575">
        <f>0.57*SQRT(Es*H995/input!BJ31/L860)</f>
        <v>26.802010148331185</v>
      </c>
      <c r="K995" s="575">
        <f>0.95*SQRT(Es*H995/MIN((L860-0.3)*input!BJ31,input!BK31))</f>
        <v>53.39323597140617</v>
      </c>
      <c r="L995" s="575">
        <f>IF(F995&lt;=J995,1*L928*input!BJ31*L860,IF(F995&lt;=K995,1*L928*input!BJ31*(L860-(L860-(L860-0.3)/L928)*(F995-J995)/(K995-J995)),0.9*Es*1*H995/F995^2))</f>
        <v>379.41047654817015</v>
      </c>
      <c r="M995" s="597">
        <f>IF(F995&lt;=1.12*SQRT(Es*I995/input!BJ31),0.58*input!BJ31,IF(F995&lt;=1.4*SQRT(Es*I995/input!BJ31),0.65*SQRT(input!BJ31*Es*I995)/F995,0.9*Es*I995/F995^2))</f>
        <v>220.39999999999998</v>
      </c>
      <c r="N995" s="185"/>
      <c r="Z995" s="73"/>
      <c r="AA995" s="73"/>
      <c r="AB995" s="73"/>
      <c r="AC995" s="559"/>
      <c r="AD995" s="559"/>
      <c r="AE995" s="559"/>
      <c r="AY995" s="143"/>
      <c r="AZ995" s="143"/>
      <c r="BA995" s="143"/>
      <c r="BB995" s="143"/>
      <c r="BC995" s="143"/>
      <c r="BD995" s="143"/>
      <c r="BE995" s="143"/>
      <c r="BF995" s="143"/>
      <c r="BG995" s="143"/>
      <c r="BH995" s="143"/>
      <c r="BI995" s="143"/>
      <c r="BJ995" s="143"/>
      <c r="BK995" s="143"/>
      <c r="BL995" s="143"/>
      <c r="BM995" s="143"/>
      <c r="BN995" s="143"/>
      <c r="BO995" s="143"/>
      <c r="BP995" s="143"/>
      <c r="BQ995" s="143"/>
      <c r="BR995" s="143"/>
      <c r="BS995" s="143"/>
      <c r="BT995" s="143"/>
      <c r="BU995" s="143"/>
      <c r="BV995" s="143"/>
      <c r="BW995" s="143"/>
      <c r="BX995" s="143"/>
    </row>
    <row r="996" spans="1:76" s="257" customFormat="1" ht="15" customHeight="1">
      <c r="A996" s="482" t="str">
        <f>+input!B32</f>
        <v>115j</v>
      </c>
      <c r="B996" s="1063" t="str">
        <f t="shared" si="38"/>
        <v>Negative</v>
      </c>
      <c r="C996" s="575">
        <f>Cons!H545</f>
        <v>556</v>
      </c>
      <c r="D996" s="676">
        <f>IF(B996="Positive",input!H32,input!K32)</f>
        <v>18</v>
      </c>
      <c r="E996" s="676">
        <f>Cons!J545</f>
        <v>1940</v>
      </c>
      <c r="F996" s="21">
        <f>Cons!D612</f>
        <v>30.888888888888889</v>
      </c>
      <c r="G996" s="834">
        <f>Cons!G545</f>
        <v>21845333.333333332</v>
      </c>
      <c r="H996" s="575">
        <f>Cons!L545</f>
        <v>1.8194269748111445</v>
      </c>
      <c r="I996" s="21">
        <f>Cons!M545</f>
        <v>1.1893127859110977</v>
      </c>
      <c r="J996" s="575">
        <f>0.57*SQRT(Es*H996/input!BJ32/L861)</f>
        <v>18.076984784686289</v>
      </c>
      <c r="K996" s="575">
        <f>0.95*SQRT(Es*H996/MIN((L861-0.3)*input!BJ32,input!BK32))</f>
        <v>36.012560626561495</v>
      </c>
      <c r="L996" s="575">
        <f>IF(F996&lt;=J996,1*L929*input!BJ32*L861,IF(F996&lt;=K996,1*L929*input!BJ32*(L861-(L861-(L861-0.3)/L929)*(F996-J996)/(K996-J996)),0.9*Es*1*H996/F996^2))</f>
        <v>298.30870457894798</v>
      </c>
      <c r="M996" s="597">
        <f>IF(F996&lt;=1.12*SQRT(Es*I996/input!BJ32),0.58*input!BJ32,IF(F996&lt;=1.4*SQRT(Es*I996/input!BJ32),0.65*SQRT(input!BJ32*Es*I996)/F996,0.9*Es*I996/F996^2))</f>
        <v>205.00316201919566</v>
      </c>
      <c r="N996" s="185"/>
      <c r="Z996" s="73"/>
      <c r="AA996" s="73"/>
      <c r="AB996" s="73"/>
      <c r="AC996" s="122"/>
      <c r="AD996" s="122"/>
      <c r="AE996" s="122"/>
      <c r="AF996" s="170"/>
      <c r="AY996" s="143"/>
      <c r="AZ996" s="143"/>
      <c r="BA996" s="143"/>
      <c r="BB996" s="143"/>
      <c r="BC996" s="143"/>
      <c r="BD996" s="143"/>
      <c r="BE996" s="143"/>
      <c r="BF996" s="143"/>
      <c r="BG996" s="143"/>
      <c r="BH996" s="143"/>
      <c r="BI996" s="143"/>
      <c r="BJ996" s="143"/>
      <c r="BK996" s="143"/>
      <c r="BL996" s="143"/>
      <c r="BM996" s="143"/>
      <c r="BN996" s="143"/>
      <c r="BO996" s="143"/>
      <c r="BP996" s="143"/>
      <c r="BQ996" s="143"/>
      <c r="BR996" s="143"/>
      <c r="BS996" s="143"/>
      <c r="BT996" s="143"/>
      <c r="BU996" s="143"/>
      <c r="BV996" s="143"/>
      <c r="BW996" s="143"/>
      <c r="BX996" s="143"/>
    </row>
    <row r="997" spans="1:76" s="257" customFormat="1" ht="15" customHeight="1">
      <c r="A997" s="482" t="str">
        <f>+input!B33</f>
        <v>116i</v>
      </c>
      <c r="B997" s="1063" t="str">
        <f t="shared" si="38"/>
        <v>Negative</v>
      </c>
      <c r="C997" s="575">
        <f>Cons!H546</f>
        <v>555</v>
      </c>
      <c r="D997" s="676">
        <f>IF(B997="Positive",input!H33,input!K33)</f>
        <v>24</v>
      </c>
      <c r="E997" s="676">
        <f>Cons!J546</f>
        <v>1937</v>
      </c>
      <c r="F997" s="21">
        <f>Cons!D613</f>
        <v>23.125</v>
      </c>
      <c r="G997" s="834">
        <f>Cons!G546</f>
        <v>21845333.333333332</v>
      </c>
      <c r="H997" s="575">
        <f>Cons!L546</f>
        <v>1.3653893010716052</v>
      </c>
      <c r="I997" s="21">
        <f>Cons!M546</f>
        <v>1.0405862209039694</v>
      </c>
      <c r="J997" s="575">
        <f>0.57*SQRT(Es*H997/input!BJ33/L862)</f>
        <v>15.658771545304305</v>
      </c>
      <c r="K997" s="575">
        <f>0.95*SQRT(Es*H997/MIN((L862-0.3)*input!BJ33,input!BK33))</f>
        <v>31.194150511813174</v>
      </c>
      <c r="L997" s="575">
        <f>IF(F997&lt;=J997,1*L930*input!BJ33*L862,IF(F997&lt;=K997,1*L930*input!BJ33*(L862-(L862-(L862-0.3)/L930)*(F997-J997)/(K997-J997)),0.9*Es*1*H997/F997^2))</f>
        <v>324.95077687034529</v>
      </c>
      <c r="M997" s="597">
        <f>IF(F997&lt;=1.12*SQRT(Es*I997/input!BJ33),0.58*input!BJ33,IF(F997&lt;=1.4*SQRT(Es*I997/input!BJ33),0.65*SQRT(input!BJ33*Es*I997)/F997,0.9*Es*I997/F997^2))</f>
        <v>220.39999999999998</v>
      </c>
      <c r="N997" s="185"/>
      <c r="Z997" s="73"/>
      <c r="AA997" s="73"/>
      <c r="AB997" s="73"/>
      <c r="AC997" s="559"/>
      <c r="AD997" s="559"/>
      <c r="AE997" s="559"/>
      <c r="AP997" s="143"/>
      <c r="AQ997" s="143"/>
      <c r="AR997" s="143"/>
      <c r="AS997" s="143"/>
      <c r="AT997" s="143"/>
      <c r="AU997" s="143"/>
      <c r="AV997" s="143"/>
      <c r="AW997" s="143"/>
      <c r="AX997" s="143"/>
      <c r="AY997" s="143"/>
      <c r="AZ997" s="143"/>
      <c r="BA997" s="143"/>
      <c r="BB997" s="143"/>
      <c r="BC997" s="143"/>
      <c r="BD997" s="143"/>
      <c r="BE997" s="143"/>
      <c r="BF997" s="143"/>
      <c r="BG997" s="143"/>
      <c r="BH997" s="143"/>
      <c r="BI997" s="143"/>
      <c r="BJ997" s="143"/>
      <c r="BK997" s="143"/>
      <c r="BL997" s="143"/>
      <c r="BM997" s="143"/>
      <c r="BN997" s="143"/>
      <c r="BO997" s="143"/>
    </row>
    <row r="998" spans="1:76" s="257" customFormat="1" ht="15" customHeight="1">
      <c r="A998" s="482" t="str">
        <f>+input!B34</f>
        <v>116j</v>
      </c>
      <c r="B998" s="1063" t="str">
        <f t="shared" si="38"/>
        <v>Negative</v>
      </c>
      <c r="C998" s="575">
        <f>Cons!H547</f>
        <v>555</v>
      </c>
      <c r="D998" s="676">
        <f>IF(B998="Positive",input!H34,input!K34)</f>
        <v>24</v>
      </c>
      <c r="E998" s="676">
        <f>Cons!J547</f>
        <v>1937</v>
      </c>
      <c r="F998" s="21">
        <f>Cons!D614</f>
        <v>23.125</v>
      </c>
      <c r="G998" s="834">
        <f>Cons!G547</f>
        <v>21845333.333333332</v>
      </c>
      <c r="H998" s="575">
        <f>Cons!L547</f>
        <v>1.3653893010716052</v>
      </c>
      <c r="I998" s="21">
        <f>Cons!M547</f>
        <v>1.0405862209039694</v>
      </c>
      <c r="J998" s="575">
        <f>0.57*SQRT(Es*H998/input!BJ34/L863)</f>
        <v>15.658994978875135</v>
      </c>
      <c r="K998" s="575">
        <f>0.95*SQRT(Es*H998/MIN((L863-0.3)*input!BJ34,input!BK34))</f>
        <v>31.194786430134755</v>
      </c>
      <c r="L998" s="575">
        <f>IF(F998&lt;=J998,1*L931*input!BJ34*L863,IF(F998&lt;=K998,1*L931*input!BJ34*(L863-(L863-(L863-0.3)/L931)*(F998-J998)/(K998-J998)),0.9*Es*1*H998/F998^2))</f>
        <v>324.94302407522173</v>
      </c>
      <c r="M998" s="597">
        <f>IF(F998&lt;=1.12*SQRT(Es*I998/input!BJ34),0.58*input!BJ34,IF(F998&lt;=1.4*SQRT(Es*I998/input!BJ34),0.65*SQRT(input!BJ34*Es*I998)/F998,0.9*Es*I998/F998^2))</f>
        <v>220.39999999999998</v>
      </c>
      <c r="N998" s="185"/>
      <c r="Z998" s="73"/>
      <c r="AA998" s="73"/>
      <c r="AB998" s="73"/>
      <c r="AC998" s="559"/>
      <c r="AD998" s="559"/>
      <c r="AE998" s="559"/>
      <c r="AP998" s="143"/>
      <c r="AQ998" s="143"/>
      <c r="AR998" s="143"/>
      <c r="AS998" s="143"/>
      <c r="AT998" s="143"/>
      <c r="AU998" s="143"/>
      <c r="AV998" s="143"/>
      <c r="AW998" s="143"/>
      <c r="AX998" s="143"/>
      <c r="AY998" s="143"/>
      <c r="AZ998" s="143"/>
      <c r="BA998" s="143"/>
      <c r="BB998" s="143"/>
      <c r="BC998" s="143"/>
      <c r="BD998" s="143"/>
      <c r="BE998" s="143"/>
      <c r="BF998" s="143"/>
      <c r="BG998" s="143"/>
      <c r="BH998" s="143"/>
      <c r="BI998" s="143"/>
      <c r="BJ998" s="143"/>
      <c r="BK998" s="143"/>
      <c r="BL998" s="143"/>
      <c r="BM998" s="143"/>
      <c r="BN998" s="143"/>
      <c r="BO998" s="143"/>
    </row>
    <row r="999" spans="1:76" s="257" customFormat="1" ht="15" customHeight="1">
      <c r="A999" s="482" t="str">
        <f>+input!B35</f>
        <v>117i</v>
      </c>
      <c r="B999" s="1063" t="str">
        <f t="shared" ref="B999:B1028" si="39">B466</f>
        <v>Negative</v>
      </c>
      <c r="C999" s="575">
        <f>Cons!H548</f>
        <v>545.66666666666663</v>
      </c>
      <c r="D999" s="676">
        <f>IF(B999="Positive",input!H35,input!K35)</f>
        <v>28</v>
      </c>
      <c r="E999" s="676">
        <f>Cons!J548</f>
        <v>1909</v>
      </c>
      <c r="F999" s="21">
        <f>Cons!D615</f>
        <v>19.488095238095237</v>
      </c>
      <c r="G999" s="834">
        <f>Cons!G548</f>
        <v>21845333.333333332</v>
      </c>
      <c r="H999" s="575">
        <f>Cons!L548</f>
        <v>1.17696864176425</v>
      </c>
      <c r="I999" s="21">
        <f>Cons!M548</f>
        <v>0.97886632615524227</v>
      </c>
      <c r="J999" s="575">
        <f>0.57*SQRT(Es*H999/input!BJ35/L864)</f>
        <v>14.538104151911986</v>
      </c>
      <c r="K999" s="575">
        <f>0.95*SQRT(Es*H999/MIN((L864-0.3)*input!BJ35,input!BK35))</f>
        <v>28.961529186747455</v>
      </c>
      <c r="L999" s="575">
        <f>IF(F999&lt;=J999,1*L932*input!BJ35*L864,IF(F999&lt;=K999,1*L932*input!BJ35*(L864-(L864-(L864-0.3)/L932)*(F999-J999)/(K999-J999)),0.9*Es*1*H999/F999^2))</f>
        <v>340.63934324138387</v>
      </c>
      <c r="M999" s="597">
        <f>IF(F999&lt;=1.12*SQRT(Es*I999/input!BJ35),0.58*input!BJ35,IF(F999&lt;=1.4*SQRT(Es*I999/input!BJ35),0.65*SQRT(input!BJ35*Es*I999)/F999,0.9*Es*I999/F999^2))</f>
        <v>220.39999999999998</v>
      </c>
      <c r="N999" s="185"/>
      <c r="Z999" s="73"/>
      <c r="AA999" s="73"/>
      <c r="AB999" s="73"/>
      <c r="AC999" s="559"/>
      <c r="AD999" s="559"/>
      <c r="AE999" s="559"/>
      <c r="AP999" s="143"/>
      <c r="AQ999" s="143"/>
      <c r="AR999" s="143"/>
      <c r="AS999" s="143"/>
      <c r="AT999" s="143"/>
      <c r="AU999" s="143"/>
      <c r="AV999" s="143"/>
      <c r="AW999" s="143"/>
      <c r="AX999" s="143"/>
      <c r="AY999" s="143"/>
      <c r="AZ999" s="143"/>
      <c r="BA999" s="143"/>
      <c r="BB999" s="143"/>
      <c r="BC999" s="143"/>
      <c r="BD999" s="143"/>
      <c r="BE999" s="143"/>
      <c r="BF999" s="143"/>
      <c r="BG999" s="143"/>
      <c r="BH999" s="143"/>
      <c r="BI999" s="143"/>
      <c r="BJ999" s="143"/>
      <c r="BK999" s="143"/>
      <c r="BL999" s="143"/>
      <c r="BM999" s="143"/>
      <c r="BN999" s="143"/>
      <c r="BO999" s="143"/>
    </row>
    <row r="1000" spans="1:76" s="257" customFormat="1" ht="15" customHeight="1">
      <c r="A1000" s="482" t="str">
        <f>+input!B36</f>
        <v>117j</v>
      </c>
      <c r="B1000" s="1063" t="str">
        <f t="shared" si="39"/>
        <v>Negative</v>
      </c>
      <c r="C1000" s="575">
        <f>Cons!H549</f>
        <v>545.66666666666663</v>
      </c>
      <c r="D1000" s="676">
        <f>IF(B1000="Positive",input!H36,input!K36)</f>
        <v>28</v>
      </c>
      <c r="E1000" s="676">
        <f>Cons!J549</f>
        <v>1909</v>
      </c>
      <c r="F1000" s="21">
        <f>Cons!D616</f>
        <v>19.488095238095237</v>
      </c>
      <c r="G1000" s="834">
        <f>Cons!G549</f>
        <v>21845333.333333332</v>
      </c>
      <c r="H1000" s="575">
        <f>Cons!L549</f>
        <v>1.17696864176425</v>
      </c>
      <c r="I1000" s="21">
        <f>Cons!M549</f>
        <v>0.97886632615524227</v>
      </c>
      <c r="J1000" s="575">
        <f>0.57*SQRT(Es*H1000/input!BJ36/L865)</f>
        <v>14.538122066664599</v>
      </c>
      <c r="K1000" s="575">
        <f>0.95*SQRT(Es*H1000/MIN((L865-0.3)*input!BJ36,input!BK36))</f>
        <v>28.961580173200442</v>
      </c>
      <c r="L1000" s="575">
        <f>IF(F1000&lt;=J1000,1*L933*input!BJ36*L865,IF(F1000&lt;=K1000,1*L933*input!BJ36*(L865-(L865-(L865-0.3)/L933)*(F1000-J1000)/(K1000-J1000)),0.9*Es*1*H1000/F1000^2))</f>
        <v>340.63863805424035</v>
      </c>
      <c r="M1000" s="597">
        <f>IF(F1000&lt;=1.12*SQRT(Es*I1000/input!BJ36),0.58*input!BJ36,IF(F1000&lt;=1.4*SQRT(Es*I1000/input!BJ36),0.65*SQRT(input!BJ36*Es*I1000)/F1000,0.9*Es*I1000/F1000^2))</f>
        <v>220.39999999999998</v>
      </c>
      <c r="N1000" s="185"/>
      <c r="Z1000" s="73"/>
      <c r="AA1000" s="73"/>
      <c r="AB1000" s="73"/>
      <c r="AC1000" s="559"/>
      <c r="AD1000" s="559"/>
      <c r="AE1000" s="559"/>
      <c r="AP1000" s="143"/>
      <c r="AQ1000" s="143"/>
      <c r="AR1000" s="143"/>
      <c r="AS1000" s="143"/>
      <c r="AT1000" s="143"/>
      <c r="AU1000" s="143"/>
      <c r="AV1000" s="143"/>
      <c r="AW1000" s="143"/>
      <c r="AX1000" s="143"/>
      <c r="AY1000" s="143"/>
      <c r="AZ1000" s="143"/>
      <c r="BA1000" s="143"/>
      <c r="BB1000" s="143"/>
      <c r="BC1000" s="143"/>
      <c r="BD1000" s="143"/>
      <c r="BE1000" s="143"/>
      <c r="BF1000" s="143"/>
      <c r="BG1000" s="143"/>
      <c r="BH1000" s="143"/>
      <c r="BI1000" s="143"/>
      <c r="BJ1000" s="143"/>
      <c r="BK1000" s="143"/>
      <c r="BL1000" s="143"/>
      <c r="BM1000" s="143"/>
      <c r="BN1000" s="143"/>
      <c r="BO1000" s="143"/>
    </row>
    <row r="1001" spans="1:76" s="257" customFormat="1" ht="15" customHeight="1">
      <c r="A1001" s="482" t="str">
        <f>+input!B37</f>
        <v>118i</v>
      </c>
      <c r="B1001" s="1063" t="str">
        <f t="shared" si="39"/>
        <v>Negative</v>
      </c>
      <c r="C1001" s="575">
        <f>Cons!H550</f>
        <v>530.66666666666663</v>
      </c>
      <c r="D1001" s="676">
        <f>IF(B1001="Positive",input!H37,input!K37)</f>
        <v>30</v>
      </c>
      <c r="E1001" s="676">
        <f>Cons!J550</f>
        <v>1864</v>
      </c>
      <c r="F1001" s="21">
        <f>Cons!D617</f>
        <v>17.688888888888886</v>
      </c>
      <c r="G1001" s="834">
        <f>Cons!G550</f>
        <v>21845333.333333332</v>
      </c>
      <c r="H1001" s="575">
        <f>Cons!L550</f>
        <v>1.1087582745644511</v>
      </c>
      <c r="I1001" s="21">
        <f>Cons!M550</f>
        <v>0.95652304012801159</v>
      </c>
      <c r="J1001" s="575">
        <f>0.57*SQRT(Es*H1001/input!BJ37/L866)</f>
        <v>14.110341128615644</v>
      </c>
      <c r="K1001" s="575">
        <f>0.95*SQRT(Es*H1001/MIN((L866-0.3)*input!BJ37,input!BK37))</f>
        <v>28.109203910342934</v>
      </c>
      <c r="L1001" s="575">
        <f>IF(F1001&lt;=J1001,1*L934*input!BJ37*L866,IF(F1001&lt;=K1001,1*L934*input!BJ37*(L866-(L866-(L866-0.3)/L934)*(F1001-J1001)/(K1001-J1001)),0.9*Es*1*H1001/F1001^2))</f>
        <v>350.69352320292467</v>
      </c>
      <c r="M1001" s="597">
        <f>IF(F1001&lt;=1.12*SQRT(Es*I1001/input!BJ37),0.58*input!BJ37,IF(F1001&lt;=1.4*SQRT(Es*I1001/input!BJ37),0.65*SQRT(input!BJ37*Es*I1001)/F1001,0.9*Es*I1001/F1001^2))</f>
        <v>220.39999999999998</v>
      </c>
      <c r="N1001" s="185"/>
      <c r="Z1001" s="73"/>
      <c r="AA1001" s="73"/>
      <c r="AB1001" s="73"/>
      <c r="AC1001" s="559"/>
      <c r="AD1001" s="559"/>
      <c r="AE1001" s="559"/>
      <c r="AP1001" s="143"/>
      <c r="AQ1001" s="143"/>
      <c r="AR1001" s="143"/>
      <c r="AS1001" s="143"/>
      <c r="AT1001" s="143"/>
      <c r="AU1001" s="143"/>
      <c r="AV1001" s="143"/>
      <c r="AW1001" s="143"/>
      <c r="AX1001" s="143"/>
      <c r="AY1001" s="143"/>
      <c r="AZ1001" s="143"/>
      <c r="BA1001" s="143"/>
      <c r="BB1001" s="143"/>
      <c r="BC1001" s="143"/>
      <c r="BD1001" s="143"/>
      <c r="BE1001" s="143"/>
      <c r="BF1001" s="143"/>
      <c r="BG1001" s="143"/>
      <c r="BH1001" s="143"/>
      <c r="BI1001" s="143"/>
      <c r="BJ1001" s="143"/>
      <c r="BK1001" s="143"/>
      <c r="BL1001" s="143"/>
      <c r="BM1001" s="143"/>
      <c r="BN1001" s="143"/>
      <c r="BO1001" s="143"/>
    </row>
    <row r="1002" spans="1:76" s="257" customFormat="1" ht="15" customHeight="1">
      <c r="A1002" s="482" t="str">
        <f>+input!B38</f>
        <v>118j</v>
      </c>
      <c r="B1002" s="1063" t="str">
        <f t="shared" si="39"/>
        <v>Negative</v>
      </c>
      <c r="C1002" s="575">
        <f>Cons!H551</f>
        <v>530.66666666666663</v>
      </c>
      <c r="D1002" s="676">
        <f>IF(B1002="Positive",input!H38,input!K38)</f>
        <v>30</v>
      </c>
      <c r="E1002" s="676">
        <f>Cons!J551</f>
        <v>1864</v>
      </c>
      <c r="F1002" s="21">
        <f>Cons!D618</f>
        <v>17.688888888888886</v>
      </c>
      <c r="G1002" s="834">
        <f>Cons!G551</f>
        <v>21845333.333333332</v>
      </c>
      <c r="H1002" s="575">
        <f>Cons!L551</f>
        <v>1.1087582745644511</v>
      </c>
      <c r="I1002" s="21">
        <f>Cons!M551</f>
        <v>0.95652304012801159</v>
      </c>
      <c r="J1002" s="575">
        <f>0.57*SQRT(Es*H1002/input!BJ38/L867)</f>
        <v>14.110434135082876</v>
      </c>
      <c r="K1002" s="575">
        <f>0.95*SQRT(Es*H1002/MIN((L867-0.3)*input!BJ38,input!BK38))</f>
        <v>28.109468608299014</v>
      </c>
      <c r="L1002" s="575">
        <f>IF(F1002&lt;=J1002,1*L935*input!BJ38*L867,IF(F1002&lt;=K1002,1*L935*input!BJ38*(L867-(L867-(L867-0.3)/L935)*(F1002-J1002)/(K1002-J1002)),0.9*Es*1*H1002/F1002^2))</f>
        <v>350.68962922861033</v>
      </c>
      <c r="M1002" s="597">
        <f>IF(F1002&lt;=1.12*SQRT(Es*I1002/input!BJ38),0.58*input!BJ38,IF(F1002&lt;=1.4*SQRT(Es*I1002/input!BJ38),0.65*SQRT(input!BJ38*Es*I1002)/F1002,0.9*Es*I1002/F1002^2))</f>
        <v>220.39999999999998</v>
      </c>
      <c r="N1002" s="185"/>
      <c r="Z1002" s="73"/>
      <c r="AA1002" s="73"/>
      <c r="AB1002" s="73"/>
      <c r="AC1002" s="559"/>
      <c r="AD1002" s="559"/>
      <c r="AE1002" s="559"/>
      <c r="AY1002" s="143"/>
      <c r="AZ1002" s="143"/>
      <c r="BA1002" s="143"/>
      <c r="BB1002" s="143"/>
      <c r="BC1002" s="143"/>
      <c r="BD1002" s="143"/>
      <c r="BE1002" s="143"/>
      <c r="BF1002" s="143"/>
      <c r="BG1002" s="143"/>
      <c r="BH1002" s="143"/>
      <c r="BI1002" s="143"/>
      <c r="BJ1002" s="143"/>
      <c r="BK1002" s="143"/>
      <c r="BL1002" s="143"/>
      <c r="BM1002" s="143"/>
      <c r="BN1002" s="143"/>
      <c r="BO1002" s="143"/>
      <c r="BP1002" s="143"/>
      <c r="BQ1002" s="143"/>
      <c r="BR1002" s="143"/>
      <c r="BS1002" s="143"/>
      <c r="BT1002" s="143"/>
      <c r="BU1002" s="143"/>
      <c r="BV1002" s="143"/>
      <c r="BW1002" s="143"/>
      <c r="BX1002" s="143"/>
    </row>
    <row r="1003" spans="1:76" s="257" customFormat="1" ht="15" customHeight="1">
      <c r="A1003" s="482" t="str">
        <f>+input!B39</f>
        <v>119i</v>
      </c>
      <c r="B1003" s="1063" t="str">
        <f t="shared" si="39"/>
        <v>Negative</v>
      </c>
      <c r="C1003" s="575">
        <f>Cons!H552</f>
        <v>522.66666666666663</v>
      </c>
      <c r="D1003" s="676">
        <f>IF(B1003="Positive",input!H39,input!K39)</f>
        <v>30</v>
      </c>
      <c r="E1003" s="676">
        <f>Cons!J552</f>
        <v>1840</v>
      </c>
      <c r="F1003" s="21">
        <f>Cons!D619</f>
        <v>17.422222222222221</v>
      </c>
      <c r="G1003" s="834">
        <f>Cons!G552</f>
        <v>21845333.333333332</v>
      </c>
      <c r="H1003" s="575">
        <f>Cons!L552</f>
        <v>1.1143865855967701</v>
      </c>
      <c r="I1003" s="21">
        <f>Cons!M552</f>
        <v>0.9583666742910848</v>
      </c>
      <c r="J1003" s="575">
        <f>0.57*SQRT(Es*H1003/input!BJ39/L868)</f>
        <v>14.146159383220693</v>
      </c>
      <c r="K1003" s="575">
        <f>0.95*SQRT(Es*H1003/MIN((L868-0.3)*input!BJ39,input!BK39))</f>
        <v>28.180600071687437</v>
      </c>
      <c r="L1003" s="575">
        <f>IF(F1003&lt;=J1003,1*L936*input!BJ39*L868,IF(F1003&lt;=K1003,1*L936*input!BJ39*(L868-(L868-(L868-0.3)/L936)*(F1003-J1003)/(K1003-J1003)),0.9*Es*1*H1003/F1003^2))</f>
        <v>353.21184922801018</v>
      </c>
      <c r="M1003" s="597">
        <f>IF(F1003&lt;=1.12*SQRT(Es*I1003/input!BJ39),0.58*input!BJ39,IF(F1003&lt;=1.4*SQRT(Es*I1003/input!BJ39),0.65*SQRT(input!BJ39*Es*I1003)/F1003,0.9*Es*I1003/F1003^2))</f>
        <v>220.39999999999998</v>
      </c>
      <c r="N1003" s="185"/>
      <c r="Z1003" s="73"/>
      <c r="AA1003" s="73"/>
      <c r="AB1003" s="73"/>
      <c r="AC1003" s="559"/>
      <c r="AD1003" s="559"/>
      <c r="AE1003" s="559"/>
      <c r="AY1003" s="143"/>
      <c r="AZ1003" s="143"/>
      <c r="BA1003" s="143"/>
      <c r="BB1003" s="143"/>
      <c r="BC1003" s="143"/>
      <c r="BD1003" s="143"/>
      <c r="BE1003" s="143"/>
      <c r="BF1003" s="143"/>
      <c r="BG1003" s="143"/>
      <c r="BH1003" s="143"/>
      <c r="BI1003" s="143"/>
      <c r="BJ1003" s="143"/>
      <c r="BK1003" s="143"/>
      <c r="BL1003" s="143"/>
      <c r="BM1003" s="143"/>
      <c r="BN1003" s="143"/>
      <c r="BO1003" s="143"/>
      <c r="BP1003" s="143"/>
      <c r="BQ1003" s="143"/>
      <c r="BR1003" s="143"/>
      <c r="BS1003" s="143"/>
      <c r="BT1003" s="143"/>
      <c r="BU1003" s="143"/>
      <c r="BV1003" s="143"/>
      <c r="BW1003" s="143"/>
      <c r="BX1003" s="143"/>
    </row>
    <row r="1004" spans="1:76" s="257" customFormat="1" ht="15" customHeight="1">
      <c r="A1004" s="482" t="str">
        <f>+input!B40</f>
        <v>119j</v>
      </c>
      <c r="B1004" s="1063" t="str">
        <f t="shared" si="39"/>
        <v>Negative</v>
      </c>
      <c r="C1004" s="575">
        <f>Cons!H553</f>
        <v>522.66666666666663</v>
      </c>
      <c r="D1004" s="676">
        <f>IF(B1004="Positive",input!H40,input!K40)</f>
        <v>30</v>
      </c>
      <c r="E1004" s="676">
        <f>Cons!J553</f>
        <v>1840</v>
      </c>
      <c r="F1004" s="21">
        <f>Cons!D620</f>
        <v>17.422222222222221</v>
      </c>
      <c r="G1004" s="834">
        <f>Cons!G553</f>
        <v>21845333.333333332</v>
      </c>
      <c r="H1004" s="575">
        <f>Cons!L553</f>
        <v>1.1143865855967701</v>
      </c>
      <c r="I1004" s="21">
        <f>Cons!M553</f>
        <v>0.9583666742910848</v>
      </c>
      <c r="J1004" s="575">
        <f>0.57*SQRT(Es*H1004/input!BJ40/L869)</f>
        <v>14.146202416202344</v>
      </c>
      <c r="K1004" s="575">
        <f>0.95*SQRT(Es*H1004/MIN((L869-0.3)*input!BJ40,input!BK40))</f>
        <v>28.180722544546889</v>
      </c>
      <c r="L1004" s="575">
        <f>IF(F1004&lt;=J1004,1*L937*input!BJ40*L869,IF(F1004&lt;=K1004,1*L937*input!BJ40*(L869-(L869-(L869-0.3)/L937)*(F1004-J1004)/(K1004-J1004)),0.9*Es*1*H1004/F1004^2))</f>
        <v>353.210037818854</v>
      </c>
      <c r="M1004" s="597">
        <f>IF(F1004&lt;=1.12*SQRT(Es*I1004/input!BJ40),0.58*input!BJ40,IF(F1004&lt;=1.4*SQRT(Es*I1004/input!BJ40),0.65*SQRT(input!BJ40*Es*I1004)/F1004,0.9*Es*I1004/F1004^2))</f>
        <v>220.39999999999998</v>
      </c>
      <c r="N1004" s="185"/>
      <c r="Z1004" s="73"/>
      <c r="AA1004" s="73"/>
      <c r="AB1004" s="73"/>
      <c r="AC1004" s="559"/>
      <c r="AD1004" s="559"/>
      <c r="AE1004" s="559"/>
      <c r="AO1004" s="143"/>
      <c r="AP1004" s="143"/>
      <c r="AQ1004" s="143"/>
      <c r="AR1004" s="143"/>
      <c r="AS1004" s="143"/>
      <c r="AT1004" s="143"/>
      <c r="AU1004" s="143"/>
      <c r="AV1004" s="143"/>
      <c r="AW1004" s="143"/>
      <c r="AX1004" s="143"/>
      <c r="AY1004" s="143"/>
      <c r="AZ1004" s="143"/>
      <c r="BA1004" s="143"/>
      <c r="BB1004" s="143"/>
      <c r="BC1004" s="143"/>
      <c r="BD1004" s="143"/>
      <c r="BE1004" s="143"/>
      <c r="BF1004" s="143"/>
      <c r="BG1004" s="143"/>
      <c r="BH1004" s="143"/>
      <c r="BI1004" s="143"/>
      <c r="BJ1004" s="143"/>
      <c r="BK1004" s="143"/>
      <c r="BL1004" s="143"/>
      <c r="BM1004" s="143"/>
      <c r="BN1004" s="143"/>
    </row>
    <row r="1005" spans="1:76" s="257" customFormat="1" ht="15" customHeight="1">
      <c r="A1005" s="482" t="str">
        <f>+input!B41</f>
        <v>120i</v>
      </c>
      <c r="B1005" s="1063" t="str">
        <f t="shared" si="39"/>
        <v>Negative</v>
      </c>
      <c r="C1005" s="575">
        <f>Cons!H554</f>
        <v>522.66666666666663</v>
      </c>
      <c r="D1005" s="676">
        <f>IF(B1005="Positive",input!H41,input!K41)</f>
        <v>30</v>
      </c>
      <c r="E1005" s="676">
        <f>Cons!J554</f>
        <v>1840</v>
      </c>
      <c r="F1005" s="21">
        <f>Cons!D621</f>
        <v>17.422222222222221</v>
      </c>
      <c r="G1005" s="834">
        <f>Cons!G554</f>
        <v>21845333.333333332</v>
      </c>
      <c r="H1005" s="575">
        <f>Cons!L554</f>
        <v>1.1143865855967701</v>
      </c>
      <c r="I1005" s="21">
        <f>Cons!M554</f>
        <v>0.9583666742910848</v>
      </c>
      <c r="J1005" s="575">
        <f>0.57*SQRT(Es*H1005/input!BJ41/L870)</f>
        <v>14.14590653701765</v>
      </c>
      <c r="K1005" s="575">
        <f>0.95*SQRT(Es*H1005/MIN((L870-0.3)*input!BJ41,input!BK41))</f>
        <v>28.179880475232437</v>
      </c>
      <c r="L1005" s="575">
        <f>IF(F1005&lt;=J1005,1*L938*input!BJ41*L870,IF(F1005&lt;=K1005,1*L938*input!BJ41*(L870-(L870-(L870-0.3)/L938)*(F1005-J1005)/(K1005-J1005)),0.9*Es*1*H1005/F1005^2))</f>
        <v>353.22249274196298</v>
      </c>
      <c r="M1005" s="597">
        <f>IF(F1005&lt;=1.12*SQRT(Es*I1005/input!BJ41),0.58*input!BJ41,IF(F1005&lt;=1.4*SQRT(Es*I1005/input!BJ41),0.65*SQRT(input!BJ41*Es*I1005)/F1005,0.9*Es*I1005/F1005^2))</f>
        <v>220.39999999999998</v>
      </c>
      <c r="N1005" s="185"/>
      <c r="Z1005" s="73"/>
      <c r="AA1005" s="73"/>
      <c r="AB1005" s="73"/>
      <c r="AC1005" s="559"/>
      <c r="AD1005" s="559"/>
      <c r="AE1005" s="559"/>
      <c r="AO1005" s="143"/>
      <c r="AP1005" s="143"/>
      <c r="AQ1005" s="143"/>
      <c r="AR1005" s="143"/>
      <c r="AS1005" s="143"/>
      <c r="AT1005" s="143"/>
      <c r="AU1005" s="143"/>
      <c r="AV1005" s="143"/>
      <c r="AW1005" s="143"/>
      <c r="AX1005" s="143"/>
      <c r="AY1005" s="143"/>
      <c r="AZ1005" s="143"/>
      <c r="BA1005" s="143"/>
      <c r="BB1005" s="143"/>
      <c r="BC1005" s="143"/>
      <c r="BD1005" s="143"/>
      <c r="BE1005" s="143"/>
      <c r="BF1005" s="143"/>
      <c r="BG1005" s="143"/>
      <c r="BH1005" s="143"/>
      <c r="BI1005" s="143"/>
      <c r="BJ1005" s="143"/>
      <c r="BK1005" s="143"/>
      <c r="BL1005" s="143"/>
      <c r="BM1005" s="143"/>
      <c r="BN1005" s="143"/>
    </row>
    <row r="1006" spans="1:76" s="257" customFormat="1" ht="15" customHeight="1">
      <c r="A1006" s="482" t="str">
        <f>+input!B42</f>
        <v>120j</v>
      </c>
      <c r="B1006" s="1063" t="str">
        <f t="shared" si="39"/>
        <v>Negative</v>
      </c>
      <c r="C1006" s="575">
        <f>Cons!H555</f>
        <v>522.66666666666663</v>
      </c>
      <c r="D1006" s="676">
        <f>IF(B1006="Positive",input!H42,input!K42)</f>
        <v>30</v>
      </c>
      <c r="E1006" s="676">
        <f>Cons!J555</f>
        <v>1840</v>
      </c>
      <c r="F1006" s="21">
        <f>Cons!D622</f>
        <v>17.422222222222221</v>
      </c>
      <c r="G1006" s="834">
        <f>Cons!G555</f>
        <v>21845333.333333332</v>
      </c>
      <c r="H1006" s="575">
        <f>Cons!L555</f>
        <v>1.1143865855967701</v>
      </c>
      <c r="I1006" s="21">
        <f>Cons!M555</f>
        <v>0.9583666742910848</v>
      </c>
      <c r="J1006" s="575">
        <f>0.57*SQRT(Es*H1006/input!BJ42/L871)</f>
        <v>14.145874504308141</v>
      </c>
      <c r="K1006" s="575">
        <f>0.95*SQRT(Es*H1006/MIN((L871-0.3)*input!BJ42,input!BK42))</f>
        <v>28.179789311807912</v>
      </c>
      <c r="L1006" s="575">
        <f>IF(F1006&lt;=J1006,1*L939*input!BJ42*L871,IF(F1006&lt;=K1006,1*L939*input!BJ42*(L871-(L871-(L871-0.3)/L939)*(F1006-J1006)/(K1006-J1006)),0.9*Es*1*H1006/F1006^2))</f>
        <v>353.22384119320941</v>
      </c>
      <c r="M1006" s="597">
        <f>IF(F1006&lt;=1.12*SQRT(Es*I1006/input!BJ42),0.58*input!BJ42,IF(F1006&lt;=1.4*SQRT(Es*I1006/input!BJ42),0.65*SQRT(input!BJ42*Es*I1006)/F1006,0.9*Es*I1006/F1006^2))</f>
        <v>220.39999999999998</v>
      </c>
      <c r="N1006" s="185"/>
      <c r="Z1006" s="73"/>
      <c r="AA1006" s="73"/>
      <c r="AB1006" s="73"/>
      <c r="AC1006" s="559"/>
      <c r="AD1006" s="559"/>
      <c r="AE1006" s="559"/>
      <c r="AO1006" s="143"/>
      <c r="AP1006" s="143"/>
      <c r="AQ1006" s="143"/>
      <c r="AR1006" s="143"/>
      <c r="AS1006" s="143"/>
      <c r="AT1006" s="143"/>
      <c r="AU1006" s="143"/>
      <c r="AV1006" s="143"/>
      <c r="AW1006" s="143"/>
      <c r="AX1006" s="143"/>
      <c r="AY1006" s="143"/>
      <c r="AZ1006" s="143"/>
      <c r="BA1006" s="143"/>
      <c r="BB1006" s="143"/>
      <c r="BC1006" s="143"/>
      <c r="BD1006" s="143"/>
      <c r="BE1006" s="143"/>
      <c r="BF1006" s="143"/>
      <c r="BG1006" s="143"/>
      <c r="BH1006" s="143"/>
      <c r="BI1006" s="143"/>
      <c r="BJ1006" s="143"/>
      <c r="BK1006" s="143"/>
      <c r="BL1006" s="143"/>
      <c r="BM1006" s="143"/>
      <c r="BN1006" s="143"/>
    </row>
    <row r="1007" spans="1:76" s="257" customFormat="1" ht="15" customHeight="1">
      <c r="A1007" s="482" t="str">
        <f>+input!B43</f>
        <v>121i</v>
      </c>
      <c r="B1007" s="1063" t="str">
        <f t="shared" si="39"/>
        <v>Negative</v>
      </c>
      <c r="C1007" s="575">
        <f>Cons!H556</f>
        <v>530.66666666666663</v>
      </c>
      <c r="D1007" s="676">
        <f>IF(B1007="Positive",input!H43,input!K43)</f>
        <v>30</v>
      </c>
      <c r="E1007" s="676">
        <f>Cons!J556</f>
        <v>1864</v>
      </c>
      <c r="F1007" s="21">
        <f>Cons!D623</f>
        <v>17.688888888888886</v>
      </c>
      <c r="G1007" s="834">
        <f>Cons!G556</f>
        <v>21845333.333333332</v>
      </c>
      <c r="H1007" s="575">
        <f>Cons!L556</f>
        <v>1.1087582745644511</v>
      </c>
      <c r="I1007" s="21">
        <f>Cons!M556</f>
        <v>0.95652304012801159</v>
      </c>
      <c r="J1007" s="575">
        <f>0.57*SQRT(Es*H1007/input!BJ43/L872)</f>
        <v>14.110136427008134</v>
      </c>
      <c r="K1007" s="575">
        <f>0.95*SQRT(Es*H1007/MIN((L872-0.3)*input!BJ43,input!BK43))</f>
        <v>28.108621334058832</v>
      </c>
      <c r="L1007" s="575">
        <f>IF(F1007&lt;=J1007,1*L940*input!BJ43*L872,IF(F1007&lt;=K1007,1*L940*input!BJ43*(L872-(L872-(L872-0.3)/L940)*(F1007-J1007)/(K1007-J1007)),0.9*Es*1*H1007/F1007^2))</f>
        <v>350.70209387397347</v>
      </c>
      <c r="M1007" s="597">
        <f>IF(F1007&lt;=1.12*SQRT(Es*I1007/input!BJ43),0.58*input!BJ43,IF(F1007&lt;=1.4*SQRT(Es*I1007/input!BJ43),0.65*SQRT(input!BJ43*Es*I1007)/F1007,0.9*Es*I1007/F1007^2))</f>
        <v>220.39999999999998</v>
      </c>
      <c r="N1007" s="185"/>
      <c r="Z1007" s="73"/>
      <c r="AA1007" s="73"/>
      <c r="AB1007" s="73"/>
      <c r="AC1007" s="559"/>
      <c r="AD1007" s="559"/>
      <c r="AE1007" s="559"/>
      <c r="AO1007" s="143"/>
      <c r="AP1007" s="143"/>
      <c r="AQ1007" s="143"/>
      <c r="AR1007" s="143"/>
      <c r="AS1007" s="143"/>
      <c r="AT1007" s="143"/>
      <c r="AU1007" s="143"/>
      <c r="AV1007" s="143"/>
      <c r="AW1007" s="143"/>
      <c r="AX1007" s="143"/>
      <c r="AY1007" s="143"/>
      <c r="AZ1007" s="143"/>
      <c r="BA1007" s="143"/>
      <c r="BB1007" s="143"/>
      <c r="BC1007" s="143"/>
      <c r="BD1007" s="143"/>
      <c r="BE1007" s="143"/>
      <c r="BF1007" s="143"/>
      <c r="BG1007" s="143"/>
      <c r="BH1007" s="143"/>
      <c r="BI1007" s="143"/>
      <c r="BJ1007" s="143"/>
      <c r="BK1007" s="143"/>
      <c r="BL1007" s="143"/>
      <c r="BM1007" s="143"/>
      <c r="BN1007" s="143"/>
    </row>
    <row r="1008" spans="1:76" s="257" customFormat="1" ht="15" customHeight="1">
      <c r="A1008" s="482" t="str">
        <f>+input!B44</f>
        <v>121j</v>
      </c>
      <c r="B1008" s="1063" t="str">
        <f t="shared" si="39"/>
        <v>Negative</v>
      </c>
      <c r="C1008" s="575">
        <f>Cons!H557</f>
        <v>530.66666666666663</v>
      </c>
      <c r="D1008" s="676">
        <f>IF(B1008="Positive",input!H44,input!K44)</f>
        <v>30</v>
      </c>
      <c r="E1008" s="676">
        <f>Cons!J557</f>
        <v>1864</v>
      </c>
      <c r="F1008" s="21">
        <f>Cons!D624</f>
        <v>17.688888888888886</v>
      </c>
      <c r="G1008" s="834">
        <f>Cons!G557</f>
        <v>21845333.333333332</v>
      </c>
      <c r="H1008" s="575">
        <f>Cons!L557</f>
        <v>1.1087582745644511</v>
      </c>
      <c r="I1008" s="21">
        <f>Cons!M557</f>
        <v>0.95652304012801159</v>
      </c>
      <c r="J1008" s="575">
        <f>0.57*SQRT(Es*H1008/input!BJ44/L873)</f>
        <v>14.110064242079336</v>
      </c>
      <c r="K1008" s="575">
        <f>0.95*SQRT(Es*H1008/MIN((L873-0.3)*input!BJ44,input!BK44))</f>
        <v>28.108415899927014</v>
      </c>
      <c r="L1008" s="575">
        <f>IF(F1008&lt;=J1008,1*L941*input!BJ44*L873,IF(F1008&lt;=K1008,1*L941*input!BJ44*(L873-(L873-(L873-0.3)/L941)*(F1008-J1008)/(K1008-J1008)),0.9*Es*1*H1008/F1008^2))</f>
        <v>350.7051162798968</v>
      </c>
      <c r="M1008" s="597">
        <f>IF(F1008&lt;=1.12*SQRT(Es*I1008/input!BJ44),0.58*input!BJ44,IF(F1008&lt;=1.4*SQRT(Es*I1008/input!BJ44),0.65*SQRT(input!BJ44*Es*I1008)/F1008,0.9*Es*I1008/F1008^2))</f>
        <v>220.39999999999998</v>
      </c>
      <c r="N1008" s="185"/>
      <c r="Z1008" s="73"/>
      <c r="AA1008" s="73"/>
      <c r="AB1008" s="73"/>
      <c r="AC1008" s="559"/>
      <c r="AD1008" s="559"/>
      <c r="AE1008" s="559"/>
      <c r="AO1008" s="143"/>
      <c r="AP1008" s="143"/>
      <c r="AQ1008" s="143"/>
      <c r="AR1008" s="143"/>
      <c r="AS1008" s="143"/>
      <c r="AT1008" s="143"/>
      <c r="AU1008" s="143"/>
      <c r="AV1008" s="143"/>
      <c r="AW1008" s="143"/>
      <c r="AX1008" s="143"/>
      <c r="AY1008" s="143"/>
      <c r="AZ1008" s="143"/>
      <c r="BA1008" s="143"/>
      <c r="BB1008" s="143"/>
      <c r="BC1008" s="143"/>
      <c r="BD1008" s="143"/>
      <c r="BE1008" s="143"/>
      <c r="BF1008" s="143"/>
      <c r="BG1008" s="143"/>
      <c r="BH1008" s="143"/>
      <c r="BI1008" s="143"/>
      <c r="BJ1008" s="143"/>
      <c r="BK1008" s="143"/>
      <c r="BL1008" s="143"/>
      <c r="BM1008" s="143"/>
      <c r="BN1008" s="143"/>
    </row>
    <row r="1009" spans="1:76" s="257" customFormat="1" ht="15" customHeight="1">
      <c r="A1009" s="482" t="str">
        <f>+input!B45</f>
        <v>122i</v>
      </c>
      <c r="B1009" s="1063" t="str">
        <f t="shared" si="39"/>
        <v>Negative</v>
      </c>
      <c r="C1009" s="575">
        <f>Cons!H558</f>
        <v>545.66666666666663</v>
      </c>
      <c r="D1009" s="676">
        <f>IF(B1009="Positive",input!H45,input!K45)</f>
        <v>30</v>
      </c>
      <c r="E1009" s="676">
        <f>Cons!J558</f>
        <v>1909</v>
      </c>
      <c r="F1009" s="21">
        <f>Cons!D625</f>
        <v>18.188888888888886</v>
      </c>
      <c r="G1009" s="834">
        <f>Cons!G558</f>
        <v>21845333.333333332</v>
      </c>
      <c r="H1009" s="575">
        <f>Cons!L558</f>
        <v>1.0985040656466334</v>
      </c>
      <c r="I1009" s="21">
        <f>Cons!M558</f>
        <v>0.95316412663378158</v>
      </c>
      <c r="J1009" s="575">
        <f>0.57*SQRT(Es*H1009/input!BJ45/L874)</f>
        <v>14.044719756088538</v>
      </c>
      <c r="K1009" s="575">
        <f>0.95*SQRT(Es*H1009/MIN((L874-0.3)*input!BJ45,input!BK45))</f>
        <v>27.978290925756792</v>
      </c>
      <c r="L1009" s="575">
        <f>IF(F1009&lt;=J1009,1*L942*input!BJ45*L874,IF(F1009&lt;=K1009,1*L942*input!BJ45*(L874-(L874-(L874-0.3)/L942)*(F1009-J1009)/(K1009-J1009)),0.9*Es*1*H1009/F1009^2))</f>
        <v>345.88657105596042</v>
      </c>
      <c r="M1009" s="597">
        <f>IF(F1009&lt;=1.12*SQRT(Es*I1009/input!BJ45),0.58*input!BJ45,IF(F1009&lt;=1.4*SQRT(Es*I1009/input!BJ45),0.65*SQRT(input!BJ45*Es*I1009)/F1009,0.9*Es*I1009/F1009^2))</f>
        <v>220.39999999999998</v>
      </c>
      <c r="N1009" s="185"/>
      <c r="Z1009" s="73"/>
      <c r="AA1009" s="73"/>
      <c r="AB1009" s="73"/>
      <c r="AC1009" s="559"/>
      <c r="AD1009" s="559"/>
      <c r="AE1009" s="559"/>
      <c r="AY1009" s="143"/>
      <c r="AZ1009" s="143"/>
      <c r="BA1009" s="143"/>
      <c r="BB1009" s="143"/>
      <c r="BC1009" s="143"/>
      <c r="BD1009" s="143"/>
      <c r="BE1009" s="143"/>
      <c r="BF1009" s="143"/>
      <c r="BG1009" s="143"/>
      <c r="BH1009" s="143"/>
      <c r="BI1009" s="143"/>
      <c r="BJ1009" s="143"/>
      <c r="BK1009" s="143"/>
      <c r="BL1009" s="143"/>
      <c r="BM1009" s="143"/>
      <c r="BN1009" s="143"/>
      <c r="BO1009" s="143"/>
      <c r="BP1009" s="143"/>
      <c r="BQ1009" s="143"/>
      <c r="BR1009" s="143"/>
      <c r="BS1009" s="143"/>
      <c r="BT1009" s="143"/>
      <c r="BU1009" s="143"/>
      <c r="BV1009" s="143"/>
      <c r="BW1009" s="143"/>
      <c r="BX1009" s="143"/>
    </row>
    <row r="1010" spans="1:76" s="257" customFormat="1" ht="15" customHeight="1">
      <c r="A1010" s="482" t="str">
        <f>+input!B46</f>
        <v>122j</v>
      </c>
      <c r="B1010" s="1063" t="str">
        <f t="shared" si="39"/>
        <v>Negative</v>
      </c>
      <c r="C1010" s="575">
        <f>Cons!H559</f>
        <v>545.66666666666663</v>
      </c>
      <c r="D1010" s="676">
        <f>IF(B1010="Positive",input!H46,input!K46)</f>
        <v>30</v>
      </c>
      <c r="E1010" s="676">
        <f>Cons!J559</f>
        <v>1909</v>
      </c>
      <c r="F1010" s="21">
        <f>Cons!D626</f>
        <v>18.188888888888886</v>
      </c>
      <c r="G1010" s="834">
        <f>Cons!G559</f>
        <v>21845333.333333332</v>
      </c>
      <c r="H1010" s="575">
        <f>Cons!L559</f>
        <v>1.0985040656466334</v>
      </c>
      <c r="I1010" s="21">
        <f>Cons!M559</f>
        <v>0.95316412663378158</v>
      </c>
      <c r="J1010" s="575">
        <f>0.57*SQRT(Es*H1010/input!BJ46/L875)</f>
        <v>14.044699731786478</v>
      </c>
      <c r="K1010" s="575">
        <f>0.95*SQRT(Es*H1010/MIN((L875-0.3)*input!BJ46,input!BK46))</f>
        <v>27.978233937706051</v>
      </c>
      <c r="L1010" s="575">
        <f>IF(F1010&lt;=J1010,1*L943*input!BJ46*L875,IF(F1010&lt;=K1010,1*L943*input!BJ46*(L875-(L875-(L875-0.3)/L943)*(F1010-J1010)/(K1010-J1010)),0.9*Es*1*H1010/F1010^2))</f>
        <v>345.88740080646846</v>
      </c>
      <c r="M1010" s="597">
        <f>IF(F1010&lt;=1.12*SQRT(Es*I1010/input!BJ46),0.58*input!BJ46,IF(F1010&lt;=1.4*SQRT(Es*I1010/input!BJ46),0.65*SQRT(input!BJ46*Es*I1010)/F1010,0.9*Es*I1010/F1010^2))</f>
        <v>220.39999999999998</v>
      </c>
      <c r="N1010" s="185"/>
      <c r="Z1010" s="559"/>
      <c r="AA1010" s="559"/>
      <c r="AB1010" s="559"/>
      <c r="AC1010" s="559"/>
      <c r="AD1010" s="559"/>
      <c r="AE1010" s="559"/>
      <c r="AY1010" s="143"/>
      <c r="AZ1010" s="143"/>
      <c r="BA1010" s="143"/>
      <c r="BB1010" s="143"/>
      <c r="BC1010" s="143"/>
      <c r="BD1010" s="143"/>
      <c r="BE1010" s="143"/>
      <c r="BF1010" s="143"/>
      <c r="BG1010" s="143"/>
      <c r="BH1010" s="143"/>
      <c r="BI1010" s="143"/>
      <c r="BJ1010" s="143"/>
      <c r="BK1010" s="143"/>
      <c r="BL1010" s="143"/>
      <c r="BM1010" s="143"/>
      <c r="BN1010" s="143"/>
      <c r="BO1010" s="143"/>
      <c r="BP1010" s="143"/>
      <c r="BQ1010" s="143"/>
      <c r="BR1010" s="143"/>
      <c r="BS1010" s="143"/>
      <c r="BT1010" s="143"/>
      <c r="BU1010" s="143"/>
      <c r="BV1010" s="143"/>
      <c r="BW1010" s="143"/>
      <c r="BX1010" s="143"/>
    </row>
    <row r="1011" spans="1:76" s="257" customFormat="1" ht="15" customHeight="1">
      <c r="A1011" s="482" t="str">
        <f>+input!B47</f>
        <v>123i</v>
      </c>
      <c r="B1011" s="1063" t="str">
        <f t="shared" si="39"/>
        <v>Negative</v>
      </c>
      <c r="C1011" s="575">
        <f>Cons!H560</f>
        <v>555</v>
      </c>
      <c r="D1011" s="676">
        <f>IF(B1011="Positive",input!H47,input!K47)</f>
        <v>30</v>
      </c>
      <c r="E1011" s="676">
        <f>Cons!J560</f>
        <v>1937</v>
      </c>
      <c r="F1011" s="21">
        <f>Cons!D627</f>
        <v>18.5</v>
      </c>
      <c r="G1011" s="834">
        <f>Cons!G560</f>
        <v>21845333.333333332</v>
      </c>
      <c r="H1011" s="575">
        <f>Cons!L560</f>
        <v>1.0923114408572843</v>
      </c>
      <c r="I1011" s="21">
        <f>Cons!M560</f>
        <v>0.95113564338984224</v>
      </c>
      <c r="J1011" s="575">
        <f>0.57*SQRT(Es*H1011/input!BJ47/L876)</f>
        <v>14.004830107957435</v>
      </c>
      <c r="K1011" s="575">
        <f>0.95*SQRT(Es*H1011/MIN((L876-0.3)*input!BJ47,input!BK47))</f>
        <v>27.898616953359454</v>
      </c>
      <c r="L1011" s="575">
        <f>IF(F1011&lt;=J1011,1*L944*input!BJ47*L876,IF(F1011&lt;=K1011,1*L944*input!BJ47*(L876-(L876-(L876-0.3)/L944)*(F1011-J1011)/(K1011-J1011)),0.9*Es*1*H1011/F1011^2))</f>
        <v>342.92427302399506</v>
      </c>
      <c r="M1011" s="597">
        <f>IF(F1011&lt;=1.12*SQRT(Es*I1011/input!BJ47),0.58*input!BJ47,IF(F1011&lt;=1.4*SQRT(Es*I1011/input!BJ47),0.65*SQRT(input!BJ47*Es*I1011)/F1011,0.9*Es*I1011/F1011^2))</f>
        <v>220.39999999999998</v>
      </c>
      <c r="N1011" s="185"/>
      <c r="Z1011" s="559"/>
      <c r="AA1011" s="559"/>
      <c r="AB1011" s="559"/>
      <c r="AC1011" s="559"/>
      <c r="AD1011" s="559"/>
      <c r="AE1011" s="559"/>
      <c r="AY1011" s="143"/>
      <c r="AZ1011" s="143"/>
      <c r="BA1011" s="143"/>
      <c r="BB1011" s="143"/>
      <c r="BC1011" s="143"/>
      <c r="BD1011" s="143"/>
      <c r="BE1011" s="143"/>
      <c r="BF1011" s="143"/>
      <c r="BG1011" s="143"/>
      <c r="BH1011" s="143"/>
      <c r="BI1011" s="143"/>
      <c r="BJ1011" s="143"/>
      <c r="BK1011" s="143"/>
      <c r="BL1011" s="143"/>
      <c r="BM1011" s="143"/>
      <c r="BN1011" s="143"/>
      <c r="BO1011" s="143"/>
      <c r="BP1011" s="143"/>
      <c r="BQ1011" s="143"/>
      <c r="BR1011" s="143"/>
      <c r="BS1011" s="143"/>
      <c r="BT1011" s="143"/>
      <c r="BU1011" s="143"/>
      <c r="BV1011" s="143"/>
      <c r="BW1011" s="143"/>
      <c r="BX1011" s="143"/>
    </row>
    <row r="1012" spans="1:76" s="257" customFormat="1" ht="15" customHeight="1">
      <c r="A1012" s="482" t="str">
        <f>+input!B48</f>
        <v>123j</v>
      </c>
      <c r="B1012" s="1063" t="str">
        <f t="shared" si="39"/>
        <v>Negative</v>
      </c>
      <c r="C1012" s="575">
        <f>Cons!H561</f>
        <v>555</v>
      </c>
      <c r="D1012" s="676">
        <f>IF(B1012="Positive",input!H48,input!K48)</f>
        <v>30</v>
      </c>
      <c r="E1012" s="676">
        <f>Cons!J561</f>
        <v>1937</v>
      </c>
      <c r="F1012" s="21">
        <f>Cons!D628</f>
        <v>18.5</v>
      </c>
      <c r="G1012" s="834">
        <f>Cons!G561</f>
        <v>21845333.333333332</v>
      </c>
      <c r="H1012" s="575">
        <f>Cons!L561</f>
        <v>1.0923114408572843</v>
      </c>
      <c r="I1012" s="21">
        <f>Cons!M561</f>
        <v>0.95113564338984224</v>
      </c>
      <c r="J1012" s="575">
        <f>0.57*SQRT(Es*H1012/input!BJ48/L877)</f>
        <v>14.004747358552018</v>
      </c>
      <c r="K1012" s="575">
        <f>0.95*SQRT(Es*H1012/MIN((L877-0.3)*input!BJ48,input!BK48))</f>
        <v>27.898381459156479</v>
      </c>
      <c r="L1012" s="575">
        <f>IF(F1012&lt;=J1012,1*L945*input!BJ48*L877,IF(F1012&lt;=K1012,1*L945*input!BJ48*(L877-(L877-(L877-0.3)/L945)*(F1012-J1012)/(K1012-J1012)),0.9*Es*1*H1012/F1012^2))</f>
        <v>342.92767929841602</v>
      </c>
      <c r="M1012" s="597">
        <f>IF(F1012&lt;=1.12*SQRT(Es*I1012/input!BJ48),0.58*input!BJ48,IF(F1012&lt;=1.4*SQRT(Es*I1012/input!BJ48),0.65*SQRT(input!BJ48*Es*I1012)/F1012,0.9*Es*I1012/F1012^2))</f>
        <v>220.39999999999998</v>
      </c>
      <c r="N1012" s="185"/>
      <c r="Z1012" s="559"/>
      <c r="AA1012" s="559"/>
      <c r="AB1012" s="559"/>
      <c r="AC1012" s="559"/>
      <c r="AD1012" s="559"/>
      <c r="AE1012" s="559"/>
      <c r="AY1012" s="143"/>
      <c r="AZ1012" s="143"/>
      <c r="BA1012" s="143"/>
      <c r="BB1012" s="143"/>
      <c r="BC1012" s="143"/>
      <c r="BD1012" s="143"/>
      <c r="BE1012" s="143"/>
      <c r="BF1012" s="143"/>
      <c r="BG1012" s="143"/>
      <c r="BH1012" s="143"/>
      <c r="BI1012" s="143"/>
      <c r="BJ1012" s="143"/>
      <c r="BK1012" s="143"/>
      <c r="BL1012" s="143"/>
      <c r="BM1012" s="143"/>
      <c r="BN1012" s="143"/>
      <c r="BO1012" s="143"/>
      <c r="BP1012" s="143"/>
      <c r="BQ1012" s="143"/>
      <c r="BR1012" s="143"/>
      <c r="BS1012" s="143"/>
      <c r="BT1012" s="143"/>
      <c r="BU1012" s="143"/>
      <c r="BV1012" s="143"/>
      <c r="BW1012" s="143"/>
      <c r="BX1012" s="143"/>
    </row>
    <row r="1013" spans="1:76" s="257" customFormat="1" ht="15" customHeight="1">
      <c r="A1013" s="482" t="str">
        <f>+input!B49</f>
        <v>124i</v>
      </c>
      <c r="B1013" s="1063" t="str">
        <f t="shared" si="39"/>
        <v>Negative</v>
      </c>
      <c r="C1013" s="575">
        <f>Cons!H562</f>
        <v>556</v>
      </c>
      <c r="D1013" s="676">
        <f>IF(B1013="Positive",input!H49,input!K49)</f>
        <v>24</v>
      </c>
      <c r="E1013" s="676">
        <f>Cons!J562</f>
        <v>1940</v>
      </c>
      <c r="F1013" s="21">
        <f>Cons!D629</f>
        <v>23.166666666666668</v>
      </c>
      <c r="G1013" s="834">
        <f>Cons!G562</f>
        <v>21845333.333333332</v>
      </c>
      <c r="H1013" s="575">
        <f>Cons!L562</f>
        <v>1.3645702311083583</v>
      </c>
      <c r="I1013" s="21">
        <f>Cons!M562</f>
        <v>1.0403179227666566</v>
      </c>
      <c r="J1013" s="575">
        <f>0.57*SQRT(Es*H1013/input!BJ49/L878)</f>
        <v>15.653280916739496</v>
      </c>
      <c r="K1013" s="575">
        <f>0.95*SQRT(Es*H1013/MIN((L878-0.3)*input!BJ49,input!BK49))</f>
        <v>31.182535198031346</v>
      </c>
      <c r="L1013" s="575">
        <f>IF(F1013&lt;=J1013,1*L946*input!BJ49*L878,IF(F1013&lt;=K1013,1*L946*input!BJ49*(L878-(L878-(L878-0.3)/L946)*(F1013-J1013)/(K1013-J1013)),0.9*Es*1*H1013/F1013^2))</f>
        <v>324.58542835888153</v>
      </c>
      <c r="M1013" s="597">
        <f>IF(F1013&lt;=1.12*SQRT(Es*I1013/input!BJ49),0.58*input!BJ49,IF(F1013&lt;=1.4*SQRT(Es*I1013/input!BJ49),0.65*SQRT(input!BJ49*Es*I1013)/F1013,0.9*Es*I1013/F1013^2))</f>
        <v>220.39999999999998</v>
      </c>
      <c r="N1013" s="185"/>
      <c r="Z1013" s="559"/>
      <c r="AA1013" s="559"/>
      <c r="AB1013" s="559"/>
      <c r="AC1013" s="559"/>
      <c r="AD1013" s="559"/>
      <c r="AE1013" s="559"/>
      <c r="AY1013" s="143"/>
      <c r="AZ1013" s="143"/>
      <c r="BA1013" s="143"/>
      <c r="BB1013" s="143"/>
      <c r="BC1013" s="143"/>
      <c r="BD1013" s="143"/>
      <c r="BE1013" s="143"/>
      <c r="BF1013" s="143"/>
      <c r="BG1013" s="143"/>
      <c r="BH1013" s="143"/>
      <c r="BI1013" s="143"/>
      <c r="BJ1013" s="143"/>
      <c r="BK1013" s="143"/>
      <c r="BL1013" s="143"/>
      <c r="BM1013" s="143"/>
      <c r="BN1013" s="143"/>
      <c r="BO1013" s="143"/>
      <c r="BP1013" s="143"/>
      <c r="BQ1013" s="143"/>
      <c r="BR1013" s="143"/>
      <c r="BS1013" s="143"/>
      <c r="BT1013" s="143"/>
      <c r="BU1013" s="143"/>
      <c r="BV1013" s="143"/>
      <c r="BW1013" s="143"/>
      <c r="BX1013" s="143"/>
    </row>
    <row r="1014" spans="1:76" s="257" customFormat="1" ht="15" customHeight="1">
      <c r="A1014" s="482" t="str">
        <f>+input!B50</f>
        <v>124j</v>
      </c>
      <c r="B1014" s="1063" t="str">
        <f t="shared" si="39"/>
        <v>Negative</v>
      </c>
      <c r="C1014" s="575">
        <f>Cons!H563</f>
        <v>556</v>
      </c>
      <c r="D1014" s="676">
        <f>IF(B1014="Positive",input!H50,input!K50)</f>
        <v>24</v>
      </c>
      <c r="E1014" s="676">
        <f>Cons!J563</f>
        <v>1940</v>
      </c>
      <c r="F1014" s="21">
        <f>Cons!D630</f>
        <v>23.166666666666668</v>
      </c>
      <c r="G1014" s="834">
        <f>Cons!G563</f>
        <v>21845333.333333332</v>
      </c>
      <c r="H1014" s="575">
        <f>Cons!L563</f>
        <v>1.3645702311083583</v>
      </c>
      <c r="I1014" s="21">
        <f>Cons!M563</f>
        <v>1.0403179227666566</v>
      </c>
      <c r="J1014" s="575">
        <f>0.57*SQRT(Es*H1014/input!BJ50/L879)</f>
        <v>15.653344622234458</v>
      </c>
      <c r="K1014" s="575">
        <f>0.95*SQRT(Es*H1014/MIN((L879-0.3)*input!BJ50,input!BK50))</f>
        <v>31.182716498387585</v>
      </c>
      <c r="L1014" s="575">
        <f>IF(F1014&lt;=J1014,1*L947*input!BJ50*L879,IF(F1014&lt;=K1014,1*L947*input!BJ50*(L879-(L879-(L879-0.3)/L947)*(F1014-J1014)/(K1014-J1014)),0.9*Es*1*H1014/F1014^2))</f>
        <v>324.58321925943767</v>
      </c>
      <c r="M1014" s="597">
        <f>IF(F1014&lt;=1.12*SQRT(Es*I1014/input!BJ50),0.58*input!BJ50,IF(F1014&lt;=1.4*SQRT(Es*I1014/input!BJ50),0.65*SQRT(input!BJ50*Es*I1014)/F1014,0.9*Es*I1014/F1014^2))</f>
        <v>220.39999999999998</v>
      </c>
      <c r="N1014" s="185"/>
      <c r="Z1014" s="559"/>
      <c r="AA1014" s="559"/>
      <c r="AB1014" s="559"/>
      <c r="AC1014" s="559"/>
      <c r="AD1014" s="559"/>
      <c r="AE1014" s="559"/>
      <c r="AY1014" s="143"/>
      <c r="AZ1014" s="143"/>
      <c r="BA1014" s="143"/>
      <c r="BB1014" s="143"/>
      <c r="BC1014" s="143"/>
      <c r="BD1014" s="143"/>
      <c r="BE1014" s="143"/>
      <c r="BF1014" s="143"/>
      <c r="BG1014" s="143"/>
      <c r="BH1014" s="143"/>
      <c r="BI1014" s="143"/>
      <c r="BJ1014" s="143"/>
      <c r="BK1014" s="143"/>
      <c r="BL1014" s="143"/>
      <c r="BM1014" s="143"/>
      <c r="BN1014" s="143"/>
      <c r="BO1014" s="143"/>
      <c r="BP1014" s="143"/>
      <c r="BQ1014" s="143"/>
      <c r="BR1014" s="143"/>
      <c r="BS1014" s="143"/>
      <c r="BT1014" s="143"/>
      <c r="BU1014" s="143"/>
      <c r="BV1014" s="143"/>
      <c r="BW1014" s="143"/>
      <c r="BX1014" s="143"/>
    </row>
    <row r="1015" spans="1:76" s="257" customFormat="1" ht="15" customHeight="1">
      <c r="A1015" s="482" t="str">
        <f>+input!B51</f>
        <v>125i</v>
      </c>
      <c r="B1015" s="1063" t="str">
        <f t="shared" si="39"/>
        <v>Negative</v>
      </c>
      <c r="C1015" s="575">
        <f>Cons!H564</f>
        <v>556</v>
      </c>
      <c r="D1015" s="676">
        <f>IF(B1015="Positive",input!H51,input!K51)</f>
        <v>18</v>
      </c>
      <c r="E1015" s="676">
        <f>Cons!J564</f>
        <v>1940</v>
      </c>
      <c r="F1015" s="21">
        <f>Cons!D631</f>
        <v>30.888888888888889</v>
      </c>
      <c r="G1015" s="834">
        <f>Cons!G564</f>
        <v>21845333.333333332</v>
      </c>
      <c r="H1015" s="575">
        <f>Cons!L564</f>
        <v>1.8194269748111445</v>
      </c>
      <c r="I1015" s="21">
        <f>Cons!M564</f>
        <v>1.1893127859110977</v>
      </c>
      <c r="J1015" s="575">
        <f>0.57*SQRT(Es*H1015/input!BJ51/L880)</f>
        <v>18.074822882974146</v>
      </c>
      <c r="K1015" s="575">
        <f>0.95*SQRT(Es*H1015/MIN((L880-0.3)*input!BJ51,input!BK51))</f>
        <v>36.006407595959544</v>
      </c>
      <c r="L1015" s="575">
        <f>IF(F1015&lt;=J1015,1*L948*input!BJ51*L880,IF(F1015&lt;=K1015,1*L948*input!BJ51*(L880-(L880-(L880-0.3)/L948)*(F1015-J1015)/(K1015-J1015)),0.9*Es*1*H1015/F1015^2))</f>
        <v>298.36782072630228</v>
      </c>
      <c r="M1015" s="597">
        <f>IF(F1015&lt;=1.12*SQRT(Es*I1015/input!BJ51),0.58*input!BJ51,IF(F1015&lt;=1.4*SQRT(Es*I1015/input!BJ51),0.65*SQRT(input!BJ51*Es*I1015)/F1015,0.9*Es*I1015/F1015^2))</f>
        <v>205.00316201919566</v>
      </c>
      <c r="N1015" s="185"/>
      <c r="Z1015" s="559"/>
      <c r="AA1015" s="559"/>
      <c r="AB1015" s="559"/>
      <c r="AC1015" s="559"/>
      <c r="AD1015" s="559"/>
      <c r="AE1015" s="559"/>
      <c r="AY1015" s="143"/>
      <c r="AZ1015" s="143"/>
      <c r="BA1015" s="143"/>
      <c r="BB1015" s="143"/>
      <c r="BC1015" s="143"/>
      <c r="BD1015" s="143"/>
      <c r="BE1015" s="143"/>
      <c r="BF1015" s="143"/>
      <c r="BG1015" s="143"/>
      <c r="BH1015" s="143"/>
      <c r="BI1015" s="143"/>
      <c r="BJ1015" s="143"/>
      <c r="BK1015" s="143"/>
      <c r="BL1015" s="143"/>
      <c r="BM1015" s="143"/>
      <c r="BN1015" s="143"/>
      <c r="BO1015" s="143"/>
      <c r="BP1015" s="143"/>
      <c r="BQ1015" s="143"/>
      <c r="BR1015" s="143"/>
      <c r="BS1015" s="143"/>
      <c r="BT1015" s="143"/>
      <c r="BU1015" s="143"/>
      <c r="BV1015" s="143"/>
      <c r="BW1015" s="143"/>
      <c r="BX1015" s="143"/>
    </row>
    <row r="1016" spans="1:76" s="257" customFormat="1" ht="15" customHeight="1">
      <c r="A1016" s="971" t="str">
        <f>+input!B52</f>
        <v>125j</v>
      </c>
      <c r="B1016" s="1064" t="str">
        <f t="shared" si="39"/>
        <v>Negative</v>
      </c>
      <c r="C1016" s="1014">
        <f>Cons!H565</f>
        <v>556</v>
      </c>
      <c r="D1016" s="1065">
        <f>IF(B1016="Positive",input!H52,input!K52)</f>
        <v>18</v>
      </c>
      <c r="E1016" s="676">
        <f>Cons!J565</f>
        <v>1940</v>
      </c>
      <c r="F1016" s="21">
        <f>Cons!D632</f>
        <v>30.888888888888889</v>
      </c>
      <c r="G1016" s="834">
        <f>Cons!G565</f>
        <v>21845333.333333332</v>
      </c>
      <c r="H1016" s="575">
        <f>Cons!L565</f>
        <v>1.8194269748111445</v>
      </c>
      <c r="I1016" s="21">
        <f>Cons!M565</f>
        <v>1.1893127859110977</v>
      </c>
      <c r="J1016" s="575">
        <f>0.57*SQRT(Es*H1016/input!BJ52/L881)</f>
        <v>18.074463047505684</v>
      </c>
      <c r="K1016" s="575">
        <f>0.95*SQRT(Es*H1016/MIN((L881-0.3)*input!BJ52,input!BK52))</f>
        <v>36.005383553083824</v>
      </c>
      <c r="L1016" s="575">
        <f>IF(F1016&lt;=J1016,1*L949*input!BJ52*L881,IF(F1016&lt;=K1016,1*L949*input!BJ52*(L881-(L881-(L881-0.3)/L949)*(F1016-J1016)/(K1016-J1016)),0.9*Es*1*H1016/F1016^2))</f>
        <v>298.37766246700323</v>
      </c>
      <c r="M1016" s="597">
        <f>IF(F1016&lt;=1.12*SQRT(Es*I1016/input!BJ52),0.58*input!BJ52,IF(F1016&lt;=1.4*SQRT(Es*I1016/input!BJ52),0.65*SQRT(input!BJ52*Es*I1016)/F1016,0.9*Es*I1016/F1016^2))</f>
        <v>205.00316201919566</v>
      </c>
      <c r="N1016" s="185"/>
      <c r="Z1016" s="559"/>
      <c r="AA1016" s="559"/>
      <c r="AB1016" s="559"/>
      <c r="AC1016" s="559"/>
      <c r="AD1016" s="559"/>
      <c r="AE1016" s="559"/>
      <c r="AY1016" s="143"/>
      <c r="AZ1016" s="143"/>
      <c r="BA1016" s="143"/>
      <c r="BB1016" s="143"/>
      <c r="BC1016" s="143"/>
      <c r="BD1016" s="143"/>
      <c r="BE1016" s="143"/>
      <c r="BF1016" s="143"/>
      <c r="BG1016" s="143"/>
      <c r="BH1016" s="143"/>
      <c r="BI1016" s="143"/>
      <c r="BJ1016" s="143"/>
      <c r="BK1016" s="143"/>
      <c r="BL1016" s="143"/>
      <c r="BM1016" s="143"/>
      <c r="BN1016" s="143"/>
      <c r="BO1016" s="143"/>
      <c r="BP1016" s="143"/>
      <c r="BQ1016" s="143"/>
      <c r="BR1016" s="143"/>
      <c r="BS1016" s="143"/>
      <c r="BT1016" s="143"/>
      <c r="BU1016" s="143"/>
      <c r="BV1016" s="143"/>
      <c r="BW1016" s="143"/>
      <c r="BX1016" s="143"/>
    </row>
    <row r="1017" spans="1:76" s="257" customFormat="1" ht="15" customHeight="1">
      <c r="A1017" s="979" t="str">
        <f>+input!B53</f>
        <v>126i</v>
      </c>
      <c r="B1017" s="1066" t="str">
        <f t="shared" si="39"/>
        <v>Negative</v>
      </c>
      <c r="C1017" s="1015">
        <f>Cons!H566</f>
        <v>556</v>
      </c>
      <c r="D1017" s="849">
        <f>IF(B1017="Positive",input!H53,input!K53)</f>
        <v>18</v>
      </c>
      <c r="E1017" s="676">
        <f>Cons!J566</f>
        <v>1940</v>
      </c>
      <c r="F1017" s="21">
        <f>Cons!D633</f>
        <v>30.888888888888889</v>
      </c>
      <c r="G1017" s="834">
        <f>Cons!G566</f>
        <v>21845333.333333332</v>
      </c>
      <c r="H1017" s="575">
        <f>Cons!L566</f>
        <v>1.8194269748111445</v>
      </c>
      <c r="I1017" s="21">
        <f>Cons!M566</f>
        <v>1.1893127859110977</v>
      </c>
      <c r="J1017" s="575">
        <f>0.57*SQRT(Es*H1017/input!BJ53/L882)</f>
        <v>18.074463047505684</v>
      </c>
      <c r="K1017" s="575">
        <f>0.95*SQRT(Es*H1017/MIN((L882-0.3)*input!BJ53,input!BK53))</f>
        <v>36.005383553083824</v>
      </c>
      <c r="L1017" s="575">
        <f>IF(F1017&lt;=J1017,1*L950*input!BJ53*L882,IF(F1017&lt;=K1017,1*L950*input!BJ53*(L882-(L882-(L882-0.3)/L950)*(F1017-J1017)/(K1017-J1017)),0.9*Es*1*H1017/F1017^2))</f>
        <v>298.37766246700323</v>
      </c>
      <c r="M1017" s="597">
        <f>IF(F1017&lt;=1.12*SQRT(Es*I1017/input!BJ53),0.58*input!BJ53,IF(F1017&lt;=1.4*SQRT(Es*I1017/input!BJ53),0.65*SQRT(input!BJ53*Es*I1017)/F1017,0.9*Es*I1017/F1017^2))</f>
        <v>205.00316201919566</v>
      </c>
      <c r="N1017" s="185"/>
      <c r="Z1017" s="559"/>
      <c r="AA1017" s="559"/>
      <c r="AB1017" s="559"/>
      <c r="AC1017" s="559"/>
      <c r="AD1017" s="559"/>
      <c r="AE1017" s="559"/>
      <c r="AY1017" s="143"/>
      <c r="AZ1017" s="143"/>
      <c r="BA1017" s="143"/>
      <c r="BB1017" s="143"/>
      <c r="BC1017" s="143"/>
      <c r="BD1017" s="143"/>
      <c r="BE1017" s="143"/>
      <c r="BF1017" s="143"/>
      <c r="BG1017" s="143"/>
      <c r="BH1017" s="143"/>
      <c r="BI1017" s="143"/>
      <c r="BJ1017" s="143"/>
      <c r="BK1017" s="143"/>
      <c r="BL1017" s="143"/>
      <c r="BM1017" s="143"/>
      <c r="BN1017" s="143"/>
      <c r="BO1017" s="143"/>
      <c r="BP1017" s="143"/>
      <c r="BQ1017" s="143"/>
      <c r="BR1017" s="143"/>
      <c r="BS1017" s="143"/>
      <c r="BT1017" s="143"/>
      <c r="BU1017" s="143"/>
      <c r="BV1017" s="143"/>
      <c r="BW1017" s="143"/>
      <c r="BX1017" s="143"/>
    </row>
    <row r="1018" spans="1:76" s="257" customFormat="1" ht="15" customHeight="1">
      <c r="A1018" s="482" t="str">
        <f>+input!B54</f>
        <v>126j</v>
      </c>
      <c r="B1018" s="1063" t="str">
        <f t="shared" si="39"/>
        <v>Negative</v>
      </c>
      <c r="C1018" s="575">
        <f>Cons!H567</f>
        <v>556</v>
      </c>
      <c r="D1018" s="676">
        <f>IF(B1018="Positive",input!H54,input!K54)</f>
        <v>18</v>
      </c>
      <c r="E1018" s="676">
        <f>Cons!J567</f>
        <v>1940</v>
      </c>
      <c r="F1018" s="21">
        <f>Cons!D634</f>
        <v>30.888888888888889</v>
      </c>
      <c r="G1018" s="834">
        <f>Cons!G567</f>
        <v>21845333.333333332</v>
      </c>
      <c r="H1018" s="575">
        <f>Cons!L567</f>
        <v>1.8194269748111445</v>
      </c>
      <c r="I1018" s="21">
        <f>Cons!M567</f>
        <v>1.1893127859110977</v>
      </c>
      <c r="J1018" s="575">
        <f>0.57*SQRT(Es*H1018/input!BJ54/L883)</f>
        <v>18.074763119899181</v>
      </c>
      <c r="K1018" s="575">
        <f>0.95*SQRT(Es*H1018/MIN((L883-0.3)*input!BJ54,input!BK54))</f>
        <v>36.006237516549014</v>
      </c>
      <c r="L1018" s="575">
        <f>IF(F1018&lt;=J1018,1*L951*input!BJ54*L883,IF(F1018&lt;=K1018,1*L951*input!BJ54*(L883-(L883-(L883-0.3)/L951)*(F1018-J1018)/(K1018-J1018)),0.9*Es*1*H1018/F1018^2))</f>
        <v>298.36945524257732</v>
      </c>
      <c r="M1018" s="597">
        <f>IF(F1018&lt;=1.12*SQRT(Es*I1018/input!BJ54),0.58*input!BJ54,IF(F1018&lt;=1.4*SQRT(Es*I1018/input!BJ54),0.65*SQRT(input!BJ54*Es*I1018)/F1018,0.9*Es*I1018/F1018^2))</f>
        <v>205.00316201919566</v>
      </c>
      <c r="N1018" s="185"/>
      <c r="Z1018" s="559"/>
      <c r="AA1018" s="559"/>
      <c r="AB1018" s="559"/>
      <c r="AC1018" s="559"/>
      <c r="AD1018" s="559"/>
      <c r="AE1018" s="559"/>
      <c r="AY1018" s="143"/>
      <c r="AZ1018" s="143"/>
      <c r="BA1018" s="143"/>
      <c r="BB1018" s="143"/>
      <c r="BC1018" s="143"/>
      <c r="BD1018" s="143"/>
      <c r="BE1018" s="143"/>
      <c r="BF1018" s="143"/>
      <c r="BG1018" s="143"/>
      <c r="BH1018" s="143"/>
      <c r="BI1018" s="143"/>
      <c r="BJ1018" s="143"/>
      <c r="BK1018" s="143"/>
      <c r="BL1018" s="143"/>
      <c r="BM1018" s="143"/>
      <c r="BN1018" s="143"/>
      <c r="BO1018" s="143"/>
      <c r="BP1018" s="143"/>
      <c r="BQ1018" s="143"/>
      <c r="BR1018" s="143"/>
      <c r="BS1018" s="143"/>
      <c r="BT1018" s="143"/>
      <c r="BU1018" s="143"/>
      <c r="BV1018" s="143"/>
      <c r="BW1018" s="143"/>
      <c r="BX1018" s="143"/>
    </row>
    <row r="1019" spans="1:76" s="257" customFormat="1" ht="15" customHeight="1">
      <c r="A1019" s="482" t="str">
        <f>+input!B55</f>
        <v>127i</v>
      </c>
      <c r="B1019" s="1063" t="str">
        <f t="shared" si="39"/>
        <v>Negative</v>
      </c>
      <c r="C1019" s="575">
        <f>Cons!H568</f>
        <v>556</v>
      </c>
      <c r="D1019" s="676">
        <f>IF(B1019="Positive",input!H55,input!K55)</f>
        <v>10</v>
      </c>
      <c r="E1019" s="676">
        <f>Cons!J568</f>
        <v>1940</v>
      </c>
      <c r="F1019" s="21">
        <f>Cons!D635</f>
        <v>55.6</v>
      </c>
      <c r="G1019" s="834">
        <f>Cons!G568</f>
        <v>21845333.333333332</v>
      </c>
      <c r="H1019" s="575">
        <f>Cons!L568</f>
        <v>3.2749685546600604</v>
      </c>
      <c r="I1019" s="21">
        <f>Cons!M568</f>
        <v>1.6660963479733093</v>
      </c>
      <c r="J1019" s="575">
        <f>0.57*SQRT(Es*H1019/input!BJ55/L884)</f>
        <v>24.252091530550132</v>
      </c>
      <c r="K1019" s="575">
        <f>0.95*SQRT(Es*H1019/MIN((L884-0.3)*input!BJ55,input!BK55))</f>
        <v>48.313846493095141</v>
      </c>
      <c r="L1019" s="575">
        <f>IF(F1019&lt;=J1019,1*L952*input!BJ55*L884,IF(F1019&lt;=K1019,1*L952*input!BJ55*(L884-(L884-(L884-0.3)/L952)*(F1019-J1019)/(K1019-J1019)),0.9*Es*1*H1019/F1019^2))</f>
        <v>200.22548549206545</v>
      </c>
      <c r="M1019" s="597">
        <f>IF(F1019&lt;=1.12*SQRT(Es*I1019/input!BJ55),0.58*input!BJ55,IF(F1019&lt;=1.4*SQRT(Es*I1019/input!BJ55),0.65*SQRT(input!BJ55*Es*I1019)/F1019,0.9*Es*I1019/F1019^2))</f>
        <v>101.86203152235763</v>
      </c>
      <c r="N1019" s="185"/>
      <c r="Z1019" s="559"/>
      <c r="AA1019" s="559"/>
      <c r="AB1019" s="559"/>
      <c r="AC1019" s="559"/>
      <c r="AD1019" s="559"/>
      <c r="AE1019" s="559"/>
      <c r="AY1019" s="143"/>
      <c r="AZ1019" s="143"/>
      <c r="BA1019" s="143"/>
      <c r="BB1019" s="143"/>
      <c r="BC1019" s="143"/>
      <c r="BD1019" s="143"/>
      <c r="BE1019" s="143"/>
      <c r="BF1019" s="143"/>
      <c r="BG1019" s="143"/>
      <c r="BH1019" s="143"/>
      <c r="BI1019" s="143"/>
      <c r="BJ1019" s="143"/>
      <c r="BK1019" s="143"/>
      <c r="BL1019" s="143"/>
      <c r="BM1019" s="143"/>
      <c r="BN1019" s="143"/>
      <c r="BO1019" s="143"/>
      <c r="BP1019" s="143"/>
      <c r="BQ1019" s="143"/>
      <c r="BR1019" s="143"/>
      <c r="BS1019" s="143"/>
      <c r="BT1019" s="143"/>
      <c r="BU1019" s="143"/>
      <c r="BV1019" s="143"/>
      <c r="BW1019" s="143"/>
      <c r="BX1019" s="143"/>
    </row>
    <row r="1020" spans="1:76" s="257" customFormat="1" ht="15" customHeight="1">
      <c r="A1020" s="482" t="str">
        <f>+input!B56</f>
        <v>127j</v>
      </c>
      <c r="B1020" s="1063" t="str">
        <f t="shared" si="39"/>
        <v>Positive</v>
      </c>
      <c r="C1020" s="575">
        <f>Cons!H569</f>
        <v>0</v>
      </c>
      <c r="D1020" s="676">
        <f>IF(B1020="Positive",input!H56,input!K56)</f>
        <v>22</v>
      </c>
      <c r="E1020" s="676">
        <f>Cons!J569</f>
        <v>500</v>
      </c>
      <c r="F1020" s="21">
        <f>Cons!D636</f>
        <v>22.727272727272727</v>
      </c>
      <c r="G1020" s="834">
        <f>Cons!G569</f>
        <v>0</v>
      </c>
      <c r="H1020" s="575">
        <f>Cons!L569</f>
        <v>4</v>
      </c>
      <c r="I1020" s="21">
        <f>Cons!M569</f>
        <v>5.34</v>
      </c>
      <c r="J1020" s="575">
        <f>0.57*SQRT(Es*H1020/input!BJ56/L885)</f>
        <v>26.799734673799595</v>
      </c>
      <c r="K1020" s="575">
        <f>0.95*SQRT(Es*H1020/MIN((L885-0.3)*input!BJ56,input!BK56))</f>
        <v>53.386759963095756</v>
      </c>
      <c r="L1020" s="575">
        <f>IF(F1020&lt;=J1020,1*L953*input!BJ56*L885,IF(F1020&lt;=K1020,1*L953*input!BJ56*(L885-(L885-(L885-0.3)/L953)*(F1020-J1020)/(K1020-J1020)),0.9*Es*1*H1020/F1020^2))</f>
        <v>379.1766756311427</v>
      </c>
      <c r="M1020" s="597">
        <f>IF(F1020&lt;=1.12*SQRT(Es*I1020/input!BJ56),0.58*input!BJ56,IF(F1020&lt;=1.4*SQRT(Es*I1020/input!BJ56),0.65*SQRT(input!BJ56*Es*I1020)/F1020,0.9*Es*I1020/F1020^2))</f>
        <v>220.39999999999998</v>
      </c>
      <c r="N1020" s="185"/>
      <c r="Z1020" s="559"/>
      <c r="AA1020" s="559"/>
      <c r="AB1020" s="559"/>
      <c r="AC1020" s="559"/>
      <c r="AD1020" s="559"/>
      <c r="AE1020" s="559"/>
      <c r="AY1020" s="143"/>
      <c r="AZ1020" s="143"/>
      <c r="BA1020" s="143"/>
      <c r="BB1020" s="143"/>
      <c r="BC1020" s="143"/>
      <c r="BD1020" s="143"/>
      <c r="BE1020" s="143"/>
      <c r="BF1020" s="143"/>
      <c r="BG1020" s="143"/>
      <c r="BH1020" s="143"/>
      <c r="BI1020" s="143"/>
      <c r="BJ1020" s="143"/>
      <c r="BK1020" s="143"/>
      <c r="BL1020" s="143"/>
      <c r="BM1020" s="143"/>
      <c r="BN1020" s="143"/>
      <c r="BO1020" s="143"/>
      <c r="BP1020" s="143"/>
      <c r="BQ1020" s="143"/>
      <c r="BR1020" s="143"/>
      <c r="BS1020" s="143"/>
      <c r="BT1020" s="143"/>
      <c r="BU1020" s="143"/>
      <c r="BV1020" s="143"/>
      <c r="BW1020" s="143"/>
      <c r="BX1020" s="143"/>
    </row>
    <row r="1021" spans="1:76" s="257" customFormat="1" ht="15" customHeight="1">
      <c r="A1021" s="482" t="str">
        <f>+input!B57</f>
        <v>128i</v>
      </c>
      <c r="B1021" s="1063" t="str">
        <f t="shared" si="39"/>
        <v>Positive</v>
      </c>
      <c r="C1021" s="575">
        <f>Cons!H570</f>
        <v>0</v>
      </c>
      <c r="D1021" s="676">
        <f>IF(B1021="Positive",input!H57,input!K57)</f>
        <v>22</v>
      </c>
      <c r="E1021" s="676">
        <f>Cons!J570</f>
        <v>500</v>
      </c>
      <c r="F1021" s="21">
        <f>Cons!D637</f>
        <v>22.727272727272727</v>
      </c>
      <c r="G1021" s="834">
        <f>Cons!G570</f>
        <v>0</v>
      </c>
      <c r="H1021" s="575">
        <f>Cons!L570</f>
        <v>4</v>
      </c>
      <c r="I1021" s="21">
        <f>Cons!M570</f>
        <v>5.34</v>
      </c>
      <c r="J1021" s="575">
        <f>0.57*SQRT(Es*H1021/input!BJ57/L886)</f>
        <v>26.799734673799595</v>
      </c>
      <c r="K1021" s="575">
        <f>0.95*SQRT(Es*H1021/MIN((L886-0.3)*input!BJ57,input!BK57))</f>
        <v>53.386759963095756</v>
      </c>
      <c r="L1021" s="575">
        <f>IF(F1021&lt;=J1021,1*L954*input!BJ57*L886,IF(F1021&lt;=K1021,1*L954*input!BJ57*(L886-(L886-(L886-0.3)/L954)*(F1021-J1021)/(K1021-J1021)),0.9*Es*1*H1021/F1021^2))</f>
        <v>379.1766756311427</v>
      </c>
      <c r="M1021" s="597">
        <f>IF(F1021&lt;=1.12*SQRT(Es*I1021/input!BJ57),0.58*input!BJ57,IF(F1021&lt;=1.4*SQRT(Es*I1021/input!BJ57),0.65*SQRT(input!BJ57*Es*I1021)/F1021,0.9*Es*I1021/F1021^2))</f>
        <v>220.39999999999998</v>
      </c>
      <c r="N1021" s="185"/>
      <c r="Z1021" s="559"/>
      <c r="AA1021" s="559"/>
      <c r="AB1021" s="559"/>
      <c r="AC1021" s="559"/>
      <c r="AD1021" s="559"/>
      <c r="AE1021" s="559"/>
      <c r="AY1021" s="143"/>
      <c r="AZ1021" s="143"/>
      <c r="BA1021" s="143"/>
      <c r="BB1021" s="143"/>
      <c r="BC1021" s="143"/>
      <c r="BD1021" s="143"/>
      <c r="BE1021" s="143"/>
      <c r="BF1021" s="143"/>
      <c r="BG1021" s="143"/>
      <c r="BH1021" s="143"/>
      <c r="BI1021" s="143"/>
      <c r="BJ1021" s="143"/>
      <c r="BK1021" s="143"/>
      <c r="BL1021" s="143"/>
      <c r="BM1021" s="143"/>
      <c r="BN1021" s="143"/>
      <c r="BO1021" s="143"/>
      <c r="BP1021" s="143"/>
      <c r="BQ1021" s="143"/>
      <c r="BR1021" s="143"/>
      <c r="BS1021" s="143"/>
      <c r="BT1021" s="143"/>
      <c r="BU1021" s="143"/>
      <c r="BV1021" s="143"/>
      <c r="BW1021" s="143"/>
      <c r="BX1021" s="143"/>
    </row>
    <row r="1022" spans="1:76" s="257" customFormat="1" ht="15" customHeight="1">
      <c r="A1022" s="482" t="str">
        <f>+input!B58</f>
        <v>128j</v>
      </c>
      <c r="B1022" s="1063" t="str">
        <f t="shared" si="39"/>
        <v>Positive</v>
      </c>
      <c r="C1022" s="575">
        <f>Cons!H571</f>
        <v>0</v>
      </c>
      <c r="D1022" s="676">
        <f>IF(B1022="Positive",input!H58,input!K58)</f>
        <v>22</v>
      </c>
      <c r="E1022" s="676">
        <f>Cons!J571</f>
        <v>500</v>
      </c>
      <c r="F1022" s="21">
        <f>Cons!D638</f>
        <v>22.727272727272727</v>
      </c>
      <c r="G1022" s="834">
        <f>Cons!G571</f>
        <v>0</v>
      </c>
      <c r="H1022" s="575">
        <f>Cons!L571</f>
        <v>4</v>
      </c>
      <c r="I1022" s="21">
        <f>Cons!M571</f>
        <v>5.34</v>
      </c>
      <c r="J1022" s="575">
        <f>0.57*SQRT(Es*H1022/input!BJ58/L887)</f>
        <v>26.800021082045767</v>
      </c>
      <c r="K1022" s="575">
        <f>0.95*SQRT(Es*H1022/MIN((L887-0.3)*input!BJ58,input!BK58))</f>
        <v>53.387575043050091</v>
      </c>
      <c r="L1022" s="575">
        <f>IF(F1022&lt;=J1022,1*L955*input!BJ58*L887,IF(F1022&lt;=K1022,1*L955*input!BJ58*(L887-(L887-(L887-0.3)/L955)*(F1022-J1022)/(K1022-J1022)),0.9*Es*1*H1022/F1022^2))</f>
        <v>379.16857125346093</v>
      </c>
      <c r="M1022" s="597">
        <f>IF(F1022&lt;=1.12*SQRT(Es*I1022/input!BJ58),0.58*input!BJ58,IF(F1022&lt;=1.4*SQRT(Es*I1022/input!BJ58),0.65*SQRT(input!BJ58*Es*I1022)/F1022,0.9*Es*I1022/F1022^2))</f>
        <v>220.39999999999998</v>
      </c>
      <c r="N1022" s="185"/>
      <c r="Z1022" s="559"/>
      <c r="AA1022" s="559"/>
      <c r="AB1022" s="559"/>
      <c r="AC1022" s="559"/>
      <c r="AD1022" s="559"/>
      <c r="AE1022" s="559"/>
      <c r="AY1022" s="143"/>
      <c r="AZ1022" s="143"/>
      <c r="BA1022" s="143"/>
      <c r="BB1022" s="143"/>
      <c r="BC1022" s="143"/>
      <c r="BD1022" s="143"/>
      <c r="BE1022" s="143"/>
      <c r="BF1022" s="143"/>
      <c r="BG1022" s="143"/>
      <c r="BH1022" s="143"/>
      <c r="BI1022" s="143"/>
      <c r="BJ1022" s="143"/>
      <c r="BK1022" s="143"/>
      <c r="BL1022" s="143"/>
      <c r="BM1022" s="143"/>
      <c r="BN1022" s="143"/>
      <c r="BO1022" s="143"/>
      <c r="BP1022" s="143"/>
      <c r="BQ1022" s="143"/>
      <c r="BR1022" s="143"/>
      <c r="BS1022" s="143"/>
      <c r="BT1022" s="143"/>
      <c r="BU1022" s="143"/>
      <c r="BV1022" s="143"/>
      <c r="BW1022" s="143"/>
      <c r="BX1022" s="143"/>
    </row>
    <row r="1023" spans="1:76" s="257" customFormat="1" ht="15" customHeight="1">
      <c r="A1023" s="482" t="str">
        <f>+input!B59</f>
        <v>129i</v>
      </c>
      <c r="B1023" s="1063" t="str">
        <f t="shared" si="39"/>
        <v>Positive</v>
      </c>
      <c r="C1023" s="575">
        <f>Cons!H572</f>
        <v>0</v>
      </c>
      <c r="D1023" s="676">
        <f>IF(B1023="Positive",input!H59,input!K59)</f>
        <v>22</v>
      </c>
      <c r="E1023" s="676">
        <f>Cons!J572</f>
        <v>500</v>
      </c>
      <c r="F1023" s="21">
        <f>Cons!D639</f>
        <v>22.727272727272727</v>
      </c>
      <c r="G1023" s="834">
        <f>Cons!G572</f>
        <v>0</v>
      </c>
      <c r="H1023" s="575">
        <f>Cons!L572</f>
        <v>4</v>
      </c>
      <c r="I1023" s="21">
        <f>Cons!M572</f>
        <v>5.34</v>
      </c>
      <c r="J1023" s="575">
        <f>0.57*SQRT(Es*H1023/input!BJ59/L888)</f>
        <v>26.800185561067341</v>
      </c>
      <c r="K1023" s="575">
        <f>0.95*SQRT(Es*H1023/MIN((L888-0.3)*input!BJ59,input!BK59))</f>
        <v>53.388043133635037</v>
      </c>
      <c r="L1023" s="575">
        <f>IF(F1023&lt;=J1023,1*L956*input!BJ59*L888,IF(F1023&lt;=K1023,1*L956*input!BJ59*(L888-(L888-(L888-0.3)/L956)*(F1023-J1023)/(K1023-J1023)),0.9*Es*1*H1023/F1023^2))</f>
        <v>379.16391717492144</v>
      </c>
      <c r="M1023" s="597">
        <f>IF(F1023&lt;=1.12*SQRT(Es*I1023/input!BJ59),0.58*input!BJ59,IF(F1023&lt;=1.4*SQRT(Es*I1023/input!BJ59),0.65*SQRT(input!BJ59*Es*I1023)/F1023,0.9*Es*I1023/F1023^2))</f>
        <v>220.39999999999998</v>
      </c>
      <c r="N1023" s="185"/>
      <c r="Z1023" s="559"/>
      <c r="AA1023" s="559"/>
      <c r="AB1023" s="559"/>
      <c r="AC1023" s="559"/>
      <c r="AD1023" s="559"/>
      <c r="AE1023" s="559"/>
      <c r="AY1023" s="143"/>
      <c r="AZ1023" s="143"/>
      <c r="BA1023" s="143"/>
      <c r="BB1023" s="143"/>
      <c r="BC1023" s="143"/>
      <c r="BD1023" s="143"/>
      <c r="BE1023" s="143"/>
      <c r="BF1023" s="143"/>
      <c r="BG1023" s="143"/>
      <c r="BH1023" s="143"/>
      <c r="BI1023" s="143"/>
      <c r="BJ1023" s="143"/>
      <c r="BK1023" s="143"/>
      <c r="BL1023" s="143"/>
      <c r="BM1023" s="143"/>
      <c r="BN1023" s="143"/>
      <c r="BO1023" s="143"/>
      <c r="BP1023" s="143"/>
      <c r="BQ1023" s="143"/>
      <c r="BR1023" s="143"/>
      <c r="BS1023" s="143"/>
      <c r="BT1023" s="143"/>
      <c r="BU1023" s="143"/>
      <c r="BV1023" s="143"/>
      <c r="BW1023" s="143"/>
      <c r="BX1023" s="143"/>
    </row>
    <row r="1024" spans="1:76" s="257" customFormat="1" ht="15" customHeight="1">
      <c r="A1024" s="482" t="str">
        <f>+input!B60</f>
        <v>129j</v>
      </c>
      <c r="B1024" s="1063" t="str">
        <f t="shared" si="39"/>
        <v>Positive</v>
      </c>
      <c r="C1024" s="575">
        <f>Cons!H573</f>
        <v>0</v>
      </c>
      <c r="D1024" s="676">
        <f>IF(B1024="Positive",input!H60,input!K60)</f>
        <v>22</v>
      </c>
      <c r="E1024" s="676">
        <f>Cons!J573</f>
        <v>500</v>
      </c>
      <c r="F1024" s="21">
        <f>Cons!D640</f>
        <v>22.727272727272727</v>
      </c>
      <c r="G1024" s="834">
        <f>Cons!G573</f>
        <v>0</v>
      </c>
      <c r="H1024" s="575">
        <f>Cons!L573</f>
        <v>4</v>
      </c>
      <c r="I1024" s="21">
        <f>Cons!M573</f>
        <v>5.34</v>
      </c>
      <c r="J1024" s="575">
        <f>0.57*SQRT(Es*H1024/input!BJ60/L889)</f>
        <v>26.800379713075884</v>
      </c>
      <c r="K1024" s="575">
        <f>0.95*SQRT(Es*H1024/MIN((L889-0.3)*input!BJ60,input!BK60))</f>
        <v>53.388595675279902</v>
      </c>
      <c r="L1024" s="575">
        <f>IF(F1024&lt;=J1024,1*L957*input!BJ60*L889,IF(F1024&lt;=K1024,1*L957*input!BJ60*(L889-(L889-(L889-0.3)/L957)*(F1024-J1024)/(K1024-J1024)),0.9*Es*1*H1024/F1024^2))</f>
        <v>379.15842358339597</v>
      </c>
      <c r="M1024" s="597">
        <f>IF(F1024&lt;=1.12*SQRT(Es*I1024/input!BJ60),0.58*input!BJ60,IF(F1024&lt;=1.4*SQRT(Es*I1024/input!BJ60),0.65*SQRT(input!BJ60*Es*I1024)/F1024,0.9*Es*I1024/F1024^2))</f>
        <v>220.39999999999998</v>
      </c>
      <c r="N1024" s="185"/>
      <c r="Z1024" s="559"/>
      <c r="AA1024" s="559"/>
      <c r="AB1024" s="559"/>
      <c r="AC1024" s="559"/>
      <c r="AD1024" s="559"/>
      <c r="AE1024" s="559"/>
      <c r="AY1024" s="143"/>
      <c r="AZ1024" s="143"/>
      <c r="BA1024" s="143"/>
      <c r="BB1024" s="143"/>
      <c r="BC1024" s="143"/>
      <c r="BD1024" s="143"/>
      <c r="BE1024" s="143"/>
      <c r="BF1024" s="143"/>
      <c r="BG1024" s="143"/>
      <c r="BH1024" s="143"/>
      <c r="BI1024" s="143"/>
      <c r="BJ1024" s="143"/>
      <c r="BK1024" s="143"/>
      <c r="BL1024" s="143"/>
      <c r="BM1024" s="143"/>
      <c r="BN1024" s="143"/>
      <c r="BO1024" s="143"/>
      <c r="BP1024" s="143"/>
      <c r="BQ1024" s="143"/>
      <c r="BR1024" s="143"/>
      <c r="BS1024" s="143"/>
      <c r="BT1024" s="143"/>
      <c r="BU1024" s="143"/>
      <c r="BV1024" s="143"/>
      <c r="BW1024" s="143"/>
      <c r="BX1024" s="143"/>
    </row>
    <row r="1025" spans="1:76" s="257" customFormat="1" ht="15" customHeight="1">
      <c r="A1025" s="482" t="str">
        <f>+input!B61</f>
        <v>130i</v>
      </c>
      <c r="B1025" s="1063" t="str">
        <f t="shared" si="39"/>
        <v>Positive</v>
      </c>
      <c r="C1025" s="575">
        <f>Cons!H574</f>
        <v>0</v>
      </c>
      <c r="D1025" s="676">
        <f>IF(B1025="Positive",input!H61,input!K61)</f>
        <v>22</v>
      </c>
      <c r="E1025" s="676">
        <f>Cons!J574</f>
        <v>500</v>
      </c>
      <c r="F1025" s="21">
        <f>Cons!D641</f>
        <v>22.727272727272727</v>
      </c>
      <c r="G1025" s="834">
        <f>Cons!G574</f>
        <v>0</v>
      </c>
      <c r="H1025" s="575">
        <f>Cons!L574</f>
        <v>4</v>
      </c>
      <c r="I1025" s="21">
        <f>Cons!M574</f>
        <v>5.34</v>
      </c>
      <c r="J1025" s="575">
        <f>0.57*SQRT(Es*H1025/input!BJ61/L890)</f>
        <v>26.800581302701911</v>
      </c>
      <c r="K1025" s="575">
        <f>0.95*SQRT(Es*H1025/MIN((L890-0.3)*input!BJ61,input!BK61))</f>
        <v>53.389169389257283</v>
      </c>
      <c r="L1025" s="575">
        <f>IF(F1025&lt;=J1025,1*L958*input!BJ61*L890,IF(F1025&lt;=K1025,1*L958*input!BJ61*(L890-(L890-(L890-0.3)/L958)*(F1025-J1025)/(K1025-J1025)),0.9*Es*1*H1025/F1025^2))</f>
        <v>379.18803338073616</v>
      </c>
      <c r="M1025" s="597">
        <f>IF(F1025&lt;=1.12*SQRT(Es*I1025/input!BJ61),0.58*input!BJ61,IF(F1025&lt;=1.4*SQRT(Es*I1025/input!BJ61),0.65*SQRT(input!BJ61*Es*I1025)/F1025,0.9*Es*I1025/F1025^2))</f>
        <v>220.39999999999998</v>
      </c>
      <c r="N1025" s="185"/>
      <c r="Z1025" s="559"/>
      <c r="AA1025" s="559"/>
      <c r="AB1025" s="559"/>
      <c r="AC1025" s="559"/>
      <c r="AD1025" s="559"/>
      <c r="AE1025" s="559"/>
      <c r="AY1025" s="143"/>
      <c r="AZ1025" s="143"/>
      <c r="BA1025" s="143"/>
      <c r="BB1025" s="143"/>
      <c r="BC1025" s="143"/>
      <c r="BD1025" s="143"/>
      <c r="BE1025" s="143"/>
      <c r="BF1025" s="143"/>
      <c r="BG1025" s="143"/>
      <c r="BH1025" s="143"/>
      <c r="BI1025" s="143"/>
      <c r="BJ1025" s="143"/>
      <c r="BK1025" s="143"/>
      <c r="BL1025" s="143"/>
      <c r="BM1025" s="143"/>
      <c r="BN1025" s="143"/>
      <c r="BO1025" s="143"/>
      <c r="BP1025" s="143"/>
      <c r="BQ1025" s="143"/>
      <c r="BR1025" s="143"/>
      <c r="BS1025" s="143"/>
      <c r="BT1025" s="143"/>
      <c r="BU1025" s="143"/>
      <c r="BV1025" s="143"/>
      <c r="BW1025" s="143"/>
      <c r="BX1025" s="143"/>
    </row>
    <row r="1026" spans="1:76" s="257" customFormat="1" ht="15" customHeight="1">
      <c r="A1026" s="482" t="str">
        <f>+input!B62</f>
        <v>130j</v>
      </c>
      <c r="B1026" s="1063" t="str">
        <f t="shared" si="39"/>
        <v>Negative</v>
      </c>
      <c r="C1026" s="575">
        <f>Cons!H575</f>
        <v>556</v>
      </c>
      <c r="D1026" s="676">
        <f>IF(B1026="Positive",input!H62,input!K62)</f>
        <v>10</v>
      </c>
      <c r="E1026" s="676">
        <f>Cons!J575</f>
        <v>1940</v>
      </c>
      <c r="F1026" s="21">
        <f>Cons!D642</f>
        <v>55.6</v>
      </c>
      <c r="G1026" s="834">
        <f>Cons!G575</f>
        <v>21845333.333333332</v>
      </c>
      <c r="H1026" s="575">
        <f>Cons!L575</f>
        <v>3.2749685546600604</v>
      </c>
      <c r="I1026" s="21">
        <f>Cons!M575</f>
        <v>1.6660963479733093</v>
      </c>
      <c r="J1026" s="575">
        <f>0.57*SQRT(Es*H1026/input!BJ62/L891)</f>
        <v>24.256001124823054</v>
      </c>
      <c r="K1026" s="575">
        <f>0.95*SQRT(Es*H1026/MIN((L891-0.3)*input!BJ62,input!BK62))</f>
        <v>48.324975245186664</v>
      </c>
      <c r="L1026" s="575">
        <f>IF(F1026&lt;=J1026,1*L959*input!BJ62*L891,IF(F1026&lt;=K1026,1*L959*input!BJ62*(L891-(L891-(L891-0.3)/L959)*(F1026-J1026)/(K1026-J1026)),0.9*Es*1*H1026/F1026^2))</f>
        <v>200.22548549206545</v>
      </c>
      <c r="M1026" s="597">
        <f>IF(F1026&lt;=1.12*SQRT(Es*I1026/input!BJ62),0.58*input!BJ62,IF(F1026&lt;=1.4*SQRT(Es*I1026/input!BJ62),0.65*SQRT(input!BJ62*Es*I1026)/F1026,0.9*Es*I1026/F1026^2))</f>
        <v>101.86203152235763</v>
      </c>
      <c r="N1026" s="185"/>
      <c r="Z1026" s="559"/>
      <c r="AA1026" s="559"/>
      <c r="AB1026" s="559"/>
      <c r="AC1026" s="559"/>
      <c r="AD1026" s="559"/>
      <c r="AE1026" s="559"/>
      <c r="AY1026" s="143"/>
      <c r="AZ1026" s="143"/>
      <c r="BA1026" s="143"/>
      <c r="BB1026" s="143"/>
      <c r="BC1026" s="143"/>
      <c r="BD1026" s="143"/>
      <c r="BE1026" s="143"/>
      <c r="BF1026" s="143"/>
      <c r="BG1026" s="143"/>
      <c r="BH1026" s="143"/>
      <c r="BI1026" s="143"/>
      <c r="BJ1026" s="143"/>
      <c r="BK1026" s="143"/>
      <c r="BL1026" s="143"/>
      <c r="BM1026" s="143"/>
      <c r="BN1026" s="143"/>
      <c r="BO1026" s="143"/>
      <c r="BP1026" s="143"/>
      <c r="BQ1026" s="143"/>
      <c r="BR1026" s="143"/>
      <c r="BS1026" s="143"/>
      <c r="BT1026" s="143"/>
      <c r="BU1026" s="143"/>
      <c r="BV1026" s="143"/>
      <c r="BW1026" s="143"/>
      <c r="BX1026" s="143"/>
    </row>
    <row r="1027" spans="1:76" s="257" customFormat="1" ht="15" customHeight="1">
      <c r="A1027" s="482" t="str">
        <f>+input!B63</f>
        <v>131i</v>
      </c>
      <c r="B1027" s="1063" t="str">
        <f t="shared" si="39"/>
        <v>Negative</v>
      </c>
      <c r="C1027" s="575">
        <f>Cons!H576</f>
        <v>556</v>
      </c>
      <c r="D1027" s="676">
        <f>IF(B1027="Positive",input!H63,input!K63)</f>
        <v>10</v>
      </c>
      <c r="E1027" s="676">
        <f>Cons!J576</f>
        <v>1940</v>
      </c>
      <c r="F1027" s="21">
        <f>Cons!D643</f>
        <v>55.6</v>
      </c>
      <c r="G1027" s="834">
        <f>Cons!G576</f>
        <v>21845333.333333332</v>
      </c>
      <c r="H1027" s="575">
        <f>Cons!L576</f>
        <v>3.2749685546600604</v>
      </c>
      <c r="I1027" s="21">
        <f>Cons!M576</f>
        <v>1.6660963479733093</v>
      </c>
      <c r="J1027" s="575">
        <f>0.57*SQRT(Es*H1027/input!BJ63/L892)</f>
        <v>24.249458205402487</v>
      </c>
      <c r="K1027" s="575">
        <f>0.95*SQRT(Es*H1027/MIN((L892-0.3)*input!BJ63,input!BK63))</f>
        <v>48.306351971527505</v>
      </c>
      <c r="L1027" s="575">
        <f>IF(F1027&lt;=J1027,1*L960*input!BJ63*L892,IF(F1027&lt;=K1027,1*L960*input!BJ63*(L892-(L892-(L892-0.3)/L960)*(F1027-J1027)/(K1027-J1027)),0.9*Es*1*H1027/F1027^2))</f>
        <v>200.22548549206545</v>
      </c>
      <c r="M1027" s="597">
        <f>IF(F1027&lt;=1.12*SQRT(Es*I1027/input!BJ63),0.58*input!BJ63,IF(F1027&lt;=1.4*SQRT(Es*I1027/input!BJ63),0.65*SQRT(input!BJ63*Es*I1027)/F1027,0.9*Es*I1027/F1027^2))</f>
        <v>101.86203152235763</v>
      </c>
      <c r="N1027" s="185"/>
      <c r="Z1027" s="559"/>
      <c r="AA1027" s="559"/>
      <c r="AB1027" s="559"/>
      <c r="AC1027" s="559"/>
      <c r="AD1027" s="559"/>
      <c r="AE1027" s="559"/>
      <c r="AY1027" s="143"/>
      <c r="AZ1027" s="143"/>
      <c r="BA1027" s="143"/>
      <c r="BB1027" s="143"/>
      <c r="BC1027" s="143"/>
      <c r="BD1027" s="143"/>
      <c r="BE1027" s="143"/>
      <c r="BF1027" s="143"/>
      <c r="BG1027" s="143"/>
      <c r="BH1027" s="143"/>
      <c r="BI1027" s="143"/>
      <c r="BJ1027" s="143"/>
      <c r="BK1027" s="143"/>
      <c r="BL1027" s="143"/>
      <c r="BM1027" s="143"/>
      <c r="BN1027" s="143"/>
      <c r="BO1027" s="143"/>
      <c r="BP1027" s="143"/>
      <c r="BQ1027" s="143"/>
      <c r="BR1027" s="143"/>
      <c r="BS1027" s="143"/>
      <c r="BT1027" s="143"/>
      <c r="BU1027" s="143"/>
      <c r="BV1027" s="143"/>
      <c r="BW1027" s="143"/>
      <c r="BX1027" s="143"/>
    </row>
    <row r="1028" spans="1:76" s="257" customFormat="1" ht="15" customHeight="1">
      <c r="A1028" s="482" t="str">
        <f>+input!B64</f>
        <v>131j</v>
      </c>
      <c r="B1028" s="1063" t="str">
        <f t="shared" si="39"/>
        <v>Positive</v>
      </c>
      <c r="C1028" s="575">
        <f>Cons!H577</f>
        <v>0</v>
      </c>
      <c r="D1028" s="676">
        <f>IF(B1028="Positive",input!H64,input!K64)</f>
        <v>22</v>
      </c>
      <c r="E1028" s="676">
        <f>Cons!J577</f>
        <v>500</v>
      </c>
      <c r="F1028" s="21">
        <f>Cons!D644</f>
        <v>22.727272727272727</v>
      </c>
      <c r="G1028" s="834">
        <f>Cons!G577</f>
        <v>0</v>
      </c>
      <c r="H1028" s="575">
        <f>Cons!L577</f>
        <v>4</v>
      </c>
      <c r="I1028" s="21">
        <f>Cons!M577</f>
        <v>5.34</v>
      </c>
      <c r="J1028" s="575">
        <f>0.57*SQRT(Es*H1028/input!BJ64/L893)</f>
        <v>26.799259039994048</v>
      </c>
      <c r="K1028" s="575">
        <f>0.95*SQRT(Es*H1028/MIN((L893-0.3)*input!BJ64,input!BK64))</f>
        <v>53.385406396992607</v>
      </c>
      <c r="L1028" s="575">
        <f>IF(F1028&lt;=J1028,1*L961*input!BJ64*L893,IF(F1028&lt;=K1028,1*L961*input!BJ64*(L893-(L893-(L893-0.3)/L961)*(F1028-J1028)/(K1028-J1028)),0.9*Es*1*H1028/F1028^2))</f>
        <v>379.22545221863294</v>
      </c>
      <c r="M1028" s="597">
        <f>IF(F1028&lt;=1.12*SQRT(Es*I1028/input!BJ64),0.58*input!BJ64,IF(F1028&lt;=1.4*SQRT(Es*I1028/input!BJ64),0.65*SQRT(input!BJ64*Es*I1028)/F1028,0.9*Es*I1028/F1028^2))</f>
        <v>220.39999999999998</v>
      </c>
      <c r="N1028" s="185"/>
      <c r="Z1028" s="559"/>
      <c r="AA1028" s="559"/>
      <c r="AB1028" s="559"/>
      <c r="AC1028" s="559"/>
      <c r="AD1028" s="559"/>
      <c r="AE1028" s="559"/>
      <c r="AY1028" s="143"/>
      <c r="AZ1028" s="143"/>
      <c r="BA1028" s="143"/>
      <c r="BB1028" s="143"/>
      <c r="BC1028" s="143"/>
      <c r="BD1028" s="143"/>
      <c r="BE1028" s="143"/>
      <c r="BF1028" s="143"/>
      <c r="BG1028" s="143"/>
      <c r="BH1028" s="143"/>
      <c r="BI1028" s="143"/>
      <c r="BJ1028" s="143"/>
      <c r="BK1028" s="143"/>
      <c r="BL1028" s="143"/>
      <c r="BM1028" s="143"/>
      <c r="BN1028" s="143"/>
      <c r="BO1028" s="143"/>
      <c r="BP1028" s="143"/>
      <c r="BQ1028" s="143"/>
      <c r="BR1028" s="143"/>
      <c r="BS1028" s="143"/>
      <c r="BT1028" s="143"/>
      <c r="BU1028" s="143"/>
      <c r="BV1028" s="143"/>
      <c r="BW1028" s="143"/>
      <c r="BX1028" s="143"/>
    </row>
    <row r="1029" spans="1:76" ht="15" customHeight="1">
      <c r="A1029" s="181"/>
      <c r="B1029" s="181"/>
      <c r="C1029" s="243"/>
      <c r="D1029" s="243"/>
      <c r="E1029" s="243"/>
      <c r="F1029" s="243"/>
      <c r="G1029" s="242"/>
      <c r="H1029" s="242"/>
      <c r="I1029" s="243"/>
      <c r="J1029" s="243"/>
      <c r="K1029" s="243"/>
      <c r="L1029" s="243"/>
      <c r="M1029" s="243"/>
      <c r="N1029" s="243"/>
      <c r="O1029" s="244"/>
      <c r="P1029" s="244"/>
      <c r="Q1029" s="243"/>
      <c r="R1029" s="243"/>
      <c r="S1029" s="243"/>
      <c r="T1029" s="243"/>
      <c r="U1029" s="243"/>
      <c r="V1029" s="243"/>
      <c r="W1029" s="243"/>
      <c r="X1029" s="243"/>
      <c r="Y1029" s="243"/>
      <c r="Z1029" s="243"/>
      <c r="AB1029" s="119"/>
      <c r="AC1029" s="119"/>
      <c r="AD1029" s="614"/>
    </row>
    <row r="1030" spans="1:76" ht="15" customHeight="1">
      <c r="A1030" s="181"/>
      <c r="B1030" s="181"/>
      <c r="C1030" s="243"/>
      <c r="D1030" s="243"/>
      <c r="E1030" s="243"/>
      <c r="F1030" s="243"/>
      <c r="G1030" s="242"/>
      <c r="H1030" s="242"/>
      <c r="I1030" s="243"/>
      <c r="J1030" s="243"/>
      <c r="K1030" s="243"/>
      <c r="L1030" s="243"/>
      <c r="M1030" s="243"/>
      <c r="N1030" s="243"/>
      <c r="O1030" s="244"/>
      <c r="P1030" s="244"/>
      <c r="Q1030" s="243"/>
      <c r="R1030" s="243"/>
      <c r="S1030" s="243"/>
      <c r="T1030" s="243"/>
      <c r="U1030" s="243"/>
      <c r="V1030" s="243"/>
      <c r="W1030" s="243"/>
      <c r="X1030" s="243"/>
      <c r="Y1030" s="243"/>
      <c r="Z1030" s="243"/>
      <c r="AB1030" s="119"/>
      <c r="AC1030" s="119"/>
      <c r="AD1030" s="614"/>
    </row>
    <row r="1031" spans="1:76" ht="15" customHeight="1" thickBot="1">
      <c r="A1031" s="468" t="s">
        <v>2139</v>
      </c>
      <c r="B1031" s="135"/>
      <c r="C1031" s="135"/>
      <c r="D1031" s="135"/>
      <c r="E1031" s="135"/>
      <c r="F1031" s="135"/>
      <c r="H1031" s="135"/>
      <c r="I1031" s="135"/>
      <c r="L1031" s="326"/>
      <c r="Z1031" s="143"/>
      <c r="AB1031" s="119"/>
      <c r="AC1031" s="119"/>
      <c r="AD1031" s="614"/>
    </row>
    <row r="1032" spans="1:76" ht="15" customHeight="1">
      <c r="A1032" s="622" t="s">
        <v>340</v>
      </c>
      <c r="B1032" s="618" t="s">
        <v>693</v>
      </c>
      <c r="C1032" s="618" t="s">
        <v>843</v>
      </c>
      <c r="D1032" s="1918" t="s">
        <v>844</v>
      </c>
      <c r="E1032" s="1911"/>
      <c r="F1032" s="1919"/>
      <c r="G1032" s="623" t="s">
        <v>696</v>
      </c>
      <c r="H1032" s="1918" t="s">
        <v>691</v>
      </c>
      <c r="I1032" s="1911"/>
      <c r="J1032" s="1911"/>
      <c r="K1032" s="1911"/>
      <c r="L1032" s="1912"/>
      <c r="Z1032" s="143"/>
      <c r="AB1032" s="73"/>
      <c r="AC1032" s="73"/>
      <c r="AE1032" s="73"/>
      <c r="AF1032" s="143"/>
      <c r="AG1032" s="143"/>
      <c r="AH1032" s="143"/>
      <c r="AI1032" s="143"/>
      <c r="AJ1032" s="143"/>
      <c r="AK1032" s="143"/>
      <c r="AL1032" s="143"/>
      <c r="AM1032" s="143"/>
      <c r="AN1032" s="143"/>
      <c r="AO1032" s="143"/>
      <c r="AP1032" s="143"/>
      <c r="AQ1032" s="143"/>
    </row>
    <row r="1033" spans="1:76" ht="15" customHeight="1">
      <c r="A1033" s="631"/>
      <c r="B1033" s="619" t="s">
        <v>694</v>
      </c>
      <c r="C1033" s="619"/>
      <c r="D1033" s="619" t="s">
        <v>695</v>
      </c>
      <c r="E1033" s="625" t="s">
        <v>703</v>
      </c>
      <c r="F1033" s="625" t="s">
        <v>845</v>
      </c>
      <c r="G1033" s="625"/>
      <c r="H1033" s="621" t="s">
        <v>476</v>
      </c>
      <c r="I1033" s="621" t="s">
        <v>623</v>
      </c>
      <c r="J1033" s="621" t="s">
        <v>692</v>
      </c>
      <c r="K1033" s="621" t="s">
        <v>778</v>
      </c>
      <c r="L1033" s="632" t="s">
        <v>477</v>
      </c>
      <c r="Z1033" s="143"/>
      <c r="AB1033" s="73"/>
      <c r="AC1033" s="73"/>
      <c r="AE1033" s="73"/>
      <c r="AF1033" s="143"/>
      <c r="AG1033" s="143"/>
      <c r="AH1033" s="143"/>
      <c r="AI1033" s="143"/>
      <c r="AJ1033" s="143"/>
      <c r="AK1033" s="143"/>
      <c r="AL1033" s="143"/>
      <c r="AM1033" s="143"/>
      <c r="AN1033" s="143"/>
      <c r="AO1033" s="143"/>
      <c r="AP1033" s="143"/>
      <c r="AQ1033" s="143"/>
    </row>
    <row r="1034" spans="1:76" ht="15" customHeight="1">
      <c r="A1034" s="593" t="str">
        <f>+input!B3</f>
        <v>101i</v>
      </c>
      <c r="B1034" s="596" t="str">
        <f t="shared" ref="B1034:B1065" si="40">B434</f>
        <v>Negative</v>
      </c>
      <c r="C1034" s="596" t="str">
        <f>IF(input!F3=2,"OF","BF")</f>
        <v>OF</v>
      </c>
      <c r="D1034" s="596" t="str">
        <f>IF(B1034="Positive",IF(C1034="OF",1,L832)*1*L900*input!BI3,"-")</f>
        <v>-</v>
      </c>
      <c r="E1034" s="596">
        <f t="shared" ref="E1034:E1065" si="41">IF(B1034="Positive","-",L967*SQRT(1-(K832/M967)^2))</f>
        <v>240.23795372265167</v>
      </c>
      <c r="F1034" s="596">
        <f t="shared" ref="F1034:F1065" si="42">IF(B1034="Positive",D1034,E1034)</f>
        <v>240.23795372265167</v>
      </c>
      <c r="G1034" s="596">
        <f>IF(B1034="Positive",L900*input!BJ3*L832,IF(C1034="OF",L900*input!BI3,L900*input!BI3*L832))</f>
        <v>379.53505450533009</v>
      </c>
      <c r="H1034" s="575">
        <f>E434</f>
        <v>1463.1423158230009</v>
      </c>
      <c r="I1034" s="575">
        <f>IF(B1034="Positive",input!BR3,input!K3+input!M3+input!H3)</f>
        <v>2634</v>
      </c>
      <c r="J1034" s="676">
        <f>N200</f>
        <v>46794.735150873828</v>
      </c>
      <c r="K1034" s="676">
        <f t="shared" ref="K1034:K1065" si="43">1.3*L900*M349</f>
        <v>51935.39865094472</v>
      </c>
      <c r="L1034" s="677">
        <f t="shared" ref="L1034:L1065" si="44">MIN(IF(H1034&lt;=0.1*I1034,1,1.07-0.7*H1034/I1034)*J1034,K1034)</f>
        <v>31874.789538587065</v>
      </c>
      <c r="Z1034" s="143"/>
      <c r="AB1034" s="73"/>
      <c r="AC1034" s="73"/>
      <c r="AE1034" s="73"/>
      <c r="AF1034" s="143"/>
      <c r="AG1034" s="143"/>
      <c r="AH1034" s="143"/>
      <c r="AI1034" s="143"/>
      <c r="AJ1034" s="143"/>
      <c r="AK1034" s="143"/>
      <c r="AL1034" s="143"/>
      <c r="AM1034" s="143"/>
      <c r="AN1034" s="143"/>
      <c r="AO1034" s="143"/>
      <c r="AP1034" s="143"/>
      <c r="AQ1034" s="143"/>
    </row>
    <row r="1035" spans="1:76" ht="15" customHeight="1">
      <c r="A1035" s="593" t="str">
        <f>+input!B4</f>
        <v>101j</v>
      </c>
      <c r="B1035" s="596" t="str">
        <f t="shared" si="40"/>
        <v>Negative</v>
      </c>
      <c r="C1035" s="596" t="str">
        <f>IF(input!F4=2,"OF","BF")</f>
        <v>OF</v>
      </c>
      <c r="D1035" s="596" t="str">
        <f>IF(B1035="Positive",IF(C1035="OF",1,L833)*1*L901*input!BI4,"-")</f>
        <v>-</v>
      </c>
      <c r="E1035" s="596">
        <f t="shared" si="41"/>
        <v>240.23328112499632</v>
      </c>
      <c r="F1035" s="596">
        <f t="shared" si="42"/>
        <v>240.23328112499632</v>
      </c>
      <c r="G1035" s="596">
        <f>IF(B1035="Positive",L901*input!BJ4*L833,IF(C1035="OF",L901*input!BI4,L901*input!BI4*L833))</f>
        <v>379.53505450533009</v>
      </c>
      <c r="H1035" s="575">
        <f t="shared" ref="H1035:H1065" si="45">E435</f>
        <v>1463.1423158230009</v>
      </c>
      <c r="I1035" s="575">
        <f>IF(B1035="Positive",input!BR4,input!K4+input!M4+input!H4)</f>
        <v>2634</v>
      </c>
      <c r="J1035" s="676">
        <f t="shared" ref="J1035:J1065" si="46">N201</f>
        <v>46794.735150873828</v>
      </c>
      <c r="K1035" s="676">
        <f t="shared" si="43"/>
        <v>51933.603152436961</v>
      </c>
      <c r="L1035" s="677">
        <f t="shared" si="44"/>
        <v>31874.789538587065</v>
      </c>
      <c r="Z1035" s="143"/>
      <c r="AB1035" s="73"/>
      <c r="AC1035" s="73"/>
      <c r="AE1035" s="73"/>
      <c r="AF1035" s="143"/>
      <c r="AG1035" s="143"/>
      <c r="AH1035" s="143"/>
      <c r="AI1035" s="143"/>
      <c r="AJ1035" s="143"/>
      <c r="AK1035" s="143"/>
      <c r="AL1035" s="143"/>
      <c r="AM1035" s="143"/>
      <c r="AN1035" s="143"/>
      <c r="AO1035" s="143"/>
      <c r="AP1035" s="143"/>
      <c r="AQ1035" s="143"/>
    </row>
    <row r="1036" spans="1:76" ht="15" customHeight="1">
      <c r="A1036" s="593" t="str">
        <f>+input!B5</f>
        <v>102i</v>
      </c>
      <c r="B1036" s="596" t="str">
        <f t="shared" si="40"/>
        <v>Negative</v>
      </c>
      <c r="C1036" s="596" t="str">
        <f>IF(input!F5=2,"OF","BF")</f>
        <v>OF</v>
      </c>
      <c r="D1036" s="596" t="str">
        <f>IF(B1036="Positive",IF(C1036="OF",1,L834)*1*L902*input!BI5,"-")</f>
        <v>-</v>
      </c>
      <c r="E1036" s="596">
        <f t="shared" si="41"/>
        <v>240.25113855988528</v>
      </c>
      <c r="F1036" s="596">
        <f t="shared" si="42"/>
        <v>240.25113855988528</v>
      </c>
      <c r="G1036" s="596">
        <f>IF(B1036="Positive",L902*input!BJ5*L834,IF(C1036="OF",L902*input!BI5,L902*input!BI5*L834))</f>
        <v>379.53505450533009</v>
      </c>
      <c r="H1036" s="575">
        <f t="shared" si="45"/>
        <v>1463.1423158230009</v>
      </c>
      <c r="I1036" s="575">
        <f>IF(B1036="Positive",input!BR5,input!K5+input!M5+input!H5)</f>
        <v>2634</v>
      </c>
      <c r="J1036" s="676">
        <f t="shared" si="46"/>
        <v>46794.735150873828</v>
      </c>
      <c r="K1036" s="676">
        <f t="shared" si="43"/>
        <v>51933.602338872923</v>
      </c>
      <c r="L1036" s="677">
        <f t="shared" si="44"/>
        <v>31874.789538587065</v>
      </c>
      <c r="Z1036" s="143"/>
      <c r="AB1036" s="73"/>
      <c r="AC1036" s="73"/>
      <c r="AE1036" s="73"/>
      <c r="AF1036" s="143"/>
      <c r="AG1036" s="143"/>
      <c r="AH1036" s="143"/>
      <c r="AI1036" s="143"/>
      <c r="AJ1036" s="143"/>
      <c r="AK1036" s="143"/>
      <c r="AL1036" s="143"/>
      <c r="AM1036" s="143"/>
      <c r="AN1036" s="143"/>
      <c r="AO1036" s="143"/>
      <c r="AP1036" s="143"/>
      <c r="AQ1036" s="143"/>
    </row>
    <row r="1037" spans="1:76" ht="15" customHeight="1">
      <c r="A1037" s="593" t="str">
        <f>+input!B6</f>
        <v>102j</v>
      </c>
      <c r="B1037" s="596" t="str">
        <f t="shared" si="40"/>
        <v>Positive</v>
      </c>
      <c r="C1037" s="596" t="str">
        <f>IF(input!F6=2,"OF","BF")</f>
        <v>OF</v>
      </c>
      <c r="D1037" s="596">
        <f>IF(B1037="Positive",IF(C1037="OF",1,L835)*1*L903*input!BI6,"-")</f>
        <v>379.32353027739117</v>
      </c>
      <c r="E1037" s="596" t="str">
        <f t="shared" si="41"/>
        <v>-</v>
      </c>
      <c r="F1037" s="596">
        <f t="shared" si="42"/>
        <v>379.32353027739117</v>
      </c>
      <c r="G1037" s="596">
        <f>IF(B1037="Positive",L903*input!BJ6*L835,IF(C1037="OF",L903*input!BI6,L903*input!BI6*L835))</f>
        <v>379.24269370581084</v>
      </c>
      <c r="H1037" s="575">
        <f t="shared" si="45"/>
        <v>250</v>
      </c>
      <c r="I1037" s="575">
        <f>IF(B1037="Positive",input!BR6,input!K6+input!M6+input!H6)</f>
        <v>2902</v>
      </c>
      <c r="J1037" s="676">
        <f t="shared" si="46"/>
        <v>64224.654231642628</v>
      </c>
      <c r="K1037" s="676">
        <f t="shared" si="43"/>
        <v>61478.937612745642</v>
      </c>
      <c r="L1037" s="677">
        <f t="shared" si="44"/>
        <v>61478.937612745642</v>
      </c>
      <c r="Z1037" s="143"/>
      <c r="AB1037" s="73"/>
      <c r="AC1037" s="73"/>
      <c r="AE1037" s="73"/>
      <c r="AF1037" s="143"/>
      <c r="AG1037" s="143"/>
      <c r="AH1037" s="143"/>
      <c r="AI1037" s="143"/>
      <c r="AJ1037" s="143"/>
      <c r="AK1037" s="143"/>
      <c r="AL1037" s="143"/>
      <c r="AM1037" s="143"/>
      <c r="AN1037" s="143"/>
      <c r="AO1037" s="143"/>
      <c r="AP1037" s="143"/>
      <c r="AQ1037" s="143"/>
    </row>
    <row r="1038" spans="1:76" ht="15" customHeight="1">
      <c r="A1038" s="593" t="str">
        <f>+input!B7</f>
        <v>103i</v>
      </c>
      <c r="B1038" s="596" t="str">
        <f t="shared" si="40"/>
        <v>Positive</v>
      </c>
      <c r="C1038" s="596" t="str">
        <f>IF(input!F7=2,"OF","BF")</f>
        <v>OF</v>
      </c>
      <c r="D1038" s="596">
        <f>IF(B1038="Positive",IF(C1038="OF",1,L836)*1*L904*input!BI7,"-")</f>
        <v>379.48682909537342</v>
      </c>
      <c r="E1038" s="596" t="str">
        <f t="shared" si="41"/>
        <v>-</v>
      </c>
      <c r="F1038" s="596">
        <f t="shared" si="42"/>
        <v>379.48682909537342</v>
      </c>
      <c r="G1038" s="596">
        <f>IF(B1038="Positive",L904*input!BJ7*L836,IF(C1038="OF",L904*input!BI7,L904*input!BI7*L836))</f>
        <v>379.45001727212968</v>
      </c>
      <c r="H1038" s="575">
        <f t="shared" si="45"/>
        <v>277.60594899196968</v>
      </c>
      <c r="I1038" s="575">
        <f>IF(B1038="Positive",input!BR7,input!K7+input!M7+input!H7)</f>
        <v>3108</v>
      </c>
      <c r="J1038" s="676">
        <f t="shared" si="46"/>
        <v>83743.281114864061</v>
      </c>
      <c r="K1038" s="676">
        <f t="shared" si="43"/>
        <v>84905.545661042139</v>
      </c>
      <c r="L1038" s="677">
        <f t="shared" si="44"/>
        <v>83743.281114864061</v>
      </c>
      <c r="Z1038" s="143"/>
      <c r="AB1038" s="73"/>
      <c r="AC1038" s="73"/>
      <c r="AE1038" s="73"/>
      <c r="AF1038" s="143"/>
      <c r="AG1038" s="143"/>
      <c r="AH1038" s="143"/>
      <c r="AI1038" s="143"/>
      <c r="AJ1038" s="143"/>
      <c r="AK1038" s="143"/>
      <c r="AL1038" s="143"/>
      <c r="AM1038" s="143"/>
      <c r="AN1038" s="143"/>
      <c r="AO1038" s="143"/>
      <c r="AP1038" s="143"/>
      <c r="AQ1038" s="143"/>
    </row>
    <row r="1039" spans="1:76" ht="15" customHeight="1">
      <c r="A1039" s="593" t="str">
        <f>+input!B8</f>
        <v>103j</v>
      </c>
      <c r="B1039" s="596" t="str">
        <f t="shared" si="40"/>
        <v>Positive</v>
      </c>
      <c r="C1039" s="596" t="str">
        <f>IF(input!F8=2,"OF","BF")</f>
        <v>OF</v>
      </c>
      <c r="D1039" s="596">
        <f>IF(B1039="Positive",IF(C1039="OF",1,L837)*1*L905*input!BI8,"-")</f>
        <v>379.48682909537342</v>
      </c>
      <c r="E1039" s="596" t="str">
        <f t="shared" si="41"/>
        <v>-</v>
      </c>
      <c r="F1039" s="596">
        <f t="shared" si="42"/>
        <v>379.48682909537342</v>
      </c>
      <c r="G1039" s="596">
        <f>IF(B1039="Positive",L905*input!BJ8*L837,IF(C1039="OF",L905*input!BI8,L905*input!BI8*L837))</f>
        <v>379.45455576940441</v>
      </c>
      <c r="H1039" s="575">
        <f t="shared" si="45"/>
        <v>277.60594899196968</v>
      </c>
      <c r="I1039" s="575">
        <f>IF(B1039="Positive",input!BR8,input!K8+input!M8+input!H8)</f>
        <v>3108</v>
      </c>
      <c r="J1039" s="676">
        <f t="shared" si="46"/>
        <v>83743.281114864061</v>
      </c>
      <c r="K1039" s="676">
        <f t="shared" si="43"/>
        <v>81452.900663436361</v>
      </c>
      <c r="L1039" s="677">
        <f t="shared" si="44"/>
        <v>81452.900663436361</v>
      </c>
      <c r="Z1039" s="143"/>
      <c r="AB1039" s="73"/>
      <c r="AC1039" s="73"/>
      <c r="AE1039" s="73"/>
      <c r="AF1039" s="143"/>
      <c r="AG1039" s="143"/>
      <c r="AH1039" s="143"/>
      <c r="AI1039" s="143"/>
      <c r="AJ1039" s="143"/>
      <c r="AK1039" s="143"/>
      <c r="AL1039" s="143"/>
      <c r="AM1039" s="143"/>
      <c r="AN1039" s="143"/>
      <c r="AO1039" s="143"/>
      <c r="AP1039" s="143"/>
      <c r="AQ1039" s="143"/>
    </row>
    <row r="1040" spans="1:76" ht="15" customHeight="1">
      <c r="A1040" s="593" t="str">
        <f>+input!B9</f>
        <v>104i</v>
      </c>
      <c r="B1040" s="596" t="str">
        <f t="shared" si="40"/>
        <v>Positive</v>
      </c>
      <c r="C1040" s="596" t="str">
        <f>IF(input!F9=2,"OF","BF")</f>
        <v>OF</v>
      </c>
      <c r="D1040" s="596">
        <f>IF(B1040="Positive",IF(C1040="OF",1,L838)*1*L906*input!BI9,"-")</f>
        <v>379.48682909537342</v>
      </c>
      <c r="E1040" s="596" t="str">
        <f t="shared" si="41"/>
        <v>-</v>
      </c>
      <c r="F1040" s="596">
        <f t="shared" si="42"/>
        <v>379.48682909537342</v>
      </c>
      <c r="G1040" s="596">
        <f>IF(B1040="Positive",L906*input!BJ9*L838,IF(C1040="OF",L906*input!BI9,L906*input!BI9*L838))</f>
        <v>379.43993214056337</v>
      </c>
      <c r="H1040" s="575">
        <f t="shared" si="45"/>
        <v>277.60594899196968</v>
      </c>
      <c r="I1040" s="575">
        <f>IF(B1040="Positive",input!BR9,input!K9+input!M9+input!H9)</f>
        <v>3108</v>
      </c>
      <c r="J1040" s="676">
        <f t="shared" si="46"/>
        <v>83743.281114864061</v>
      </c>
      <c r="K1040" s="676">
        <f t="shared" si="43"/>
        <v>81452.917237778398</v>
      </c>
      <c r="L1040" s="677">
        <f t="shared" si="44"/>
        <v>81452.917237778398</v>
      </c>
      <c r="Z1040" s="143"/>
      <c r="AB1040" s="73"/>
      <c r="AC1040" s="73"/>
      <c r="AE1040" s="73"/>
      <c r="AF1040" s="143"/>
      <c r="AG1040" s="143"/>
      <c r="AH1040" s="143"/>
      <c r="AI1040" s="143"/>
      <c r="AJ1040" s="143"/>
      <c r="AK1040" s="143"/>
      <c r="AL1040" s="143"/>
      <c r="AM1040" s="143"/>
      <c r="AN1040" s="143"/>
      <c r="AO1040" s="143"/>
      <c r="AP1040" s="143"/>
      <c r="AQ1040" s="143"/>
    </row>
    <row r="1041" spans="1:48" ht="15" customHeight="1">
      <c r="A1041" s="593" t="str">
        <f>+input!B10</f>
        <v>104j</v>
      </c>
      <c r="B1041" s="596" t="str">
        <f t="shared" si="40"/>
        <v>Positive</v>
      </c>
      <c r="C1041" s="596" t="str">
        <f>IF(input!F10=2,"OF","BF")</f>
        <v>OF</v>
      </c>
      <c r="D1041" s="596">
        <f>IF(B1041="Positive",IF(C1041="OF",1,L839)*1*L907*input!BI10,"-")</f>
        <v>379.48682909537342</v>
      </c>
      <c r="E1041" s="596" t="str">
        <f t="shared" si="41"/>
        <v>-</v>
      </c>
      <c r="F1041" s="596">
        <f t="shared" si="42"/>
        <v>379.48682909537342</v>
      </c>
      <c r="G1041" s="596">
        <f>IF(B1041="Positive",L907*input!BJ10*L839,IF(C1041="OF",L907*input!BI10,L907*input!BI10*L839))</f>
        <v>379.44680894257493</v>
      </c>
      <c r="H1041" s="575">
        <f t="shared" si="45"/>
        <v>277.60594899196968</v>
      </c>
      <c r="I1041" s="575">
        <f>IF(B1041="Positive",input!BR10,input!K10+input!M10+input!H10)</f>
        <v>3108</v>
      </c>
      <c r="J1041" s="676">
        <f t="shared" si="46"/>
        <v>83743.281114864061</v>
      </c>
      <c r="K1041" s="676">
        <f t="shared" si="43"/>
        <v>77582.776531478579</v>
      </c>
      <c r="L1041" s="677">
        <f t="shared" si="44"/>
        <v>77582.776531478579</v>
      </c>
      <c r="Z1041" s="143"/>
      <c r="AB1041" s="73"/>
      <c r="AC1041" s="73"/>
      <c r="AE1041" s="73"/>
      <c r="AF1041" s="143"/>
      <c r="AG1041" s="143"/>
      <c r="AH1041" s="143"/>
      <c r="AI1041" s="143"/>
      <c r="AJ1041" s="143"/>
      <c r="AK1041" s="143"/>
      <c r="AL1041" s="143"/>
      <c r="AM1041" s="143"/>
      <c r="AN1041" s="143"/>
      <c r="AO1041" s="143"/>
      <c r="AP1041" s="143"/>
      <c r="AQ1041" s="143"/>
    </row>
    <row r="1042" spans="1:48" s="326" customFormat="1" ht="15" customHeight="1">
      <c r="A1042" s="593" t="str">
        <f>+input!B11</f>
        <v>105i</v>
      </c>
      <c r="B1042" s="596" t="str">
        <f t="shared" si="40"/>
        <v>Positive</v>
      </c>
      <c r="C1042" s="596" t="str">
        <f>IF(input!F11=2,"OF","BF")</f>
        <v>OF</v>
      </c>
      <c r="D1042" s="596">
        <f>IF(B1042="Positive",IF(C1042="OF",1,L840)*1*L908*input!BI11,"-")</f>
        <v>379.71678381329224</v>
      </c>
      <c r="E1042" s="596" t="str">
        <f t="shared" si="41"/>
        <v>-</v>
      </c>
      <c r="F1042" s="596">
        <f t="shared" si="42"/>
        <v>379.71678381329224</v>
      </c>
      <c r="G1042" s="596">
        <f>IF(B1042="Positive",L908*input!BJ11*L840,IF(C1042="OF",L908*input!BI11,L908*input!BI11*L840))</f>
        <v>379.69195956099264</v>
      </c>
      <c r="H1042" s="575">
        <f t="shared" si="45"/>
        <v>268.85160974185663</v>
      </c>
      <c r="I1042" s="575">
        <f>IF(B1042="Positive",input!BR11,input!K11+input!M11+input!H11)</f>
        <v>3124</v>
      </c>
      <c r="J1042" s="676">
        <f>N208</f>
        <v>117364.48706155812</v>
      </c>
      <c r="K1042" s="676">
        <f>1.3*L908*M357</f>
        <v>122239.77459804184</v>
      </c>
      <c r="L1042" s="677">
        <f>MIN(IF(H1042&lt;=0.1*I1042,1,1.07-0.7*H1042/I1042)*J1042,K1042)</f>
        <v>117364.48706155812</v>
      </c>
      <c r="Z1042" s="143"/>
      <c r="AA1042" s="143"/>
      <c r="AB1042" s="559"/>
      <c r="AC1042" s="559"/>
      <c r="AD1042" s="559"/>
      <c r="AE1042" s="559"/>
      <c r="AJ1042" s="143"/>
      <c r="AK1042" s="143"/>
      <c r="AL1042" s="143"/>
      <c r="AM1042" s="143"/>
      <c r="AN1042" s="143"/>
      <c r="AO1042" s="143"/>
      <c r="AP1042" s="143"/>
      <c r="AQ1042" s="143"/>
      <c r="AR1042" s="143"/>
      <c r="AS1042" s="143"/>
    </row>
    <row r="1043" spans="1:48" s="326" customFormat="1" ht="15" customHeight="1">
      <c r="A1043" s="593" t="str">
        <f>+input!B12</f>
        <v>105j</v>
      </c>
      <c r="B1043" s="596" t="str">
        <f t="shared" si="40"/>
        <v>Positive</v>
      </c>
      <c r="C1043" s="596" t="str">
        <f>IF(input!F12=2,"OF","BF")</f>
        <v>OF</v>
      </c>
      <c r="D1043" s="596">
        <f>IF(B1043="Positive",IF(C1043="OF",1,L841)*1*L909*input!BI12,"-")</f>
        <v>379.71678381329224</v>
      </c>
      <c r="E1043" s="596" t="str">
        <f t="shared" si="41"/>
        <v>-</v>
      </c>
      <c r="F1043" s="596">
        <f t="shared" si="42"/>
        <v>379.71678381329224</v>
      </c>
      <c r="G1043" s="596">
        <f>IF(B1043="Positive",L909*input!BJ12*L841,IF(C1043="OF",L909*input!BI12,L909*input!BI12*L841))</f>
        <v>379.69237085401522</v>
      </c>
      <c r="H1043" s="575">
        <f t="shared" si="45"/>
        <v>268.85160974185663</v>
      </c>
      <c r="I1043" s="575">
        <f>IF(B1043="Positive",input!BR12,input!K12+input!M12+input!H12)</f>
        <v>3124</v>
      </c>
      <c r="J1043" s="676">
        <f t="shared" si="46"/>
        <v>117364.48706155812</v>
      </c>
      <c r="K1043" s="676">
        <f t="shared" si="43"/>
        <v>119621.61086554555</v>
      </c>
      <c r="L1043" s="677">
        <f t="shared" si="44"/>
        <v>117364.48706155812</v>
      </c>
      <c r="Z1043" s="143"/>
      <c r="AA1043" s="143"/>
      <c r="AB1043" s="559"/>
      <c r="AC1043" s="559"/>
      <c r="AD1043" s="559"/>
      <c r="AE1043" s="559"/>
      <c r="AJ1043" s="143"/>
      <c r="AK1043" s="143"/>
      <c r="AL1043" s="143"/>
      <c r="AM1043" s="143"/>
      <c r="AN1043" s="143"/>
      <c r="AO1043" s="143"/>
      <c r="AP1043" s="143"/>
      <c r="AQ1043" s="143"/>
      <c r="AR1043" s="143"/>
      <c r="AS1043" s="143"/>
    </row>
    <row r="1044" spans="1:48" s="326" customFormat="1" ht="15" customHeight="1">
      <c r="A1044" s="593" t="str">
        <f>+input!B13</f>
        <v>106i</v>
      </c>
      <c r="B1044" s="596" t="str">
        <f t="shared" si="40"/>
        <v>Positive</v>
      </c>
      <c r="C1044" s="596" t="str">
        <f>IF(input!F13=2,"OF","BF")</f>
        <v>OF</v>
      </c>
      <c r="D1044" s="596">
        <f>IF(B1044="Positive",IF(C1044="OF",1,L842)*1*L910*input!BI13,"-")</f>
        <v>379.71678381329224</v>
      </c>
      <c r="E1044" s="596" t="str">
        <f t="shared" si="41"/>
        <v>-</v>
      </c>
      <c r="F1044" s="596">
        <f t="shared" si="42"/>
        <v>379.71678381329224</v>
      </c>
      <c r="G1044" s="596">
        <f>IF(B1044="Positive",L910*input!BJ13*L842,IF(C1044="OF",L910*input!BI13,L910*input!BI13*L842))</f>
        <v>379.6994414709996</v>
      </c>
      <c r="H1044" s="575">
        <f t="shared" si="45"/>
        <v>268.85160974185663</v>
      </c>
      <c r="I1044" s="575">
        <f>IF(B1044="Positive",input!BR13,input!K13+input!M13+input!H13)</f>
        <v>3124</v>
      </c>
      <c r="J1044" s="676">
        <f t="shared" si="46"/>
        <v>117364.48706155812</v>
      </c>
      <c r="K1044" s="676">
        <f t="shared" si="43"/>
        <v>119621.63663219458</v>
      </c>
      <c r="L1044" s="677">
        <f t="shared" si="44"/>
        <v>117364.48706155812</v>
      </c>
      <c r="Z1044" s="143"/>
      <c r="AA1044" s="143"/>
      <c r="AB1044" s="559"/>
      <c r="AC1044" s="559"/>
      <c r="AD1044" s="559"/>
      <c r="AE1044" s="559"/>
      <c r="AJ1044" s="143"/>
      <c r="AK1044" s="143"/>
      <c r="AL1044" s="143"/>
      <c r="AM1044" s="143"/>
      <c r="AN1044" s="143"/>
      <c r="AO1044" s="143"/>
      <c r="AP1044" s="143"/>
      <c r="AQ1044" s="143"/>
      <c r="AR1044" s="143"/>
      <c r="AS1044" s="143"/>
    </row>
    <row r="1045" spans="1:48" s="326" customFormat="1" ht="15" customHeight="1">
      <c r="A1045" s="593" t="str">
        <f>+input!B14</f>
        <v>106j</v>
      </c>
      <c r="B1045" s="596" t="str">
        <f t="shared" si="40"/>
        <v>Positive</v>
      </c>
      <c r="C1045" s="596" t="str">
        <f>IF(input!F14=2,"OF","BF")</f>
        <v>OF</v>
      </c>
      <c r="D1045" s="596">
        <f>IF(B1045="Positive",IF(C1045="OF",1,L843)*1*L911*input!BI14,"-")</f>
        <v>379.71678381329224</v>
      </c>
      <c r="E1045" s="596" t="str">
        <f t="shared" si="41"/>
        <v>-</v>
      </c>
      <c r="F1045" s="596">
        <f t="shared" si="42"/>
        <v>379.71678381329224</v>
      </c>
      <c r="G1045" s="596">
        <f>IF(B1045="Positive",L911*input!BJ14*L843,IF(C1045="OF",L911*input!BI14,L911*input!BI14*L843))</f>
        <v>379.70270520852625</v>
      </c>
      <c r="H1045" s="575">
        <f t="shared" si="45"/>
        <v>268.85160974185663</v>
      </c>
      <c r="I1045" s="575">
        <f>IF(B1045="Positive",input!BR14,input!K14+input!M14+input!H14)</f>
        <v>3124</v>
      </c>
      <c r="J1045" s="676">
        <f t="shared" si="46"/>
        <v>117364.48706155812</v>
      </c>
      <c r="K1045" s="676">
        <f t="shared" si="43"/>
        <v>117805.31492596178</v>
      </c>
      <c r="L1045" s="677">
        <f t="shared" si="44"/>
        <v>117364.48706155812</v>
      </c>
      <c r="Z1045" s="143"/>
      <c r="AA1045" s="143"/>
      <c r="AB1045" s="559"/>
      <c r="AC1045" s="559"/>
      <c r="AD1045" s="559"/>
      <c r="AE1045" s="559"/>
      <c r="AM1045" s="143"/>
      <c r="AN1045" s="143"/>
      <c r="AO1045" s="143"/>
      <c r="AP1045" s="143"/>
      <c r="AQ1045" s="143"/>
      <c r="AR1045" s="143"/>
      <c r="AS1045" s="143"/>
      <c r="AT1045" s="143"/>
      <c r="AU1045" s="143"/>
      <c r="AV1045" s="143"/>
    </row>
    <row r="1046" spans="1:48" s="326" customFormat="1" ht="15" customHeight="1">
      <c r="A1046" s="593" t="str">
        <f>+input!B15</f>
        <v>107i</v>
      </c>
      <c r="B1046" s="596" t="str">
        <f t="shared" si="40"/>
        <v>Positive</v>
      </c>
      <c r="C1046" s="596" t="str">
        <f>IF(input!F15=2,"OF","BF")</f>
        <v>OF</v>
      </c>
      <c r="D1046" s="596">
        <f>IF(B1046="Positive",IF(C1046="OF",1,L844)*1*L912*input!BI15,"-")</f>
        <v>379.75937999074216</v>
      </c>
      <c r="E1046" s="596" t="str">
        <f t="shared" si="41"/>
        <v>-</v>
      </c>
      <c r="F1046" s="596">
        <f t="shared" si="42"/>
        <v>379.75937999074216</v>
      </c>
      <c r="G1046" s="596">
        <f>IF(B1046="Positive",L912*input!BJ15*L844,IF(C1046="OF",L912*input!BI15,L912*input!BI15*L844))</f>
        <v>379.74669831851418</v>
      </c>
      <c r="H1046" s="575">
        <f t="shared" si="45"/>
        <v>273.05967478488054</v>
      </c>
      <c r="I1046" s="575">
        <f>IF(B1046="Positive",input!BR15,input!K15+input!M15+input!H15)</f>
        <v>3130</v>
      </c>
      <c r="J1046" s="676">
        <f t="shared" si="46"/>
        <v>130042.64171156453</v>
      </c>
      <c r="K1046" s="676">
        <f t="shared" si="43"/>
        <v>135650.11918860697</v>
      </c>
      <c r="L1046" s="677">
        <f t="shared" si="44"/>
        <v>130042.64171156453</v>
      </c>
      <c r="Z1046" s="143"/>
      <c r="AA1046" s="143"/>
      <c r="AB1046" s="559"/>
      <c r="AC1046" s="559"/>
      <c r="AD1046" s="559"/>
      <c r="AE1046" s="559"/>
      <c r="AM1046" s="143"/>
      <c r="AN1046" s="143"/>
      <c r="AO1046" s="143"/>
      <c r="AP1046" s="143"/>
      <c r="AQ1046" s="143"/>
      <c r="AR1046" s="143"/>
      <c r="AS1046" s="143"/>
      <c r="AT1046" s="143"/>
      <c r="AU1046" s="143"/>
      <c r="AV1046" s="143"/>
    </row>
    <row r="1047" spans="1:48" s="326" customFormat="1" ht="15" customHeight="1">
      <c r="A1047" s="593" t="str">
        <f>+input!B16</f>
        <v>107j</v>
      </c>
      <c r="B1047" s="596" t="str">
        <f t="shared" si="40"/>
        <v>Positive</v>
      </c>
      <c r="C1047" s="596" t="str">
        <f>IF(input!F16=2,"OF","BF")</f>
        <v>OF</v>
      </c>
      <c r="D1047" s="596">
        <f>IF(B1047="Positive",IF(C1047="OF",1,L845)*1*L913*input!BI16,"-")</f>
        <v>379.75937999074216</v>
      </c>
      <c r="E1047" s="596" t="str">
        <f t="shared" si="41"/>
        <v>-</v>
      </c>
      <c r="F1047" s="596">
        <f t="shared" si="42"/>
        <v>379.75937999074216</v>
      </c>
      <c r="G1047" s="596">
        <f>IF(B1047="Positive",L913*input!BJ16*L845,IF(C1047="OF",L913*input!BI16,L913*input!BI16*L845))</f>
        <v>379.74486963368543</v>
      </c>
      <c r="H1047" s="575">
        <f t="shared" si="45"/>
        <v>273.05967478488054</v>
      </c>
      <c r="I1047" s="575">
        <f>IF(B1047="Positive",input!BR16,input!K16+input!M16+input!H16)</f>
        <v>3130</v>
      </c>
      <c r="J1047" s="676">
        <f t="shared" si="46"/>
        <v>130042.64171156453</v>
      </c>
      <c r="K1047" s="676">
        <f t="shared" si="43"/>
        <v>134604.14144882848</v>
      </c>
      <c r="L1047" s="677">
        <f t="shared" si="44"/>
        <v>130042.64171156453</v>
      </c>
      <c r="Z1047" s="143"/>
      <c r="AA1047" s="143"/>
      <c r="AB1047" s="559"/>
      <c r="AC1047" s="559"/>
      <c r="AD1047" s="559"/>
      <c r="AE1047" s="559"/>
      <c r="AM1047" s="143"/>
      <c r="AN1047" s="143"/>
      <c r="AO1047" s="143"/>
      <c r="AP1047" s="143"/>
      <c r="AQ1047" s="143"/>
      <c r="AR1047" s="143"/>
      <c r="AS1047" s="143"/>
      <c r="AT1047" s="143"/>
      <c r="AU1047" s="143"/>
      <c r="AV1047" s="143"/>
    </row>
    <row r="1048" spans="1:48" s="326" customFormat="1" ht="15" customHeight="1">
      <c r="A1048" s="593" t="str">
        <f>+input!B17</f>
        <v>108i</v>
      </c>
      <c r="B1048" s="596" t="str">
        <f t="shared" si="40"/>
        <v>Positive</v>
      </c>
      <c r="C1048" s="596" t="str">
        <f>IF(input!F17=2,"OF","BF")</f>
        <v>OF</v>
      </c>
      <c r="D1048" s="596">
        <f>IF(B1048="Positive",IF(C1048="OF",1,L846)*1*L914*input!BI17,"-")</f>
        <v>379.75937999074216</v>
      </c>
      <c r="E1048" s="596" t="str">
        <f t="shared" si="41"/>
        <v>-</v>
      </c>
      <c r="F1048" s="596">
        <f t="shared" si="42"/>
        <v>379.75937999074216</v>
      </c>
      <c r="G1048" s="596">
        <f>IF(B1048="Positive",L914*input!BJ17*L846,IF(C1048="OF",L914*input!BI17,L914*input!BI17*L846))</f>
        <v>379.74997825144322</v>
      </c>
      <c r="H1048" s="575">
        <f t="shared" si="45"/>
        <v>273.05967478488054</v>
      </c>
      <c r="I1048" s="575">
        <f>IF(B1048="Positive",input!BR17,input!K17+input!M17+input!H17)</f>
        <v>3130</v>
      </c>
      <c r="J1048" s="676">
        <f t="shared" si="46"/>
        <v>130042.64171156453</v>
      </c>
      <c r="K1048" s="676">
        <f t="shared" si="43"/>
        <v>134604.16045704461</v>
      </c>
      <c r="L1048" s="677">
        <f t="shared" si="44"/>
        <v>130042.64171156453</v>
      </c>
      <c r="Z1048" s="143"/>
      <c r="AA1048" s="143"/>
      <c r="AB1048" s="559"/>
      <c r="AC1048" s="559"/>
      <c r="AD1048" s="559"/>
      <c r="AE1048" s="559"/>
      <c r="AM1048" s="143"/>
      <c r="AN1048" s="143"/>
      <c r="AO1048" s="143"/>
      <c r="AP1048" s="143"/>
      <c r="AQ1048" s="143"/>
      <c r="AR1048" s="143"/>
      <c r="AS1048" s="143"/>
      <c r="AT1048" s="143"/>
      <c r="AU1048" s="143"/>
      <c r="AV1048" s="143"/>
    </row>
    <row r="1049" spans="1:48" s="326" customFormat="1" ht="15" customHeight="1">
      <c r="A1049" s="593" t="str">
        <f>+input!B18</f>
        <v>108j</v>
      </c>
      <c r="B1049" s="596" t="str">
        <f t="shared" si="40"/>
        <v>Positive</v>
      </c>
      <c r="C1049" s="596" t="str">
        <f>IF(input!F18=2,"OF","BF")</f>
        <v>OF</v>
      </c>
      <c r="D1049" s="596">
        <f>IF(B1049="Positive",IF(C1049="OF",1,L847)*1*L915*input!BI18,"-")</f>
        <v>379.75937999074216</v>
      </c>
      <c r="E1049" s="596" t="str">
        <f t="shared" si="41"/>
        <v>-</v>
      </c>
      <c r="F1049" s="596">
        <f t="shared" si="42"/>
        <v>379.75937999074216</v>
      </c>
      <c r="G1049" s="596">
        <f>IF(B1049="Positive",L915*input!BJ18*L847,IF(C1049="OF",L915*input!BI18,L915*input!BI18*L847))</f>
        <v>379.75265843576784</v>
      </c>
      <c r="H1049" s="575">
        <f t="shared" si="45"/>
        <v>273.05967478488054</v>
      </c>
      <c r="I1049" s="575">
        <f>IF(B1049="Positive",input!BR18,input!K18+input!M18+input!H18)</f>
        <v>3130</v>
      </c>
      <c r="J1049" s="676">
        <f t="shared" si="46"/>
        <v>130042.64171156453</v>
      </c>
      <c r="K1049" s="676">
        <f t="shared" si="43"/>
        <v>134276.77492543805</v>
      </c>
      <c r="L1049" s="677">
        <f t="shared" si="44"/>
        <v>130042.64171156453</v>
      </c>
      <c r="Z1049" s="143"/>
      <c r="AA1049" s="143"/>
      <c r="AB1049" s="559"/>
      <c r="AC1049" s="559"/>
      <c r="AD1049" s="559"/>
      <c r="AE1049" s="559"/>
      <c r="AM1049" s="143"/>
      <c r="AN1049" s="143"/>
      <c r="AO1049" s="143"/>
      <c r="AP1049" s="143"/>
      <c r="AQ1049" s="143"/>
      <c r="AR1049" s="143"/>
      <c r="AS1049" s="143"/>
      <c r="AT1049" s="143"/>
      <c r="AU1049" s="143"/>
      <c r="AV1049" s="143"/>
    </row>
    <row r="1050" spans="1:48" s="326" customFormat="1" ht="15" customHeight="1">
      <c r="A1050" s="593" t="str">
        <f>+input!B19</f>
        <v>109i</v>
      </c>
      <c r="B1050" s="596" t="str">
        <f t="shared" si="40"/>
        <v>Positive</v>
      </c>
      <c r="C1050" s="596" t="str">
        <f>IF(input!F19=2,"OF","BF")</f>
        <v>OF</v>
      </c>
      <c r="D1050" s="596">
        <f>IF(B1050="Positive",IF(C1050="OF",1,L848)*1*L916*input!BI19,"-")</f>
        <v>379.75937999074216</v>
      </c>
      <c r="E1050" s="596" t="str">
        <f t="shared" si="41"/>
        <v>-</v>
      </c>
      <c r="F1050" s="596">
        <f t="shared" si="42"/>
        <v>379.75937999074216</v>
      </c>
      <c r="G1050" s="596">
        <f>IF(B1050="Positive",L916*input!BJ19*L848,IF(C1050="OF",L916*input!BI19,L916*input!BI19*L848))</f>
        <v>379.75265843576784</v>
      </c>
      <c r="H1050" s="575">
        <f t="shared" si="45"/>
        <v>273.05967478488054</v>
      </c>
      <c r="I1050" s="575">
        <f>IF(B1050="Positive",input!BR19,input!K19+input!M19+input!H19)</f>
        <v>3130</v>
      </c>
      <c r="J1050" s="676">
        <f t="shared" si="46"/>
        <v>130042.64171156453</v>
      </c>
      <c r="K1050" s="676">
        <f t="shared" si="43"/>
        <v>134276.75764962629</v>
      </c>
      <c r="L1050" s="677">
        <f t="shared" si="44"/>
        <v>130042.64171156453</v>
      </c>
      <c r="Z1050" s="143"/>
      <c r="AA1050" s="143"/>
      <c r="AB1050" s="559"/>
      <c r="AC1050" s="559"/>
      <c r="AD1050" s="559"/>
      <c r="AE1050" s="559"/>
      <c r="AM1050" s="143"/>
      <c r="AN1050" s="143"/>
      <c r="AO1050" s="143"/>
      <c r="AP1050" s="143"/>
      <c r="AQ1050" s="143"/>
      <c r="AR1050" s="143"/>
      <c r="AS1050" s="143"/>
      <c r="AT1050" s="143"/>
      <c r="AU1050" s="143"/>
      <c r="AV1050" s="143"/>
    </row>
    <row r="1051" spans="1:48" s="326" customFormat="1" ht="15" customHeight="1">
      <c r="A1051" s="593" t="str">
        <f>+input!B20</f>
        <v>109j</v>
      </c>
      <c r="B1051" s="596" t="str">
        <f t="shared" si="40"/>
        <v>Positive</v>
      </c>
      <c r="C1051" s="596" t="str">
        <f>IF(input!F20=2,"OF","BF")</f>
        <v>OF</v>
      </c>
      <c r="D1051" s="596">
        <f>IF(B1051="Positive",IF(C1051="OF",1,L849)*1*L917*input!BI20,"-")</f>
        <v>379.75937999074216</v>
      </c>
      <c r="E1051" s="596" t="str">
        <f t="shared" si="41"/>
        <v>-</v>
      </c>
      <c r="F1051" s="596">
        <f t="shared" si="42"/>
        <v>379.75937999074216</v>
      </c>
      <c r="G1051" s="596">
        <f>IF(B1051="Positive",L917*input!BJ20*L849,IF(C1051="OF",L917*input!BI20,L917*input!BI20*L849))</f>
        <v>379.74973295667894</v>
      </c>
      <c r="H1051" s="575">
        <f t="shared" si="45"/>
        <v>273.05967478488054</v>
      </c>
      <c r="I1051" s="575">
        <f>IF(B1051="Positive",input!BR20,input!K20+input!M20+input!H20)</f>
        <v>3130</v>
      </c>
      <c r="J1051" s="676">
        <f t="shared" si="46"/>
        <v>130042.64171156453</v>
      </c>
      <c r="K1051" s="676">
        <f t="shared" si="43"/>
        <v>134470.99241730673</v>
      </c>
      <c r="L1051" s="677">
        <f t="shared" si="44"/>
        <v>130042.64171156453</v>
      </c>
      <c r="Z1051" s="143"/>
      <c r="AA1051" s="143"/>
      <c r="AB1051" s="559"/>
      <c r="AC1051" s="559"/>
      <c r="AD1051" s="559"/>
      <c r="AE1051" s="559"/>
      <c r="AM1051" s="143"/>
      <c r="AN1051" s="143"/>
      <c r="AO1051" s="143"/>
      <c r="AP1051" s="143"/>
      <c r="AQ1051" s="143"/>
      <c r="AR1051" s="143"/>
      <c r="AS1051" s="143"/>
      <c r="AT1051" s="143"/>
      <c r="AU1051" s="143"/>
      <c r="AV1051" s="143"/>
    </row>
    <row r="1052" spans="1:48" s="326" customFormat="1" ht="15" customHeight="1">
      <c r="A1052" s="593" t="str">
        <f>+input!B21</f>
        <v>110i</v>
      </c>
      <c r="B1052" s="596" t="str">
        <f t="shared" si="40"/>
        <v>Positive</v>
      </c>
      <c r="C1052" s="596" t="str">
        <f>IF(input!F21=2,"OF","BF")</f>
        <v>OF</v>
      </c>
      <c r="D1052" s="596">
        <f>IF(B1052="Positive",IF(C1052="OF",1,L850)*1*L918*input!BI21,"-")</f>
        <v>379.75937999074216</v>
      </c>
      <c r="E1052" s="596" t="str">
        <f t="shared" si="41"/>
        <v>-</v>
      </c>
      <c r="F1052" s="596">
        <f t="shared" si="42"/>
        <v>379.75937999074216</v>
      </c>
      <c r="G1052" s="596">
        <f>IF(B1052="Positive",L918*input!BJ21*L850,IF(C1052="OF",L918*input!BI21,L918*input!BI21*L850))</f>
        <v>379.75090811386519</v>
      </c>
      <c r="H1052" s="575">
        <f t="shared" si="45"/>
        <v>273.05967478488054</v>
      </c>
      <c r="I1052" s="575">
        <f>IF(B1052="Positive",input!BR21,input!K21+input!M21+input!H21)</f>
        <v>3130</v>
      </c>
      <c r="J1052" s="676">
        <f t="shared" si="46"/>
        <v>130042.64171156453</v>
      </c>
      <c r="K1052" s="676">
        <f t="shared" si="43"/>
        <v>134470.97221808997</v>
      </c>
      <c r="L1052" s="677">
        <f t="shared" si="44"/>
        <v>130042.64171156453</v>
      </c>
      <c r="Z1052" s="143"/>
      <c r="AA1052" s="143"/>
      <c r="AB1052" s="559"/>
      <c r="AC1052" s="559"/>
      <c r="AD1052" s="559"/>
      <c r="AE1052" s="559"/>
      <c r="AM1052" s="143"/>
      <c r="AN1052" s="143"/>
      <c r="AO1052" s="143"/>
      <c r="AP1052" s="143"/>
      <c r="AQ1052" s="143"/>
      <c r="AR1052" s="143"/>
      <c r="AS1052" s="143"/>
      <c r="AT1052" s="143"/>
      <c r="AU1052" s="143"/>
      <c r="AV1052" s="143"/>
    </row>
    <row r="1053" spans="1:48" s="326" customFormat="1" ht="15" customHeight="1">
      <c r="A1053" s="593" t="str">
        <f>+input!B22</f>
        <v>110j</v>
      </c>
      <c r="B1053" s="596" t="str">
        <f t="shared" si="40"/>
        <v>Positive</v>
      </c>
      <c r="C1053" s="596" t="str">
        <f>IF(input!F22=2,"OF","BF")</f>
        <v>OF</v>
      </c>
      <c r="D1053" s="596">
        <f>IF(B1053="Positive",IF(C1053="OF",1,L851)*1*L919*input!BI22,"-")</f>
        <v>379.75937999074216</v>
      </c>
      <c r="E1053" s="596" t="str">
        <f t="shared" si="41"/>
        <v>-</v>
      </c>
      <c r="F1053" s="596">
        <f t="shared" si="42"/>
        <v>379.75937999074216</v>
      </c>
      <c r="G1053" s="596">
        <f>IF(B1053="Positive",L919*input!BJ22*L851,IF(C1053="OF",L919*input!BI22,L919*input!BI22*L851))</f>
        <v>379.75157364251544</v>
      </c>
      <c r="H1053" s="575">
        <f t="shared" si="45"/>
        <v>273.05967478488054</v>
      </c>
      <c r="I1053" s="575">
        <f>IF(B1053="Positive",input!BR22,input!K22+input!M22+input!H22)</f>
        <v>3130</v>
      </c>
      <c r="J1053" s="676">
        <f t="shared" si="46"/>
        <v>130042.64171156453</v>
      </c>
      <c r="K1053" s="676">
        <f t="shared" si="43"/>
        <v>135321.27091476929</v>
      </c>
      <c r="L1053" s="677">
        <f t="shared" si="44"/>
        <v>130042.64171156453</v>
      </c>
      <c r="Z1053" s="143"/>
      <c r="AA1053" s="143"/>
      <c r="AB1053" s="559"/>
      <c r="AC1053" s="559"/>
      <c r="AD1053" s="559"/>
      <c r="AE1053" s="559"/>
      <c r="AM1053" s="143"/>
      <c r="AN1053" s="143"/>
      <c r="AO1053" s="143"/>
      <c r="AP1053" s="143"/>
      <c r="AQ1053" s="143"/>
      <c r="AR1053" s="143"/>
      <c r="AS1053" s="143"/>
      <c r="AT1053" s="143"/>
      <c r="AU1053" s="143"/>
      <c r="AV1053" s="143"/>
    </row>
    <row r="1054" spans="1:48" s="326" customFormat="1" ht="15" customHeight="1">
      <c r="A1054" s="593" t="str">
        <f>+input!B23</f>
        <v>111i</v>
      </c>
      <c r="B1054" s="596" t="str">
        <f t="shared" si="40"/>
        <v>Positive</v>
      </c>
      <c r="C1054" s="596" t="str">
        <f>IF(input!F23=2,"OF","BF")</f>
        <v>OF</v>
      </c>
      <c r="D1054" s="596">
        <f>IF(B1054="Positive",IF(C1054="OF",1,L852)*1*L920*input!BI23,"-")</f>
        <v>379.75937999074216</v>
      </c>
      <c r="E1054" s="596" t="str">
        <f t="shared" si="41"/>
        <v>-</v>
      </c>
      <c r="F1054" s="596">
        <f t="shared" si="42"/>
        <v>379.75937999074216</v>
      </c>
      <c r="G1054" s="596">
        <f>IF(B1054="Positive",L920*input!BJ23*L852,IF(C1054="OF",L920*input!BI23,L920*input!BI23*L852))</f>
        <v>379.74710782795256</v>
      </c>
      <c r="H1054" s="575">
        <f t="shared" si="45"/>
        <v>273.05967478488054</v>
      </c>
      <c r="I1054" s="575">
        <f>IF(B1054="Positive",input!BR23,input!K23+input!M23+input!H23)</f>
        <v>3130</v>
      </c>
      <c r="J1054" s="676">
        <f t="shared" si="46"/>
        <v>130042.64171156453</v>
      </c>
      <c r="K1054" s="676">
        <f t="shared" si="43"/>
        <v>135321.25995504245</v>
      </c>
      <c r="L1054" s="677">
        <f t="shared" si="44"/>
        <v>130042.64171156453</v>
      </c>
      <c r="Z1054" s="143"/>
      <c r="AA1054" s="143"/>
      <c r="AB1054" s="559"/>
      <c r="AC1054" s="73"/>
      <c r="AD1054" s="73"/>
      <c r="AE1054" s="73"/>
      <c r="AF1054" s="143"/>
      <c r="AG1054" s="143"/>
      <c r="AH1054" s="143"/>
      <c r="AI1054" s="143"/>
      <c r="AJ1054" s="143"/>
      <c r="AK1054" s="143"/>
      <c r="AL1054" s="143"/>
    </row>
    <row r="1055" spans="1:48" s="326" customFormat="1" ht="15" customHeight="1">
      <c r="A1055" s="593" t="str">
        <f>+input!B24</f>
        <v>111j</v>
      </c>
      <c r="B1055" s="596" t="str">
        <f t="shared" si="40"/>
        <v>Positive</v>
      </c>
      <c r="C1055" s="596" t="str">
        <f>IF(input!F24=2,"OF","BF")</f>
        <v>OF</v>
      </c>
      <c r="D1055" s="596">
        <f>IF(B1055="Positive",IF(C1055="OF",1,L853)*1*L921*input!BI24,"-")</f>
        <v>379.75937999074216</v>
      </c>
      <c r="E1055" s="596" t="str">
        <f t="shared" si="41"/>
        <v>-</v>
      </c>
      <c r="F1055" s="596">
        <f t="shared" si="42"/>
        <v>379.75937999074216</v>
      </c>
      <c r="G1055" s="596">
        <f>IF(B1055="Positive",L921*input!BJ24*L853,IF(C1055="OF",L921*input!BI24,L921*input!BI24*L853))</f>
        <v>379.74987891304903</v>
      </c>
      <c r="H1055" s="575">
        <f t="shared" si="45"/>
        <v>273.05967478488054</v>
      </c>
      <c r="I1055" s="575">
        <f>IF(B1055="Positive",input!BR24,input!K24+input!M24+input!H24)</f>
        <v>3130</v>
      </c>
      <c r="J1055" s="676">
        <f t="shared" si="46"/>
        <v>130042.64171156453</v>
      </c>
      <c r="K1055" s="676">
        <f t="shared" si="43"/>
        <v>136838.43576400221</v>
      </c>
      <c r="L1055" s="677">
        <f t="shared" si="44"/>
        <v>130042.64171156453</v>
      </c>
      <c r="Z1055" s="143"/>
      <c r="AA1055" s="143"/>
      <c r="AB1055" s="559"/>
      <c r="AC1055" s="73"/>
      <c r="AD1055" s="73"/>
      <c r="AE1055" s="73"/>
      <c r="AF1055" s="143"/>
      <c r="AG1055" s="143"/>
      <c r="AH1055" s="143"/>
      <c r="AI1055" s="143"/>
      <c r="AJ1055" s="143"/>
      <c r="AK1055" s="143"/>
      <c r="AL1055" s="143"/>
    </row>
    <row r="1056" spans="1:48" s="326" customFormat="1" ht="15" customHeight="1">
      <c r="A1056" s="593" t="str">
        <f>+input!B25</f>
        <v>112i</v>
      </c>
      <c r="B1056" s="596" t="str">
        <f t="shared" si="40"/>
        <v>Positive</v>
      </c>
      <c r="C1056" s="596" t="str">
        <f>IF(input!F25=2,"OF","BF")</f>
        <v>OF</v>
      </c>
      <c r="D1056" s="596">
        <f>IF(B1056="Positive",IF(C1056="OF",1,L854)*1*L922*input!BI25,"-")</f>
        <v>379.69918216813556</v>
      </c>
      <c r="E1056" s="596" t="str">
        <f t="shared" si="41"/>
        <v>-</v>
      </c>
      <c r="F1056" s="596">
        <f t="shared" si="42"/>
        <v>379.69918216813556</v>
      </c>
      <c r="G1056" s="596">
        <f>IF(B1056="Positive",L922*input!BJ25*L854,IF(C1056="OF",L922*input!BI25,L922*input!BI25*L854))</f>
        <v>379.6874227643338</v>
      </c>
      <c r="H1056" s="575">
        <f t="shared" si="45"/>
        <v>267.91160974185664</v>
      </c>
      <c r="I1056" s="575">
        <f>IF(B1056="Positive",input!BR25,input!K25+input!M25+input!H25)</f>
        <v>3122</v>
      </c>
      <c r="J1056" s="676">
        <f t="shared" si="46"/>
        <v>113143.94768355771</v>
      </c>
      <c r="K1056" s="676">
        <f t="shared" si="43"/>
        <v>113412.04430920581</v>
      </c>
      <c r="L1056" s="677">
        <f t="shared" si="44"/>
        <v>113143.94768355771</v>
      </c>
      <c r="Z1056" s="143"/>
      <c r="AA1056" s="143"/>
      <c r="AB1056" s="559"/>
      <c r="AC1056" s="73"/>
      <c r="AD1056" s="73"/>
      <c r="AE1056" s="73"/>
      <c r="AF1056" s="143"/>
      <c r="AG1056" s="143"/>
      <c r="AH1056" s="143"/>
      <c r="AI1056" s="143"/>
      <c r="AJ1056" s="143"/>
      <c r="AK1056" s="143"/>
      <c r="AL1056" s="143"/>
    </row>
    <row r="1057" spans="1:48" s="326" customFormat="1" ht="15" customHeight="1">
      <c r="A1057" s="593" t="str">
        <f>+input!B26</f>
        <v>112j</v>
      </c>
      <c r="B1057" s="596" t="str">
        <f t="shared" si="40"/>
        <v>Positive</v>
      </c>
      <c r="C1057" s="596" t="str">
        <f>IF(input!F26=2,"OF","BF")</f>
        <v>OF</v>
      </c>
      <c r="D1057" s="596">
        <f>IF(B1057="Positive",IF(C1057="OF",1,L855)*1*L923*input!BI26,"-")</f>
        <v>379.69918216813556</v>
      </c>
      <c r="E1057" s="596" t="str">
        <f t="shared" si="41"/>
        <v>-</v>
      </c>
      <c r="F1057" s="596">
        <f t="shared" si="42"/>
        <v>379.69918216813556</v>
      </c>
      <c r="G1057" s="596">
        <f>IF(B1057="Positive",L923*input!BJ26*L855,IF(C1057="OF",L923*input!BI26,L923*input!BI26*L855))</f>
        <v>379.68578406449768</v>
      </c>
      <c r="H1057" s="575">
        <f t="shared" si="45"/>
        <v>267.91160974185664</v>
      </c>
      <c r="I1057" s="575">
        <f>IF(B1057="Positive",input!BR26,input!K26+input!M26+input!H26)</f>
        <v>3122</v>
      </c>
      <c r="J1057" s="676">
        <f t="shared" si="46"/>
        <v>113143.94768355771</v>
      </c>
      <c r="K1057" s="676">
        <f t="shared" si="43"/>
        <v>115863.53753649762</v>
      </c>
      <c r="L1057" s="677">
        <f t="shared" si="44"/>
        <v>113143.94768355771</v>
      </c>
      <c r="Z1057" s="143"/>
      <c r="AA1057" s="143"/>
      <c r="AB1057" s="559"/>
      <c r="AC1057" s="559"/>
      <c r="AD1057" s="559"/>
      <c r="AE1057" s="559"/>
      <c r="AM1057" s="143"/>
      <c r="AN1057" s="143"/>
      <c r="AO1057" s="143"/>
      <c r="AP1057" s="143"/>
      <c r="AQ1057" s="143"/>
      <c r="AR1057" s="143"/>
      <c r="AS1057" s="143"/>
      <c r="AT1057" s="143"/>
      <c r="AU1057" s="143"/>
      <c r="AV1057" s="143"/>
    </row>
    <row r="1058" spans="1:48" s="326" customFormat="1" ht="15" customHeight="1">
      <c r="A1058" s="593" t="str">
        <f>+input!B27</f>
        <v>113i</v>
      </c>
      <c r="B1058" s="596" t="str">
        <f t="shared" si="40"/>
        <v>Positive</v>
      </c>
      <c r="C1058" s="596" t="str">
        <f>IF(input!F27=2,"OF","BF")</f>
        <v>OF</v>
      </c>
      <c r="D1058" s="596">
        <f>IF(B1058="Positive",IF(C1058="OF",1,L856)*1*L924*input!BI27,"-")</f>
        <v>379.70026073310402</v>
      </c>
      <c r="E1058" s="596" t="str">
        <f t="shared" si="41"/>
        <v>-</v>
      </c>
      <c r="F1058" s="596">
        <f t="shared" si="42"/>
        <v>379.70026073310402</v>
      </c>
      <c r="G1058" s="596">
        <f>IF(B1058="Positive",L924*input!BJ27*L856,IF(C1058="OF",L924*input!BI27,L924*input!BI27*L856))</f>
        <v>379.67025379824008</v>
      </c>
      <c r="H1058" s="575">
        <f t="shared" si="45"/>
        <v>270.91160974185664</v>
      </c>
      <c r="I1058" s="575">
        <f>IF(B1058="Positive",input!BR27,input!K27+input!M27+input!H27)</f>
        <v>3122</v>
      </c>
      <c r="J1058" s="676">
        <f t="shared" si="46"/>
        <v>113115.6492133463</v>
      </c>
      <c r="K1058" s="676">
        <f t="shared" si="43"/>
        <v>114803.25519336731</v>
      </c>
      <c r="L1058" s="677">
        <f t="shared" si="44"/>
        <v>113115.6492133463</v>
      </c>
      <c r="Z1058" s="559"/>
      <c r="AA1058" s="559"/>
      <c r="AB1058" s="559"/>
      <c r="AC1058" s="559"/>
      <c r="AD1058" s="559"/>
      <c r="AE1058" s="559"/>
      <c r="AM1058" s="143"/>
      <c r="AN1058" s="143"/>
      <c r="AO1058" s="143"/>
      <c r="AP1058" s="143"/>
      <c r="AQ1058" s="143"/>
      <c r="AR1058" s="143"/>
      <c r="AS1058" s="143"/>
      <c r="AT1058" s="143"/>
      <c r="AU1058" s="143"/>
      <c r="AV1058" s="143"/>
    </row>
    <row r="1059" spans="1:48" s="326" customFormat="1" ht="15" customHeight="1">
      <c r="A1059" s="593" t="str">
        <f>+input!B28</f>
        <v>113j</v>
      </c>
      <c r="B1059" s="596" t="str">
        <f t="shared" si="40"/>
        <v>Positive</v>
      </c>
      <c r="C1059" s="596" t="str">
        <f>IF(input!F28=2,"OF","BF")</f>
        <v>OF</v>
      </c>
      <c r="D1059" s="596">
        <f>IF(B1059="Positive",IF(C1059="OF",1,L857)*1*L925*input!BI28,"-")</f>
        <v>379.70026073310402</v>
      </c>
      <c r="E1059" s="596" t="str">
        <f t="shared" si="41"/>
        <v>-</v>
      </c>
      <c r="F1059" s="596">
        <f t="shared" si="42"/>
        <v>379.70026073310402</v>
      </c>
      <c r="G1059" s="596">
        <f>IF(B1059="Positive",L925*input!BJ28*L857,IF(C1059="OF",L925*input!BI28,L925*input!BI28*L857))</f>
        <v>379.67636364440875</v>
      </c>
      <c r="H1059" s="575">
        <f t="shared" si="45"/>
        <v>270.91160974185664</v>
      </c>
      <c r="I1059" s="575">
        <f>IF(B1059="Positive",input!BR28,input!K28+input!M28+input!H28)</f>
        <v>3122</v>
      </c>
      <c r="J1059" s="676">
        <f t="shared" si="46"/>
        <v>113115.6492133463</v>
      </c>
      <c r="K1059" s="676">
        <f t="shared" si="43"/>
        <v>118437.60995336874</v>
      </c>
      <c r="L1059" s="677">
        <f t="shared" si="44"/>
        <v>113115.6492133463</v>
      </c>
      <c r="Z1059" s="559"/>
      <c r="AA1059" s="559"/>
      <c r="AB1059" s="559"/>
      <c r="AC1059" s="559"/>
      <c r="AD1059" s="559"/>
      <c r="AE1059" s="559"/>
      <c r="AM1059" s="143"/>
      <c r="AN1059" s="143"/>
      <c r="AO1059" s="143"/>
      <c r="AP1059" s="143"/>
      <c r="AQ1059" s="143"/>
      <c r="AR1059" s="143"/>
      <c r="AS1059" s="143"/>
      <c r="AT1059" s="143"/>
      <c r="AU1059" s="143"/>
      <c r="AV1059" s="143"/>
    </row>
    <row r="1060" spans="1:48" s="326" customFormat="1" ht="15" customHeight="1">
      <c r="A1060" s="593" t="str">
        <f>+input!B29</f>
        <v>114i</v>
      </c>
      <c r="B1060" s="596" t="str">
        <f t="shared" si="40"/>
        <v>Positive</v>
      </c>
      <c r="C1060" s="596" t="str">
        <f>IF(input!F29=2,"OF","BF")</f>
        <v>OF</v>
      </c>
      <c r="D1060" s="596">
        <f>IF(B1060="Positive",IF(C1060="OF",1,L858)*1*L926*input!BI29,"-")</f>
        <v>379.70026073310402</v>
      </c>
      <c r="E1060" s="596" t="str">
        <f t="shared" si="41"/>
        <v>-</v>
      </c>
      <c r="F1060" s="596">
        <f t="shared" si="42"/>
        <v>379.70026073310402</v>
      </c>
      <c r="G1060" s="596">
        <f>IF(B1060="Positive",L926*input!BJ29*L858,IF(C1060="OF",L926*input!BI29,L926*input!BI29*L858))</f>
        <v>379.67636364440875</v>
      </c>
      <c r="H1060" s="575">
        <f t="shared" si="45"/>
        <v>270.91160974185664</v>
      </c>
      <c r="I1060" s="575">
        <f>IF(B1060="Positive",input!BR29,input!K29+input!M29+input!H29)</f>
        <v>3122</v>
      </c>
      <c r="J1060" s="676">
        <f t="shared" si="46"/>
        <v>113115.6492133463</v>
      </c>
      <c r="K1060" s="676">
        <f t="shared" si="43"/>
        <v>118437.59100357616</v>
      </c>
      <c r="L1060" s="677">
        <f t="shared" si="44"/>
        <v>113115.6492133463</v>
      </c>
      <c r="Z1060" s="559"/>
      <c r="AA1060" s="559"/>
      <c r="AB1060" s="559"/>
      <c r="AC1060" s="559"/>
      <c r="AD1060" s="559"/>
      <c r="AE1060" s="559"/>
      <c r="AM1060" s="143"/>
      <c r="AN1060" s="143"/>
      <c r="AO1060" s="143"/>
      <c r="AP1060" s="143"/>
      <c r="AQ1060" s="143"/>
      <c r="AR1060" s="143"/>
      <c r="AS1060" s="143"/>
      <c r="AT1060" s="143"/>
      <c r="AU1060" s="143"/>
      <c r="AV1060" s="143"/>
    </row>
    <row r="1061" spans="1:48" s="326" customFormat="1" ht="15" customHeight="1">
      <c r="A1061" s="593" t="str">
        <f>+input!B30</f>
        <v>114j</v>
      </c>
      <c r="B1061" s="596" t="str">
        <f t="shared" si="40"/>
        <v>Positive</v>
      </c>
      <c r="C1061" s="596" t="str">
        <f>IF(input!F30=2,"OF","BF")</f>
        <v>OF</v>
      </c>
      <c r="D1061" s="596">
        <f>IF(B1061="Positive",IF(C1061="OF",1,L859)*1*L927*input!BI30,"-")</f>
        <v>379.70026073310402</v>
      </c>
      <c r="E1061" s="596" t="str">
        <f t="shared" si="41"/>
        <v>-</v>
      </c>
      <c r="F1061" s="596">
        <f t="shared" si="42"/>
        <v>379.70026073310402</v>
      </c>
      <c r="G1061" s="596">
        <f>IF(B1061="Positive",L927*input!BJ30*L859,IF(C1061="OF",L927*input!BI30,L927*input!BI30*L859))</f>
        <v>379.6708597217314</v>
      </c>
      <c r="H1061" s="575">
        <f t="shared" si="45"/>
        <v>270.91160974185664</v>
      </c>
      <c r="I1061" s="575">
        <f>IF(B1061="Positive",input!BR30,input!K30+input!M30+input!H30)</f>
        <v>3122</v>
      </c>
      <c r="J1061" s="676">
        <f t="shared" si="46"/>
        <v>113115.6492133463</v>
      </c>
      <c r="K1061" s="676">
        <f t="shared" si="43"/>
        <v>122732.25868405725</v>
      </c>
      <c r="L1061" s="677">
        <f t="shared" si="44"/>
        <v>113115.6492133463</v>
      </c>
      <c r="Z1061" s="559"/>
      <c r="AA1061" s="559"/>
      <c r="AB1061" s="559"/>
      <c r="AC1061" s="559"/>
      <c r="AD1061" s="559"/>
      <c r="AE1061" s="559"/>
      <c r="AM1061" s="143"/>
      <c r="AN1061" s="143"/>
      <c r="AO1061" s="143"/>
      <c r="AP1061" s="143"/>
      <c r="AQ1061" s="143"/>
      <c r="AR1061" s="143"/>
      <c r="AS1061" s="143"/>
      <c r="AT1061" s="143"/>
      <c r="AU1061" s="143"/>
      <c r="AV1061" s="143"/>
    </row>
    <row r="1062" spans="1:48" s="326" customFormat="1" ht="15" customHeight="1">
      <c r="A1062" s="593" t="str">
        <f>+input!B31</f>
        <v>115i</v>
      </c>
      <c r="B1062" s="596" t="str">
        <f t="shared" si="40"/>
        <v>Positive</v>
      </c>
      <c r="C1062" s="596" t="str">
        <f>IF(input!F31=2,"OF","BF")</f>
        <v>OF</v>
      </c>
      <c r="D1062" s="596">
        <f>IF(B1062="Positive",IF(C1062="OF",1,L860)*1*L928*input!BI31,"-")</f>
        <v>379.48852881184092</v>
      </c>
      <c r="E1062" s="596" t="str">
        <f t="shared" si="41"/>
        <v>-</v>
      </c>
      <c r="F1062" s="596">
        <f t="shared" si="42"/>
        <v>379.48852881184092</v>
      </c>
      <c r="G1062" s="596">
        <f>IF(B1062="Positive",L928*input!BJ31*L860,IF(C1062="OF",L928*input!BI31,L928*input!BI31*L860))</f>
        <v>379.41047654817015</v>
      </c>
      <c r="H1062" s="575">
        <f t="shared" si="45"/>
        <v>259.02688100113699</v>
      </c>
      <c r="I1062" s="575">
        <f>IF(B1062="Positive",input!BR31,input!K31+input!M31+input!H31)</f>
        <v>3108</v>
      </c>
      <c r="J1062" s="676">
        <f t="shared" si="46"/>
        <v>83756.40301645358</v>
      </c>
      <c r="K1062" s="676">
        <f t="shared" si="43"/>
        <v>84648.201836657419</v>
      </c>
      <c r="L1062" s="677">
        <f t="shared" si="44"/>
        <v>83756.40301645358</v>
      </c>
      <c r="Z1062" s="559"/>
      <c r="AA1062" s="559"/>
      <c r="AB1062" s="559"/>
      <c r="AC1062" s="559"/>
      <c r="AD1062" s="559"/>
      <c r="AE1062" s="559"/>
      <c r="AM1062" s="143"/>
      <c r="AN1062" s="143"/>
      <c r="AO1062" s="143"/>
      <c r="AP1062" s="143"/>
      <c r="AQ1062" s="143"/>
      <c r="AR1062" s="143"/>
      <c r="AS1062" s="143"/>
      <c r="AT1062" s="143"/>
      <c r="AU1062" s="143"/>
      <c r="AV1062" s="143"/>
    </row>
    <row r="1063" spans="1:48" s="326" customFormat="1" ht="15" customHeight="1">
      <c r="A1063" s="593" t="str">
        <f>+input!B32</f>
        <v>115j</v>
      </c>
      <c r="B1063" s="596" t="str">
        <f t="shared" si="40"/>
        <v>Negative</v>
      </c>
      <c r="C1063" s="596" t="str">
        <f>IF(input!F32=2,"OF","BF")</f>
        <v>OF</v>
      </c>
      <c r="D1063" s="596" t="str">
        <f>IF(B1063="Positive",IF(C1063="OF",1,L861)*1*L929*input!BI32,"-")</f>
        <v>-</v>
      </c>
      <c r="E1063" s="596">
        <f t="shared" si="41"/>
        <v>297.99723221925296</v>
      </c>
      <c r="F1063" s="596">
        <f t="shared" si="42"/>
        <v>297.99723221925296</v>
      </c>
      <c r="G1063" s="596">
        <f>IF(B1063="Positive",L929*input!BJ32*L861,IF(C1063="OF",L929*input!BI32,L929*input!BI32*L861))</f>
        <v>379.50157350579502</v>
      </c>
      <c r="H1063" s="575">
        <f t="shared" si="45"/>
        <v>1305.5693402197207</v>
      </c>
      <c r="I1063" s="575">
        <f>IF(B1063="Positive",input!BR32,input!K32+input!M32+input!H32)</f>
        <v>2840</v>
      </c>
      <c r="J1063" s="676">
        <f t="shared" si="46"/>
        <v>57962.385985062676</v>
      </c>
      <c r="K1063" s="676">
        <f t="shared" si="43"/>
        <v>63189.014204546431</v>
      </c>
      <c r="L1063" s="677">
        <f t="shared" si="44"/>
        <v>43367.731940758145</v>
      </c>
      <c r="Z1063" s="559"/>
      <c r="AA1063" s="559"/>
      <c r="AB1063" s="559"/>
      <c r="AC1063" s="559"/>
      <c r="AD1063" s="559"/>
      <c r="AE1063" s="559"/>
      <c r="AM1063" s="143"/>
      <c r="AN1063" s="143"/>
      <c r="AO1063" s="143"/>
      <c r="AP1063" s="143"/>
      <c r="AQ1063" s="143"/>
      <c r="AR1063" s="143"/>
      <c r="AS1063" s="143"/>
      <c r="AT1063" s="143"/>
      <c r="AU1063" s="143"/>
      <c r="AV1063" s="143"/>
    </row>
    <row r="1064" spans="1:48" s="326" customFormat="1" ht="15" customHeight="1">
      <c r="A1064" s="593" t="str">
        <f>+input!B33</f>
        <v>116i</v>
      </c>
      <c r="B1064" s="596" t="str">
        <f t="shared" si="40"/>
        <v>Negative</v>
      </c>
      <c r="C1064" s="596" t="str">
        <f>IF(input!F33=2,"OF","BF")</f>
        <v>OF</v>
      </c>
      <c r="D1064" s="596" t="str">
        <f>IF(B1064="Positive",IF(C1064="OF",1,L862)*1*L930*input!BI33,"-")</f>
        <v>-</v>
      </c>
      <c r="E1064" s="596">
        <f t="shared" si="41"/>
        <v>324.78734784467042</v>
      </c>
      <c r="F1064" s="596">
        <f t="shared" si="42"/>
        <v>324.78734784467042</v>
      </c>
      <c r="G1064" s="596">
        <f>IF(B1064="Positive",L930*input!BJ33*L862,IF(C1064="OF",L930*input!BI33,L930*input!BI33*L862))</f>
        <v>379.62048091184226</v>
      </c>
      <c r="H1064" s="575">
        <f t="shared" si="45"/>
        <v>1260.1680096496809</v>
      </c>
      <c r="I1064" s="575">
        <f>IF(B1064="Positive",input!BR33,input!K33+input!M33+input!H33)</f>
        <v>2864</v>
      </c>
      <c r="J1064" s="676">
        <f t="shared" si="46"/>
        <v>69482.569508341301</v>
      </c>
      <c r="K1064" s="676">
        <f t="shared" si="43"/>
        <v>77411.882503591391</v>
      </c>
      <c r="L1064" s="677">
        <f t="shared" si="44"/>
        <v>52945.58194170786</v>
      </c>
      <c r="Z1064" s="559"/>
      <c r="AA1064" s="559"/>
      <c r="AB1064" s="559"/>
      <c r="AC1064" s="559"/>
      <c r="AD1064" s="559"/>
      <c r="AE1064" s="559"/>
      <c r="AM1064" s="143"/>
      <c r="AN1064" s="143"/>
      <c r="AO1064" s="143"/>
      <c r="AP1064" s="143"/>
      <c r="AQ1064" s="143"/>
      <c r="AR1064" s="143"/>
      <c r="AS1064" s="143"/>
      <c r="AT1064" s="143"/>
      <c r="AU1064" s="143"/>
      <c r="AV1064" s="143"/>
    </row>
    <row r="1065" spans="1:48" s="326" customFormat="1" ht="15" customHeight="1">
      <c r="A1065" s="593" t="str">
        <f>+input!B34</f>
        <v>116j</v>
      </c>
      <c r="B1065" s="596" t="str">
        <f t="shared" si="40"/>
        <v>Negative</v>
      </c>
      <c r="C1065" s="596" t="str">
        <f>IF(input!F34=2,"OF","BF")</f>
        <v>OF</v>
      </c>
      <c r="D1065" s="596" t="str">
        <f>IF(B1065="Positive",IF(C1065="OF",1,L863)*1*L931*input!BI34,"-")</f>
        <v>-</v>
      </c>
      <c r="E1065" s="596">
        <f t="shared" si="41"/>
        <v>324.75202833448208</v>
      </c>
      <c r="F1065" s="596">
        <f t="shared" si="42"/>
        <v>324.75202833448208</v>
      </c>
      <c r="G1065" s="596">
        <f>IF(B1065="Positive",L931*input!BJ34*L863,IF(C1065="OF",L931*input!BI34,L931*input!BI34*L863))</f>
        <v>379.62048091184226</v>
      </c>
      <c r="H1065" s="575">
        <f t="shared" si="45"/>
        <v>1260.1680096496809</v>
      </c>
      <c r="I1065" s="575">
        <f>IF(B1065="Positive",input!BR34,input!K34+input!M34+input!H34)</f>
        <v>2864</v>
      </c>
      <c r="J1065" s="676">
        <f t="shared" si="46"/>
        <v>69482.569508341301</v>
      </c>
      <c r="K1065" s="676">
        <f t="shared" si="43"/>
        <v>70625.056348210448</v>
      </c>
      <c r="L1065" s="677">
        <f t="shared" si="44"/>
        <v>52945.58194170786</v>
      </c>
      <c r="Z1065" s="559"/>
      <c r="AA1065" s="559"/>
      <c r="AB1065" s="559"/>
      <c r="AC1065" s="559"/>
      <c r="AD1065" s="559"/>
      <c r="AE1065" s="559"/>
      <c r="AM1065" s="143"/>
      <c r="AN1065" s="143"/>
      <c r="AO1065" s="143"/>
      <c r="AP1065" s="143"/>
      <c r="AQ1065" s="143"/>
      <c r="AR1065" s="143"/>
      <c r="AS1065" s="143"/>
      <c r="AT1065" s="143"/>
      <c r="AU1065" s="143"/>
      <c r="AV1065" s="143"/>
    </row>
    <row r="1066" spans="1:48" s="326" customFormat="1" ht="15" customHeight="1">
      <c r="A1066" s="593" t="str">
        <f>+input!B35</f>
        <v>117i</v>
      </c>
      <c r="B1066" s="596" t="str">
        <f t="shared" ref="B1066:B1095" si="47">B466</f>
        <v>Negative</v>
      </c>
      <c r="C1066" s="596" t="str">
        <f>IF(input!F35=2,"OF","BF")</f>
        <v>OF</v>
      </c>
      <c r="D1066" s="596" t="str">
        <f>IF(B1066="Positive",IF(C1066="OF",1,L864)*1*L932*input!BI35,"-")</f>
        <v>-</v>
      </c>
      <c r="E1066" s="596">
        <f t="shared" ref="E1066:E1095" si="48">IF(B1066="Positive","-",L999*SQRT(1-(K864/M999)^2))</f>
        <v>340.48719450590221</v>
      </c>
      <c r="F1066" s="596">
        <f t="shared" ref="F1066:F1095" si="49">IF(B1066="Positive",D1066,E1066)</f>
        <v>340.48719450590221</v>
      </c>
      <c r="G1066" s="596">
        <f>IF(B1066="Positive",L932*input!BJ35*L864,IF(C1066="OF",L932*input!BI35,L932*input!BI35*L864))</f>
        <v>379.72623697211804</v>
      </c>
      <c r="H1066" s="575">
        <f t="shared" ref="H1066:H1095" si="50">E466</f>
        <v>333.01984543609206</v>
      </c>
      <c r="I1066" s="575">
        <f>IF(B1066="Positive",input!BR35,input!K35+input!M35+input!H35)</f>
        <v>2988</v>
      </c>
      <c r="J1066" s="676">
        <f t="shared" ref="J1066:J1095" si="51">N232</f>
        <v>112737.07872841178</v>
      </c>
      <c r="K1066" s="676">
        <f t="shared" ref="K1066:K1095" si="52">1.3*L932*M381</f>
        <v>115889.18774848721</v>
      </c>
      <c r="L1066" s="677">
        <f t="shared" ref="L1066:L1095" si="53">MIN(IF(H1066&lt;=0.1*I1066,1,1.07-0.7*H1066/I1066)*J1066,K1066)</f>
        <v>111833.29968346468</v>
      </c>
      <c r="Z1066" s="559"/>
      <c r="AA1066" s="559"/>
      <c r="AB1066" s="559"/>
      <c r="AC1066" s="559"/>
      <c r="AD1066" s="559"/>
      <c r="AE1066" s="559"/>
      <c r="AM1066" s="143"/>
      <c r="AN1066" s="143"/>
      <c r="AO1066" s="143"/>
      <c r="AP1066" s="143"/>
      <c r="AQ1066" s="143"/>
      <c r="AR1066" s="143"/>
      <c r="AS1066" s="143"/>
      <c r="AT1066" s="143"/>
      <c r="AU1066" s="143"/>
      <c r="AV1066" s="143"/>
    </row>
    <row r="1067" spans="1:48" s="326" customFormat="1" ht="15" customHeight="1">
      <c r="A1067" s="593" t="str">
        <f>+input!B36</f>
        <v>117j</v>
      </c>
      <c r="B1067" s="596" t="str">
        <f t="shared" si="47"/>
        <v>Negative</v>
      </c>
      <c r="C1067" s="596" t="str">
        <f>IF(input!F36=2,"OF","BF")</f>
        <v>OF</v>
      </c>
      <c r="D1067" s="596" t="str">
        <f>IF(B1067="Positive",IF(C1067="OF",1,L865)*1*L933*input!BI36,"-")</f>
        <v>-</v>
      </c>
      <c r="E1067" s="596">
        <f t="shared" si="48"/>
        <v>340.4839936903341</v>
      </c>
      <c r="F1067" s="596">
        <f t="shared" si="49"/>
        <v>340.4839936903341</v>
      </c>
      <c r="G1067" s="596">
        <f>IF(B1067="Positive",L933*input!BJ36*L865,IF(C1067="OF",L933*input!BI36,L933*input!BI36*L865))</f>
        <v>379.72623697211804</v>
      </c>
      <c r="H1067" s="575">
        <f t="shared" si="50"/>
        <v>333.01984543609206</v>
      </c>
      <c r="I1067" s="575">
        <f>IF(B1067="Positive",input!BR36,input!K36+input!M36+input!H36)</f>
        <v>2988</v>
      </c>
      <c r="J1067" s="676">
        <f t="shared" si="51"/>
        <v>112737.07872841178</v>
      </c>
      <c r="K1067" s="676">
        <f t="shared" si="52"/>
        <v>109767.64951328484</v>
      </c>
      <c r="L1067" s="677">
        <f t="shared" si="53"/>
        <v>109767.64951328484</v>
      </c>
      <c r="Z1067" s="559"/>
      <c r="AA1067" s="559"/>
      <c r="AB1067" s="559"/>
      <c r="AC1067" s="559"/>
      <c r="AD1067" s="559"/>
      <c r="AE1067" s="559"/>
      <c r="AM1067" s="143"/>
      <c r="AN1067" s="143"/>
      <c r="AO1067" s="143"/>
      <c r="AP1067" s="143"/>
      <c r="AQ1067" s="143"/>
      <c r="AR1067" s="143"/>
      <c r="AS1067" s="143"/>
      <c r="AT1067" s="143"/>
      <c r="AU1067" s="143"/>
      <c r="AV1067" s="143"/>
    </row>
    <row r="1068" spans="1:48" s="326" customFormat="1" ht="15" customHeight="1">
      <c r="A1068" s="593" t="str">
        <f>+input!B37</f>
        <v>118i</v>
      </c>
      <c r="B1068" s="596" t="str">
        <f t="shared" si="47"/>
        <v>Negative</v>
      </c>
      <c r="C1068" s="596" t="str">
        <f>IF(input!F37=2,"OF","BF")</f>
        <v>BF</v>
      </c>
      <c r="D1068" s="596" t="str">
        <f>IF(B1068="Positive",IF(C1068="OF",1,L866)*1*L934*input!BI37,"-")</f>
        <v>-</v>
      </c>
      <c r="E1068" s="596">
        <f t="shared" si="48"/>
        <v>350.56690989975954</v>
      </c>
      <c r="F1068" s="596">
        <f t="shared" si="49"/>
        <v>350.56690989975954</v>
      </c>
      <c r="G1068" s="596">
        <f>IF(B1068="Positive",L934*input!BJ37*L866,IF(C1068="OF",L934*input!BI37,L934*input!BI37*L866))</f>
        <v>379.79484641054904</v>
      </c>
      <c r="H1068" s="575">
        <f t="shared" si="50"/>
        <v>901.34694853862766</v>
      </c>
      <c r="I1068" s="575">
        <f>IF(B1068="Positive",input!BR37,input!K37+input!M37+input!H37)</f>
        <v>3173</v>
      </c>
      <c r="J1068" s="676">
        <f t="shared" si="51"/>
        <v>184954.04925736002</v>
      </c>
      <c r="K1068" s="676">
        <f t="shared" si="52"/>
        <v>207109.57520495079</v>
      </c>
      <c r="L1068" s="677">
        <f t="shared" si="53"/>
        <v>161123.19717351606</v>
      </c>
      <c r="Z1068" s="559"/>
      <c r="AA1068" s="559"/>
      <c r="AB1068" s="559"/>
      <c r="AC1068" s="559"/>
      <c r="AD1068" s="559"/>
      <c r="AE1068" s="559"/>
      <c r="AM1068" s="143"/>
      <c r="AN1068" s="143"/>
      <c r="AO1068" s="143"/>
      <c r="AP1068" s="143"/>
      <c r="AQ1068" s="143"/>
      <c r="AR1068" s="143"/>
      <c r="AS1068" s="143"/>
      <c r="AT1068" s="143"/>
      <c r="AU1068" s="143"/>
      <c r="AV1068" s="143"/>
    </row>
    <row r="1069" spans="1:48" s="326" customFormat="1" ht="15" customHeight="1">
      <c r="A1069" s="593" t="str">
        <f>+input!B38</f>
        <v>118j</v>
      </c>
      <c r="B1069" s="596" t="str">
        <f t="shared" si="47"/>
        <v>Negative</v>
      </c>
      <c r="C1069" s="596" t="str">
        <f>IF(input!F38=2,"OF","BF")</f>
        <v>BF</v>
      </c>
      <c r="D1069" s="596" t="str">
        <f>IF(B1069="Positive",IF(C1069="OF",1,L867)*1*L935*input!BI38,"-")</f>
        <v>-</v>
      </c>
      <c r="E1069" s="596">
        <f t="shared" si="48"/>
        <v>350.54927294788945</v>
      </c>
      <c r="F1069" s="596">
        <f t="shared" si="49"/>
        <v>350.54927294788945</v>
      </c>
      <c r="G1069" s="596">
        <f>IF(B1069="Positive",L935*input!BJ38*L867,IF(C1069="OF",L935*input!BI38,L935*input!BI38*L867))</f>
        <v>379.78983972398146</v>
      </c>
      <c r="H1069" s="575">
        <f t="shared" si="50"/>
        <v>901.34694853862766</v>
      </c>
      <c r="I1069" s="575">
        <f>IF(B1069="Positive",input!BR38,input!K38+input!M38+input!H38)</f>
        <v>3173</v>
      </c>
      <c r="J1069" s="676">
        <f t="shared" si="51"/>
        <v>184954.04925736002</v>
      </c>
      <c r="K1069" s="676">
        <f t="shared" si="52"/>
        <v>204126.63686735736</v>
      </c>
      <c r="L1069" s="677">
        <f t="shared" si="53"/>
        <v>161123.19717351606</v>
      </c>
      <c r="Z1069" s="559"/>
      <c r="AA1069" s="559"/>
      <c r="AB1069" s="559"/>
      <c r="AC1069" s="559"/>
      <c r="AD1069" s="559"/>
      <c r="AE1069" s="559"/>
      <c r="AM1069" s="143"/>
      <c r="AN1069" s="143"/>
      <c r="AO1069" s="143"/>
      <c r="AP1069" s="143"/>
      <c r="AQ1069" s="143"/>
      <c r="AR1069" s="143"/>
      <c r="AS1069" s="143"/>
      <c r="AT1069" s="143"/>
      <c r="AU1069" s="143"/>
      <c r="AV1069" s="143"/>
    </row>
    <row r="1070" spans="1:48" s="326" customFormat="1" ht="15" customHeight="1">
      <c r="A1070" s="593" t="str">
        <f>+input!B39</f>
        <v>119i</v>
      </c>
      <c r="B1070" s="596" t="str">
        <f t="shared" si="47"/>
        <v>Negative</v>
      </c>
      <c r="C1070" s="596" t="str">
        <f>IF(input!F39=2,"OF","BF")</f>
        <v>BF</v>
      </c>
      <c r="D1070" s="596" t="str">
        <f>IF(B1070="Positive",IF(C1070="OF",1,L868)*1*L936*input!BI39,"-")</f>
        <v>-</v>
      </c>
      <c r="E1070" s="596">
        <f t="shared" si="48"/>
        <v>353.07691430177027</v>
      </c>
      <c r="F1070" s="596">
        <f t="shared" si="49"/>
        <v>353.07691430177027</v>
      </c>
      <c r="G1070" s="596">
        <f>IF(B1070="Positive",L936*input!BJ39*L868,IF(C1070="OF",L936*input!BI39,L936*input!BI39*L868))</f>
        <v>379.78383505188322</v>
      </c>
      <c r="H1070" s="575">
        <f t="shared" si="50"/>
        <v>664.95958840465573</v>
      </c>
      <c r="I1070" s="575">
        <f>IF(B1070="Positive",input!BR39,input!K39+input!M39+input!H39)</f>
        <v>3270</v>
      </c>
      <c r="J1070" s="676">
        <f t="shared" si="51"/>
        <v>192987.71009354087</v>
      </c>
      <c r="K1070" s="676">
        <f t="shared" si="52"/>
        <v>210919.90734053604</v>
      </c>
      <c r="L1070" s="677">
        <f t="shared" si="53"/>
        <v>179025.80399285004</v>
      </c>
      <c r="Z1070" s="559"/>
      <c r="AA1070" s="559"/>
      <c r="AB1070" s="559"/>
      <c r="AC1070" s="559"/>
      <c r="AD1070" s="559"/>
      <c r="AE1070" s="559"/>
      <c r="AM1070" s="143"/>
      <c r="AN1070" s="143"/>
      <c r="AO1070" s="143"/>
      <c r="AP1070" s="143"/>
      <c r="AQ1070" s="143"/>
      <c r="AR1070" s="143"/>
      <c r="AS1070" s="143"/>
      <c r="AT1070" s="143"/>
      <c r="AU1070" s="143"/>
      <c r="AV1070" s="143"/>
    </row>
    <row r="1071" spans="1:48" s="326" customFormat="1" ht="15" customHeight="1">
      <c r="A1071" s="593" t="str">
        <f>+input!B40</f>
        <v>119j</v>
      </c>
      <c r="B1071" s="596" t="str">
        <f t="shared" si="47"/>
        <v>Negative</v>
      </c>
      <c r="C1071" s="596" t="str">
        <f>IF(input!F40=2,"OF","BF")</f>
        <v>BF</v>
      </c>
      <c r="D1071" s="596" t="str">
        <f>IF(B1071="Positive",IF(C1071="OF",1,L869)*1*L937*input!BI40,"-")</f>
        <v>-</v>
      </c>
      <c r="E1071" s="596">
        <f t="shared" si="48"/>
        <v>353.06871470230169</v>
      </c>
      <c r="F1071" s="596">
        <f t="shared" si="49"/>
        <v>353.06871470230169</v>
      </c>
      <c r="G1071" s="596">
        <f>IF(B1071="Positive",L937*input!BJ40*L869,IF(C1071="OF",L937*input!BI40,L937*input!BI40*L869))</f>
        <v>379.78152443798621</v>
      </c>
      <c r="H1071" s="575">
        <f t="shared" si="50"/>
        <v>664.95958840465573</v>
      </c>
      <c r="I1071" s="575">
        <f>IF(B1071="Positive",input!BR40,input!K40+input!M40+input!H40)</f>
        <v>3270</v>
      </c>
      <c r="J1071" s="676">
        <f t="shared" si="51"/>
        <v>192987.71009354087</v>
      </c>
      <c r="K1071" s="676">
        <f t="shared" si="52"/>
        <v>209577.23511287168</v>
      </c>
      <c r="L1071" s="677">
        <f t="shared" si="53"/>
        <v>179025.80399285004</v>
      </c>
      <c r="Z1071" s="559"/>
      <c r="AA1071" s="559"/>
      <c r="AB1071" s="559"/>
      <c r="AC1071" s="559"/>
      <c r="AD1071" s="559"/>
      <c r="AE1071" s="559"/>
      <c r="AM1071" s="143"/>
      <c r="AN1071" s="143"/>
      <c r="AO1071" s="143"/>
      <c r="AP1071" s="143"/>
      <c r="AQ1071" s="143"/>
      <c r="AR1071" s="143"/>
      <c r="AS1071" s="143"/>
      <c r="AT1071" s="143"/>
      <c r="AU1071" s="143"/>
      <c r="AV1071" s="143"/>
    </row>
    <row r="1072" spans="1:48" s="326" customFormat="1" ht="15" customHeight="1">
      <c r="A1072" s="593" t="str">
        <f>+input!B41</f>
        <v>120i</v>
      </c>
      <c r="B1072" s="596" t="str">
        <f t="shared" si="47"/>
        <v>Negative</v>
      </c>
      <c r="C1072" s="596" t="str">
        <f>IF(input!F41=2,"OF","BF")</f>
        <v>BF</v>
      </c>
      <c r="D1072" s="596" t="str">
        <f>IF(B1072="Positive",IF(C1072="OF",1,L870)*1*L938*input!BI41,"-")</f>
        <v>-</v>
      </c>
      <c r="E1072" s="596">
        <f t="shared" si="48"/>
        <v>353.12509345798384</v>
      </c>
      <c r="F1072" s="596">
        <f t="shared" si="49"/>
        <v>353.12509345798384</v>
      </c>
      <c r="G1072" s="596">
        <f>IF(B1072="Positive",L938*input!BJ41*L870,IF(C1072="OF",L938*input!BI41,L938*input!BI41*L870))</f>
        <v>379.79741180762096</v>
      </c>
      <c r="H1072" s="575">
        <f t="shared" si="50"/>
        <v>664.95958840465573</v>
      </c>
      <c r="I1072" s="575">
        <f>IF(B1072="Positive",input!BR41,input!K41+input!M41+input!H41)</f>
        <v>3270</v>
      </c>
      <c r="J1072" s="676">
        <f t="shared" si="51"/>
        <v>192987.71009354087</v>
      </c>
      <c r="K1072" s="676">
        <f t="shared" si="52"/>
        <v>209577.216315545</v>
      </c>
      <c r="L1072" s="677">
        <f t="shared" si="53"/>
        <v>179025.80399285004</v>
      </c>
      <c r="Z1072" s="559"/>
      <c r="AA1072" s="559"/>
      <c r="AB1072" s="559"/>
      <c r="AC1072" s="559"/>
      <c r="AD1072" s="559"/>
      <c r="AE1072" s="559"/>
      <c r="AM1072" s="143"/>
      <c r="AN1072" s="143"/>
      <c r="AO1072" s="143"/>
      <c r="AP1072" s="143"/>
      <c r="AQ1072" s="143"/>
      <c r="AR1072" s="143"/>
      <c r="AS1072" s="143"/>
      <c r="AT1072" s="143"/>
      <c r="AU1072" s="143"/>
      <c r="AV1072" s="143"/>
    </row>
    <row r="1073" spans="1:48" s="326" customFormat="1" ht="15" customHeight="1">
      <c r="A1073" s="593" t="str">
        <f>+input!B42</f>
        <v>120j</v>
      </c>
      <c r="B1073" s="596" t="str">
        <f t="shared" si="47"/>
        <v>Negative</v>
      </c>
      <c r="C1073" s="596" t="str">
        <f>IF(input!F42=2,"OF","BF")</f>
        <v>BF</v>
      </c>
      <c r="D1073" s="596" t="str">
        <f>IF(B1073="Positive",IF(C1073="OF",1,L871)*1*L939*input!BI42,"-")</f>
        <v>-</v>
      </c>
      <c r="E1073" s="596">
        <f t="shared" si="48"/>
        <v>353.13119736000317</v>
      </c>
      <c r="F1073" s="596">
        <f t="shared" si="49"/>
        <v>353.13119736000317</v>
      </c>
      <c r="G1073" s="596">
        <f>IF(B1073="Positive",L939*input!BJ42*L871,IF(C1073="OF",L939*input!BI42,L939*input!BI42*L871))</f>
        <v>379.7991318785767</v>
      </c>
      <c r="H1073" s="575">
        <f t="shared" si="50"/>
        <v>664.95958840465573</v>
      </c>
      <c r="I1073" s="575">
        <f>IF(B1073="Positive",input!BR42,input!K42+input!M42+input!H42)</f>
        <v>3270</v>
      </c>
      <c r="J1073" s="676">
        <f t="shared" si="51"/>
        <v>192987.71009354087</v>
      </c>
      <c r="K1073" s="676">
        <f t="shared" si="52"/>
        <v>210633.24393098862</v>
      </c>
      <c r="L1073" s="677">
        <f t="shared" si="53"/>
        <v>179025.80399285004</v>
      </c>
      <c r="Z1073" s="559"/>
      <c r="AA1073" s="559"/>
      <c r="AB1073" s="559"/>
      <c r="AC1073" s="559"/>
      <c r="AD1073" s="559"/>
      <c r="AE1073" s="559"/>
      <c r="AM1073" s="143"/>
      <c r="AN1073" s="143"/>
      <c r="AO1073" s="143"/>
      <c r="AP1073" s="143"/>
      <c r="AQ1073" s="143"/>
      <c r="AR1073" s="143"/>
      <c r="AS1073" s="143"/>
      <c r="AT1073" s="143"/>
      <c r="AU1073" s="143"/>
      <c r="AV1073" s="143"/>
    </row>
    <row r="1074" spans="1:48" s="326" customFormat="1" ht="15" customHeight="1">
      <c r="A1074" s="593" t="str">
        <f>+input!B43</f>
        <v>121i</v>
      </c>
      <c r="B1074" s="596" t="str">
        <f t="shared" si="47"/>
        <v>Negative</v>
      </c>
      <c r="C1074" s="596" t="str">
        <f>IF(input!F43=2,"OF","BF")</f>
        <v>BF</v>
      </c>
      <c r="D1074" s="596" t="str">
        <f>IF(B1074="Positive",IF(C1074="OF",1,L872)*1*L940*input!BI43,"-")</f>
        <v>-</v>
      </c>
      <c r="E1074" s="596">
        <f t="shared" si="48"/>
        <v>350.60572880552064</v>
      </c>
      <c r="F1074" s="596">
        <f t="shared" si="49"/>
        <v>350.60572880552064</v>
      </c>
      <c r="G1074" s="596">
        <f>IF(B1074="Positive",L940*input!BJ43*L872,IF(C1074="OF",L940*input!BI43,L940*input!BI43*L872))</f>
        <v>379.80586617352901</v>
      </c>
      <c r="H1074" s="575">
        <f t="shared" si="50"/>
        <v>901.34694853862766</v>
      </c>
      <c r="I1074" s="575">
        <f>IF(B1074="Positive",input!BR43,input!K43+input!M43+input!H43)</f>
        <v>3173</v>
      </c>
      <c r="J1074" s="676">
        <f t="shared" si="51"/>
        <v>184954.04925736002</v>
      </c>
      <c r="K1074" s="676">
        <f t="shared" si="52"/>
        <v>203834.81801495477</v>
      </c>
      <c r="L1074" s="677">
        <f t="shared" si="53"/>
        <v>161123.19717351606</v>
      </c>
      <c r="Z1074" s="559"/>
      <c r="AA1074" s="559"/>
      <c r="AB1074" s="559"/>
      <c r="AC1074" s="559"/>
      <c r="AD1074" s="559"/>
      <c r="AE1074" s="559"/>
      <c r="AM1074" s="143"/>
      <c r="AN1074" s="143"/>
      <c r="AO1074" s="143"/>
      <c r="AP1074" s="143"/>
      <c r="AQ1074" s="143"/>
      <c r="AR1074" s="143"/>
      <c r="AS1074" s="143"/>
      <c r="AT1074" s="143"/>
      <c r="AU1074" s="143"/>
      <c r="AV1074" s="143"/>
    </row>
    <row r="1075" spans="1:48" s="326" customFormat="1" ht="15" customHeight="1">
      <c r="A1075" s="593" t="str">
        <f>+input!B44</f>
        <v>121j</v>
      </c>
      <c r="B1075" s="596" t="str">
        <f t="shared" si="47"/>
        <v>Negative</v>
      </c>
      <c r="C1075" s="596" t="str">
        <f>IF(input!F44=2,"OF","BF")</f>
        <v>BF</v>
      </c>
      <c r="D1075" s="596" t="str">
        <f>IF(B1075="Positive",IF(C1075="OF",1,L873)*1*L941*input!BI44,"-")</f>
        <v>-</v>
      </c>
      <c r="E1075" s="596">
        <f t="shared" si="48"/>
        <v>350.61941804778746</v>
      </c>
      <c r="F1075" s="596">
        <f t="shared" si="49"/>
        <v>350.61941804778746</v>
      </c>
      <c r="G1075" s="596">
        <f>IF(B1075="Positive",L941*input!BJ44*L873,IF(C1075="OF",L941*input!BI44,L941*input!BI44*L873))</f>
        <v>379.80975224081635</v>
      </c>
      <c r="H1075" s="575">
        <f t="shared" si="50"/>
        <v>901.34694853862766</v>
      </c>
      <c r="I1075" s="575">
        <f>IF(B1075="Positive",input!BR44,input!K44+input!M44+input!H44)</f>
        <v>3173</v>
      </c>
      <c r="J1075" s="676">
        <f t="shared" si="51"/>
        <v>184954.04925736002</v>
      </c>
      <c r="K1075" s="676">
        <f t="shared" si="52"/>
        <v>206136.989449808</v>
      </c>
      <c r="L1075" s="677">
        <f t="shared" si="53"/>
        <v>161123.19717351606</v>
      </c>
      <c r="Z1075" s="559"/>
      <c r="AA1075" s="559"/>
      <c r="AB1075" s="559"/>
      <c r="AC1075" s="559"/>
      <c r="AD1075" s="559"/>
      <c r="AE1075" s="559"/>
      <c r="AM1075" s="143"/>
      <c r="AN1075" s="143"/>
      <c r="AO1075" s="143"/>
      <c r="AP1075" s="143"/>
      <c r="AQ1075" s="143"/>
      <c r="AR1075" s="143"/>
      <c r="AS1075" s="143"/>
      <c r="AT1075" s="143"/>
      <c r="AU1075" s="143"/>
      <c r="AV1075" s="143"/>
    </row>
    <row r="1076" spans="1:48" s="326" customFormat="1" ht="15" customHeight="1">
      <c r="A1076" s="593" t="str">
        <f>+input!B45</f>
        <v>122i</v>
      </c>
      <c r="B1076" s="596" t="str">
        <f t="shared" si="47"/>
        <v>Negative</v>
      </c>
      <c r="C1076" s="596" t="str">
        <f>IF(input!F45=2,"OF","BF")</f>
        <v>OF</v>
      </c>
      <c r="D1076" s="596" t="str">
        <f>IF(B1076="Positive",IF(C1076="OF",1,L874)*1*L942*input!BI45,"-")</f>
        <v>-</v>
      </c>
      <c r="E1076" s="596">
        <f t="shared" si="48"/>
        <v>345.79405001459668</v>
      </c>
      <c r="F1076" s="596">
        <f t="shared" si="49"/>
        <v>345.79405001459668</v>
      </c>
      <c r="G1076" s="596">
        <f>IF(B1076="Positive",L942*input!BJ45*L874,IF(C1076="OF",L942*input!BI45,L942*input!BI45*L874))</f>
        <v>379.75377174476682</v>
      </c>
      <c r="H1076" s="575">
        <f t="shared" si="50"/>
        <v>343.92206426872008</v>
      </c>
      <c r="I1076" s="575">
        <f>IF(B1076="Positive",input!BR45,input!K45+input!M45+input!H45)</f>
        <v>2994</v>
      </c>
      <c r="J1076" s="676">
        <f t="shared" si="51"/>
        <v>119676.94718024376</v>
      </c>
      <c r="K1076" s="676">
        <f t="shared" si="52"/>
        <v>118016.46692503565</v>
      </c>
      <c r="L1076" s="677">
        <f t="shared" si="53"/>
        <v>118016.46692503565</v>
      </c>
      <c r="Z1076" s="559"/>
      <c r="AA1076" s="559"/>
      <c r="AB1076" s="559"/>
      <c r="AC1076" s="559"/>
      <c r="AD1076" s="559"/>
      <c r="AE1076" s="559"/>
      <c r="AM1076" s="143"/>
      <c r="AN1076" s="143"/>
      <c r="AO1076" s="143"/>
      <c r="AP1076" s="143"/>
      <c r="AQ1076" s="143"/>
      <c r="AR1076" s="143"/>
      <c r="AS1076" s="143"/>
      <c r="AT1076" s="143"/>
      <c r="AU1076" s="143"/>
      <c r="AV1076" s="143"/>
    </row>
    <row r="1077" spans="1:48" s="326" customFormat="1" ht="15" customHeight="1">
      <c r="A1077" s="593" t="str">
        <f>+input!B46</f>
        <v>122j</v>
      </c>
      <c r="B1077" s="596" t="str">
        <f t="shared" si="47"/>
        <v>Negative</v>
      </c>
      <c r="C1077" s="596" t="str">
        <f>IF(input!F46=2,"OF","BF")</f>
        <v>OF</v>
      </c>
      <c r="D1077" s="596" t="str">
        <f>IF(B1077="Positive",IF(C1077="OF",1,L875)*1*L943*input!BI46,"-")</f>
        <v>-</v>
      </c>
      <c r="E1077" s="596">
        <f t="shared" si="48"/>
        <v>345.79781172430586</v>
      </c>
      <c r="F1077" s="596">
        <f t="shared" si="49"/>
        <v>345.79781172430586</v>
      </c>
      <c r="G1077" s="596">
        <f>IF(B1077="Positive",L943*input!BJ46*L875,IF(C1077="OF",L943*input!BI46,L943*input!BI46*L875))</f>
        <v>379.75377174476682</v>
      </c>
      <c r="H1077" s="575">
        <f t="shared" si="50"/>
        <v>343.92206426872008</v>
      </c>
      <c r="I1077" s="575">
        <f>IF(B1077="Positive",input!BR46,input!K46+input!M46+input!H46)</f>
        <v>2994</v>
      </c>
      <c r="J1077" s="676">
        <f t="shared" si="51"/>
        <v>119676.94718024376</v>
      </c>
      <c r="K1077" s="676">
        <f t="shared" si="52"/>
        <v>122217.67498430378</v>
      </c>
      <c r="L1077" s="677">
        <f t="shared" si="53"/>
        <v>118431.19390245817</v>
      </c>
      <c r="Z1077" s="559"/>
      <c r="AA1077" s="559"/>
      <c r="AB1077" s="559"/>
      <c r="AC1077" s="559"/>
      <c r="AD1077" s="559"/>
      <c r="AE1077" s="559"/>
      <c r="AM1077" s="143"/>
      <c r="AN1077" s="143"/>
      <c r="AO1077" s="143"/>
      <c r="AP1077" s="143"/>
      <c r="AQ1077" s="143"/>
      <c r="AR1077" s="143"/>
      <c r="AS1077" s="143"/>
      <c r="AT1077" s="143"/>
      <c r="AU1077" s="143"/>
      <c r="AV1077" s="143"/>
    </row>
    <row r="1078" spans="1:48" s="326" customFormat="1" ht="15" customHeight="1">
      <c r="A1078" s="593" t="str">
        <f>+input!B47</f>
        <v>123i</v>
      </c>
      <c r="B1078" s="596" t="str">
        <f t="shared" si="47"/>
        <v>Negative</v>
      </c>
      <c r="C1078" s="596" t="str">
        <f>IF(input!F47=2,"OF","BF")</f>
        <v>OF</v>
      </c>
      <c r="D1078" s="596" t="str">
        <f>IF(B1078="Positive",IF(C1078="OF",1,L876)*1*L944*input!BI47,"-")</f>
        <v>-</v>
      </c>
      <c r="E1078" s="596">
        <f t="shared" si="48"/>
        <v>342.86841273131188</v>
      </c>
      <c r="F1078" s="596">
        <f t="shared" si="49"/>
        <v>342.86841273131188</v>
      </c>
      <c r="G1078" s="596">
        <f>IF(B1078="Positive",L944*input!BJ47*L876,IF(C1078="OF",L944*input!BI47,L944*input!BI47*L876))</f>
        <v>379.74637596701001</v>
      </c>
      <c r="H1078" s="575">
        <f t="shared" si="50"/>
        <v>1374.7494053540986</v>
      </c>
      <c r="I1078" s="575">
        <f>IF(B1078="Positive",input!BR47,input!K47+input!M47+input!H47)</f>
        <v>2884</v>
      </c>
      <c r="J1078" s="676">
        <f t="shared" si="51"/>
        <v>85184.774777112281</v>
      </c>
      <c r="K1078" s="676">
        <f t="shared" si="52"/>
        <v>92050.60324631384</v>
      </c>
      <c r="L1078" s="677">
        <f t="shared" si="53"/>
        <v>62723.505499360166</v>
      </c>
      <c r="Z1078" s="559"/>
      <c r="AA1078" s="559"/>
      <c r="AB1078" s="559"/>
      <c r="AC1078" s="559"/>
      <c r="AD1078" s="559"/>
      <c r="AE1078" s="559"/>
      <c r="AM1078" s="143"/>
      <c r="AN1078" s="143"/>
      <c r="AO1078" s="143"/>
      <c r="AP1078" s="143"/>
      <c r="AQ1078" s="143"/>
      <c r="AR1078" s="143"/>
      <c r="AS1078" s="143"/>
      <c r="AT1078" s="143"/>
      <c r="AU1078" s="143"/>
      <c r="AV1078" s="143"/>
    </row>
    <row r="1079" spans="1:48" s="326" customFormat="1" ht="15" customHeight="1">
      <c r="A1079" s="593" t="str">
        <f>+input!B48</f>
        <v>123j</v>
      </c>
      <c r="B1079" s="596" t="str">
        <f t="shared" si="47"/>
        <v>Negative</v>
      </c>
      <c r="C1079" s="596" t="str">
        <f>IF(input!F48=2,"OF","BF")</f>
        <v>OF</v>
      </c>
      <c r="D1079" s="596" t="str">
        <f>IF(B1079="Positive",IF(C1079="OF",1,L877)*1*L945*input!BI48,"-")</f>
        <v>-</v>
      </c>
      <c r="E1079" s="596">
        <f t="shared" si="48"/>
        <v>342.88386563439093</v>
      </c>
      <c r="F1079" s="596">
        <f t="shared" si="49"/>
        <v>342.88386563439093</v>
      </c>
      <c r="G1079" s="596">
        <f>IF(B1079="Positive",L945*input!BJ48*L877,IF(C1079="OF",L945*input!BI48,L945*input!BI48*L877))</f>
        <v>379.74637596701001</v>
      </c>
      <c r="H1079" s="575">
        <f t="shared" si="50"/>
        <v>1374.7494053540986</v>
      </c>
      <c r="I1079" s="575">
        <f>IF(B1079="Positive",input!BR48,input!K48+input!M48+input!H48)</f>
        <v>2884</v>
      </c>
      <c r="J1079" s="676">
        <f t="shared" si="51"/>
        <v>85184.774777112281</v>
      </c>
      <c r="K1079" s="676">
        <f t="shared" si="52"/>
        <v>95625.805428648455</v>
      </c>
      <c r="L1079" s="677">
        <f t="shared" si="53"/>
        <v>62723.505499360166</v>
      </c>
      <c r="Z1079" s="559"/>
      <c r="AA1079" s="559"/>
      <c r="AB1079" s="559"/>
      <c r="AC1079" s="559"/>
      <c r="AD1079" s="559"/>
      <c r="AE1079" s="559"/>
      <c r="AM1079" s="143"/>
      <c r="AN1079" s="143"/>
      <c r="AO1079" s="143"/>
      <c r="AP1079" s="143"/>
      <c r="AQ1079" s="143"/>
      <c r="AR1079" s="143"/>
      <c r="AS1079" s="143"/>
      <c r="AT1079" s="143"/>
      <c r="AU1079" s="143"/>
      <c r="AV1079" s="143"/>
    </row>
    <row r="1080" spans="1:48" s="326" customFormat="1" ht="15" customHeight="1">
      <c r="A1080" s="593" t="str">
        <f>+input!B49</f>
        <v>124i</v>
      </c>
      <c r="B1080" s="596" t="str">
        <f t="shared" si="47"/>
        <v>Negative</v>
      </c>
      <c r="C1080" s="596" t="str">
        <f>IF(input!F49=2,"OF","BF")</f>
        <v>OF</v>
      </c>
      <c r="D1080" s="596" t="str">
        <f>IF(B1080="Positive",IF(C1080="OF",1,L878)*1*L946*input!BI49,"-")</f>
        <v>-</v>
      </c>
      <c r="E1080" s="596">
        <f t="shared" si="48"/>
        <v>324.51998249847514</v>
      </c>
      <c r="F1080" s="596">
        <f t="shared" si="49"/>
        <v>324.51998249847514</v>
      </c>
      <c r="G1080" s="596">
        <f>IF(B1080="Positive",L946*input!BJ49*L878,IF(C1080="OF",L946*input!BI49,L946*input!BI49*L878))</f>
        <v>379.54826982241889</v>
      </c>
      <c r="H1080" s="575">
        <f t="shared" si="50"/>
        <v>1136.5094146519325</v>
      </c>
      <c r="I1080" s="575">
        <f>IF(B1080="Positive",input!BR49,input!K49+input!M49+input!H49)</f>
        <v>2850</v>
      </c>
      <c r="J1080" s="676">
        <f t="shared" si="51"/>
        <v>65892.674705634374</v>
      </c>
      <c r="K1080" s="676">
        <f t="shared" si="52"/>
        <v>63599.121875328943</v>
      </c>
      <c r="L1080" s="677">
        <f t="shared" si="53"/>
        <v>52111.705229174222</v>
      </c>
      <c r="Z1080" s="559"/>
      <c r="AA1080" s="559"/>
      <c r="AB1080" s="559"/>
      <c r="AC1080" s="559"/>
      <c r="AD1080" s="559"/>
      <c r="AE1080" s="559"/>
      <c r="AM1080" s="143"/>
      <c r="AN1080" s="143"/>
      <c r="AO1080" s="143"/>
      <c r="AP1080" s="143"/>
      <c r="AQ1080" s="143"/>
      <c r="AR1080" s="143"/>
      <c r="AS1080" s="143"/>
      <c r="AT1080" s="143"/>
      <c r="AU1080" s="143"/>
      <c r="AV1080" s="143"/>
    </row>
    <row r="1081" spans="1:48" s="326" customFormat="1" ht="15" customHeight="1">
      <c r="A1081" s="593" t="str">
        <f>+input!B50</f>
        <v>124j</v>
      </c>
      <c r="B1081" s="596" t="str">
        <f t="shared" si="47"/>
        <v>Negative</v>
      </c>
      <c r="C1081" s="596" t="str">
        <f>IF(input!F50=2,"OF","BF")</f>
        <v>OF</v>
      </c>
      <c r="D1081" s="596" t="str">
        <f>IF(B1081="Positive",IF(C1081="OF",1,L879)*1*L947*input!BI50,"-")</f>
        <v>-</v>
      </c>
      <c r="E1081" s="596">
        <f t="shared" si="48"/>
        <v>324.50991966017767</v>
      </c>
      <c r="F1081" s="596">
        <f t="shared" si="49"/>
        <v>324.50991966017767</v>
      </c>
      <c r="G1081" s="596">
        <f>IF(B1081="Positive",L947*input!BJ50*L879,IF(C1081="OF",L947*input!BI50,L947*input!BI50*L879))</f>
        <v>379.54826982241889</v>
      </c>
      <c r="H1081" s="575">
        <f t="shared" si="50"/>
        <v>1136.5094146519325</v>
      </c>
      <c r="I1081" s="575">
        <f>IF(B1081="Positive",input!BR50,input!K50+input!M50+input!H50)</f>
        <v>2850</v>
      </c>
      <c r="J1081" s="676">
        <f t="shared" si="51"/>
        <v>65892.674705634374</v>
      </c>
      <c r="K1081" s="676">
        <f t="shared" si="52"/>
        <v>68029.89821911545</v>
      </c>
      <c r="L1081" s="677">
        <f t="shared" si="53"/>
        <v>52111.705229174222</v>
      </c>
      <c r="Z1081" s="559"/>
      <c r="AA1081" s="559"/>
      <c r="AB1081" s="559"/>
      <c r="AC1081" s="559"/>
      <c r="AD1081" s="559"/>
      <c r="AE1081" s="559"/>
      <c r="AM1081" s="143"/>
      <c r="AN1081" s="143"/>
      <c r="AO1081" s="143"/>
      <c r="AP1081" s="143"/>
      <c r="AQ1081" s="143"/>
      <c r="AR1081" s="143"/>
      <c r="AS1081" s="143"/>
      <c r="AT1081" s="143"/>
      <c r="AU1081" s="143"/>
      <c r="AV1081" s="143"/>
    </row>
    <row r="1082" spans="1:48" s="326" customFormat="1" ht="15" customHeight="1">
      <c r="A1082" s="593" t="str">
        <f>+input!B51</f>
        <v>125i</v>
      </c>
      <c r="B1082" s="596" t="str">
        <f t="shared" si="47"/>
        <v>Negative</v>
      </c>
      <c r="C1082" s="596" t="str">
        <f>IF(input!F51=2,"OF","BF")</f>
        <v>OF</v>
      </c>
      <c r="D1082" s="596" t="str">
        <f>IF(B1082="Positive",IF(C1082="OF",1,L880)*1*L948*input!BI51,"-")</f>
        <v>-</v>
      </c>
      <c r="E1082" s="596">
        <f t="shared" si="48"/>
        <v>298.30157616537201</v>
      </c>
      <c r="F1082" s="596">
        <f t="shared" si="49"/>
        <v>298.30157616537201</v>
      </c>
      <c r="G1082" s="596">
        <f>IF(B1082="Positive",L948*input!BJ51*L880,IF(C1082="OF",L948*input!BI51,L948*input!BI51*L880))</f>
        <v>379.50157350579502</v>
      </c>
      <c r="H1082" s="575">
        <f t="shared" si="50"/>
        <v>1305.5693402197207</v>
      </c>
      <c r="I1082" s="575">
        <f>IF(B1082="Positive",input!BR51,input!K51+input!M51+input!H51)</f>
        <v>2840</v>
      </c>
      <c r="J1082" s="676">
        <f t="shared" si="51"/>
        <v>57962.385985062676</v>
      </c>
      <c r="K1082" s="676">
        <f t="shared" si="52"/>
        <v>60628.68836927443</v>
      </c>
      <c r="L1082" s="677">
        <f t="shared" si="53"/>
        <v>43367.731940758145</v>
      </c>
      <c r="Z1082" s="559"/>
      <c r="AA1082" s="559"/>
      <c r="AB1082" s="559"/>
      <c r="AC1082" s="559"/>
      <c r="AD1082" s="559"/>
      <c r="AE1082" s="559"/>
      <c r="AM1082" s="143"/>
      <c r="AN1082" s="143"/>
      <c r="AO1082" s="143"/>
      <c r="AP1082" s="143"/>
      <c r="AQ1082" s="143"/>
      <c r="AR1082" s="143"/>
      <c r="AS1082" s="143"/>
      <c r="AT1082" s="143"/>
      <c r="AU1082" s="143"/>
      <c r="AV1082" s="143"/>
    </row>
    <row r="1083" spans="1:48" s="326" customFormat="1" ht="15" customHeight="1">
      <c r="A1083" s="994" t="str">
        <f>+input!B52</f>
        <v>125j</v>
      </c>
      <c r="B1083" s="1008" t="str">
        <f t="shared" si="47"/>
        <v>Negative</v>
      </c>
      <c r="C1083" s="1008" t="str">
        <f>IF(input!F52=2,"OF","BF")</f>
        <v>OF</v>
      </c>
      <c r="D1083" s="596" t="str">
        <f>IF(B1083="Positive",IF(C1083="OF",1,L881)*1*L949*input!BI52,"-")</f>
        <v>-</v>
      </c>
      <c r="E1083" s="1008">
        <f t="shared" si="48"/>
        <v>298.35223868235454</v>
      </c>
      <c r="F1083" s="1008">
        <f t="shared" si="49"/>
        <v>298.35223868235454</v>
      </c>
      <c r="G1083" s="596">
        <f>IF(B1083="Positive",L949*input!BJ52*L881,IF(C1083="OF",L949*input!BI52,L949*input!BI52*L881))</f>
        <v>379.50157350579502</v>
      </c>
      <c r="H1083" s="1014">
        <f t="shared" si="50"/>
        <v>1305.5693402197207</v>
      </c>
      <c r="I1083" s="1014">
        <f>IF(B1083="Positive",input!BR52,input!K52+input!M52+input!H52)</f>
        <v>2840</v>
      </c>
      <c r="J1083" s="1065">
        <f t="shared" si="51"/>
        <v>57962.385985062676</v>
      </c>
      <c r="K1083" s="1065">
        <f t="shared" si="52"/>
        <v>64243.441531260309</v>
      </c>
      <c r="L1083" s="1067">
        <f t="shared" si="53"/>
        <v>43367.731940758145</v>
      </c>
      <c r="Z1083" s="559"/>
      <c r="AA1083" s="559"/>
      <c r="AB1083" s="559"/>
      <c r="AC1083" s="559"/>
      <c r="AD1083" s="559"/>
      <c r="AE1083" s="559"/>
      <c r="AM1083" s="143"/>
      <c r="AN1083" s="143"/>
      <c r="AO1083" s="143"/>
      <c r="AP1083" s="143"/>
      <c r="AQ1083" s="143"/>
      <c r="AR1083" s="143"/>
      <c r="AS1083" s="143"/>
      <c r="AT1083" s="143"/>
      <c r="AU1083" s="143"/>
      <c r="AV1083" s="143"/>
    </row>
    <row r="1084" spans="1:48" s="326" customFormat="1" ht="15" customHeight="1">
      <c r="A1084" s="1000" t="str">
        <f>+input!B53</f>
        <v>126i</v>
      </c>
      <c r="B1084" s="1011" t="str">
        <f t="shared" si="47"/>
        <v>Negative</v>
      </c>
      <c r="C1084" s="1011" t="str">
        <f>IF(input!F53=2,"OF","BF")</f>
        <v>OF</v>
      </c>
      <c r="D1084" s="596" t="str">
        <f>IF(B1084="Positive",IF(C1084="OF",1,L882)*1*L950*input!BI53,"-")</f>
        <v>-</v>
      </c>
      <c r="E1084" s="1011">
        <f t="shared" si="48"/>
        <v>298.35223868235454</v>
      </c>
      <c r="F1084" s="1011">
        <f t="shared" si="49"/>
        <v>298.35223868235454</v>
      </c>
      <c r="G1084" s="596">
        <f>IF(B1084="Positive",L950*input!BJ53*L882,IF(C1084="OF",L950*input!BI53,L950*input!BI53*L882))</f>
        <v>379.50157350579502</v>
      </c>
      <c r="H1084" s="1015">
        <f t="shared" si="50"/>
        <v>1305.5693402197207</v>
      </c>
      <c r="I1084" s="1015">
        <f>IF(B1084="Positive",input!BR53,input!K53+input!M53+input!H53)</f>
        <v>2840</v>
      </c>
      <c r="J1084" s="849">
        <f t="shared" si="51"/>
        <v>57962.385985062676</v>
      </c>
      <c r="K1084" s="849">
        <f t="shared" si="52"/>
        <v>64243.441531260309</v>
      </c>
      <c r="L1084" s="1068">
        <f t="shared" si="53"/>
        <v>43367.731940758145</v>
      </c>
      <c r="Z1084" s="559"/>
      <c r="AA1084" s="559"/>
      <c r="AB1084" s="559"/>
      <c r="AC1084" s="559"/>
      <c r="AD1084" s="559"/>
      <c r="AE1084" s="559"/>
      <c r="AM1084" s="143"/>
      <c r="AN1084" s="143"/>
      <c r="AO1084" s="143"/>
      <c r="AP1084" s="143"/>
      <c r="AQ1084" s="143"/>
      <c r="AR1084" s="143"/>
      <c r="AS1084" s="143"/>
      <c r="AT1084" s="143"/>
      <c r="AU1084" s="143"/>
      <c r="AV1084" s="143"/>
    </row>
    <row r="1085" spans="1:48" s="326" customFormat="1" ht="15" customHeight="1">
      <c r="A1085" s="593" t="str">
        <f>+input!B54</f>
        <v>126j</v>
      </c>
      <c r="B1085" s="596" t="str">
        <f t="shared" si="47"/>
        <v>Negative</v>
      </c>
      <c r="C1085" s="596" t="str">
        <f>IF(input!F54=2,"OF","BF")</f>
        <v>OF</v>
      </c>
      <c r="D1085" s="596" t="str">
        <f>IF(B1085="Positive",IF(C1085="OF",1,L883)*1*L951*input!BI54,"-")</f>
        <v>-</v>
      </c>
      <c r="E1085" s="596">
        <f t="shared" si="48"/>
        <v>298.30999029667947</v>
      </c>
      <c r="F1085" s="596">
        <f t="shared" si="49"/>
        <v>298.30999029667947</v>
      </c>
      <c r="G1085" s="596">
        <f>IF(B1085="Positive",L951*input!BJ54*L883,IF(C1085="OF",L951*input!BI54,L951*input!BI54*L883))</f>
        <v>379.50157350579502</v>
      </c>
      <c r="H1085" s="575">
        <f t="shared" si="50"/>
        <v>1305.5693402197207</v>
      </c>
      <c r="I1085" s="575">
        <f>IF(B1085="Positive",input!BR54,input!K54+input!M54+input!H54)</f>
        <v>2840</v>
      </c>
      <c r="J1085" s="676">
        <f t="shared" si="51"/>
        <v>57962.385985062676</v>
      </c>
      <c r="K1085" s="676">
        <f t="shared" si="52"/>
        <v>66969.619452037325</v>
      </c>
      <c r="L1085" s="677">
        <f t="shared" si="53"/>
        <v>43367.731940758145</v>
      </c>
      <c r="Z1085" s="559"/>
      <c r="AA1085" s="559"/>
      <c r="AB1085" s="559"/>
      <c r="AC1085" s="559"/>
      <c r="AD1085" s="559"/>
      <c r="AE1085" s="559"/>
      <c r="AM1085" s="143"/>
      <c r="AN1085" s="143"/>
      <c r="AO1085" s="143"/>
      <c r="AP1085" s="143"/>
      <c r="AQ1085" s="143"/>
      <c r="AR1085" s="143"/>
      <c r="AS1085" s="143"/>
      <c r="AT1085" s="143"/>
      <c r="AU1085" s="143"/>
      <c r="AV1085" s="143"/>
    </row>
    <row r="1086" spans="1:48" s="326" customFormat="1" ht="15" customHeight="1">
      <c r="A1086" s="593" t="str">
        <f>+input!B55</f>
        <v>127i</v>
      </c>
      <c r="B1086" s="596" t="str">
        <f t="shared" si="47"/>
        <v>Negative</v>
      </c>
      <c r="C1086" s="596" t="str">
        <f>IF(input!F55=2,"OF","BF")</f>
        <v>OF</v>
      </c>
      <c r="D1086" s="596" t="str">
        <f>IF(B1086="Positive",IF(C1086="OF",1,L884)*1*L952*input!BI55,"-")</f>
        <v>-</v>
      </c>
      <c r="E1086" s="596">
        <f t="shared" si="48"/>
        <v>199.54531924388266</v>
      </c>
      <c r="F1086" s="596">
        <f t="shared" si="49"/>
        <v>199.54531924388266</v>
      </c>
      <c r="G1086" s="596">
        <f>IF(B1086="Positive",L952*input!BJ55*L884,IF(C1086="OF",L952*input!BI55,L952*input!BI55*L884))</f>
        <v>379.4194249219583</v>
      </c>
      <c r="H1086" s="575">
        <f t="shared" si="50"/>
        <v>1648.9999743574276</v>
      </c>
      <c r="I1086" s="575">
        <f>IF(B1086="Positive",input!BR55,input!K55+input!M55+input!H55)</f>
        <v>2832</v>
      </c>
      <c r="J1086" s="676">
        <f t="shared" si="51"/>
        <v>49167.385590237587</v>
      </c>
      <c r="K1086" s="676">
        <f t="shared" si="52"/>
        <v>52483.1310514621</v>
      </c>
      <c r="L1086" s="677">
        <f t="shared" si="53"/>
        <v>32568.879310273685</v>
      </c>
      <c r="Z1086" s="559"/>
      <c r="AA1086" s="559"/>
      <c r="AB1086" s="559"/>
      <c r="AC1086" s="559"/>
      <c r="AD1086" s="559"/>
      <c r="AE1086" s="559"/>
      <c r="AM1086" s="143"/>
      <c r="AN1086" s="143"/>
      <c r="AO1086" s="143"/>
      <c r="AP1086" s="143"/>
      <c r="AQ1086" s="143"/>
      <c r="AR1086" s="143"/>
      <c r="AS1086" s="143"/>
      <c r="AT1086" s="143"/>
      <c r="AU1086" s="143"/>
      <c r="AV1086" s="143"/>
    </row>
    <row r="1087" spans="1:48" s="326" customFormat="1" ht="15" customHeight="1">
      <c r="A1087" s="593" t="str">
        <f>+input!B56</f>
        <v>127j</v>
      </c>
      <c r="B1087" s="596" t="str">
        <f t="shared" si="47"/>
        <v>Positive</v>
      </c>
      <c r="C1087" s="596" t="str">
        <f>IF(input!F56=2,"OF","BF")</f>
        <v>OF</v>
      </c>
      <c r="D1087" s="596">
        <f>IF(B1087="Positive",IF(C1087="OF",1,L885)*1*L953*input!BI56,"-")</f>
        <v>379.19028554281539</v>
      </c>
      <c r="E1087" s="596" t="str">
        <f t="shared" si="48"/>
        <v>-</v>
      </c>
      <c r="F1087" s="596">
        <f t="shared" si="49"/>
        <v>379.19028554281539</v>
      </c>
      <c r="G1087" s="596">
        <f>IF(B1087="Positive",L953*input!BJ56*L885,IF(C1087="OF",L953*input!BI56,L953*input!BI56*L885))</f>
        <v>379.1766756311427</v>
      </c>
      <c r="H1087" s="575">
        <f t="shared" si="50"/>
        <v>249.52550703213799</v>
      </c>
      <c r="I1087" s="575">
        <f>IF(B1087="Positive",input!BR56,input!K56+input!M56+input!H56)</f>
        <v>3100</v>
      </c>
      <c r="J1087" s="676">
        <f t="shared" si="51"/>
        <v>66931.300654145773</v>
      </c>
      <c r="K1087" s="676">
        <f t="shared" si="52"/>
        <v>65023.106148950392</v>
      </c>
      <c r="L1087" s="677">
        <f t="shared" si="53"/>
        <v>65023.106148950392</v>
      </c>
      <c r="Z1087" s="559"/>
      <c r="AA1087" s="559"/>
      <c r="AB1087" s="559"/>
      <c r="AC1087" s="559"/>
      <c r="AD1087" s="559"/>
      <c r="AE1087" s="559"/>
      <c r="AM1087" s="143"/>
      <c r="AN1087" s="143"/>
      <c r="AO1087" s="143"/>
      <c r="AP1087" s="143"/>
      <c r="AQ1087" s="143"/>
      <c r="AR1087" s="143"/>
      <c r="AS1087" s="143"/>
      <c r="AT1087" s="143"/>
      <c r="AU1087" s="143"/>
      <c r="AV1087" s="143"/>
    </row>
    <row r="1088" spans="1:48" s="326" customFormat="1" ht="15" customHeight="1">
      <c r="A1088" s="593" t="str">
        <f>+input!B57</f>
        <v>128i</v>
      </c>
      <c r="B1088" s="596" t="str">
        <f t="shared" si="47"/>
        <v>Positive</v>
      </c>
      <c r="C1088" s="596" t="str">
        <f>IF(input!F57=2,"OF","BF")</f>
        <v>OF</v>
      </c>
      <c r="D1088" s="596">
        <f>IF(B1088="Positive",IF(C1088="OF",1,L886)*1*L954*input!BI57,"-")</f>
        <v>379.19028554281539</v>
      </c>
      <c r="E1088" s="596" t="str">
        <f t="shared" si="48"/>
        <v>-</v>
      </c>
      <c r="F1088" s="596">
        <f t="shared" si="49"/>
        <v>379.19028554281539</v>
      </c>
      <c r="G1088" s="596">
        <f>IF(B1088="Positive",L954*input!BJ57*L886,IF(C1088="OF",L954*input!BI57,L954*input!BI57*L886))</f>
        <v>379.1766756311427</v>
      </c>
      <c r="H1088" s="575">
        <f t="shared" si="50"/>
        <v>249.52550703213799</v>
      </c>
      <c r="I1088" s="575">
        <f>IF(B1088="Positive",input!BR57,input!K57+input!M57+input!H57)</f>
        <v>3100</v>
      </c>
      <c r="J1088" s="676">
        <f t="shared" si="51"/>
        <v>66931.300654145773</v>
      </c>
      <c r="K1088" s="676">
        <f t="shared" si="52"/>
        <v>65023.106148950392</v>
      </c>
      <c r="L1088" s="677">
        <f t="shared" si="53"/>
        <v>65023.106148950392</v>
      </c>
      <c r="Z1088" s="559"/>
      <c r="AA1088" s="559"/>
      <c r="AB1088" s="559"/>
      <c r="AC1088" s="559"/>
      <c r="AD1088" s="559"/>
      <c r="AE1088" s="559"/>
      <c r="AM1088" s="143"/>
      <c r="AN1088" s="143"/>
      <c r="AO1088" s="143"/>
      <c r="AP1088" s="143"/>
      <c r="AQ1088" s="143"/>
      <c r="AR1088" s="143"/>
      <c r="AS1088" s="143"/>
      <c r="AT1088" s="143"/>
      <c r="AU1088" s="143"/>
      <c r="AV1088" s="143"/>
    </row>
    <row r="1089" spans="1:88" s="326" customFormat="1" ht="15" customHeight="1">
      <c r="A1089" s="593" t="str">
        <f>+input!B58</f>
        <v>128j</v>
      </c>
      <c r="B1089" s="596" t="str">
        <f t="shared" si="47"/>
        <v>Positive</v>
      </c>
      <c r="C1089" s="596" t="str">
        <f>IF(input!F58=2,"OF","BF")</f>
        <v>OF</v>
      </c>
      <c r="D1089" s="596">
        <f>IF(B1089="Positive",IF(C1089="OF",1,L887)*1*L955*input!BI58,"-")</f>
        <v>379.19028554281539</v>
      </c>
      <c r="E1089" s="596" t="str">
        <f t="shared" si="48"/>
        <v>-</v>
      </c>
      <c r="F1089" s="596">
        <f t="shared" si="49"/>
        <v>379.19028554281539</v>
      </c>
      <c r="G1089" s="596">
        <f>IF(B1089="Positive",L955*input!BJ58*L887,IF(C1089="OF",L955*input!BI58,L955*input!BI58*L887))</f>
        <v>379.16857125346093</v>
      </c>
      <c r="H1089" s="575">
        <f t="shared" si="50"/>
        <v>249.52550703213799</v>
      </c>
      <c r="I1089" s="575">
        <f>IF(B1089="Positive",input!BR58,input!K58+input!M58+input!H58)</f>
        <v>3100</v>
      </c>
      <c r="J1089" s="676">
        <f t="shared" si="51"/>
        <v>66931.300654145773</v>
      </c>
      <c r="K1089" s="676">
        <f t="shared" si="52"/>
        <v>64421.871321991974</v>
      </c>
      <c r="L1089" s="677">
        <f t="shared" si="53"/>
        <v>64421.871321991974</v>
      </c>
      <c r="Z1089" s="559"/>
      <c r="AA1089" s="559"/>
      <c r="AB1089" s="559"/>
      <c r="AC1089" s="559"/>
      <c r="AD1089" s="559"/>
      <c r="AE1089" s="559"/>
      <c r="AM1089" s="143"/>
      <c r="AN1089" s="143"/>
      <c r="AO1089" s="143"/>
      <c r="AP1089" s="143"/>
      <c r="AQ1089" s="143"/>
      <c r="AR1089" s="143"/>
      <c r="AS1089" s="143"/>
      <c r="AT1089" s="143"/>
      <c r="AU1089" s="143"/>
      <c r="AV1089" s="143"/>
    </row>
    <row r="1090" spans="1:88" s="326" customFormat="1" ht="15" customHeight="1">
      <c r="A1090" s="593" t="str">
        <f>+input!B59</f>
        <v>129i</v>
      </c>
      <c r="B1090" s="596" t="str">
        <f t="shared" si="47"/>
        <v>Positive</v>
      </c>
      <c r="C1090" s="596" t="str">
        <f>IF(input!F59=2,"OF","BF")</f>
        <v>OF</v>
      </c>
      <c r="D1090" s="596">
        <f>IF(B1090="Positive",IF(C1090="OF",1,L888)*1*L956*input!BI59,"-")</f>
        <v>379.19028554281539</v>
      </c>
      <c r="E1090" s="596" t="str">
        <f t="shared" si="48"/>
        <v>-</v>
      </c>
      <c r="F1090" s="596">
        <f t="shared" si="49"/>
        <v>379.19028554281539</v>
      </c>
      <c r="G1090" s="596">
        <f>IF(B1090="Positive",L956*input!BJ59*L888,IF(C1090="OF",L956*input!BI59,L956*input!BI59*L888))</f>
        <v>379.16391717492144</v>
      </c>
      <c r="H1090" s="575">
        <f t="shared" si="50"/>
        <v>249.52550703213799</v>
      </c>
      <c r="I1090" s="575">
        <f>IF(B1090="Positive",input!BR59,input!K59+input!M59+input!H59)</f>
        <v>3100</v>
      </c>
      <c r="J1090" s="676">
        <f t="shared" si="51"/>
        <v>66931.300654145773</v>
      </c>
      <c r="K1090" s="676">
        <f t="shared" si="52"/>
        <v>64421.865268041329</v>
      </c>
      <c r="L1090" s="677">
        <f t="shared" si="53"/>
        <v>64421.865268041329</v>
      </c>
      <c r="Z1090" s="559"/>
      <c r="AA1090" s="559"/>
      <c r="AB1090" s="559"/>
      <c r="AC1090" s="559"/>
      <c r="AD1090" s="559"/>
      <c r="AE1090" s="559"/>
      <c r="AM1090" s="143"/>
      <c r="AN1090" s="143"/>
      <c r="AO1090" s="143"/>
      <c r="AP1090" s="143"/>
      <c r="AQ1090" s="143"/>
      <c r="AR1090" s="143"/>
      <c r="AS1090" s="143"/>
      <c r="AT1090" s="143"/>
      <c r="AU1090" s="143"/>
      <c r="AV1090" s="143"/>
    </row>
    <row r="1091" spans="1:88" s="326" customFormat="1" ht="15" customHeight="1">
      <c r="A1091" s="593" t="str">
        <f>+input!B60</f>
        <v>129j</v>
      </c>
      <c r="B1091" s="596" t="str">
        <f t="shared" si="47"/>
        <v>Positive</v>
      </c>
      <c r="C1091" s="596" t="str">
        <f>IF(input!F60=2,"OF","BF")</f>
        <v>OF</v>
      </c>
      <c r="D1091" s="596">
        <f>IF(B1091="Positive",IF(C1091="OF",1,L889)*1*L957*input!BI60,"-")</f>
        <v>379.19028554281539</v>
      </c>
      <c r="E1091" s="596" t="str">
        <f t="shared" si="48"/>
        <v>-</v>
      </c>
      <c r="F1091" s="596">
        <f t="shared" si="49"/>
        <v>379.19028554281539</v>
      </c>
      <c r="G1091" s="596">
        <f>IF(B1091="Positive",L957*input!BJ60*L889,IF(C1091="OF",L957*input!BI60,L957*input!BI60*L889))</f>
        <v>379.15842358339597</v>
      </c>
      <c r="H1091" s="575">
        <f t="shared" si="50"/>
        <v>249.52550703213799</v>
      </c>
      <c r="I1091" s="575">
        <f>IF(B1091="Positive",input!BR60,input!K60+input!M60+input!H60)</f>
        <v>3100</v>
      </c>
      <c r="J1091" s="676">
        <f t="shared" si="51"/>
        <v>66931.300654145773</v>
      </c>
      <c r="K1091" s="676">
        <f t="shared" si="52"/>
        <v>65272.802655467778</v>
      </c>
      <c r="L1091" s="677">
        <f t="shared" si="53"/>
        <v>65272.802655467778</v>
      </c>
      <c r="Z1091" s="559"/>
      <c r="AA1091" s="559"/>
      <c r="AB1091" s="559"/>
      <c r="AC1091" s="559"/>
      <c r="AD1091" s="559"/>
      <c r="AE1091" s="559"/>
      <c r="AM1091" s="143"/>
      <c r="AN1091" s="143"/>
      <c r="AO1091" s="143"/>
      <c r="AP1091" s="143"/>
      <c r="AQ1091" s="143"/>
      <c r="AR1091" s="143"/>
      <c r="AS1091" s="143"/>
      <c r="AT1091" s="143"/>
      <c r="AU1091" s="143"/>
      <c r="AV1091" s="143"/>
    </row>
    <row r="1092" spans="1:88" s="326" customFormat="1" ht="15" customHeight="1">
      <c r="A1092" s="593" t="str">
        <f>+input!B61</f>
        <v>130i</v>
      </c>
      <c r="B1092" s="596" t="str">
        <f t="shared" si="47"/>
        <v>Positive</v>
      </c>
      <c r="C1092" s="596" t="str">
        <f>IF(input!F61=2,"OF","BF")</f>
        <v>OF</v>
      </c>
      <c r="D1092" s="596">
        <f>IF(B1092="Positive",IF(C1092="OF",1,L890)*1*L958*input!BI61,"-")</f>
        <v>379.22560275387258</v>
      </c>
      <c r="E1092" s="596" t="str">
        <f t="shared" si="48"/>
        <v>-</v>
      </c>
      <c r="F1092" s="596">
        <f t="shared" si="49"/>
        <v>379.22560275387258</v>
      </c>
      <c r="G1092" s="596">
        <f>IF(B1092="Positive",L958*input!BJ61*L890,IF(C1092="OF",L958*input!BI61,L958*input!BI61*L890))</f>
        <v>379.18803338073616</v>
      </c>
      <c r="H1092" s="575">
        <f t="shared" si="50"/>
        <v>241.22334554156799</v>
      </c>
      <c r="I1092" s="575">
        <f>IF(B1092="Positive",input!BR61,input!K61+input!M61+input!H61)</f>
        <v>2900</v>
      </c>
      <c r="J1092" s="676">
        <f t="shared" si="51"/>
        <v>60309.775133111158</v>
      </c>
      <c r="K1092" s="676">
        <f t="shared" si="52"/>
        <v>58921.023702323429</v>
      </c>
      <c r="L1092" s="677">
        <f t="shared" si="53"/>
        <v>58921.023702323429</v>
      </c>
      <c r="Z1092" s="559"/>
      <c r="AA1092" s="559"/>
      <c r="AB1092" s="559"/>
      <c r="AC1092" s="559"/>
      <c r="AD1092" s="559"/>
      <c r="AE1092" s="559"/>
      <c r="AM1092" s="143"/>
      <c r="AN1092" s="143"/>
      <c r="AO1092" s="143"/>
      <c r="AP1092" s="143"/>
      <c r="AQ1092" s="143"/>
      <c r="AR1092" s="143"/>
      <c r="AS1092" s="143"/>
      <c r="AT1092" s="143"/>
      <c r="AU1092" s="143"/>
      <c r="AV1092" s="143"/>
    </row>
    <row r="1093" spans="1:88" s="326" customFormat="1" ht="15" customHeight="1">
      <c r="A1093" s="593" t="str">
        <f>+input!B62</f>
        <v>130j</v>
      </c>
      <c r="B1093" s="596" t="str">
        <f t="shared" si="47"/>
        <v>Negative</v>
      </c>
      <c r="C1093" s="596" t="str">
        <f>IF(input!F62=2,"OF","BF")</f>
        <v>OF</v>
      </c>
      <c r="D1093" s="596" t="str">
        <f>IF(B1093="Positive",IF(C1093="OF",1,L891)*1*L959*input!BI62,"-")</f>
        <v>-</v>
      </c>
      <c r="E1093" s="596">
        <f t="shared" si="48"/>
        <v>198.64260786288622</v>
      </c>
      <c r="F1093" s="596">
        <f t="shared" si="49"/>
        <v>198.64260786288622</v>
      </c>
      <c r="G1093" s="596">
        <f>IF(B1093="Positive",L959*input!BJ62*L891,IF(C1093="OF",L959*input!BI62,L959*input!BI62*L891))</f>
        <v>379.44952920818679</v>
      </c>
      <c r="H1093" s="575">
        <f t="shared" si="50"/>
        <v>1548.9999743574278</v>
      </c>
      <c r="I1093" s="575">
        <f>IF(B1093="Positive",input!BR62,input!K62+input!M62+input!H62)</f>
        <v>2632</v>
      </c>
      <c r="J1093" s="676">
        <f t="shared" si="51"/>
        <v>44557.96545455281</v>
      </c>
      <c r="K1093" s="676">
        <f t="shared" si="52"/>
        <v>47716.962327222536</v>
      </c>
      <c r="L1093" s="677">
        <f t="shared" si="53"/>
        <v>29320.56363570091</v>
      </c>
      <c r="Z1093" s="559"/>
      <c r="AA1093" s="559"/>
      <c r="AB1093" s="559"/>
      <c r="AC1093" s="559"/>
      <c r="AD1093" s="559"/>
      <c r="AE1093" s="559"/>
      <c r="AM1093" s="143"/>
      <c r="AN1093" s="143"/>
      <c r="AO1093" s="143"/>
      <c r="AP1093" s="143"/>
      <c r="AQ1093" s="143"/>
      <c r="AR1093" s="143"/>
      <c r="AS1093" s="143"/>
      <c r="AT1093" s="143"/>
      <c r="AU1093" s="143"/>
      <c r="AV1093" s="143"/>
    </row>
    <row r="1094" spans="1:88" s="326" customFormat="1" ht="15" customHeight="1">
      <c r="A1094" s="593" t="str">
        <f>+input!B63</f>
        <v>131i</v>
      </c>
      <c r="B1094" s="596" t="str">
        <f t="shared" si="47"/>
        <v>Negative</v>
      </c>
      <c r="C1094" s="596" t="str">
        <f>IF(input!F63=2,"OF","BF")</f>
        <v>OF</v>
      </c>
      <c r="D1094" s="596" t="str">
        <f>IF(B1094="Positive",IF(C1094="OF",1,L892)*1*L960*input!BI63,"-")</f>
        <v>-</v>
      </c>
      <c r="E1094" s="596">
        <f t="shared" si="48"/>
        <v>200.15145801365517</v>
      </c>
      <c r="F1094" s="596">
        <f t="shared" si="49"/>
        <v>200.15145801365517</v>
      </c>
      <c r="G1094" s="596">
        <f>IF(B1094="Positive",L960*input!BJ63*L892,IF(C1094="OF",L960*input!BI63,L960*input!BI63*L892))</f>
        <v>379.44952920818679</v>
      </c>
      <c r="H1094" s="575">
        <f t="shared" si="50"/>
        <v>1548.9999743574278</v>
      </c>
      <c r="I1094" s="575">
        <f>IF(B1094="Positive",input!BR63,input!K63+input!M63+input!H63)</f>
        <v>2632</v>
      </c>
      <c r="J1094" s="676">
        <f t="shared" si="51"/>
        <v>44557.96545455281</v>
      </c>
      <c r="K1094" s="676">
        <f t="shared" si="52"/>
        <v>47716.954404132615</v>
      </c>
      <c r="L1094" s="677">
        <f t="shared" si="53"/>
        <v>29320.56363570091</v>
      </c>
      <c r="Z1094" s="559"/>
      <c r="AA1094" s="559"/>
      <c r="AB1094" s="559"/>
      <c r="AC1094" s="559"/>
      <c r="AD1094" s="559"/>
      <c r="AE1094" s="559"/>
      <c r="AM1094" s="143"/>
      <c r="AN1094" s="143"/>
      <c r="AO1094" s="143"/>
      <c r="AP1094" s="143"/>
      <c r="AQ1094" s="143"/>
      <c r="AR1094" s="143"/>
      <c r="AS1094" s="143"/>
      <c r="AT1094" s="143"/>
      <c r="AU1094" s="143"/>
      <c r="AV1094" s="143"/>
    </row>
    <row r="1095" spans="1:88" s="326" customFormat="1" ht="15" customHeight="1">
      <c r="A1095" s="593" t="str">
        <f>+input!B64</f>
        <v>131j</v>
      </c>
      <c r="B1095" s="596" t="str">
        <f t="shared" si="47"/>
        <v>Positive</v>
      </c>
      <c r="C1095" s="596" t="str">
        <f>IF(input!F64=2,"OF","BF")</f>
        <v>OF</v>
      </c>
      <c r="D1095" s="596">
        <f>IF(B1095="Positive",IF(C1095="OF",1,L893)*1*L961*input!BI64,"-")</f>
        <v>379.22560275387258</v>
      </c>
      <c r="E1095" s="596" t="str">
        <f t="shared" si="48"/>
        <v>-</v>
      </c>
      <c r="F1095" s="596">
        <f t="shared" si="49"/>
        <v>379.22560275387258</v>
      </c>
      <c r="G1095" s="596">
        <f>IF(B1095="Positive",L961*input!BJ64*L893,IF(C1095="OF",L961*input!BI64,L961*input!BI64*L893))</f>
        <v>379.22545221863294</v>
      </c>
      <c r="H1095" s="575">
        <f t="shared" si="50"/>
        <v>241.22334554156799</v>
      </c>
      <c r="I1095" s="575">
        <f>IF(B1095="Positive",input!BR64,input!K64+input!M64+input!H64)</f>
        <v>2900</v>
      </c>
      <c r="J1095" s="676">
        <f t="shared" si="51"/>
        <v>60309.775133111158</v>
      </c>
      <c r="K1095" s="676">
        <f t="shared" si="52"/>
        <v>59770.029548127226</v>
      </c>
      <c r="L1095" s="677">
        <f t="shared" si="53"/>
        <v>59770.029548127226</v>
      </c>
      <c r="Z1095" s="559"/>
      <c r="AA1095" s="559"/>
      <c r="AB1095" s="559"/>
      <c r="AC1095" s="559"/>
      <c r="AD1095" s="559"/>
      <c r="AE1095" s="559"/>
      <c r="AM1095" s="143"/>
      <c r="AN1095" s="143"/>
      <c r="AO1095" s="143"/>
      <c r="AP1095" s="143"/>
      <c r="AQ1095" s="143"/>
      <c r="AR1095" s="143"/>
      <c r="AS1095" s="143"/>
      <c r="AT1095" s="143"/>
      <c r="AU1095" s="143"/>
      <c r="AV1095" s="143"/>
    </row>
    <row r="1096" spans="1:88" s="326" customFormat="1" ht="15" customHeight="1">
      <c r="A1096" s="328"/>
      <c r="B1096" s="328"/>
      <c r="C1096" s="327"/>
      <c r="D1096" s="327"/>
      <c r="E1096" s="327"/>
      <c r="F1096" s="327"/>
      <c r="G1096" s="327"/>
      <c r="H1096" s="327"/>
      <c r="I1096" s="242"/>
      <c r="J1096" s="242"/>
      <c r="K1096" s="242"/>
      <c r="L1096" s="242"/>
      <c r="M1096" s="219"/>
      <c r="N1096" s="219"/>
      <c r="O1096" s="327"/>
      <c r="P1096" s="327"/>
      <c r="Q1096" s="327"/>
      <c r="R1096" s="327"/>
      <c r="S1096" s="327"/>
      <c r="T1096" s="327"/>
      <c r="U1096" s="327"/>
      <c r="V1096" s="327"/>
      <c r="W1096" s="327"/>
      <c r="X1096" s="327"/>
      <c r="Y1096" s="244"/>
      <c r="Z1096" s="244"/>
      <c r="AA1096" s="327"/>
      <c r="AB1096" s="327"/>
      <c r="AC1096" s="327"/>
      <c r="AD1096" s="614"/>
      <c r="AE1096" s="559"/>
      <c r="AF1096" s="559"/>
      <c r="AG1096" s="559"/>
      <c r="AH1096" s="559"/>
      <c r="AI1096" s="559"/>
      <c r="AJ1096" s="559"/>
      <c r="AK1096" s="559"/>
      <c r="AL1096" s="559"/>
      <c r="AM1096" s="559"/>
      <c r="AN1096" s="559"/>
      <c r="AO1096" s="559"/>
      <c r="AP1096" s="559"/>
      <c r="AQ1096" s="559"/>
      <c r="BK1096" s="143"/>
      <c r="BL1096" s="143"/>
      <c r="BM1096" s="143"/>
      <c r="BN1096" s="143"/>
      <c r="BO1096" s="143"/>
      <c r="BP1096" s="143"/>
      <c r="BQ1096" s="143"/>
      <c r="BR1096" s="143"/>
      <c r="BS1096" s="143"/>
      <c r="BT1096" s="143"/>
      <c r="BU1096" s="143"/>
      <c r="BV1096" s="143"/>
      <c r="BW1096" s="143"/>
      <c r="BX1096" s="143"/>
      <c r="BY1096" s="143"/>
      <c r="BZ1096" s="143"/>
      <c r="CA1096" s="143"/>
      <c r="CB1096" s="143"/>
      <c r="CC1096" s="143"/>
      <c r="CD1096" s="143"/>
      <c r="CE1096" s="143"/>
      <c r="CF1096" s="143"/>
      <c r="CG1096" s="143"/>
      <c r="CH1096" s="143"/>
      <c r="CI1096" s="143"/>
      <c r="CJ1096" s="143"/>
    </row>
    <row r="1097" spans="1:88" s="297" customFormat="1" ht="15" customHeight="1">
      <c r="A1097" s="298"/>
      <c r="B1097" s="298"/>
      <c r="C1097" s="243"/>
      <c r="D1097" s="243"/>
      <c r="E1097" s="242"/>
      <c r="F1097" s="242"/>
      <c r="G1097" s="243"/>
      <c r="H1097" s="243"/>
      <c r="I1097" s="243"/>
      <c r="J1097" s="243"/>
      <c r="K1097" s="243"/>
      <c r="L1097" s="243"/>
      <c r="M1097" s="244"/>
      <c r="N1097" s="244"/>
      <c r="O1097" s="243"/>
      <c r="P1097" s="243"/>
      <c r="Q1097" s="243"/>
      <c r="R1097" s="243"/>
      <c r="S1097" s="243"/>
      <c r="T1097" s="243"/>
      <c r="U1097" s="243"/>
      <c r="V1097" s="243"/>
      <c r="W1097" s="243"/>
      <c r="X1097" s="243"/>
      <c r="Y1097" s="243"/>
      <c r="Z1097" s="243"/>
      <c r="AC1097" s="119"/>
      <c r="AD1097" s="119"/>
      <c r="AE1097" s="73"/>
      <c r="AF1097" s="73"/>
      <c r="AG1097" s="73"/>
      <c r="AH1097" s="73"/>
      <c r="AI1097" s="73"/>
      <c r="AJ1097" s="73"/>
      <c r="AK1097" s="73"/>
      <c r="AL1097" s="73"/>
      <c r="AM1097" s="73"/>
      <c r="AN1097" s="73"/>
      <c r="AO1097" s="73"/>
      <c r="AP1097" s="73"/>
      <c r="AQ1097" s="73"/>
      <c r="AR1097" s="143"/>
      <c r="AS1097" s="143"/>
      <c r="AT1097" s="143"/>
      <c r="AU1097" s="143"/>
      <c r="AV1097" s="143"/>
      <c r="AW1097" s="143"/>
      <c r="AX1097" s="143"/>
      <c r="AY1097" s="143"/>
      <c r="AZ1097" s="143"/>
      <c r="BA1097" s="143"/>
      <c r="BB1097" s="143"/>
      <c r="BC1097" s="143"/>
      <c r="BD1097" s="143"/>
      <c r="BE1097" s="143"/>
      <c r="BF1097" s="143"/>
      <c r="BG1097" s="143"/>
      <c r="BH1097" s="143"/>
      <c r="BI1097" s="143"/>
      <c r="BJ1097" s="143"/>
      <c r="BK1097" s="143"/>
      <c r="BL1097" s="143"/>
      <c r="BM1097" s="143"/>
      <c r="BN1097" s="143"/>
      <c r="BO1097" s="143"/>
      <c r="BP1097" s="143"/>
      <c r="BQ1097" s="143"/>
      <c r="BR1097" s="143"/>
      <c r="BS1097" s="143"/>
      <c r="BT1097" s="143"/>
      <c r="BU1097" s="143"/>
      <c r="BV1097" s="143"/>
      <c r="BW1097" s="143"/>
      <c r="BX1097" s="143"/>
      <c r="BY1097" s="143"/>
      <c r="BZ1097" s="143"/>
      <c r="CA1097" s="143"/>
      <c r="CB1097" s="143"/>
      <c r="CC1097" s="143"/>
      <c r="CD1097" s="143"/>
      <c r="CE1097" s="143"/>
      <c r="CF1097" s="143"/>
      <c r="CG1097" s="143"/>
      <c r="CH1097" s="143"/>
      <c r="CI1097" s="143"/>
      <c r="CJ1097" s="143"/>
    </row>
    <row r="1098" spans="1:88" ht="15" customHeight="1" thickBot="1">
      <c r="A1098" s="468" t="s">
        <v>2140</v>
      </c>
      <c r="B1098" s="181"/>
      <c r="C1098" s="243"/>
      <c r="D1098" s="95"/>
      <c r="E1098" s="243"/>
      <c r="F1098" s="243"/>
      <c r="G1098" s="242"/>
      <c r="H1098" s="242"/>
      <c r="I1098" s="243"/>
      <c r="J1098" s="243"/>
      <c r="K1098" s="243"/>
      <c r="L1098" s="243"/>
      <c r="M1098" s="243"/>
      <c r="N1098" s="243"/>
      <c r="O1098" s="244"/>
      <c r="P1098" s="244"/>
      <c r="Q1098" s="243"/>
      <c r="R1098" s="243"/>
      <c r="S1098" s="243"/>
      <c r="T1098" s="243"/>
      <c r="U1098" s="243"/>
      <c r="V1098" s="243"/>
      <c r="W1098" s="243"/>
      <c r="X1098" s="243"/>
      <c r="Y1098" s="243"/>
      <c r="Z1098" s="243"/>
      <c r="AB1098" s="119"/>
      <c r="AC1098" s="119"/>
      <c r="AD1098" s="614"/>
      <c r="AL1098" s="74"/>
      <c r="AM1098" s="74"/>
      <c r="AN1098" s="74"/>
      <c r="AO1098" s="74"/>
      <c r="AP1098" s="74"/>
      <c r="AQ1098" s="122"/>
      <c r="AR1098" s="9"/>
      <c r="AS1098" s="9"/>
      <c r="AT1098" s="9"/>
      <c r="AU1098" s="9"/>
      <c r="AV1098" s="198"/>
      <c r="AW1098" s="195"/>
      <c r="AX1098" s="9"/>
    </row>
    <row r="1099" spans="1:88" ht="15" customHeight="1">
      <c r="A1099" s="1119" t="s">
        <v>16</v>
      </c>
      <c r="B1099" s="1118" t="s">
        <v>782</v>
      </c>
      <c r="C1099" s="1118" t="s">
        <v>385</v>
      </c>
      <c r="D1099" s="1118" t="s">
        <v>467</v>
      </c>
      <c r="E1099" s="1118" t="s">
        <v>524</v>
      </c>
      <c r="F1099" s="1118" t="s">
        <v>779</v>
      </c>
      <c r="G1099" s="1118" t="s">
        <v>405</v>
      </c>
      <c r="H1099" s="1118" t="s">
        <v>780</v>
      </c>
      <c r="I1099" s="1118" t="s">
        <v>781</v>
      </c>
      <c r="J1099" s="1118" t="s">
        <v>525</v>
      </c>
      <c r="K1099" s="1118" t="s">
        <v>359</v>
      </c>
      <c r="L1099" s="1903" t="s">
        <v>526</v>
      </c>
      <c r="M1099" s="1909"/>
      <c r="P1099" s="620"/>
      <c r="Q1099" s="620"/>
      <c r="R1099" s="620"/>
      <c r="S1099" s="620"/>
      <c r="T1099" s="620"/>
      <c r="U1099" s="620"/>
      <c r="V1099" s="620"/>
      <c r="W1099" s="620"/>
      <c r="X1099" s="620"/>
      <c r="Y1099" s="620"/>
      <c r="Z1099" s="143"/>
      <c r="AA1099" s="119"/>
      <c r="AB1099" s="73"/>
      <c r="AC1099" s="73"/>
      <c r="AD1099" s="143"/>
      <c r="AE1099" s="143"/>
      <c r="AF1099" s="143"/>
      <c r="AG1099" s="143"/>
      <c r="AH1099" s="143"/>
      <c r="AI1099" s="143"/>
      <c r="AJ1099" s="143"/>
      <c r="AK1099" s="143"/>
      <c r="AL1099" s="143"/>
      <c r="AM1099" s="143"/>
      <c r="AN1099" s="143"/>
      <c r="AO1099" s="143"/>
      <c r="AP1099" s="143"/>
      <c r="AQ1099" s="143"/>
    </row>
    <row r="1100" spans="1:88" ht="15" customHeight="1">
      <c r="A1100" s="537"/>
      <c r="B1100" s="262" t="s">
        <v>694</v>
      </c>
      <c r="C1100" s="262"/>
      <c r="D1100" s="262"/>
      <c r="E1100" s="262"/>
      <c r="F1100" s="262"/>
      <c r="G1100" s="262"/>
      <c r="H1100" s="262"/>
      <c r="I1100" s="262"/>
      <c r="J1100" s="262"/>
      <c r="K1100" s="262"/>
      <c r="L1100" s="262"/>
      <c r="M1100" s="673"/>
      <c r="P1100" s="620"/>
      <c r="Q1100" s="620"/>
      <c r="R1100" s="620"/>
      <c r="S1100" s="620"/>
      <c r="T1100" s="620"/>
      <c r="U1100" s="620"/>
      <c r="V1100" s="620"/>
      <c r="W1100" s="620"/>
      <c r="X1100" s="620"/>
      <c r="Y1100" s="620"/>
      <c r="Z1100" s="143"/>
      <c r="AA1100" s="119"/>
      <c r="AB1100" s="73"/>
      <c r="AC1100" s="73"/>
      <c r="AD1100" s="143"/>
      <c r="AE1100" s="143"/>
      <c r="AF1100" s="143"/>
      <c r="AG1100" s="143"/>
      <c r="AH1100" s="143"/>
      <c r="AI1100" s="143"/>
      <c r="AJ1100" s="143"/>
      <c r="AK1100" s="143"/>
      <c r="AL1100" s="143"/>
      <c r="AM1100" s="143"/>
      <c r="AN1100" s="143"/>
      <c r="AO1100" s="143"/>
      <c r="AP1100" s="143"/>
      <c r="AQ1100" s="143"/>
    </row>
    <row r="1101" spans="1:88" ht="15" customHeight="1">
      <c r="A1101" s="593" t="str">
        <f>+input!B3</f>
        <v>101i</v>
      </c>
      <c r="B1101" s="844" t="str">
        <f t="shared" ref="B1101:B1132" si="54">B434</f>
        <v>Negative</v>
      </c>
      <c r="C1101" s="844">
        <f>input!D3</f>
        <v>0</v>
      </c>
      <c r="D1101" s="596">
        <f>Cons!G904</f>
        <v>650</v>
      </c>
      <c r="E1101" s="595">
        <f>input!BQ3/input!N3</f>
        <v>218.35281401641905</v>
      </c>
      <c r="F1101" s="596">
        <f>input!V3</f>
        <v>3850</v>
      </c>
      <c r="G1101" s="596">
        <f>input!U3</f>
        <v>2350</v>
      </c>
      <c r="H1101" s="596">
        <f>input!T3</f>
        <v>1175</v>
      </c>
      <c r="I1101" s="595">
        <f>input!BP3</f>
        <v>0.125</v>
      </c>
      <c r="J1101" s="596">
        <f>IF(OR(L200=1,L200="a"),M200,IF(OR(L200="b",L200="c",L200="d",L200=8),input!M3-M200,0))/COS(ATAN(input!BP3))</f>
        <v>1474.5288090759341</v>
      </c>
      <c r="K1101" s="596">
        <f>input!N3</f>
        <v>12</v>
      </c>
      <c r="L1101" s="642" t="str">
        <f>IF(B1101="Positive",IF(C1101=0,(IF(AND(input!BI3 &lt;= 455, input!BK3 &lt; 455, E1101&lt;= IF(D1101=0,1000,150),0.8*G1101&lt;=F1101,1.2*G1101&gt;=F1101,I1101&lt;=0.25,H1101&lt;=MIN(F1101,1800),2*J1101/K1101&lt;=3.76*SQRT(Es/input!BI3)),"compact","noncompact")),"noncompact"),"-")</f>
        <v>-</v>
      </c>
      <c r="M1101" s="680"/>
      <c r="P1101" s="620"/>
      <c r="Q1101" s="620"/>
      <c r="R1101" s="620"/>
      <c r="S1101" s="620"/>
      <c r="T1101" s="620"/>
      <c r="U1101" s="620"/>
      <c r="V1101" s="620"/>
      <c r="W1101" s="620"/>
      <c r="X1101" s="620"/>
      <c r="Y1101" s="620"/>
      <c r="Z1101" s="143"/>
      <c r="AA1101" s="119"/>
      <c r="AB1101" s="73"/>
      <c r="AC1101" s="73"/>
      <c r="AD1101" s="143"/>
      <c r="AE1101" s="143"/>
      <c r="AF1101" s="143"/>
      <c r="AG1101" s="143"/>
      <c r="AH1101" s="143"/>
      <c r="AI1101" s="143"/>
      <c r="AJ1101" s="143"/>
      <c r="AK1101" s="143"/>
      <c r="AL1101" s="143"/>
      <c r="AM1101" s="143"/>
      <c r="AN1101" s="143"/>
      <c r="AO1101" s="143"/>
      <c r="AP1101" s="143"/>
      <c r="AQ1101" s="143"/>
    </row>
    <row r="1102" spans="1:88" ht="15" customHeight="1">
      <c r="A1102" s="593" t="str">
        <f>+input!B4</f>
        <v>101j</v>
      </c>
      <c r="B1102" s="844" t="str">
        <f t="shared" si="54"/>
        <v>Negative</v>
      </c>
      <c r="C1102" s="844">
        <f>input!D4</f>
        <v>0</v>
      </c>
      <c r="D1102" s="596">
        <f>Cons!G905</f>
        <v>650</v>
      </c>
      <c r="E1102" s="595">
        <f>input!BQ4/input!N4</f>
        <v>218.35281401641905</v>
      </c>
      <c r="F1102" s="596">
        <f>input!V4</f>
        <v>3850</v>
      </c>
      <c r="G1102" s="596">
        <f>input!U4</f>
        <v>2350</v>
      </c>
      <c r="H1102" s="596">
        <f>input!T4</f>
        <v>1175</v>
      </c>
      <c r="I1102" s="595">
        <f>input!BP4</f>
        <v>0.125</v>
      </c>
      <c r="J1102" s="596">
        <f>IF(OR(L201=1,L201="a"),M201,IF(OR(L201="b",L201="c",L201="d",L201=8),input!M4-M201,0))/COS(ATAN(input!BP4))</f>
        <v>1474.5288090759341</v>
      </c>
      <c r="K1102" s="596">
        <f>input!N4</f>
        <v>12</v>
      </c>
      <c r="L1102" s="642" t="str">
        <f>IF(B1102="Positive",IF(C1102=0,(IF(AND(input!BI4 &lt;= 455, input!BK4 &lt; 455, E1102&lt;= IF(D1102=0,1000,150),0.8*G1102&lt;=F1102,1.2*G1102&gt;=F1102,I1102&lt;=0.25,H1102&lt;=MIN(F1102,1800),2*J1102/K1102&lt;=3.76*SQRT(Es/input!BI4)),"compact","noncompact")),"noncompact"),"-")</f>
        <v>-</v>
      </c>
      <c r="M1102" s="680"/>
      <c r="P1102" s="620"/>
      <c r="Q1102" s="620"/>
      <c r="R1102" s="620"/>
      <c r="S1102" s="620"/>
      <c r="T1102" s="620"/>
      <c r="U1102" s="620"/>
      <c r="V1102" s="620"/>
      <c r="W1102" s="620"/>
      <c r="X1102" s="620"/>
      <c r="Y1102" s="620"/>
      <c r="Z1102" s="143"/>
      <c r="AA1102" s="119"/>
      <c r="AB1102" s="73"/>
      <c r="AC1102" s="73"/>
      <c r="AD1102" s="143"/>
      <c r="AE1102" s="143"/>
      <c r="AF1102" s="143"/>
      <c r="AG1102" s="143"/>
      <c r="AH1102" s="143"/>
      <c r="AI1102" s="143"/>
      <c r="AJ1102" s="143"/>
      <c r="AK1102" s="143"/>
      <c r="AL1102" s="143"/>
      <c r="AM1102" s="143"/>
      <c r="AN1102" s="143"/>
      <c r="AO1102" s="143"/>
      <c r="AP1102" s="143"/>
      <c r="AQ1102" s="143"/>
    </row>
    <row r="1103" spans="1:88" ht="15" customHeight="1">
      <c r="A1103" s="593" t="str">
        <f>+input!B5</f>
        <v>102i</v>
      </c>
      <c r="B1103" s="844" t="str">
        <f t="shared" si="54"/>
        <v>Negative</v>
      </c>
      <c r="C1103" s="844">
        <f>input!D5</f>
        <v>0</v>
      </c>
      <c r="D1103" s="596">
        <f>Cons!G906</f>
        <v>650</v>
      </c>
      <c r="E1103" s="595">
        <f>input!BQ5/input!N5</f>
        <v>218.35281401641905</v>
      </c>
      <c r="F1103" s="596">
        <f>input!V5</f>
        <v>3850</v>
      </c>
      <c r="G1103" s="596">
        <f>input!U5</f>
        <v>2350</v>
      </c>
      <c r="H1103" s="596">
        <f>input!T5</f>
        <v>1175</v>
      </c>
      <c r="I1103" s="595">
        <f>input!BP5</f>
        <v>0.125</v>
      </c>
      <c r="J1103" s="596">
        <f>IF(OR(L202=1,L202="a"),M202,IF(OR(L202="b",L202="c",L202="d",L202=8),input!M5-M202,0))/COS(ATAN(input!BP5))</f>
        <v>1474.5288090759341</v>
      </c>
      <c r="K1103" s="596">
        <f>input!N5</f>
        <v>12</v>
      </c>
      <c r="L1103" s="642" t="str">
        <f>IF(B1103="Positive",IF(C1103=0,(IF(AND(input!BI5 &lt;= 455, input!BK5 &lt; 455, E1103&lt;= IF(D1103=0,1000,150),0.8*G1103&lt;=F1103,1.2*G1103&gt;=F1103,I1103&lt;=0.25,H1103&lt;=MIN(F1103,1800),2*J1103/K1103&lt;=3.76*SQRT(Es/input!BI5)),"compact","noncompact")),"noncompact"),"-")</f>
        <v>-</v>
      </c>
      <c r="M1103" s="680"/>
      <c r="P1103" s="620"/>
      <c r="Q1103" s="620"/>
      <c r="R1103" s="620"/>
      <c r="S1103" s="620"/>
      <c r="T1103" s="620"/>
      <c r="U1103" s="620"/>
      <c r="V1103" s="620"/>
      <c r="W1103" s="620"/>
      <c r="X1103" s="620"/>
      <c r="Y1103" s="620"/>
      <c r="Z1103" s="143"/>
      <c r="AA1103" s="119"/>
      <c r="AB1103" s="73"/>
      <c r="AC1103" s="73"/>
      <c r="AD1103" s="143"/>
      <c r="AE1103" s="143"/>
      <c r="AF1103" s="143"/>
      <c r="AG1103" s="143"/>
      <c r="AH1103" s="143"/>
      <c r="AI1103" s="143"/>
      <c r="AJ1103" s="143"/>
      <c r="AK1103" s="143"/>
      <c r="AL1103" s="143"/>
      <c r="AM1103" s="143"/>
      <c r="AN1103" s="143"/>
      <c r="AO1103" s="143"/>
      <c r="AP1103" s="143"/>
      <c r="AQ1103" s="143"/>
    </row>
    <row r="1104" spans="1:88" ht="15" customHeight="1">
      <c r="A1104" s="593" t="str">
        <f>+input!B6</f>
        <v>102j</v>
      </c>
      <c r="B1104" s="844" t="str">
        <f t="shared" si="54"/>
        <v>Positive</v>
      </c>
      <c r="C1104" s="844">
        <f>input!D6</f>
        <v>0</v>
      </c>
      <c r="D1104" s="596">
        <f>Cons!G907</f>
        <v>650</v>
      </c>
      <c r="E1104" s="595">
        <f>input!BQ6/input!N6</f>
        <v>218.35281401641905</v>
      </c>
      <c r="F1104" s="596">
        <f>input!V6</f>
        <v>3850</v>
      </c>
      <c r="G1104" s="596">
        <f>input!U6</f>
        <v>2350</v>
      </c>
      <c r="H1104" s="596">
        <f>input!T6</f>
        <v>1175</v>
      </c>
      <c r="I1104" s="595">
        <f>input!BP6</f>
        <v>0.125</v>
      </c>
      <c r="J1104" s="596">
        <f>IF(OR(L203=1,L203="a"),M203,IF(OR(L203="b",L203="c",L203="d",L203=8),input!M6-M203,0))/COS(ATAN(input!BP6))</f>
        <v>0</v>
      </c>
      <c r="K1104" s="596">
        <f>input!N6</f>
        <v>12</v>
      </c>
      <c r="L1104" s="642" t="str">
        <f>IF(B1104="Positive",IF(C1104=0,(IF(AND(input!BI6 &lt;= 455, input!BK6 &lt; 455, E1104&lt;= IF(D1104=0,1000,150),0.8*G1104&lt;=F1104,1.2*G1104&gt;=F1104,I1104&lt;=0.25,H1104&lt;=MIN(F1104,1800),2*J1104/K1104&lt;=3.76*SQRT(Es/input!BI6)),"compact","noncompact")),"noncompact"),"-")</f>
        <v>noncompact</v>
      </c>
      <c r="M1104" s="680"/>
      <c r="P1104" s="620"/>
      <c r="Q1104" s="620"/>
      <c r="R1104" s="620"/>
      <c r="S1104" s="620"/>
      <c r="T1104" s="620"/>
      <c r="U1104" s="620"/>
      <c r="V1104" s="620"/>
      <c r="W1104" s="620"/>
      <c r="X1104" s="620"/>
      <c r="Y1104" s="620"/>
      <c r="Z1104" s="143"/>
      <c r="AA1104" s="119"/>
      <c r="AB1104" s="73"/>
      <c r="AC1104" s="73"/>
      <c r="AD1104" s="143"/>
      <c r="AE1104" s="143"/>
      <c r="AF1104" s="143"/>
      <c r="AG1104" s="143"/>
      <c r="AH1104" s="143"/>
      <c r="AI1104" s="143"/>
      <c r="AJ1104" s="143"/>
      <c r="AK1104" s="143"/>
      <c r="AL1104" s="143"/>
      <c r="AM1104" s="143"/>
      <c r="AN1104" s="143"/>
      <c r="AO1104" s="143"/>
      <c r="AP1104" s="143"/>
      <c r="AQ1104" s="143"/>
    </row>
    <row r="1105" spans="1:43" ht="15" customHeight="1">
      <c r="A1105" s="593" t="str">
        <f>+input!B7</f>
        <v>103i</v>
      </c>
      <c r="B1105" s="844" t="str">
        <f t="shared" si="54"/>
        <v>Positive</v>
      </c>
      <c r="C1105" s="844">
        <f>input!D7</f>
        <v>0</v>
      </c>
      <c r="D1105" s="596">
        <f>Cons!G908</f>
        <v>700</v>
      </c>
      <c r="E1105" s="595">
        <f>input!BQ7/input!N7</f>
        <v>235.14918432537436</v>
      </c>
      <c r="F1105" s="596">
        <f>input!V7</f>
        <v>3800</v>
      </c>
      <c r="G1105" s="596">
        <f>input!U7</f>
        <v>2400</v>
      </c>
      <c r="H1105" s="596">
        <f>input!T7</f>
        <v>1200</v>
      </c>
      <c r="I1105" s="595">
        <f>input!BP7</f>
        <v>0.125</v>
      </c>
      <c r="J1105" s="596">
        <f>IF(OR(L204=1,L204="a"),M204,IF(OR(L204="b",L204="c",L204="d",L204=8),input!M7-M204,0))/COS(ATAN(input!BP7))</f>
        <v>0</v>
      </c>
      <c r="K1105" s="596">
        <f>input!N7</f>
        <v>12</v>
      </c>
      <c r="L1105" s="642" t="str">
        <f>IF(B1105="Positive",IF(C1105=0,(IF(AND(input!BI7 &lt;= 455, input!BK7 &lt; 455, E1105&lt;= IF(D1105=0,1000,150),0.8*G1105&lt;=F1105,1.2*G1105&gt;=F1105,I1105&lt;=0.25,H1105&lt;=MIN(F1105,1800),2*J1105/K1105&lt;=3.76*SQRT(Es/input!BI7)),"compact","noncompact")),"noncompact"),"-")</f>
        <v>noncompact</v>
      </c>
      <c r="M1105" s="680"/>
      <c r="P1105" s="620"/>
      <c r="Q1105" s="620"/>
      <c r="R1105" s="620"/>
      <c r="S1105" s="620"/>
      <c r="T1105" s="620"/>
      <c r="U1105" s="620"/>
      <c r="V1105" s="620"/>
      <c r="W1105" s="620"/>
      <c r="X1105" s="620"/>
      <c r="Y1105" s="620"/>
      <c r="Z1105" s="143"/>
      <c r="AA1105" s="119"/>
      <c r="AB1105" s="73"/>
      <c r="AC1105" s="73"/>
      <c r="AD1105" s="143"/>
      <c r="AE1105" s="143"/>
      <c r="AF1105" s="143"/>
      <c r="AG1105" s="143"/>
      <c r="AH1105" s="143"/>
      <c r="AI1105" s="143"/>
      <c r="AJ1105" s="143"/>
      <c r="AK1105" s="143"/>
      <c r="AL1105" s="143"/>
      <c r="AM1105" s="143"/>
      <c r="AN1105" s="143"/>
      <c r="AO1105" s="143"/>
      <c r="AP1105" s="143"/>
      <c r="AQ1105" s="143"/>
    </row>
    <row r="1106" spans="1:43" ht="15" customHeight="1">
      <c r="A1106" s="593" t="str">
        <f>+input!B8</f>
        <v>103j</v>
      </c>
      <c r="B1106" s="844" t="str">
        <f t="shared" si="54"/>
        <v>Positive</v>
      </c>
      <c r="C1106" s="844">
        <f>input!D8</f>
        <v>0</v>
      </c>
      <c r="D1106" s="596">
        <f>Cons!G909</f>
        <v>700</v>
      </c>
      <c r="E1106" s="595">
        <f>input!BQ8/input!N8</f>
        <v>235.14918432537436</v>
      </c>
      <c r="F1106" s="596">
        <f>input!V8</f>
        <v>3800</v>
      </c>
      <c r="G1106" s="596">
        <f>input!U8</f>
        <v>2400</v>
      </c>
      <c r="H1106" s="596">
        <f>input!T8</f>
        <v>1200</v>
      </c>
      <c r="I1106" s="595">
        <f>input!BP8</f>
        <v>0.125</v>
      </c>
      <c r="J1106" s="596">
        <f>IF(OR(L205=1,L205="a"),M205,IF(OR(L205="b",L205="c",L205="d",L205=8),input!M8-M205,0))/COS(ATAN(input!BP8))</f>
        <v>0</v>
      </c>
      <c r="K1106" s="596">
        <f>input!N8</f>
        <v>12</v>
      </c>
      <c r="L1106" s="642" t="str">
        <f>IF(B1106="Positive",IF(C1106=0,(IF(AND(input!BI8 &lt;= 455, input!BK8 &lt; 455, E1106&lt;= IF(D1106=0,1000,150),0.8*G1106&lt;=F1106,1.2*G1106&gt;=F1106,I1106&lt;=0.25,H1106&lt;=MIN(F1106,1800),2*J1106/K1106&lt;=3.76*SQRT(Es/input!BI8)),"compact","noncompact")),"noncompact"),"-")</f>
        <v>noncompact</v>
      </c>
      <c r="M1106" s="680"/>
      <c r="P1106" s="620"/>
      <c r="Q1106" s="620"/>
      <c r="R1106" s="620"/>
      <c r="S1106" s="620"/>
      <c r="T1106" s="620"/>
      <c r="U1106" s="620"/>
      <c r="V1106" s="620"/>
      <c r="W1106" s="620"/>
      <c r="X1106" s="620"/>
      <c r="Y1106" s="620"/>
      <c r="Z1106" s="143"/>
      <c r="AA1106" s="119"/>
      <c r="AB1106" s="73"/>
      <c r="AC1106" s="73"/>
      <c r="AD1106" s="143"/>
      <c r="AE1106" s="143"/>
      <c r="AF1106" s="143"/>
      <c r="AG1106" s="143"/>
      <c r="AH1106" s="143"/>
      <c r="AI1106" s="143"/>
      <c r="AJ1106" s="143"/>
      <c r="AK1106" s="143"/>
      <c r="AL1106" s="143"/>
      <c r="AM1106" s="143"/>
      <c r="AN1106" s="143"/>
      <c r="AO1106" s="143"/>
      <c r="AP1106" s="143"/>
      <c r="AQ1106" s="143"/>
    </row>
    <row r="1107" spans="1:43" ht="15" customHeight="1">
      <c r="A1107" s="593" t="str">
        <f>+input!B9</f>
        <v>104i</v>
      </c>
      <c r="B1107" s="844" t="str">
        <f t="shared" si="54"/>
        <v>Positive</v>
      </c>
      <c r="C1107" s="844">
        <f>input!D9</f>
        <v>0</v>
      </c>
      <c r="D1107" s="596">
        <f>Cons!G910</f>
        <v>700</v>
      </c>
      <c r="E1107" s="595">
        <f>input!BQ9/input!N9</f>
        <v>235.14918432537436</v>
      </c>
      <c r="F1107" s="596">
        <f>input!V9</f>
        <v>3800</v>
      </c>
      <c r="G1107" s="596">
        <f>input!U9</f>
        <v>2400</v>
      </c>
      <c r="H1107" s="596">
        <f>input!T9</f>
        <v>1200</v>
      </c>
      <c r="I1107" s="595">
        <f>input!BP9</f>
        <v>0.125</v>
      </c>
      <c r="J1107" s="596">
        <f>IF(OR(L206=1,L206="a"),M206,IF(OR(L206="b",L206="c",L206="d",L206=8),input!M9-M206,0))/COS(ATAN(input!BP9))</f>
        <v>0</v>
      </c>
      <c r="K1107" s="596">
        <f>input!N9</f>
        <v>12</v>
      </c>
      <c r="L1107" s="642" t="str">
        <f>IF(B1107="Positive",IF(C1107=0,(IF(AND(input!BI9 &lt;= 455, input!BK9 &lt; 455, E1107&lt;= IF(D1107=0,1000,150),0.8*G1107&lt;=F1107,1.2*G1107&gt;=F1107,I1107&lt;=0.25,H1107&lt;=MIN(F1107,1800),2*J1107/K1107&lt;=3.76*SQRT(Es/input!BI9)),"compact","noncompact")),"noncompact"),"-")</f>
        <v>noncompact</v>
      </c>
      <c r="M1107" s="680"/>
      <c r="P1107" s="620"/>
      <c r="Q1107" s="620"/>
      <c r="R1107" s="620"/>
      <c r="S1107" s="620"/>
      <c r="T1107" s="620"/>
      <c r="U1107" s="620"/>
      <c r="V1107" s="620"/>
      <c r="W1107" s="620"/>
      <c r="X1107" s="620"/>
      <c r="Y1107" s="620"/>
      <c r="Z1107" s="143"/>
      <c r="AA1107" s="119"/>
      <c r="AB1107" s="73"/>
      <c r="AC1107" s="73"/>
      <c r="AD1107" s="143"/>
      <c r="AE1107" s="143"/>
      <c r="AF1107" s="143"/>
      <c r="AG1107" s="143"/>
      <c r="AH1107" s="143"/>
      <c r="AI1107" s="143"/>
      <c r="AJ1107" s="143"/>
      <c r="AK1107" s="143"/>
      <c r="AL1107" s="143"/>
      <c r="AM1107" s="143"/>
      <c r="AN1107" s="143"/>
      <c r="AO1107" s="143"/>
      <c r="AP1107" s="143"/>
      <c r="AQ1107" s="143"/>
    </row>
    <row r="1108" spans="1:43" ht="15" customHeight="1">
      <c r="A1108" s="593" t="str">
        <f>+input!B10</f>
        <v>104j</v>
      </c>
      <c r="B1108" s="844" t="str">
        <f t="shared" si="54"/>
        <v>Positive</v>
      </c>
      <c r="C1108" s="844">
        <f>input!D10</f>
        <v>0</v>
      </c>
      <c r="D1108" s="596">
        <f>Cons!G911</f>
        <v>700</v>
      </c>
      <c r="E1108" s="595">
        <f>input!BQ10/input!N10</f>
        <v>235.14918432537436</v>
      </c>
      <c r="F1108" s="596">
        <f>input!V10</f>
        <v>3800</v>
      </c>
      <c r="G1108" s="596">
        <f>input!U10</f>
        <v>2400</v>
      </c>
      <c r="H1108" s="596">
        <f>input!T10</f>
        <v>1200</v>
      </c>
      <c r="I1108" s="595">
        <f>input!BP10</f>
        <v>0.125</v>
      </c>
      <c r="J1108" s="596">
        <f>IF(OR(L207=1,L207="a"),M207,IF(OR(L207="b",L207="c",L207="d",L207=8),input!M10-M207,0))/COS(ATAN(input!BP10))</f>
        <v>0</v>
      </c>
      <c r="K1108" s="596">
        <f>input!N10</f>
        <v>12</v>
      </c>
      <c r="L1108" s="642" t="str">
        <f>IF(B1108="Positive",IF(C1108=0,(IF(AND(input!BI10 &lt;= 455, input!BK10 &lt; 455, E1108&lt;= IF(D1108=0,1000,150),0.8*G1108&lt;=F1108,1.2*G1108&gt;=F1108,I1108&lt;=0.25,H1108&lt;=MIN(F1108,1800),2*J1108/K1108&lt;=3.76*SQRT(Es/input!BI10)),"compact","noncompact")),"noncompact"),"-")</f>
        <v>noncompact</v>
      </c>
      <c r="M1108" s="680"/>
      <c r="P1108" s="620"/>
      <c r="Q1108" s="620"/>
      <c r="R1108" s="620"/>
      <c r="S1108" s="620"/>
      <c r="T1108" s="620"/>
      <c r="U1108" s="620"/>
      <c r="V1108" s="620"/>
      <c r="W1108" s="620"/>
      <c r="X1108" s="620"/>
      <c r="Y1108" s="620"/>
      <c r="Z1108" s="143"/>
      <c r="AA1108" s="119"/>
      <c r="AB1108" s="73"/>
      <c r="AC1108" s="73"/>
      <c r="AD1108" s="143"/>
      <c r="AE1108" s="143"/>
      <c r="AF1108" s="143"/>
      <c r="AG1108" s="143"/>
      <c r="AH1108" s="143"/>
      <c r="AI1108" s="143"/>
      <c r="AJ1108" s="143"/>
      <c r="AK1108" s="143"/>
      <c r="AL1108" s="143"/>
      <c r="AM1108" s="143"/>
      <c r="AN1108" s="143"/>
      <c r="AO1108" s="143"/>
      <c r="AP1108" s="143"/>
      <c r="AQ1108" s="143"/>
    </row>
    <row r="1109" spans="1:43" ht="15" customHeight="1">
      <c r="A1109" s="593" t="str">
        <f>+input!B11</f>
        <v>105i</v>
      </c>
      <c r="B1109" s="844" t="str">
        <f t="shared" si="54"/>
        <v>Positive</v>
      </c>
      <c r="C1109" s="844">
        <f>input!D11</f>
        <v>0</v>
      </c>
      <c r="D1109" s="596">
        <f>Cons!G912</f>
        <v>700</v>
      </c>
      <c r="E1109" s="595">
        <f>input!BQ11/input!N11</f>
        <v>235.14918432537436</v>
      </c>
      <c r="F1109" s="596">
        <f>input!V11</f>
        <v>3800</v>
      </c>
      <c r="G1109" s="596">
        <f>input!U11</f>
        <v>2400</v>
      </c>
      <c r="H1109" s="596">
        <f>input!T11</f>
        <v>1200</v>
      </c>
      <c r="I1109" s="595">
        <f>input!BP11</f>
        <v>0.125</v>
      </c>
      <c r="J1109" s="596">
        <f>IF(OR(L208=1,L208="a"),M208,IF(OR(L208="b",L208="c",L208="d",L208=8),input!M11-M208,0))/COS(ATAN(input!BP11))</f>
        <v>0</v>
      </c>
      <c r="K1109" s="596">
        <f>input!N11</f>
        <v>12</v>
      </c>
      <c r="L1109" s="642" t="str">
        <f>IF(B1109="Positive",IF(C1109=0,(IF(AND(input!BI11 &lt;= 455, input!BK11 &lt; 455, E1109&lt;= IF(D1109=0,1000,150),0.8*G1109&lt;=F1109,1.2*G1109&gt;=F1109,I1109&lt;=0.25,H1109&lt;=MIN(F1109,1800),2*J1109/K1109&lt;=3.76*SQRT(Es/input!BI11)),"compact","noncompact")),"noncompact"),"-")</f>
        <v>noncompact</v>
      </c>
      <c r="M1109" s="680"/>
      <c r="P1109" s="620"/>
      <c r="Q1109" s="620"/>
      <c r="R1109" s="620"/>
      <c r="S1109" s="620"/>
      <c r="T1109" s="620"/>
      <c r="U1109" s="620"/>
      <c r="V1109" s="620"/>
      <c r="W1109" s="620"/>
      <c r="X1109" s="620"/>
      <c r="Y1109" s="620"/>
      <c r="Z1109" s="143"/>
      <c r="AA1109" s="119"/>
      <c r="AB1109" s="73"/>
      <c r="AC1109" s="73"/>
      <c r="AD1109" s="143"/>
      <c r="AE1109" s="143"/>
      <c r="AF1109" s="143"/>
      <c r="AG1109" s="143"/>
      <c r="AH1109" s="143"/>
      <c r="AI1109" s="143"/>
      <c r="AJ1109" s="143"/>
      <c r="AK1109" s="143"/>
      <c r="AL1109" s="143"/>
      <c r="AM1109" s="143"/>
      <c r="AN1109" s="143"/>
      <c r="AO1109" s="143"/>
      <c r="AP1109" s="143"/>
      <c r="AQ1109" s="143"/>
    </row>
    <row r="1110" spans="1:43" ht="15" customHeight="1">
      <c r="A1110" s="593" t="str">
        <f>+input!B12</f>
        <v>105j</v>
      </c>
      <c r="B1110" s="844" t="str">
        <f t="shared" si="54"/>
        <v>Positive</v>
      </c>
      <c r="C1110" s="844">
        <f>input!D12</f>
        <v>0</v>
      </c>
      <c r="D1110" s="596">
        <f>Cons!G913</f>
        <v>700</v>
      </c>
      <c r="E1110" s="595">
        <f>input!BQ12/input!N12</f>
        <v>235.14918432537436</v>
      </c>
      <c r="F1110" s="596">
        <f>input!V12</f>
        <v>3800</v>
      </c>
      <c r="G1110" s="596">
        <f>input!U12</f>
        <v>2400</v>
      </c>
      <c r="H1110" s="596">
        <f>input!T12</f>
        <v>1200</v>
      </c>
      <c r="I1110" s="595">
        <f>input!BP12</f>
        <v>0.125</v>
      </c>
      <c r="J1110" s="596">
        <f>IF(OR(L209=1,L209="a"),M209,IF(OR(L209="b",L209="c",L209="d",L209=8),input!M12-M209,0))/COS(ATAN(input!BP12))</f>
        <v>0</v>
      </c>
      <c r="K1110" s="596">
        <f>input!N12</f>
        <v>12</v>
      </c>
      <c r="L1110" s="642" t="str">
        <f>IF(B1110="Positive",IF(C1110=0,(IF(AND(input!BI12 &lt;= 455, input!BK12 &lt; 455, E1110&lt;= IF(D1110=0,1000,150),0.8*G1110&lt;=F1110,1.2*G1110&gt;=F1110,I1110&lt;=0.25,H1110&lt;=MIN(F1110,1800),2*J1110/K1110&lt;=3.76*SQRT(Es/input!BI12)),"compact","noncompact")),"noncompact"),"-")</f>
        <v>noncompact</v>
      </c>
      <c r="M1110" s="680"/>
      <c r="P1110" s="620"/>
      <c r="Q1110" s="620"/>
      <c r="R1110" s="620"/>
      <c r="S1110" s="620"/>
      <c r="T1110" s="620"/>
      <c r="U1110" s="620"/>
      <c r="V1110" s="620"/>
      <c r="W1110" s="620"/>
      <c r="X1110" s="620"/>
      <c r="Y1110" s="620"/>
      <c r="Z1110" s="143"/>
      <c r="AA1110" s="119"/>
      <c r="AB1110" s="73"/>
      <c r="AC1110" s="73"/>
      <c r="AD1110" s="143"/>
      <c r="AE1110" s="143"/>
      <c r="AF1110" s="143"/>
      <c r="AG1110" s="143"/>
      <c r="AH1110" s="143"/>
      <c r="AI1110" s="143"/>
      <c r="AJ1110" s="143"/>
      <c r="AK1110" s="143"/>
      <c r="AL1110" s="143"/>
      <c r="AM1110" s="143"/>
      <c r="AN1110" s="143"/>
      <c r="AO1110" s="143"/>
      <c r="AP1110" s="143"/>
      <c r="AQ1110" s="143"/>
    </row>
    <row r="1111" spans="1:43" ht="15" customHeight="1">
      <c r="A1111" s="593" t="str">
        <f>+input!B13</f>
        <v>106i</v>
      </c>
      <c r="B1111" s="844" t="str">
        <f t="shared" si="54"/>
        <v>Positive</v>
      </c>
      <c r="C1111" s="844">
        <f>input!D13</f>
        <v>0</v>
      </c>
      <c r="D1111" s="596">
        <f>Cons!G914</f>
        <v>700</v>
      </c>
      <c r="E1111" s="595">
        <f>input!BQ13/input!N13</f>
        <v>235.14918432537436</v>
      </c>
      <c r="F1111" s="596">
        <f>input!V13</f>
        <v>3800</v>
      </c>
      <c r="G1111" s="596">
        <f>input!U13</f>
        <v>2400</v>
      </c>
      <c r="H1111" s="596">
        <f>input!T13</f>
        <v>1200</v>
      </c>
      <c r="I1111" s="595">
        <f>input!BP13</f>
        <v>0.125</v>
      </c>
      <c r="J1111" s="596">
        <f>IF(OR(L210=1,L210="a"),M210,IF(OR(L210="b",L210="c",L210="d",L210=8),input!M13-M210,0))/COS(ATAN(input!BP13))</f>
        <v>0</v>
      </c>
      <c r="K1111" s="596">
        <f>input!N13</f>
        <v>12</v>
      </c>
      <c r="L1111" s="642" t="str">
        <f>IF(B1111="Positive",IF(C1111=0,(IF(AND(input!BI13 &lt;= 455, input!BK13 &lt; 455, E1111&lt;= IF(D1111=0,1000,150),0.8*G1111&lt;=F1111,1.2*G1111&gt;=F1111,I1111&lt;=0.25,H1111&lt;=MIN(F1111,1800),2*J1111/K1111&lt;=3.76*SQRT(Es/input!BI13)),"compact","noncompact")),"noncompact"),"-")</f>
        <v>noncompact</v>
      </c>
      <c r="M1111" s="680"/>
      <c r="P1111" s="73"/>
      <c r="Q1111" s="559"/>
      <c r="R1111" s="73"/>
      <c r="S1111" s="73"/>
      <c r="T1111" s="73"/>
      <c r="U1111" s="73"/>
      <c r="V1111" s="73"/>
      <c r="W1111" s="73"/>
      <c r="X1111" s="73"/>
      <c r="Y1111" s="73"/>
      <c r="Z1111" s="73"/>
      <c r="AA1111" s="73"/>
      <c r="AB1111" s="73"/>
      <c r="AC1111" s="73"/>
      <c r="AD1111" s="143"/>
      <c r="AE1111" s="143"/>
      <c r="AF1111" s="143"/>
      <c r="AG1111" s="143"/>
      <c r="AH1111" s="143"/>
      <c r="AI1111" s="143"/>
      <c r="AJ1111" s="143"/>
      <c r="AK1111" s="143"/>
      <c r="AL1111" s="143"/>
      <c r="AM1111" s="143"/>
      <c r="AN1111" s="143"/>
      <c r="AO1111" s="143"/>
      <c r="AP1111" s="143"/>
      <c r="AQ1111" s="143"/>
    </row>
    <row r="1112" spans="1:43" ht="15" customHeight="1">
      <c r="A1112" s="593" t="str">
        <f>+input!B14</f>
        <v>106j</v>
      </c>
      <c r="B1112" s="844" t="str">
        <f t="shared" si="54"/>
        <v>Positive</v>
      </c>
      <c r="C1112" s="844">
        <f>input!D14</f>
        <v>0</v>
      </c>
      <c r="D1112" s="596">
        <f>Cons!G915</f>
        <v>700</v>
      </c>
      <c r="E1112" s="595">
        <f>input!BQ14/input!N14</f>
        <v>235.14918432537436</v>
      </c>
      <c r="F1112" s="596">
        <f>input!V14</f>
        <v>3800</v>
      </c>
      <c r="G1112" s="596">
        <f>input!U14</f>
        <v>2400</v>
      </c>
      <c r="H1112" s="596">
        <f>input!T14</f>
        <v>1200</v>
      </c>
      <c r="I1112" s="595">
        <f>input!BP14</f>
        <v>0.125</v>
      </c>
      <c r="J1112" s="596">
        <f>IF(OR(L211=1,L211="a"),M211,IF(OR(L211="b",L211="c",L211="d",L211=8),input!M14-M211,0))/COS(ATAN(input!BP14))</f>
        <v>0</v>
      </c>
      <c r="K1112" s="596">
        <f>input!N14</f>
        <v>12</v>
      </c>
      <c r="L1112" s="642" t="str">
        <f>IF(B1112="Positive",IF(C1112=0,(IF(AND(input!BI14 &lt;= 455, input!BK14 &lt; 455, E1112&lt;= IF(D1112=0,1000,150),0.8*G1112&lt;=F1112,1.2*G1112&gt;=F1112,I1112&lt;=0.25,H1112&lt;=MIN(F1112,1800),2*J1112/K1112&lt;=3.76*SQRT(Es/input!BI14)),"compact","noncompact")),"noncompact"),"-")</f>
        <v>noncompact</v>
      </c>
      <c r="M1112" s="680"/>
      <c r="P1112" s="73"/>
      <c r="Q1112" s="559"/>
      <c r="R1112" s="73"/>
      <c r="S1112" s="73"/>
      <c r="T1112" s="73"/>
      <c r="U1112" s="73"/>
      <c r="V1112" s="73"/>
      <c r="W1112" s="73"/>
      <c r="X1112" s="73"/>
      <c r="Y1112" s="73"/>
      <c r="Z1112" s="73"/>
      <c r="AA1112" s="73"/>
      <c r="AB1112" s="73"/>
      <c r="AC1112" s="73"/>
      <c r="AD1112" s="143"/>
      <c r="AE1112" s="143"/>
      <c r="AF1112" s="143"/>
      <c r="AG1112" s="143"/>
      <c r="AH1112" s="143"/>
      <c r="AI1112" s="143"/>
      <c r="AJ1112" s="143"/>
      <c r="AK1112" s="143"/>
      <c r="AL1112" s="143"/>
      <c r="AM1112" s="143"/>
      <c r="AN1112" s="143"/>
      <c r="AO1112" s="143"/>
      <c r="AP1112" s="143"/>
      <c r="AQ1112" s="143"/>
    </row>
    <row r="1113" spans="1:43" ht="15" customHeight="1">
      <c r="A1113" s="593" t="str">
        <f>+input!B15</f>
        <v>107i</v>
      </c>
      <c r="B1113" s="844" t="str">
        <f t="shared" si="54"/>
        <v>Positive</v>
      </c>
      <c r="C1113" s="844">
        <f>input!D15</f>
        <v>0</v>
      </c>
      <c r="D1113" s="596">
        <f>Cons!G916</f>
        <v>700</v>
      </c>
      <c r="E1113" s="595">
        <f>input!BQ15/input!N15</f>
        <v>235.14918432537436</v>
      </c>
      <c r="F1113" s="596">
        <f>input!V15</f>
        <v>3800</v>
      </c>
      <c r="G1113" s="596">
        <f>input!U15</f>
        <v>2400</v>
      </c>
      <c r="H1113" s="596">
        <f>input!T15</f>
        <v>1200</v>
      </c>
      <c r="I1113" s="595">
        <f>input!BP15</f>
        <v>0.125</v>
      </c>
      <c r="J1113" s="596">
        <f>IF(OR(L212=1,L212="a"),M212,IF(OR(L212="b",L212="c",L212="d",L212=8),input!M15-M212,0))/COS(ATAN(input!BP15))</f>
        <v>0</v>
      </c>
      <c r="K1113" s="596">
        <f>input!N15</f>
        <v>12</v>
      </c>
      <c r="L1113" s="642" t="str">
        <f>IF(B1113="Positive",IF(C1113=0,(IF(AND(input!BI15 &lt;= 455, input!BK15 &lt; 455, E1113&lt;= IF(D1113=0,1000,150),0.8*G1113&lt;=F1113,1.2*G1113&gt;=F1113,I1113&lt;=0.25,H1113&lt;=MIN(F1113,1800),2*J1113/K1113&lt;=3.76*SQRT(Es/input!BI15)),"compact","noncompact")),"noncompact"),"-")</f>
        <v>noncompact</v>
      </c>
      <c r="M1113" s="680"/>
      <c r="P1113" s="73"/>
      <c r="Q1113" s="559"/>
      <c r="R1113" s="73"/>
      <c r="S1113" s="73"/>
      <c r="T1113" s="73"/>
      <c r="U1113" s="73"/>
      <c r="V1113" s="73"/>
      <c r="W1113" s="73"/>
      <c r="X1113" s="73"/>
      <c r="Y1113" s="73"/>
      <c r="Z1113" s="73"/>
      <c r="AA1113" s="73"/>
      <c r="AB1113" s="73"/>
      <c r="AC1113" s="73"/>
      <c r="AD1113" s="143"/>
      <c r="AE1113" s="143"/>
      <c r="AF1113" s="143"/>
      <c r="AG1113" s="143"/>
      <c r="AH1113" s="143"/>
      <c r="AI1113" s="143"/>
      <c r="AJ1113" s="143"/>
      <c r="AK1113" s="143"/>
      <c r="AL1113" s="143"/>
      <c r="AM1113" s="143"/>
      <c r="AN1113" s="143"/>
      <c r="AO1113" s="143"/>
      <c r="AP1113" s="143"/>
      <c r="AQ1113" s="143"/>
    </row>
    <row r="1114" spans="1:43" ht="15" customHeight="1">
      <c r="A1114" s="593" t="str">
        <f>+input!B16</f>
        <v>107j</v>
      </c>
      <c r="B1114" s="844" t="str">
        <f t="shared" si="54"/>
        <v>Positive</v>
      </c>
      <c r="C1114" s="844">
        <f>input!D16</f>
        <v>0</v>
      </c>
      <c r="D1114" s="596">
        <f>Cons!G917</f>
        <v>700</v>
      </c>
      <c r="E1114" s="595">
        <f>input!BQ16/input!N16</f>
        <v>235.14918432537436</v>
      </c>
      <c r="F1114" s="596">
        <f>input!V16</f>
        <v>3800</v>
      </c>
      <c r="G1114" s="596">
        <f>input!U16</f>
        <v>2400</v>
      </c>
      <c r="H1114" s="596">
        <f>input!T16</f>
        <v>1200</v>
      </c>
      <c r="I1114" s="595">
        <f>input!BP16</f>
        <v>0.125</v>
      </c>
      <c r="J1114" s="596">
        <f>IF(OR(L213=1,L213="a"),M213,IF(OR(L213="b",L213="c",L213="d",L213=8),input!M16-M213,0))/COS(ATAN(input!BP16))</f>
        <v>0</v>
      </c>
      <c r="K1114" s="596">
        <f>input!N16</f>
        <v>12</v>
      </c>
      <c r="L1114" s="642" t="str">
        <f>IF(B1114="Positive",IF(C1114=0,(IF(AND(input!BI16 &lt;= 455, input!BK16 &lt; 455, E1114&lt;= IF(D1114=0,1000,150),0.8*G1114&lt;=F1114,1.2*G1114&gt;=F1114,I1114&lt;=0.25,H1114&lt;=MIN(F1114,1800),2*J1114/K1114&lt;=3.76*SQRT(Es/input!BI16)),"compact","noncompact")),"noncompact"),"-")</f>
        <v>noncompact</v>
      </c>
      <c r="M1114" s="680"/>
      <c r="P1114" s="73"/>
      <c r="Q1114" s="559"/>
      <c r="R1114" s="73"/>
      <c r="S1114" s="73"/>
      <c r="T1114" s="73"/>
      <c r="U1114" s="73"/>
      <c r="V1114" s="73"/>
      <c r="W1114" s="73"/>
      <c r="X1114" s="73"/>
      <c r="Y1114" s="73"/>
      <c r="Z1114" s="73"/>
      <c r="AA1114" s="73"/>
      <c r="AB1114" s="73"/>
      <c r="AC1114" s="73"/>
      <c r="AD1114" s="143"/>
      <c r="AE1114" s="143"/>
      <c r="AF1114" s="143"/>
      <c r="AG1114" s="143"/>
      <c r="AH1114" s="143"/>
      <c r="AI1114" s="143"/>
      <c r="AJ1114" s="143"/>
      <c r="AK1114" s="143"/>
      <c r="AL1114" s="143"/>
      <c r="AM1114" s="143"/>
      <c r="AN1114" s="143"/>
      <c r="AO1114" s="143"/>
      <c r="AP1114" s="143"/>
      <c r="AQ1114" s="143"/>
    </row>
    <row r="1115" spans="1:43" ht="15" customHeight="1">
      <c r="A1115" s="593" t="str">
        <f>+input!B17</f>
        <v>108i</v>
      </c>
      <c r="B1115" s="844" t="str">
        <f t="shared" si="54"/>
        <v>Positive</v>
      </c>
      <c r="C1115" s="844">
        <f>input!D17</f>
        <v>0</v>
      </c>
      <c r="D1115" s="596">
        <f>Cons!G918</f>
        <v>700</v>
      </c>
      <c r="E1115" s="595">
        <f>input!BQ17/input!N17</f>
        <v>235.14918432537436</v>
      </c>
      <c r="F1115" s="596">
        <f>input!V17</f>
        <v>3800</v>
      </c>
      <c r="G1115" s="596">
        <f>input!U17</f>
        <v>2400</v>
      </c>
      <c r="H1115" s="596">
        <f>input!T17</f>
        <v>1200</v>
      </c>
      <c r="I1115" s="595">
        <f>input!BP17</f>
        <v>0.125</v>
      </c>
      <c r="J1115" s="596">
        <f>IF(OR(L214=1,L214="a"),M214,IF(OR(L214="b",L214="c",L214="d",L214=8),input!M17-M214,0))/COS(ATAN(input!BP17))</f>
        <v>0</v>
      </c>
      <c r="K1115" s="596">
        <f>input!N17</f>
        <v>12</v>
      </c>
      <c r="L1115" s="642" t="str">
        <f>IF(B1115="Positive",IF(C1115=0,(IF(AND(input!BI17 &lt;= 455, input!BK17 &lt; 455, E1115&lt;= IF(D1115=0,1000,150),0.8*G1115&lt;=F1115,1.2*G1115&gt;=F1115,I1115&lt;=0.25,H1115&lt;=MIN(F1115,1800),2*J1115/K1115&lt;=3.76*SQRT(Es/input!BI17)),"compact","noncompact")),"noncompact"),"-")</f>
        <v>noncompact</v>
      </c>
      <c r="M1115" s="680"/>
      <c r="P1115" s="73"/>
      <c r="Q1115" s="559"/>
      <c r="R1115" s="73"/>
      <c r="S1115" s="73"/>
      <c r="T1115" s="73"/>
      <c r="U1115" s="73"/>
      <c r="V1115" s="73"/>
      <c r="W1115" s="73"/>
      <c r="X1115" s="73"/>
      <c r="Y1115" s="73"/>
      <c r="Z1115" s="73"/>
      <c r="AA1115" s="73"/>
      <c r="AB1115" s="73"/>
      <c r="AC1115" s="73"/>
      <c r="AD1115" s="143"/>
      <c r="AE1115" s="143"/>
      <c r="AF1115" s="143"/>
      <c r="AG1115" s="143"/>
      <c r="AH1115" s="143"/>
      <c r="AI1115" s="143"/>
      <c r="AJ1115" s="143"/>
      <c r="AK1115" s="143"/>
      <c r="AL1115" s="143"/>
      <c r="AM1115" s="143"/>
      <c r="AN1115" s="143"/>
      <c r="AO1115" s="143"/>
      <c r="AP1115" s="143"/>
      <c r="AQ1115" s="143"/>
    </row>
    <row r="1116" spans="1:43" ht="15" customHeight="1">
      <c r="A1116" s="593" t="str">
        <f>+input!B18</f>
        <v>108j</v>
      </c>
      <c r="B1116" s="844" t="str">
        <f t="shared" si="54"/>
        <v>Positive</v>
      </c>
      <c r="C1116" s="844">
        <f>input!D18</f>
        <v>0</v>
      </c>
      <c r="D1116" s="596">
        <f>Cons!G919</f>
        <v>700</v>
      </c>
      <c r="E1116" s="595">
        <f>input!BQ18/input!N18</f>
        <v>235.14918432537436</v>
      </c>
      <c r="F1116" s="596">
        <f>input!V18</f>
        <v>3800</v>
      </c>
      <c r="G1116" s="596">
        <f>input!U18</f>
        <v>2400</v>
      </c>
      <c r="H1116" s="596">
        <f>input!T18</f>
        <v>1200</v>
      </c>
      <c r="I1116" s="595">
        <f>input!BP18</f>
        <v>0.125</v>
      </c>
      <c r="J1116" s="596">
        <f>IF(OR(L215=1,L215="a"),M215,IF(OR(L215="b",L215="c",L215="d",L215=8),input!M18-M215,0))/COS(ATAN(input!BP18))</f>
        <v>0</v>
      </c>
      <c r="K1116" s="596">
        <f>input!N18</f>
        <v>12</v>
      </c>
      <c r="L1116" s="642" t="str">
        <f>IF(B1116="Positive",IF(C1116=0,(IF(AND(input!BI18 &lt;= 455, input!BK18 &lt; 455, E1116&lt;= IF(D1116=0,1000,150),0.8*G1116&lt;=F1116,1.2*G1116&gt;=F1116,I1116&lt;=0.25,H1116&lt;=MIN(F1116,1800),2*J1116/K1116&lt;=3.76*SQRT(Es/input!BI18)),"compact","noncompact")),"noncompact"),"-")</f>
        <v>noncompact</v>
      </c>
      <c r="M1116" s="680"/>
      <c r="P1116" s="73"/>
      <c r="Q1116" s="559"/>
      <c r="R1116" s="73"/>
      <c r="S1116" s="73"/>
      <c r="T1116" s="73"/>
      <c r="U1116" s="73"/>
      <c r="V1116" s="73"/>
      <c r="W1116" s="73"/>
      <c r="X1116" s="73"/>
      <c r="Y1116" s="73"/>
      <c r="Z1116" s="73"/>
      <c r="AA1116" s="73"/>
      <c r="AB1116" s="73"/>
      <c r="AC1116" s="73"/>
      <c r="AD1116" s="143"/>
      <c r="AE1116" s="143"/>
      <c r="AF1116" s="143"/>
      <c r="AG1116" s="143"/>
      <c r="AH1116" s="143"/>
      <c r="AI1116" s="143"/>
      <c r="AJ1116" s="143"/>
      <c r="AK1116" s="143"/>
      <c r="AL1116" s="143"/>
      <c r="AM1116" s="143"/>
      <c r="AN1116" s="143"/>
      <c r="AO1116" s="143"/>
      <c r="AP1116" s="143"/>
      <c r="AQ1116" s="143"/>
    </row>
    <row r="1117" spans="1:43" ht="15" customHeight="1">
      <c r="A1117" s="593" t="str">
        <f>+input!B19</f>
        <v>109i</v>
      </c>
      <c r="B1117" s="844" t="str">
        <f t="shared" si="54"/>
        <v>Positive</v>
      </c>
      <c r="C1117" s="844">
        <f>input!D19</f>
        <v>0</v>
      </c>
      <c r="D1117" s="596">
        <f>Cons!G920</f>
        <v>700</v>
      </c>
      <c r="E1117" s="595">
        <f>input!BQ19/input!N19</f>
        <v>235.14918432537436</v>
      </c>
      <c r="F1117" s="596">
        <f>input!V19</f>
        <v>3800</v>
      </c>
      <c r="G1117" s="596">
        <f>input!U19</f>
        <v>2400</v>
      </c>
      <c r="H1117" s="596">
        <f>input!T19</f>
        <v>1200</v>
      </c>
      <c r="I1117" s="595">
        <f>input!BP19</f>
        <v>0.125</v>
      </c>
      <c r="J1117" s="596">
        <f>IF(OR(L216=1,L216="a"),M216,IF(OR(L216="b",L216="c",L216="d",L216=8),input!M19-M216,0))/COS(ATAN(input!BP19))</f>
        <v>0</v>
      </c>
      <c r="K1117" s="596">
        <f>input!N19</f>
        <v>12</v>
      </c>
      <c r="L1117" s="642" t="str">
        <f>IF(B1117="Positive",IF(C1117=0,(IF(AND(input!BI19 &lt;= 455, input!BK19 &lt; 455, E1117&lt;= IF(D1117=0,1000,150),0.8*G1117&lt;=F1117,1.2*G1117&gt;=F1117,I1117&lt;=0.25,H1117&lt;=MIN(F1117,1800),2*J1117/K1117&lt;=3.76*SQRT(Es/input!BI19)),"compact","noncompact")),"noncompact"),"-")</f>
        <v>noncompact</v>
      </c>
      <c r="M1117" s="680"/>
      <c r="P1117" s="73"/>
      <c r="Q1117" s="559"/>
      <c r="R1117" s="73"/>
      <c r="S1117" s="73"/>
      <c r="T1117" s="73"/>
      <c r="U1117" s="73"/>
      <c r="V1117" s="73"/>
      <c r="W1117" s="73"/>
      <c r="X1117" s="73"/>
      <c r="Y1117" s="73"/>
      <c r="Z1117" s="73"/>
      <c r="AA1117" s="73"/>
      <c r="AB1117" s="73"/>
      <c r="AC1117" s="73"/>
      <c r="AD1117" s="143"/>
      <c r="AE1117" s="143"/>
      <c r="AF1117" s="143"/>
      <c r="AG1117" s="143"/>
      <c r="AH1117" s="143"/>
      <c r="AI1117" s="143"/>
      <c r="AJ1117" s="143"/>
      <c r="AK1117" s="143"/>
      <c r="AL1117" s="143"/>
      <c r="AM1117" s="143"/>
      <c r="AN1117" s="143"/>
      <c r="AO1117" s="143"/>
      <c r="AP1117" s="143"/>
      <c r="AQ1117" s="143"/>
    </row>
    <row r="1118" spans="1:43" ht="15" customHeight="1">
      <c r="A1118" s="593" t="str">
        <f>+input!B20</f>
        <v>109j</v>
      </c>
      <c r="B1118" s="844" t="str">
        <f t="shared" si="54"/>
        <v>Positive</v>
      </c>
      <c r="C1118" s="844">
        <f>input!D20</f>
        <v>0</v>
      </c>
      <c r="D1118" s="596">
        <f>Cons!G921</f>
        <v>700</v>
      </c>
      <c r="E1118" s="595">
        <f>input!BQ20/input!N20</f>
        <v>235.14918432537436</v>
      </c>
      <c r="F1118" s="596">
        <f>input!V20</f>
        <v>3800</v>
      </c>
      <c r="G1118" s="596">
        <f>input!U20</f>
        <v>2400</v>
      </c>
      <c r="H1118" s="596">
        <f>input!T20</f>
        <v>1200</v>
      </c>
      <c r="I1118" s="595">
        <f>input!BP20</f>
        <v>0.125</v>
      </c>
      <c r="J1118" s="596">
        <f>IF(OR(L217=1,L217="a"),M217,IF(OR(L217="b",L217="c",L217="d",L217=8),input!M20-M217,0))/COS(ATAN(input!BP20))</f>
        <v>0</v>
      </c>
      <c r="K1118" s="596">
        <f>input!N20</f>
        <v>12</v>
      </c>
      <c r="L1118" s="642" t="str">
        <f>IF(B1118="Positive",IF(C1118=0,(IF(AND(input!BI20 &lt;= 455, input!BK20 &lt; 455, E1118&lt;= IF(D1118=0,1000,150),0.8*G1118&lt;=F1118,1.2*G1118&gt;=F1118,I1118&lt;=0.25,H1118&lt;=MIN(F1118,1800),2*J1118/K1118&lt;=3.76*SQRT(Es/input!BI20)),"compact","noncompact")),"noncompact"),"-")</f>
        <v>noncompact</v>
      </c>
      <c r="M1118" s="680"/>
      <c r="P1118" s="73"/>
      <c r="Q1118" s="559"/>
      <c r="R1118" s="73"/>
      <c r="S1118" s="73"/>
      <c r="T1118" s="73"/>
      <c r="U1118" s="73"/>
      <c r="V1118" s="73"/>
      <c r="W1118" s="73"/>
      <c r="X1118" s="73"/>
      <c r="Y1118" s="73"/>
      <c r="Z1118" s="73"/>
      <c r="AA1118" s="73"/>
      <c r="AB1118" s="73"/>
      <c r="AC1118" s="73"/>
      <c r="AD1118" s="143"/>
      <c r="AE1118" s="143"/>
      <c r="AF1118" s="143"/>
      <c r="AG1118" s="143"/>
      <c r="AH1118" s="143"/>
      <c r="AI1118" s="143"/>
      <c r="AJ1118" s="143"/>
      <c r="AK1118" s="143"/>
      <c r="AL1118" s="143"/>
      <c r="AM1118" s="143"/>
      <c r="AN1118" s="143"/>
      <c r="AO1118" s="143"/>
      <c r="AP1118" s="143"/>
      <c r="AQ1118" s="143"/>
    </row>
    <row r="1119" spans="1:43" ht="15" customHeight="1">
      <c r="A1119" s="593" t="str">
        <f>+input!B21</f>
        <v>110i</v>
      </c>
      <c r="B1119" s="844" t="str">
        <f t="shared" si="54"/>
        <v>Positive</v>
      </c>
      <c r="C1119" s="844">
        <f>input!D21</f>
        <v>0</v>
      </c>
      <c r="D1119" s="596">
        <f>Cons!G922</f>
        <v>700</v>
      </c>
      <c r="E1119" s="595">
        <f>input!BQ21/input!N21</f>
        <v>235.14918432537436</v>
      </c>
      <c r="F1119" s="596">
        <f>input!V21</f>
        <v>3800</v>
      </c>
      <c r="G1119" s="596">
        <f>input!U21</f>
        <v>2400</v>
      </c>
      <c r="H1119" s="596">
        <f>input!T21</f>
        <v>1200</v>
      </c>
      <c r="I1119" s="595">
        <f>input!BP21</f>
        <v>0.125</v>
      </c>
      <c r="J1119" s="596">
        <f>IF(OR(L218=1,L218="a"),M218,IF(OR(L218="b",L218="c",L218="d",L218=8),input!M21-M218,0))/COS(ATAN(input!BP21))</f>
        <v>0</v>
      </c>
      <c r="K1119" s="596">
        <f>input!N21</f>
        <v>12</v>
      </c>
      <c r="L1119" s="642" t="str">
        <f>IF(B1119="Positive",IF(C1119=0,(IF(AND(input!BI21 &lt;= 455, input!BK21 &lt; 455, E1119&lt;= IF(D1119=0,1000,150),0.8*G1119&lt;=F1119,1.2*G1119&gt;=F1119,I1119&lt;=0.25,H1119&lt;=MIN(F1119,1800),2*J1119/K1119&lt;=3.76*SQRT(Es/input!BI21)),"compact","noncompact")),"noncompact"),"-")</f>
        <v>noncompact</v>
      </c>
      <c r="M1119" s="680"/>
      <c r="P1119" s="73"/>
      <c r="Q1119" s="559"/>
      <c r="R1119" s="73"/>
      <c r="S1119" s="73"/>
      <c r="T1119" s="73"/>
      <c r="U1119" s="73"/>
      <c r="V1119" s="73"/>
      <c r="W1119" s="73"/>
      <c r="X1119" s="73"/>
      <c r="Y1119" s="73"/>
      <c r="Z1119" s="73"/>
      <c r="AA1119" s="73"/>
      <c r="AB1119" s="73"/>
      <c r="AC1119" s="73"/>
      <c r="AD1119" s="143"/>
      <c r="AE1119" s="143"/>
      <c r="AF1119" s="143"/>
      <c r="AG1119" s="143"/>
      <c r="AH1119" s="143"/>
      <c r="AI1119" s="143"/>
      <c r="AJ1119" s="143"/>
      <c r="AK1119" s="143"/>
      <c r="AL1119" s="143"/>
      <c r="AM1119" s="143"/>
      <c r="AN1119" s="143"/>
      <c r="AO1119" s="143"/>
      <c r="AP1119" s="143"/>
      <c r="AQ1119" s="143"/>
    </row>
    <row r="1120" spans="1:43" ht="15" customHeight="1">
      <c r="A1120" s="593" t="str">
        <f>+input!B22</f>
        <v>110j</v>
      </c>
      <c r="B1120" s="844" t="str">
        <f t="shared" si="54"/>
        <v>Positive</v>
      </c>
      <c r="C1120" s="844">
        <f>input!D22</f>
        <v>0</v>
      </c>
      <c r="D1120" s="596">
        <f>Cons!G923</f>
        <v>700</v>
      </c>
      <c r="E1120" s="595">
        <f>input!BQ22/input!N22</f>
        <v>235.14918432537436</v>
      </c>
      <c r="F1120" s="596">
        <f>input!V22</f>
        <v>3800</v>
      </c>
      <c r="G1120" s="596">
        <f>input!U22</f>
        <v>2400</v>
      </c>
      <c r="H1120" s="596">
        <f>input!T22</f>
        <v>1200</v>
      </c>
      <c r="I1120" s="595">
        <f>input!BP22</f>
        <v>0.125</v>
      </c>
      <c r="J1120" s="596">
        <f>IF(OR(L219=1,L219="a"),M219,IF(OR(L219="b",L219="c",L219="d",L219=8),input!M22-M219,0))/COS(ATAN(input!BP22))</f>
        <v>0</v>
      </c>
      <c r="K1120" s="596">
        <f>input!N22</f>
        <v>12</v>
      </c>
      <c r="L1120" s="642" t="str">
        <f>IF(B1120="Positive",IF(C1120=0,(IF(AND(input!BI22 &lt;= 455, input!BK22 &lt; 455, E1120&lt;= IF(D1120=0,1000,150),0.8*G1120&lt;=F1120,1.2*G1120&gt;=F1120,I1120&lt;=0.25,H1120&lt;=MIN(F1120,1800),2*J1120/K1120&lt;=3.76*SQRT(Es/input!BI22)),"compact","noncompact")),"noncompact"),"-")</f>
        <v>noncompact</v>
      </c>
      <c r="M1120" s="680"/>
      <c r="P1120" s="73"/>
      <c r="Q1120" s="559"/>
      <c r="R1120" s="73"/>
      <c r="S1120" s="73"/>
      <c r="T1120" s="73"/>
      <c r="U1120" s="73"/>
      <c r="V1120" s="73"/>
      <c r="W1120" s="73"/>
      <c r="X1120" s="73"/>
      <c r="Y1120" s="73"/>
      <c r="Z1120" s="73"/>
      <c r="AA1120" s="73"/>
      <c r="AB1120" s="73"/>
      <c r="AC1120" s="73"/>
      <c r="AD1120" s="143"/>
      <c r="AE1120" s="143"/>
      <c r="AF1120" s="143"/>
      <c r="AG1120" s="143"/>
      <c r="AH1120" s="143"/>
      <c r="AI1120" s="143"/>
      <c r="AJ1120" s="143"/>
      <c r="AK1120" s="143"/>
      <c r="AL1120" s="143"/>
      <c r="AM1120" s="143"/>
      <c r="AN1120" s="143"/>
      <c r="AO1120" s="143"/>
      <c r="AP1120" s="143"/>
      <c r="AQ1120" s="143"/>
    </row>
    <row r="1121" spans="1:43" ht="15" customHeight="1">
      <c r="A1121" s="593" t="str">
        <f>+input!B23</f>
        <v>111i</v>
      </c>
      <c r="B1121" s="844" t="str">
        <f t="shared" si="54"/>
        <v>Positive</v>
      </c>
      <c r="C1121" s="844">
        <f>input!D23</f>
        <v>0</v>
      </c>
      <c r="D1121" s="596">
        <f>Cons!G924</f>
        <v>700</v>
      </c>
      <c r="E1121" s="595">
        <f>input!BQ23/input!N23</f>
        <v>235.14918432537436</v>
      </c>
      <c r="F1121" s="596">
        <f>input!V23</f>
        <v>3800</v>
      </c>
      <c r="G1121" s="596">
        <f>input!U23</f>
        <v>2400</v>
      </c>
      <c r="H1121" s="596">
        <f>input!T23</f>
        <v>1200</v>
      </c>
      <c r="I1121" s="595">
        <f>input!BP23</f>
        <v>0.125</v>
      </c>
      <c r="J1121" s="596">
        <f>IF(OR(L220=1,L220="a"),M220,IF(OR(L220="b",L220="c",L220="d",L220=8),input!M23-M220,0))/COS(ATAN(input!BP23))</f>
        <v>0</v>
      </c>
      <c r="K1121" s="596">
        <f>input!N23</f>
        <v>12</v>
      </c>
      <c r="L1121" s="642" t="str">
        <f>IF(B1121="Positive",IF(C1121=0,(IF(AND(input!BI23 &lt;= 455, input!BK23 &lt; 455, E1121&lt;= IF(D1121=0,1000,150),0.8*G1121&lt;=F1121,1.2*G1121&gt;=F1121,I1121&lt;=0.25,H1121&lt;=MIN(F1121,1800),2*J1121/K1121&lt;=3.76*SQRT(Es/input!BI23)),"compact","noncompact")),"noncompact"),"-")</f>
        <v>noncompact</v>
      </c>
      <c r="M1121" s="680"/>
      <c r="P1121" s="73"/>
      <c r="Q1121" s="559"/>
      <c r="R1121" s="73"/>
      <c r="S1121" s="73"/>
      <c r="T1121" s="73"/>
      <c r="U1121" s="73"/>
      <c r="V1121" s="73"/>
      <c r="W1121" s="73"/>
      <c r="X1121" s="73"/>
      <c r="Y1121" s="73"/>
      <c r="Z1121" s="73"/>
      <c r="AA1121" s="73"/>
      <c r="AB1121" s="73"/>
      <c r="AC1121" s="73"/>
      <c r="AD1121" s="143"/>
      <c r="AE1121" s="143"/>
      <c r="AF1121" s="143"/>
      <c r="AG1121" s="143"/>
      <c r="AH1121" s="143"/>
      <c r="AI1121" s="143"/>
      <c r="AJ1121" s="143"/>
      <c r="AK1121" s="143"/>
      <c r="AL1121" s="143"/>
      <c r="AM1121" s="143"/>
      <c r="AN1121" s="143"/>
      <c r="AO1121" s="143"/>
      <c r="AP1121" s="143"/>
      <c r="AQ1121" s="143"/>
    </row>
    <row r="1122" spans="1:43" ht="15" customHeight="1">
      <c r="A1122" s="593" t="str">
        <f>+input!B24</f>
        <v>111j</v>
      </c>
      <c r="B1122" s="844" t="str">
        <f t="shared" si="54"/>
        <v>Positive</v>
      </c>
      <c r="C1122" s="844">
        <f>input!D24</f>
        <v>0</v>
      </c>
      <c r="D1122" s="596">
        <f>Cons!G925</f>
        <v>700</v>
      </c>
      <c r="E1122" s="595">
        <f>input!BQ24/input!N24</f>
        <v>235.14918432537436</v>
      </c>
      <c r="F1122" s="596">
        <f>input!V24</f>
        <v>3800</v>
      </c>
      <c r="G1122" s="596">
        <f>input!U24</f>
        <v>2400</v>
      </c>
      <c r="H1122" s="596">
        <f>input!T24</f>
        <v>1200</v>
      </c>
      <c r="I1122" s="595">
        <f>input!BP24</f>
        <v>0.125</v>
      </c>
      <c r="J1122" s="596">
        <f>IF(OR(L221=1,L221="a"),M221,IF(OR(L221="b",L221="c",L221="d",L221=8),input!M24-M221,0))/COS(ATAN(input!BP24))</f>
        <v>0</v>
      </c>
      <c r="K1122" s="596">
        <f>input!N24</f>
        <v>12</v>
      </c>
      <c r="L1122" s="642" t="str">
        <f>IF(B1122="Positive",IF(C1122=0,(IF(AND(input!BI24 &lt;= 455, input!BK24 &lt; 455, E1122&lt;= IF(D1122=0,1000,150),0.8*G1122&lt;=F1122,1.2*G1122&gt;=F1122,I1122&lt;=0.25,H1122&lt;=MIN(F1122,1800),2*J1122/K1122&lt;=3.76*SQRT(Es/input!BI24)),"compact","noncompact")),"noncompact"),"-")</f>
        <v>noncompact</v>
      </c>
      <c r="M1122" s="680"/>
      <c r="P1122" s="73"/>
      <c r="Q1122" s="559"/>
      <c r="R1122" s="73"/>
      <c r="S1122" s="73"/>
      <c r="T1122" s="73"/>
      <c r="U1122" s="73"/>
      <c r="V1122" s="73"/>
      <c r="W1122" s="73"/>
      <c r="X1122" s="73"/>
      <c r="Y1122" s="73"/>
      <c r="Z1122" s="73"/>
      <c r="AA1122" s="73"/>
      <c r="AB1122" s="73"/>
      <c r="AC1122" s="73"/>
      <c r="AD1122" s="143"/>
      <c r="AE1122" s="143"/>
      <c r="AF1122" s="143"/>
      <c r="AG1122" s="143"/>
      <c r="AH1122" s="143"/>
      <c r="AI1122" s="143"/>
      <c r="AJ1122" s="143"/>
      <c r="AK1122" s="143"/>
      <c r="AL1122" s="143"/>
      <c r="AM1122" s="143"/>
      <c r="AN1122" s="143"/>
      <c r="AO1122" s="143"/>
      <c r="AP1122" s="143"/>
      <c r="AQ1122" s="143"/>
    </row>
    <row r="1123" spans="1:43" ht="15" customHeight="1">
      <c r="A1123" s="593" t="str">
        <f>+input!B25</f>
        <v>112i</v>
      </c>
      <c r="B1123" s="844" t="str">
        <f t="shared" si="54"/>
        <v>Positive</v>
      </c>
      <c r="C1123" s="844">
        <f>input!D25</f>
        <v>0</v>
      </c>
      <c r="D1123" s="596">
        <f>Cons!G926</f>
        <v>700</v>
      </c>
      <c r="E1123" s="595">
        <f>input!BQ25/input!N25</f>
        <v>235.14918432537436</v>
      </c>
      <c r="F1123" s="596">
        <f>input!V25</f>
        <v>3800</v>
      </c>
      <c r="G1123" s="596">
        <f>input!U25</f>
        <v>2400</v>
      </c>
      <c r="H1123" s="596">
        <f>input!T25</f>
        <v>1200</v>
      </c>
      <c r="I1123" s="595">
        <f>input!BP25</f>
        <v>0.125</v>
      </c>
      <c r="J1123" s="596">
        <f>IF(OR(L222=1,L222="a"),M222,IF(OR(L222="b",L222="c",L222="d",L222=8),input!M25-M222,0))/COS(ATAN(input!BP25))</f>
        <v>0</v>
      </c>
      <c r="K1123" s="596">
        <f>input!N25</f>
        <v>12</v>
      </c>
      <c r="L1123" s="642" t="str">
        <f>IF(B1123="Positive",IF(C1123=0,(IF(AND(input!BI25 &lt;= 455, input!BK25 &lt; 455, E1123&lt;= IF(D1123=0,1000,150),0.8*G1123&lt;=F1123,1.2*G1123&gt;=F1123,I1123&lt;=0.25,H1123&lt;=MIN(F1123,1800),2*J1123/K1123&lt;=3.76*SQRT(Es/input!BI25)),"compact","noncompact")),"noncompact"),"-")</f>
        <v>noncompact</v>
      </c>
      <c r="M1123" s="680"/>
      <c r="P1123" s="73"/>
      <c r="Q1123" s="559"/>
      <c r="R1123" s="73"/>
      <c r="S1123" s="73"/>
      <c r="T1123" s="73"/>
      <c r="U1123" s="73"/>
      <c r="V1123" s="73"/>
      <c r="W1123" s="73"/>
      <c r="X1123" s="73"/>
      <c r="Y1123" s="73"/>
      <c r="Z1123" s="73"/>
      <c r="AA1123" s="73"/>
      <c r="AB1123" s="73"/>
      <c r="AC1123" s="73"/>
      <c r="AD1123" s="143"/>
      <c r="AE1123" s="143"/>
      <c r="AF1123" s="143"/>
      <c r="AG1123" s="143"/>
      <c r="AH1123" s="143"/>
      <c r="AI1123" s="143"/>
      <c r="AJ1123" s="143"/>
      <c r="AK1123" s="143"/>
      <c r="AL1123" s="143"/>
      <c r="AM1123" s="143"/>
      <c r="AN1123" s="143"/>
      <c r="AO1123" s="143"/>
      <c r="AP1123" s="143"/>
      <c r="AQ1123" s="143"/>
    </row>
    <row r="1124" spans="1:43" ht="15" customHeight="1">
      <c r="A1124" s="593" t="str">
        <f>+input!B26</f>
        <v>112j</v>
      </c>
      <c r="B1124" s="844" t="str">
        <f t="shared" si="54"/>
        <v>Positive</v>
      </c>
      <c r="C1124" s="844">
        <f>input!D26</f>
        <v>0</v>
      </c>
      <c r="D1124" s="596">
        <f>Cons!G927</f>
        <v>700</v>
      </c>
      <c r="E1124" s="595">
        <f>input!BQ26/input!N26</f>
        <v>235.14918432537436</v>
      </c>
      <c r="F1124" s="596">
        <f>input!V26</f>
        <v>3800</v>
      </c>
      <c r="G1124" s="596">
        <f>input!U26</f>
        <v>2400</v>
      </c>
      <c r="H1124" s="596">
        <f>input!T26</f>
        <v>1200</v>
      </c>
      <c r="I1124" s="595">
        <f>input!BP26</f>
        <v>0.125</v>
      </c>
      <c r="J1124" s="596">
        <f>IF(OR(L223=1,L223="a"),M223,IF(OR(L223="b",L223="c",L223="d",L223=8),input!M26-M223,0))/COS(ATAN(input!BP26))</f>
        <v>0</v>
      </c>
      <c r="K1124" s="596">
        <f>input!N26</f>
        <v>12</v>
      </c>
      <c r="L1124" s="642" t="str">
        <f>IF(B1124="Positive",IF(C1124=0,(IF(AND(input!BI26 &lt;= 455, input!BK26 &lt; 455, E1124&lt;= IF(D1124=0,1000,150),0.8*G1124&lt;=F1124,1.2*G1124&gt;=F1124,I1124&lt;=0.25,H1124&lt;=MIN(F1124,1800),2*J1124/K1124&lt;=3.76*SQRT(Es/input!BI26)),"compact","noncompact")),"noncompact"),"-")</f>
        <v>noncompact</v>
      </c>
      <c r="M1124" s="680"/>
      <c r="P1124" s="73"/>
      <c r="Q1124" s="559"/>
      <c r="R1124" s="73"/>
      <c r="S1124" s="73"/>
      <c r="T1124" s="73"/>
      <c r="U1124" s="73"/>
      <c r="V1124" s="73"/>
      <c r="W1124" s="73"/>
      <c r="X1124" s="73"/>
      <c r="Y1124" s="73"/>
      <c r="Z1124" s="73"/>
      <c r="AA1124" s="73"/>
      <c r="AB1124" s="73"/>
      <c r="AC1124" s="73"/>
      <c r="AD1124" s="143"/>
      <c r="AE1124" s="143"/>
      <c r="AF1124" s="143"/>
      <c r="AG1124" s="143"/>
      <c r="AH1124" s="143"/>
      <c r="AI1124" s="143"/>
      <c r="AJ1124" s="143"/>
      <c r="AK1124" s="143"/>
      <c r="AL1124" s="143"/>
      <c r="AM1124" s="143"/>
      <c r="AN1124" s="143"/>
      <c r="AO1124" s="143"/>
      <c r="AP1124" s="143"/>
      <c r="AQ1124" s="143"/>
    </row>
    <row r="1125" spans="1:43" ht="15" customHeight="1">
      <c r="A1125" s="593" t="str">
        <f>+input!B27</f>
        <v>113i</v>
      </c>
      <c r="B1125" s="844" t="str">
        <f t="shared" si="54"/>
        <v>Positive</v>
      </c>
      <c r="C1125" s="844">
        <f>input!D27</f>
        <v>0</v>
      </c>
      <c r="D1125" s="596">
        <f>Cons!G928</f>
        <v>700</v>
      </c>
      <c r="E1125" s="595">
        <f>input!BQ27/input!N27</f>
        <v>235.14918432537436</v>
      </c>
      <c r="F1125" s="596">
        <f>input!V27</f>
        <v>3800</v>
      </c>
      <c r="G1125" s="596">
        <f>input!U27</f>
        <v>2400</v>
      </c>
      <c r="H1125" s="596">
        <f>input!T27</f>
        <v>1200</v>
      </c>
      <c r="I1125" s="595">
        <f>input!BP27</f>
        <v>0.125</v>
      </c>
      <c r="J1125" s="596">
        <f>IF(OR(L224=1,L224="a"),M224,IF(OR(L224="b",L224="c",L224="d",L224=8),input!M27-M224,0))/COS(ATAN(input!BP27))</f>
        <v>0</v>
      </c>
      <c r="K1125" s="596">
        <f>input!N27</f>
        <v>12</v>
      </c>
      <c r="L1125" s="642" t="str">
        <f>IF(B1125="Positive",IF(C1125=0,(IF(AND(input!BI27 &lt;= 455, input!BK27 &lt; 455, E1125&lt;= IF(D1125=0,1000,150),0.8*G1125&lt;=F1125,1.2*G1125&gt;=F1125,I1125&lt;=0.25,H1125&lt;=MIN(F1125,1800),2*J1125/K1125&lt;=3.76*SQRT(Es/input!BI27)),"compact","noncompact")),"noncompact"),"-")</f>
        <v>noncompact</v>
      </c>
      <c r="M1125" s="680"/>
      <c r="P1125" s="73"/>
      <c r="Q1125" s="559"/>
      <c r="R1125" s="73"/>
      <c r="S1125" s="73"/>
      <c r="T1125" s="73"/>
      <c r="U1125" s="73"/>
      <c r="V1125" s="73"/>
      <c r="W1125" s="73"/>
      <c r="X1125" s="73"/>
      <c r="Y1125" s="73"/>
      <c r="Z1125" s="73"/>
      <c r="AA1125" s="73"/>
      <c r="AB1125" s="73"/>
      <c r="AC1125" s="73"/>
      <c r="AD1125" s="143"/>
      <c r="AE1125" s="143"/>
      <c r="AF1125" s="143"/>
      <c r="AG1125" s="143"/>
      <c r="AH1125" s="143"/>
      <c r="AI1125" s="143"/>
      <c r="AJ1125" s="143"/>
      <c r="AK1125" s="143"/>
      <c r="AL1125" s="143"/>
      <c r="AM1125" s="143"/>
      <c r="AN1125" s="143"/>
      <c r="AO1125" s="143"/>
      <c r="AP1125" s="143"/>
      <c r="AQ1125" s="143"/>
    </row>
    <row r="1126" spans="1:43" ht="15" customHeight="1">
      <c r="A1126" s="593" t="str">
        <f>+input!B28</f>
        <v>113j</v>
      </c>
      <c r="B1126" s="844" t="str">
        <f t="shared" si="54"/>
        <v>Positive</v>
      </c>
      <c r="C1126" s="844">
        <f>input!D28</f>
        <v>0</v>
      </c>
      <c r="D1126" s="596">
        <f>Cons!G929</f>
        <v>700</v>
      </c>
      <c r="E1126" s="595">
        <f>input!BQ28/input!N28</f>
        <v>235.14918432537436</v>
      </c>
      <c r="F1126" s="596">
        <f>input!V28</f>
        <v>3800</v>
      </c>
      <c r="G1126" s="596">
        <f>input!U28</f>
        <v>2400</v>
      </c>
      <c r="H1126" s="596">
        <f>input!T28</f>
        <v>1200</v>
      </c>
      <c r="I1126" s="595">
        <f>input!BP28</f>
        <v>0.125</v>
      </c>
      <c r="J1126" s="596">
        <f>IF(OR(L225=1,L225="a"),M225,IF(OR(L225="b",L225="c",L225="d",L225=8),input!M28-M225,0))/COS(ATAN(input!BP28))</f>
        <v>0</v>
      </c>
      <c r="K1126" s="596">
        <f>input!N28</f>
        <v>12</v>
      </c>
      <c r="L1126" s="642" t="str">
        <f>IF(B1126="Positive",IF(C1126=0,(IF(AND(input!BI28 &lt;= 455, input!BK28 &lt; 455, E1126&lt;= IF(D1126=0,1000,150),0.8*G1126&lt;=F1126,1.2*G1126&gt;=F1126,I1126&lt;=0.25,H1126&lt;=MIN(F1126,1800),2*J1126/K1126&lt;=3.76*SQRT(Es/input!BI28)),"compact","noncompact")),"noncompact"),"-")</f>
        <v>noncompact</v>
      </c>
      <c r="M1126" s="680"/>
      <c r="P1126" s="73"/>
      <c r="Q1126" s="559"/>
      <c r="R1126" s="73"/>
      <c r="S1126" s="73"/>
      <c r="T1126" s="73"/>
      <c r="U1126" s="73"/>
      <c r="V1126" s="73"/>
      <c r="W1126" s="73"/>
      <c r="X1126" s="73"/>
      <c r="Y1126" s="73"/>
      <c r="Z1126" s="73"/>
      <c r="AA1126" s="73"/>
      <c r="AB1126" s="73"/>
      <c r="AC1126" s="73"/>
      <c r="AD1126" s="143"/>
      <c r="AE1126" s="143"/>
      <c r="AF1126" s="143"/>
      <c r="AG1126" s="143"/>
      <c r="AH1126" s="143"/>
      <c r="AI1126" s="143"/>
      <c r="AJ1126" s="143"/>
      <c r="AK1126" s="143"/>
      <c r="AL1126" s="143"/>
      <c r="AM1126" s="143"/>
      <c r="AN1126" s="143"/>
      <c r="AO1126" s="143"/>
      <c r="AP1126" s="143"/>
      <c r="AQ1126" s="143"/>
    </row>
    <row r="1127" spans="1:43" ht="15" customHeight="1">
      <c r="A1127" s="593" t="str">
        <f>+input!B29</f>
        <v>114i</v>
      </c>
      <c r="B1127" s="844" t="str">
        <f t="shared" si="54"/>
        <v>Positive</v>
      </c>
      <c r="C1127" s="844">
        <f>input!D29</f>
        <v>0</v>
      </c>
      <c r="D1127" s="596">
        <f>Cons!G930</f>
        <v>700</v>
      </c>
      <c r="E1127" s="595">
        <f>input!BQ29/input!N29</f>
        <v>235.14918432537436</v>
      </c>
      <c r="F1127" s="596">
        <f>input!V29</f>
        <v>3800</v>
      </c>
      <c r="G1127" s="596">
        <f>input!U29</f>
        <v>2400</v>
      </c>
      <c r="H1127" s="596">
        <f>input!T29</f>
        <v>1200</v>
      </c>
      <c r="I1127" s="595">
        <f>input!BP29</f>
        <v>0.125</v>
      </c>
      <c r="J1127" s="596">
        <f>IF(OR(L226=1,L226="a"),M226,IF(OR(L226="b",L226="c",L226="d",L226=8),input!M29-M226,0))/COS(ATAN(input!BP29))</f>
        <v>0</v>
      </c>
      <c r="K1127" s="596">
        <f>input!N29</f>
        <v>12</v>
      </c>
      <c r="L1127" s="642" t="str">
        <f>IF(B1127="Positive",IF(C1127=0,(IF(AND(input!BI29 &lt;= 455, input!BK29 &lt; 455, E1127&lt;= IF(D1127=0,1000,150),0.8*G1127&lt;=F1127,1.2*G1127&gt;=F1127,I1127&lt;=0.25,H1127&lt;=MIN(F1127,1800),2*J1127/K1127&lt;=3.76*SQRT(Es/input!BI29)),"compact","noncompact")),"noncompact"),"-")</f>
        <v>noncompact</v>
      </c>
      <c r="M1127" s="680"/>
      <c r="P1127" s="73"/>
      <c r="Q1127" s="559"/>
      <c r="R1127" s="73"/>
      <c r="S1127" s="73"/>
      <c r="T1127" s="73"/>
      <c r="U1127" s="73"/>
      <c r="V1127" s="73"/>
      <c r="W1127" s="73"/>
      <c r="X1127" s="73"/>
      <c r="Y1127" s="73"/>
      <c r="Z1127" s="73"/>
      <c r="AA1127" s="73"/>
      <c r="AB1127" s="73"/>
      <c r="AC1127" s="73"/>
      <c r="AD1127" s="143"/>
      <c r="AE1127" s="143"/>
      <c r="AF1127" s="143"/>
      <c r="AG1127" s="143"/>
      <c r="AH1127" s="143"/>
      <c r="AI1127" s="143"/>
      <c r="AJ1127" s="143"/>
      <c r="AK1127" s="143"/>
      <c r="AL1127" s="143"/>
      <c r="AM1127" s="143"/>
      <c r="AN1127" s="143"/>
      <c r="AO1127" s="143"/>
      <c r="AP1127" s="143"/>
      <c r="AQ1127" s="143"/>
    </row>
    <row r="1128" spans="1:43" ht="15" customHeight="1">
      <c r="A1128" s="593" t="str">
        <f>+input!B30</f>
        <v>114j</v>
      </c>
      <c r="B1128" s="844" t="str">
        <f t="shared" si="54"/>
        <v>Positive</v>
      </c>
      <c r="C1128" s="844">
        <f>input!D30</f>
        <v>0</v>
      </c>
      <c r="D1128" s="596">
        <f>Cons!G931</f>
        <v>700</v>
      </c>
      <c r="E1128" s="595">
        <f>input!BQ30/input!N30</f>
        <v>235.14918432537436</v>
      </c>
      <c r="F1128" s="596">
        <f>input!V30</f>
        <v>3800</v>
      </c>
      <c r="G1128" s="596">
        <f>input!U30</f>
        <v>2400</v>
      </c>
      <c r="H1128" s="596">
        <f>input!T30</f>
        <v>1200</v>
      </c>
      <c r="I1128" s="595">
        <f>input!BP30</f>
        <v>0.125</v>
      </c>
      <c r="J1128" s="596">
        <f>IF(OR(L227=1,L227="a"),M227,IF(OR(L227="b",L227="c",L227="d",L227=8),input!M30-M227,0))/COS(ATAN(input!BP30))</f>
        <v>0</v>
      </c>
      <c r="K1128" s="596">
        <f>input!N30</f>
        <v>12</v>
      </c>
      <c r="L1128" s="642" t="str">
        <f>IF(B1128="Positive",IF(C1128=0,(IF(AND(input!BI30 &lt;= 455, input!BK30 &lt; 455, E1128&lt;= IF(D1128=0,1000,150),0.8*G1128&lt;=F1128,1.2*G1128&gt;=F1128,I1128&lt;=0.25,H1128&lt;=MIN(F1128,1800),2*J1128/K1128&lt;=3.76*SQRT(Es/input!BI30)),"compact","noncompact")),"noncompact"),"-")</f>
        <v>noncompact</v>
      </c>
      <c r="M1128" s="680"/>
      <c r="P1128" s="73"/>
      <c r="Q1128" s="559"/>
      <c r="R1128" s="73"/>
      <c r="S1128" s="73"/>
      <c r="T1128" s="73"/>
      <c r="U1128" s="73"/>
      <c r="V1128" s="73"/>
      <c r="W1128" s="73"/>
      <c r="X1128" s="73"/>
      <c r="Y1128" s="73"/>
      <c r="Z1128" s="73"/>
      <c r="AA1128" s="73"/>
      <c r="AB1128" s="73"/>
      <c r="AC1128" s="73"/>
      <c r="AD1128" s="143"/>
      <c r="AE1128" s="143"/>
      <c r="AF1128" s="143"/>
      <c r="AG1128" s="143"/>
      <c r="AH1128" s="143"/>
      <c r="AI1128" s="143"/>
      <c r="AJ1128" s="143"/>
      <c r="AK1128" s="143"/>
      <c r="AL1128" s="143"/>
      <c r="AM1128" s="143"/>
      <c r="AN1128" s="143"/>
      <c r="AO1128" s="143"/>
      <c r="AP1128" s="143"/>
      <c r="AQ1128" s="143"/>
    </row>
    <row r="1129" spans="1:43" ht="15" customHeight="1">
      <c r="A1129" s="593" t="str">
        <f>+input!B31</f>
        <v>115i</v>
      </c>
      <c r="B1129" s="844" t="str">
        <f t="shared" si="54"/>
        <v>Positive</v>
      </c>
      <c r="C1129" s="844">
        <f>input!D31</f>
        <v>0</v>
      </c>
      <c r="D1129" s="596">
        <f>Cons!G932</f>
        <v>700</v>
      </c>
      <c r="E1129" s="595">
        <f>input!BQ31/input!N31</f>
        <v>235.14918432537436</v>
      </c>
      <c r="F1129" s="596">
        <f>input!V31</f>
        <v>3800</v>
      </c>
      <c r="G1129" s="596">
        <f>input!U31</f>
        <v>2400</v>
      </c>
      <c r="H1129" s="596">
        <f>input!T31</f>
        <v>1200</v>
      </c>
      <c r="I1129" s="595">
        <f>input!BP31</f>
        <v>0.125</v>
      </c>
      <c r="J1129" s="596">
        <f>IF(OR(L228=1,L228="a"),M228,IF(OR(L228="b",L228="c",L228="d",L228=8),input!M31-M228,0))/COS(ATAN(input!BP31))</f>
        <v>0</v>
      </c>
      <c r="K1129" s="596">
        <f>input!N31</f>
        <v>12</v>
      </c>
      <c r="L1129" s="642" t="str">
        <f>IF(B1129="Positive",IF(C1129=0,(IF(AND(input!BI31 &lt;= 455, input!BK31 &lt; 455, E1129&lt;= IF(D1129=0,1000,150),0.8*G1129&lt;=F1129,1.2*G1129&gt;=F1129,I1129&lt;=0.25,H1129&lt;=MIN(F1129,1800),2*J1129/K1129&lt;=3.76*SQRT(Es/input!BI31)),"compact","noncompact")),"noncompact"),"-")</f>
        <v>noncompact</v>
      </c>
      <c r="M1129" s="680"/>
      <c r="P1129" s="73"/>
      <c r="Q1129" s="559"/>
      <c r="R1129" s="73"/>
      <c r="S1129" s="73"/>
      <c r="T1129" s="73"/>
      <c r="U1129" s="73"/>
      <c r="V1129" s="73"/>
      <c r="W1129" s="73"/>
      <c r="X1129" s="73"/>
      <c r="Y1129" s="73"/>
      <c r="Z1129" s="73"/>
      <c r="AA1129" s="73"/>
      <c r="AB1129" s="73"/>
      <c r="AC1129" s="73"/>
      <c r="AD1129" s="143"/>
      <c r="AE1129" s="143"/>
      <c r="AF1129" s="143"/>
      <c r="AG1129" s="143"/>
      <c r="AH1129" s="143"/>
      <c r="AI1129" s="143"/>
      <c r="AJ1129" s="143"/>
      <c r="AK1129" s="143"/>
      <c r="AL1129" s="143"/>
      <c r="AM1129" s="143"/>
      <c r="AN1129" s="143"/>
      <c r="AO1129" s="143"/>
      <c r="AP1129" s="143"/>
      <c r="AQ1129" s="143"/>
    </row>
    <row r="1130" spans="1:43" ht="15" customHeight="1">
      <c r="A1130" s="593" t="str">
        <f>+input!B32</f>
        <v>115j</v>
      </c>
      <c r="B1130" s="844" t="str">
        <f t="shared" si="54"/>
        <v>Negative</v>
      </c>
      <c r="C1130" s="844">
        <f>input!D32</f>
        <v>0</v>
      </c>
      <c r="D1130" s="596">
        <f>Cons!G933</f>
        <v>700</v>
      </c>
      <c r="E1130" s="595">
        <f>input!BQ32/input!N32</f>
        <v>235.14918432537436</v>
      </c>
      <c r="F1130" s="596">
        <f>input!V32</f>
        <v>3800</v>
      </c>
      <c r="G1130" s="596">
        <f>input!U32</f>
        <v>2400</v>
      </c>
      <c r="H1130" s="596">
        <f>input!T32</f>
        <v>1200</v>
      </c>
      <c r="I1130" s="595">
        <f>input!BP32</f>
        <v>0.125</v>
      </c>
      <c r="J1130" s="596">
        <f>IF(OR(L229=1,L229="a"),M229,IF(OR(L229="b",L229="c",L229="d",L229=8),input!M32-M229,0))/COS(ATAN(input!BP32))</f>
        <v>1315.7295661409337</v>
      </c>
      <c r="K1130" s="596">
        <f>input!N32</f>
        <v>12</v>
      </c>
      <c r="L1130" s="642" t="str">
        <f>IF(B1130="Positive",IF(C1130=0,(IF(AND(input!BI32 &lt;= 455, input!BK32 &lt; 455, E1130&lt;= IF(D1130=0,1000,150),0.8*G1130&lt;=F1130,1.2*G1130&gt;=F1130,I1130&lt;=0.25,H1130&lt;=MIN(F1130,1800),2*J1130/K1130&lt;=3.76*SQRT(Es/input!BI32)),"compact","noncompact")),"noncompact"),"-")</f>
        <v>-</v>
      </c>
      <c r="M1130" s="680"/>
      <c r="P1130" s="73"/>
      <c r="Q1130" s="559"/>
      <c r="R1130" s="73"/>
      <c r="S1130" s="73"/>
      <c r="T1130" s="73"/>
      <c r="U1130" s="73"/>
      <c r="V1130" s="73"/>
      <c r="W1130" s="73"/>
      <c r="X1130" s="73"/>
      <c r="Y1130" s="73"/>
      <c r="Z1130" s="73"/>
      <c r="AA1130" s="73"/>
      <c r="AB1130" s="73"/>
      <c r="AC1130" s="73"/>
      <c r="AD1130" s="143"/>
      <c r="AE1130" s="143"/>
      <c r="AF1130" s="143"/>
      <c r="AG1130" s="143"/>
      <c r="AH1130" s="143"/>
      <c r="AI1130" s="143"/>
      <c r="AJ1130" s="143"/>
      <c r="AK1130" s="143"/>
      <c r="AL1130" s="143"/>
      <c r="AM1130" s="143"/>
      <c r="AN1130" s="143"/>
      <c r="AO1130" s="143"/>
      <c r="AP1130" s="143"/>
      <c r="AQ1130" s="143"/>
    </row>
    <row r="1131" spans="1:43" ht="15" customHeight="1">
      <c r="A1131" s="593" t="str">
        <f>+input!B33</f>
        <v>116i</v>
      </c>
      <c r="B1131" s="844" t="str">
        <f t="shared" si="54"/>
        <v>Negative</v>
      </c>
      <c r="C1131" s="844">
        <f>input!D33</f>
        <v>0</v>
      </c>
      <c r="D1131" s="596">
        <f>Cons!G934</f>
        <v>703.5</v>
      </c>
      <c r="E1131" s="595">
        <f>input!BQ33/input!N33</f>
        <v>236.3223470941991</v>
      </c>
      <c r="F1131" s="596">
        <f>input!V33</f>
        <v>3800</v>
      </c>
      <c r="G1131" s="596">
        <f>input!U33</f>
        <v>2400</v>
      </c>
      <c r="H1131" s="596">
        <f>input!T33</f>
        <v>1200</v>
      </c>
      <c r="I1131" s="595">
        <f>input!BP33</f>
        <v>0.12491115849324805</v>
      </c>
      <c r="J1131" s="596">
        <f>IF(OR(L230=1,L230="a"),M230,IF(OR(L230="b",L230="c",L230="d",L230=8),input!M33-M230,0))/COS(ATAN(input!BP33))</f>
        <v>1269.961031016793</v>
      </c>
      <c r="K1131" s="596">
        <f>input!N33</f>
        <v>12</v>
      </c>
      <c r="L1131" s="642" t="str">
        <f>IF(B1131="Positive",IF(C1131=0,(IF(AND(input!BI33 &lt;= 455, input!BK33 &lt; 455, E1131&lt;= IF(D1131=0,1000,150),0.8*G1131&lt;=F1131,1.2*G1131&gt;=F1131,I1131&lt;=0.25,H1131&lt;=MIN(F1131,1800),2*J1131/K1131&lt;=3.76*SQRT(Es/input!BI33)),"compact","noncompact")),"noncompact"),"-")</f>
        <v>-</v>
      </c>
      <c r="M1131" s="680"/>
      <c r="P1131" s="73"/>
      <c r="Q1131" s="559"/>
      <c r="R1131" s="73"/>
      <c r="S1131" s="73"/>
      <c r="T1131" s="73"/>
      <c r="U1131" s="73"/>
      <c r="V1131" s="73"/>
      <c r="W1131" s="73"/>
      <c r="X1131" s="73"/>
      <c r="Y1131" s="73"/>
      <c r="Z1131" s="73"/>
      <c r="AA1131" s="73"/>
      <c r="AB1131" s="73"/>
      <c r="AC1131" s="73"/>
      <c r="AD1131" s="143"/>
      <c r="AE1131" s="143"/>
      <c r="AF1131" s="143"/>
      <c r="AG1131" s="143"/>
      <c r="AH1131" s="143"/>
      <c r="AI1131" s="143"/>
      <c r="AJ1131" s="143"/>
      <c r="AK1131" s="143"/>
      <c r="AL1131" s="143"/>
      <c r="AM1131" s="143"/>
      <c r="AN1131" s="143"/>
      <c r="AO1131" s="143"/>
      <c r="AP1131" s="143"/>
      <c r="AQ1131" s="143"/>
    </row>
    <row r="1132" spans="1:43" ht="15" customHeight="1">
      <c r="A1132" s="593" t="str">
        <f>+input!B34</f>
        <v>116j</v>
      </c>
      <c r="B1132" s="844" t="str">
        <f t="shared" si="54"/>
        <v>Negative</v>
      </c>
      <c r="C1132" s="844">
        <f>input!D34</f>
        <v>0</v>
      </c>
      <c r="D1132" s="596">
        <f>Cons!G935</f>
        <v>703.5</v>
      </c>
      <c r="E1132" s="595">
        <f>input!BQ34/input!N34</f>
        <v>236.3223470941991</v>
      </c>
      <c r="F1132" s="596">
        <f>input!V34</f>
        <v>3800</v>
      </c>
      <c r="G1132" s="596">
        <f>input!U34</f>
        <v>2400</v>
      </c>
      <c r="H1132" s="596">
        <f>input!T34</f>
        <v>1200</v>
      </c>
      <c r="I1132" s="595">
        <f>input!BP34</f>
        <v>0.12491115849324805</v>
      </c>
      <c r="J1132" s="596">
        <f>IF(OR(L231=1,L231="a"),M231,IF(OR(L231="b",L231="c",L231="d",L231=8),input!M34-M231,0))/COS(ATAN(input!BP34))</f>
        <v>1269.961031016793</v>
      </c>
      <c r="K1132" s="596">
        <f>input!N34</f>
        <v>12</v>
      </c>
      <c r="L1132" s="642" t="str">
        <f>IF(B1132="Positive",IF(C1132=0,(IF(AND(input!BI34 &lt;= 455, input!BK34 &lt; 455, E1132&lt;= IF(D1132=0,1000,150),0.8*G1132&lt;=F1132,1.2*G1132&gt;=F1132,I1132&lt;=0.25,H1132&lt;=MIN(F1132,1800),2*J1132/K1132&lt;=3.76*SQRT(Es/input!BI34)),"compact","noncompact")),"noncompact"),"-")</f>
        <v>-</v>
      </c>
      <c r="M1132" s="680"/>
      <c r="P1132" s="73"/>
      <c r="Q1132" s="559"/>
      <c r="R1132" s="73"/>
      <c r="S1132" s="73"/>
      <c r="T1132" s="73"/>
      <c r="U1132" s="73"/>
      <c r="V1132" s="73"/>
      <c r="W1132" s="73"/>
      <c r="X1132" s="73"/>
      <c r="Y1132" s="73"/>
      <c r="Z1132" s="73"/>
      <c r="AA1132" s="73"/>
      <c r="AB1132" s="73"/>
      <c r="AC1132" s="73"/>
      <c r="AD1132" s="143"/>
      <c r="AE1132" s="143"/>
      <c r="AF1132" s="143"/>
      <c r="AG1132" s="143"/>
      <c r="AH1132" s="143"/>
      <c r="AI1132" s="143"/>
      <c r="AJ1132" s="143"/>
      <c r="AK1132" s="143"/>
      <c r="AL1132" s="143"/>
      <c r="AM1132" s="143"/>
      <c r="AN1132" s="143"/>
      <c r="AO1132" s="143"/>
      <c r="AP1132" s="143"/>
      <c r="AQ1132" s="143"/>
    </row>
    <row r="1133" spans="1:43" ht="15" customHeight="1">
      <c r="A1133" s="593" t="str">
        <f>+input!B35</f>
        <v>117i</v>
      </c>
      <c r="B1133" s="844" t="str">
        <f t="shared" ref="B1133:B1162" si="55">B466</f>
        <v>Negative</v>
      </c>
      <c r="C1133" s="844">
        <f>input!D35</f>
        <v>0</v>
      </c>
      <c r="D1133" s="596">
        <f>Cons!G936</f>
        <v>731</v>
      </c>
      <c r="E1133" s="595">
        <f>input!BQ35/input!N35</f>
        <v>245.56293391692665</v>
      </c>
      <c r="F1133" s="596">
        <f>input!V35</f>
        <v>3800</v>
      </c>
      <c r="G1133" s="596">
        <f>input!U35</f>
        <v>2400</v>
      </c>
      <c r="H1133" s="596">
        <f>input!T35</f>
        <v>1200</v>
      </c>
      <c r="I1133" s="595">
        <f>input!BP35</f>
        <v>0.125</v>
      </c>
      <c r="J1133" s="596">
        <f>IF(OR(L232=1,L232="a"),M232,IF(OR(L232="b",L232="c",L232="d",L232=8),input!M35-M232,0))/COS(ATAN(input!BP35))</f>
        <v>335.61147865053982</v>
      </c>
      <c r="K1133" s="596">
        <f>input!N35</f>
        <v>12</v>
      </c>
      <c r="L1133" s="642" t="str">
        <f>IF(B1133="Positive",IF(C1133=0,(IF(AND(input!BI35 &lt;= 455, input!BK35 &lt; 455, E1133&lt;= IF(D1133=0,1000,150),0.8*G1133&lt;=F1133,1.2*G1133&gt;=F1133,I1133&lt;=0.25,H1133&lt;=MIN(F1133,1800),2*J1133/K1133&lt;=3.76*SQRT(Es/input!BI35)),"compact","noncompact")),"noncompact"),"-")</f>
        <v>-</v>
      </c>
      <c r="M1133" s="680"/>
      <c r="P1133" s="73"/>
      <c r="Q1133" s="559"/>
      <c r="R1133" s="73"/>
      <c r="S1133" s="73"/>
      <c r="T1133" s="73"/>
      <c r="U1133" s="73"/>
      <c r="V1133" s="73"/>
      <c r="W1133" s="73"/>
      <c r="X1133" s="73"/>
      <c r="Y1133" s="73"/>
      <c r="Z1133" s="73"/>
      <c r="AA1133" s="73"/>
      <c r="AB1133" s="73"/>
      <c r="AC1133" s="73"/>
      <c r="AD1133" s="143"/>
      <c r="AE1133" s="143"/>
      <c r="AF1133" s="143"/>
      <c r="AG1133" s="143"/>
      <c r="AH1133" s="143"/>
      <c r="AI1133" s="143"/>
      <c r="AJ1133" s="143"/>
      <c r="AK1133" s="143"/>
      <c r="AL1133" s="143"/>
      <c r="AM1133" s="143"/>
      <c r="AN1133" s="143"/>
      <c r="AO1133" s="143"/>
      <c r="AP1133" s="143"/>
      <c r="AQ1133" s="143"/>
    </row>
    <row r="1134" spans="1:43" ht="15" customHeight="1">
      <c r="A1134" s="593" t="str">
        <f>+input!B36</f>
        <v>117j</v>
      </c>
      <c r="B1134" s="844" t="str">
        <f t="shared" si="55"/>
        <v>Negative</v>
      </c>
      <c r="C1134" s="844">
        <f>input!D36</f>
        <v>0</v>
      </c>
      <c r="D1134" s="596">
        <f>Cons!G937</f>
        <v>731</v>
      </c>
      <c r="E1134" s="595">
        <f>input!BQ36/input!N36</f>
        <v>245.56293391692665</v>
      </c>
      <c r="F1134" s="596">
        <f>input!V36</f>
        <v>3800</v>
      </c>
      <c r="G1134" s="596">
        <f>input!U36</f>
        <v>2400</v>
      </c>
      <c r="H1134" s="596">
        <f>input!T36</f>
        <v>1200</v>
      </c>
      <c r="I1134" s="595">
        <f>input!BP36</f>
        <v>0.125</v>
      </c>
      <c r="J1134" s="596">
        <f>IF(OR(L233=1,L233="a"),M233,IF(OR(L233="b",L233="c",L233="d",L233=8),input!M36-M233,0))/COS(ATAN(input!BP36))</f>
        <v>335.61147865053982</v>
      </c>
      <c r="K1134" s="596">
        <f>input!N36</f>
        <v>12</v>
      </c>
      <c r="L1134" s="642" t="str">
        <f>IF(B1134="Positive",IF(C1134=0,(IF(AND(input!BI36 &lt;= 455, input!BK36 &lt; 455, E1134&lt;= IF(D1134=0,1000,150),0.8*G1134&lt;=F1134,1.2*G1134&gt;=F1134,I1134&lt;=0.25,H1134&lt;=MIN(F1134,1800),2*J1134/K1134&lt;=3.76*SQRT(Es/input!BI36)),"compact","noncompact")),"noncompact"),"-")</f>
        <v>-</v>
      </c>
      <c r="M1134" s="680"/>
      <c r="P1134" s="73"/>
      <c r="Q1134" s="559"/>
      <c r="R1134" s="73"/>
      <c r="S1134" s="73"/>
      <c r="T1134" s="73"/>
      <c r="U1134" s="73"/>
      <c r="V1134" s="73"/>
      <c r="W1134" s="73"/>
      <c r="X1134" s="73"/>
      <c r="Y1134" s="73"/>
      <c r="Z1134" s="73"/>
      <c r="AA1134" s="73"/>
      <c r="AB1134" s="73"/>
      <c r="AC1134" s="73"/>
      <c r="AD1134" s="143"/>
      <c r="AE1134" s="143"/>
      <c r="AF1134" s="143"/>
      <c r="AG1134" s="143"/>
      <c r="AH1134" s="143"/>
      <c r="AI1134" s="143"/>
      <c r="AJ1134" s="143"/>
      <c r="AK1134" s="143"/>
      <c r="AL1134" s="143"/>
      <c r="AM1134" s="143"/>
      <c r="AN1134" s="143"/>
      <c r="AO1134" s="143"/>
      <c r="AP1134" s="143"/>
      <c r="AQ1134" s="143"/>
    </row>
    <row r="1135" spans="1:43" ht="15" customHeight="1">
      <c r="A1135" s="593" t="str">
        <f>+input!B37</f>
        <v>118i</v>
      </c>
      <c r="B1135" s="844" t="str">
        <f t="shared" si="55"/>
        <v>Negative</v>
      </c>
      <c r="C1135" s="844">
        <f>input!D37</f>
        <v>0</v>
      </c>
      <c r="D1135" s="596">
        <f>Cons!G938</f>
        <v>775.75</v>
      </c>
      <c r="E1135" s="595">
        <f>input!BQ37/input!N37</f>
        <v>223.3688379230685</v>
      </c>
      <c r="F1135" s="596">
        <f>input!V37</f>
        <v>3800</v>
      </c>
      <c r="G1135" s="596">
        <f>input!U37</f>
        <v>2400</v>
      </c>
      <c r="H1135" s="596">
        <f>input!T37</f>
        <v>1150</v>
      </c>
      <c r="I1135" s="595">
        <f>input!BP37</f>
        <v>0.1250402835965195</v>
      </c>
      <c r="J1135" s="596">
        <f>IF(OR(L234=1,L234="a"),M234,IF(OR(L234="b",L234="c",L234="d",L234=8),input!M37-M234,0))/COS(ATAN(input!BP37))</f>
        <v>908.36593182342222</v>
      </c>
      <c r="K1135" s="596">
        <f>input!N37</f>
        <v>14</v>
      </c>
      <c r="L1135" s="642" t="str">
        <f>IF(B1135="Positive",IF(C1135=0,(IF(AND(input!BI37 &lt;= 455, input!BK37 &lt; 455, E1135&lt;= IF(D1135=0,1000,150),0.8*G1135&lt;=F1135,1.2*G1135&gt;=F1135,I1135&lt;=0.25,H1135&lt;=MIN(F1135,1800),2*J1135/K1135&lt;=3.76*SQRT(Es/input!BI37)),"compact","noncompact")),"noncompact"),"-")</f>
        <v>-</v>
      </c>
      <c r="M1135" s="680"/>
      <c r="P1135" s="73"/>
      <c r="Q1135" s="559"/>
      <c r="R1135" s="73"/>
      <c r="S1135" s="73"/>
      <c r="T1135" s="73"/>
      <c r="U1135" s="73"/>
      <c r="V1135" s="73"/>
      <c r="W1135" s="73"/>
      <c r="X1135" s="73"/>
      <c r="Y1135" s="73"/>
      <c r="Z1135" s="73"/>
      <c r="AA1135" s="73"/>
      <c r="AB1135" s="73"/>
      <c r="AC1135" s="73"/>
      <c r="AD1135" s="143"/>
      <c r="AE1135" s="143"/>
      <c r="AF1135" s="143"/>
      <c r="AG1135" s="143"/>
      <c r="AH1135" s="143"/>
      <c r="AI1135" s="143"/>
      <c r="AJ1135" s="143"/>
      <c r="AK1135" s="143"/>
      <c r="AL1135" s="143"/>
      <c r="AM1135" s="143"/>
      <c r="AN1135" s="143"/>
      <c r="AO1135" s="143"/>
      <c r="AP1135" s="143"/>
      <c r="AQ1135" s="143"/>
    </row>
    <row r="1136" spans="1:43" ht="15" customHeight="1">
      <c r="A1136" s="593" t="str">
        <f>+input!B38</f>
        <v>118j</v>
      </c>
      <c r="B1136" s="844" t="str">
        <f t="shared" si="55"/>
        <v>Negative</v>
      </c>
      <c r="C1136" s="844">
        <f>input!D38</f>
        <v>0</v>
      </c>
      <c r="D1136" s="596">
        <f>Cons!G939</f>
        <v>775.75</v>
      </c>
      <c r="E1136" s="595">
        <f>input!BQ38/input!N38</f>
        <v>223.3688379230685</v>
      </c>
      <c r="F1136" s="596">
        <f>input!V38</f>
        <v>3800</v>
      </c>
      <c r="G1136" s="596">
        <f>input!U38</f>
        <v>2400</v>
      </c>
      <c r="H1136" s="596">
        <f>input!T38</f>
        <v>1150</v>
      </c>
      <c r="I1136" s="595">
        <f>input!BP38</f>
        <v>0.1250402835965195</v>
      </c>
      <c r="J1136" s="596">
        <f>IF(OR(L235=1,L235="a"),M235,IF(OR(L235="b",L235="c",L235="d",L235=8),input!M38-M235,0))/COS(ATAN(input!BP38))</f>
        <v>908.36593182342222</v>
      </c>
      <c r="K1136" s="596">
        <f>input!N38</f>
        <v>14</v>
      </c>
      <c r="L1136" s="642" t="str">
        <f>IF(B1136="Positive",IF(C1136=0,(IF(AND(input!BI38 &lt;= 455, input!BK38 &lt; 455, E1136&lt;= IF(D1136=0,1000,150),0.8*G1136&lt;=F1136,1.2*G1136&gt;=F1136,I1136&lt;=0.25,H1136&lt;=MIN(F1136,1800),2*J1136/K1136&lt;=3.76*SQRT(Es/input!BI38)),"compact","noncompact")),"noncompact"),"-")</f>
        <v>-</v>
      </c>
      <c r="M1136" s="680"/>
      <c r="P1136" s="73"/>
      <c r="Q1136" s="559"/>
      <c r="R1136" s="73"/>
      <c r="S1136" s="73"/>
      <c r="T1136" s="73"/>
      <c r="U1136" s="73"/>
      <c r="V1136" s="73"/>
      <c r="W1136" s="73"/>
      <c r="X1136" s="73"/>
      <c r="Y1136" s="73"/>
      <c r="Z1136" s="73"/>
      <c r="AA1136" s="73"/>
      <c r="AB1136" s="73"/>
      <c r="AC1136" s="73"/>
      <c r="AD1136" s="143"/>
      <c r="AE1136" s="143"/>
      <c r="AF1136" s="143"/>
      <c r="AG1136" s="143"/>
      <c r="AH1136" s="143"/>
      <c r="AI1136" s="143"/>
      <c r="AJ1136" s="143"/>
      <c r="AK1136" s="143"/>
      <c r="AL1136" s="143"/>
      <c r="AM1136" s="143"/>
      <c r="AN1136" s="143"/>
      <c r="AO1136" s="143"/>
      <c r="AP1136" s="143"/>
      <c r="AQ1136" s="143"/>
    </row>
    <row r="1137" spans="1:43" ht="15" customHeight="1">
      <c r="A1137" s="593" t="str">
        <f>+input!B39</f>
        <v>119i</v>
      </c>
      <c r="B1137" s="844" t="str">
        <f t="shared" si="55"/>
        <v>Negative</v>
      </c>
      <c r="C1137" s="844">
        <f>input!D39</f>
        <v>0</v>
      </c>
      <c r="D1137" s="596">
        <f>Cons!G940</f>
        <v>800</v>
      </c>
      <c r="E1137" s="595">
        <f>input!BQ39/input!N39</f>
        <v>230.35022137995855</v>
      </c>
      <c r="F1137" s="596">
        <f>input!V39</f>
        <v>3800</v>
      </c>
      <c r="G1137" s="596">
        <f>input!U39</f>
        <v>2400</v>
      </c>
      <c r="H1137" s="596">
        <f>input!T39</f>
        <v>1150</v>
      </c>
      <c r="I1137" s="595">
        <f>input!BP39</f>
        <v>0.125</v>
      </c>
      <c r="J1137" s="596">
        <f>IF(OR(L236=1,L236="a"),M236,IF(OR(L236="b",L236="c",L236="d",L236=8),input!M39-M236,0))/COS(ATAN(input!BP39))</f>
        <v>670.13444924010628</v>
      </c>
      <c r="K1137" s="596">
        <f>input!N39</f>
        <v>14</v>
      </c>
      <c r="L1137" s="642" t="str">
        <f>IF(B1137="Positive",IF(C1137=0,(IF(AND(input!BI39 &lt;= 455, input!BK39 &lt; 455, E1137&lt;= IF(D1137=0,1000,150),0.8*G1137&lt;=F1137,1.2*G1137&gt;=F1137,I1137&lt;=0.25,H1137&lt;=MIN(F1137,1800),2*J1137/K1137&lt;=3.76*SQRT(Es/input!BI39)),"compact","noncompact")),"noncompact"),"-")</f>
        <v>-</v>
      </c>
      <c r="M1137" s="680"/>
      <c r="P1137" s="73"/>
      <c r="Q1137" s="559"/>
      <c r="R1137" s="73"/>
      <c r="S1137" s="73"/>
      <c r="T1137" s="73"/>
      <c r="U1137" s="73"/>
      <c r="V1137" s="73"/>
      <c r="W1137" s="73"/>
      <c r="X1137" s="73"/>
      <c r="Y1137" s="73"/>
      <c r="Z1137" s="73"/>
      <c r="AA1137" s="73"/>
      <c r="AB1137" s="73"/>
      <c r="AC1137" s="73"/>
      <c r="AD1137" s="143"/>
      <c r="AE1137" s="143"/>
      <c r="AF1137" s="143"/>
      <c r="AG1137" s="143"/>
      <c r="AH1137" s="143"/>
      <c r="AI1137" s="143"/>
      <c r="AJ1137" s="143"/>
      <c r="AK1137" s="143"/>
      <c r="AL1137" s="143"/>
      <c r="AM1137" s="143"/>
      <c r="AN1137" s="143"/>
      <c r="AO1137" s="143"/>
      <c r="AP1137" s="143"/>
      <c r="AQ1137" s="143"/>
    </row>
    <row r="1138" spans="1:43" ht="15" customHeight="1">
      <c r="A1138" s="593" t="str">
        <f>+input!B40</f>
        <v>119j</v>
      </c>
      <c r="B1138" s="844" t="str">
        <f t="shared" si="55"/>
        <v>Negative</v>
      </c>
      <c r="C1138" s="844">
        <f>input!D40</f>
        <v>0</v>
      </c>
      <c r="D1138" s="596">
        <f>Cons!G941</f>
        <v>800</v>
      </c>
      <c r="E1138" s="595">
        <f>input!BQ40/input!N40</f>
        <v>230.35022137995855</v>
      </c>
      <c r="F1138" s="596">
        <f>input!V40</f>
        <v>3800</v>
      </c>
      <c r="G1138" s="596">
        <f>input!U40</f>
        <v>2400</v>
      </c>
      <c r="H1138" s="596">
        <f>input!T40</f>
        <v>1150</v>
      </c>
      <c r="I1138" s="595">
        <f>input!BP40</f>
        <v>0.125</v>
      </c>
      <c r="J1138" s="596">
        <f>IF(OR(L237=1,L237="a"),M237,IF(OR(L237="b",L237="c",L237="d",L237=8),input!M40-M237,0))/COS(ATAN(input!BP40))</f>
        <v>670.13444924010628</v>
      </c>
      <c r="K1138" s="596">
        <f>input!N40</f>
        <v>14</v>
      </c>
      <c r="L1138" s="642" t="str">
        <f>IF(B1138="Positive",IF(C1138=0,(IF(AND(input!BI40 &lt;= 455, input!BK40 &lt; 455, E1138&lt;= IF(D1138=0,1000,150),0.8*G1138&lt;=F1138,1.2*G1138&gt;=F1138,I1138&lt;=0.25,H1138&lt;=MIN(F1138,1800),2*J1138/K1138&lt;=3.76*SQRT(Es/input!BI40)),"compact","noncompact")),"noncompact"),"-")</f>
        <v>-</v>
      </c>
      <c r="M1138" s="680"/>
      <c r="P1138" s="73"/>
      <c r="Q1138" s="559"/>
      <c r="R1138" s="73"/>
      <c r="S1138" s="73"/>
      <c r="T1138" s="73"/>
      <c r="U1138" s="73"/>
      <c r="V1138" s="73"/>
      <c r="W1138" s="73"/>
      <c r="X1138" s="73"/>
      <c r="Y1138" s="73"/>
      <c r="Z1138" s="73"/>
      <c r="AA1138" s="73"/>
      <c r="AB1138" s="73"/>
      <c r="AC1138" s="73"/>
      <c r="AD1138" s="143"/>
      <c r="AE1138" s="143"/>
      <c r="AF1138" s="143"/>
      <c r="AG1138" s="143"/>
      <c r="AH1138" s="143"/>
      <c r="AI1138" s="143"/>
      <c r="AJ1138" s="143"/>
      <c r="AK1138" s="143"/>
      <c r="AL1138" s="143"/>
      <c r="AM1138" s="143"/>
      <c r="AN1138" s="143"/>
      <c r="AO1138" s="143"/>
      <c r="AP1138" s="143"/>
      <c r="AQ1138" s="143"/>
    </row>
    <row r="1139" spans="1:43" ht="15" customHeight="1">
      <c r="A1139" s="593" t="str">
        <f>+input!B41</f>
        <v>120i</v>
      </c>
      <c r="B1139" s="844" t="str">
        <f t="shared" si="55"/>
        <v>Negative</v>
      </c>
      <c r="C1139" s="844">
        <f>input!D41</f>
        <v>0</v>
      </c>
      <c r="D1139" s="596">
        <f>Cons!G942</f>
        <v>800</v>
      </c>
      <c r="E1139" s="595">
        <f>input!BQ41/input!N41</f>
        <v>230.35022137995855</v>
      </c>
      <c r="F1139" s="596">
        <f>input!V41</f>
        <v>3800</v>
      </c>
      <c r="G1139" s="596">
        <f>input!U41</f>
        <v>2400</v>
      </c>
      <c r="H1139" s="596">
        <f>input!T41</f>
        <v>1150</v>
      </c>
      <c r="I1139" s="595">
        <f>input!BP41</f>
        <v>0.125</v>
      </c>
      <c r="J1139" s="596">
        <f>IF(OR(L238=1,L238="a"),M238,IF(OR(L238="b",L238="c",L238="d",L238=8),input!M41-M238,0))/COS(ATAN(input!BP41))</f>
        <v>670.13444924010628</v>
      </c>
      <c r="K1139" s="596">
        <f>input!N41</f>
        <v>14</v>
      </c>
      <c r="L1139" s="642" t="str">
        <f>IF(B1139="Positive",IF(C1139=0,(IF(AND(input!BI41 &lt;= 455, input!BK41 &lt; 455, E1139&lt;= IF(D1139=0,1000,150),0.8*G1139&lt;=F1139,1.2*G1139&gt;=F1139,I1139&lt;=0.25,H1139&lt;=MIN(F1139,1800),2*J1139/K1139&lt;=3.76*SQRT(Es/input!BI41)),"compact","noncompact")),"noncompact"),"-")</f>
        <v>-</v>
      </c>
      <c r="M1139" s="680"/>
      <c r="P1139" s="73"/>
      <c r="Q1139" s="559"/>
      <c r="R1139" s="73"/>
      <c r="S1139" s="73"/>
      <c r="T1139" s="73"/>
      <c r="U1139" s="73"/>
      <c r="V1139" s="73"/>
      <c r="W1139" s="73"/>
      <c r="X1139" s="73"/>
      <c r="Y1139" s="73"/>
      <c r="Z1139" s="73"/>
      <c r="AA1139" s="73"/>
      <c r="AB1139" s="73"/>
      <c r="AC1139" s="73"/>
      <c r="AD1139" s="143"/>
      <c r="AE1139" s="143"/>
      <c r="AF1139" s="143"/>
      <c r="AG1139" s="143"/>
      <c r="AH1139" s="143"/>
      <c r="AI1139" s="143"/>
      <c r="AJ1139" s="143"/>
      <c r="AK1139" s="143"/>
      <c r="AL1139" s="143"/>
      <c r="AM1139" s="143"/>
      <c r="AN1139" s="143"/>
      <c r="AO1139" s="143"/>
      <c r="AP1139" s="143"/>
      <c r="AQ1139" s="143"/>
    </row>
    <row r="1140" spans="1:43" ht="15" customHeight="1">
      <c r="A1140" s="593" t="str">
        <f>+input!B42</f>
        <v>120j</v>
      </c>
      <c r="B1140" s="844" t="str">
        <f t="shared" si="55"/>
        <v>Negative</v>
      </c>
      <c r="C1140" s="844">
        <f>input!D42</f>
        <v>0</v>
      </c>
      <c r="D1140" s="596">
        <f>Cons!G943</f>
        <v>800</v>
      </c>
      <c r="E1140" s="595">
        <f>input!BQ42/input!N42</f>
        <v>230.35022137995855</v>
      </c>
      <c r="F1140" s="596">
        <f>input!V42</f>
        <v>3800</v>
      </c>
      <c r="G1140" s="596">
        <f>input!U42</f>
        <v>2400</v>
      </c>
      <c r="H1140" s="596">
        <f>input!T42</f>
        <v>1150</v>
      </c>
      <c r="I1140" s="595">
        <f>input!BP42</f>
        <v>0.125</v>
      </c>
      <c r="J1140" s="596">
        <f>IF(OR(L239=1,L239="a"),M239,IF(OR(L239="b",L239="c",L239="d",L239=8),input!M42-M239,0))/COS(ATAN(input!BP42))</f>
        <v>670.13444924010628</v>
      </c>
      <c r="K1140" s="596">
        <f>input!N42</f>
        <v>14</v>
      </c>
      <c r="L1140" s="642" t="str">
        <f>IF(B1140="Positive",IF(C1140=0,(IF(AND(input!BI42 &lt;= 455, input!BK42 &lt; 455, E1140&lt;= IF(D1140=0,1000,150),0.8*G1140&lt;=F1140,1.2*G1140&gt;=F1140,I1140&lt;=0.25,H1140&lt;=MIN(F1140,1800),2*J1140/K1140&lt;=3.76*SQRT(Es/input!BI42)),"compact","noncompact")),"noncompact"),"-")</f>
        <v>-</v>
      </c>
      <c r="M1140" s="680"/>
      <c r="P1140" s="73"/>
      <c r="Q1140" s="559"/>
      <c r="R1140" s="73"/>
      <c r="S1140" s="73"/>
      <c r="T1140" s="73"/>
      <c r="U1140" s="73"/>
      <c r="V1140" s="73"/>
      <c r="W1140" s="73"/>
      <c r="X1140" s="73"/>
      <c r="Y1140" s="73"/>
      <c r="Z1140" s="73"/>
      <c r="AA1140" s="73"/>
      <c r="AB1140" s="73"/>
      <c r="AC1140" s="73"/>
      <c r="AD1140" s="143"/>
      <c r="AE1140" s="143"/>
      <c r="AF1140" s="143"/>
      <c r="AG1140" s="143"/>
      <c r="AH1140" s="143"/>
      <c r="AI1140" s="143"/>
      <c r="AJ1140" s="143"/>
      <c r="AK1140" s="143"/>
      <c r="AL1140" s="143"/>
      <c r="AM1140" s="143"/>
      <c r="AN1140" s="143"/>
      <c r="AO1140" s="143"/>
      <c r="AP1140" s="143"/>
      <c r="AQ1140" s="143"/>
    </row>
    <row r="1141" spans="1:43" ht="15" customHeight="1">
      <c r="A1141" s="593" t="str">
        <f>+input!B43</f>
        <v>121i</v>
      </c>
      <c r="B1141" s="844" t="str">
        <f t="shared" si="55"/>
        <v>Negative</v>
      </c>
      <c r="C1141" s="844">
        <f>input!D43</f>
        <v>0</v>
      </c>
      <c r="D1141" s="596">
        <f>Cons!G944</f>
        <v>775.75</v>
      </c>
      <c r="E1141" s="595">
        <f>input!BQ43/input!N43</f>
        <v>223.3688379230685</v>
      </c>
      <c r="F1141" s="596">
        <f>input!V43</f>
        <v>3800</v>
      </c>
      <c r="G1141" s="596">
        <f>input!U43</f>
        <v>2400</v>
      </c>
      <c r="H1141" s="596">
        <f>input!T43</f>
        <v>1150</v>
      </c>
      <c r="I1141" s="595">
        <f>input!BP43</f>
        <v>0.1250402835965195</v>
      </c>
      <c r="J1141" s="596">
        <f>IF(OR(L240=1,L240="a"),M240,IF(OR(L240="b",L240="c",L240="d",L240=8),input!M43-M240,0))/COS(ATAN(input!BP43))</f>
        <v>908.36593182342222</v>
      </c>
      <c r="K1141" s="596">
        <f>input!N43</f>
        <v>14</v>
      </c>
      <c r="L1141" s="642" t="str">
        <f>IF(B1141="Positive",IF(C1141=0,(IF(AND(input!BI43 &lt;= 455, input!BK43 &lt; 455, E1141&lt;= IF(D1141=0,1000,150),0.8*G1141&lt;=F1141,1.2*G1141&gt;=F1141,I1141&lt;=0.25,H1141&lt;=MIN(F1141,1800),2*J1141/K1141&lt;=3.76*SQRT(Es/input!BI43)),"compact","noncompact")),"noncompact"),"-")</f>
        <v>-</v>
      </c>
      <c r="M1141" s="680"/>
      <c r="P1141" s="73"/>
      <c r="Q1141" s="559"/>
      <c r="R1141" s="73"/>
      <c r="S1141" s="73"/>
      <c r="T1141" s="73"/>
      <c r="U1141" s="73"/>
      <c r="V1141" s="73"/>
      <c r="W1141" s="73"/>
      <c r="X1141" s="73"/>
      <c r="Y1141" s="73"/>
      <c r="Z1141" s="73"/>
      <c r="AA1141" s="73"/>
      <c r="AB1141" s="73"/>
      <c r="AC1141" s="73"/>
      <c r="AD1141" s="143"/>
      <c r="AE1141" s="143"/>
      <c r="AF1141" s="143"/>
      <c r="AG1141" s="143"/>
      <c r="AH1141" s="143"/>
      <c r="AI1141" s="143"/>
      <c r="AJ1141" s="143"/>
      <c r="AK1141" s="143"/>
      <c r="AL1141" s="143"/>
      <c r="AM1141" s="143"/>
      <c r="AN1141" s="143"/>
      <c r="AO1141" s="143"/>
      <c r="AP1141" s="143"/>
      <c r="AQ1141" s="143"/>
    </row>
    <row r="1142" spans="1:43" ht="15" customHeight="1">
      <c r="A1142" s="593" t="str">
        <f>+input!B44</f>
        <v>121j</v>
      </c>
      <c r="B1142" s="844" t="str">
        <f t="shared" si="55"/>
        <v>Negative</v>
      </c>
      <c r="C1142" s="844">
        <f>input!D44</f>
        <v>0</v>
      </c>
      <c r="D1142" s="596">
        <f>Cons!G945</f>
        <v>775.75</v>
      </c>
      <c r="E1142" s="595">
        <f>input!BQ44/input!N44</f>
        <v>223.3688379230685</v>
      </c>
      <c r="F1142" s="596">
        <f>input!V44</f>
        <v>3800</v>
      </c>
      <c r="G1142" s="596">
        <f>input!U44</f>
        <v>2400</v>
      </c>
      <c r="H1142" s="596">
        <f>input!T44</f>
        <v>1150</v>
      </c>
      <c r="I1142" s="595">
        <f>input!BP44</f>
        <v>0.1250402835965195</v>
      </c>
      <c r="J1142" s="596">
        <f>IF(OR(L241=1,L241="a"),M241,IF(OR(L241="b",L241="c",L241="d",L241=8),input!M44-M241,0))/COS(ATAN(input!BP44))</f>
        <v>908.36593182342222</v>
      </c>
      <c r="K1142" s="596">
        <f>input!N44</f>
        <v>14</v>
      </c>
      <c r="L1142" s="642" t="str">
        <f>IF(B1142="Positive",IF(C1142=0,(IF(AND(input!BI44 &lt;= 455, input!BK44 &lt; 455, E1142&lt;= IF(D1142=0,1000,150),0.8*G1142&lt;=F1142,1.2*G1142&gt;=F1142,I1142&lt;=0.25,H1142&lt;=MIN(F1142,1800),2*J1142/K1142&lt;=3.76*SQRT(Es/input!BI44)),"compact","noncompact")),"noncompact"),"-")</f>
        <v>-</v>
      </c>
      <c r="M1142" s="680"/>
      <c r="P1142" s="73"/>
      <c r="Q1142" s="559"/>
      <c r="R1142" s="73"/>
      <c r="S1142" s="73"/>
      <c r="T1142" s="73"/>
      <c r="U1142" s="73"/>
      <c r="V1142" s="73"/>
      <c r="W1142" s="73"/>
      <c r="X1142" s="73"/>
      <c r="Y1142" s="73"/>
      <c r="Z1142" s="73"/>
      <c r="AA1142" s="73"/>
      <c r="AB1142" s="73"/>
      <c r="AC1142" s="73"/>
      <c r="AD1142" s="143"/>
      <c r="AE1142" s="143"/>
      <c r="AF1142" s="143"/>
      <c r="AG1142" s="143"/>
      <c r="AH1142" s="143"/>
      <c r="AI1142" s="143"/>
      <c r="AJ1142" s="143"/>
      <c r="AK1142" s="143"/>
      <c r="AL1142" s="143"/>
      <c r="AM1142" s="143"/>
      <c r="AN1142" s="143"/>
      <c r="AO1142" s="143"/>
      <c r="AP1142" s="143"/>
      <c r="AQ1142" s="143"/>
    </row>
    <row r="1143" spans="1:43" ht="15" customHeight="1">
      <c r="A1143" s="593" t="str">
        <f>+input!B45</f>
        <v>122i</v>
      </c>
      <c r="B1143" s="844" t="str">
        <f t="shared" si="55"/>
        <v>Negative</v>
      </c>
      <c r="C1143" s="844">
        <f>input!D45</f>
        <v>0</v>
      </c>
      <c r="D1143" s="596">
        <f>Cons!G946</f>
        <v>731</v>
      </c>
      <c r="E1143" s="595">
        <f>input!BQ45/input!N45</f>
        <v>245.56293391692665</v>
      </c>
      <c r="F1143" s="596">
        <f>input!V45</f>
        <v>3800</v>
      </c>
      <c r="G1143" s="596">
        <f>input!U45</f>
        <v>2400</v>
      </c>
      <c r="H1143" s="596">
        <f>input!T45</f>
        <v>1200</v>
      </c>
      <c r="I1143" s="595">
        <f>input!BP45</f>
        <v>0.125</v>
      </c>
      <c r="J1143" s="596">
        <f>IF(OR(L242=1,L242="a"),M242,IF(OR(L242="b",L242="c",L242="d",L242=8),input!M45-M242,0))/COS(ATAN(input!BP45))</f>
        <v>346.59854093266506</v>
      </c>
      <c r="K1143" s="596">
        <f>input!N45</f>
        <v>12</v>
      </c>
      <c r="L1143" s="642" t="str">
        <f>IF(B1143="Positive",IF(C1143=0,(IF(AND(input!BI45 &lt;= 455, input!BK45 &lt; 455, E1143&lt;= IF(D1143=0,1000,150),0.8*G1143&lt;=F1143,1.2*G1143&gt;=F1143,I1143&lt;=0.25,H1143&lt;=MIN(F1143,1800),2*J1143/K1143&lt;=3.76*SQRT(Es/input!BI45)),"compact","noncompact")),"noncompact"),"-")</f>
        <v>-</v>
      </c>
      <c r="M1143" s="680"/>
      <c r="P1143" s="73"/>
      <c r="Q1143" s="559"/>
      <c r="R1143" s="73"/>
      <c r="S1143" s="73"/>
      <c r="T1143" s="73"/>
      <c r="U1143" s="73"/>
      <c r="V1143" s="73"/>
      <c r="W1143" s="73"/>
      <c r="X1143" s="73"/>
      <c r="Y1143" s="73"/>
      <c r="Z1143" s="73"/>
      <c r="AA1143" s="73"/>
      <c r="AB1143" s="73"/>
      <c r="AC1143" s="73"/>
      <c r="AD1143" s="143"/>
      <c r="AE1143" s="143"/>
      <c r="AF1143" s="143"/>
      <c r="AG1143" s="143"/>
      <c r="AH1143" s="143"/>
      <c r="AI1143" s="143"/>
      <c r="AJ1143" s="143"/>
      <c r="AK1143" s="143"/>
      <c r="AL1143" s="143"/>
      <c r="AM1143" s="143"/>
      <c r="AN1143" s="143"/>
      <c r="AO1143" s="143"/>
      <c r="AP1143" s="143"/>
      <c r="AQ1143" s="143"/>
    </row>
    <row r="1144" spans="1:43" ht="15" customHeight="1">
      <c r="A1144" s="593" t="str">
        <f>+input!B46</f>
        <v>122j</v>
      </c>
      <c r="B1144" s="844" t="str">
        <f t="shared" si="55"/>
        <v>Negative</v>
      </c>
      <c r="C1144" s="844">
        <f>input!D46</f>
        <v>0</v>
      </c>
      <c r="D1144" s="596">
        <f>Cons!G947</f>
        <v>731</v>
      </c>
      <c r="E1144" s="595">
        <f>input!BQ46/input!N46</f>
        <v>245.56293391692665</v>
      </c>
      <c r="F1144" s="596">
        <f>input!V46</f>
        <v>3800</v>
      </c>
      <c r="G1144" s="596">
        <f>input!U46</f>
        <v>2400</v>
      </c>
      <c r="H1144" s="596">
        <f>input!T46</f>
        <v>1200</v>
      </c>
      <c r="I1144" s="595">
        <f>input!BP46</f>
        <v>0.125</v>
      </c>
      <c r="J1144" s="596">
        <f>IF(OR(L243=1,L243="a"),M243,IF(OR(L243="b",L243="c",L243="d",L243=8),input!M46-M243,0))/COS(ATAN(input!BP46))</f>
        <v>346.59854093266506</v>
      </c>
      <c r="K1144" s="596">
        <f>input!N46</f>
        <v>12</v>
      </c>
      <c r="L1144" s="642" t="str">
        <f>IF(B1144="Positive",IF(C1144=0,(IF(AND(input!BI46 &lt;= 455, input!BK46 &lt; 455, E1144&lt;= IF(D1144=0,1000,150),0.8*G1144&lt;=F1144,1.2*G1144&gt;=F1144,I1144&lt;=0.25,H1144&lt;=MIN(F1144,1800),2*J1144/K1144&lt;=3.76*SQRT(Es/input!BI46)),"compact","noncompact")),"noncompact"),"-")</f>
        <v>-</v>
      </c>
      <c r="M1144" s="680"/>
      <c r="P1144" s="73"/>
      <c r="Q1144" s="559"/>
      <c r="R1144" s="73"/>
      <c r="S1144" s="73"/>
      <c r="T1144" s="73"/>
      <c r="U1144" s="73"/>
      <c r="V1144" s="73"/>
      <c r="W1144" s="73"/>
      <c r="X1144" s="73"/>
      <c r="Y1144" s="73"/>
      <c r="Z1144" s="73"/>
      <c r="AA1144" s="73"/>
      <c r="AB1144" s="73"/>
      <c r="AC1144" s="73"/>
      <c r="AD1144" s="143"/>
      <c r="AE1144" s="143"/>
      <c r="AF1144" s="143"/>
      <c r="AG1144" s="143"/>
      <c r="AH1144" s="143"/>
      <c r="AI1144" s="143"/>
      <c r="AJ1144" s="143"/>
      <c r="AK1144" s="143"/>
      <c r="AL1144" s="143"/>
      <c r="AM1144" s="143"/>
      <c r="AN1144" s="143"/>
      <c r="AO1144" s="143"/>
      <c r="AP1144" s="143"/>
      <c r="AQ1144" s="143"/>
    </row>
    <row r="1145" spans="1:43" ht="15" customHeight="1">
      <c r="A1145" s="593" t="str">
        <f>+input!B47</f>
        <v>123i</v>
      </c>
      <c r="B1145" s="844" t="str">
        <f t="shared" si="55"/>
        <v>Negative</v>
      </c>
      <c r="C1145" s="844">
        <f>input!D47</f>
        <v>0</v>
      </c>
      <c r="D1145" s="596">
        <f>Cons!G948</f>
        <v>703.5</v>
      </c>
      <c r="E1145" s="595">
        <f>input!BQ47/input!N47</f>
        <v>236.3223470941991</v>
      </c>
      <c r="F1145" s="596">
        <f>input!V47</f>
        <v>3800</v>
      </c>
      <c r="G1145" s="596">
        <f>input!U47</f>
        <v>2400</v>
      </c>
      <c r="H1145" s="596">
        <f>input!T47</f>
        <v>1200</v>
      </c>
      <c r="I1145" s="595">
        <f>input!BP47</f>
        <v>0.12491115849324805</v>
      </c>
      <c r="J1145" s="596">
        <f>IF(OR(L244=1,L244="a"),M244,IF(OR(L244="b",L244="c",L244="d",L244=8),input!M47-M244,0))/COS(ATAN(input!BP47))</f>
        <v>1385.4328620027084</v>
      </c>
      <c r="K1145" s="596">
        <f>input!N47</f>
        <v>12</v>
      </c>
      <c r="L1145" s="642" t="str">
        <f>IF(B1145="Positive",IF(C1145=0,(IF(AND(input!BI47 &lt;= 455, input!BK47 &lt; 455, E1145&lt;= IF(D1145=0,1000,150),0.8*G1145&lt;=F1145,1.2*G1145&gt;=F1145,I1145&lt;=0.25,H1145&lt;=MIN(F1145,1800),2*J1145/K1145&lt;=3.76*SQRT(Es/input!BI47)),"compact","noncompact")),"noncompact"),"-")</f>
        <v>-</v>
      </c>
      <c r="M1145" s="680"/>
      <c r="P1145" s="73"/>
      <c r="Q1145" s="559"/>
      <c r="R1145" s="73"/>
      <c r="S1145" s="73"/>
      <c r="T1145" s="73"/>
      <c r="U1145" s="73"/>
      <c r="V1145" s="73"/>
      <c r="W1145" s="73"/>
      <c r="X1145" s="73"/>
      <c r="Y1145" s="73"/>
      <c r="Z1145" s="73"/>
      <c r="AA1145" s="73"/>
      <c r="AB1145" s="73"/>
      <c r="AC1145" s="73"/>
      <c r="AD1145" s="143"/>
      <c r="AE1145" s="143"/>
      <c r="AF1145" s="143"/>
      <c r="AG1145" s="143"/>
      <c r="AH1145" s="143"/>
      <c r="AI1145" s="143"/>
      <c r="AJ1145" s="143"/>
      <c r="AK1145" s="143"/>
      <c r="AL1145" s="143"/>
      <c r="AM1145" s="143"/>
      <c r="AN1145" s="143"/>
      <c r="AO1145" s="143"/>
      <c r="AP1145" s="143"/>
      <c r="AQ1145" s="143"/>
    </row>
    <row r="1146" spans="1:43" ht="15" customHeight="1">
      <c r="A1146" s="593" t="str">
        <f>+input!B48</f>
        <v>123j</v>
      </c>
      <c r="B1146" s="844" t="str">
        <f t="shared" si="55"/>
        <v>Negative</v>
      </c>
      <c r="C1146" s="844">
        <f>input!D48</f>
        <v>0</v>
      </c>
      <c r="D1146" s="596">
        <f>Cons!G949</f>
        <v>703.5</v>
      </c>
      <c r="E1146" s="595">
        <f>input!BQ48/input!N48</f>
        <v>236.3223470941991</v>
      </c>
      <c r="F1146" s="596">
        <f>input!V48</f>
        <v>3800</v>
      </c>
      <c r="G1146" s="596">
        <f>input!U48</f>
        <v>2400</v>
      </c>
      <c r="H1146" s="596">
        <f>input!T48</f>
        <v>1200</v>
      </c>
      <c r="I1146" s="595">
        <f>input!BP48</f>
        <v>0.12491115849324805</v>
      </c>
      <c r="J1146" s="596">
        <f>IF(OR(L245=1,L245="a"),M245,IF(OR(L245="b",L245="c",L245="d",L245=8),input!M48-M245,0))/COS(ATAN(input!BP48))</f>
        <v>1385.4328620027084</v>
      </c>
      <c r="K1146" s="596">
        <f>input!N48</f>
        <v>12</v>
      </c>
      <c r="L1146" s="642" t="str">
        <f>IF(B1146="Positive",IF(C1146=0,(IF(AND(input!BI48 &lt;= 455, input!BK48 &lt; 455, E1146&lt;= IF(D1146=0,1000,150),0.8*G1146&lt;=F1146,1.2*G1146&gt;=F1146,I1146&lt;=0.25,H1146&lt;=MIN(F1146,1800),2*J1146/K1146&lt;=3.76*SQRT(Es/input!BI48)),"compact","noncompact")),"noncompact"),"-")</f>
        <v>-</v>
      </c>
      <c r="M1146" s="680"/>
      <c r="P1146" s="73"/>
      <c r="Q1146" s="559"/>
      <c r="R1146" s="73"/>
      <c r="S1146" s="73"/>
      <c r="T1146" s="73"/>
      <c r="U1146" s="73"/>
      <c r="V1146" s="73"/>
      <c r="W1146" s="73"/>
      <c r="X1146" s="73"/>
      <c r="Y1146" s="73"/>
      <c r="Z1146" s="73"/>
      <c r="AA1146" s="73"/>
      <c r="AB1146" s="73"/>
      <c r="AC1146" s="73"/>
      <c r="AD1146" s="143"/>
      <c r="AE1146" s="143"/>
      <c r="AF1146" s="143"/>
      <c r="AG1146" s="143"/>
      <c r="AH1146" s="143"/>
      <c r="AI1146" s="143"/>
      <c r="AJ1146" s="143"/>
      <c r="AK1146" s="143"/>
      <c r="AL1146" s="143"/>
      <c r="AM1146" s="143"/>
      <c r="AN1146" s="143"/>
      <c r="AO1146" s="143"/>
      <c r="AP1146" s="143"/>
      <c r="AQ1146" s="143"/>
    </row>
    <row r="1147" spans="1:43" ht="15" customHeight="1">
      <c r="A1147" s="593" t="str">
        <f>+input!B49</f>
        <v>124i</v>
      </c>
      <c r="B1147" s="844" t="str">
        <f t="shared" si="55"/>
        <v>Negative</v>
      </c>
      <c r="C1147" s="844">
        <f>input!D49</f>
        <v>0</v>
      </c>
      <c r="D1147" s="596">
        <f>Cons!G950</f>
        <v>700</v>
      </c>
      <c r="E1147" s="595">
        <f>input!BQ49/input!N49</f>
        <v>235.14918432537436</v>
      </c>
      <c r="F1147" s="596">
        <f>input!V49</f>
        <v>3800</v>
      </c>
      <c r="G1147" s="596">
        <f>input!U49</f>
        <v>2400</v>
      </c>
      <c r="H1147" s="596">
        <f>input!T49</f>
        <v>1200</v>
      </c>
      <c r="I1147" s="595">
        <f>input!BP49</f>
        <v>0.125</v>
      </c>
      <c r="J1147" s="596">
        <f>IF(OR(L246=1,L246="a"),M246,IF(OR(L246="b",L246="c",L246="d",L246=8),input!M49-M246,0))/COS(ATAN(input!BP49))</f>
        <v>1145.353979286474</v>
      </c>
      <c r="K1147" s="596">
        <f>input!N49</f>
        <v>12</v>
      </c>
      <c r="L1147" s="642" t="str">
        <f>IF(B1147="Positive",IF(C1147=0,(IF(AND(input!BI49 &lt;= 455, input!BK49 &lt; 455, E1147&lt;= IF(D1147=0,1000,150),0.8*G1147&lt;=F1147,1.2*G1147&gt;=F1147,I1147&lt;=0.25,H1147&lt;=MIN(F1147,1800),2*J1147/K1147&lt;=3.76*SQRT(Es/input!BI49)),"compact","noncompact")),"noncompact"),"-")</f>
        <v>-</v>
      </c>
      <c r="M1147" s="680"/>
      <c r="P1147" s="73"/>
      <c r="Q1147" s="559"/>
      <c r="R1147" s="73"/>
      <c r="S1147" s="73"/>
      <c r="T1147" s="73"/>
      <c r="U1147" s="73"/>
      <c r="V1147" s="73"/>
      <c r="W1147" s="73"/>
      <c r="X1147" s="73"/>
      <c r="Y1147" s="73"/>
      <c r="Z1147" s="73"/>
      <c r="AA1147" s="73"/>
      <c r="AB1147" s="73"/>
      <c r="AC1147" s="73"/>
      <c r="AD1147" s="143"/>
      <c r="AE1147" s="143"/>
      <c r="AF1147" s="143"/>
      <c r="AG1147" s="143"/>
      <c r="AH1147" s="143"/>
      <c r="AI1147" s="143"/>
      <c r="AJ1147" s="143"/>
      <c r="AK1147" s="143"/>
      <c r="AL1147" s="143"/>
      <c r="AM1147" s="143"/>
      <c r="AN1147" s="143"/>
      <c r="AO1147" s="143"/>
      <c r="AP1147" s="143"/>
      <c r="AQ1147" s="143"/>
    </row>
    <row r="1148" spans="1:43" ht="15" customHeight="1">
      <c r="A1148" s="593" t="str">
        <f>+input!B50</f>
        <v>124j</v>
      </c>
      <c r="B1148" s="844" t="str">
        <f t="shared" si="55"/>
        <v>Negative</v>
      </c>
      <c r="C1148" s="844">
        <f>input!D50</f>
        <v>0</v>
      </c>
      <c r="D1148" s="596">
        <f>Cons!G951</f>
        <v>700</v>
      </c>
      <c r="E1148" s="595">
        <f>input!BQ50/input!N50</f>
        <v>235.14918432537436</v>
      </c>
      <c r="F1148" s="596">
        <f>input!V50</f>
        <v>3800</v>
      </c>
      <c r="G1148" s="596">
        <f>input!U50</f>
        <v>2400</v>
      </c>
      <c r="H1148" s="596">
        <f>input!T50</f>
        <v>1200</v>
      </c>
      <c r="I1148" s="595">
        <f>input!BP50</f>
        <v>0.125</v>
      </c>
      <c r="J1148" s="596">
        <f>IF(OR(L247=1,L247="a"),M247,IF(OR(L247="b",L247="c",L247="d",L247=8),input!M50-M247,0))/COS(ATAN(input!BP50))</f>
        <v>1145.353979286474</v>
      </c>
      <c r="K1148" s="596">
        <f>input!N50</f>
        <v>12</v>
      </c>
      <c r="L1148" s="642" t="str">
        <f>IF(B1148="Positive",IF(C1148=0,(IF(AND(input!BI50 &lt;= 455, input!BK50 &lt; 455, E1148&lt;= IF(D1148=0,1000,150),0.8*G1148&lt;=F1148,1.2*G1148&gt;=F1148,I1148&lt;=0.25,H1148&lt;=MIN(F1148,1800),2*J1148/K1148&lt;=3.76*SQRT(Es/input!BI50)),"compact","noncompact")),"noncompact"),"-")</f>
        <v>-</v>
      </c>
      <c r="M1148" s="680"/>
      <c r="P1148" s="73"/>
      <c r="Q1148" s="559"/>
      <c r="R1148" s="73"/>
      <c r="S1148" s="73"/>
      <c r="T1148" s="73"/>
      <c r="U1148" s="73"/>
      <c r="V1148" s="73"/>
      <c r="W1148" s="73"/>
      <c r="X1148" s="73"/>
      <c r="Y1148" s="73"/>
      <c r="Z1148" s="73"/>
      <c r="AA1148" s="73"/>
      <c r="AB1148" s="73"/>
      <c r="AC1148" s="73"/>
      <c r="AD1148" s="143"/>
      <c r="AE1148" s="143"/>
      <c r="AF1148" s="143"/>
      <c r="AG1148" s="143"/>
      <c r="AH1148" s="143"/>
      <c r="AI1148" s="143"/>
      <c r="AJ1148" s="143"/>
      <c r="AK1148" s="143"/>
      <c r="AL1148" s="143"/>
      <c r="AM1148" s="143"/>
      <c r="AN1148" s="143"/>
      <c r="AO1148" s="143"/>
      <c r="AP1148" s="143"/>
      <c r="AQ1148" s="143"/>
    </row>
    <row r="1149" spans="1:43" ht="15" customHeight="1">
      <c r="A1149" s="593" t="str">
        <f>+input!B51</f>
        <v>125i</v>
      </c>
      <c r="B1149" s="844" t="str">
        <f t="shared" si="55"/>
        <v>Negative</v>
      </c>
      <c r="C1149" s="844">
        <f>input!D51</f>
        <v>0</v>
      </c>
      <c r="D1149" s="596">
        <f>Cons!G952</f>
        <v>700</v>
      </c>
      <c r="E1149" s="595">
        <f>input!BQ51/input!N51</f>
        <v>235.14918432537436</v>
      </c>
      <c r="F1149" s="596">
        <f>input!V51</f>
        <v>3800</v>
      </c>
      <c r="G1149" s="596">
        <f>input!U51</f>
        <v>2400</v>
      </c>
      <c r="H1149" s="596">
        <f>input!T51</f>
        <v>1200</v>
      </c>
      <c r="I1149" s="595">
        <f>input!BP51</f>
        <v>0.125</v>
      </c>
      <c r="J1149" s="596">
        <f>IF(OR(L248=1,L248="a"),M248,IF(OR(L248="b",L248="c",L248="d",L248=8),input!M51-M248,0))/COS(ATAN(input!BP51))</f>
        <v>1315.7295661409337</v>
      </c>
      <c r="K1149" s="596">
        <f>input!N51</f>
        <v>12</v>
      </c>
      <c r="L1149" s="642" t="str">
        <f>IF(B1149="Positive",IF(C1149=0,(IF(AND(input!BI51 &lt;= 455, input!BK51 &lt; 455, E1149&lt;= IF(D1149=0,1000,150),0.8*G1149&lt;=F1149,1.2*G1149&gt;=F1149,I1149&lt;=0.25,H1149&lt;=MIN(F1149,1800),2*J1149/K1149&lt;=3.76*SQRT(Es/input!BI51)),"compact","noncompact")),"noncompact"),"-")</f>
        <v>-</v>
      </c>
      <c r="M1149" s="680"/>
      <c r="P1149" s="73"/>
      <c r="Q1149" s="559"/>
      <c r="R1149" s="73"/>
      <c r="S1149" s="73"/>
      <c r="T1149" s="73"/>
      <c r="U1149" s="73"/>
      <c r="V1149" s="73"/>
      <c r="W1149" s="73"/>
      <c r="X1149" s="73"/>
      <c r="Y1149" s="73"/>
      <c r="Z1149" s="73"/>
      <c r="AA1149" s="73"/>
      <c r="AB1149" s="73"/>
      <c r="AC1149" s="73"/>
      <c r="AD1149" s="143"/>
      <c r="AE1149" s="143"/>
      <c r="AF1149" s="143"/>
      <c r="AG1149" s="143"/>
      <c r="AH1149" s="143"/>
      <c r="AI1149" s="143"/>
      <c r="AJ1149" s="143"/>
      <c r="AK1149" s="143"/>
      <c r="AL1149" s="143"/>
      <c r="AM1149" s="143"/>
      <c r="AN1149" s="143"/>
      <c r="AO1149" s="143"/>
      <c r="AP1149" s="143"/>
      <c r="AQ1149" s="143"/>
    </row>
    <row r="1150" spans="1:43" ht="15" customHeight="1">
      <c r="A1150" s="994" t="str">
        <f>+input!B52</f>
        <v>125j</v>
      </c>
      <c r="B1150" s="1052" t="str">
        <f t="shared" si="55"/>
        <v>Negative</v>
      </c>
      <c r="C1150" s="844">
        <f>input!D52</f>
        <v>0</v>
      </c>
      <c r="D1150" s="596">
        <f>Cons!G953</f>
        <v>700</v>
      </c>
      <c r="E1150" s="998">
        <f>input!BQ52/input!N52</f>
        <v>235.14918432537436</v>
      </c>
      <c r="F1150" s="1008">
        <f>input!V52</f>
        <v>3800</v>
      </c>
      <c r="G1150" s="1008">
        <f>input!U52</f>
        <v>2400</v>
      </c>
      <c r="H1150" s="1008">
        <f>input!T52</f>
        <v>1200</v>
      </c>
      <c r="I1150" s="998">
        <f>input!BP52</f>
        <v>0.125</v>
      </c>
      <c r="J1150" s="596">
        <f>IF(OR(L249=1,L249="a"),M249,IF(OR(L249="b",L249="c",L249="d",L249=8),input!M52-M249,0))/COS(ATAN(input!BP52))</f>
        <v>1315.7295661409337</v>
      </c>
      <c r="K1150" s="596">
        <f>input!N52</f>
        <v>12</v>
      </c>
      <c r="L1150" s="642" t="str">
        <f>IF(B1150="Positive",IF(C1150=0,(IF(AND(input!BI52 &lt;= 455, input!BK52 &lt; 455, E1150&lt;= IF(D1150=0,1000,150),0.8*G1150&lt;=F1150,1.2*G1150&gt;=F1150,I1150&lt;=0.25,H1150&lt;=MIN(F1150,1800),2*J1150/K1150&lt;=3.76*SQRT(Es/input!BI52)),"compact","noncompact")),"noncompact"),"-")</f>
        <v>-</v>
      </c>
      <c r="M1150" s="645"/>
      <c r="P1150" s="73"/>
      <c r="Q1150" s="559"/>
      <c r="R1150" s="73"/>
      <c r="S1150" s="73"/>
      <c r="T1150" s="73"/>
      <c r="U1150" s="73"/>
      <c r="V1150" s="73"/>
      <c r="W1150" s="73"/>
      <c r="X1150" s="73"/>
      <c r="Y1150" s="73"/>
      <c r="Z1150" s="73"/>
      <c r="AA1150" s="73"/>
      <c r="AB1150" s="73"/>
      <c r="AC1150" s="73"/>
      <c r="AD1150" s="143"/>
      <c r="AE1150" s="143"/>
      <c r="AF1150" s="143"/>
      <c r="AG1150" s="143"/>
      <c r="AH1150" s="143"/>
      <c r="AI1150" s="143"/>
      <c r="AJ1150" s="143"/>
      <c r="AK1150" s="143"/>
      <c r="AL1150" s="143"/>
      <c r="AM1150" s="143"/>
      <c r="AN1150" s="143"/>
      <c r="AO1150" s="143"/>
      <c r="AP1150" s="143"/>
      <c r="AQ1150" s="143"/>
    </row>
    <row r="1151" spans="1:43" ht="15" customHeight="1">
      <c r="A1151" s="1000" t="str">
        <f>+input!B53</f>
        <v>126i</v>
      </c>
      <c r="B1151" s="1056" t="str">
        <f t="shared" si="55"/>
        <v>Negative</v>
      </c>
      <c r="C1151" s="844">
        <f>input!D53</f>
        <v>0</v>
      </c>
      <c r="D1151" s="596">
        <f>Cons!G954</f>
        <v>700</v>
      </c>
      <c r="E1151" s="1004">
        <f>input!BQ53/input!N53</f>
        <v>235.14918432537436</v>
      </c>
      <c r="F1151" s="1011">
        <f>input!V53</f>
        <v>3800</v>
      </c>
      <c r="G1151" s="1011">
        <f>input!U53</f>
        <v>2400</v>
      </c>
      <c r="H1151" s="1011">
        <f>input!T53</f>
        <v>1200</v>
      </c>
      <c r="I1151" s="1004">
        <f>input!BP53</f>
        <v>0.125</v>
      </c>
      <c r="J1151" s="596">
        <f>IF(OR(L250=1,L250="a"),M250,IF(OR(L250="b",L250="c",L250="d",L250=8),input!M53-M250,0))/COS(ATAN(input!BP53))</f>
        <v>1315.7295661409337</v>
      </c>
      <c r="K1151" s="596">
        <f>input!N53</f>
        <v>12</v>
      </c>
      <c r="L1151" s="642" t="str">
        <f>IF(B1151="Positive",IF(C1151=0,(IF(AND(input!BI53 &lt;= 455, input!BK53 &lt; 455, E1151&lt;= IF(D1151=0,1000,150),0.8*G1151&lt;=F1151,1.2*G1151&gt;=F1151,I1151&lt;=0.25,H1151&lt;=MIN(F1151,1800),2*J1151/K1151&lt;=3.76*SQRT(Es/input!BI53)),"compact","noncompact")),"noncompact"),"-")</f>
        <v>-</v>
      </c>
      <c r="M1151" s="1069"/>
      <c r="P1151" s="73"/>
      <c r="Q1151" s="559"/>
      <c r="R1151" s="73"/>
      <c r="S1151" s="73"/>
      <c r="T1151" s="73"/>
      <c r="U1151" s="73"/>
      <c r="V1151" s="73"/>
      <c r="W1151" s="73"/>
      <c r="X1151" s="73"/>
      <c r="Y1151" s="73"/>
      <c r="Z1151" s="73"/>
      <c r="AA1151" s="73"/>
      <c r="AB1151" s="73"/>
      <c r="AC1151" s="73"/>
      <c r="AD1151" s="143"/>
      <c r="AE1151" s="143"/>
      <c r="AF1151" s="143"/>
      <c r="AG1151" s="143"/>
      <c r="AH1151" s="143"/>
      <c r="AI1151" s="143"/>
      <c r="AJ1151" s="143"/>
      <c r="AK1151" s="143"/>
      <c r="AL1151" s="143"/>
      <c r="AM1151" s="143"/>
      <c r="AN1151" s="143"/>
      <c r="AO1151" s="143"/>
      <c r="AP1151" s="143"/>
      <c r="AQ1151" s="143"/>
    </row>
    <row r="1152" spans="1:43" ht="15" customHeight="1">
      <c r="A1152" s="593" t="str">
        <f>+input!B54</f>
        <v>126j</v>
      </c>
      <c r="B1152" s="844" t="str">
        <f t="shared" si="55"/>
        <v>Negative</v>
      </c>
      <c r="C1152" s="844">
        <f>input!D54</f>
        <v>0</v>
      </c>
      <c r="D1152" s="596">
        <f>Cons!G955</f>
        <v>700</v>
      </c>
      <c r="E1152" s="595">
        <f>input!BQ54/input!N54</f>
        <v>235.14918432537436</v>
      </c>
      <c r="F1152" s="596">
        <f>input!V54</f>
        <v>3800</v>
      </c>
      <c r="G1152" s="596">
        <f>input!U54</f>
        <v>2400</v>
      </c>
      <c r="H1152" s="596">
        <f>input!T54</f>
        <v>1200</v>
      </c>
      <c r="I1152" s="595">
        <f>input!BP54</f>
        <v>0.125</v>
      </c>
      <c r="J1152" s="596">
        <f>IF(OR(L251=1,L251="a"),M251,IF(OR(L251="b",L251="c",L251="d",L251=8),input!M54-M251,0))/COS(ATAN(input!BP54))</f>
        <v>1315.7295661409337</v>
      </c>
      <c r="K1152" s="596">
        <f>input!N54</f>
        <v>12</v>
      </c>
      <c r="L1152" s="642" t="str">
        <f>IF(B1152="Positive",IF(C1152=0,(IF(AND(input!BI54 &lt;= 455, input!BK54 &lt; 455, E1152&lt;= IF(D1152=0,1000,150),0.8*G1152&lt;=F1152,1.2*G1152&gt;=F1152,I1152&lt;=0.25,H1152&lt;=MIN(F1152,1800),2*J1152/K1152&lt;=3.76*SQRT(Es/input!BI54)),"compact","noncompact")),"noncompact"),"-")</f>
        <v>-</v>
      </c>
      <c r="M1152" s="680"/>
      <c r="P1152" s="73"/>
      <c r="Q1152" s="559"/>
      <c r="R1152" s="73"/>
      <c r="S1152" s="73"/>
      <c r="T1152" s="73"/>
      <c r="U1152" s="73"/>
      <c r="V1152" s="73"/>
      <c r="W1152" s="73"/>
      <c r="X1152" s="73"/>
      <c r="Y1152" s="73"/>
      <c r="Z1152" s="73"/>
      <c r="AA1152" s="73"/>
      <c r="AB1152" s="73"/>
      <c r="AC1152" s="73"/>
      <c r="AD1152" s="143"/>
      <c r="AE1152" s="143"/>
      <c r="AF1152" s="143"/>
      <c r="AG1152" s="143"/>
      <c r="AH1152" s="143"/>
      <c r="AI1152" s="143"/>
      <c r="AJ1152" s="143"/>
      <c r="AK1152" s="143"/>
      <c r="AL1152" s="143"/>
      <c r="AM1152" s="143"/>
      <c r="AN1152" s="143"/>
      <c r="AO1152" s="143"/>
      <c r="AP1152" s="143"/>
      <c r="AQ1152" s="143"/>
    </row>
    <row r="1153" spans="1:50" ht="15" customHeight="1">
      <c r="A1153" s="593" t="str">
        <f>+input!B55</f>
        <v>127i</v>
      </c>
      <c r="B1153" s="844" t="str">
        <f t="shared" si="55"/>
        <v>Negative</v>
      </c>
      <c r="C1153" s="844">
        <f>input!D55</f>
        <v>0</v>
      </c>
      <c r="D1153" s="596">
        <f>Cons!G956</f>
        <v>700</v>
      </c>
      <c r="E1153" s="595">
        <f>input!BQ55/input!N55</f>
        <v>235.14918432537436</v>
      </c>
      <c r="F1153" s="596">
        <f>input!V55</f>
        <v>3800</v>
      </c>
      <c r="G1153" s="596">
        <f>input!U55</f>
        <v>2400</v>
      </c>
      <c r="H1153" s="596">
        <f>input!T55</f>
        <v>1200</v>
      </c>
      <c r="I1153" s="595">
        <f>input!BP55</f>
        <v>0.125</v>
      </c>
      <c r="J1153" s="596">
        <f>IF(OR(L252=1,L252="a"),M252,IF(OR(L252="b",L252="c",L252="d",L252=8),input!M55-M252,0))/COS(ATAN(input!BP55))</f>
        <v>1661.8328525259101</v>
      </c>
      <c r="K1153" s="596">
        <f>input!N55</f>
        <v>12</v>
      </c>
      <c r="L1153" s="642" t="str">
        <f>IF(B1153="Positive",IF(C1153=0,(IF(AND(input!BI55 &lt;= 455, input!BK55 &lt; 455, E1153&lt;= IF(D1153=0,1000,150),0.8*G1153&lt;=F1153,1.2*G1153&gt;=F1153,I1153&lt;=0.25,H1153&lt;=MIN(F1153,1800),2*J1153/K1153&lt;=3.76*SQRT(Es/input!BI55)),"compact","noncompact")),"noncompact"),"-")</f>
        <v>-</v>
      </c>
      <c r="M1153" s="680"/>
      <c r="P1153" s="73"/>
      <c r="Q1153" s="559"/>
      <c r="R1153" s="73"/>
      <c r="S1153" s="73"/>
      <c r="T1153" s="73"/>
      <c r="U1153" s="73"/>
      <c r="V1153" s="73"/>
      <c r="W1153" s="73"/>
      <c r="X1153" s="73"/>
      <c r="Y1153" s="73"/>
      <c r="Z1153" s="73"/>
      <c r="AA1153" s="73"/>
      <c r="AB1153" s="73"/>
      <c r="AC1153" s="73"/>
      <c r="AD1153" s="143"/>
      <c r="AE1153" s="143"/>
      <c r="AF1153" s="143"/>
      <c r="AG1153" s="143"/>
      <c r="AH1153" s="143"/>
      <c r="AI1153" s="143"/>
      <c r="AJ1153" s="143"/>
      <c r="AK1153" s="143"/>
      <c r="AL1153" s="143"/>
      <c r="AM1153" s="143"/>
      <c r="AN1153" s="143"/>
      <c r="AO1153" s="143"/>
      <c r="AP1153" s="143"/>
      <c r="AQ1153" s="143"/>
    </row>
    <row r="1154" spans="1:50" ht="15" customHeight="1">
      <c r="A1154" s="593" t="str">
        <f>+input!B56</f>
        <v>127j</v>
      </c>
      <c r="B1154" s="844" t="str">
        <f t="shared" si="55"/>
        <v>Positive</v>
      </c>
      <c r="C1154" s="844">
        <f>input!D56</f>
        <v>0</v>
      </c>
      <c r="D1154" s="596">
        <f>Cons!G957</f>
        <v>700</v>
      </c>
      <c r="E1154" s="595">
        <f>input!BQ56/input!N56</f>
        <v>235.14918432537436</v>
      </c>
      <c r="F1154" s="596">
        <f>input!V56</f>
        <v>3800</v>
      </c>
      <c r="G1154" s="596">
        <f>input!U56</f>
        <v>2400</v>
      </c>
      <c r="H1154" s="596">
        <f>input!T56</f>
        <v>1200</v>
      </c>
      <c r="I1154" s="595">
        <f>input!BP56</f>
        <v>0.125</v>
      </c>
      <c r="J1154" s="596">
        <f>IF(OR(L253=1,L253="a"),M253,IF(OR(L253="b",L253="c",L253="d",L253=8),input!M56-M253,0))/COS(ATAN(input!BP56))</f>
        <v>0</v>
      </c>
      <c r="K1154" s="596">
        <f>input!N56</f>
        <v>12</v>
      </c>
      <c r="L1154" s="642" t="str">
        <f>IF(B1154="Positive",IF(C1154=0,(IF(AND(input!BI56 &lt;= 455, input!BK56 &lt; 455, E1154&lt;= IF(D1154=0,1000,150),0.8*G1154&lt;=F1154,1.2*G1154&gt;=F1154,I1154&lt;=0.25,H1154&lt;=MIN(F1154,1800),2*J1154/K1154&lt;=3.76*SQRT(Es/input!BI56)),"compact","noncompact")),"noncompact"),"-")</f>
        <v>noncompact</v>
      </c>
      <c r="M1154" s="680"/>
      <c r="P1154" s="73"/>
      <c r="Q1154" s="559"/>
      <c r="R1154" s="73"/>
      <c r="S1154" s="73"/>
      <c r="T1154" s="73"/>
      <c r="U1154" s="73"/>
      <c r="V1154" s="73"/>
      <c r="W1154" s="73"/>
      <c r="X1154" s="73"/>
      <c r="Y1154" s="73"/>
      <c r="Z1154" s="73"/>
      <c r="AA1154" s="73"/>
      <c r="AB1154" s="73"/>
      <c r="AC1154" s="73"/>
      <c r="AD1154" s="143"/>
      <c r="AE1154" s="143"/>
      <c r="AF1154" s="143"/>
      <c r="AG1154" s="143"/>
      <c r="AH1154" s="143"/>
      <c r="AI1154" s="143"/>
      <c r="AJ1154" s="143"/>
      <c r="AK1154" s="143"/>
      <c r="AL1154" s="143"/>
      <c r="AM1154" s="143"/>
      <c r="AN1154" s="143"/>
      <c r="AO1154" s="143"/>
      <c r="AP1154" s="143"/>
      <c r="AQ1154" s="143"/>
    </row>
    <row r="1155" spans="1:50" ht="15" customHeight="1">
      <c r="A1155" s="593" t="str">
        <f>+input!B57</f>
        <v>128i</v>
      </c>
      <c r="B1155" s="844" t="str">
        <f t="shared" si="55"/>
        <v>Positive</v>
      </c>
      <c r="C1155" s="844">
        <f>input!D57</f>
        <v>0</v>
      </c>
      <c r="D1155" s="596">
        <f>Cons!G958</f>
        <v>700</v>
      </c>
      <c r="E1155" s="595">
        <f>input!BQ57/input!N57</f>
        <v>235.14918432537436</v>
      </c>
      <c r="F1155" s="596">
        <f>input!V57</f>
        <v>3800</v>
      </c>
      <c r="G1155" s="596">
        <f>input!U57</f>
        <v>2400</v>
      </c>
      <c r="H1155" s="596">
        <f>input!T57</f>
        <v>1200</v>
      </c>
      <c r="I1155" s="595">
        <f>input!BP57</f>
        <v>0.125</v>
      </c>
      <c r="J1155" s="596">
        <f>IF(OR(L254=1,L254="a"),M254,IF(OR(L254="b",L254="c",L254="d",L254=8),input!M57-M254,0))/COS(ATAN(input!BP57))</f>
        <v>0</v>
      </c>
      <c r="K1155" s="596">
        <f>input!N57</f>
        <v>12</v>
      </c>
      <c r="L1155" s="642" t="str">
        <f>IF(B1155="Positive",IF(C1155=0,(IF(AND(input!BI57 &lt;= 455, input!BK57 &lt; 455, E1155&lt;= IF(D1155=0,1000,150),0.8*G1155&lt;=F1155,1.2*G1155&gt;=F1155,I1155&lt;=0.25,H1155&lt;=MIN(F1155,1800),2*J1155/K1155&lt;=3.76*SQRT(Es/input!BI57)),"compact","noncompact")),"noncompact"),"-")</f>
        <v>noncompact</v>
      </c>
      <c r="M1155" s="680"/>
      <c r="P1155" s="73"/>
      <c r="Q1155" s="559"/>
      <c r="R1155" s="73"/>
      <c r="S1155" s="73"/>
      <c r="T1155" s="73"/>
      <c r="U1155" s="73"/>
      <c r="V1155" s="73"/>
      <c r="W1155" s="73"/>
      <c r="X1155" s="73"/>
      <c r="Y1155" s="73"/>
      <c r="Z1155" s="73"/>
      <c r="AA1155" s="73"/>
      <c r="AB1155" s="73"/>
      <c r="AC1155" s="73"/>
      <c r="AD1155" s="143"/>
      <c r="AE1155" s="143"/>
      <c r="AF1155" s="143"/>
      <c r="AG1155" s="143"/>
      <c r="AH1155" s="143"/>
      <c r="AI1155" s="143"/>
      <c r="AJ1155" s="143"/>
      <c r="AK1155" s="143"/>
      <c r="AL1155" s="143"/>
      <c r="AM1155" s="143"/>
      <c r="AN1155" s="143"/>
      <c r="AO1155" s="143"/>
      <c r="AP1155" s="143"/>
      <c r="AQ1155" s="143"/>
    </row>
    <row r="1156" spans="1:50" ht="15" customHeight="1">
      <c r="A1156" s="593" t="str">
        <f>+input!B58</f>
        <v>128j</v>
      </c>
      <c r="B1156" s="844" t="str">
        <f t="shared" si="55"/>
        <v>Positive</v>
      </c>
      <c r="C1156" s="844">
        <f>input!D58</f>
        <v>0</v>
      </c>
      <c r="D1156" s="596">
        <f>Cons!G959</f>
        <v>700</v>
      </c>
      <c r="E1156" s="595">
        <f>input!BQ58/input!N58</f>
        <v>235.14918432537436</v>
      </c>
      <c r="F1156" s="596">
        <f>input!V58</f>
        <v>3800</v>
      </c>
      <c r="G1156" s="596">
        <f>input!U58</f>
        <v>2400</v>
      </c>
      <c r="H1156" s="596">
        <f>input!T58</f>
        <v>1200</v>
      </c>
      <c r="I1156" s="595">
        <f>input!BP58</f>
        <v>0.125</v>
      </c>
      <c r="J1156" s="596">
        <f>IF(OR(L255=1,L255="a"),M255,IF(OR(L255="b",L255="c",L255="d",L255=8),input!M58-M255,0))/COS(ATAN(input!BP58))</f>
        <v>0</v>
      </c>
      <c r="K1156" s="596">
        <f>input!N58</f>
        <v>12</v>
      </c>
      <c r="L1156" s="642" t="str">
        <f>IF(B1156="Positive",IF(C1156=0,(IF(AND(input!BI58 &lt;= 455, input!BK58 &lt; 455, E1156&lt;= IF(D1156=0,1000,150),0.8*G1156&lt;=F1156,1.2*G1156&gt;=F1156,I1156&lt;=0.25,H1156&lt;=MIN(F1156,1800),2*J1156/K1156&lt;=3.76*SQRT(Es/input!BI58)),"compact","noncompact")),"noncompact"),"-")</f>
        <v>noncompact</v>
      </c>
      <c r="M1156" s="680"/>
      <c r="P1156" s="73"/>
      <c r="Q1156" s="559"/>
      <c r="R1156" s="73"/>
      <c r="S1156" s="73"/>
      <c r="T1156" s="73"/>
      <c r="U1156" s="73"/>
      <c r="V1156" s="73"/>
      <c r="W1156" s="73"/>
      <c r="X1156" s="73"/>
      <c r="Y1156" s="73"/>
      <c r="Z1156" s="73"/>
      <c r="AA1156" s="73"/>
      <c r="AB1156" s="73"/>
      <c r="AC1156" s="73"/>
      <c r="AD1156" s="143"/>
      <c r="AE1156" s="143"/>
      <c r="AF1156" s="143"/>
      <c r="AG1156" s="143"/>
      <c r="AH1156" s="143"/>
      <c r="AI1156" s="143"/>
      <c r="AJ1156" s="143"/>
      <c r="AK1156" s="143"/>
      <c r="AL1156" s="143"/>
      <c r="AM1156" s="143"/>
      <c r="AN1156" s="143"/>
      <c r="AO1156" s="143"/>
      <c r="AP1156" s="143"/>
      <c r="AQ1156" s="143"/>
    </row>
    <row r="1157" spans="1:50" ht="15" customHeight="1">
      <c r="A1157" s="593" t="str">
        <f>+input!B59</f>
        <v>129i</v>
      </c>
      <c r="B1157" s="844" t="str">
        <f t="shared" si="55"/>
        <v>Positive</v>
      </c>
      <c r="C1157" s="844">
        <f>input!D59</f>
        <v>0</v>
      </c>
      <c r="D1157" s="596">
        <f>Cons!G960</f>
        <v>700</v>
      </c>
      <c r="E1157" s="595">
        <f>input!BQ59/input!N59</f>
        <v>235.14918432537436</v>
      </c>
      <c r="F1157" s="596">
        <f>input!V59</f>
        <v>3800</v>
      </c>
      <c r="G1157" s="596">
        <f>input!U59</f>
        <v>2400</v>
      </c>
      <c r="H1157" s="596">
        <f>input!T59</f>
        <v>1200</v>
      </c>
      <c r="I1157" s="595">
        <f>input!BP59</f>
        <v>0.125</v>
      </c>
      <c r="J1157" s="596">
        <f>IF(OR(L256=1,L256="a"),M256,IF(OR(L256="b",L256="c",L256="d",L256=8),input!M59-M256,0))/COS(ATAN(input!BP59))</f>
        <v>0</v>
      </c>
      <c r="K1157" s="596">
        <f>input!N59</f>
        <v>12</v>
      </c>
      <c r="L1157" s="642" t="str">
        <f>IF(B1157="Positive",IF(C1157=0,(IF(AND(input!BI59 &lt;= 455, input!BK59 &lt; 455, E1157&lt;= IF(D1157=0,1000,150),0.8*G1157&lt;=F1157,1.2*G1157&gt;=F1157,I1157&lt;=0.25,H1157&lt;=MIN(F1157,1800),2*J1157/K1157&lt;=3.76*SQRT(Es/input!BI59)),"compact","noncompact")),"noncompact"),"-")</f>
        <v>noncompact</v>
      </c>
      <c r="M1157" s="680"/>
      <c r="P1157" s="73"/>
      <c r="Q1157" s="559"/>
      <c r="R1157" s="73"/>
      <c r="S1157" s="73"/>
      <c r="T1157" s="73"/>
      <c r="U1157" s="73"/>
      <c r="V1157" s="73"/>
      <c r="W1157" s="73"/>
      <c r="X1157" s="73"/>
      <c r="Y1157" s="73"/>
      <c r="Z1157" s="73"/>
      <c r="AA1157" s="73"/>
      <c r="AB1157" s="73"/>
      <c r="AC1157" s="73"/>
      <c r="AD1157" s="143"/>
      <c r="AE1157" s="143"/>
      <c r="AF1157" s="143"/>
      <c r="AG1157" s="143"/>
      <c r="AH1157" s="143"/>
      <c r="AI1157" s="143"/>
      <c r="AJ1157" s="143"/>
      <c r="AK1157" s="143"/>
      <c r="AL1157" s="143"/>
      <c r="AM1157" s="143"/>
      <c r="AN1157" s="143"/>
      <c r="AO1157" s="143"/>
      <c r="AP1157" s="143"/>
      <c r="AQ1157" s="143"/>
    </row>
    <row r="1158" spans="1:50" ht="15" customHeight="1">
      <c r="A1158" s="593" t="str">
        <f>+input!B60</f>
        <v>129j</v>
      </c>
      <c r="B1158" s="844" t="str">
        <f t="shared" si="55"/>
        <v>Positive</v>
      </c>
      <c r="C1158" s="844">
        <f>input!D60</f>
        <v>0</v>
      </c>
      <c r="D1158" s="596">
        <f>Cons!G961</f>
        <v>700</v>
      </c>
      <c r="E1158" s="595">
        <f>input!BQ60/input!N60</f>
        <v>235.14918432537436</v>
      </c>
      <c r="F1158" s="596">
        <f>input!V60</f>
        <v>3800</v>
      </c>
      <c r="G1158" s="596">
        <f>input!U60</f>
        <v>2400</v>
      </c>
      <c r="H1158" s="596">
        <f>input!T60</f>
        <v>1200</v>
      </c>
      <c r="I1158" s="595">
        <f>input!BP60</f>
        <v>0.125</v>
      </c>
      <c r="J1158" s="596">
        <f>IF(OR(L257=1,L257="a"),M257,IF(OR(L257="b",L257="c",L257="d",L257=8),input!M60-M257,0))/COS(ATAN(input!BP60))</f>
        <v>0</v>
      </c>
      <c r="K1158" s="596">
        <f>input!N60</f>
        <v>12</v>
      </c>
      <c r="L1158" s="642" t="str">
        <f>IF(B1158="Positive",IF(C1158=0,(IF(AND(input!BI60 &lt;= 455, input!BK60 &lt; 455, E1158&lt;= IF(D1158=0,1000,150),0.8*G1158&lt;=F1158,1.2*G1158&gt;=F1158,I1158&lt;=0.25,H1158&lt;=MIN(F1158,1800),2*J1158/K1158&lt;=3.76*SQRT(Es/input!BI60)),"compact","noncompact")),"noncompact"),"-")</f>
        <v>noncompact</v>
      </c>
      <c r="M1158" s="680"/>
      <c r="P1158" s="73"/>
      <c r="Q1158" s="559"/>
      <c r="R1158" s="73"/>
      <c r="S1158" s="73"/>
      <c r="T1158" s="73"/>
      <c r="U1158" s="73"/>
      <c r="V1158" s="73"/>
      <c r="W1158" s="73"/>
      <c r="X1158" s="73"/>
      <c r="Y1158" s="73"/>
      <c r="Z1158" s="73"/>
      <c r="AA1158" s="73"/>
      <c r="AB1158" s="73"/>
      <c r="AC1158" s="73"/>
      <c r="AD1158" s="143"/>
      <c r="AE1158" s="143"/>
      <c r="AF1158" s="143"/>
      <c r="AG1158" s="143"/>
      <c r="AH1158" s="143"/>
      <c r="AI1158" s="143"/>
      <c r="AJ1158" s="143"/>
      <c r="AK1158" s="143"/>
      <c r="AL1158" s="143"/>
      <c r="AM1158" s="143"/>
      <c r="AN1158" s="143"/>
      <c r="AO1158" s="143"/>
      <c r="AP1158" s="143"/>
      <c r="AQ1158" s="143"/>
    </row>
    <row r="1159" spans="1:50" ht="15" customHeight="1">
      <c r="A1159" s="593" t="str">
        <f>+input!B61</f>
        <v>130i</v>
      </c>
      <c r="B1159" s="844" t="str">
        <f t="shared" si="55"/>
        <v>Positive</v>
      </c>
      <c r="C1159" s="844">
        <f>input!D61</f>
        <v>0</v>
      </c>
      <c r="D1159" s="596">
        <f>Cons!G962</f>
        <v>650</v>
      </c>
      <c r="E1159" s="595">
        <f>input!BQ61/input!N61</f>
        <v>218.35281401641905</v>
      </c>
      <c r="F1159" s="596">
        <f>input!V61</f>
        <v>3850</v>
      </c>
      <c r="G1159" s="596">
        <f>input!U61</f>
        <v>2350</v>
      </c>
      <c r="H1159" s="596">
        <f>input!T61</f>
        <v>1175</v>
      </c>
      <c r="I1159" s="595">
        <f>input!BP61</f>
        <v>0.125</v>
      </c>
      <c r="J1159" s="596">
        <f>IF(OR(L258=1,L258="a"),M258,IF(OR(L258="b",L258="c",L258="d",L258=8),input!M61-M258,0))/COS(ATAN(input!BP61))</f>
        <v>0</v>
      </c>
      <c r="K1159" s="596">
        <f>input!N61</f>
        <v>12</v>
      </c>
      <c r="L1159" s="642" t="str">
        <f>IF(B1159="Positive",IF(C1159=0,(IF(AND(input!BI61 &lt;= 455, input!BK61 &lt; 455, E1159&lt;= IF(D1159=0,1000,150),0.8*G1159&lt;=F1159,1.2*G1159&gt;=F1159,I1159&lt;=0.25,H1159&lt;=MIN(F1159,1800),2*J1159/K1159&lt;=3.76*SQRT(Es/input!BI61)),"compact","noncompact")),"noncompact"),"-")</f>
        <v>noncompact</v>
      </c>
      <c r="M1159" s="680"/>
      <c r="P1159" s="73"/>
      <c r="Q1159" s="559"/>
      <c r="R1159" s="73"/>
      <c r="S1159" s="73"/>
      <c r="T1159" s="73"/>
      <c r="U1159" s="73"/>
      <c r="V1159" s="73"/>
      <c r="W1159" s="73"/>
      <c r="X1159" s="73"/>
      <c r="Y1159" s="73"/>
      <c r="Z1159" s="73"/>
      <c r="AA1159" s="73"/>
      <c r="AB1159" s="73"/>
      <c r="AC1159" s="73"/>
      <c r="AD1159" s="143"/>
      <c r="AE1159" s="143"/>
      <c r="AF1159" s="143"/>
      <c r="AG1159" s="143"/>
      <c r="AH1159" s="143"/>
      <c r="AI1159" s="143"/>
      <c r="AJ1159" s="143"/>
      <c r="AK1159" s="143"/>
      <c r="AL1159" s="143"/>
      <c r="AM1159" s="143"/>
      <c r="AN1159" s="143"/>
      <c r="AO1159" s="143"/>
      <c r="AP1159" s="143"/>
      <c r="AQ1159" s="143"/>
    </row>
    <row r="1160" spans="1:50" ht="15" customHeight="1">
      <c r="A1160" s="593" t="str">
        <f>+input!B62</f>
        <v>130j</v>
      </c>
      <c r="B1160" s="844" t="str">
        <f t="shared" si="55"/>
        <v>Negative</v>
      </c>
      <c r="C1160" s="844">
        <f>input!D62</f>
        <v>0</v>
      </c>
      <c r="D1160" s="596">
        <f>Cons!G963</f>
        <v>650</v>
      </c>
      <c r="E1160" s="595">
        <f>input!BQ62/input!N62</f>
        <v>218.35281401641905</v>
      </c>
      <c r="F1160" s="596">
        <f>input!V62</f>
        <v>3850</v>
      </c>
      <c r="G1160" s="596">
        <f>input!U62</f>
        <v>2350</v>
      </c>
      <c r="H1160" s="596">
        <f>input!T62</f>
        <v>1175</v>
      </c>
      <c r="I1160" s="595">
        <f>input!BP62</f>
        <v>0.125</v>
      </c>
      <c r="J1160" s="596">
        <f>IF(OR(L259=1,L259="a"),M259,IF(OR(L259="b",L259="c",L259="d",L259=8),input!M62-M259,0))/COS(ATAN(input!BP62))</f>
        <v>1561.0546306721785</v>
      </c>
      <c r="K1160" s="596">
        <f>input!N62</f>
        <v>12</v>
      </c>
      <c r="L1160" s="642" t="str">
        <f>IF(B1160="Positive",IF(C1160=0,(IF(AND(input!BI62 &lt;= 455, input!BK62 &lt; 455, E1160&lt;= IF(D1160=0,1000,150),0.8*G1160&lt;=F1160,1.2*G1160&gt;=F1160,I1160&lt;=0.25,H1160&lt;=MIN(F1160,1800),2*J1160/K1160&lt;=3.76*SQRT(Es/input!BI62)),"compact","noncompact")),"noncompact"),"-")</f>
        <v>-</v>
      </c>
      <c r="M1160" s="680"/>
      <c r="P1160" s="73"/>
      <c r="Q1160" s="559"/>
      <c r="R1160" s="73"/>
      <c r="S1160" s="73"/>
      <c r="T1160" s="73"/>
      <c r="U1160" s="73"/>
      <c r="V1160" s="73"/>
      <c r="W1160" s="73"/>
      <c r="X1160" s="73"/>
      <c r="Y1160" s="73"/>
      <c r="Z1160" s="73"/>
      <c r="AA1160" s="73"/>
      <c r="AB1160" s="73"/>
      <c r="AC1160" s="73"/>
      <c r="AD1160" s="143"/>
      <c r="AE1160" s="143"/>
      <c r="AF1160" s="143"/>
      <c r="AG1160" s="143"/>
      <c r="AH1160" s="143"/>
      <c r="AI1160" s="143"/>
      <c r="AJ1160" s="143"/>
      <c r="AK1160" s="143"/>
      <c r="AL1160" s="143"/>
      <c r="AM1160" s="143"/>
      <c r="AN1160" s="143"/>
      <c r="AO1160" s="143"/>
      <c r="AP1160" s="143"/>
      <c r="AQ1160" s="143"/>
    </row>
    <row r="1161" spans="1:50" ht="15" customHeight="1">
      <c r="A1161" s="593" t="str">
        <f>+input!B63</f>
        <v>131i</v>
      </c>
      <c r="B1161" s="844" t="str">
        <f t="shared" si="55"/>
        <v>Negative</v>
      </c>
      <c r="C1161" s="844">
        <f>input!D63</f>
        <v>0</v>
      </c>
      <c r="D1161" s="596">
        <f>Cons!G964</f>
        <v>650</v>
      </c>
      <c r="E1161" s="595">
        <f>input!BQ63/input!N63</f>
        <v>218.35281401641905</v>
      </c>
      <c r="F1161" s="596">
        <f>input!V63</f>
        <v>3850</v>
      </c>
      <c r="G1161" s="596">
        <f>input!U63</f>
        <v>2350</v>
      </c>
      <c r="H1161" s="596">
        <f>input!T63</f>
        <v>1175</v>
      </c>
      <c r="I1161" s="595">
        <f>input!BP63</f>
        <v>0.125</v>
      </c>
      <c r="J1161" s="596">
        <f>IF(OR(L260=1,L260="a"),M260,IF(OR(L260="b",L260="c",L260="d",L260=8),input!M63-M260,0))/COS(ATAN(input!BP63))</f>
        <v>1561.0546306721785</v>
      </c>
      <c r="K1161" s="596">
        <f>input!N63</f>
        <v>12</v>
      </c>
      <c r="L1161" s="642" t="str">
        <f>IF(B1161="Positive",IF(C1161=0,(IF(AND(input!BI63 &lt;= 455, input!BK63 &lt; 455, E1161&lt;= IF(D1161=0,1000,150),0.8*G1161&lt;=F1161,1.2*G1161&gt;=F1161,I1161&lt;=0.25,H1161&lt;=MIN(F1161,1800),2*J1161/K1161&lt;=3.76*SQRT(Es/input!BI63)),"compact","noncompact")),"noncompact"),"-")</f>
        <v>-</v>
      </c>
      <c r="M1161" s="680"/>
      <c r="P1161" s="73"/>
      <c r="Q1161" s="559"/>
      <c r="R1161" s="73"/>
      <c r="S1161" s="73"/>
      <c r="T1161" s="73"/>
      <c r="U1161" s="73"/>
      <c r="V1161" s="73"/>
      <c r="W1161" s="73"/>
      <c r="X1161" s="73"/>
      <c r="Y1161" s="73"/>
      <c r="Z1161" s="73"/>
      <c r="AA1161" s="73"/>
      <c r="AB1161" s="73"/>
      <c r="AC1161" s="73"/>
      <c r="AD1161" s="143"/>
      <c r="AE1161" s="143"/>
      <c r="AF1161" s="143"/>
      <c r="AG1161" s="143"/>
      <c r="AH1161" s="143"/>
      <c r="AI1161" s="143"/>
      <c r="AJ1161" s="143"/>
      <c r="AK1161" s="143"/>
      <c r="AL1161" s="143"/>
      <c r="AM1161" s="143"/>
      <c r="AN1161" s="143"/>
      <c r="AO1161" s="143"/>
      <c r="AP1161" s="143"/>
      <c r="AQ1161" s="143"/>
    </row>
    <row r="1162" spans="1:50" ht="15" customHeight="1">
      <c r="A1162" s="593" t="str">
        <f>+input!B64</f>
        <v>131j</v>
      </c>
      <c r="B1162" s="844" t="str">
        <f t="shared" si="55"/>
        <v>Positive</v>
      </c>
      <c r="C1162" s="844">
        <f>input!D64</f>
        <v>0</v>
      </c>
      <c r="D1162" s="596">
        <f>Cons!G965</f>
        <v>650</v>
      </c>
      <c r="E1162" s="595">
        <f>input!BQ64/input!N64</f>
        <v>218.35281401641905</v>
      </c>
      <c r="F1162" s="596">
        <f>input!V64</f>
        <v>3850</v>
      </c>
      <c r="G1162" s="596">
        <f>input!U64</f>
        <v>2350</v>
      </c>
      <c r="H1162" s="596">
        <f>input!T64</f>
        <v>1175</v>
      </c>
      <c r="I1162" s="595">
        <f>input!BP64</f>
        <v>0.125</v>
      </c>
      <c r="J1162" s="596">
        <f>IF(OR(L261=1,L261="a"),M261,IF(OR(L261="b",L261="c",L261="d",L261=8),input!M64-M261,0))/COS(ATAN(input!BP64))</f>
        <v>0</v>
      </c>
      <c r="K1162" s="596">
        <f>input!N64</f>
        <v>12</v>
      </c>
      <c r="L1162" s="642" t="str">
        <f>IF(B1162="Positive",IF(C1162=0,(IF(AND(input!BI64 &lt;= 455, input!BK64 &lt; 455, E1162&lt;= IF(D1162=0,1000,150),0.8*G1162&lt;=F1162,1.2*G1162&gt;=F1162,I1162&lt;=0.25,H1162&lt;=MIN(F1162,1800),2*J1162/K1162&lt;=3.76*SQRT(Es/input!BI64)),"compact","noncompact")),"noncompact"),"-")</f>
        <v>noncompact</v>
      </c>
      <c r="M1162" s="680"/>
      <c r="P1162" s="73"/>
      <c r="Q1162" s="559"/>
      <c r="R1162" s="73"/>
      <c r="S1162" s="73"/>
      <c r="T1162" s="73"/>
      <c r="U1162" s="73"/>
      <c r="V1162" s="73"/>
      <c r="W1162" s="73"/>
      <c r="X1162" s="73"/>
      <c r="Y1162" s="73"/>
      <c r="Z1162" s="73"/>
      <c r="AA1162" s="73"/>
      <c r="AB1162" s="73"/>
      <c r="AC1162" s="73"/>
      <c r="AD1162" s="143"/>
      <c r="AE1162" s="143"/>
      <c r="AF1162" s="143"/>
      <c r="AG1162" s="143"/>
      <c r="AH1162" s="143"/>
      <c r="AI1162" s="143"/>
      <c r="AJ1162" s="143"/>
      <c r="AK1162" s="143"/>
      <c r="AL1162" s="143"/>
      <c r="AM1162" s="143"/>
      <c r="AN1162" s="143"/>
      <c r="AO1162" s="143"/>
      <c r="AP1162" s="143"/>
      <c r="AQ1162" s="143"/>
    </row>
    <row r="1163" spans="1:50" ht="15" customHeight="1">
      <c r="A1163" s="181"/>
      <c r="B1163" s="181"/>
      <c r="C1163" s="147"/>
      <c r="D1163" s="73"/>
      <c r="E1163" s="122"/>
      <c r="F1163" s="122"/>
      <c r="G1163" s="242"/>
      <c r="H1163" s="221"/>
      <c r="I1163" s="243"/>
      <c r="J1163" s="243"/>
      <c r="N1163" s="243"/>
      <c r="O1163" s="244"/>
      <c r="P1163" s="244"/>
      <c r="Q1163" s="243"/>
      <c r="R1163" s="243"/>
      <c r="S1163" s="243"/>
      <c r="T1163" s="243"/>
      <c r="U1163" s="243"/>
      <c r="V1163" s="243"/>
      <c r="W1163" s="243"/>
      <c r="X1163" s="243"/>
      <c r="Y1163" s="243"/>
      <c r="Z1163" s="243"/>
      <c r="AL1163" s="74"/>
      <c r="AM1163" s="74"/>
      <c r="AN1163" s="74"/>
      <c r="AO1163" s="74"/>
      <c r="AP1163" s="74"/>
    </row>
    <row r="1164" spans="1:50" ht="15" customHeight="1">
      <c r="A1164" s="95" t="s">
        <v>484</v>
      </c>
      <c r="B1164" s="279"/>
      <c r="C1164" s="243"/>
      <c r="D1164" s="243"/>
      <c r="E1164" s="243"/>
      <c r="F1164" s="243"/>
      <c r="G1164" s="242"/>
      <c r="H1164" s="242"/>
      <c r="I1164" s="243"/>
      <c r="J1164" s="243"/>
      <c r="K1164" s="243"/>
      <c r="L1164" s="243"/>
      <c r="M1164" s="243"/>
      <c r="N1164" s="243"/>
      <c r="O1164" s="244"/>
      <c r="P1164" s="244"/>
      <c r="Q1164" s="243"/>
      <c r="R1164" s="243"/>
      <c r="S1164" s="243"/>
      <c r="T1164" s="243"/>
      <c r="U1164" s="243"/>
      <c r="V1164" s="243"/>
      <c r="W1164" s="243"/>
      <c r="X1164" s="243"/>
      <c r="Y1164" s="243"/>
      <c r="Z1164" s="243"/>
      <c r="AB1164" s="119"/>
      <c r="AC1164" s="119"/>
      <c r="AD1164" s="614"/>
      <c r="AL1164" s="74"/>
      <c r="AM1164" s="74"/>
      <c r="AN1164" s="74"/>
      <c r="AO1164" s="74"/>
      <c r="AP1164" s="74"/>
      <c r="AQ1164" s="122"/>
      <c r="AR1164" s="9"/>
      <c r="AS1164" s="9"/>
      <c r="AT1164" s="9"/>
      <c r="AU1164" s="9"/>
      <c r="AV1164" s="198"/>
      <c r="AW1164" s="195"/>
      <c r="AX1164" s="9"/>
    </row>
    <row r="1165" spans="1:50" ht="15" customHeight="1" thickBot="1">
      <c r="A1165" s="95"/>
      <c r="B1165" s="314"/>
      <c r="C1165" s="312"/>
      <c r="D1165" s="312"/>
      <c r="E1165" s="312"/>
      <c r="F1165" s="312"/>
      <c r="G1165" s="242"/>
      <c r="H1165" s="242"/>
      <c r="I1165" s="312"/>
      <c r="J1165" s="312"/>
      <c r="K1165" s="312"/>
      <c r="L1165" s="312"/>
      <c r="M1165" s="312"/>
      <c r="N1165" s="312"/>
      <c r="O1165" s="244"/>
      <c r="P1165" s="244"/>
      <c r="Q1165" s="312"/>
      <c r="R1165" s="312"/>
      <c r="S1165" s="312"/>
      <c r="T1165" s="312"/>
      <c r="U1165" s="312"/>
      <c r="V1165" s="312"/>
      <c r="W1165" s="312"/>
      <c r="X1165" s="312"/>
      <c r="Y1165" s="312"/>
      <c r="Z1165" s="312"/>
      <c r="AB1165" s="119"/>
      <c r="AC1165" s="119"/>
      <c r="AD1165" s="614"/>
      <c r="AL1165" s="74"/>
      <c r="AM1165" s="74"/>
      <c r="AN1165" s="74"/>
      <c r="AO1165" s="74"/>
      <c r="AP1165" s="74"/>
      <c r="AQ1165" s="122"/>
      <c r="AR1165" s="9"/>
      <c r="AS1165" s="9"/>
      <c r="AT1165" s="9"/>
      <c r="AU1165" s="9"/>
      <c r="AV1165" s="198"/>
      <c r="AW1165" s="195"/>
      <c r="AX1165" s="9"/>
    </row>
    <row r="1166" spans="1:50" ht="15" customHeight="1">
      <c r="A1166" s="207"/>
      <c r="B1166" s="1956" t="s">
        <v>792</v>
      </c>
      <c r="C1166" s="1911"/>
      <c r="D1166" s="1911"/>
      <c r="E1166" s="1911"/>
      <c r="F1166" s="1911"/>
      <c r="G1166" s="1911"/>
      <c r="H1166" s="1911"/>
      <c r="I1166" s="1957"/>
      <c r="J1166" s="1960" t="s">
        <v>793</v>
      </c>
      <c r="K1166" s="1961"/>
      <c r="L1166" s="1961"/>
      <c r="M1166" s="1909"/>
    </row>
    <row r="1167" spans="1:50" ht="15" customHeight="1">
      <c r="A1167" s="207"/>
      <c r="B1167" s="1964" t="s">
        <v>794</v>
      </c>
      <c r="C1167" s="1965"/>
      <c r="D1167" s="1965"/>
      <c r="E1167" s="1966"/>
      <c r="F1167" s="1967" t="s">
        <v>795</v>
      </c>
      <c r="G1167" s="1968"/>
      <c r="H1167" s="1968"/>
      <c r="I1167" s="1969"/>
      <c r="J1167" s="1962"/>
      <c r="K1167" s="1963"/>
      <c r="L1167" s="1963"/>
      <c r="M1167" s="1953"/>
    </row>
    <row r="1168" spans="1:50" ht="15" customHeight="1">
      <c r="A1168" s="207"/>
      <c r="B1168" s="1975" t="s">
        <v>798</v>
      </c>
      <c r="C1168" s="1971"/>
      <c r="D1168" s="1971"/>
      <c r="E1168" s="1976"/>
      <c r="F1168" s="1973" t="s">
        <v>797</v>
      </c>
      <c r="G1168" s="1971"/>
      <c r="H1168" s="1971"/>
      <c r="I1168" s="1974"/>
      <c r="J1168" s="1970" t="s">
        <v>796</v>
      </c>
      <c r="K1168" s="1971"/>
      <c r="L1168" s="1971"/>
      <c r="M1168" s="1972"/>
    </row>
    <row r="1169" spans="1:43" ht="15" customHeight="1">
      <c r="A1169" s="207"/>
      <c r="B1169" s="1958" t="s">
        <v>1768</v>
      </c>
      <c r="C1169" s="1948"/>
      <c r="D1169" s="1948"/>
      <c r="E1169" s="1959"/>
      <c r="F1169" s="1947" t="s">
        <v>1769</v>
      </c>
      <c r="G1169" s="1948"/>
      <c r="H1169" s="1948"/>
      <c r="I1169" s="1949"/>
      <c r="J1169" s="1950" t="s">
        <v>1716</v>
      </c>
      <c r="K1169" s="1948"/>
      <c r="L1169" s="1948"/>
      <c r="M1169" s="1951"/>
    </row>
    <row r="1170" spans="1:43" ht="15" customHeight="1" thickBot="1">
      <c r="A1170" s="207"/>
      <c r="B1170" s="319"/>
      <c r="C1170" s="320"/>
      <c r="D1170" s="320"/>
      <c r="E1170" s="320"/>
      <c r="F1170" s="322"/>
      <c r="G1170" s="323"/>
      <c r="H1170" s="320"/>
      <c r="I1170" s="320"/>
      <c r="J1170" s="324"/>
      <c r="K1170" s="320"/>
      <c r="L1170" s="321"/>
      <c r="M1170" s="325"/>
    </row>
    <row r="1171" spans="1:43" ht="15" customHeight="1">
      <c r="A1171" s="258"/>
      <c r="B1171" s="181"/>
      <c r="C1171" s="243"/>
      <c r="D1171" s="243"/>
      <c r="E1171" s="243"/>
      <c r="F1171" s="243"/>
      <c r="G1171" s="243"/>
      <c r="H1171" s="243"/>
      <c r="I1171" s="243"/>
      <c r="J1171" s="243"/>
      <c r="K1171" s="242"/>
      <c r="L1171" s="242"/>
      <c r="M1171" s="243"/>
      <c r="N1171" s="243"/>
      <c r="O1171" s="243"/>
      <c r="P1171" s="243"/>
      <c r="Q1171" s="243"/>
      <c r="R1171" s="243"/>
      <c r="S1171" s="244"/>
      <c r="T1171" s="244"/>
      <c r="U1171" s="243"/>
      <c r="V1171" s="243"/>
      <c r="W1171" s="243"/>
      <c r="X1171" s="243"/>
      <c r="Y1171" s="243"/>
      <c r="Z1171" s="243"/>
      <c r="AL1171" s="122"/>
      <c r="AM1171" s="122"/>
      <c r="AN1171" s="122"/>
      <c r="AO1171" s="122"/>
      <c r="AP1171" s="122"/>
    </row>
    <row r="1172" spans="1:43" ht="15" customHeight="1" thickBot="1">
      <c r="A1172" s="470" t="s">
        <v>3350</v>
      </c>
      <c r="B1172" s="1836"/>
      <c r="C1172" s="1835"/>
      <c r="D1172" s="1835"/>
      <c r="E1172" s="1835"/>
      <c r="F1172" s="1835"/>
      <c r="G1172" s="1835"/>
      <c r="H1172" s="1835"/>
      <c r="I1172" s="1835"/>
      <c r="J1172" s="1835"/>
      <c r="K1172" s="1838"/>
      <c r="L1172" s="1838"/>
      <c r="M1172" s="1835"/>
      <c r="N1172" s="1835"/>
      <c r="O1172" s="1835"/>
      <c r="P1172" s="1835"/>
      <c r="Q1172" s="1835"/>
      <c r="R1172" s="1835"/>
      <c r="S1172" s="1839"/>
      <c r="T1172" s="1839"/>
      <c r="U1172" s="1835"/>
      <c r="V1172" s="1835"/>
      <c r="W1172" s="1835"/>
      <c r="X1172" s="1835"/>
      <c r="Y1172" s="1835"/>
      <c r="Z1172" s="1835"/>
      <c r="AB1172" s="1833"/>
      <c r="AE1172" s="1837"/>
      <c r="AL1172" s="122"/>
      <c r="AM1172" s="122"/>
      <c r="AN1172" s="122"/>
      <c r="AO1172" s="122"/>
      <c r="AP1172" s="122"/>
    </row>
    <row r="1173" spans="1:43" ht="15" customHeight="1">
      <c r="A1173" s="1831" t="s">
        <v>16</v>
      </c>
      <c r="B1173" s="1830" t="s">
        <v>419</v>
      </c>
      <c r="C1173" s="1830" t="s">
        <v>478</v>
      </c>
      <c r="D1173" s="660" t="s">
        <v>3343</v>
      </c>
      <c r="E1173" s="1918" t="s">
        <v>3347</v>
      </c>
      <c r="F1173" s="1911"/>
      <c r="G1173" s="1911"/>
      <c r="H1173" s="1919"/>
      <c r="I1173" s="660" t="s">
        <v>3343</v>
      </c>
      <c r="J1173" s="1918" t="s">
        <v>3349</v>
      </c>
      <c r="K1173" s="1911"/>
      <c r="L1173" s="1911"/>
      <c r="M1173" s="1912"/>
      <c r="P1173" s="73"/>
      <c r="Q1173" s="73"/>
      <c r="R1173" s="73"/>
      <c r="S1173" s="73"/>
      <c r="T1173" s="73"/>
      <c r="U1173" s="73"/>
      <c r="V1173" s="73"/>
      <c r="W1173" s="73"/>
      <c r="X1173" s="73"/>
      <c r="Y1173" s="73"/>
      <c r="Z1173" s="73"/>
      <c r="AA1173" s="73"/>
      <c r="AB1173" s="73"/>
      <c r="AC1173" s="73"/>
      <c r="AD1173" s="143"/>
      <c r="AE1173" s="143"/>
      <c r="AF1173" s="143"/>
      <c r="AG1173" s="143"/>
      <c r="AH1173" s="143"/>
      <c r="AI1173" s="143"/>
      <c r="AJ1173" s="143"/>
      <c r="AK1173" s="143"/>
      <c r="AL1173" s="143"/>
      <c r="AM1173" s="143"/>
      <c r="AN1173" s="143"/>
      <c r="AO1173" s="143"/>
      <c r="AP1173" s="143"/>
      <c r="AQ1173" s="143"/>
    </row>
    <row r="1174" spans="1:43" ht="15" customHeight="1">
      <c r="A1174" s="1832"/>
      <c r="B1174" s="1834"/>
      <c r="C1174" s="1834"/>
      <c r="D1174" s="662" t="s">
        <v>3346</v>
      </c>
      <c r="E1174" s="2304" t="s">
        <v>3344</v>
      </c>
      <c r="F1174" s="1966"/>
      <c r="G1174" s="2304" t="s">
        <v>3345</v>
      </c>
      <c r="H1174" s="1966"/>
      <c r="I1174" s="662" t="s">
        <v>3348</v>
      </c>
      <c r="J1174" s="2304" t="s">
        <v>3344</v>
      </c>
      <c r="K1174" s="1966"/>
      <c r="L1174" s="2304" t="s">
        <v>3345</v>
      </c>
      <c r="M1174" s="2305"/>
      <c r="P1174" s="73"/>
      <c r="Q1174" s="73"/>
      <c r="R1174" s="73"/>
      <c r="S1174" s="73"/>
      <c r="T1174" s="73"/>
      <c r="U1174" s="73"/>
      <c r="V1174" s="73"/>
      <c r="W1174" s="73"/>
      <c r="X1174" s="73"/>
      <c r="Y1174" s="73"/>
      <c r="Z1174" s="73"/>
      <c r="AA1174" s="73"/>
      <c r="AB1174" s="73"/>
      <c r="AC1174" s="73"/>
      <c r="AD1174" s="143"/>
      <c r="AE1174" s="143"/>
      <c r="AF1174" s="143"/>
      <c r="AG1174" s="143"/>
      <c r="AH1174" s="143"/>
      <c r="AI1174" s="143"/>
      <c r="AJ1174" s="143"/>
      <c r="AK1174" s="143"/>
      <c r="AL1174" s="143"/>
      <c r="AM1174" s="143"/>
      <c r="AN1174" s="143"/>
      <c r="AO1174" s="143"/>
      <c r="AP1174" s="143"/>
      <c r="AQ1174" s="143"/>
    </row>
    <row r="1175" spans="1:43" ht="15" customHeight="1">
      <c r="A1175" s="593" t="str">
        <f>+input!B3</f>
        <v>101i</v>
      </c>
      <c r="B1175" s="596">
        <f>F1034</f>
        <v>240.23795372265167</v>
      </c>
      <c r="C1175" s="596">
        <f>G1034</f>
        <v>379.53505450533009</v>
      </c>
      <c r="D1175" s="596">
        <f>Stress!F832</f>
        <v>2.8039235926693052E-4</v>
      </c>
      <c r="E1175" s="684" t="str">
        <f>IF(OR(L1101="compact",D1175&gt;=0),"-",IF(ABS(D1175)&lt;=B1175,"OK","NG"))</f>
        <v>-</v>
      </c>
      <c r="F1175" s="683" t="str">
        <f>IF(OR(L1101="compact",D1175&gt;=0),"-",B1175 / ABS(D1175))</f>
        <v>-</v>
      </c>
      <c r="G1175" s="684" t="str">
        <f>IF(OR(L1101="compact",D1175&lt;=0),"-",IF(ABS(D1175)&lt;=C1175,"OK","NG"))</f>
        <v>OK</v>
      </c>
      <c r="H1175" s="1184">
        <f>IF(OR(L1101="compact",D1175&lt;=0),"-",C1175 / ABS(D1175))</f>
        <v>1353585.5809252521</v>
      </c>
      <c r="I1175" s="596">
        <f>+Stress!G832</f>
        <v>-2.3821440573426115E-4</v>
      </c>
      <c r="J1175" s="684" t="str">
        <f>IF(OR(L1101="compact",I1175&gt;=0),"-",IF(ABS(I1175)&lt;=B1175,"OK","NG"))</f>
        <v>OK</v>
      </c>
      <c r="K1175" s="683">
        <f>IF(OR(L1101="compact",I1175&gt;=0),"-",B1175 / ABS(I1175))</f>
        <v>1008494.6499442518</v>
      </c>
      <c r="L1175" s="684" t="str">
        <f>IF(OR(L1101="compact",I1175&lt;=0),"-",IF(ABS(I1175)&lt;=C1175,"OK","NG"))</f>
        <v>-</v>
      </c>
      <c r="M1175" s="2306" t="str">
        <f>IF(OR(L1101="compact",I1175&lt;=0),"-",C1175 / ABS(I1175))</f>
        <v>-</v>
      </c>
      <c r="P1175" s="73"/>
      <c r="Q1175" s="73"/>
      <c r="R1175" s="73"/>
      <c r="S1175" s="73"/>
      <c r="T1175" s="73"/>
      <c r="U1175" s="73"/>
      <c r="V1175" s="73"/>
      <c r="W1175" s="73"/>
      <c r="X1175" s="73"/>
      <c r="Y1175" s="73"/>
      <c r="Z1175" s="73"/>
      <c r="AA1175" s="73"/>
      <c r="AB1175" s="73"/>
      <c r="AC1175" s="73"/>
      <c r="AD1175" s="143"/>
      <c r="AE1175" s="143"/>
      <c r="AF1175" s="143"/>
      <c r="AG1175" s="143"/>
      <c r="AH1175" s="143"/>
      <c r="AI1175" s="143"/>
      <c r="AJ1175" s="143"/>
      <c r="AK1175" s="143"/>
      <c r="AL1175" s="143"/>
      <c r="AM1175" s="143"/>
      <c r="AN1175" s="143"/>
      <c r="AO1175" s="143"/>
      <c r="AP1175" s="143"/>
      <c r="AQ1175" s="143"/>
    </row>
    <row r="1176" spans="1:43" ht="15" customHeight="1">
      <c r="A1176" s="593" t="str">
        <f>+input!B4</f>
        <v>101j</v>
      </c>
      <c r="B1176" s="596">
        <f>F1035</f>
        <v>240.23328112499632</v>
      </c>
      <c r="C1176" s="596">
        <f>G1035</f>
        <v>379.53505450533009</v>
      </c>
      <c r="D1176" s="596">
        <f>Stress!F833</f>
        <v>2.345533531424854</v>
      </c>
      <c r="E1176" s="684" t="str">
        <f>IF(OR(L1102="compact",D1176&gt;=0),"-",IF(ABS(D1176)&lt;=B1176,"OK","NG"))</f>
        <v>-</v>
      </c>
      <c r="F1176" s="683" t="str">
        <f>IF(OR(L1102="compact",D1176&gt;=0),"-",B1176 / ABS(D1176))</f>
        <v>-</v>
      </c>
      <c r="G1176" s="684" t="str">
        <f>IF(OR(L1102="compact",D1176&lt;=0),"-",IF(ABS(D1176)&lt;=C1176,"OK","NG"))</f>
        <v>OK</v>
      </c>
      <c r="H1176" s="1184">
        <f>IF(OR(L1102="compact",D1176&lt;=0),"-",C1176 / ABS(D1176))</f>
        <v>161.81182209523641</v>
      </c>
      <c r="I1176" s="596">
        <f>+Stress!G833</f>
        <v>-2.6221339032378883</v>
      </c>
      <c r="J1176" s="684" t="str">
        <f t="shared" ref="J1176:J1236" si="56">IF(OR(L1102="compact",I1176&gt;=0),"-",IF(ABS(I1176)&lt;=B1176,"OK","NG"))</f>
        <v>OK</v>
      </c>
      <c r="K1176" s="683">
        <f t="shared" ref="K1176:K1236" si="57">IF(OR(L1102="compact",I1176&gt;=0),"-",B1176 / ABS(I1176))</f>
        <v>91.617472634921185</v>
      </c>
      <c r="L1176" s="684" t="str">
        <f t="shared" ref="L1176:L1236" si="58">IF(OR(L1102="compact",I1176&lt;=0),"-",IF(ABS(I1176)&lt;=C1176,"OK","NG"))</f>
        <v>-</v>
      </c>
      <c r="M1176" s="2306" t="str">
        <f t="shared" ref="M1176:M1236" si="59">IF(OR(L1102="compact",I1176&lt;=0),"-",C1176 / ABS(I1176))</f>
        <v>-</v>
      </c>
      <c r="P1176" s="73"/>
      <c r="Q1176" s="73"/>
      <c r="R1176" s="73"/>
      <c r="S1176" s="73"/>
      <c r="T1176" s="73"/>
      <c r="U1176" s="73"/>
      <c r="V1176" s="73"/>
      <c r="W1176" s="73"/>
      <c r="X1176" s="73"/>
      <c r="Y1176" s="73"/>
      <c r="Z1176" s="73"/>
      <c r="AA1176" s="73"/>
      <c r="AB1176" s="73"/>
      <c r="AC1176" s="73"/>
      <c r="AD1176" s="143"/>
      <c r="AE1176" s="143"/>
      <c r="AF1176" s="143"/>
      <c r="AG1176" s="143"/>
      <c r="AH1176" s="143"/>
      <c r="AI1176" s="143"/>
      <c r="AJ1176" s="143"/>
      <c r="AK1176" s="143"/>
      <c r="AL1176" s="143"/>
      <c r="AM1176" s="143"/>
      <c r="AN1176" s="143"/>
      <c r="AO1176" s="143"/>
      <c r="AP1176" s="143"/>
      <c r="AQ1176" s="143"/>
    </row>
    <row r="1177" spans="1:43" ht="15" customHeight="1">
      <c r="A1177" s="593" t="str">
        <f>+input!B5</f>
        <v>102i</v>
      </c>
      <c r="B1177" s="596">
        <f>F1036</f>
        <v>240.25113855988528</v>
      </c>
      <c r="C1177" s="596">
        <f>G1036</f>
        <v>379.53505450533009</v>
      </c>
      <c r="D1177" s="596">
        <f>Stress!F834</f>
        <v>2.3455184164380651</v>
      </c>
      <c r="E1177" s="684" t="str">
        <f>IF(OR(L1103="compact",D1177&gt;=0),"-",IF(ABS(D1177)&lt;=B1177,"OK","NG"))</f>
        <v>-</v>
      </c>
      <c r="F1177" s="683" t="str">
        <f>IF(OR(L1103="compact",D1177&gt;=0),"-",B1177 / ABS(D1177))</f>
        <v>-</v>
      </c>
      <c r="G1177" s="684" t="str">
        <f>IF(OR(L1103="compact",D1177&lt;=0),"-",IF(ABS(D1177)&lt;=C1177,"OK","NG"))</f>
        <v>OK</v>
      </c>
      <c r="H1177" s="1184">
        <f>IF(OR(L1103="compact",D1177&lt;=0),"-",C1177 / ABS(D1177))</f>
        <v>161.81286484277408</v>
      </c>
      <c r="I1177" s="596">
        <f>+Stress!G834</f>
        <v>-2.6220971051067279</v>
      </c>
      <c r="J1177" s="684" t="str">
        <f t="shared" si="56"/>
        <v>OK</v>
      </c>
      <c r="K1177" s="683">
        <f t="shared" si="57"/>
        <v>91.625568744947856</v>
      </c>
      <c r="L1177" s="684" t="str">
        <f t="shared" si="58"/>
        <v>-</v>
      </c>
      <c r="M1177" s="2306" t="str">
        <f t="shared" si="59"/>
        <v>-</v>
      </c>
      <c r="P1177" s="73"/>
      <c r="Q1177" s="73"/>
      <c r="R1177" s="73"/>
      <c r="S1177" s="73"/>
      <c r="T1177" s="73"/>
      <c r="U1177" s="73"/>
      <c r="V1177" s="73"/>
      <c r="W1177" s="73"/>
      <c r="X1177" s="73"/>
      <c r="Y1177" s="73"/>
      <c r="Z1177" s="73"/>
      <c r="AA1177" s="73"/>
      <c r="AB1177" s="73"/>
      <c r="AC1177" s="73"/>
      <c r="AD1177" s="143"/>
      <c r="AE1177" s="143"/>
      <c r="AF1177" s="143"/>
      <c r="AG1177" s="143"/>
      <c r="AH1177" s="143"/>
      <c r="AI1177" s="143"/>
      <c r="AJ1177" s="143"/>
      <c r="AK1177" s="143"/>
      <c r="AL1177" s="143"/>
      <c r="AM1177" s="143"/>
      <c r="AN1177" s="143"/>
      <c r="AO1177" s="143"/>
      <c r="AP1177" s="143"/>
      <c r="AQ1177" s="143"/>
    </row>
    <row r="1178" spans="1:43" ht="15" customHeight="1">
      <c r="A1178" s="593" t="str">
        <f>+input!B6</f>
        <v>102j</v>
      </c>
      <c r="B1178" s="596">
        <f>F1037</f>
        <v>379.32353027739117</v>
      </c>
      <c r="C1178" s="596">
        <f>G1037</f>
        <v>379.24269370581084</v>
      </c>
      <c r="D1178" s="596">
        <f>Stress!F835</f>
        <v>-90.408354112373843</v>
      </c>
      <c r="E1178" s="684" t="str">
        <f>IF(OR(L1104="compact",D1178&gt;=0),"-",IF(ABS(D1178)&lt;=B1178,"OK","NG"))</f>
        <v>OK</v>
      </c>
      <c r="F1178" s="683">
        <f>IF(OR(L1104="compact",D1178&gt;=0),"-",B1178 / ABS(D1178))</f>
        <v>4.1956690175545912</v>
      </c>
      <c r="G1178" s="684" t="str">
        <f>IF(OR(L1104="compact",D1178&lt;=0),"-",IF(ABS(D1178)&lt;=C1178,"OK","NG"))</f>
        <v>-</v>
      </c>
      <c r="H1178" s="1184" t="str">
        <f>IF(OR(L1104="compact",D1178&lt;=0),"-",C1178 / ABS(D1178))</f>
        <v>-</v>
      </c>
      <c r="I1178" s="596">
        <f>+Stress!G835</f>
        <v>128.09322785796388</v>
      </c>
      <c r="J1178" s="684" t="str">
        <f t="shared" si="56"/>
        <v>-</v>
      </c>
      <c r="K1178" s="683" t="str">
        <f t="shared" si="57"/>
        <v>-</v>
      </c>
      <c r="L1178" s="684" t="str">
        <f t="shared" si="58"/>
        <v>OK</v>
      </c>
      <c r="M1178" s="2306">
        <f t="shared" si="59"/>
        <v>2.9606771571587993</v>
      </c>
      <c r="P1178" s="73"/>
      <c r="Q1178" s="73"/>
      <c r="R1178" s="73"/>
      <c r="S1178" s="73"/>
      <c r="T1178" s="73"/>
      <c r="U1178" s="73"/>
      <c r="V1178" s="73"/>
      <c r="W1178" s="73"/>
      <c r="X1178" s="73"/>
      <c r="Y1178" s="73"/>
      <c r="Z1178" s="73"/>
      <c r="AA1178" s="73"/>
      <c r="AB1178" s="73"/>
      <c r="AC1178" s="73"/>
      <c r="AD1178" s="143"/>
      <c r="AE1178" s="143"/>
      <c r="AF1178" s="143"/>
      <c r="AG1178" s="143"/>
      <c r="AH1178" s="143"/>
      <c r="AI1178" s="143"/>
      <c r="AJ1178" s="143"/>
      <c r="AK1178" s="143"/>
      <c r="AL1178" s="143"/>
      <c r="AM1178" s="143"/>
      <c r="AN1178" s="143"/>
      <c r="AO1178" s="143"/>
      <c r="AP1178" s="143"/>
      <c r="AQ1178" s="143"/>
    </row>
    <row r="1179" spans="1:43" ht="15" customHeight="1">
      <c r="A1179" s="593" t="str">
        <f>+input!B7</f>
        <v>103i</v>
      </c>
      <c r="B1179" s="596">
        <f>F1038</f>
        <v>379.48682909537342</v>
      </c>
      <c r="C1179" s="596">
        <f>G1038</f>
        <v>379.45001727212968</v>
      </c>
      <c r="D1179" s="596">
        <f>Stress!F836</f>
        <v>-68.142408729349881</v>
      </c>
      <c r="E1179" s="684" t="str">
        <f>IF(OR(L1105="compact",D1179&gt;=0),"-",IF(ABS(D1179)&lt;=B1179,"OK","NG"))</f>
        <v>OK</v>
      </c>
      <c r="F1179" s="683">
        <f>IF(OR(L1105="compact",D1179&gt;=0),"-",B1179 / ABS(D1179))</f>
        <v>5.5690257531492744</v>
      </c>
      <c r="G1179" s="684" t="str">
        <f>IF(OR(L1105="compact",D1179&lt;=0),"-",IF(ABS(D1179)&lt;=C1179,"OK","NG"))</f>
        <v>-</v>
      </c>
      <c r="H1179" s="1184" t="str">
        <f>IF(OR(L1105="compact",D1179&lt;=0),"-",C1179 / ABS(D1179))</f>
        <v>-</v>
      </c>
      <c r="I1179" s="596">
        <f>+Stress!G836</f>
        <v>92.190202173328899</v>
      </c>
      <c r="J1179" s="684" t="str">
        <f t="shared" si="56"/>
        <v>-</v>
      </c>
      <c r="K1179" s="683" t="str">
        <f t="shared" si="57"/>
        <v>-</v>
      </c>
      <c r="L1179" s="684" t="str">
        <f t="shared" si="58"/>
        <v>OK</v>
      </c>
      <c r="M1179" s="2306">
        <f t="shared" si="59"/>
        <v>4.1159473385112779</v>
      </c>
      <c r="P1179" s="73"/>
      <c r="Q1179" s="73"/>
      <c r="R1179" s="73"/>
      <c r="S1179" s="73"/>
      <c r="T1179" s="73"/>
      <c r="U1179" s="73"/>
      <c r="V1179" s="73"/>
      <c r="W1179" s="73"/>
      <c r="X1179" s="73"/>
      <c r="Y1179" s="73"/>
      <c r="Z1179" s="73"/>
      <c r="AA1179" s="73"/>
      <c r="AB1179" s="73"/>
      <c r="AC1179" s="73"/>
      <c r="AD1179" s="143"/>
      <c r="AE1179" s="143"/>
      <c r="AF1179" s="143"/>
      <c r="AG1179" s="143"/>
      <c r="AH1179" s="143"/>
      <c r="AI1179" s="143"/>
      <c r="AJ1179" s="143"/>
      <c r="AK1179" s="143"/>
      <c r="AL1179" s="143"/>
      <c r="AM1179" s="143"/>
      <c r="AN1179" s="143"/>
      <c r="AO1179" s="143"/>
      <c r="AP1179" s="143"/>
      <c r="AQ1179" s="143"/>
    </row>
    <row r="1180" spans="1:43" ht="15" customHeight="1">
      <c r="A1180" s="593" t="str">
        <f>+input!B8</f>
        <v>103j</v>
      </c>
      <c r="B1180" s="596">
        <f>F1039</f>
        <v>379.48682909537342</v>
      </c>
      <c r="C1180" s="596">
        <f>G1039</f>
        <v>379.45455576940441</v>
      </c>
      <c r="D1180" s="596">
        <f>Stress!F837</f>
        <v>-154.34677877930403</v>
      </c>
      <c r="E1180" s="684" t="str">
        <f>IF(OR(L1106="compact",D1180&gt;=0),"-",IF(ABS(D1180)&lt;=B1180,"OK","NG"))</f>
        <v>OK</v>
      </c>
      <c r="F1180" s="683">
        <f>IF(OR(L1106="compact",D1180&gt;=0),"-",B1180 / ABS(D1180))</f>
        <v>2.4586637446965485</v>
      </c>
      <c r="G1180" s="684" t="str">
        <f>IF(OR(L1106="compact",D1180&lt;=0),"-",IF(ABS(D1180)&lt;=C1180,"OK","NG"))</f>
        <v>-</v>
      </c>
      <c r="H1180" s="1184" t="str">
        <f>IF(OR(L1106="compact",D1180&lt;=0),"-",C1180 / ABS(D1180))</f>
        <v>-</v>
      </c>
      <c r="I1180" s="596">
        <f>+Stress!G837</f>
        <v>208.06705623472254</v>
      </c>
      <c r="J1180" s="684" t="str">
        <f t="shared" si="56"/>
        <v>-</v>
      </c>
      <c r="K1180" s="683" t="str">
        <f t="shared" si="57"/>
        <v>-</v>
      </c>
      <c r="L1180" s="684" t="str">
        <f t="shared" si="58"/>
        <v>OK</v>
      </c>
      <c r="M1180" s="2306">
        <f t="shared" si="59"/>
        <v>1.8237128098805699</v>
      </c>
      <c r="P1180" s="73"/>
      <c r="Q1180" s="73"/>
      <c r="R1180" s="73"/>
      <c r="S1180" s="73"/>
      <c r="T1180" s="73"/>
      <c r="U1180" s="73"/>
      <c r="V1180" s="73"/>
      <c r="W1180" s="73"/>
      <c r="X1180" s="73"/>
      <c r="Y1180" s="73"/>
      <c r="Z1180" s="73"/>
      <c r="AA1180" s="73"/>
      <c r="AB1180" s="73"/>
      <c r="AC1180" s="73"/>
      <c r="AD1180" s="143"/>
      <c r="AE1180" s="143"/>
      <c r="AF1180" s="143"/>
      <c r="AG1180" s="143"/>
      <c r="AH1180" s="143"/>
      <c r="AI1180" s="143"/>
      <c r="AJ1180" s="143"/>
      <c r="AK1180" s="143"/>
      <c r="AL1180" s="143"/>
      <c r="AM1180" s="143"/>
      <c r="AN1180" s="143"/>
      <c r="AO1180" s="143"/>
      <c r="AP1180" s="143"/>
      <c r="AQ1180" s="143"/>
    </row>
    <row r="1181" spans="1:43" ht="15" customHeight="1">
      <c r="A1181" s="593" t="str">
        <f>+input!B9</f>
        <v>104i</v>
      </c>
      <c r="B1181" s="596">
        <f>F1040</f>
        <v>379.48682909537342</v>
      </c>
      <c r="C1181" s="596">
        <f>G1040</f>
        <v>379.43993214056337</v>
      </c>
      <c r="D1181" s="596">
        <f>Stress!F838</f>
        <v>-154.34641178166035</v>
      </c>
      <c r="E1181" s="684" t="str">
        <f>IF(OR(L1107="compact",D1181&gt;=0),"-",IF(ABS(D1181)&lt;=B1181,"OK","NG"))</f>
        <v>OK</v>
      </c>
      <c r="F1181" s="683">
        <f>IF(OR(L1107="compact",D1181&gt;=0),"-",B1181 / ABS(D1181))</f>
        <v>2.458669590791644</v>
      </c>
      <c r="G1181" s="684" t="str">
        <f>IF(OR(L1107="compact",D1181&lt;=0),"-",IF(ABS(D1181)&lt;=C1181,"OK","NG"))</f>
        <v>-</v>
      </c>
      <c r="H1181" s="1184" t="str">
        <f>IF(OR(L1107="compact",D1181&lt;=0),"-",C1181 / ABS(D1181))</f>
        <v>-</v>
      </c>
      <c r="I1181" s="596">
        <f>+Stress!G838</f>
        <v>208.06673383248744</v>
      </c>
      <c r="J1181" s="684" t="str">
        <f t="shared" si="56"/>
        <v>-</v>
      </c>
      <c r="K1181" s="683" t="str">
        <f t="shared" si="57"/>
        <v>-</v>
      </c>
      <c r="L1181" s="684" t="str">
        <f t="shared" si="58"/>
        <v>OK</v>
      </c>
      <c r="M1181" s="2306">
        <f t="shared" si="59"/>
        <v>1.8236453523899061</v>
      </c>
      <c r="P1181" s="73"/>
      <c r="Q1181" s="73"/>
      <c r="R1181" s="73"/>
      <c r="S1181" s="73"/>
      <c r="T1181" s="73"/>
      <c r="U1181" s="73"/>
      <c r="V1181" s="73"/>
      <c r="W1181" s="73"/>
      <c r="X1181" s="73"/>
      <c r="Y1181" s="73"/>
      <c r="Z1181" s="73"/>
      <c r="AA1181" s="73"/>
      <c r="AB1181" s="73"/>
      <c r="AC1181" s="73"/>
      <c r="AD1181" s="143"/>
      <c r="AE1181" s="143"/>
      <c r="AF1181" s="143"/>
      <c r="AG1181" s="143"/>
      <c r="AH1181" s="143"/>
      <c r="AI1181" s="143"/>
      <c r="AJ1181" s="143"/>
      <c r="AK1181" s="143"/>
      <c r="AL1181" s="143"/>
      <c r="AM1181" s="143"/>
      <c r="AN1181" s="143"/>
      <c r="AO1181" s="143"/>
      <c r="AP1181" s="143"/>
      <c r="AQ1181" s="143"/>
    </row>
    <row r="1182" spans="1:43" ht="15" customHeight="1">
      <c r="A1182" s="593" t="str">
        <f>+input!B10</f>
        <v>104j</v>
      </c>
      <c r="B1182" s="596">
        <f>F1041</f>
        <v>379.48682909537342</v>
      </c>
      <c r="C1182" s="596">
        <f>G1041</f>
        <v>379.44680894257493</v>
      </c>
      <c r="D1182" s="596">
        <f>Stress!F839</f>
        <v>-250.70247961199954</v>
      </c>
      <c r="E1182" s="684" t="str">
        <f>IF(OR(L1108="compact",D1182&gt;=0),"-",IF(ABS(D1182)&lt;=B1182,"OK","NG"))</f>
        <v>OK</v>
      </c>
      <c r="F1182" s="683">
        <f>IF(OR(L1108="compact",D1182&gt;=0),"-",B1182 / ABS(D1182))</f>
        <v>1.5136939597992305</v>
      </c>
      <c r="G1182" s="684" t="str">
        <f>IF(OR(L1108="compact",D1182&lt;=0),"-",IF(ABS(D1182)&lt;=C1182,"OK","NG"))</f>
        <v>-</v>
      </c>
      <c r="H1182" s="1184" t="str">
        <f>IF(OR(L1108="compact",D1182&lt;=0),"-",C1182 / ABS(D1182))</f>
        <v>-</v>
      </c>
      <c r="I1182" s="596">
        <f>+Stress!G839</f>
        <v>336.57490022290699</v>
      </c>
      <c r="J1182" s="684" t="str">
        <f t="shared" si="56"/>
        <v>-</v>
      </c>
      <c r="K1182" s="683" t="str">
        <f t="shared" si="57"/>
        <v>-</v>
      </c>
      <c r="L1182" s="684" t="str">
        <f t="shared" si="58"/>
        <v>OK</v>
      </c>
      <c r="M1182" s="2306">
        <f t="shared" si="59"/>
        <v>1.1273770227407769</v>
      </c>
      <c r="P1182" s="73"/>
      <c r="Q1182" s="73"/>
      <c r="R1182" s="73"/>
      <c r="S1182" s="73"/>
      <c r="T1182" s="73"/>
      <c r="U1182" s="73"/>
      <c r="V1182" s="73"/>
      <c r="W1182" s="73"/>
      <c r="X1182" s="73"/>
      <c r="Y1182" s="73"/>
      <c r="Z1182" s="73"/>
      <c r="AA1182" s="73"/>
      <c r="AB1182" s="73"/>
      <c r="AC1182" s="73"/>
      <c r="AD1182" s="143"/>
      <c r="AE1182" s="143"/>
      <c r="AF1182" s="143"/>
      <c r="AG1182" s="143"/>
      <c r="AH1182" s="143"/>
      <c r="AI1182" s="143"/>
      <c r="AJ1182" s="143"/>
      <c r="AK1182" s="143"/>
      <c r="AL1182" s="143"/>
      <c r="AM1182" s="143"/>
      <c r="AN1182" s="143"/>
      <c r="AO1182" s="143"/>
      <c r="AP1182" s="143"/>
      <c r="AQ1182" s="143"/>
    </row>
    <row r="1183" spans="1:43" ht="15" customHeight="1">
      <c r="A1183" s="593" t="str">
        <f>+input!B11</f>
        <v>105i</v>
      </c>
      <c r="B1183" s="596">
        <f>F1042</f>
        <v>379.71678381329224</v>
      </c>
      <c r="C1183" s="596">
        <f>G1042</f>
        <v>379.69195956099264</v>
      </c>
      <c r="D1183" s="596">
        <f>Stress!F840</f>
        <v>-208.36702562586024</v>
      </c>
      <c r="E1183" s="684" t="str">
        <f>IF(OR(L1109="compact",D1183&gt;=0),"-",IF(ABS(D1183)&lt;=B1183,"OK","NG"))</f>
        <v>OK</v>
      </c>
      <c r="F1183" s="683">
        <f>IF(OR(L1109="compact",D1183&gt;=0),"-",B1183 / ABS(D1183))</f>
        <v>1.8223458470588541</v>
      </c>
      <c r="G1183" s="684" t="str">
        <f>IF(OR(L1109="compact",D1183&lt;=0),"-",IF(ABS(D1183)&lt;=C1183,"OK","NG"))</f>
        <v>-</v>
      </c>
      <c r="H1183" s="1184" t="str">
        <f>IF(OR(L1109="compact",D1183&lt;=0),"-",C1183 / ABS(D1183))</f>
        <v>-</v>
      </c>
      <c r="I1183" s="596">
        <f>+Stress!G840</f>
        <v>220.92317771867664</v>
      </c>
      <c r="J1183" s="684" t="str">
        <f t="shared" si="56"/>
        <v>-</v>
      </c>
      <c r="K1183" s="683" t="str">
        <f t="shared" si="57"/>
        <v>-</v>
      </c>
      <c r="L1183" s="684" t="str">
        <f t="shared" si="58"/>
        <v>OK</v>
      </c>
      <c r="M1183" s="2306">
        <f t="shared" si="59"/>
        <v>1.7186605927083487</v>
      </c>
      <c r="P1183" s="73"/>
      <c r="Q1183" s="73"/>
      <c r="R1183" s="73"/>
      <c r="S1183" s="73"/>
      <c r="T1183" s="73"/>
      <c r="U1183" s="73"/>
      <c r="V1183" s="73"/>
      <c r="W1183" s="73"/>
      <c r="X1183" s="73"/>
      <c r="Y1183" s="73"/>
      <c r="Z1183" s="73"/>
      <c r="AA1183" s="73"/>
      <c r="AB1183" s="73"/>
      <c r="AC1183" s="73"/>
      <c r="AD1183" s="143"/>
      <c r="AE1183" s="143"/>
      <c r="AF1183" s="143"/>
      <c r="AG1183" s="143"/>
      <c r="AH1183" s="143"/>
      <c r="AI1183" s="143"/>
      <c r="AJ1183" s="143"/>
      <c r="AK1183" s="143"/>
      <c r="AL1183" s="143"/>
      <c r="AM1183" s="143"/>
      <c r="AN1183" s="143"/>
      <c r="AO1183" s="143"/>
      <c r="AP1183" s="143"/>
      <c r="AQ1183" s="143"/>
    </row>
    <row r="1184" spans="1:43" ht="15" customHeight="1">
      <c r="A1184" s="593" t="str">
        <f>+input!B12</f>
        <v>105j</v>
      </c>
      <c r="B1184" s="596">
        <f>F1043</f>
        <v>379.71678381329224</v>
      </c>
      <c r="C1184" s="596">
        <f>G1043</f>
        <v>379.69237085401522</v>
      </c>
      <c r="D1184" s="596">
        <f>Stress!F841</f>
        <v>-274.06494366174275</v>
      </c>
      <c r="E1184" s="684" t="str">
        <f>IF(OR(L1110="compact",D1184&gt;=0),"-",IF(ABS(D1184)&lt;=B1184,"OK","NG"))</f>
        <v>OK</v>
      </c>
      <c r="F1184" s="683">
        <f>IF(OR(L1110="compact",D1184&gt;=0),"-",B1184 / ABS(D1184))</f>
        <v>1.3854992861908944</v>
      </c>
      <c r="G1184" s="684" t="str">
        <f>IF(OR(L1110="compact",D1184&lt;=0),"-",IF(ABS(D1184)&lt;=C1184,"OK","NG"))</f>
        <v>-</v>
      </c>
      <c r="H1184" s="1184" t="str">
        <f>IF(OR(L1110="compact",D1184&lt;=0),"-",C1184 / ABS(D1184))</f>
        <v>-</v>
      </c>
      <c r="I1184" s="596">
        <f>+Stress!G841</f>
        <v>289.73357691519402</v>
      </c>
      <c r="J1184" s="684" t="str">
        <f t="shared" si="56"/>
        <v>-</v>
      </c>
      <c r="K1184" s="683" t="str">
        <f t="shared" si="57"/>
        <v>-</v>
      </c>
      <c r="L1184" s="684" t="str">
        <f t="shared" si="58"/>
        <v>OK</v>
      </c>
      <c r="M1184" s="2306">
        <f t="shared" si="59"/>
        <v>1.3104879831209637</v>
      </c>
      <c r="P1184" s="73"/>
      <c r="Q1184" s="73"/>
      <c r="R1184" s="73"/>
      <c r="S1184" s="73"/>
      <c r="T1184" s="73"/>
      <c r="U1184" s="73"/>
      <c r="V1184" s="73"/>
      <c r="W1184" s="73"/>
      <c r="X1184" s="73"/>
      <c r="Y1184" s="73"/>
      <c r="Z1184" s="73"/>
      <c r="AA1184" s="73"/>
      <c r="AB1184" s="73"/>
      <c r="AC1184" s="73"/>
      <c r="AD1184" s="143"/>
      <c r="AE1184" s="143"/>
      <c r="AF1184" s="143"/>
      <c r="AG1184" s="143"/>
      <c r="AH1184" s="143"/>
      <c r="AI1184" s="143"/>
      <c r="AJ1184" s="143"/>
      <c r="AK1184" s="143"/>
      <c r="AL1184" s="143"/>
      <c r="AM1184" s="143"/>
      <c r="AN1184" s="143"/>
      <c r="AO1184" s="143"/>
      <c r="AP1184" s="143"/>
      <c r="AQ1184" s="143"/>
    </row>
    <row r="1185" spans="1:43" ht="15" customHeight="1">
      <c r="A1185" s="593" t="str">
        <f>+input!B13</f>
        <v>106i</v>
      </c>
      <c r="B1185" s="596">
        <f>F1044</f>
        <v>379.71678381329224</v>
      </c>
      <c r="C1185" s="596">
        <f>G1044</f>
        <v>379.6994414709996</v>
      </c>
      <c r="D1185" s="596">
        <f>Stress!F842</f>
        <v>-274.06439403597767</v>
      </c>
      <c r="E1185" s="684" t="str">
        <f>IF(OR(L1111="compact",D1185&gt;=0),"-",IF(ABS(D1185)&lt;=B1185,"OK","NG"))</f>
        <v>OK</v>
      </c>
      <c r="F1185" s="683">
        <f>IF(OR(L1111="compact",D1185&gt;=0),"-",B1185 / ABS(D1185))</f>
        <v>1.3855020647572522</v>
      </c>
      <c r="G1185" s="684" t="str">
        <f>IF(OR(L1111="compact",D1185&lt;=0),"-",IF(ABS(D1185)&lt;=C1185,"OK","NG"))</f>
        <v>-</v>
      </c>
      <c r="H1185" s="1184" t="str">
        <f>IF(OR(L1111="compact",D1185&lt;=0),"-",C1185 / ABS(D1185))</f>
        <v>-</v>
      </c>
      <c r="I1185" s="596">
        <f>+Stress!G842</f>
        <v>289.73323710023715</v>
      </c>
      <c r="J1185" s="684" t="str">
        <f t="shared" si="56"/>
        <v>-</v>
      </c>
      <c r="K1185" s="683" t="str">
        <f t="shared" si="57"/>
        <v>-</v>
      </c>
      <c r="L1185" s="684" t="str">
        <f t="shared" si="58"/>
        <v>OK</v>
      </c>
      <c r="M1185" s="2306">
        <f t="shared" si="59"/>
        <v>1.3105139240191399</v>
      </c>
      <c r="P1185" s="73"/>
      <c r="Q1185" s="73"/>
      <c r="R1185" s="73"/>
      <c r="S1185" s="73"/>
      <c r="T1185" s="73"/>
      <c r="U1185" s="73"/>
      <c r="V1185" s="73"/>
      <c r="W1185" s="73"/>
      <c r="X1185" s="73"/>
      <c r="Y1185" s="73"/>
      <c r="Z1185" s="73"/>
      <c r="AA1185" s="73"/>
      <c r="AB1185" s="73"/>
      <c r="AC1185" s="73"/>
      <c r="AD1185" s="143"/>
      <c r="AE1185" s="143"/>
      <c r="AF1185" s="143"/>
      <c r="AG1185" s="143"/>
      <c r="AH1185" s="143"/>
      <c r="AI1185" s="143"/>
      <c r="AJ1185" s="143"/>
      <c r="AK1185" s="143"/>
      <c r="AL1185" s="143"/>
      <c r="AM1185" s="143"/>
      <c r="AN1185" s="143"/>
      <c r="AO1185" s="143"/>
      <c r="AP1185" s="143"/>
      <c r="AQ1185" s="143"/>
    </row>
    <row r="1186" spans="1:43" ht="15" customHeight="1">
      <c r="A1186" s="593" t="str">
        <f>+input!B14</f>
        <v>106j</v>
      </c>
      <c r="B1186" s="596">
        <f>F1045</f>
        <v>379.71678381329224</v>
      </c>
      <c r="C1186" s="596">
        <f>G1045</f>
        <v>379.70270520852625</v>
      </c>
      <c r="D1186" s="596">
        <f>Stress!F843</f>
        <v>-319.50697310896152</v>
      </c>
      <c r="E1186" s="684" t="str">
        <f>IF(OR(L1112="compact",D1186&gt;=0),"-",IF(ABS(D1186)&lt;=B1186,"OK","NG"))</f>
        <v>OK</v>
      </c>
      <c r="F1186" s="683">
        <f>IF(OR(L1112="compact",D1186&gt;=0),"-",B1186 / ABS(D1186))</f>
        <v>1.1884459989040594</v>
      </c>
      <c r="G1186" s="684" t="str">
        <f>IF(OR(L1112="compact",D1186&lt;=0),"-",IF(ABS(D1186)&lt;=C1186,"OK","NG"))</f>
        <v>-</v>
      </c>
      <c r="H1186" s="1184" t="str">
        <f>IF(OR(L1112="compact",D1186&lt;=0),"-",C1186 / ABS(D1186))</f>
        <v>-</v>
      </c>
      <c r="I1186" s="596">
        <f>+Stress!G843</f>
        <v>337.00212297254143</v>
      </c>
      <c r="J1186" s="684" t="str">
        <f t="shared" si="56"/>
        <v>-</v>
      </c>
      <c r="K1186" s="683" t="str">
        <f t="shared" si="57"/>
        <v>-</v>
      </c>
      <c r="L1186" s="684" t="str">
        <f t="shared" si="58"/>
        <v>OK</v>
      </c>
      <c r="M1186" s="2306">
        <f t="shared" si="59"/>
        <v>1.1267071609500336</v>
      </c>
      <c r="P1186" s="73"/>
      <c r="Q1186" s="73"/>
      <c r="R1186" s="73"/>
      <c r="S1186" s="73"/>
      <c r="T1186" s="73"/>
      <c r="U1186" s="73"/>
      <c r="V1186" s="73"/>
      <c r="W1186" s="73"/>
      <c r="X1186" s="73"/>
      <c r="Y1186" s="73"/>
      <c r="Z1186" s="73"/>
      <c r="AA1186" s="73"/>
      <c r="AB1186" s="73"/>
      <c r="AC1186" s="73"/>
      <c r="AD1186" s="143"/>
      <c r="AE1186" s="143"/>
      <c r="AF1186" s="143"/>
      <c r="AG1186" s="143"/>
      <c r="AH1186" s="143"/>
      <c r="AI1186" s="143"/>
      <c r="AJ1186" s="143"/>
      <c r="AK1186" s="143"/>
      <c r="AL1186" s="143"/>
      <c r="AM1186" s="143"/>
      <c r="AN1186" s="143"/>
      <c r="AO1186" s="143"/>
      <c r="AP1186" s="143"/>
      <c r="AQ1186" s="143"/>
    </row>
    <row r="1187" spans="1:43" ht="15" customHeight="1">
      <c r="A1187" s="593" t="str">
        <f>+input!B15</f>
        <v>107i</v>
      </c>
      <c r="B1187" s="596">
        <f>F1046</f>
        <v>379.75937999074216</v>
      </c>
      <c r="C1187" s="596">
        <f>G1046</f>
        <v>379.74669831851418</v>
      </c>
      <c r="D1187" s="596">
        <f>Stress!F844</f>
        <v>-275.95165494882599</v>
      </c>
      <c r="E1187" s="684" t="str">
        <f>IF(OR(L1113="compact",D1187&gt;=0),"-",IF(ABS(D1187)&lt;=B1187,"OK","NG"))</f>
        <v>OK</v>
      </c>
      <c r="F1187" s="683">
        <f>IF(OR(L1113="compact",D1187&gt;=0),"-",B1187 / ABS(D1187))</f>
        <v>1.376180838854425</v>
      </c>
      <c r="G1187" s="684" t="str">
        <f>IF(OR(L1113="compact",D1187&lt;=0),"-",IF(ABS(D1187)&lt;=C1187,"OK","NG"))</f>
        <v>-</v>
      </c>
      <c r="H1187" s="1184" t="str">
        <f>IF(OR(L1113="compact",D1187&lt;=0),"-",C1187 / ABS(D1187))</f>
        <v>-</v>
      </c>
      <c r="I1187" s="596">
        <f>+Stress!G844</f>
        <v>295.4629164210545</v>
      </c>
      <c r="J1187" s="684" t="str">
        <f t="shared" si="56"/>
        <v>-</v>
      </c>
      <c r="K1187" s="683" t="str">
        <f t="shared" si="57"/>
        <v>-</v>
      </c>
      <c r="L1187" s="684" t="str">
        <f t="shared" si="58"/>
        <v>OK</v>
      </c>
      <c r="M1187" s="2306">
        <f t="shared" si="59"/>
        <v>1.2852601027512691</v>
      </c>
      <c r="P1187" s="73"/>
      <c r="Q1187" s="73"/>
      <c r="R1187" s="73"/>
      <c r="S1187" s="73"/>
      <c r="T1187" s="73"/>
      <c r="U1187" s="73"/>
      <c r="V1187" s="73"/>
      <c r="W1187" s="73"/>
      <c r="X1187" s="73"/>
      <c r="Y1187" s="73"/>
      <c r="Z1187" s="73"/>
      <c r="AA1187" s="73"/>
      <c r="AB1187" s="73"/>
      <c r="AC1187" s="73"/>
      <c r="AD1187" s="143"/>
      <c r="AE1187" s="143"/>
      <c r="AF1187" s="143"/>
      <c r="AG1187" s="143"/>
      <c r="AH1187" s="143"/>
      <c r="AI1187" s="143"/>
      <c r="AJ1187" s="143"/>
      <c r="AK1187" s="143"/>
      <c r="AL1187" s="143"/>
      <c r="AM1187" s="143"/>
      <c r="AN1187" s="143"/>
      <c r="AO1187" s="143"/>
      <c r="AP1187" s="143"/>
      <c r="AQ1187" s="143"/>
    </row>
    <row r="1188" spans="1:43" ht="15" customHeight="1">
      <c r="A1188" s="593" t="str">
        <f>+input!B16</f>
        <v>107j</v>
      </c>
      <c r="B1188" s="596">
        <f>F1047</f>
        <v>379.75937999074216</v>
      </c>
      <c r="C1188" s="596">
        <f>G1047</f>
        <v>379.74486963368543</v>
      </c>
      <c r="D1188" s="596">
        <f>Stress!F845</f>
        <v>-302.53337012148461</v>
      </c>
      <c r="E1188" s="684" t="str">
        <f>IF(OR(L1114="compact",D1188&gt;=0),"-",IF(ABS(D1188)&lt;=B1188,"OK","NG"))</f>
        <v>OK</v>
      </c>
      <c r="F1188" s="683">
        <f>IF(OR(L1114="compact",D1188&gt;=0),"-",B1188 / ABS(D1188))</f>
        <v>1.2552644352530329</v>
      </c>
      <c r="G1188" s="684" t="str">
        <f>IF(OR(L1114="compact",D1188&lt;=0),"-",IF(ABS(D1188)&lt;=C1188,"OK","NG"))</f>
        <v>-</v>
      </c>
      <c r="H1188" s="1184" t="str">
        <f>IF(OR(L1114="compact",D1188&lt;=0),"-",C1188 / ABS(D1188))</f>
        <v>-</v>
      </c>
      <c r="I1188" s="596">
        <f>+Stress!G845</f>
        <v>324.07061909117698</v>
      </c>
      <c r="J1188" s="684" t="str">
        <f t="shared" si="56"/>
        <v>-</v>
      </c>
      <c r="K1188" s="683" t="str">
        <f t="shared" si="57"/>
        <v>-</v>
      </c>
      <c r="L1188" s="684" t="str">
        <f t="shared" si="58"/>
        <v>OK</v>
      </c>
      <c r="M1188" s="2306">
        <f t="shared" si="59"/>
        <v>1.1717966617851419</v>
      </c>
      <c r="P1188" s="73"/>
      <c r="Q1188" s="73"/>
      <c r="R1188" s="73"/>
      <c r="S1188" s="73"/>
      <c r="T1188" s="73"/>
      <c r="U1188" s="73"/>
      <c r="V1188" s="73"/>
      <c r="W1188" s="73"/>
      <c r="X1188" s="73"/>
      <c r="Y1188" s="73"/>
      <c r="Z1188" s="73"/>
      <c r="AA1188" s="73"/>
      <c r="AB1188" s="73"/>
      <c r="AC1188" s="73"/>
      <c r="AD1188" s="143"/>
      <c r="AE1188" s="143"/>
      <c r="AF1188" s="143"/>
      <c r="AG1188" s="143"/>
      <c r="AH1188" s="143"/>
      <c r="AI1188" s="143"/>
      <c r="AJ1188" s="143"/>
      <c r="AK1188" s="143"/>
      <c r="AL1188" s="143"/>
      <c r="AM1188" s="143"/>
      <c r="AN1188" s="143"/>
      <c r="AO1188" s="143"/>
      <c r="AP1188" s="143"/>
      <c r="AQ1188" s="143"/>
    </row>
    <row r="1189" spans="1:43" ht="15" customHeight="1">
      <c r="A1189" s="593" t="str">
        <f>+input!B17</f>
        <v>108i</v>
      </c>
      <c r="B1189" s="596">
        <f>F1048</f>
        <v>379.75937999074216</v>
      </c>
      <c r="C1189" s="596">
        <f>G1048</f>
        <v>379.74997825144322</v>
      </c>
      <c r="D1189" s="596">
        <f>Stress!F846</f>
        <v>-302.53290351538112</v>
      </c>
      <c r="E1189" s="684" t="str">
        <f>IF(OR(L1115="compact",D1189&gt;=0),"-",IF(ABS(D1189)&lt;=B1189,"OK","NG"))</f>
        <v>OK</v>
      </c>
      <c r="F1189" s="683">
        <f>IF(OR(L1115="compact",D1189&gt;=0),"-",B1189 / ABS(D1189))</f>
        <v>1.2552663712872301</v>
      </c>
      <c r="G1189" s="684" t="str">
        <f>IF(OR(L1115="compact",D1189&lt;=0),"-",IF(ABS(D1189)&lt;=C1189,"OK","NG"))</f>
        <v>-</v>
      </c>
      <c r="H1189" s="1184" t="str">
        <f>IF(OR(L1115="compact",D1189&lt;=0),"-",C1189 / ABS(D1189))</f>
        <v>-</v>
      </c>
      <c r="I1189" s="596">
        <f>+Stress!G846</f>
        <v>324.07014867229799</v>
      </c>
      <c r="J1189" s="684" t="str">
        <f t="shared" si="56"/>
        <v>-</v>
      </c>
      <c r="K1189" s="683" t="str">
        <f t="shared" si="57"/>
        <v>-</v>
      </c>
      <c r="L1189" s="684" t="str">
        <f t="shared" si="58"/>
        <v>OK</v>
      </c>
      <c r="M1189" s="2306">
        <f t="shared" si="59"/>
        <v>1.1718141266860376</v>
      </c>
      <c r="P1189" s="73"/>
      <c r="Q1189" s="73"/>
      <c r="R1189" s="73"/>
      <c r="S1189" s="73"/>
      <c r="T1189" s="73"/>
      <c r="U1189" s="73"/>
      <c r="V1189" s="73"/>
      <c r="W1189" s="73"/>
      <c r="X1189" s="73"/>
      <c r="Y1189" s="73"/>
      <c r="Z1189" s="73"/>
      <c r="AA1189" s="73"/>
      <c r="AB1189" s="73"/>
      <c r="AC1189" s="73"/>
      <c r="AD1189" s="143"/>
      <c r="AE1189" s="143"/>
      <c r="AF1189" s="143"/>
      <c r="AG1189" s="143"/>
      <c r="AH1189" s="143"/>
      <c r="AI1189" s="143"/>
      <c r="AJ1189" s="143"/>
      <c r="AK1189" s="143"/>
      <c r="AL1189" s="143"/>
      <c r="AM1189" s="143"/>
      <c r="AN1189" s="143"/>
      <c r="AO1189" s="143"/>
      <c r="AP1189" s="143"/>
      <c r="AQ1189" s="143"/>
    </row>
    <row r="1190" spans="1:43" ht="15" customHeight="1">
      <c r="A1190" s="593" t="str">
        <f>+input!B18</f>
        <v>108j</v>
      </c>
      <c r="B1190" s="596">
        <f>F1049</f>
        <v>379.75937999074216</v>
      </c>
      <c r="C1190" s="596">
        <f>G1049</f>
        <v>379.75265843576784</v>
      </c>
      <c r="D1190" s="596">
        <f>Stress!F847</f>
        <v>-310.94478622427368</v>
      </c>
      <c r="E1190" s="684" t="str">
        <f>IF(OR(L1116="compact",D1190&gt;=0),"-",IF(ABS(D1190)&lt;=B1190,"OK","NG"))</f>
        <v>OK</v>
      </c>
      <c r="F1190" s="683">
        <f>IF(OR(L1116="compact",D1190&gt;=0),"-",B1190 / ABS(D1190))</f>
        <v>1.2213080804539842</v>
      </c>
      <c r="G1190" s="684" t="str">
        <f>IF(OR(L1116="compact",D1190&lt;=0),"-",IF(ABS(D1190)&lt;=C1190,"OK","NG"))</f>
        <v>-</v>
      </c>
      <c r="H1190" s="1184" t="str">
        <f>IF(OR(L1116="compact",D1190&lt;=0),"-",C1190 / ABS(D1190))</f>
        <v>-</v>
      </c>
      <c r="I1190" s="596">
        <f>+Stress!G847</f>
        <v>333.31393033291374</v>
      </c>
      <c r="J1190" s="684" t="str">
        <f t="shared" si="56"/>
        <v>-</v>
      </c>
      <c r="K1190" s="683" t="str">
        <f t="shared" si="57"/>
        <v>-</v>
      </c>
      <c r="L1190" s="684" t="str">
        <f t="shared" si="58"/>
        <v>OK</v>
      </c>
      <c r="M1190" s="2306">
        <f t="shared" si="59"/>
        <v>1.1393242942365809</v>
      </c>
      <c r="P1190" s="73"/>
      <c r="Q1190" s="73"/>
      <c r="R1190" s="73"/>
      <c r="S1190" s="73"/>
      <c r="T1190" s="73"/>
      <c r="U1190" s="73"/>
      <c r="V1190" s="73"/>
      <c r="W1190" s="73"/>
      <c r="X1190" s="73"/>
      <c r="Y1190" s="73"/>
      <c r="Z1190" s="73"/>
      <c r="AA1190" s="73"/>
      <c r="AB1190" s="73"/>
      <c r="AC1190" s="73"/>
      <c r="AD1190" s="143"/>
      <c r="AE1190" s="143"/>
      <c r="AF1190" s="143"/>
      <c r="AG1190" s="143"/>
      <c r="AH1190" s="143"/>
      <c r="AI1190" s="143"/>
      <c r="AJ1190" s="143"/>
      <c r="AK1190" s="143"/>
      <c r="AL1190" s="143"/>
      <c r="AM1190" s="143"/>
      <c r="AN1190" s="143"/>
      <c r="AO1190" s="143"/>
      <c r="AP1190" s="143"/>
      <c r="AQ1190" s="143"/>
    </row>
    <row r="1191" spans="1:43" ht="15" customHeight="1">
      <c r="A1191" s="593" t="str">
        <f>+input!B19</f>
        <v>109i</v>
      </c>
      <c r="B1191" s="596">
        <f>F1050</f>
        <v>379.75937999074216</v>
      </c>
      <c r="C1191" s="596">
        <f>G1050</f>
        <v>379.75265843576784</v>
      </c>
      <c r="D1191" s="596">
        <f>Stress!F848</f>
        <v>-310.94519872823207</v>
      </c>
      <c r="E1191" s="684" t="str">
        <f>IF(OR(L1117="compact",D1191&gt;=0),"-",IF(ABS(D1191)&lt;=B1191,"OK","NG"))</f>
        <v>OK</v>
      </c>
      <c r="F1191" s="683">
        <f>IF(OR(L1117="compact",D1191&gt;=0),"-",B1191 / ABS(D1191))</f>
        <v>1.2213064602507469</v>
      </c>
      <c r="G1191" s="684" t="str">
        <f>IF(OR(L1117="compact",D1191&lt;=0),"-",IF(ABS(D1191)&lt;=C1191,"OK","NG"))</f>
        <v>-</v>
      </c>
      <c r="H1191" s="1184" t="str">
        <f>IF(OR(L1117="compact",D1191&lt;=0),"-",C1191 / ABS(D1191))</f>
        <v>-</v>
      </c>
      <c r="I1191" s="596">
        <f>+Stress!G848</f>
        <v>333.31432045648972</v>
      </c>
      <c r="J1191" s="684" t="str">
        <f t="shared" si="56"/>
        <v>-</v>
      </c>
      <c r="K1191" s="683" t="str">
        <f t="shared" si="57"/>
        <v>-</v>
      </c>
      <c r="L1191" s="684" t="str">
        <f t="shared" si="58"/>
        <v>OK</v>
      </c>
      <c r="M1191" s="2306">
        <f t="shared" si="59"/>
        <v>1.1393229607287159</v>
      </c>
      <c r="P1191" s="73"/>
      <c r="Q1191" s="73"/>
      <c r="R1191" s="73"/>
      <c r="S1191" s="73"/>
      <c r="T1191" s="73"/>
      <c r="U1191" s="73"/>
      <c r="V1191" s="73"/>
      <c r="W1191" s="73"/>
      <c r="X1191" s="73"/>
      <c r="Y1191" s="73"/>
      <c r="Z1191" s="73"/>
      <c r="AA1191" s="73"/>
      <c r="AB1191" s="73"/>
      <c r="AC1191" s="73"/>
      <c r="AD1191" s="143"/>
      <c r="AE1191" s="143"/>
      <c r="AF1191" s="143"/>
      <c r="AG1191" s="143"/>
      <c r="AH1191" s="143"/>
      <c r="AI1191" s="143"/>
      <c r="AJ1191" s="143"/>
      <c r="AK1191" s="143"/>
      <c r="AL1191" s="143"/>
      <c r="AM1191" s="143"/>
      <c r="AN1191" s="143"/>
      <c r="AO1191" s="143"/>
      <c r="AP1191" s="143"/>
      <c r="AQ1191" s="143"/>
    </row>
    <row r="1192" spans="1:43" ht="15" customHeight="1">
      <c r="A1192" s="593" t="str">
        <f>+input!B20</f>
        <v>109j</v>
      </c>
      <c r="B1192" s="596">
        <f>F1051</f>
        <v>379.75937999074216</v>
      </c>
      <c r="C1192" s="596">
        <f>G1051</f>
        <v>379.74973295667894</v>
      </c>
      <c r="D1192" s="596">
        <f>Stress!F849</f>
        <v>-306.61570808932493</v>
      </c>
      <c r="E1192" s="684" t="str">
        <f>IF(OR(L1118="compact",D1192&gt;=0),"-",IF(ABS(D1192)&lt;=B1192,"OK","NG"))</f>
        <v>OK</v>
      </c>
      <c r="F1192" s="683">
        <f>IF(OR(L1118="compact",D1192&gt;=0),"-",B1192 / ABS(D1192))</f>
        <v>1.2385516135399972</v>
      </c>
      <c r="G1192" s="684" t="str">
        <f>IF(OR(L1118="compact",D1192&lt;=0),"-",IF(ABS(D1192)&lt;=C1192,"OK","NG"))</f>
        <v>-</v>
      </c>
      <c r="H1192" s="1184" t="str">
        <f>IF(OR(L1118="compact",D1192&lt;=0),"-",C1192 / ABS(D1192))</f>
        <v>-</v>
      </c>
      <c r="I1192" s="596">
        <f>+Stress!G849</f>
        <v>329.92294822102718</v>
      </c>
      <c r="J1192" s="684" t="str">
        <f t="shared" si="56"/>
        <v>-</v>
      </c>
      <c r="K1192" s="683" t="str">
        <f t="shared" si="57"/>
        <v>-</v>
      </c>
      <c r="L1192" s="684" t="str">
        <f t="shared" si="58"/>
        <v>OK</v>
      </c>
      <c r="M1192" s="2306">
        <f t="shared" si="59"/>
        <v>1.151025519759453</v>
      </c>
      <c r="P1192" s="73"/>
      <c r="Q1192" s="73"/>
      <c r="R1192" s="73"/>
      <c r="S1192" s="73"/>
      <c r="T1192" s="73"/>
      <c r="U1192" s="73"/>
      <c r="V1192" s="73"/>
      <c r="W1192" s="73"/>
      <c r="X1192" s="73"/>
      <c r="Y1192" s="73"/>
      <c r="Z1192" s="73"/>
      <c r="AA1192" s="73"/>
      <c r="AB1192" s="73"/>
      <c r="AC1192" s="73"/>
      <c r="AD1192" s="143"/>
      <c r="AE1192" s="143"/>
      <c r="AF1192" s="143"/>
      <c r="AG1192" s="143"/>
      <c r="AH1192" s="143"/>
      <c r="AI1192" s="143"/>
      <c r="AJ1192" s="143"/>
      <c r="AK1192" s="143"/>
      <c r="AL1192" s="143"/>
      <c r="AM1192" s="143"/>
      <c r="AN1192" s="143"/>
      <c r="AO1192" s="143"/>
      <c r="AP1192" s="143"/>
      <c r="AQ1192" s="143"/>
    </row>
    <row r="1193" spans="1:43" ht="15" customHeight="1">
      <c r="A1193" s="593" t="str">
        <f>+input!B21</f>
        <v>110i</v>
      </c>
      <c r="B1193" s="596">
        <f>F1052</f>
        <v>379.75937999074216</v>
      </c>
      <c r="C1193" s="596">
        <f>G1052</f>
        <v>379.75090811386519</v>
      </c>
      <c r="D1193" s="596">
        <f>Stress!F850</f>
        <v>-306.61616098702495</v>
      </c>
      <c r="E1193" s="684" t="str">
        <f>IF(OR(L1119="compact",D1193&gt;=0),"-",IF(ABS(D1193)&lt;=B1193,"OK","NG"))</f>
        <v>OK</v>
      </c>
      <c r="F1193" s="683">
        <f>IF(OR(L1119="compact",D1193&gt;=0),"-",B1193 / ABS(D1193))</f>
        <v>1.2385497840957327</v>
      </c>
      <c r="G1193" s="684" t="str">
        <f>IF(OR(L1119="compact",D1193&lt;=0),"-",IF(ABS(D1193)&lt;=C1193,"OK","NG"))</f>
        <v>-</v>
      </c>
      <c r="H1193" s="1184" t="str">
        <f>IF(OR(L1119="compact",D1193&lt;=0),"-",C1193 / ABS(D1193))</f>
        <v>-</v>
      </c>
      <c r="I1193" s="596">
        <f>+Stress!G850</f>
        <v>329.92331055089323</v>
      </c>
      <c r="J1193" s="684" t="str">
        <f t="shared" si="56"/>
        <v>-</v>
      </c>
      <c r="K1193" s="683" t="str">
        <f t="shared" si="57"/>
        <v>-</v>
      </c>
      <c r="L1193" s="684" t="str">
        <f t="shared" si="58"/>
        <v>OK</v>
      </c>
      <c r="M1193" s="2306">
        <f t="shared" si="59"/>
        <v>1.1510278175851587</v>
      </c>
      <c r="P1193" s="73"/>
      <c r="Q1193" s="73"/>
      <c r="R1193" s="73"/>
      <c r="S1193" s="73"/>
      <c r="T1193" s="73"/>
      <c r="U1193" s="73"/>
      <c r="V1193" s="73"/>
      <c r="W1193" s="73"/>
      <c r="X1193" s="73"/>
      <c r="Y1193" s="73"/>
      <c r="Z1193" s="73"/>
      <c r="AA1193" s="73"/>
      <c r="AB1193" s="73"/>
      <c r="AC1193" s="73"/>
      <c r="AD1193" s="143"/>
      <c r="AE1193" s="143"/>
      <c r="AF1193" s="143"/>
      <c r="AG1193" s="143"/>
      <c r="AH1193" s="143"/>
      <c r="AI1193" s="143"/>
      <c r="AJ1193" s="143"/>
      <c r="AK1193" s="143"/>
      <c r="AL1193" s="143"/>
      <c r="AM1193" s="143"/>
      <c r="AN1193" s="143"/>
      <c r="AO1193" s="143"/>
      <c r="AP1193" s="143"/>
      <c r="AQ1193" s="143"/>
    </row>
    <row r="1194" spans="1:43" ht="15" customHeight="1">
      <c r="A1194" s="593" t="str">
        <f>+input!B22</f>
        <v>110j</v>
      </c>
      <c r="B1194" s="596">
        <f>F1053</f>
        <v>379.75937999074216</v>
      </c>
      <c r="C1194" s="596">
        <f>G1053</f>
        <v>379.75157364251544</v>
      </c>
      <c r="D1194" s="596">
        <f>Stress!F851</f>
        <v>-285.95378635967546</v>
      </c>
      <c r="E1194" s="684" t="str">
        <f>IF(OR(L1120="compact",D1194&gt;=0),"-",IF(ABS(D1194)&lt;=B1194,"OK","NG"))</f>
        <v>OK</v>
      </c>
      <c r="F1194" s="683">
        <f>IF(OR(L1120="compact",D1194&gt;=0),"-",B1194 / ABS(D1194))</f>
        <v>1.3280445935871508</v>
      </c>
      <c r="G1194" s="684" t="str">
        <f>IF(OR(L1120="compact",D1194&lt;=0),"-",IF(ABS(D1194)&lt;=C1194,"OK","NG"))</f>
        <v>-</v>
      </c>
      <c r="H1194" s="1184" t="str">
        <f>IF(OR(L1120="compact",D1194&lt;=0),"-",C1194 / ABS(D1194))</f>
        <v>-</v>
      </c>
      <c r="I1194" s="596">
        <f>+Stress!G851</f>
        <v>309.66410613336222</v>
      </c>
      <c r="J1194" s="684" t="str">
        <f t="shared" si="56"/>
        <v>-</v>
      </c>
      <c r="K1194" s="683" t="str">
        <f t="shared" si="57"/>
        <v>-</v>
      </c>
      <c r="L1194" s="684" t="str">
        <f t="shared" si="58"/>
        <v>OK</v>
      </c>
      <c r="M1194" s="2306">
        <f t="shared" si="59"/>
        <v>1.2263338440618907</v>
      </c>
      <c r="P1194" s="73"/>
      <c r="Q1194" s="73"/>
      <c r="R1194" s="73"/>
      <c r="S1194" s="73"/>
      <c r="T1194" s="73"/>
      <c r="U1194" s="73"/>
      <c r="V1194" s="73"/>
      <c r="W1194" s="73"/>
      <c r="X1194" s="73"/>
      <c r="Y1194" s="73"/>
      <c r="Z1194" s="73"/>
      <c r="AA1194" s="73"/>
      <c r="AB1194" s="73"/>
      <c r="AC1194" s="73"/>
      <c r="AD1194" s="143"/>
      <c r="AE1194" s="143"/>
      <c r="AF1194" s="143"/>
      <c r="AG1194" s="143"/>
      <c r="AH1194" s="143"/>
      <c r="AI1194" s="143"/>
      <c r="AJ1194" s="143"/>
      <c r="AK1194" s="143"/>
      <c r="AL1194" s="143"/>
      <c r="AM1194" s="143"/>
      <c r="AN1194" s="143"/>
      <c r="AO1194" s="143"/>
      <c r="AP1194" s="143"/>
      <c r="AQ1194" s="143"/>
    </row>
    <row r="1195" spans="1:43" ht="15" customHeight="1">
      <c r="A1195" s="593" t="str">
        <f>+input!B23</f>
        <v>111i</v>
      </c>
      <c r="B1195" s="596">
        <f>F1054</f>
        <v>379.75937999074216</v>
      </c>
      <c r="C1195" s="596">
        <f>G1054</f>
        <v>379.74710782795256</v>
      </c>
      <c r="D1195" s="596">
        <f>Stress!F852</f>
        <v>-285.95396986256617</v>
      </c>
      <c r="E1195" s="684" t="str">
        <f>IF(OR(L1121="compact",D1195&gt;=0),"-",IF(ABS(D1195)&lt;=B1195,"OK","NG"))</f>
        <v>OK</v>
      </c>
      <c r="F1195" s="683">
        <f>IF(OR(L1121="compact",D1195&gt;=0),"-",B1195 / ABS(D1195))</f>
        <v>1.3280437413520096</v>
      </c>
      <c r="G1195" s="684" t="str">
        <f>IF(OR(L1121="compact",D1195&lt;=0),"-",IF(ABS(D1195)&lt;=C1195,"OK","NG"))</f>
        <v>-</v>
      </c>
      <c r="H1195" s="1184" t="str">
        <f>IF(OR(L1121="compact",D1195&lt;=0),"-",C1195 / ABS(D1195))</f>
        <v>-</v>
      </c>
      <c r="I1195" s="596">
        <f>+Stress!G852</f>
        <v>309.66410086388805</v>
      </c>
      <c r="J1195" s="684" t="str">
        <f t="shared" si="56"/>
        <v>-</v>
      </c>
      <c r="K1195" s="683" t="str">
        <f t="shared" si="57"/>
        <v>-</v>
      </c>
      <c r="L1195" s="684" t="str">
        <f t="shared" si="58"/>
        <v>OK</v>
      </c>
      <c r="M1195" s="2306">
        <f t="shared" si="59"/>
        <v>1.2263194434503382</v>
      </c>
      <c r="P1195" s="73"/>
      <c r="Q1195" s="73"/>
      <c r="R1195" s="73"/>
      <c r="S1195" s="73"/>
      <c r="T1195" s="73"/>
      <c r="U1195" s="73"/>
      <c r="V1195" s="73"/>
      <c r="W1195" s="73"/>
      <c r="X1195" s="73"/>
      <c r="Y1195" s="73"/>
      <c r="Z1195" s="73"/>
      <c r="AA1195" s="73"/>
      <c r="AB1195" s="73"/>
      <c r="AC1195" s="73"/>
      <c r="AD1195" s="143"/>
      <c r="AE1195" s="143"/>
      <c r="AF1195" s="143"/>
      <c r="AG1195" s="143"/>
      <c r="AH1195" s="143"/>
      <c r="AI1195" s="143"/>
      <c r="AJ1195" s="143"/>
      <c r="AK1195" s="143"/>
      <c r="AL1195" s="143"/>
      <c r="AM1195" s="143"/>
      <c r="AN1195" s="143"/>
      <c r="AO1195" s="143"/>
      <c r="AP1195" s="143"/>
      <c r="AQ1195" s="143"/>
    </row>
    <row r="1196" spans="1:43" ht="15" customHeight="1">
      <c r="A1196" s="593" t="str">
        <f>+input!B24</f>
        <v>111j</v>
      </c>
      <c r="B1196" s="596">
        <f>F1055</f>
        <v>379.75937999074216</v>
      </c>
      <c r="C1196" s="596">
        <f>G1055</f>
        <v>379.74987891304903</v>
      </c>
      <c r="D1196" s="596">
        <f>Stress!F853</f>
        <v>-248.69779784429412</v>
      </c>
      <c r="E1196" s="684" t="str">
        <f>IF(OR(L1122="compact",D1196&gt;=0),"-",IF(ABS(D1196)&lt;=B1196,"OK","NG"))</f>
        <v>OK</v>
      </c>
      <c r="F1196" s="683">
        <f>IF(OR(L1122="compact",D1196&gt;=0),"-",B1196 / ABS(D1196))</f>
        <v>1.5269913255464518</v>
      </c>
      <c r="G1196" s="684" t="str">
        <f>IF(OR(L1122="compact",D1196&lt;=0),"-",IF(ABS(D1196)&lt;=C1196,"OK","NG"))</f>
        <v>-</v>
      </c>
      <c r="H1196" s="1184" t="str">
        <f>IF(OR(L1122="compact",D1196&lt;=0),"-",C1196 / ABS(D1196))</f>
        <v>-</v>
      </c>
      <c r="I1196" s="596">
        <f>+Stress!G853</f>
        <v>272.285733685487</v>
      </c>
      <c r="J1196" s="684" t="str">
        <f t="shared" si="56"/>
        <v>-</v>
      </c>
      <c r="K1196" s="683" t="str">
        <f t="shared" si="57"/>
        <v>-</v>
      </c>
      <c r="L1196" s="684" t="str">
        <f t="shared" si="58"/>
        <v>OK</v>
      </c>
      <c r="M1196" s="2306">
        <f t="shared" si="59"/>
        <v>1.3946741673645384</v>
      </c>
      <c r="P1196" s="73"/>
      <c r="Q1196" s="73"/>
      <c r="R1196" s="73"/>
      <c r="S1196" s="73"/>
      <c r="T1196" s="73"/>
      <c r="U1196" s="73"/>
      <c r="V1196" s="73"/>
      <c r="W1196" s="73"/>
      <c r="X1196" s="73"/>
      <c r="Y1196" s="73"/>
      <c r="Z1196" s="73"/>
      <c r="AA1196" s="73"/>
      <c r="AB1196" s="73"/>
      <c r="AC1196" s="73"/>
      <c r="AD1196" s="143"/>
      <c r="AE1196" s="143"/>
      <c r="AF1196" s="143"/>
      <c r="AG1196" s="143"/>
      <c r="AH1196" s="143"/>
      <c r="AI1196" s="143"/>
      <c r="AJ1196" s="143"/>
      <c r="AK1196" s="143"/>
      <c r="AL1196" s="143"/>
      <c r="AM1196" s="143"/>
      <c r="AN1196" s="143"/>
      <c r="AO1196" s="143"/>
      <c r="AP1196" s="143"/>
      <c r="AQ1196" s="143"/>
    </row>
    <row r="1197" spans="1:43" ht="15" customHeight="1">
      <c r="A1197" s="593" t="str">
        <f>+input!B25</f>
        <v>112i</v>
      </c>
      <c r="B1197" s="596">
        <f>F1056</f>
        <v>379.69918216813556</v>
      </c>
      <c r="C1197" s="596">
        <f>G1056</f>
        <v>379.6874227643338</v>
      </c>
      <c r="D1197" s="596">
        <f>Stress!F854</f>
        <v>-297.53873106615964</v>
      </c>
      <c r="E1197" s="684" t="str">
        <f>IF(OR(L1123="compact",D1197&gt;=0),"-",IF(ABS(D1197)&lt;=B1197,"OK","NG"))</f>
        <v>OK</v>
      </c>
      <c r="F1197" s="683">
        <f>IF(OR(L1123="compact",D1197&gt;=0),"-",B1197 / ABS(D1197))</f>
        <v>1.2761336341241134</v>
      </c>
      <c r="G1197" s="684" t="str">
        <f>IF(OR(L1123="compact",D1197&lt;=0),"-",IF(ABS(D1197)&lt;=C1197,"OK","NG"))</f>
        <v>-</v>
      </c>
      <c r="H1197" s="1184" t="str">
        <f>IF(OR(L1123="compact",D1197&lt;=0),"-",C1197 / ABS(D1197))</f>
        <v>-</v>
      </c>
      <c r="I1197" s="596">
        <f>+Stress!G854</f>
        <v>324.96157016478554</v>
      </c>
      <c r="J1197" s="684" t="str">
        <f t="shared" si="56"/>
        <v>-</v>
      </c>
      <c r="K1197" s="683" t="str">
        <f t="shared" si="57"/>
        <v>-</v>
      </c>
      <c r="L1197" s="684" t="str">
        <f t="shared" si="58"/>
        <v>OK</v>
      </c>
      <c r="M1197" s="2306">
        <f t="shared" si="59"/>
        <v>1.1684071521804784</v>
      </c>
      <c r="P1197" s="73"/>
      <c r="Q1197" s="73"/>
      <c r="R1197" s="73"/>
      <c r="S1197" s="73"/>
      <c r="T1197" s="73"/>
      <c r="U1197" s="73"/>
      <c r="V1197" s="73"/>
      <c r="W1197" s="73"/>
      <c r="X1197" s="73"/>
      <c r="Y1197" s="73"/>
      <c r="Z1197" s="73"/>
      <c r="AA1197" s="73"/>
      <c r="AB1197" s="73"/>
      <c r="AC1197" s="73"/>
      <c r="AD1197" s="143"/>
      <c r="AE1197" s="143"/>
      <c r="AF1197" s="143"/>
      <c r="AG1197" s="143"/>
      <c r="AH1197" s="143"/>
      <c r="AI1197" s="143"/>
      <c r="AJ1197" s="143"/>
      <c r="AK1197" s="143"/>
      <c r="AL1197" s="143"/>
      <c r="AM1197" s="143"/>
      <c r="AN1197" s="143"/>
      <c r="AO1197" s="143"/>
      <c r="AP1197" s="143"/>
      <c r="AQ1197" s="143"/>
    </row>
    <row r="1198" spans="1:43" ht="15" customHeight="1">
      <c r="A1198" s="593" t="str">
        <f>+input!B26</f>
        <v>112j</v>
      </c>
      <c r="B1198" s="596">
        <f>F1057</f>
        <v>379.69918216813556</v>
      </c>
      <c r="C1198" s="596">
        <f>G1057</f>
        <v>379.68578406449768</v>
      </c>
      <c r="D1198" s="596">
        <f>Stress!F855</f>
        <v>-237.79788181074701</v>
      </c>
      <c r="E1198" s="684" t="str">
        <f>IF(OR(L1124="compact",D1198&gt;=0),"-",IF(ABS(D1198)&lt;=B1198,"OK","NG"))</f>
        <v>OK</v>
      </c>
      <c r="F1198" s="683">
        <f>IF(OR(L1124="compact",D1198&gt;=0),"-",B1198 / ABS(D1198))</f>
        <v>1.5967307163413744</v>
      </c>
      <c r="G1198" s="684" t="str">
        <f>IF(OR(L1124="compact",D1198&lt;=0),"-",IF(ABS(D1198)&lt;=C1198,"OK","NG"))</f>
        <v>-</v>
      </c>
      <c r="H1198" s="1184" t="str">
        <f>IF(OR(L1124="compact",D1198&lt;=0),"-",C1198 / ABS(D1198))</f>
        <v>-</v>
      </c>
      <c r="I1198" s="596">
        <f>+Stress!G855</f>
        <v>265.75223189196447</v>
      </c>
      <c r="J1198" s="684" t="str">
        <f t="shared" si="56"/>
        <v>-</v>
      </c>
      <c r="K1198" s="683" t="str">
        <f t="shared" si="57"/>
        <v>-</v>
      </c>
      <c r="L1198" s="684" t="str">
        <f t="shared" si="58"/>
        <v>OK</v>
      </c>
      <c r="M1198" s="2306">
        <f t="shared" si="59"/>
        <v>1.4287209607287525</v>
      </c>
      <c r="P1198" s="73"/>
      <c r="Q1198" s="73"/>
      <c r="R1198" s="73"/>
      <c r="S1198" s="73"/>
      <c r="T1198" s="73"/>
      <c r="U1198" s="73"/>
      <c r="V1198" s="73"/>
      <c r="W1198" s="73"/>
      <c r="X1198" s="73"/>
      <c r="Y1198" s="73"/>
      <c r="Z1198" s="73"/>
      <c r="AA1198" s="73"/>
      <c r="AB1198" s="73"/>
      <c r="AC1198" s="73"/>
      <c r="AD1198" s="143"/>
      <c r="AE1198" s="143"/>
      <c r="AF1198" s="143"/>
      <c r="AG1198" s="143"/>
      <c r="AH1198" s="143"/>
      <c r="AI1198" s="143"/>
      <c r="AJ1198" s="143"/>
      <c r="AK1198" s="143"/>
      <c r="AL1198" s="143"/>
      <c r="AM1198" s="143"/>
      <c r="AN1198" s="143"/>
      <c r="AO1198" s="143"/>
      <c r="AP1198" s="143"/>
      <c r="AQ1198" s="143"/>
    </row>
    <row r="1199" spans="1:43" ht="15" customHeight="1">
      <c r="A1199" s="593" t="str">
        <f>+input!B27</f>
        <v>113i</v>
      </c>
      <c r="B1199" s="596">
        <f>F1058</f>
        <v>379.70026073310402</v>
      </c>
      <c r="C1199" s="596">
        <f>G1058</f>
        <v>379.67025379824008</v>
      </c>
      <c r="D1199" s="596">
        <f>Stress!F856</f>
        <v>-260.5571267618493</v>
      </c>
      <c r="E1199" s="684" t="str">
        <f>IF(OR(L1125="compact",D1199&gt;=0),"-",IF(ABS(D1199)&lt;=B1199,"OK","NG"))</f>
        <v>OK</v>
      </c>
      <c r="F1199" s="683">
        <f>IF(OR(L1125="compact",D1199&gt;=0),"-",B1199 / ABS(D1199))</f>
        <v>1.4572630019832549</v>
      </c>
      <c r="G1199" s="684" t="str">
        <f>IF(OR(L1125="compact",D1199&lt;=0),"-",IF(ABS(D1199)&lt;=C1199,"OK","NG"))</f>
        <v>-</v>
      </c>
      <c r="H1199" s="1184" t="str">
        <f>IF(OR(L1125="compact",D1199&lt;=0),"-",C1199 / ABS(D1199))</f>
        <v>-</v>
      </c>
      <c r="I1199" s="596">
        <f>+Stress!G856</f>
        <v>268.96056107953916</v>
      </c>
      <c r="J1199" s="684" t="str">
        <f t="shared" si="56"/>
        <v>-</v>
      </c>
      <c r="K1199" s="683" t="str">
        <f t="shared" si="57"/>
        <v>-</v>
      </c>
      <c r="L1199" s="684" t="str">
        <f t="shared" si="58"/>
        <v>OK</v>
      </c>
      <c r="M1199" s="2306">
        <f t="shared" si="59"/>
        <v>1.4116205449391555</v>
      </c>
      <c r="P1199" s="73"/>
      <c r="Q1199" s="73"/>
      <c r="R1199" s="73"/>
      <c r="S1199" s="73"/>
      <c r="T1199" s="73"/>
      <c r="U1199" s="73"/>
      <c r="V1199" s="73"/>
      <c r="W1199" s="73"/>
      <c r="X1199" s="73"/>
      <c r="Y1199" s="73"/>
      <c r="Z1199" s="73"/>
      <c r="AA1199" s="73"/>
      <c r="AB1199" s="73"/>
      <c r="AC1199" s="73"/>
      <c r="AD1199" s="143"/>
      <c r="AE1199" s="143"/>
      <c r="AF1199" s="143"/>
      <c r="AG1199" s="143"/>
      <c r="AH1199" s="143"/>
      <c r="AI1199" s="143"/>
      <c r="AJ1199" s="143"/>
      <c r="AK1199" s="143"/>
      <c r="AL1199" s="143"/>
      <c r="AM1199" s="143"/>
      <c r="AN1199" s="143"/>
      <c r="AO1199" s="143"/>
      <c r="AP1199" s="143"/>
      <c r="AQ1199" s="143"/>
    </row>
    <row r="1200" spans="1:43" ht="15" customHeight="1">
      <c r="A1200" s="593" t="str">
        <f>+input!B28</f>
        <v>113j</v>
      </c>
      <c r="B1200" s="596">
        <f>F1059</f>
        <v>379.70026073310402</v>
      </c>
      <c r="C1200" s="596">
        <f>G1059</f>
        <v>379.67636364440875</v>
      </c>
      <c r="D1200" s="596">
        <f>Stress!F857</f>
        <v>-172.52145420937154</v>
      </c>
      <c r="E1200" s="684" t="str">
        <f>IF(OR(L1126="compact",D1200&gt;=0),"-",IF(ABS(D1200)&lt;=B1200,"OK","NG"))</f>
        <v>OK</v>
      </c>
      <c r="F1200" s="683">
        <f>IF(OR(L1126="compact",D1200&gt;=0),"-",B1200 / ABS(D1200))</f>
        <v>2.2008872025406236</v>
      </c>
      <c r="G1200" s="684" t="str">
        <f>IF(OR(L1126="compact",D1200&lt;=0),"-",IF(ABS(D1200)&lt;=C1200,"OK","NG"))</f>
        <v>-</v>
      </c>
      <c r="H1200" s="1184" t="str">
        <f>IF(OR(L1126="compact",D1200&lt;=0),"-",C1200 / ABS(D1200))</f>
        <v>-</v>
      </c>
      <c r="I1200" s="596">
        <f>+Stress!G857</f>
        <v>187.27581997919799</v>
      </c>
      <c r="J1200" s="684" t="str">
        <f t="shared" si="56"/>
        <v>-</v>
      </c>
      <c r="K1200" s="683" t="str">
        <f t="shared" si="57"/>
        <v>-</v>
      </c>
      <c r="L1200" s="684" t="str">
        <f t="shared" si="58"/>
        <v>OK</v>
      </c>
      <c r="M1200" s="2306">
        <f t="shared" si="59"/>
        <v>2.0273645774803284</v>
      </c>
      <c r="P1200" s="73"/>
      <c r="Q1200" s="73"/>
      <c r="R1200" s="73"/>
      <c r="S1200" s="73"/>
      <c r="T1200" s="73"/>
      <c r="U1200" s="73"/>
      <c r="V1200" s="73"/>
      <c r="W1200" s="73"/>
      <c r="X1200" s="73"/>
      <c r="Y1200" s="73"/>
      <c r="Z1200" s="73"/>
      <c r="AA1200" s="73"/>
      <c r="AB1200" s="73"/>
      <c r="AC1200" s="73"/>
      <c r="AD1200" s="143"/>
      <c r="AE1200" s="143"/>
      <c r="AF1200" s="143"/>
      <c r="AG1200" s="143"/>
      <c r="AH1200" s="143"/>
      <c r="AI1200" s="143"/>
      <c r="AJ1200" s="143"/>
      <c r="AK1200" s="143"/>
      <c r="AL1200" s="143"/>
      <c r="AM1200" s="143"/>
      <c r="AN1200" s="143"/>
      <c r="AO1200" s="143"/>
      <c r="AP1200" s="143"/>
      <c r="AQ1200" s="143"/>
    </row>
    <row r="1201" spans="1:43" ht="15" customHeight="1">
      <c r="A1201" s="593" t="str">
        <f>+input!B29</f>
        <v>114i</v>
      </c>
      <c r="B1201" s="596">
        <f>F1060</f>
        <v>379.70026073310402</v>
      </c>
      <c r="C1201" s="596">
        <f>G1060</f>
        <v>379.67636364440875</v>
      </c>
      <c r="D1201" s="596">
        <f>Stress!F858</f>
        <v>-172.5218762907208</v>
      </c>
      <c r="E1201" s="684" t="str">
        <f>IF(OR(L1127="compact",D1201&gt;=0),"-",IF(ABS(D1201)&lt;=B1201,"OK","NG"))</f>
        <v>OK</v>
      </c>
      <c r="F1201" s="683">
        <f>IF(OR(L1127="compact",D1201&gt;=0),"-",B1201 / ABS(D1201))</f>
        <v>2.2008818179861542</v>
      </c>
      <c r="G1201" s="684" t="str">
        <f>IF(OR(L1127="compact",D1201&lt;=0),"-",IF(ABS(D1201)&lt;=C1201,"OK","NG"))</f>
        <v>-</v>
      </c>
      <c r="H1201" s="1184" t="str">
        <f>IF(OR(L1127="compact",D1201&lt;=0),"-",C1201 / ABS(D1201))</f>
        <v>-</v>
      </c>
      <c r="I1201" s="596">
        <f>+Stress!G858</f>
        <v>187.27611420913416</v>
      </c>
      <c r="J1201" s="684" t="str">
        <f t="shared" si="56"/>
        <v>-</v>
      </c>
      <c r="K1201" s="683" t="str">
        <f t="shared" si="57"/>
        <v>-</v>
      </c>
      <c r="L1201" s="684" t="str">
        <f t="shared" si="58"/>
        <v>OK</v>
      </c>
      <c r="M1201" s="2306">
        <f t="shared" si="59"/>
        <v>2.0273613922831517</v>
      </c>
      <c r="P1201" s="73"/>
      <c r="Q1201" s="73"/>
      <c r="R1201" s="73"/>
      <c r="S1201" s="73"/>
      <c r="T1201" s="73"/>
      <c r="U1201" s="73"/>
      <c r="V1201" s="73"/>
      <c r="W1201" s="73"/>
      <c r="X1201" s="73"/>
      <c r="Y1201" s="73"/>
      <c r="Z1201" s="73"/>
      <c r="AA1201" s="73"/>
      <c r="AB1201" s="73"/>
      <c r="AC1201" s="73"/>
      <c r="AD1201" s="143"/>
      <c r="AE1201" s="143"/>
      <c r="AF1201" s="143"/>
      <c r="AG1201" s="143"/>
      <c r="AH1201" s="143"/>
      <c r="AI1201" s="143"/>
      <c r="AJ1201" s="143"/>
      <c r="AK1201" s="143"/>
      <c r="AL1201" s="143"/>
      <c r="AM1201" s="143"/>
      <c r="AN1201" s="143"/>
      <c r="AO1201" s="143"/>
      <c r="AP1201" s="143"/>
      <c r="AQ1201" s="143"/>
    </row>
    <row r="1202" spans="1:43" ht="15" customHeight="1">
      <c r="A1202" s="593" t="str">
        <f>+input!B30</f>
        <v>114j</v>
      </c>
      <c r="B1202" s="596">
        <f>F1061</f>
        <v>379.70026073310402</v>
      </c>
      <c r="C1202" s="596">
        <f>G1061</f>
        <v>379.6708597217314</v>
      </c>
      <c r="D1202" s="596">
        <f>Stress!F859</f>
        <v>-68.932802626914849</v>
      </c>
      <c r="E1202" s="684" t="str">
        <f>IF(OR(L1128="compact",D1202&gt;=0),"-",IF(ABS(D1202)&lt;=B1202,"OK","NG"))</f>
        <v>OK</v>
      </c>
      <c r="F1202" s="683">
        <f>IF(OR(L1128="compact",D1202&gt;=0),"-",B1202 / ABS(D1202))</f>
        <v>5.5082666925376085</v>
      </c>
      <c r="G1202" s="684" t="str">
        <f>IF(OR(L1128="compact",D1202&lt;=0),"-",IF(ABS(D1202)&lt;=C1202,"OK","NG"))</f>
        <v>-</v>
      </c>
      <c r="H1202" s="1184" t="str">
        <f>IF(OR(L1128="compact",D1202&lt;=0),"-",C1202 / ABS(D1202))</f>
        <v>-</v>
      </c>
      <c r="I1202" s="596">
        <f>+Stress!G859</f>
        <v>92.319271736249505</v>
      </c>
      <c r="J1202" s="684" t="str">
        <f t="shared" si="56"/>
        <v>-</v>
      </c>
      <c r="K1202" s="683" t="str">
        <f t="shared" si="57"/>
        <v>-</v>
      </c>
      <c r="L1202" s="684" t="str">
        <f t="shared" si="58"/>
        <v>OK</v>
      </c>
      <c r="M1202" s="2306">
        <f t="shared" si="59"/>
        <v>4.1125850819797165</v>
      </c>
      <c r="P1202" s="73"/>
      <c r="Q1202" s="73"/>
      <c r="R1202" s="73"/>
      <c r="S1202" s="73"/>
      <c r="T1202" s="73"/>
      <c r="U1202" s="73"/>
      <c r="V1202" s="73"/>
      <c r="W1202" s="73"/>
      <c r="X1202" s="73"/>
      <c r="Y1202" s="73"/>
      <c r="Z1202" s="73"/>
      <c r="AA1202" s="73"/>
      <c r="AB1202" s="73"/>
      <c r="AC1202" s="73"/>
      <c r="AD1202" s="143"/>
      <c r="AE1202" s="143"/>
      <c r="AF1202" s="143"/>
      <c r="AG1202" s="143"/>
      <c r="AH1202" s="143"/>
      <c r="AI1202" s="143"/>
      <c r="AJ1202" s="143"/>
      <c r="AK1202" s="143"/>
      <c r="AL1202" s="143"/>
      <c r="AM1202" s="143"/>
      <c r="AN1202" s="143"/>
      <c r="AO1202" s="143"/>
      <c r="AP1202" s="143"/>
      <c r="AQ1202" s="143"/>
    </row>
    <row r="1203" spans="1:43" ht="15" customHeight="1">
      <c r="A1203" s="593" t="str">
        <f>+input!B31</f>
        <v>115i</v>
      </c>
      <c r="B1203" s="596">
        <f>F1062</f>
        <v>379.48852881184092</v>
      </c>
      <c r="C1203" s="596">
        <f>G1062</f>
        <v>379.41047654817015</v>
      </c>
      <c r="D1203" s="596">
        <f>Stress!F860</f>
        <v>-82.585110651132311</v>
      </c>
      <c r="E1203" s="684" t="str">
        <f>IF(OR(L1129="compact",D1203&gt;=0),"-",IF(ABS(D1203)&lt;=B1203,"OK","NG"))</f>
        <v>OK</v>
      </c>
      <c r="F1203" s="683">
        <f>IF(OR(L1129="compact",D1203&gt;=0),"-",B1203 / ABS(D1203))</f>
        <v>4.5951204257015528</v>
      </c>
      <c r="G1203" s="684" t="str">
        <f>IF(OR(L1129="compact",D1203&lt;=0),"-",IF(ABS(D1203)&lt;=C1203,"OK","NG"))</f>
        <v>-</v>
      </c>
      <c r="H1203" s="1184" t="str">
        <f>IF(OR(L1129="compact",D1203&lt;=0),"-",C1203 / ABS(D1203))</f>
        <v>-</v>
      </c>
      <c r="I1203" s="596">
        <f>+Stress!G860</f>
        <v>134.26427122746725</v>
      </c>
      <c r="J1203" s="684" t="str">
        <f t="shared" si="56"/>
        <v>-</v>
      </c>
      <c r="K1203" s="683" t="str">
        <f t="shared" si="57"/>
        <v>-</v>
      </c>
      <c r="L1203" s="684" t="str">
        <f t="shared" si="58"/>
        <v>OK</v>
      </c>
      <c r="M1203" s="2306">
        <f t="shared" si="59"/>
        <v>2.8258484038943035</v>
      </c>
      <c r="P1203" s="73"/>
      <c r="Q1203" s="73"/>
      <c r="R1203" s="73"/>
      <c r="S1203" s="73"/>
      <c r="T1203" s="73"/>
      <c r="U1203" s="73"/>
      <c r="V1203" s="73"/>
      <c r="W1203" s="73"/>
      <c r="X1203" s="73"/>
      <c r="Y1203" s="73"/>
      <c r="Z1203" s="73"/>
      <c r="AA1203" s="73"/>
      <c r="AB1203" s="73"/>
      <c r="AC1203" s="73"/>
      <c r="AD1203" s="143"/>
      <c r="AE1203" s="143"/>
      <c r="AF1203" s="143"/>
      <c r="AG1203" s="143"/>
      <c r="AH1203" s="143"/>
      <c r="AI1203" s="143"/>
      <c r="AJ1203" s="143"/>
      <c r="AK1203" s="143"/>
      <c r="AL1203" s="143"/>
      <c r="AM1203" s="143"/>
      <c r="AN1203" s="143"/>
      <c r="AO1203" s="143"/>
      <c r="AP1203" s="143"/>
      <c r="AQ1203" s="143"/>
    </row>
    <row r="1204" spans="1:43" ht="15" customHeight="1">
      <c r="A1204" s="593" t="str">
        <f>+input!B32</f>
        <v>115j</v>
      </c>
      <c r="B1204" s="596">
        <f>F1063</f>
        <v>297.99723221925296</v>
      </c>
      <c r="C1204" s="596">
        <f>G1063</f>
        <v>379.50157350579502</v>
      </c>
      <c r="D1204" s="596">
        <f>Stress!F861</f>
        <v>164.35183484899051</v>
      </c>
      <c r="E1204" s="684" t="str">
        <f>IF(OR(L1130="compact",D1204&gt;=0),"-",IF(ABS(D1204)&lt;=B1204,"OK","NG"))</f>
        <v>-</v>
      </c>
      <c r="F1204" s="683" t="str">
        <f>IF(OR(L1130="compact",D1204&gt;=0),"-",B1204 / ABS(D1204))</f>
        <v>-</v>
      </c>
      <c r="G1204" s="684" t="str">
        <f>IF(OR(L1130="compact",D1204&lt;=0),"-",IF(ABS(D1204)&lt;=C1204,"OK","NG"))</f>
        <v>OK</v>
      </c>
      <c r="H1204" s="1184">
        <f>IF(OR(L1130="compact",D1204&lt;=0),"-",C1204 / ABS(D1204))</f>
        <v>2.3090802354259572</v>
      </c>
      <c r="I1204" s="596">
        <f>+Stress!G861</f>
        <v>-140.14915468811</v>
      </c>
      <c r="J1204" s="684" t="str">
        <f t="shared" si="56"/>
        <v>OK</v>
      </c>
      <c r="K1204" s="683">
        <f t="shared" si="57"/>
        <v>2.1262863331742556</v>
      </c>
      <c r="L1204" s="684" t="str">
        <f t="shared" si="58"/>
        <v>-</v>
      </c>
      <c r="M1204" s="2306" t="str">
        <f t="shared" si="59"/>
        <v>-</v>
      </c>
      <c r="P1204" s="73"/>
      <c r="Q1204" s="73"/>
      <c r="R1204" s="73"/>
      <c r="S1204" s="73"/>
      <c r="T1204" s="73"/>
      <c r="U1204" s="73"/>
      <c r="V1204" s="73"/>
      <c r="W1204" s="73"/>
      <c r="X1204" s="73"/>
      <c r="Y1204" s="73"/>
      <c r="Z1204" s="73"/>
      <c r="AA1204" s="73"/>
      <c r="AB1204" s="73"/>
      <c r="AC1204" s="73"/>
      <c r="AD1204" s="143"/>
      <c r="AE1204" s="143"/>
      <c r="AF1204" s="143"/>
      <c r="AG1204" s="143"/>
      <c r="AH1204" s="143"/>
      <c r="AI1204" s="143"/>
      <c r="AJ1204" s="143"/>
      <c r="AK1204" s="143"/>
      <c r="AL1204" s="143"/>
      <c r="AM1204" s="143"/>
      <c r="AN1204" s="143"/>
      <c r="AO1204" s="143"/>
      <c r="AP1204" s="143"/>
      <c r="AQ1204" s="143"/>
    </row>
    <row r="1205" spans="1:43" ht="15" customHeight="1">
      <c r="A1205" s="593" t="str">
        <f>+input!B33</f>
        <v>116i</v>
      </c>
      <c r="B1205" s="596">
        <f>F1064</f>
        <v>324.78734784467042</v>
      </c>
      <c r="C1205" s="596">
        <f>G1064</f>
        <v>379.62048091184226</v>
      </c>
      <c r="D1205" s="596">
        <f>Stress!F862</f>
        <v>133.40991706068854</v>
      </c>
      <c r="E1205" s="684" t="str">
        <f>IF(OR(L1131="compact",D1205&gt;=0),"-",IF(ABS(D1205)&lt;=B1205,"OK","NG"))</f>
        <v>-</v>
      </c>
      <c r="F1205" s="683" t="str">
        <f>IF(OR(L1131="compact",D1205&gt;=0),"-",B1205 / ABS(D1205))</f>
        <v>-</v>
      </c>
      <c r="G1205" s="684" t="str">
        <f>IF(OR(L1131="compact",D1205&lt;=0),"-",IF(ABS(D1205)&lt;=C1205,"OK","NG"))</f>
        <v>OK</v>
      </c>
      <c r="H1205" s="1184">
        <f>IF(OR(L1131="compact",D1205&lt;=0),"-",C1205 / ABS(D1205))</f>
        <v>2.8455192033374241</v>
      </c>
      <c r="I1205" s="596">
        <f>+Stress!G862</f>
        <v>-113.15090121918681</v>
      </c>
      <c r="J1205" s="684" t="str">
        <f t="shared" si="56"/>
        <v>OK</v>
      </c>
      <c r="K1205" s="683">
        <f t="shared" si="57"/>
        <v>2.8703911709507159</v>
      </c>
      <c r="L1205" s="684" t="str">
        <f t="shared" si="58"/>
        <v>-</v>
      </c>
      <c r="M1205" s="2306" t="str">
        <f t="shared" si="59"/>
        <v>-</v>
      </c>
      <c r="P1205" s="73"/>
      <c r="Q1205" s="73"/>
      <c r="R1205" s="73"/>
      <c r="S1205" s="73"/>
      <c r="T1205" s="73"/>
      <c r="U1205" s="73"/>
      <c r="V1205" s="73"/>
      <c r="W1205" s="73"/>
      <c r="X1205" s="73"/>
      <c r="Y1205" s="73"/>
      <c r="Z1205" s="73"/>
      <c r="AA1205" s="73"/>
      <c r="AB1205" s="73"/>
      <c r="AC1205" s="73"/>
      <c r="AD1205" s="143"/>
      <c r="AE1205" s="143"/>
      <c r="AF1205" s="143"/>
      <c r="AG1205" s="143"/>
      <c r="AH1205" s="143"/>
      <c r="AI1205" s="143"/>
      <c r="AJ1205" s="143"/>
      <c r="AK1205" s="143"/>
      <c r="AL1205" s="143"/>
      <c r="AM1205" s="143"/>
      <c r="AN1205" s="143"/>
      <c r="AO1205" s="143"/>
      <c r="AP1205" s="143"/>
      <c r="AQ1205" s="143"/>
    </row>
    <row r="1206" spans="1:43" ht="15" customHeight="1">
      <c r="A1206" s="593" t="str">
        <f>+input!B34</f>
        <v>116j</v>
      </c>
      <c r="B1206" s="596">
        <f>F1065</f>
        <v>324.75202833448208</v>
      </c>
      <c r="C1206" s="596">
        <f>G1065</f>
        <v>379.62048091184226</v>
      </c>
      <c r="D1206" s="596">
        <f>Stress!F863</f>
        <v>316.15721654585275</v>
      </c>
      <c r="E1206" s="684" t="str">
        <f>IF(OR(L1132="compact",D1206&gt;=0),"-",IF(ABS(D1206)&lt;=B1206,"OK","NG"))</f>
        <v>-</v>
      </c>
      <c r="F1206" s="683" t="str">
        <f>IF(OR(L1132="compact",D1206&gt;=0),"-",B1206 / ABS(D1206))</f>
        <v>-</v>
      </c>
      <c r="G1206" s="684" t="str">
        <f>IF(OR(L1132="compact",D1206&lt;=0),"-",IF(ABS(D1206)&lt;=C1206,"OK","NG"))</f>
        <v>OK</v>
      </c>
      <c r="H1206" s="1184">
        <f>IF(OR(L1132="compact",D1206&lt;=0),"-",C1206 / ABS(D1206))</f>
        <v>1.2007332461341598</v>
      </c>
      <c r="I1206" s="596">
        <f>+Stress!G863</f>
        <v>-260.06953868292703</v>
      </c>
      <c r="J1206" s="684" t="str">
        <f t="shared" si="56"/>
        <v>OK</v>
      </c>
      <c r="K1206" s="683">
        <f t="shared" si="57"/>
        <v>1.2487122866412086</v>
      </c>
      <c r="L1206" s="684" t="str">
        <f t="shared" si="58"/>
        <v>-</v>
      </c>
      <c r="M1206" s="2306" t="str">
        <f t="shared" si="59"/>
        <v>-</v>
      </c>
      <c r="P1206" s="73"/>
      <c r="Q1206" s="73"/>
      <c r="R1206" s="73"/>
      <c r="S1206" s="73"/>
      <c r="T1206" s="73"/>
      <c r="U1206" s="73"/>
      <c r="V1206" s="73"/>
      <c r="W1206" s="73"/>
      <c r="X1206" s="73"/>
      <c r="Y1206" s="73"/>
      <c r="Z1206" s="73"/>
      <c r="AA1206" s="73"/>
      <c r="AB1206" s="73"/>
      <c r="AC1206" s="73"/>
      <c r="AD1206" s="143"/>
      <c r="AE1206" s="143"/>
      <c r="AF1206" s="143"/>
      <c r="AG1206" s="143"/>
      <c r="AH1206" s="143"/>
      <c r="AI1206" s="143"/>
      <c r="AJ1206" s="143"/>
      <c r="AK1206" s="143"/>
      <c r="AL1206" s="143"/>
      <c r="AM1206" s="143"/>
      <c r="AN1206" s="143"/>
      <c r="AO1206" s="143"/>
      <c r="AP1206" s="143"/>
      <c r="AQ1206" s="143"/>
    </row>
    <row r="1207" spans="1:43" ht="15" customHeight="1">
      <c r="A1207" s="593" t="str">
        <f>+input!B35</f>
        <v>117i</v>
      </c>
      <c r="B1207" s="596">
        <f>F1066</f>
        <v>340.48719450590221</v>
      </c>
      <c r="C1207" s="596">
        <f>G1066</f>
        <v>379.72623697211804</v>
      </c>
      <c r="D1207" s="596">
        <f>Stress!F864</f>
        <v>199.13482973018188</v>
      </c>
      <c r="E1207" s="684" t="str">
        <f>IF(OR(L1133="compact",D1207&gt;=0),"-",IF(ABS(D1207)&lt;=B1207,"OK","NG"))</f>
        <v>-</v>
      </c>
      <c r="F1207" s="683" t="str">
        <f>IF(OR(L1133="compact",D1207&gt;=0),"-",B1207 / ABS(D1207))</f>
        <v>-</v>
      </c>
      <c r="G1207" s="684" t="str">
        <f>IF(OR(L1133="compact",D1207&lt;=0),"-",IF(ABS(D1207)&lt;=C1207,"OK","NG"))</f>
        <v>OK</v>
      </c>
      <c r="H1207" s="1184">
        <f>IF(OR(L1133="compact",D1207&lt;=0),"-",C1207 / ABS(D1207))</f>
        <v>1.9068800645604229</v>
      </c>
      <c r="I1207" s="596">
        <f>+Stress!G864</f>
        <v>-148.72525846364701</v>
      </c>
      <c r="J1207" s="684" t="str">
        <f t="shared" si="56"/>
        <v>OK</v>
      </c>
      <c r="K1207" s="683">
        <f t="shared" si="57"/>
        <v>2.2893703330771329</v>
      </c>
      <c r="L1207" s="684" t="str">
        <f t="shared" si="58"/>
        <v>-</v>
      </c>
      <c r="M1207" s="2306" t="str">
        <f t="shared" si="59"/>
        <v>-</v>
      </c>
      <c r="P1207" s="73"/>
      <c r="Q1207" s="73"/>
      <c r="R1207" s="73"/>
      <c r="S1207" s="73"/>
      <c r="T1207" s="73"/>
      <c r="U1207" s="73"/>
      <c r="V1207" s="73"/>
      <c r="W1207" s="73"/>
      <c r="X1207" s="73"/>
      <c r="Y1207" s="73"/>
      <c r="Z1207" s="73"/>
      <c r="AA1207" s="73"/>
      <c r="AB1207" s="73"/>
      <c r="AC1207" s="73"/>
      <c r="AD1207" s="143"/>
      <c r="AE1207" s="143"/>
      <c r="AF1207" s="143"/>
      <c r="AG1207" s="143"/>
      <c r="AH1207" s="143"/>
      <c r="AI1207" s="143"/>
      <c r="AJ1207" s="143"/>
      <c r="AK1207" s="143"/>
      <c r="AL1207" s="143"/>
      <c r="AM1207" s="143"/>
      <c r="AN1207" s="143"/>
      <c r="AO1207" s="143"/>
      <c r="AP1207" s="143"/>
      <c r="AQ1207" s="143"/>
    </row>
    <row r="1208" spans="1:43" ht="15" customHeight="1">
      <c r="A1208" s="593" t="str">
        <f>+input!B36</f>
        <v>117j</v>
      </c>
      <c r="B1208" s="596">
        <f>F1067</f>
        <v>340.4839936903341</v>
      </c>
      <c r="C1208" s="596">
        <f>G1067</f>
        <v>379.72623697211804</v>
      </c>
      <c r="D1208" s="596">
        <f>Stress!F865</f>
        <v>349.0271288427619</v>
      </c>
      <c r="E1208" s="684" t="str">
        <f>IF(OR(L1134="compact",D1208&gt;=0),"-",IF(ABS(D1208)&lt;=B1208,"OK","NG"))</f>
        <v>-</v>
      </c>
      <c r="F1208" s="683" t="str">
        <f>IF(OR(L1134="compact",D1208&gt;=0),"-",B1208 / ABS(D1208))</f>
        <v>-</v>
      </c>
      <c r="G1208" s="684" t="str">
        <f>IF(OR(L1134="compact",D1208&lt;=0),"-",IF(ABS(D1208)&lt;=C1208,"OK","NG"))</f>
        <v>OK</v>
      </c>
      <c r="H1208" s="1184">
        <f>IF(OR(L1134="compact",D1208&lt;=0),"-",C1208 / ABS(D1208))</f>
        <v>1.0879562234349589</v>
      </c>
      <c r="I1208" s="596">
        <f>+Stress!G865</f>
        <v>-262.94431224241271</v>
      </c>
      <c r="J1208" s="684" t="str">
        <f t="shared" si="56"/>
        <v>OK</v>
      </c>
      <c r="K1208" s="683">
        <f t="shared" si="57"/>
        <v>1.2948901263033836</v>
      </c>
      <c r="L1208" s="684" t="str">
        <f t="shared" si="58"/>
        <v>-</v>
      </c>
      <c r="M1208" s="2306" t="str">
        <f t="shared" si="59"/>
        <v>-</v>
      </c>
      <c r="P1208" s="73"/>
      <c r="Q1208" s="73"/>
      <c r="R1208" s="73"/>
      <c r="S1208" s="73"/>
      <c r="T1208" s="73"/>
      <c r="U1208" s="73"/>
      <c r="V1208" s="73"/>
      <c r="W1208" s="73"/>
      <c r="X1208" s="73"/>
      <c r="Y1208" s="73"/>
      <c r="Z1208" s="73"/>
      <c r="AA1208" s="73"/>
      <c r="AB1208" s="73"/>
      <c r="AC1208" s="73"/>
      <c r="AD1208" s="143"/>
      <c r="AE1208" s="143"/>
      <c r="AF1208" s="143"/>
      <c r="AG1208" s="143"/>
      <c r="AH1208" s="143"/>
      <c r="AI1208" s="143"/>
      <c r="AJ1208" s="143"/>
      <c r="AK1208" s="143"/>
      <c r="AL1208" s="143"/>
      <c r="AM1208" s="143"/>
      <c r="AN1208" s="143"/>
      <c r="AO1208" s="143"/>
      <c r="AP1208" s="143"/>
      <c r="AQ1208" s="143"/>
    </row>
    <row r="1209" spans="1:43" ht="15" customHeight="1">
      <c r="A1209" s="593" t="str">
        <f>+input!B37</f>
        <v>118i</v>
      </c>
      <c r="B1209" s="596">
        <f>F1068</f>
        <v>350.56690989975954</v>
      </c>
      <c r="C1209" s="596">
        <f>G1068</f>
        <v>379.79484641054904</v>
      </c>
      <c r="D1209" s="596">
        <f>Stress!F866</f>
        <v>190.80990778243967</v>
      </c>
      <c r="E1209" s="684" t="str">
        <f>IF(OR(L1135="compact",D1209&gt;=0),"-",IF(ABS(D1209)&lt;=B1209,"OK","NG"))</f>
        <v>-</v>
      </c>
      <c r="F1209" s="683" t="str">
        <f>IF(OR(L1135="compact",D1209&gt;=0),"-",B1209 / ABS(D1209))</f>
        <v>-</v>
      </c>
      <c r="G1209" s="684" t="str">
        <f>IF(OR(L1135="compact",D1209&lt;=0),"-",IF(ABS(D1209)&lt;=C1209,"OK","NG"))</f>
        <v>OK</v>
      </c>
      <c r="H1209" s="1184">
        <f>IF(OR(L1135="compact",D1209&lt;=0),"-",C1209 / ABS(D1209))</f>
        <v>1.9904356687996982</v>
      </c>
      <c r="I1209" s="596">
        <f>+Stress!G866</f>
        <v>-204.13765677587872</v>
      </c>
      <c r="J1209" s="684" t="str">
        <f t="shared" si="56"/>
        <v>OK</v>
      </c>
      <c r="K1209" s="683">
        <f t="shared" si="57"/>
        <v>1.717306426636632</v>
      </c>
      <c r="L1209" s="684" t="str">
        <f t="shared" si="58"/>
        <v>-</v>
      </c>
      <c r="M1209" s="2306" t="str">
        <f t="shared" si="59"/>
        <v>-</v>
      </c>
      <c r="P1209" s="73"/>
      <c r="Q1209" s="73"/>
      <c r="R1209" s="73"/>
      <c r="S1209" s="73"/>
      <c r="T1209" s="73"/>
      <c r="U1209" s="73"/>
      <c r="V1209" s="73"/>
      <c r="W1209" s="73"/>
      <c r="X1209" s="73"/>
      <c r="Y1209" s="73"/>
      <c r="Z1209" s="73"/>
      <c r="AA1209" s="73"/>
      <c r="AB1209" s="73"/>
      <c r="AC1209" s="73"/>
      <c r="AD1209" s="143"/>
      <c r="AE1209" s="143"/>
      <c r="AF1209" s="143"/>
      <c r="AG1209" s="143"/>
      <c r="AH1209" s="143"/>
      <c r="AI1209" s="143"/>
      <c r="AJ1209" s="143"/>
      <c r="AK1209" s="143"/>
      <c r="AL1209" s="143"/>
      <c r="AM1209" s="143"/>
      <c r="AN1209" s="143"/>
      <c r="AO1209" s="143"/>
      <c r="AP1209" s="143"/>
      <c r="AQ1209" s="143"/>
    </row>
    <row r="1210" spans="1:43" ht="15" customHeight="1">
      <c r="A1210" s="593" t="str">
        <f>+input!B38</f>
        <v>118j</v>
      </c>
      <c r="B1210" s="596">
        <f>F1069</f>
        <v>350.54927294788945</v>
      </c>
      <c r="C1210" s="596">
        <f>G1069</f>
        <v>379.78983972398146</v>
      </c>
      <c r="D1210" s="596">
        <f>Stress!F867</f>
        <v>255.42199879001697</v>
      </c>
      <c r="E1210" s="684" t="str">
        <f>IF(OR(L1136="compact",D1210&gt;=0),"-",IF(ABS(D1210)&lt;=B1210,"OK","NG"))</f>
        <v>-</v>
      </c>
      <c r="F1210" s="683" t="str">
        <f>IF(OR(L1136="compact",D1210&gt;=0),"-",B1210 / ABS(D1210))</f>
        <v>-</v>
      </c>
      <c r="G1210" s="684" t="str">
        <f>IF(OR(L1136="compact",D1210&lt;=0),"-",IF(ABS(D1210)&lt;=C1210,"OK","NG"))</f>
        <v>OK</v>
      </c>
      <c r="H1210" s="1184">
        <f>IF(OR(L1136="compact",D1210&lt;=0),"-",C1210 / ABS(D1210))</f>
        <v>1.4869112352229596</v>
      </c>
      <c r="I1210" s="596">
        <f>+Stress!G867</f>
        <v>-274.37693384289759</v>
      </c>
      <c r="J1210" s="684" t="str">
        <f t="shared" si="56"/>
        <v>OK</v>
      </c>
      <c r="K1210" s="683">
        <f t="shared" si="57"/>
        <v>1.2776193247665875</v>
      </c>
      <c r="L1210" s="684" t="str">
        <f t="shared" si="58"/>
        <v>-</v>
      </c>
      <c r="M1210" s="2306" t="str">
        <f t="shared" si="59"/>
        <v>-</v>
      </c>
      <c r="P1210" s="73"/>
      <c r="Q1210" s="73"/>
      <c r="R1210" s="73"/>
      <c r="S1210" s="73"/>
      <c r="T1210" s="73"/>
      <c r="U1210" s="73"/>
      <c r="V1210" s="73"/>
      <c r="W1210" s="73"/>
      <c r="X1210" s="73"/>
      <c r="Y1210" s="73"/>
      <c r="Z1210" s="73"/>
      <c r="AA1210" s="73"/>
      <c r="AB1210" s="73"/>
      <c r="AC1210" s="73"/>
      <c r="AD1210" s="143"/>
      <c r="AE1210" s="143"/>
      <c r="AF1210" s="143"/>
      <c r="AG1210" s="143"/>
      <c r="AH1210" s="143"/>
      <c r="AI1210" s="143"/>
      <c r="AJ1210" s="143"/>
      <c r="AK1210" s="143"/>
      <c r="AL1210" s="143"/>
      <c r="AM1210" s="143"/>
      <c r="AN1210" s="143"/>
      <c r="AO1210" s="143"/>
      <c r="AP1210" s="143"/>
      <c r="AQ1210" s="143"/>
    </row>
    <row r="1211" spans="1:43" ht="15" customHeight="1">
      <c r="A1211" s="593" t="str">
        <f>+input!B39</f>
        <v>119i</v>
      </c>
      <c r="B1211" s="596">
        <f>F1070</f>
        <v>353.07691430177027</v>
      </c>
      <c r="C1211" s="596">
        <f>G1070</f>
        <v>379.78383505188322</v>
      </c>
      <c r="D1211" s="596">
        <f>Stress!F868</f>
        <v>247.49525313630375</v>
      </c>
      <c r="E1211" s="684" t="str">
        <f>IF(OR(L1137="compact",D1211&gt;=0),"-",IF(ABS(D1211)&lt;=B1211,"OK","NG"))</f>
        <v>-</v>
      </c>
      <c r="F1211" s="683" t="str">
        <f>IF(OR(L1137="compact",D1211&gt;=0),"-",B1211 / ABS(D1211))</f>
        <v>-</v>
      </c>
      <c r="G1211" s="684" t="str">
        <f>IF(OR(L1137="compact",D1211&lt;=0),"-",IF(ABS(D1211)&lt;=C1211,"OK","NG"))</f>
        <v>OK</v>
      </c>
      <c r="H1211" s="1184">
        <f>IF(OR(L1137="compact",D1211&lt;=0),"-",C1211 / ABS(D1211))</f>
        <v>1.5345095723622781</v>
      </c>
      <c r="I1211" s="596">
        <f>+Stress!G868</f>
        <v>-258.48933920844155</v>
      </c>
      <c r="J1211" s="684" t="str">
        <f t="shared" si="56"/>
        <v>OK</v>
      </c>
      <c r="K1211" s="683">
        <f t="shared" si="57"/>
        <v>1.3659244724868707</v>
      </c>
      <c r="L1211" s="684" t="str">
        <f t="shared" si="58"/>
        <v>-</v>
      </c>
      <c r="M1211" s="2306" t="str">
        <f t="shared" si="59"/>
        <v>-</v>
      </c>
      <c r="P1211" s="73"/>
      <c r="Q1211" s="73"/>
      <c r="R1211" s="73"/>
      <c r="S1211" s="73"/>
      <c r="T1211" s="73"/>
      <c r="U1211" s="73"/>
      <c r="V1211" s="73"/>
      <c r="W1211" s="73"/>
      <c r="X1211" s="73"/>
      <c r="Y1211" s="73"/>
      <c r="Z1211" s="73"/>
      <c r="AA1211" s="73"/>
      <c r="AB1211" s="73"/>
      <c r="AC1211" s="73"/>
      <c r="AD1211" s="143"/>
      <c r="AE1211" s="143"/>
      <c r="AF1211" s="143"/>
      <c r="AG1211" s="143"/>
      <c r="AH1211" s="143"/>
      <c r="AI1211" s="143"/>
      <c r="AJ1211" s="143"/>
      <c r="AK1211" s="143"/>
      <c r="AL1211" s="143"/>
      <c r="AM1211" s="143"/>
      <c r="AN1211" s="143"/>
      <c r="AO1211" s="143"/>
      <c r="AP1211" s="143"/>
      <c r="AQ1211" s="143"/>
    </row>
    <row r="1212" spans="1:43" ht="15" customHeight="1">
      <c r="A1212" s="593" t="str">
        <f>+input!B40</f>
        <v>119j</v>
      </c>
      <c r="B1212" s="596">
        <f>F1071</f>
        <v>353.06871470230169</v>
      </c>
      <c r="C1212" s="596">
        <f>G1071</f>
        <v>379.78152443798621</v>
      </c>
      <c r="D1212" s="596">
        <f>Stress!F869</f>
        <v>276.12173626917394</v>
      </c>
      <c r="E1212" s="684" t="str">
        <f>IF(OR(L1138="compact",D1212&gt;=0),"-",IF(ABS(D1212)&lt;=B1212,"OK","NG"))</f>
        <v>-</v>
      </c>
      <c r="F1212" s="683" t="str">
        <f>IF(OR(L1138="compact",D1212&gt;=0),"-",B1212 / ABS(D1212))</f>
        <v>-</v>
      </c>
      <c r="G1212" s="684" t="str">
        <f>IF(OR(L1138="compact",D1212&lt;=0),"-",IF(ABS(D1212)&lt;=C1212,"OK","NG"))</f>
        <v>OK</v>
      </c>
      <c r="H1212" s="1184">
        <f>IF(OR(L1138="compact",D1212&lt;=0),"-",C1212 / ABS(D1212))</f>
        <v>1.3754133577798482</v>
      </c>
      <c r="I1212" s="596">
        <f>+Stress!G869</f>
        <v>-288.90054796601828</v>
      </c>
      <c r="J1212" s="684" t="str">
        <f t="shared" si="56"/>
        <v>OK</v>
      </c>
      <c r="K1212" s="683">
        <f t="shared" si="57"/>
        <v>1.2221116131071899</v>
      </c>
      <c r="L1212" s="684" t="str">
        <f t="shared" si="58"/>
        <v>-</v>
      </c>
      <c r="M1212" s="2306" t="str">
        <f t="shared" si="59"/>
        <v>-</v>
      </c>
      <c r="P1212" s="73"/>
      <c r="Q1212" s="73"/>
      <c r="R1212" s="73"/>
      <c r="S1212" s="73"/>
      <c r="T1212" s="73"/>
      <c r="U1212" s="73"/>
      <c r="V1212" s="73"/>
      <c r="W1212" s="73"/>
      <c r="X1212" s="73"/>
      <c r="Y1212" s="73"/>
      <c r="Z1212" s="73"/>
      <c r="AA1212" s="73"/>
      <c r="AB1212" s="73"/>
      <c r="AC1212" s="73"/>
      <c r="AD1212" s="143"/>
      <c r="AE1212" s="143"/>
      <c r="AF1212" s="143"/>
      <c r="AG1212" s="143"/>
      <c r="AH1212" s="143"/>
      <c r="AI1212" s="143"/>
      <c r="AJ1212" s="143"/>
      <c r="AK1212" s="143"/>
      <c r="AL1212" s="143"/>
      <c r="AM1212" s="143"/>
      <c r="AN1212" s="143"/>
      <c r="AO1212" s="143"/>
      <c r="AP1212" s="143"/>
      <c r="AQ1212" s="143"/>
    </row>
    <row r="1213" spans="1:43" ht="15" customHeight="1">
      <c r="A1213" s="593" t="str">
        <f>+input!B41</f>
        <v>120i</v>
      </c>
      <c r="B1213" s="596">
        <f>F1072</f>
        <v>353.12509345798384</v>
      </c>
      <c r="C1213" s="596">
        <f>G1072</f>
        <v>379.79741180762096</v>
      </c>
      <c r="D1213" s="596">
        <f>Stress!F870</f>
        <v>276.11584686791849</v>
      </c>
      <c r="E1213" s="684" t="str">
        <f>IF(OR(L1139="compact",D1213&gt;=0),"-",IF(ABS(D1213)&lt;=B1213,"OK","NG"))</f>
        <v>-</v>
      </c>
      <c r="F1213" s="683" t="str">
        <f>IF(OR(L1139="compact",D1213&gt;=0),"-",B1213 / ABS(D1213))</f>
        <v>-</v>
      </c>
      <c r="G1213" s="684" t="str">
        <f>IF(OR(L1139="compact",D1213&lt;=0),"-",IF(ABS(D1213)&lt;=C1213,"OK","NG"))</f>
        <v>OK</v>
      </c>
      <c r="H1213" s="1184">
        <f>IF(OR(L1139="compact",D1213&lt;=0),"-",C1213 / ABS(D1213))</f>
        <v>1.3755002333831969</v>
      </c>
      <c r="I1213" s="596">
        <f>+Stress!G870</f>
        <v>-288.89638015016817</v>
      </c>
      <c r="J1213" s="684" t="str">
        <f t="shared" si="56"/>
        <v>OK</v>
      </c>
      <c r="K1213" s="683">
        <f t="shared" si="57"/>
        <v>1.2223243962919494</v>
      </c>
      <c r="L1213" s="684" t="str">
        <f t="shared" si="58"/>
        <v>-</v>
      </c>
      <c r="M1213" s="2306" t="str">
        <f t="shared" si="59"/>
        <v>-</v>
      </c>
      <c r="P1213" s="73"/>
      <c r="Q1213" s="73"/>
      <c r="R1213" s="73"/>
      <c r="S1213" s="73"/>
      <c r="T1213" s="73"/>
      <c r="U1213" s="73"/>
      <c r="V1213" s="73"/>
      <c r="W1213" s="73"/>
      <c r="X1213" s="73"/>
      <c r="Y1213" s="73"/>
      <c r="Z1213" s="73"/>
      <c r="AA1213" s="73"/>
      <c r="AB1213" s="73"/>
      <c r="AC1213" s="73"/>
      <c r="AD1213" s="143"/>
      <c r="AE1213" s="143"/>
      <c r="AF1213" s="143"/>
      <c r="AG1213" s="143"/>
      <c r="AH1213" s="143"/>
      <c r="AI1213" s="143"/>
      <c r="AJ1213" s="143"/>
      <c r="AK1213" s="143"/>
      <c r="AL1213" s="143"/>
      <c r="AM1213" s="143"/>
      <c r="AN1213" s="143"/>
      <c r="AO1213" s="143"/>
      <c r="AP1213" s="143"/>
      <c r="AQ1213" s="143"/>
    </row>
    <row r="1214" spans="1:43" ht="15" customHeight="1">
      <c r="A1214" s="593" t="str">
        <f>+input!B42</f>
        <v>120j</v>
      </c>
      <c r="B1214" s="596">
        <f>F1073</f>
        <v>353.13119736000317</v>
      </c>
      <c r="C1214" s="596">
        <f>G1073</f>
        <v>379.7991318785767</v>
      </c>
      <c r="D1214" s="596">
        <f>Stress!F871</f>
        <v>254.90204391659316</v>
      </c>
      <c r="E1214" s="684" t="str">
        <f>IF(OR(L1140="compact",D1214&gt;=0),"-",IF(ABS(D1214)&lt;=B1214,"OK","NG"))</f>
        <v>-</v>
      </c>
      <c r="F1214" s="683" t="str">
        <f>IF(OR(L1140="compact",D1214&gt;=0),"-",B1214 / ABS(D1214))</f>
        <v>-</v>
      </c>
      <c r="G1214" s="684" t="str">
        <f>IF(OR(L1140="compact",D1214&lt;=0),"-",IF(ABS(D1214)&lt;=C1214,"OK","NG"))</f>
        <v>OK</v>
      </c>
      <c r="H1214" s="1184">
        <f>IF(OR(L1140="compact",D1214&lt;=0),"-",C1214 / ABS(D1214))</f>
        <v>1.4899807237436327</v>
      </c>
      <c r="I1214" s="596">
        <f>+Stress!G871</f>
        <v>-265.93891571897541</v>
      </c>
      <c r="J1214" s="684" t="str">
        <f t="shared" si="56"/>
        <v>OK</v>
      </c>
      <c r="K1214" s="683">
        <f t="shared" si="57"/>
        <v>1.3278658236433742</v>
      </c>
      <c r="L1214" s="684" t="str">
        <f t="shared" si="58"/>
        <v>-</v>
      </c>
      <c r="M1214" s="2306" t="str">
        <f t="shared" si="59"/>
        <v>-</v>
      </c>
      <c r="P1214" s="73"/>
      <c r="Q1214" s="73"/>
      <c r="R1214" s="73"/>
      <c r="S1214" s="73"/>
      <c r="T1214" s="73"/>
      <c r="U1214" s="73"/>
      <c r="V1214" s="73"/>
      <c r="W1214" s="73"/>
      <c r="X1214" s="73"/>
      <c r="Y1214" s="73"/>
      <c r="Z1214" s="73"/>
      <c r="AA1214" s="73"/>
      <c r="AB1214" s="73"/>
      <c r="AC1214" s="73"/>
      <c r="AD1214" s="143"/>
      <c r="AE1214" s="143"/>
      <c r="AF1214" s="143"/>
      <c r="AG1214" s="143"/>
      <c r="AH1214" s="143"/>
      <c r="AI1214" s="143"/>
      <c r="AJ1214" s="143"/>
      <c r="AK1214" s="143"/>
      <c r="AL1214" s="143"/>
      <c r="AM1214" s="143"/>
      <c r="AN1214" s="143"/>
      <c r="AO1214" s="143"/>
      <c r="AP1214" s="143"/>
      <c r="AQ1214" s="143"/>
    </row>
    <row r="1215" spans="1:43" ht="15" customHeight="1">
      <c r="A1215" s="593" t="str">
        <f>+input!B43</f>
        <v>121i</v>
      </c>
      <c r="B1215" s="596">
        <f>F1074</f>
        <v>350.60572880552064</v>
      </c>
      <c r="C1215" s="596">
        <f>G1074</f>
        <v>379.80586617352901</v>
      </c>
      <c r="D1215" s="596">
        <f>Stress!F872</f>
        <v>263.06418300295439</v>
      </c>
      <c r="E1215" s="684" t="str">
        <f>IF(OR(L1141="compact",D1215&gt;=0),"-",IF(ABS(D1215)&lt;=B1215,"OK","NG"))</f>
        <v>-</v>
      </c>
      <c r="F1215" s="683" t="str">
        <f>IF(OR(L1141="compact",D1215&gt;=0),"-",B1215 / ABS(D1215))</f>
        <v>-</v>
      </c>
      <c r="G1215" s="684" t="str">
        <f>IF(OR(L1141="compact",D1215&lt;=0),"-",IF(ABS(D1215)&lt;=C1215,"OK","NG"))</f>
        <v>OK</v>
      </c>
      <c r="H1215" s="1184">
        <f>IF(OR(L1141="compact",D1215&lt;=0),"-",C1215 / ABS(D1215))</f>
        <v>1.4437764268701814</v>
      </c>
      <c r="I1215" s="596">
        <f>+Stress!G872</f>
        <v>-282.29687400065148</v>
      </c>
      <c r="J1215" s="684" t="str">
        <f t="shared" si="56"/>
        <v>OK</v>
      </c>
      <c r="K1215" s="683">
        <f t="shared" si="57"/>
        <v>1.2419752434265763</v>
      </c>
      <c r="L1215" s="684" t="str">
        <f t="shared" si="58"/>
        <v>-</v>
      </c>
      <c r="M1215" s="2306" t="str">
        <f t="shared" si="59"/>
        <v>-</v>
      </c>
      <c r="P1215" s="73"/>
      <c r="Q1215" s="73"/>
      <c r="R1215" s="73"/>
      <c r="S1215" s="73"/>
      <c r="T1215" s="73"/>
      <c r="U1215" s="73"/>
      <c r="V1215" s="73"/>
      <c r="W1215" s="73"/>
      <c r="X1215" s="73"/>
      <c r="Y1215" s="73"/>
      <c r="Z1215" s="73"/>
      <c r="AA1215" s="73"/>
      <c r="AB1215" s="73"/>
      <c r="AC1215" s="73"/>
      <c r="AD1215" s="143"/>
      <c r="AE1215" s="143"/>
      <c r="AF1215" s="143"/>
      <c r="AG1215" s="143"/>
      <c r="AH1215" s="143"/>
      <c r="AI1215" s="143"/>
      <c r="AJ1215" s="143"/>
      <c r="AK1215" s="143"/>
      <c r="AL1215" s="143"/>
      <c r="AM1215" s="143"/>
      <c r="AN1215" s="143"/>
      <c r="AO1215" s="143"/>
      <c r="AP1215" s="143"/>
      <c r="AQ1215" s="143"/>
    </row>
    <row r="1216" spans="1:43" ht="15" customHeight="1">
      <c r="A1216" s="593" t="str">
        <f>+input!B44</f>
        <v>121j</v>
      </c>
      <c r="B1216" s="596">
        <f>F1075</f>
        <v>350.61941804778746</v>
      </c>
      <c r="C1216" s="596">
        <f>G1075</f>
        <v>379.80975224081635</v>
      </c>
      <c r="D1216" s="596">
        <f>Stress!F873</f>
        <v>216.72447769719204</v>
      </c>
      <c r="E1216" s="684" t="str">
        <f>IF(OR(L1142="compact",D1216&gt;=0),"-",IF(ABS(D1216)&lt;=B1216,"OK","NG"))</f>
        <v>-</v>
      </c>
      <c r="F1216" s="683" t="str">
        <f>IF(OR(L1142="compact",D1216&gt;=0),"-",B1216 / ABS(D1216))</f>
        <v>-</v>
      </c>
      <c r="G1216" s="684" t="str">
        <f>IF(OR(L1142="compact",D1216&lt;=0),"-",IF(ABS(D1216)&lt;=C1216,"OK","NG"))</f>
        <v>OK</v>
      </c>
      <c r="H1216" s="1184">
        <f>IF(OR(L1142="compact",D1216&lt;=0),"-",C1216 / ABS(D1216))</f>
        <v>1.752500484839038</v>
      </c>
      <c r="I1216" s="596">
        <f>+Stress!G873</f>
        <v>-230.87451700580431</v>
      </c>
      <c r="J1216" s="684" t="str">
        <f t="shared" si="56"/>
        <v>OK</v>
      </c>
      <c r="K1216" s="683">
        <f t="shared" si="57"/>
        <v>1.5186579384981354</v>
      </c>
      <c r="L1216" s="684" t="str">
        <f t="shared" si="58"/>
        <v>-</v>
      </c>
      <c r="M1216" s="2306" t="str">
        <f t="shared" si="59"/>
        <v>-</v>
      </c>
      <c r="P1216" s="73"/>
      <c r="Q1216" s="73"/>
      <c r="R1216" s="73"/>
      <c r="S1216" s="73"/>
      <c r="T1216" s="73"/>
      <c r="U1216" s="73"/>
      <c r="V1216" s="73"/>
      <c r="W1216" s="73"/>
      <c r="X1216" s="73"/>
      <c r="Y1216" s="73"/>
      <c r="Z1216" s="73"/>
      <c r="AA1216" s="73"/>
      <c r="AB1216" s="73"/>
      <c r="AC1216" s="73"/>
      <c r="AD1216" s="143"/>
      <c r="AE1216" s="143"/>
      <c r="AF1216" s="143"/>
      <c r="AG1216" s="143"/>
      <c r="AH1216" s="143"/>
      <c r="AI1216" s="143"/>
      <c r="AJ1216" s="143"/>
      <c r="AK1216" s="143"/>
      <c r="AL1216" s="143"/>
      <c r="AM1216" s="143"/>
      <c r="AN1216" s="143"/>
      <c r="AO1216" s="143"/>
      <c r="AP1216" s="143"/>
      <c r="AQ1216" s="143"/>
    </row>
    <row r="1217" spans="1:43" ht="15" customHeight="1">
      <c r="A1217" s="593" t="str">
        <f>+input!B45</f>
        <v>122i</v>
      </c>
      <c r="B1217" s="596">
        <f>F1076</f>
        <v>345.79405001459668</v>
      </c>
      <c r="C1217" s="596">
        <f>G1076</f>
        <v>379.75377174476682</v>
      </c>
      <c r="D1217" s="596">
        <f>Stress!F874</f>
        <v>366.83295076008693</v>
      </c>
      <c r="E1217" s="684" t="str">
        <f>IF(OR(L1143="compact",D1217&gt;=0),"-",IF(ABS(D1217)&lt;=B1217,"OK","NG"))</f>
        <v>-</v>
      </c>
      <c r="F1217" s="683" t="str">
        <f>IF(OR(L1143="compact",D1217&gt;=0),"-",B1217 / ABS(D1217))</f>
        <v>-</v>
      </c>
      <c r="G1217" s="684" t="str">
        <f>IF(OR(L1143="compact",D1217&lt;=0),"-",IF(ABS(D1217)&lt;=C1217,"OK","NG"))</f>
        <v>OK</v>
      </c>
      <c r="H1217" s="1184">
        <f>IF(OR(L1143="compact",D1217&lt;=0),"-",C1217 / ABS(D1217))</f>
        <v>1.0352226291501558</v>
      </c>
      <c r="I1217" s="596">
        <f>+Stress!G874</f>
        <v>-284.21253214164204</v>
      </c>
      <c r="J1217" s="684" t="str">
        <f t="shared" si="56"/>
        <v>OK</v>
      </c>
      <c r="K1217" s="683">
        <f t="shared" si="57"/>
        <v>1.2166741818487599</v>
      </c>
      <c r="L1217" s="684" t="str">
        <f t="shared" si="58"/>
        <v>-</v>
      </c>
      <c r="M1217" s="2306" t="str">
        <f t="shared" si="59"/>
        <v>-</v>
      </c>
      <c r="P1217" s="73"/>
      <c r="Q1217" s="73"/>
      <c r="R1217" s="73"/>
      <c r="S1217" s="73"/>
      <c r="T1217" s="73"/>
      <c r="U1217" s="73"/>
      <c r="V1217" s="73"/>
      <c r="W1217" s="73"/>
      <c r="X1217" s="73"/>
      <c r="Y1217" s="73"/>
      <c r="Z1217" s="73"/>
      <c r="AA1217" s="73"/>
      <c r="AB1217" s="73"/>
      <c r="AC1217" s="73"/>
      <c r="AD1217" s="143"/>
      <c r="AE1217" s="143"/>
      <c r="AF1217" s="143"/>
      <c r="AG1217" s="143"/>
      <c r="AH1217" s="143"/>
      <c r="AI1217" s="143"/>
      <c r="AJ1217" s="143"/>
      <c r="AK1217" s="143"/>
      <c r="AL1217" s="143"/>
      <c r="AM1217" s="143"/>
      <c r="AN1217" s="143"/>
      <c r="AO1217" s="143"/>
      <c r="AP1217" s="143"/>
      <c r="AQ1217" s="143"/>
    </row>
    <row r="1218" spans="1:43" ht="15" customHeight="1">
      <c r="A1218" s="593" t="str">
        <f>+input!B46</f>
        <v>122j</v>
      </c>
      <c r="B1218" s="596">
        <f>F1077</f>
        <v>345.79781172430586</v>
      </c>
      <c r="C1218" s="596">
        <f>G1077</f>
        <v>379.75377174476682</v>
      </c>
      <c r="D1218" s="596">
        <f>Stress!F875</f>
        <v>272.01988537612044</v>
      </c>
      <c r="E1218" s="684" t="str">
        <f>IF(OR(L1144="compact",D1218&gt;=0),"-",IF(ABS(D1218)&lt;=B1218,"OK","NG"))</f>
        <v>-</v>
      </c>
      <c r="F1218" s="683" t="str">
        <f>IF(OR(L1144="compact",D1218&gt;=0),"-",B1218 / ABS(D1218))</f>
        <v>-</v>
      </c>
      <c r="G1218" s="684" t="str">
        <f>IF(OR(L1144="compact",D1218&lt;=0),"-",IF(ABS(D1218)&lt;=C1218,"OK","NG"))</f>
        <v>OK</v>
      </c>
      <c r="H1218" s="1184">
        <f>IF(OR(L1144="compact",D1218&lt;=0),"-",C1218 / ABS(D1218))</f>
        <v>1.3960515100566391</v>
      </c>
      <c r="I1218" s="596">
        <f>+Stress!G875</f>
        <v>-208.40994461050926</v>
      </c>
      <c r="J1218" s="684" t="str">
        <f t="shared" si="56"/>
        <v>OK</v>
      </c>
      <c r="K1218" s="683">
        <f t="shared" si="57"/>
        <v>1.6592193446937307</v>
      </c>
      <c r="L1218" s="684" t="str">
        <f t="shared" si="58"/>
        <v>-</v>
      </c>
      <c r="M1218" s="2306" t="str">
        <f t="shared" si="59"/>
        <v>-</v>
      </c>
      <c r="P1218" s="73"/>
      <c r="Q1218" s="73"/>
      <c r="R1218" s="73"/>
      <c r="S1218" s="73"/>
      <c r="T1218" s="73"/>
      <c r="U1218" s="73"/>
      <c r="V1218" s="73"/>
      <c r="W1218" s="73"/>
      <c r="X1218" s="73"/>
      <c r="Y1218" s="73"/>
      <c r="Z1218" s="73"/>
      <c r="AA1218" s="73"/>
      <c r="AB1218" s="73"/>
      <c r="AC1218" s="73"/>
      <c r="AD1218" s="143"/>
      <c r="AE1218" s="143"/>
      <c r="AF1218" s="143"/>
      <c r="AG1218" s="143"/>
      <c r="AH1218" s="143"/>
      <c r="AI1218" s="143"/>
      <c r="AJ1218" s="143"/>
      <c r="AK1218" s="143"/>
      <c r="AL1218" s="143"/>
      <c r="AM1218" s="143"/>
      <c r="AN1218" s="143"/>
      <c r="AO1218" s="143"/>
      <c r="AP1218" s="143"/>
      <c r="AQ1218" s="143"/>
    </row>
    <row r="1219" spans="1:43" ht="15" customHeight="1">
      <c r="A1219" s="593" t="str">
        <f>+input!B47</f>
        <v>123i</v>
      </c>
      <c r="B1219" s="596">
        <f>F1078</f>
        <v>342.86841273131188</v>
      </c>
      <c r="C1219" s="596">
        <f>G1078</f>
        <v>379.74637596701001</v>
      </c>
      <c r="D1219" s="596">
        <f>Stress!F876</f>
        <v>352.66982462623065</v>
      </c>
      <c r="E1219" s="684" t="str">
        <f>IF(OR(L1145="compact",D1219&gt;=0),"-",IF(ABS(D1219)&lt;=B1219,"OK","NG"))</f>
        <v>-</v>
      </c>
      <c r="F1219" s="683" t="str">
        <f>IF(OR(L1145="compact",D1219&gt;=0),"-",B1219 / ABS(D1219))</f>
        <v>-</v>
      </c>
      <c r="G1219" s="684" t="str">
        <f>IF(OR(L1145="compact",D1219&lt;=0),"-",IF(ABS(D1219)&lt;=C1219,"OK","NG"))</f>
        <v>OK</v>
      </c>
      <c r="H1219" s="1184">
        <f>IF(OR(L1145="compact",D1219&lt;=0),"-",C1219 / ABS(D1219))</f>
        <v>1.0767759231158374</v>
      </c>
      <c r="I1219" s="596">
        <f>+Stress!G876</f>
        <v>-317.30161933550608</v>
      </c>
      <c r="J1219" s="684" t="str">
        <f t="shared" si="56"/>
        <v>OK</v>
      </c>
      <c r="K1219" s="683">
        <f t="shared" si="57"/>
        <v>1.0805756789056036</v>
      </c>
      <c r="L1219" s="684" t="str">
        <f t="shared" si="58"/>
        <v>-</v>
      </c>
      <c r="M1219" s="2306" t="str">
        <f t="shared" si="59"/>
        <v>-</v>
      </c>
      <c r="P1219" s="73"/>
      <c r="Q1219" s="73"/>
      <c r="R1219" s="73"/>
      <c r="S1219" s="73"/>
      <c r="T1219" s="73"/>
      <c r="U1219" s="73"/>
      <c r="V1219" s="73"/>
      <c r="W1219" s="73"/>
      <c r="X1219" s="73"/>
      <c r="Y1219" s="73"/>
      <c r="Z1219" s="73"/>
      <c r="AA1219" s="73"/>
      <c r="AB1219" s="73"/>
      <c r="AC1219" s="73"/>
      <c r="AD1219" s="143"/>
      <c r="AE1219" s="143"/>
      <c r="AF1219" s="143"/>
      <c r="AG1219" s="143"/>
      <c r="AH1219" s="143"/>
      <c r="AI1219" s="143"/>
      <c r="AJ1219" s="143"/>
      <c r="AK1219" s="143"/>
      <c r="AL1219" s="143"/>
      <c r="AM1219" s="143"/>
      <c r="AN1219" s="143"/>
      <c r="AO1219" s="143"/>
      <c r="AP1219" s="143"/>
      <c r="AQ1219" s="143"/>
    </row>
    <row r="1220" spans="1:43" ht="15" customHeight="1">
      <c r="A1220" s="593" t="str">
        <f>+input!B48</f>
        <v>123j</v>
      </c>
      <c r="B1220" s="596">
        <f>F1079</f>
        <v>342.88386563439093</v>
      </c>
      <c r="C1220" s="596">
        <f>G1079</f>
        <v>379.74637596701001</v>
      </c>
      <c r="D1220" s="596">
        <f>Stress!F877</f>
        <v>256.27875309173174</v>
      </c>
      <c r="E1220" s="684" t="str">
        <f>IF(OR(L1146="compact",D1220&gt;=0),"-",IF(ABS(D1220)&lt;=B1220,"OK","NG"))</f>
        <v>-</v>
      </c>
      <c r="F1220" s="683" t="str">
        <f>IF(OR(L1146="compact",D1220&gt;=0),"-",B1220 / ABS(D1220))</f>
        <v>-</v>
      </c>
      <c r="G1220" s="684" t="str">
        <f>IF(OR(L1146="compact",D1220&lt;=0),"-",IF(ABS(D1220)&lt;=C1220,"OK","NG"))</f>
        <v>OK</v>
      </c>
      <c r="H1220" s="1184">
        <f>IF(OR(L1146="compact",D1220&lt;=0),"-",C1220 / ABS(D1220))</f>
        <v>1.4817708116095156</v>
      </c>
      <c r="I1220" s="596">
        <f>+Stress!G877</f>
        <v>-232.62783530324657</v>
      </c>
      <c r="J1220" s="684" t="str">
        <f t="shared" si="56"/>
        <v>OK</v>
      </c>
      <c r="K1220" s="683">
        <f t="shared" si="57"/>
        <v>1.4739588888295245</v>
      </c>
      <c r="L1220" s="684" t="str">
        <f t="shared" si="58"/>
        <v>-</v>
      </c>
      <c r="M1220" s="2306" t="str">
        <f t="shared" si="59"/>
        <v>-</v>
      </c>
      <c r="P1220" s="73"/>
      <c r="Q1220" s="73"/>
      <c r="R1220" s="73"/>
      <c r="S1220" s="73"/>
      <c r="T1220" s="73"/>
      <c r="U1220" s="73"/>
      <c r="V1220" s="73"/>
      <c r="W1220" s="73"/>
      <c r="X1220" s="73"/>
      <c r="Y1220" s="73"/>
      <c r="Z1220" s="73"/>
      <c r="AA1220" s="73"/>
      <c r="AB1220" s="73"/>
      <c r="AC1220" s="73"/>
      <c r="AD1220" s="143"/>
      <c r="AE1220" s="143"/>
      <c r="AF1220" s="143"/>
      <c r="AG1220" s="143"/>
      <c r="AH1220" s="143"/>
      <c r="AI1220" s="143"/>
      <c r="AJ1220" s="143"/>
      <c r="AK1220" s="143"/>
      <c r="AL1220" s="143"/>
      <c r="AM1220" s="143"/>
      <c r="AN1220" s="143"/>
      <c r="AO1220" s="143"/>
      <c r="AP1220" s="143"/>
      <c r="AQ1220" s="143"/>
    </row>
    <row r="1221" spans="1:43" ht="15" customHeight="1">
      <c r="A1221" s="593" t="str">
        <f>+input!B49</f>
        <v>124i</v>
      </c>
      <c r="B1221" s="596">
        <f>F1080</f>
        <v>324.51998249847514</v>
      </c>
      <c r="C1221" s="596">
        <f>G1080</f>
        <v>379.54826982241889</v>
      </c>
      <c r="D1221" s="596">
        <f>Stress!F878</f>
        <v>372.69955550147154</v>
      </c>
      <c r="E1221" s="684" t="str">
        <f>IF(OR(L1147="compact",D1221&gt;=0),"-",IF(ABS(D1221)&lt;=B1221,"OK","NG"))</f>
        <v>-</v>
      </c>
      <c r="F1221" s="683" t="str">
        <f>IF(OR(L1147="compact",D1221&gt;=0),"-",B1221 / ABS(D1221))</f>
        <v>-</v>
      </c>
      <c r="G1221" s="684" t="str">
        <f>IF(OR(L1147="compact",D1221&lt;=0),"-",IF(ABS(D1221)&lt;=C1221,"OK","NG"))</f>
        <v>OK</v>
      </c>
      <c r="H1221" s="1184">
        <f>IF(OR(L1147="compact",D1221&lt;=0),"-",C1221 / ABS(D1221))</f>
        <v>1.0183759658949212</v>
      </c>
      <c r="I1221" s="596">
        <f>+Stress!G878</f>
        <v>-288.5602716901144</v>
      </c>
      <c r="J1221" s="684" t="str">
        <f t="shared" si="56"/>
        <v>OK</v>
      </c>
      <c r="K1221" s="683">
        <f t="shared" si="57"/>
        <v>1.124617677262856</v>
      </c>
      <c r="L1221" s="684" t="str">
        <f t="shared" si="58"/>
        <v>-</v>
      </c>
      <c r="M1221" s="2306" t="str">
        <f t="shared" si="59"/>
        <v>-</v>
      </c>
      <c r="P1221" s="73"/>
      <c r="Q1221" s="73"/>
      <c r="R1221" s="73"/>
      <c r="S1221" s="73"/>
      <c r="T1221" s="73"/>
      <c r="U1221" s="73"/>
      <c r="V1221" s="73"/>
      <c r="W1221" s="73"/>
      <c r="X1221" s="73"/>
      <c r="Y1221" s="73"/>
      <c r="Z1221" s="73"/>
      <c r="AA1221" s="73"/>
      <c r="AB1221" s="73"/>
      <c r="AC1221" s="73"/>
      <c r="AD1221" s="143"/>
      <c r="AE1221" s="143"/>
      <c r="AF1221" s="143"/>
      <c r="AG1221" s="143"/>
      <c r="AH1221" s="143"/>
      <c r="AI1221" s="143"/>
      <c r="AJ1221" s="143"/>
      <c r="AK1221" s="143"/>
      <c r="AL1221" s="143"/>
      <c r="AM1221" s="143"/>
      <c r="AN1221" s="143"/>
      <c r="AO1221" s="143"/>
      <c r="AP1221" s="143"/>
      <c r="AQ1221" s="143"/>
    </row>
    <row r="1222" spans="1:43" ht="15" customHeight="1">
      <c r="A1222" s="593" t="str">
        <f>+input!B50</f>
        <v>124j</v>
      </c>
      <c r="B1222" s="596">
        <f>F1081</f>
        <v>324.50991966017767</v>
      </c>
      <c r="C1222" s="596">
        <f>G1081</f>
        <v>379.54826982241889</v>
      </c>
      <c r="D1222" s="596">
        <f>Stress!F879</f>
        <v>251.18051474512725</v>
      </c>
      <c r="E1222" s="684" t="str">
        <f>IF(OR(L1148="compact",D1222&gt;=0),"-",IF(ABS(D1222)&lt;=B1222,"OK","NG"))</f>
        <v>-</v>
      </c>
      <c r="F1222" s="683" t="str">
        <f>IF(OR(L1148="compact",D1222&gt;=0),"-",B1222 / ABS(D1222))</f>
        <v>-</v>
      </c>
      <c r="G1222" s="684" t="str">
        <f>IF(OR(L1148="compact",D1222&lt;=0),"-",IF(ABS(D1222)&lt;=C1222,"OK","NG"))</f>
        <v>OK</v>
      </c>
      <c r="H1222" s="1184">
        <f>IF(OR(L1148="compact",D1222&lt;=0),"-",C1222 / ABS(D1222))</f>
        <v>1.5110577753515089</v>
      </c>
      <c r="I1222" s="596">
        <f>+Stress!G879</f>
        <v>-198.16115496427173</v>
      </c>
      <c r="J1222" s="684" t="str">
        <f t="shared" si="56"/>
        <v>OK</v>
      </c>
      <c r="K1222" s="683">
        <f t="shared" si="57"/>
        <v>1.6376061177009515</v>
      </c>
      <c r="L1222" s="684" t="str">
        <f t="shared" si="58"/>
        <v>-</v>
      </c>
      <c r="M1222" s="2306" t="str">
        <f t="shared" si="59"/>
        <v>-</v>
      </c>
      <c r="P1222" s="73"/>
      <c r="Q1222" s="73"/>
      <c r="R1222" s="73"/>
      <c r="S1222" s="73"/>
      <c r="T1222" s="73"/>
      <c r="U1222" s="73"/>
      <c r="V1222" s="73"/>
      <c r="W1222" s="73"/>
      <c r="X1222" s="73"/>
      <c r="Y1222" s="73"/>
      <c r="Z1222" s="73"/>
      <c r="AA1222" s="73"/>
      <c r="AB1222" s="73"/>
      <c r="AC1222" s="73"/>
      <c r="AD1222" s="143"/>
      <c r="AE1222" s="143"/>
      <c r="AF1222" s="143"/>
      <c r="AG1222" s="143"/>
      <c r="AH1222" s="143"/>
      <c r="AI1222" s="143"/>
      <c r="AJ1222" s="143"/>
      <c r="AK1222" s="143"/>
      <c r="AL1222" s="143"/>
      <c r="AM1222" s="143"/>
      <c r="AN1222" s="143"/>
      <c r="AO1222" s="143"/>
      <c r="AP1222" s="143"/>
      <c r="AQ1222" s="143"/>
    </row>
    <row r="1223" spans="1:43" ht="15" customHeight="1">
      <c r="A1223" s="593" t="str">
        <f>+input!B51</f>
        <v>125i</v>
      </c>
      <c r="B1223" s="596">
        <f>F1082</f>
        <v>298.30157616537201</v>
      </c>
      <c r="C1223" s="596">
        <f>G1082</f>
        <v>379.50157350579502</v>
      </c>
      <c r="D1223" s="596">
        <f>Stress!F880</f>
        <v>280.05486578036204</v>
      </c>
      <c r="E1223" s="684" t="str">
        <f>IF(OR(L1149="compact",D1223&gt;=0),"-",IF(ABS(D1223)&lt;=B1223,"OK","NG"))</f>
        <v>-</v>
      </c>
      <c r="F1223" s="683" t="str">
        <f>IF(OR(L1149="compact",D1223&gt;=0),"-",B1223 / ABS(D1223))</f>
        <v>-</v>
      </c>
      <c r="G1223" s="684" t="str">
        <f>IF(OR(L1149="compact",D1223&lt;=0),"-",IF(ABS(D1223)&lt;=C1223,"OK","NG"))</f>
        <v>OK</v>
      </c>
      <c r="H1223" s="1184">
        <f>IF(OR(L1149="compact",D1223&lt;=0),"-",C1223 / ABS(D1223))</f>
        <v>1.3550972322809982</v>
      </c>
      <c r="I1223" s="596">
        <f>+Stress!G880</f>
        <v>-239.88290698730216</v>
      </c>
      <c r="J1223" s="684" t="str">
        <f t="shared" si="56"/>
        <v>OK</v>
      </c>
      <c r="K1223" s="683">
        <f t="shared" si="57"/>
        <v>1.2435299368002162</v>
      </c>
      <c r="L1223" s="684" t="str">
        <f t="shared" si="58"/>
        <v>-</v>
      </c>
      <c r="M1223" s="2306" t="str">
        <f t="shared" si="59"/>
        <v>-</v>
      </c>
      <c r="P1223" s="73"/>
      <c r="Q1223" s="73"/>
      <c r="R1223" s="73"/>
      <c r="S1223" s="73"/>
      <c r="T1223" s="73"/>
      <c r="U1223" s="73"/>
      <c r="V1223" s="73"/>
      <c r="W1223" s="73"/>
      <c r="X1223" s="73"/>
      <c r="Y1223" s="73"/>
      <c r="Z1223" s="73"/>
      <c r="AA1223" s="73"/>
      <c r="AB1223" s="73"/>
      <c r="AC1223" s="73"/>
      <c r="AD1223" s="143"/>
      <c r="AE1223" s="143"/>
      <c r="AF1223" s="143"/>
      <c r="AG1223" s="143"/>
      <c r="AH1223" s="143"/>
      <c r="AI1223" s="143"/>
      <c r="AJ1223" s="143"/>
      <c r="AK1223" s="143"/>
      <c r="AL1223" s="143"/>
      <c r="AM1223" s="143"/>
      <c r="AN1223" s="143"/>
      <c r="AO1223" s="143"/>
      <c r="AP1223" s="143"/>
      <c r="AQ1223" s="143"/>
    </row>
    <row r="1224" spans="1:43" ht="15" customHeight="1">
      <c r="A1224" s="593" t="str">
        <f>+input!B52</f>
        <v>125j</v>
      </c>
      <c r="B1224" s="596">
        <f>F1083</f>
        <v>298.35223868235454</v>
      </c>
      <c r="C1224" s="596">
        <f>G1083</f>
        <v>379.50157350579502</v>
      </c>
      <c r="D1224" s="596">
        <f>Stress!F881</f>
        <v>174.3354827582308</v>
      </c>
      <c r="E1224" s="684" t="str">
        <f>IF(OR(L1150="compact",D1224&gt;=0),"-",IF(ABS(D1224)&lt;=B1224,"OK","NG"))</f>
        <v>-</v>
      </c>
      <c r="F1224" s="683" t="str">
        <f>IF(OR(L1150="compact",D1224&gt;=0),"-",B1224 / ABS(D1224))</f>
        <v>-</v>
      </c>
      <c r="G1224" s="684" t="str">
        <f>IF(OR(L1150="compact",D1224&lt;=0),"-",IF(ABS(D1224)&lt;=C1224,"OK","NG"))</f>
        <v>OK</v>
      </c>
      <c r="H1224" s="1184">
        <f>IF(OR(L1150="compact",D1224&lt;=0),"-",C1224 / ABS(D1224))</f>
        <v>2.1768464313836184</v>
      </c>
      <c r="I1224" s="596">
        <f>+Stress!G881</f>
        <v>-154.02724013775426</v>
      </c>
      <c r="J1224" s="684" t="str">
        <f t="shared" si="56"/>
        <v>OK</v>
      </c>
      <c r="K1224" s="683">
        <f t="shared" si="57"/>
        <v>1.9370095732126551</v>
      </c>
      <c r="L1224" s="684" t="str">
        <f t="shared" si="58"/>
        <v>-</v>
      </c>
      <c r="M1224" s="2306" t="str">
        <f t="shared" si="59"/>
        <v>-</v>
      </c>
      <c r="P1224" s="73"/>
      <c r="Q1224" s="73"/>
      <c r="R1224" s="73"/>
      <c r="S1224" s="73"/>
      <c r="T1224" s="73"/>
      <c r="U1224" s="73"/>
      <c r="V1224" s="73"/>
      <c r="W1224" s="73"/>
      <c r="X1224" s="73"/>
      <c r="Y1224" s="73"/>
      <c r="Z1224" s="73"/>
      <c r="AA1224" s="73"/>
      <c r="AB1224" s="73"/>
      <c r="AC1224" s="73"/>
      <c r="AD1224" s="143"/>
      <c r="AE1224" s="143"/>
      <c r="AF1224" s="143"/>
      <c r="AG1224" s="143"/>
      <c r="AH1224" s="143"/>
      <c r="AI1224" s="143"/>
      <c r="AJ1224" s="143"/>
      <c r="AK1224" s="143"/>
      <c r="AL1224" s="143"/>
      <c r="AM1224" s="143"/>
      <c r="AN1224" s="143"/>
      <c r="AO1224" s="143"/>
      <c r="AP1224" s="143"/>
      <c r="AQ1224" s="143"/>
    </row>
    <row r="1225" spans="1:43" ht="15" customHeight="1">
      <c r="A1225" s="593" t="str">
        <f>+input!B53</f>
        <v>126i</v>
      </c>
      <c r="B1225" s="596">
        <f>F1084</f>
        <v>298.35223868235454</v>
      </c>
      <c r="C1225" s="596">
        <f>G1084</f>
        <v>379.50157350579502</v>
      </c>
      <c r="D1225" s="596">
        <f>Stress!F882</f>
        <v>174.3354827582308</v>
      </c>
      <c r="E1225" s="684" t="str">
        <f>IF(OR(L1151="compact",D1225&gt;=0),"-",IF(ABS(D1225)&lt;=B1225,"OK","NG"))</f>
        <v>-</v>
      </c>
      <c r="F1225" s="683" t="str">
        <f>IF(OR(L1151="compact",D1225&gt;=0),"-",B1225 / ABS(D1225))</f>
        <v>-</v>
      </c>
      <c r="G1225" s="684" t="str">
        <f>IF(OR(L1151="compact",D1225&lt;=0),"-",IF(ABS(D1225)&lt;=C1225,"OK","NG"))</f>
        <v>OK</v>
      </c>
      <c r="H1225" s="1184">
        <f>IF(OR(L1151="compact",D1225&lt;=0),"-",C1225 / ABS(D1225))</f>
        <v>2.1768464313836184</v>
      </c>
      <c r="I1225" s="596">
        <f>+Stress!G882</f>
        <v>-154.02724013775426</v>
      </c>
      <c r="J1225" s="684" t="str">
        <f t="shared" si="56"/>
        <v>OK</v>
      </c>
      <c r="K1225" s="683">
        <f t="shared" si="57"/>
        <v>1.9370095732126551</v>
      </c>
      <c r="L1225" s="684" t="str">
        <f t="shared" si="58"/>
        <v>-</v>
      </c>
      <c r="M1225" s="2306" t="str">
        <f t="shared" si="59"/>
        <v>-</v>
      </c>
      <c r="P1225" s="73"/>
      <c r="Q1225" s="73"/>
      <c r="R1225" s="73"/>
      <c r="S1225" s="73"/>
      <c r="T1225" s="73"/>
      <c r="U1225" s="73"/>
      <c r="V1225" s="73"/>
      <c r="W1225" s="73"/>
      <c r="X1225" s="73"/>
      <c r="Y1225" s="73"/>
      <c r="Z1225" s="73"/>
      <c r="AA1225" s="73"/>
      <c r="AB1225" s="73"/>
      <c r="AC1225" s="73"/>
      <c r="AD1225" s="143"/>
      <c r="AE1225" s="143"/>
      <c r="AF1225" s="143"/>
      <c r="AG1225" s="143"/>
      <c r="AH1225" s="143"/>
      <c r="AI1225" s="143"/>
      <c r="AJ1225" s="143"/>
      <c r="AK1225" s="143"/>
      <c r="AL1225" s="143"/>
      <c r="AM1225" s="143"/>
      <c r="AN1225" s="143"/>
      <c r="AO1225" s="143"/>
      <c r="AP1225" s="143"/>
      <c r="AQ1225" s="143"/>
    </row>
    <row r="1226" spans="1:43" ht="15" customHeight="1">
      <c r="A1226" s="593" t="str">
        <f>+input!B54</f>
        <v>126j</v>
      </c>
      <c r="B1226" s="596">
        <f>F1085</f>
        <v>298.30999029667947</v>
      </c>
      <c r="C1226" s="596">
        <f>G1085</f>
        <v>379.50157350579502</v>
      </c>
      <c r="D1226" s="596">
        <f>Stress!F883</f>
        <v>89.215122290505064</v>
      </c>
      <c r="E1226" s="684" t="str">
        <f>IF(OR(L1152="compact",D1226&gt;=0),"-",IF(ABS(D1226)&lt;=B1226,"OK","NG"))</f>
        <v>-</v>
      </c>
      <c r="F1226" s="683" t="str">
        <f>IF(OR(L1152="compact",D1226&gt;=0),"-",B1226 / ABS(D1226))</f>
        <v>-</v>
      </c>
      <c r="G1226" s="684" t="str">
        <f>IF(OR(L1152="compact",D1226&lt;=0),"-",IF(ABS(D1226)&lt;=C1226,"OK","NG"))</f>
        <v>OK</v>
      </c>
      <c r="H1226" s="1184">
        <f>IF(OR(L1152="compact",D1226&lt;=0),"-",C1226 / ABS(D1226))</f>
        <v>4.2537807914453127</v>
      </c>
      <c r="I1226" s="596">
        <f>+Stress!G883</f>
        <v>-84.138503188002957</v>
      </c>
      <c r="J1226" s="684" t="str">
        <f t="shared" si="56"/>
        <v>OK</v>
      </c>
      <c r="K1226" s="683">
        <f t="shared" si="57"/>
        <v>3.5454634797831126</v>
      </c>
      <c r="L1226" s="684" t="str">
        <f t="shared" si="58"/>
        <v>-</v>
      </c>
      <c r="M1226" s="2306" t="str">
        <f t="shared" si="59"/>
        <v>-</v>
      </c>
      <c r="P1226" s="73"/>
      <c r="Q1226" s="73"/>
      <c r="R1226" s="73"/>
      <c r="S1226" s="73"/>
      <c r="T1226" s="73"/>
      <c r="U1226" s="73"/>
      <c r="V1226" s="73"/>
      <c r="W1226" s="73"/>
      <c r="X1226" s="73"/>
      <c r="Y1226" s="73"/>
      <c r="Z1226" s="73"/>
      <c r="AA1226" s="73"/>
      <c r="AB1226" s="73"/>
      <c r="AC1226" s="73"/>
      <c r="AD1226" s="143"/>
      <c r="AE1226" s="143"/>
      <c r="AF1226" s="143"/>
      <c r="AG1226" s="143"/>
      <c r="AH1226" s="143"/>
      <c r="AI1226" s="143"/>
      <c r="AJ1226" s="143"/>
      <c r="AK1226" s="143"/>
      <c r="AL1226" s="143"/>
      <c r="AM1226" s="143"/>
      <c r="AN1226" s="143"/>
      <c r="AO1226" s="143"/>
      <c r="AP1226" s="143"/>
      <c r="AQ1226" s="143"/>
    </row>
    <row r="1227" spans="1:43" ht="15" customHeight="1">
      <c r="A1227" s="593" t="str">
        <f>+input!B55</f>
        <v>127i</v>
      </c>
      <c r="B1227" s="596">
        <f>F1086</f>
        <v>199.54531924388266</v>
      </c>
      <c r="C1227" s="596">
        <f>G1086</f>
        <v>379.4194249219583</v>
      </c>
      <c r="D1227" s="596">
        <f>Stress!F884</f>
        <v>94.847680343683109</v>
      </c>
      <c r="E1227" s="684" t="str">
        <f>IF(OR(L1153="compact",D1227&gt;=0),"-",IF(ABS(D1227)&lt;=B1227,"OK","NG"))</f>
        <v>-</v>
      </c>
      <c r="F1227" s="683" t="str">
        <f>IF(OR(L1153="compact",D1227&gt;=0),"-",B1227 / ABS(D1227))</f>
        <v>-</v>
      </c>
      <c r="G1227" s="684" t="str">
        <f>IF(OR(L1153="compact",D1227&lt;=0),"-",IF(ABS(D1227)&lt;=C1227,"OK","NG"))</f>
        <v>OK</v>
      </c>
      <c r="H1227" s="1184">
        <f>IF(OR(L1153="compact",D1227&lt;=0),"-",C1227 / ABS(D1227))</f>
        <v>4.0003026278251808</v>
      </c>
      <c r="I1227" s="596">
        <f>+Stress!G884</f>
        <v>-112.86215523535652</v>
      </c>
      <c r="J1227" s="684" t="str">
        <f t="shared" si="56"/>
        <v>OK</v>
      </c>
      <c r="K1227" s="683">
        <f t="shared" si="57"/>
        <v>1.7680445569000685</v>
      </c>
      <c r="L1227" s="684" t="str">
        <f t="shared" si="58"/>
        <v>-</v>
      </c>
      <c r="M1227" s="2306" t="str">
        <f t="shared" si="59"/>
        <v>-</v>
      </c>
      <c r="P1227" s="73"/>
      <c r="Q1227" s="73"/>
      <c r="R1227" s="73"/>
      <c r="S1227" s="73"/>
      <c r="T1227" s="73"/>
      <c r="U1227" s="73"/>
      <c r="V1227" s="73"/>
      <c r="W1227" s="73"/>
      <c r="X1227" s="73"/>
      <c r="Y1227" s="73"/>
      <c r="Z1227" s="73"/>
      <c r="AA1227" s="73"/>
      <c r="AB1227" s="73"/>
      <c r="AC1227" s="73"/>
      <c r="AD1227" s="143"/>
      <c r="AE1227" s="143"/>
      <c r="AF1227" s="143"/>
      <c r="AG1227" s="143"/>
      <c r="AH1227" s="143"/>
      <c r="AI1227" s="143"/>
      <c r="AJ1227" s="143"/>
      <c r="AK1227" s="143"/>
      <c r="AL1227" s="143"/>
      <c r="AM1227" s="143"/>
      <c r="AN1227" s="143"/>
      <c r="AO1227" s="143"/>
      <c r="AP1227" s="143"/>
      <c r="AQ1227" s="143"/>
    </row>
    <row r="1228" spans="1:43" ht="15" customHeight="1">
      <c r="A1228" s="593" t="str">
        <f>+input!B56</f>
        <v>127j</v>
      </c>
      <c r="B1228" s="596">
        <f>F1087</f>
        <v>379.19028554281539</v>
      </c>
      <c r="C1228" s="596">
        <f>G1087</f>
        <v>379.1766756311427</v>
      </c>
      <c r="D1228" s="596">
        <f>Stress!F885</f>
        <v>-42.425792763925983</v>
      </c>
      <c r="E1228" s="684" t="str">
        <f>IF(OR(L1154="compact",D1228&gt;=0),"-",IF(ABS(D1228)&lt;=B1228,"OK","NG"))</f>
        <v>OK</v>
      </c>
      <c r="F1228" s="683">
        <f>IF(OR(L1154="compact",D1228&gt;=0),"-",B1228 / ABS(D1228))</f>
        <v>8.9377301127354585</v>
      </c>
      <c r="G1228" s="684" t="str">
        <f>IF(OR(L1154="compact",D1228&lt;=0),"-",IF(ABS(D1228)&lt;=C1228,"OK","NG"))</f>
        <v>-</v>
      </c>
      <c r="H1228" s="1184" t="str">
        <f>IF(OR(L1154="compact",D1228&lt;=0),"-",C1228 / ABS(D1228))</f>
        <v>-</v>
      </c>
      <c r="I1228" s="596">
        <f>+Stress!G885</f>
        <v>141.75745313577335</v>
      </c>
      <c r="J1228" s="684" t="str">
        <f t="shared" si="56"/>
        <v>-</v>
      </c>
      <c r="K1228" s="683" t="str">
        <f t="shared" si="57"/>
        <v>-</v>
      </c>
      <c r="L1228" s="684" t="str">
        <f t="shared" si="58"/>
        <v>OK</v>
      </c>
      <c r="M1228" s="2306">
        <f t="shared" si="59"/>
        <v>2.6748270884069316</v>
      </c>
      <c r="P1228" s="73"/>
      <c r="Q1228" s="73"/>
      <c r="R1228" s="73"/>
      <c r="S1228" s="73"/>
      <c r="T1228" s="73"/>
      <c r="U1228" s="73"/>
      <c r="V1228" s="73"/>
      <c r="W1228" s="73"/>
      <c r="X1228" s="73"/>
      <c r="Y1228" s="73"/>
      <c r="Z1228" s="73"/>
      <c r="AA1228" s="73"/>
      <c r="AB1228" s="73"/>
      <c r="AC1228" s="73"/>
      <c r="AD1228" s="143"/>
      <c r="AE1228" s="143"/>
      <c r="AF1228" s="143"/>
      <c r="AG1228" s="143"/>
      <c r="AH1228" s="143"/>
      <c r="AI1228" s="143"/>
      <c r="AJ1228" s="143"/>
      <c r="AK1228" s="143"/>
      <c r="AL1228" s="143"/>
      <c r="AM1228" s="143"/>
      <c r="AN1228" s="143"/>
      <c r="AO1228" s="143"/>
      <c r="AP1228" s="143"/>
      <c r="AQ1228" s="143"/>
    </row>
    <row r="1229" spans="1:43" ht="15" customHeight="1">
      <c r="A1229" s="593" t="str">
        <f>+input!B57</f>
        <v>128i</v>
      </c>
      <c r="B1229" s="596">
        <f>F1088</f>
        <v>379.19028554281539</v>
      </c>
      <c r="C1229" s="596">
        <f>G1088</f>
        <v>379.1766756311427</v>
      </c>
      <c r="D1229" s="596">
        <f>Stress!F886</f>
        <v>-42.425792763925983</v>
      </c>
      <c r="E1229" s="684" t="str">
        <f>IF(OR(L1155="compact",D1229&gt;=0),"-",IF(ABS(D1229)&lt;=B1229,"OK","NG"))</f>
        <v>OK</v>
      </c>
      <c r="F1229" s="683">
        <f>IF(OR(L1155="compact",D1229&gt;=0),"-",B1229 / ABS(D1229))</f>
        <v>8.9377301127354585</v>
      </c>
      <c r="G1229" s="684" t="str">
        <f>IF(OR(L1155="compact",D1229&lt;=0),"-",IF(ABS(D1229)&lt;=C1229,"OK","NG"))</f>
        <v>-</v>
      </c>
      <c r="H1229" s="1184" t="str">
        <f>IF(OR(L1155="compact",D1229&lt;=0),"-",C1229 / ABS(D1229))</f>
        <v>-</v>
      </c>
      <c r="I1229" s="596">
        <f>+Stress!G886</f>
        <v>142.27261314109262</v>
      </c>
      <c r="J1229" s="684" t="str">
        <f t="shared" si="56"/>
        <v>-</v>
      </c>
      <c r="K1229" s="683" t="str">
        <f t="shared" si="57"/>
        <v>-</v>
      </c>
      <c r="L1229" s="684" t="str">
        <f t="shared" si="58"/>
        <v>OK</v>
      </c>
      <c r="M1229" s="2306">
        <f t="shared" si="59"/>
        <v>2.665141711111406</v>
      </c>
      <c r="P1229" s="73"/>
      <c r="Q1229" s="73"/>
      <c r="R1229" s="73"/>
      <c r="S1229" s="73"/>
      <c r="T1229" s="73"/>
      <c r="U1229" s="73"/>
      <c r="V1229" s="73"/>
      <c r="W1229" s="73"/>
      <c r="X1229" s="73"/>
      <c r="Y1229" s="73"/>
      <c r="Z1229" s="73"/>
      <c r="AA1229" s="73"/>
      <c r="AB1229" s="73"/>
      <c r="AC1229" s="73"/>
      <c r="AD1229" s="143"/>
      <c r="AE1229" s="143"/>
      <c r="AF1229" s="143"/>
      <c r="AG1229" s="143"/>
      <c r="AH1229" s="143"/>
      <c r="AI1229" s="143"/>
      <c r="AJ1229" s="143"/>
      <c r="AK1229" s="143"/>
      <c r="AL1229" s="143"/>
      <c r="AM1229" s="143"/>
      <c r="AN1229" s="143"/>
      <c r="AO1229" s="143"/>
      <c r="AP1229" s="143"/>
      <c r="AQ1229" s="143"/>
    </row>
    <row r="1230" spans="1:43" ht="15" customHeight="1">
      <c r="A1230" s="593" t="str">
        <f>+input!B58</f>
        <v>128j</v>
      </c>
      <c r="B1230" s="596">
        <f>F1089</f>
        <v>379.19028554281539</v>
      </c>
      <c r="C1230" s="596">
        <f>G1089</f>
        <v>379.16857125346093</v>
      </c>
      <c r="D1230" s="596">
        <f>Stress!F887</f>
        <v>-52.478203044973306</v>
      </c>
      <c r="E1230" s="684" t="str">
        <f>IF(OR(L1156="compact",D1230&gt;=0),"-",IF(ABS(D1230)&lt;=B1230,"OK","NG"))</f>
        <v>OK</v>
      </c>
      <c r="F1230" s="683">
        <f>IF(OR(L1156="compact",D1230&gt;=0),"-",B1230 / ABS(D1230))</f>
        <v>7.2256720607954703</v>
      </c>
      <c r="G1230" s="684" t="str">
        <f>IF(OR(L1156="compact",D1230&lt;=0),"-",IF(ABS(D1230)&lt;=C1230,"OK","NG"))</f>
        <v>-</v>
      </c>
      <c r="H1230" s="1184" t="str">
        <f>IF(OR(L1156="compact",D1230&lt;=0),"-",C1230 / ABS(D1230))</f>
        <v>-</v>
      </c>
      <c r="I1230" s="596">
        <f>+Stress!G887</f>
        <v>133.1476691587489</v>
      </c>
      <c r="J1230" s="684" t="str">
        <f t="shared" si="56"/>
        <v>-</v>
      </c>
      <c r="K1230" s="683" t="str">
        <f t="shared" si="57"/>
        <v>-</v>
      </c>
      <c r="L1230" s="684" t="str">
        <f t="shared" si="58"/>
        <v>OK</v>
      </c>
      <c r="M1230" s="2306">
        <f t="shared" si="59"/>
        <v>2.847729694775107</v>
      </c>
      <c r="P1230" s="73"/>
      <c r="Q1230" s="73"/>
      <c r="R1230" s="73"/>
      <c r="S1230" s="73"/>
      <c r="T1230" s="73"/>
      <c r="U1230" s="73"/>
      <c r="V1230" s="73"/>
      <c r="W1230" s="73"/>
      <c r="X1230" s="73"/>
      <c r="Y1230" s="73"/>
      <c r="Z1230" s="73"/>
      <c r="AA1230" s="73"/>
      <c r="AB1230" s="73"/>
      <c r="AC1230" s="73"/>
      <c r="AD1230" s="143"/>
      <c r="AE1230" s="143"/>
      <c r="AF1230" s="143"/>
      <c r="AG1230" s="143"/>
      <c r="AH1230" s="143"/>
      <c r="AI1230" s="143"/>
      <c r="AJ1230" s="143"/>
      <c r="AK1230" s="143"/>
      <c r="AL1230" s="143"/>
      <c r="AM1230" s="143"/>
      <c r="AN1230" s="143"/>
      <c r="AO1230" s="143"/>
      <c r="AP1230" s="143"/>
      <c r="AQ1230" s="143"/>
    </row>
    <row r="1231" spans="1:43" ht="15" customHeight="1">
      <c r="A1231" s="593" t="str">
        <f>+input!B59</f>
        <v>129i</v>
      </c>
      <c r="B1231" s="596">
        <f>F1090</f>
        <v>379.19028554281539</v>
      </c>
      <c r="C1231" s="596">
        <f>G1090</f>
        <v>379.16391717492144</v>
      </c>
      <c r="D1231" s="596">
        <f>Stress!F888</f>
        <v>-52.478336925496812</v>
      </c>
      <c r="E1231" s="684" t="str">
        <f>IF(OR(L1157="compact",D1231&gt;=0),"-",IF(ABS(D1231)&lt;=B1231,"OK","NG"))</f>
        <v>OK</v>
      </c>
      <c r="F1231" s="683">
        <f>IF(OR(L1157="compact",D1231&gt;=0),"-",B1231 / ABS(D1231))</f>
        <v>7.2256536269651539</v>
      </c>
      <c r="G1231" s="684" t="str">
        <f>IF(OR(L1157="compact",D1231&lt;=0),"-",IF(ABS(D1231)&lt;=C1231,"OK","NG"))</f>
        <v>-</v>
      </c>
      <c r="H1231" s="1184" t="str">
        <f>IF(OR(L1157="compact",D1231&lt;=0),"-",C1231 / ABS(D1231))</f>
        <v>-</v>
      </c>
      <c r="I1231" s="596">
        <f>+Stress!G888</f>
        <v>133.14779711702147</v>
      </c>
      <c r="J1231" s="684" t="str">
        <f t="shared" si="56"/>
        <v>-</v>
      </c>
      <c r="K1231" s="683" t="str">
        <f t="shared" si="57"/>
        <v>-</v>
      </c>
      <c r="L1231" s="684" t="str">
        <f t="shared" si="58"/>
        <v>OK</v>
      </c>
      <c r="M1231" s="2306">
        <f t="shared" si="59"/>
        <v>2.8476920038089726</v>
      </c>
      <c r="P1231" s="73"/>
      <c r="Q1231" s="73"/>
      <c r="R1231" s="73"/>
      <c r="S1231" s="73"/>
      <c r="T1231" s="73"/>
      <c r="U1231" s="73"/>
      <c r="V1231" s="73"/>
      <c r="W1231" s="73"/>
      <c r="X1231" s="73"/>
      <c r="Y1231" s="73"/>
      <c r="Z1231" s="73"/>
      <c r="AA1231" s="73"/>
      <c r="AB1231" s="73"/>
      <c r="AC1231" s="73"/>
      <c r="AD1231" s="143"/>
      <c r="AE1231" s="143"/>
      <c r="AF1231" s="143"/>
      <c r="AG1231" s="143"/>
      <c r="AH1231" s="143"/>
      <c r="AI1231" s="143"/>
      <c r="AJ1231" s="143"/>
      <c r="AK1231" s="143"/>
      <c r="AL1231" s="143"/>
      <c r="AM1231" s="143"/>
      <c r="AN1231" s="143"/>
      <c r="AO1231" s="143"/>
      <c r="AP1231" s="143"/>
      <c r="AQ1231" s="143"/>
    </row>
    <row r="1232" spans="1:43" ht="15" customHeight="1">
      <c r="A1232" s="593" t="str">
        <f>+input!B60</f>
        <v>129j</v>
      </c>
      <c r="B1232" s="596">
        <f>F1091</f>
        <v>379.19028554281539</v>
      </c>
      <c r="C1232" s="596">
        <f>G1091</f>
        <v>379.15842358339597</v>
      </c>
      <c r="D1232" s="596">
        <f>Stress!F889</f>
        <v>-24.577026961808023</v>
      </c>
      <c r="E1232" s="684" t="str">
        <f>IF(OR(L1158="compact",D1232&gt;=0),"-",IF(ABS(D1232)&lt;=B1232,"OK","NG"))</f>
        <v>OK</v>
      </c>
      <c r="F1232" s="683">
        <f>IF(OR(L1158="compact",D1232&gt;=0),"-",B1232 / ABS(D1232))</f>
        <v>15.428647498009664</v>
      </c>
      <c r="G1232" s="684" t="str">
        <f>IF(OR(L1158="compact",D1232&lt;=0),"-",IF(ABS(D1232)&lt;=C1232,"OK","NG"))</f>
        <v>-</v>
      </c>
      <c r="H1232" s="1184" t="str">
        <f>IF(OR(L1158="compact",D1232&lt;=0),"-",C1232 / ABS(D1232))</f>
        <v>-</v>
      </c>
      <c r="I1232" s="596">
        <f>+Stress!G889</f>
        <v>54.964515506442908</v>
      </c>
      <c r="J1232" s="684" t="str">
        <f t="shared" si="56"/>
        <v>-</v>
      </c>
      <c r="K1232" s="683" t="str">
        <f t="shared" si="57"/>
        <v>-</v>
      </c>
      <c r="L1232" s="684" t="str">
        <f t="shared" si="58"/>
        <v>OK</v>
      </c>
      <c r="M1232" s="2306">
        <f t="shared" si="59"/>
        <v>6.8982400752527555</v>
      </c>
      <c r="P1232" s="73"/>
      <c r="Q1232" s="73"/>
      <c r="R1232" s="73"/>
      <c r="S1232" s="73"/>
      <c r="T1232" s="73"/>
      <c r="U1232" s="73"/>
      <c r="V1232" s="73"/>
      <c r="Y1232" s="1833"/>
      <c r="Z1232" s="143"/>
      <c r="AA1232" s="1833"/>
      <c r="AB1232" s="143"/>
      <c r="AC1232" s="73"/>
      <c r="AD1232" s="1837"/>
      <c r="AE1232" s="73"/>
      <c r="AQ1232" s="143"/>
    </row>
    <row r="1233" spans="1:43" ht="15" customHeight="1">
      <c r="A1233" s="593" t="str">
        <f>+input!B61</f>
        <v>130i</v>
      </c>
      <c r="B1233" s="596">
        <f>F1092</f>
        <v>379.22560275387258</v>
      </c>
      <c r="C1233" s="596">
        <f>G1092</f>
        <v>379.18803338073616</v>
      </c>
      <c r="D1233" s="596">
        <f>Stress!F890</f>
        <v>-26.796254395189226</v>
      </c>
      <c r="E1233" s="684" t="str">
        <f>IF(OR(L1159="compact",D1233&gt;=0),"-",IF(ABS(D1233)&lt;=B1233,"OK","NG"))</f>
        <v>OK</v>
      </c>
      <c r="F1233" s="683">
        <f>IF(OR(L1159="compact",D1233&gt;=0),"-",B1233 / ABS(D1233))</f>
        <v>14.152186987072175</v>
      </c>
      <c r="G1233" s="684" t="str">
        <f>IF(OR(L1159="compact",D1233&lt;=0),"-",IF(ABS(D1233)&lt;=C1233,"OK","NG"))</f>
        <v>-</v>
      </c>
      <c r="H1233" s="1184" t="str">
        <f>IF(OR(L1159="compact",D1233&lt;=0),"-",C1233 / ABS(D1233))</f>
        <v>-</v>
      </c>
      <c r="I1233" s="596">
        <f>+Stress!G890</f>
        <v>60.746653049220257</v>
      </c>
      <c r="J1233" s="684" t="str">
        <f t="shared" si="56"/>
        <v>-</v>
      </c>
      <c r="K1233" s="683" t="str">
        <f t="shared" si="57"/>
        <v>-</v>
      </c>
      <c r="L1233" s="684" t="str">
        <f t="shared" si="58"/>
        <v>OK</v>
      </c>
      <c r="M1233" s="2306">
        <f t="shared" si="59"/>
        <v>6.2421222297382757</v>
      </c>
      <c r="P1233" s="73"/>
      <c r="Q1233" s="73"/>
      <c r="R1233" s="73"/>
      <c r="S1233" s="73"/>
      <c r="T1233" s="73"/>
      <c r="U1233" s="73"/>
      <c r="V1233" s="73"/>
      <c r="Y1233" s="1833"/>
      <c r="Z1233" s="143"/>
      <c r="AA1233" s="1833"/>
      <c r="AB1233" s="143"/>
      <c r="AC1233" s="73"/>
      <c r="AD1233" s="1837"/>
      <c r="AE1233" s="73"/>
      <c r="AQ1233" s="143"/>
    </row>
    <row r="1234" spans="1:43" ht="15" customHeight="1">
      <c r="A1234" s="593" t="str">
        <f>+input!B62</f>
        <v>130j</v>
      </c>
      <c r="B1234" s="596">
        <f>F1093</f>
        <v>198.64260786288622</v>
      </c>
      <c r="C1234" s="596">
        <f>G1093</f>
        <v>379.44952920818679</v>
      </c>
      <c r="D1234" s="596">
        <f>Stress!F891</f>
        <v>2.3875380159589596</v>
      </c>
      <c r="E1234" s="684" t="str">
        <f>IF(OR(L1160="compact",D1234&gt;=0),"-",IF(ABS(D1234)&lt;=B1234,"OK","NG"))</f>
        <v>-</v>
      </c>
      <c r="F1234" s="683" t="str">
        <f>IF(OR(L1160="compact",D1234&gt;=0),"-",B1234 / ABS(D1234))</f>
        <v>-</v>
      </c>
      <c r="G1234" s="684" t="str">
        <f>IF(OR(L1160="compact",D1234&lt;=0),"-",IF(ABS(D1234)&lt;=C1234,"OK","NG"))</f>
        <v>OK</v>
      </c>
      <c r="H1234" s="1184">
        <f>IF(OR(L1160="compact",D1234&lt;=0),"-",C1234 / ABS(D1234))</f>
        <v>158.929209366235</v>
      </c>
      <c r="I1234" s="596">
        <f>+Stress!G891</f>
        <v>-2.8523853371648076</v>
      </c>
      <c r="J1234" s="684" t="str">
        <f t="shared" si="56"/>
        <v>OK</v>
      </c>
      <c r="K1234" s="683">
        <f t="shared" si="57"/>
        <v>69.640873999279322</v>
      </c>
      <c r="L1234" s="684" t="str">
        <f t="shared" si="58"/>
        <v>-</v>
      </c>
      <c r="M1234" s="2306" t="str">
        <f t="shared" si="59"/>
        <v>-</v>
      </c>
      <c r="P1234" s="73"/>
      <c r="Q1234" s="73"/>
      <c r="R1234" s="73"/>
      <c r="S1234" s="73"/>
      <c r="T1234" s="73"/>
      <c r="U1234" s="73"/>
      <c r="V1234" s="73"/>
      <c r="Y1234" s="1833"/>
      <c r="Z1234" s="143"/>
      <c r="AA1234" s="1833"/>
      <c r="AB1234" s="143"/>
      <c r="AC1234" s="73"/>
      <c r="AD1234" s="1837"/>
      <c r="AE1234" s="73"/>
      <c r="AQ1234" s="143"/>
    </row>
    <row r="1235" spans="1:43" ht="15" customHeight="1">
      <c r="A1235" s="593" t="str">
        <f>+input!B63</f>
        <v>131i</v>
      </c>
      <c r="B1235" s="596">
        <f>F1094</f>
        <v>200.15145801365517</v>
      </c>
      <c r="C1235" s="596">
        <f>G1094</f>
        <v>379.44952920818679</v>
      </c>
      <c r="D1235" s="596">
        <f>Stress!F892</f>
        <v>2.3881113429406442</v>
      </c>
      <c r="E1235" s="684" t="str">
        <f>IF(OR(L1161="compact",D1235&gt;=0),"-",IF(ABS(D1235)&lt;=B1235,"OK","NG"))</f>
        <v>-</v>
      </c>
      <c r="F1235" s="683" t="str">
        <f>IF(OR(L1161="compact",D1235&gt;=0),"-",B1235 / ABS(D1235))</f>
        <v>-</v>
      </c>
      <c r="G1235" s="684" t="str">
        <f>IF(OR(L1161="compact",D1235&lt;=0),"-",IF(ABS(D1235)&lt;=C1235,"OK","NG"))</f>
        <v>OK</v>
      </c>
      <c r="H1235" s="1184">
        <f>IF(OR(L1161="compact",D1235&lt;=0),"-",C1235 / ABS(D1235))</f>
        <v>158.89105435969529</v>
      </c>
      <c r="I1235" s="596">
        <f>+Stress!G892</f>
        <v>-2.8528774300553232</v>
      </c>
      <c r="J1235" s="684" t="str">
        <f t="shared" si="56"/>
        <v>OK</v>
      </c>
      <c r="K1235" s="683">
        <f t="shared" si="57"/>
        <v>70.157748771482915</v>
      </c>
      <c r="L1235" s="684" t="str">
        <f t="shared" si="58"/>
        <v>-</v>
      </c>
      <c r="M1235" s="2306" t="str">
        <f t="shared" si="59"/>
        <v>-</v>
      </c>
      <c r="P1235" s="73"/>
      <c r="Q1235" s="73"/>
      <c r="R1235" s="73"/>
      <c r="S1235" s="73"/>
      <c r="T1235" s="73"/>
      <c r="U1235" s="73"/>
      <c r="V1235" s="73"/>
      <c r="Y1235" s="1833"/>
      <c r="Z1235" s="143"/>
      <c r="AA1235" s="1833"/>
      <c r="AB1235" s="143"/>
      <c r="AC1235" s="73"/>
      <c r="AD1235" s="1837"/>
      <c r="AE1235" s="73"/>
      <c r="AQ1235" s="143"/>
    </row>
    <row r="1236" spans="1:43" ht="15" customHeight="1">
      <c r="A1236" s="593" t="str">
        <f>+input!B64</f>
        <v>131j</v>
      </c>
      <c r="B1236" s="596">
        <f>F1095</f>
        <v>379.22560275387258</v>
      </c>
      <c r="C1236" s="596">
        <f>G1095</f>
        <v>379.22545221863294</v>
      </c>
      <c r="D1236" s="596">
        <f>Stress!F893</f>
        <v>0</v>
      </c>
      <c r="E1236" s="684" t="str">
        <f>IF(OR(L1162="compact",D1236&gt;=0),"-",IF(ABS(D1236)&lt;=B1236,"OK","NG"))</f>
        <v>-</v>
      </c>
      <c r="F1236" s="683" t="str">
        <f>IF(OR(L1162="compact",D1236&gt;=0),"-",B1236 / ABS(D1236))</f>
        <v>-</v>
      </c>
      <c r="G1236" s="684" t="str">
        <f>IF(OR(L1162="compact",D1236&lt;=0),"-",IF(ABS(D1236)&lt;=C1236,"OK","NG"))</f>
        <v>-</v>
      </c>
      <c r="H1236" s="1184" t="str">
        <f>IF(OR(L1162="compact",D1236&lt;=0),"-",C1236 / ABS(D1236))</f>
        <v>-</v>
      </c>
      <c r="I1236" s="596">
        <f>+Stress!G893</f>
        <v>0</v>
      </c>
      <c r="J1236" s="684" t="str">
        <f t="shared" si="56"/>
        <v>-</v>
      </c>
      <c r="K1236" s="683" t="str">
        <f t="shared" si="57"/>
        <v>-</v>
      </c>
      <c r="L1236" s="684" t="str">
        <f t="shared" si="58"/>
        <v>-</v>
      </c>
      <c r="M1236" s="2306" t="str">
        <f t="shared" si="59"/>
        <v>-</v>
      </c>
      <c r="P1236" s="73"/>
      <c r="Q1236" s="73"/>
      <c r="R1236" s="73"/>
      <c r="S1236" s="73"/>
      <c r="T1236" s="73"/>
      <c r="U1236" s="73"/>
      <c r="V1236" s="73"/>
      <c r="Y1236" s="1833"/>
      <c r="Z1236" s="143"/>
      <c r="AA1236" s="1833"/>
      <c r="AB1236" s="143"/>
      <c r="AC1236" s="73"/>
      <c r="AD1236" s="1837"/>
      <c r="AE1236" s="73"/>
      <c r="AQ1236" s="143"/>
    </row>
    <row r="1237" spans="1:43" ht="15" customHeight="1">
      <c r="A1237" s="53"/>
      <c r="B1237" s="641"/>
      <c r="C1237" s="641"/>
      <c r="D1237" s="641"/>
      <c r="E1237" s="641"/>
      <c r="F1237" s="2301"/>
      <c r="G1237" s="1829"/>
      <c r="H1237" s="2301"/>
      <c r="I1237" s="2302"/>
      <c r="J1237" s="2303"/>
      <c r="K1237" s="2303"/>
      <c r="L1237" s="2301"/>
      <c r="M1237" s="1829"/>
      <c r="O1237" s="1833"/>
      <c r="Q1237" s="73"/>
      <c r="R1237" s="73"/>
      <c r="S1237" s="73"/>
      <c r="T1237" s="73"/>
      <c r="U1237" s="73"/>
      <c r="V1237" s="73"/>
      <c r="W1237" s="73"/>
      <c r="Z1237" s="1833"/>
      <c r="AB1237" s="1833"/>
      <c r="AE1237" s="1837"/>
    </row>
    <row r="1238" spans="1:43" ht="15" customHeight="1" thickBot="1">
      <c r="A1238" s="470" t="s">
        <v>3351</v>
      </c>
      <c r="B1238" s="348"/>
      <c r="C1238" s="467"/>
      <c r="D1238" s="467"/>
      <c r="E1238" s="467"/>
      <c r="F1238" s="467"/>
      <c r="G1238" s="467"/>
      <c r="H1238" s="467"/>
      <c r="I1238" s="467"/>
      <c r="J1238" s="467"/>
      <c r="K1238" s="242"/>
      <c r="L1238" s="242"/>
      <c r="M1238" s="467"/>
      <c r="N1238" s="467"/>
      <c r="O1238" s="467"/>
      <c r="P1238" s="467"/>
      <c r="Q1238" s="467"/>
      <c r="R1238" s="467"/>
      <c r="S1238" s="244"/>
      <c r="T1238" s="244"/>
      <c r="U1238" s="467"/>
      <c r="V1238" s="467"/>
      <c r="W1238" s="467"/>
      <c r="X1238" s="467"/>
      <c r="Y1238" s="467"/>
      <c r="Z1238" s="467"/>
      <c r="AB1238" s="466"/>
      <c r="AL1238" s="122"/>
      <c r="AM1238" s="122"/>
      <c r="AN1238" s="122"/>
      <c r="AO1238" s="122"/>
      <c r="AP1238" s="122"/>
    </row>
    <row r="1239" spans="1:43" ht="15" customHeight="1">
      <c r="A1239" s="615" t="s">
        <v>16</v>
      </c>
      <c r="B1239" s="623" t="s">
        <v>481</v>
      </c>
      <c r="C1239" s="623" t="s">
        <v>480</v>
      </c>
      <c r="D1239" s="1903" t="s">
        <v>482</v>
      </c>
      <c r="E1239" s="1909"/>
      <c r="G1239" s="257"/>
      <c r="I1239" s="73"/>
      <c r="J1239" s="73"/>
      <c r="K1239" s="73"/>
      <c r="L1239" s="73"/>
      <c r="M1239" s="73"/>
      <c r="N1239" s="73"/>
      <c r="O1239" s="73"/>
      <c r="P1239" s="73"/>
      <c r="Q1239" s="73"/>
      <c r="R1239" s="73"/>
      <c r="S1239" s="73"/>
      <c r="T1239" s="73"/>
      <c r="U1239" s="73"/>
      <c r="V1239" s="73"/>
      <c r="Z1239" s="143"/>
      <c r="AB1239" s="143"/>
      <c r="AD1239" s="143"/>
      <c r="AE1239" s="143"/>
      <c r="AF1239" s="143"/>
      <c r="AG1239" s="143"/>
      <c r="AH1239" s="143"/>
      <c r="AI1239" s="143"/>
      <c r="AJ1239" s="143"/>
      <c r="AK1239" s="143"/>
      <c r="AL1239" s="143"/>
      <c r="AM1239" s="143"/>
      <c r="AN1239" s="143"/>
      <c r="AO1239" s="143"/>
      <c r="AP1239" s="143"/>
      <c r="AQ1239" s="143"/>
    </row>
    <row r="1240" spans="1:43" ht="15" customHeight="1">
      <c r="A1240" s="616"/>
      <c r="B1240" s="625"/>
      <c r="C1240" s="625"/>
      <c r="D1240" s="1952" t="s">
        <v>483</v>
      </c>
      <c r="E1240" s="1953"/>
      <c r="G1240" s="257"/>
      <c r="I1240" s="73"/>
      <c r="J1240" s="73"/>
      <c r="K1240" s="73"/>
      <c r="L1240" s="73"/>
      <c r="M1240" s="73"/>
      <c r="N1240" s="73"/>
      <c r="O1240" s="73"/>
      <c r="P1240" s="73"/>
      <c r="Q1240" s="73"/>
      <c r="R1240" s="73"/>
      <c r="S1240" s="73"/>
      <c r="T1240" s="73"/>
      <c r="U1240" s="73"/>
      <c r="V1240" s="73"/>
      <c r="Z1240" s="143"/>
      <c r="AB1240" s="143"/>
      <c r="AD1240" s="143"/>
      <c r="AE1240" s="143"/>
      <c r="AF1240" s="143"/>
      <c r="AG1240" s="143"/>
      <c r="AH1240" s="143"/>
      <c r="AI1240" s="143"/>
      <c r="AJ1240" s="143"/>
      <c r="AK1240" s="143"/>
      <c r="AL1240" s="143"/>
      <c r="AM1240" s="143"/>
      <c r="AN1240" s="143"/>
      <c r="AO1240" s="143"/>
      <c r="AP1240" s="143"/>
      <c r="AQ1240" s="143"/>
    </row>
    <row r="1241" spans="1:43" ht="15" customHeight="1">
      <c r="A1241" s="593" t="str">
        <f>+input!B3</f>
        <v>101i</v>
      </c>
      <c r="B1241" s="644">
        <f>1.25*(Stress!E49+Stress!F49+Stress!G49+Stress!H49)+1.5*Stress!I49+1.8*IF(B1101="Positive",Stress!J49,Stress!K49)</f>
        <v>-2.2499999999999999E-2</v>
      </c>
      <c r="C1241" s="644">
        <f>L1034</f>
        <v>31874.789538587065</v>
      </c>
      <c r="D1241" s="647" t="str">
        <f>IF(L1101="compact",IF(B1241&lt;=C1241,"OK","NG"),"-")</f>
        <v>-</v>
      </c>
      <c r="E1241" s="607" t="str">
        <f>IF(L1101="compact",C1241/B1241,"-")</f>
        <v>-</v>
      </c>
      <c r="G1241" s="257"/>
      <c r="I1241" s="73"/>
      <c r="J1241" s="73"/>
      <c r="K1241" s="73"/>
      <c r="L1241" s="73"/>
      <c r="M1241" s="73"/>
      <c r="N1241" s="73"/>
      <c r="O1241" s="73"/>
      <c r="P1241" s="73"/>
      <c r="Q1241" s="73"/>
      <c r="R1241" s="73"/>
      <c r="S1241" s="73"/>
      <c r="T1241" s="73"/>
      <c r="U1241" s="73"/>
      <c r="V1241" s="73"/>
      <c r="Z1241" s="143"/>
      <c r="AB1241" s="143"/>
      <c r="AD1241" s="143"/>
      <c r="AE1241" s="143"/>
      <c r="AF1241" s="143"/>
      <c r="AG1241" s="143"/>
      <c r="AH1241" s="143"/>
      <c r="AI1241" s="143"/>
      <c r="AJ1241" s="143"/>
      <c r="AK1241" s="143"/>
      <c r="AL1241" s="143"/>
      <c r="AM1241" s="143"/>
      <c r="AN1241" s="143"/>
      <c r="AO1241" s="143"/>
      <c r="AP1241" s="143"/>
      <c r="AQ1241" s="143"/>
    </row>
    <row r="1242" spans="1:43" ht="15" customHeight="1">
      <c r="A1242" s="593" t="str">
        <f>+input!B4</f>
        <v>101j</v>
      </c>
      <c r="B1242" s="644">
        <f>1.25*(Stress!E50+Stress!F50+Stress!G50+Stress!H50)+1.5*Stress!I50+1.8*IF(B1102="Positive",Stress!J50,Stress!K50)</f>
        <v>-274.62350000000004</v>
      </c>
      <c r="C1242" s="644">
        <f>L1035</f>
        <v>31874.789538587065</v>
      </c>
      <c r="D1242" s="647" t="str">
        <f>IF(L1102="compact",IF(B1242&lt;=C1242,"OK","NG"),"-")</f>
        <v>-</v>
      </c>
      <c r="E1242" s="607" t="str">
        <f>IF(L1102="compact",C1242/B1242,"-")</f>
        <v>-</v>
      </c>
      <c r="G1242" s="257"/>
      <c r="I1242" s="73"/>
      <c r="J1242" s="73"/>
      <c r="K1242" s="73"/>
      <c r="L1242" s="73"/>
      <c r="M1242" s="73"/>
      <c r="N1242" s="73"/>
      <c r="O1242" s="73"/>
      <c r="P1242" s="73"/>
      <c r="Q1242" s="73"/>
      <c r="R1242" s="73"/>
      <c r="S1242" s="73"/>
      <c r="T1242" s="73"/>
      <c r="U1242" s="73"/>
      <c r="V1242" s="73"/>
      <c r="Z1242" s="143"/>
      <c r="AB1242" s="143"/>
      <c r="AD1242" s="143"/>
      <c r="AE1242" s="143"/>
      <c r="AF1242" s="143"/>
      <c r="AG1242" s="143"/>
      <c r="AH1242" s="143"/>
      <c r="AI1242" s="143"/>
      <c r="AJ1242" s="143"/>
      <c r="AK1242" s="143"/>
      <c r="AL1242" s="143"/>
      <c r="AM1242" s="143"/>
      <c r="AN1242" s="143"/>
      <c r="AO1242" s="143"/>
      <c r="AP1242" s="143"/>
      <c r="AQ1242" s="143"/>
    </row>
    <row r="1243" spans="1:43" ht="15" customHeight="1">
      <c r="A1243" s="593" t="str">
        <f>+input!B5</f>
        <v>102i</v>
      </c>
      <c r="B1243" s="644">
        <f>1.25*(Stress!E51+Stress!F51+Stress!G51+Stress!H51)+1.5*Stress!I51+1.8*IF(B1103="Positive",Stress!J51,Stress!K51)</f>
        <v>-274.61899999999997</v>
      </c>
      <c r="C1243" s="644">
        <f>L1036</f>
        <v>31874.789538587065</v>
      </c>
      <c r="D1243" s="647" t="str">
        <f>IF(L1103="compact",IF(B1243&lt;=C1243,"OK","NG"),"-")</f>
        <v>-</v>
      </c>
      <c r="E1243" s="607" t="str">
        <f>IF(L1103="compact",C1243/B1243,"-")</f>
        <v>-</v>
      </c>
      <c r="G1243" s="257"/>
      <c r="I1243" s="73"/>
      <c r="J1243" s="73"/>
      <c r="K1243" s="73"/>
      <c r="L1243" s="73"/>
      <c r="M1243" s="73"/>
      <c r="N1243" s="73"/>
      <c r="O1243" s="73"/>
      <c r="P1243" s="73"/>
      <c r="Q1243" s="73"/>
      <c r="R1243" s="73"/>
      <c r="S1243" s="73"/>
      <c r="T1243" s="73"/>
      <c r="U1243" s="73"/>
      <c r="V1243" s="73"/>
      <c r="Z1243" s="143"/>
      <c r="AB1243" s="143"/>
      <c r="AD1243" s="143"/>
      <c r="AE1243" s="143"/>
      <c r="AF1243" s="143"/>
      <c r="AG1243" s="143"/>
      <c r="AH1243" s="143"/>
      <c r="AI1243" s="143"/>
      <c r="AJ1243" s="143"/>
      <c r="AK1243" s="143"/>
      <c r="AL1243" s="143"/>
      <c r="AM1243" s="143"/>
      <c r="AN1243" s="143"/>
      <c r="AO1243" s="143"/>
      <c r="AP1243" s="143"/>
      <c r="AQ1243" s="143"/>
    </row>
    <row r="1244" spans="1:43" ht="15" customHeight="1">
      <c r="A1244" s="593" t="str">
        <f>+input!B6</f>
        <v>102j</v>
      </c>
      <c r="B1244" s="644">
        <f>1.25*(Stress!E52+Stress!F52+Stress!G52+Stress!H52)+1.5*Stress!I52+1.8*IF(B1104="Positive",Stress!J52,Stress!K52)</f>
        <v>14278.054</v>
      </c>
      <c r="C1244" s="644">
        <f>L1037</f>
        <v>61478.937612745642</v>
      </c>
      <c r="D1244" s="647" t="str">
        <f>IF(L1104="compact",IF(B1244&lt;=C1244,"OK","NG"),"-")</f>
        <v>-</v>
      </c>
      <c r="E1244" s="607" t="str">
        <f>IF(L1104="compact",C1244/B1244,"-")</f>
        <v>-</v>
      </c>
      <c r="G1244" s="257"/>
      <c r="I1244" s="73"/>
      <c r="J1244" s="73"/>
      <c r="K1244" s="73"/>
      <c r="L1244" s="73"/>
      <c r="M1244" s="73"/>
      <c r="N1244" s="73"/>
      <c r="O1244" s="73"/>
      <c r="P1244" s="73"/>
      <c r="Q1244" s="73"/>
      <c r="R1244" s="73"/>
      <c r="S1244" s="73"/>
      <c r="T1244" s="73"/>
      <c r="U1244" s="73"/>
      <c r="V1244" s="73"/>
      <c r="Z1244" s="143"/>
      <c r="AB1244" s="143"/>
      <c r="AD1244" s="143"/>
      <c r="AE1244" s="143"/>
      <c r="AF1244" s="143"/>
      <c r="AG1244" s="143"/>
      <c r="AH1244" s="143"/>
      <c r="AI1244" s="143"/>
      <c r="AJ1244" s="143"/>
      <c r="AK1244" s="143"/>
      <c r="AL1244" s="143"/>
      <c r="AM1244" s="143"/>
      <c r="AN1244" s="143"/>
      <c r="AO1244" s="143"/>
      <c r="AP1244" s="143"/>
      <c r="AQ1244" s="143"/>
    </row>
    <row r="1245" spans="1:43" ht="15" customHeight="1">
      <c r="A1245" s="593" t="str">
        <f>+input!B7</f>
        <v>103i</v>
      </c>
      <c r="B1245" s="644">
        <f>1.25*(Stress!E53+Stress!F53+Stress!G53+Stress!H53)+1.5*Stress!I53+1.8*IF(B1105="Positive",Stress!J53,Stress!K53)</f>
        <v>14278.029</v>
      </c>
      <c r="C1245" s="644">
        <f>L1038</f>
        <v>83743.281114864061</v>
      </c>
      <c r="D1245" s="647" t="str">
        <f>IF(L1105="compact",IF(B1245&lt;=C1245,"OK","NG"),"-")</f>
        <v>-</v>
      </c>
      <c r="E1245" s="607" t="str">
        <f>IF(L1105="compact",C1245/B1245,"-")</f>
        <v>-</v>
      </c>
      <c r="G1245" s="257"/>
      <c r="I1245" s="73"/>
      <c r="J1245" s="73"/>
      <c r="K1245" s="73"/>
      <c r="L1245" s="73"/>
      <c r="M1245" s="73"/>
      <c r="N1245" s="73"/>
      <c r="O1245" s="73"/>
      <c r="P1245" s="73"/>
      <c r="Q1245" s="73"/>
      <c r="R1245" s="73"/>
      <c r="S1245" s="73"/>
      <c r="T1245" s="73"/>
      <c r="U1245" s="73"/>
      <c r="V1245" s="73"/>
      <c r="Z1245" s="143"/>
      <c r="AB1245" s="143"/>
      <c r="AD1245" s="143"/>
      <c r="AE1245" s="143"/>
      <c r="AF1245" s="143"/>
      <c r="AG1245" s="143"/>
      <c r="AH1245" s="143"/>
      <c r="AI1245" s="143"/>
      <c r="AJ1245" s="143"/>
      <c r="AK1245" s="143"/>
      <c r="AL1245" s="143"/>
      <c r="AM1245" s="143"/>
      <c r="AN1245" s="143"/>
      <c r="AO1245" s="143"/>
      <c r="AP1245" s="143"/>
      <c r="AQ1245" s="143"/>
    </row>
    <row r="1246" spans="1:43" ht="15" customHeight="1">
      <c r="A1246" s="593" t="str">
        <f>+input!B8</f>
        <v>103j</v>
      </c>
      <c r="B1246" s="644">
        <f>1.25*(Stress!E54+Stress!F54+Stress!G54+Stress!H54)+1.5*Stress!I54+1.8*IF(B1106="Positive",Stress!J54,Stress!K54)</f>
        <v>32201.196499999998</v>
      </c>
      <c r="C1246" s="644">
        <f>L1039</f>
        <v>81452.900663436361</v>
      </c>
      <c r="D1246" s="647" t="str">
        <f>IF(L1106="compact",IF(B1246&lt;=C1246,"OK","NG"),"-")</f>
        <v>-</v>
      </c>
      <c r="E1246" s="607" t="str">
        <f>IF(L1106="compact",C1246/B1246,"-")</f>
        <v>-</v>
      </c>
      <c r="G1246" s="257"/>
      <c r="I1246" s="73"/>
      <c r="J1246" s="73"/>
      <c r="K1246" s="73"/>
      <c r="L1246" s="73"/>
      <c r="M1246" s="73"/>
      <c r="N1246" s="73"/>
      <c r="O1246" s="73"/>
      <c r="P1246" s="73"/>
      <c r="Q1246" s="73"/>
      <c r="R1246" s="73"/>
      <c r="S1246" s="73"/>
      <c r="T1246" s="73"/>
      <c r="U1246" s="73"/>
      <c r="V1246" s="73"/>
      <c r="Z1246" s="143"/>
      <c r="AB1246" s="143"/>
      <c r="AD1246" s="143"/>
      <c r="AE1246" s="143"/>
      <c r="AF1246" s="143"/>
      <c r="AG1246" s="143"/>
      <c r="AH1246" s="143"/>
      <c r="AI1246" s="143"/>
      <c r="AJ1246" s="143"/>
      <c r="AK1246" s="143"/>
      <c r="AL1246" s="143"/>
      <c r="AM1246" s="143"/>
      <c r="AN1246" s="143"/>
      <c r="AO1246" s="143"/>
      <c r="AP1246" s="143"/>
      <c r="AQ1246" s="143"/>
    </row>
    <row r="1247" spans="1:43" ht="15" customHeight="1">
      <c r="A1247" s="593" t="str">
        <f>+input!B9</f>
        <v>104i</v>
      </c>
      <c r="B1247" s="644">
        <f>1.25*(Stress!E55+Stress!F55+Stress!G55+Stress!H55)+1.5*Stress!I55+1.8*IF(B1107="Positive",Stress!J55,Stress!K55)</f>
        <v>32201.152000000002</v>
      </c>
      <c r="C1247" s="644">
        <f>L1040</f>
        <v>81452.917237778398</v>
      </c>
      <c r="D1247" s="647" t="str">
        <f>IF(L1107="compact",IF(B1247&lt;=C1247,"OK","NG"),"-")</f>
        <v>-</v>
      </c>
      <c r="E1247" s="607" t="str">
        <f>IF(L1107="compact",C1247/B1247,"-")</f>
        <v>-</v>
      </c>
      <c r="G1247" s="257"/>
      <c r="I1247" s="73"/>
      <c r="J1247" s="73"/>
      <c r="K1247" s="73"/>
      <c r="L1247" s="73"/>
      <c r="M1247" s="73"/>
      <c r="N1247" s="73"/>
      <c r="O1247" s="73"/>
      <c r="P1247" s="73"/>
      <c r="Q1247" s="73"/>
      <c r="R1247" s="73"/>
      <c r="S1247" s="73"/>
      <c r="T1247" s="73"/>
      <c r="U1247" s="73"/>
      <c r="V1247" s="73"/>
      <c r="Z1247" s="143"/>
      <c r="AB1247" s="143"/>
      <c r="AD1247" s="143"/>
      <c r="AE1247" s="143"/>
      <c r="AF1247" s="143"/>
      <c r="AG1247" s="143"/>
      <c r="AH1247" s="143"/>
      <c r="AI1247" s="143"/>
      <c r="AJ1247" s="143"/>
      <c r="AK1247" s="143"/>
      <c r="AL1247" s="143"/>
      <c r="AM1247" s="143"/>
      <c r="AN1247" s="143"/>
      <c r="AO1247" s="143"/>
      <c r="AP1247" s="143"/>
      <c r="AQ1247" s="143"/>
    </row>
    <row r="1248" spans="1:43" ht="15" customHeight="1">
      <c r="A1248" s="593" t="str">
        <f>+input!B10</f>
        <v>104j</v>
      </c>
      <c r="B1248" s="644">
        <f>1.25*(Stress!E56+Stress!F56+Stress!G56+Stress!H56)+1.5*Stress!I56+1.8*IF(B1108="Positive",Stress!J56,Stress!K56)</f>
        <v>52046.373</v>
      </c>
      <c r="C1248" s="644">
        <f>L1041</f>
        <v>77582.776531478579</v>
      </c>
      <c r="D1248" s="647" t="str">
        <f>IF(L1108="compact",IF(B1248&lt;=C1248,"OK","NG"),"-")</f>
        <v>-</v>
      </c>
      <c r="E1248" s="607" t="str">
        <f>IF(L1108="compact",C1248/B1248,"-")</f>
        <v>-</v>
      </c>
      <c r="G1248" s="257"/>
      <c r="I1248" s="73"/>
      <c r="J1248" s="73"/>
      <c r="K1248" s="73"/>
      <c r="L1248" s="73"/>
      <c r="M1248" s="73"/>
      <c r="N1248" s="73"/>
      <c r="O1248" s="73"/>
      <c r="P1248" s="73"/>
      <c r="Q1248" s="73"/>
      <c r="R1248" s="73"/>
      <c r="S1248" s="73"/>
      <c r="T1248" s="73"/>
      <c r="U1248" s="73"/>
      <c r="V1248" s="73"/>
      <c r="Z1248" s="143"/>
      <c r="AB1248" s="143"/>
      <c r="AD1248" s="143"/>
      <c r="AE1248" s="143"/>
      <c r="AF1248" s="143"/>
      <c r="AG1248" s="143"/>
      <c r="AH1248" s="143"/>
      <c r="AI1248" s="143"/>
      <c r="AJ1248" s="143"/>
      <c r="AK1248" s="143"/>
      <c r="AL1248" s="143"/>
      <c r="AM1248" s="143"/>
      <c r="AN1248" s="143"/>
      <c r="AO1248" s="143"/>
      <c r="AP1248" s="143"/>
      <c r="AQ1248" s="143"/>
    </row>
    <row r="1249" spans="1:43" ht="15" customHeight="1">
      <c r="A1249" s="593" t="str">
        <f>+input!B11</f>
        <v>105i</v>
      </c>
      <c r="B1249" s="644">
        <f>1.25*(Stress!E57+Stress!F57+Stress!G57+Stress!H57)+1.5*Stress!I57+1.8*IF(B1109="Positive",Stress!J57,Stress!K57)</f>
        <v>52046.338000000003</v>
      </c>
      <c r="C1249" s="644">
        <f>L1042</f>
        <v>117364.48706155812</v>
      </c>
      <c r="D1249" s="647" t="str">
        <f>IF(L1109="compact",IF(B1249&lt;=C1249,"OK","NG"),"-")</f>
        <v>-</v>
      </c>
      <c r="E1249" s="607" t="str">
        <f>IF(L1109="compact",C1249/B1249,"-")</f>
        <v>-</v>
      </c>
      <c r="G1249" s="257"/>
      <c r="I1249" s="73"/>
      <c r="J1249" s="73"/>
      <c r="K1249" s="73"/>
      <c r="L1249" s="73"/>
      <c r="M1249" s="73"/>
      <c r="N1249" s="73"/>
      <c r="O1249" s="73"/>
      <c r="P1249" s="73"/>
      <c r="Q1249" s="73"/>
      <c r="R1249" s="73"/>
      <c r="S1249" s="73"/>
      <c r="T1249" s="73"/>
      <c r="U1249" s="73"/>
      <c r="V1249" s="73"/>
      <c r="Z1249" s="143"/>
      <c r="AB1249" s="143"/>
      <c r="AD1249" s="143"/>
      <c r="AE1249" s="143"/>
      <c r="AF1249" s="143"/>
      <c r="AG1249" s="143"/>
      <c r="AH1249" s="143"/>
      <c r="AI1249" s="143"/>
      <c r="AJ1249" s="143"/>
      <c r="AK1249" s="143"/>
      <c r="AL1249" s="143"/>
      <c r="AM1249" s="143"/>
      <c r="AN1249" s="143"/>
      <c r="AO1249" s="143"/>
      <c r="AP1249" s="143"/>
      <c r="AQ1249" s="143"/>
    </row>
    <row r="1250" spans="1:43" ht="15" customHeight="1">
      <c r="A1250" s="593" t="str">
        <f>+input!B12</f>
        <v>105j</v>
      </c>
      <c r="B1250" s="644">
        <f>1.25*(Stress!E58+Stress!F58+Stress!G58+Stress!H58)+1.5*Stress!I58+1.8*IF(B1110="Positive",Stress!J58,Stress!K58)</f>
        <v>68221.945500000002</v>
      </c>
      <c r="C1250" s="644">
        <f>L1043</f>
        <v>117364.48706155812</v>
      </c>
      <c r="D1250" s="647" t="str">
        <f>IF(L1110="compact",IF(B1250&lt;=C1250,"OK","NG"),"-")</f>
        <v>-</v>
      </c>
      <c r="E1250" s="607" t="str">
        <f>IF(L1110="compact",C1250/B1250,"-")</f>
        <v>-</v>
      </c>
      <c r="G1250" s="257"/>
      <c r="I1250" s="73"/>
      <c r="J1250" s="73"/>
      <c r="K1250" s="73"/>
      <c r="L1250" s="73"/>
      <c r="M1250" s="73"/>
      <c r="N1250" s="73"/>
      <c r="O1250" s="73"/>
      <c r="P1250" s="73"/>
      <c r="Q1250" s="73"/>
      <c r="R1250" s="73"/>
      <c r="S1250" s="73"/>
      <c r="T1250" s="73"/>
      <c r="U1250" s="73"/>
      <c r="V1250" s="73"/>
      <c r="Z1250" s="143"/>
      <c r="AB1250" s="143"/>
      <c r="AD1250" s="143"/>
      <c r="AE1250" s="143"/>
      <c r="AF1250" s="143"/>
      <c r="AG1250" s="143"/>
      <c r="AH1250" s="143"/>
      <c r="AI1250" s="143"/>
      <c r="AJ1250" s="143"/>
      <c r="AK1250" s="143"/>
      <c r="AL1250" s="143"/>
      <c r="AM1250" s="143"/>
      <c r="AN1250" s="143"/>
      <c r="AO1250" s="143"/>
      <c r="AP1250" s="143"/>
      <c r="AQ1250" s="143"/>
    </row>
    <row r="1251" spans="1:43" ht="15" customHeight="1">
      <c r="A1251" s="593" t="str">
        <f>+input!B13</f>
        <v>106i</v>
      </c>
      <c r="B1251" s="644">
        <f>1.25*(Stress!E59+Stress!F59+Stress!G59+Stress!H59)+1.5*Stress!I59+1.8*IF(B1111="Positive",Stress!J59,Stress!K59)</f>
        <v>68221.875499999995</v>
      </c>
      <c r="C1251" s="644">
        <f>L1044</f>
        <v>117364.48706155812</v>
      </c>
      <c r="D1251" s="647" t="str">
        <f>IF(L1111="compact",IF(B1251&lt;=C1251,"OK","NG"),"-")</f>
        <v>-</v>
      </c>
      <c r="E1251" s="607" t="str">
        <f>IF(L1111="compact",C1251/B1251,"-")</f>
        <v>-</v>
      </c>
      <c r="G1251" s="257"/>
      <c r="I1251" s="73"/>
      <c r="J1251" s="73"/>
      <c r="K1251" s="73"/>
      <c r="L1251" s="73"/>
      <c r="M1251" s="73"/>
      <c r="N1251" s="73"/>
      <c r="O1251" s="73"/>
      <c r="P1251" s="73"/>
      <c r="Q1251" s="73"/>
      <c r="R1251" s="73"/>
      <c r="S1251" s="73"/>
      <c r="T1251" s="73"/>
      <c r="U1251" s="73"/>
      <c r="V1251" s="73"/>
      <c r="Z1251" s="143"/>
      <c r="AB1251" s="143"/>
      <c r="AD1251" s="143"/>
      <c r="AE1251" s="143"/>
      <c r="AF1251" s="143"/>
      <c r="AG1251" s="143"/>
      <c r="AH1251" s="143"/>
      <c r="AI1251" s="143"/>
      <c r="AJ1251" s="143"/>
      <c r="AK1251" s="143"/>
      <c r="AL1251" s="143"/>
      <c r="AM1251" s="143"/>
      <c r="AN1251" s="143"/>
      <c r="AO1251" s="143"/>
      <c r="AP1251" s="143"/>
      <c r="AQ1251" s="143"/>
    </row>
    <row r="1252" spans="1:43" ht="15" customHeight="1">
      <c r="A1252" s="593" t="str">
        <f>+input!B14</f>
        <v>106j</v>
      </c>
      <c r="B1252" s="644">
        <f>1.25*(Stress!E60+Stress!F60+Stress!G60+Stress!H60)+1.5*Stress!I60+1.8*IF(B1112="Positive",Stress!J60,Stress!K60)</f>
        <v>79319.916000000012</v>
      </c>
      <c r="C1252" s="644">
        <f>L1045</f>
        <v>117364.48706155812</v>
      </c>
      <c r="D1252" s="647" t="str">
        <f>IF(L1112="compact",IF(B1252&lt;=C1252,"OK","NG"),"-")</f>
        <v>-</v>
      </c>
      <c r="E1252" s="607" t="str">
        <f>IF(L1112="compact",C1252/B1252,"-")</f>
        <v>-</v>
      </c>
      <c r="G1252" s="257"/>
      <c r="I1252" s="73"/>
      <c r="J1252" s="73"/>
      <c r="K1252" s="73"/>
      <c r="L1252" s="73"/>
      <c r="M1252" s="73"/>
      <c r="N1252" s="73"/>
      <c r="O1252" s="73"/>
      <c r="P1252" s="73"/>
      <c r="Q1252" s="73"/>
      <c r="R1252" s="73"/>
      <c r="S1252" s="73"/>
      <c r="T1252" s="73"/>
      <c r="U1252" s="73"/>
      <c r="V1252" s="73"/>
      <c r="Z1252" s="143"/>
      <c r="AB1252" s="143"/>
      <c r="AD1252" s="143"/>
      <c r="AE1252" s="143"/>
      <c r="AF1252" s="143"/>
      <c r="AG1252" s="143"/>
      <c r="AH1252" s="143"/>
      <c r="AI1252" s="143"/>
      <c r="AJ1252" s="143"/>
      <c r="AK1252" s="143"/>
      <c r="AL1252" s="143"/>
      <c r="AM1252" s="143"/>
      <c r="AN1252" s="143"/>
      <c r="AO1252" s="143"/>
      <c r="AP1252" s="143"/>
      <c r="AQ1252" s="143"/>
    </row>
    <row r="1253" spans="1:43" ht="15" customHeight="1">
      <c r="A1253" s="593" t="str">
        <f>+input!B15</f>
        <v>107i</v>
      </c>
      <c r="B1253" s="644">
        <f>1.25*(Stress!E61+Stress!F61+Stress!G61+Stress!H61)+1.5*Stress!I61+1.8*IF(B1113="Positive",Stress!J61,Stress!K61)</f>
        <v>79319.841</v>
      </c>
      <c r="C1253" s="644">
        <f>L1046</f>
        <v>130042.64171156453</v>
      </c>
      <c r="D1253" s="647" t="str">
        <f>IF(L1113="compact",IF(B1253&lt;=C1253,"OK","NG"),"-")</f>
        <v>-</v>
      </c>
      <c r="E1253" s="607" t="str">
        <f>IF(L1113="compact",C1253/B1253,"-")</f>
        <v>-</v>
      </c>
      <c r="G1253" s="257"/>
      <c r="I1253" s="73"/>
      <c r="J1253" s="73"/>
      <c r="K1253" s="73"/>
      <c r="L1253" s="73"/>
      <c r="M1253" s="73"/>
      <c r="N1253" s="73"/>
      <c r="O1253" s="73"/>
      <c r="P1253" s="73"/>
      <c r="Q1253" s="73"/>
      <c r="R1253" s="73"/>
      <c r="S1253" s="73"/>
      <c r="T1253" s="73"/>
      <c r="U1253" s="73"/>
      <c r="V1253" s="73"/>
      <c r="Z1253" s="143"/>
      <c r="AB1253" s="143"/>
      <c r="AD1253" s="143"/>
      <c r="AE1253" s="143"/>
      <c r="AF1253" s="143"/>
      <c r="AG1253" s="143"/>
      <c r="AH1253" s="143"/>
      <c r="AI1253" s="143"/>
      <c r="AJ1253" s="143"/>
      <c r="AK1253" s="143"/>
      <c r="AL1253" s="143"/>
      <c r="AM1253" s="143"/>
      <c r="AN1253" s="143"/>
      <c r="AO1253" s="143"/>
      <c r="AP1253" s="143"/>
      <c r="AQ1253" s="143"/>
    </row>
    <row r="1254" spans="1:43" ht="15" customHeight="1">
      <c r="A1254" s="593" t="str">
        <f>+input!B16</f>
        <v>107j</v>
      </c>
      <c r="B1254" s="644">
        <f>1.25*(Stress!E62+Stress!F62+Stress!G62+Stress!H62)+1.5*Stress!I62+1.8*IF(B1114="Positive",Stress!J62,Stress!K62)</f>
        <v>87006.146500000003</v>
      </c>
      <c r="C1254" s="644">
        <f>L1047</f>
        <v>130042.64171156453</v>
      </c>
      <c r="D1254" s="647" t="str">
        <f>IF(L1114="compact",IF(B1254&lt;=C1254,"OK","NG"),"-")</f>
        <v>-</v>
      </c>
      <c r="E1254" s="607" t="str">
        <f>IF(L1114="compact",C1254/B1254,"-")</f>
        <v>-</v>
      </c>
      <c r="G1254" s="257"/>
      <c r="I1254" s="73"/>
      <c r="J1254" s="73"/>
      <c r="K1254" s="73"/>
      <c r="L1254" s="73"/>
      <c r="M1254" s="73"/>
      <c r="N1254" s="73"/>
      <c r="O1254" s="73"/>
      <c r="P1254" s="73"/>
      <c r="Q1254" s="73"/>
      <c r="R1254" s="73"/>
      <c r="S1254" s="73"/>
      <c r="T1254" s="73"/>
      <c r="U1254" s="73"/>
      <c r="V1254" s="73"/>
      <c r="Z1254" s="143"/>
      <c r="AB1254" s="143"/>
      <c r="AD1254" s="143"/>
      <c r="AE1254" s="143"/>
      <c r="AF1254" s="143"/>
      <c r="AG1254" s="143"/>
      <c r="AH1254" s="143"/>
      <c r="AI1254" s="143"/>
      <c r="AJ1254" s="143"/>
      <c r="AK1254" s="143"/>
      <c r="AL1254" s="143"/>
      <c r="AM1254" s="143"/>
      <c r="AN1254" s="143"/>
      <c r="AO1254" s="143"/>
      <c r="AP1254" s="143"/>
      <c r="AQ1254" s="143"/>
    </row>
    <row r="1255" spans="1:43" ht="15" customHeight="1">
      <c r="A1255" s="593" t="str">
        <f>+input!B17</f>
        <v>108i</v>
      </c>
      <c r="B1255" s="644">
        <f>1.25*(Stress!E63+Stress!F63+Stress!G63+Stress!H63)+1.5*Stress!I63+1.8*IF(B1115="Positive",Stress!J63,Stress!K63)</f>
        <v>87006.021500000003</v>
      </c>
      <c r="C1255" s="644">
        <f>L1048</f>
        <v>130042.64171156453</v>
      </c>
      <c r="D1255" s="647" t="str">
        <f>IF(L1115="compact",IF(B1255&lt;=C1255,"OK","NG"),"-")</f>
        <v>-</v>
      </c>
      <c r="E1255" s="607" t="str">
        <f>IF(L1115="compact",C1255/B1255,"-")</f>
        <v>-</v>
      </c>
      <c r="G1255" s="257"/>
      <c r="I1255" s="73"/>
      <c r="J1255" s="73"/>
      <c r="K1255" s="73"/>
      <c r="L1255" s="73"/>
      <c r="M1255" s="73"/>
      <c r="N1255" s="73"/>
      <c r="O1255" s="73"/>
      <c r="P1255" s="73"/>
      <c r="Q1255" s="73"/>
      <c r="R1255" s="73"/>
      <c r="S1255" s="73"/>
      <c r="T1255" s="73"/>
      <c r="U1255" s="73"/>
      <c r="V1255" s="73"/>
      <c r="Z1255" s="143"/>
      <c r="AB1255" s="143"/>
      <c r="AD1255" s="143"/>
      <c r="AE1255" s="143"/>
      <c r="AF1255" s="143"/>
      <c r="AG1255" s="143"/>
      <c r="AH1255" s="143"/>
      <c r="AI1255" s="143"/>
      <c r="AJ1255" s="143"/>
      <c r="AK1255" s="143"/>
      <c r="AL1255" s="143"/>
      <c r="AM1255" s="143"/>
      <c r="AN1255" s="143"/>
      <c r="AO1255" s="143"/>
      <c r="AP1255" s="143"/>
      <c r="AQ1255" s="143"/>
    </row>
    <row r="1256" spans="1:43" ht="15" customHeight="1">
      <c r="A1256" s="593" t="str">
        <f>+input!B18</f>
        <v>108j</v>
      </c>
      <c r="B1256" s="644">
        <f>1.25*(Stress!E64+Stress!F64+Stress!G64+Stress!H64)+1.5*Stress!I64+1.8*IF(B1116="Positive",Stress!J64,Stress!K64)</f>
        <v>89497.790500000003</v>
      </c>
      <c r="C1256" s="644">
        <f>L1049</f>
        <v>130042.64171156453</v>
      </c>
      <c r="D1256" s="647" t="str">
        <f>IF(L1116="compact",IF(B1256&lt;=C1256,"OK","NG"),"-")</f>
        <v>-</v>
      </c>
      <c r="E1256" s="607" t="str">
        <f>IF(L1116="compact",C1256/B1256,"-")</f>
        <v>-</v>
      </c>
      <c r="G1256" s="257"/>
      <c r="I1256" s="73"/>
      <c r="J1256" s="73"/>
      <c r="K1256" s="73"/>
      <c r="L1256" s="73"/>
      <c r="M1256" s="73"/>
      <c r="N1256" s="73"/>
      <c r="O1256" s="73"/>
      <c r="P1256" s="73"/>
      <c r="Q1256" s="73"/>
      <c r="R1256" s="73"/>
      <c r="S1256" s="73"/>
      <c r="T1256" s="73"/>
      <c r="U1256" s="73"/>
      <c r="V1256" s="73"/>
      <c r="Z1256" s="143"/>
      <c r="AB1256" s="143"/>
      <c r="AD1256" s="143"/>
      <c r="AE1256" s="143"/>
      <c r="AF1256" s="143"/>
      <c r="AG1256" s="143"/>
      <c r="AH1256" s="143"/>
      <c r="AI1256" s="143"/>
      <c r="AJ1256" s="143"/>
      <c r="AK1256" s="143"/>
      <c r="AL1256" s="143"/>
      <c r="AM1256" s="143"/>
      <c r="AN1256" s="143"/>
      <c r="AO1256" s="143"/>
      <c r="AP1256" s="143"/>
      <c r="AQ1256" s="143"/>
    </row>
    <row r="1257" spans="1:43" ht="15" customHeight="1">
      <c r="A1257" s="593" t="str">
        <f>+input!B19</f>
        <v>109i</v>
      </c>
      <c r="B1257" s="644">
        <f>1.25*(Stress!E65+Stress!F65+Stress!G65+Stress!H65)+1.5*Stress!I65+1.8*IF(B1117="Positive",Stress!J65,Stress!K65)</f>
        <v>89497.893000000011</v>
      </c>
      <c r="C1257" s="644">
        <f>L1050</f>
        <v>130042.64171156453</v>
      </c>
      <c r="D1257" s="647" t="str">
        <f>IF(L1117="compact",IF(B1257&lt;=C1257,"OK","NG"),"-")</f>
        <v>-</v>
      </c>
      <c r="E1257" s="607" t="str">
        <f>IF(L1117="compact",C1257/B1257,"-")</f>
        <v>-</v>
      </c>
      <c r="G1257" s="257"/>
      <c r="I1257" s="73"/>
      <c r="J1257" s="73"/>
      <c r="K1257" s="73"/>
      <c r="L1257" s="73"/>
      <c r="M1257" s="73"/>
      <c r="N1257" s="73"/>
      <c r="O1257" s="73"/>
      <c r="P1257" s="73"/>
      <c r="Q1257" s="73"/>
      <c r="R1257" s="73"/>
      <c r="S1257" s="73"/>
      <c r="T1257" s="73"/>
      <c r="U1257" s="73"/>
      <c r="V1257" s="73"/>
      <c r="Z1257" s="143"/>
      <c r="AB1257" s="143"/>
      <c r="AD1257" s="143"/>
      <c r="AE1257" s="143"/>
      <c r="AF1257" s="143"/>
      <c r="AG1257" s="143"/>
      <c r="AH1257" s="143"/>
      <c r="AI1257" s="143"/>
      <c r="AJ1257" s="143"/>
      <c r="AK1257" s="143"/>
      <c r="AL1257" s="143"/>
      <c r="AM1257" s="143"/>
      <c r="AN1257" s="143"/>
      <c r="AO1257" s="143"/>
      <c r="AP1257" s="143"/>
      <c r="AQ1257" s="143"/>
    </row>
    <row r="1258" spans="1:43" ht="15" customHeight="1">
      <c r="A1258" s="593" t="str">
        <f>+input!B20</f>
        <v>109j</v>
      </c>
      <c r="B1258" s="644">
        <f>1.25*(Stress!E66+Stress!F66+Stress!G66+Stress!H66)+1.5*Stress!I66+1.8*IF(B1118="Positive",Stress!J66,Stress!K66)</f>
        <v>88640.763000000006</v>
      </c>
      <c r="C1258" s="644">
        <f>L1051</f>
        <v>130042.64171156453</v>
      </c>
      <c r="D1258" s="647" t="str">
        <f>IF(L1118="compact",IF(B1258&lt;=C1258,"OK","NG"),"-")</f>
        <v>-</v>
      </c>
      <c r="E1258" s="607" t="str">
        <f>IF(L1118="compact",C1258/B1258,"-")</f>
        <v>-</v>
      </c>
      <c r="G1258" s="257"/>
      <c r="I1258" s="73"/>
      <c r="J1258" s="73"/>
      <c r="K1258" s="73"/>
      <c r="L1258" s="73"/>
      <c r="M1258" s="73"/>
      <c r="N1258" s="73"/>
      <c r="O1258" s="73"/>
      <c r="P1258" s="73"/>
      <c r="Q1258" s="73"/>
      <c r="R1258" s="73"/>
      <c r="S1258" s="73"/>
      <c r="T1258" s="73"/>
      <c r="U1258" s="73"/>
      <c r="V1258" s="73"/>
      <c r="Z1258" s="143"/>
      <c r="AB1258" s="143"/>
      <c r="AD1258" s="143"/>
      <c r="AE1258" s="143"/>
      <c r="AF1258" s="143"/>
      <c r="AG1258" s="143"/>
      <c r="AH1258" s="143"/>
      <c r="AI1258" s="143"/>
      <c r="AJ1258" s="143"/>
      <c r="AK1258" s="143"/>
      <c r="AL1258" s="143"/>
      <c r="AM1258" s="143"/>
      <c r="AN1258" s="143"/>
      <c r="AO1258" s="143"/>
      <c r="AP1258" s="143"/>
      <c r="AQ1258" s="143"/>
    </row>
    <row r="1259" spans="1:43" ht="15" customHeight="1">
      <c r="A1259" s="593" t="str">
        <f>+input!B21</f>
        <v>110i</v>
      </c>
      <c r="B1259" s="644">
        <f>1.25*(Stress!E67+Stress!F67+Stress!G67+Stress!H67)+1.5*Stress!I67+1.8*IF(B1119="Positive",Stress!J67,Stress!K67)</f>
        <v>88640.85500000001</v>
      </c>
      <c r="C1259" s="644">
        <f>L1052</f>
        <v>130042.64171156453</v>
      </c>
      <c r="D1259" s="647" t="str">
        <f>IF(L1119="compact",IF(B1259&lt;=C1259,"OK","NG"),"-")</f>
        <v>-</v>
      </c>
      <c r="E1259" s="607" t="str">
        <f>IF(L1119="compact",C1259/B1259,"-")</f>
        <v>-</v>
      </c>
      <c r="G1259" s="257"/>
      <c r="I1259" s="73"/>
      <c r="J1259" s="73"/>
      <c r="K1259" s="73"/>
      <c r="L1259" s="73"/>
      <c r="M1259" s="73"/>
      <c r="N1259" s="73"/>
      <c r="O1259" s="73"/>
      <c r="P1259" s="73"/>
      <c r="Q1259" s="73"/>
      <c r="R1259" s="73"/>
      <c r="S1259" s="73"/>
      <c r="T1259" s="73"/>
      <c r="U1259" s="73"/>
      <c r="V1259" s="73"/>
      <c r="Z1259" s="143"/>
      <c r="AB1259" s="143"/>
      <c r="AD1259" s="143"/>
      <c r="AE1259" s="143"/>
      <c r="AF1259" s="143"/>
      <c r="AG1259" s="143"/>
      <c r="AH1259" s="143"/>
      <c r="AI1259" s="143"/>
      <c r="AJ1259" s="143"/>
      <c r="AK1259" s="143"/>
      <c r="AL1259" s="143"/>
      <c r="AM1259" s="143"/>
      <c r="AN1259" s="143"/>
      <c r="AO1259" s="143"/>
      <c r="AP1259" s="143"/>
      <c r="AQ1259" s="143"/>
    </row>
    <row r="1260" spans="1:43" ht="15" customHeight="1">
      <c r="A1260" s="593" t="str">
        <f>+input!B22</f>
        <v>110j</v>
      </c>
      <c r="B1260" s="644">
        <f>1.25*(Stress!E68+Stress!F68+Stress!G68+Stress!H68)+1.5*Stress!I68+1.8*IF(B1120="Positive",Stress!J68,Stress!K68)</f>
        <v>83281.955000000002</v>
      </c>
      <c r="C1260" s="644">
        <f>L1053</f>
        <v>130042.64171156453</v>
      </c>
      <c r="D1260" s="647" t="str">
        <f>IF(L1120="compact",IF(B1260&lt;=C1260,"OK","NG"),"-")</f>
        <v>-</v>
      </c>
      <c r="E1260" s="607" t="str">
        <f>IF(L1120="compact",C1260/B1260,"-")</f>
        <v>-</v>
      </c>
      <c r="G1260" s="257"/>
      <c r="I1260" s="73"/>
      <c r="J1260" s="73"/>
      <c r="K1260" s="73"/>
      <c r="L1260" s="73"/>
      <c r="M1260" s="73"/>
      <c r="N1260" s="73"/>
      <c r="O1260" s="73"/>
      <c r="P1260" s="73"/>
      <c r="Q1260" s="73"/>
      <c r="R1260" s="73"/>
      <c r="S1260" s="73"/>
      <c r="T1260" s="73"/>
      <c r="U1260" s="73"/>
      <c r="V1260" s="73"/>
      <c r="Z1260" s="143"/>
      <c r="AB1260" s="143"/>
      <c r="AD1260" s="143"/>
      <c r="AE1260" s="143"/>
      <c r="AF1260" s="143"/>
      <c r="AG1260" s="143"/>
      <c r="AH1260" s="143"/>
      <c r="AI1260" s="143"/>
      <c r="AJ1260" s="143"/>
      <c r="AK1260" s="143"/>
      <c r="AL1260" s="143"/>
      <c r="AM1260" s="143"/>
      <c r="AN1260" s="143"/>
      <c r="AO1260" s="143"/>
      <c r="AP1260" s="143"/>
      <c r="AQ1260" s="143"/>
    </row>
    <row r="1261" spans="1:43" ht="15" customHeight="1">
      <c r="A1261" s="593" t="str">
        <f>+input!B23</f>
        <v>111i</v>
      </c>
      <c r="B1261" s="644">
        <f>1.25*(Stress!E69+Stress!F69+Stress!G69+Stress!H69)+1.5*Stress!I69+1.8*IF(B1121="Positive",Stress!J69,Stress!K69)</f>
        <v>83281.944999999992</v>
      </c>
      <c r="C1261" s="644">
        <f>L1054</f>
        <v>130042.64171156453</v>
      </c>
      <c r="D1261" s="647" t="str">
        <f>IF(L1121="compact",IF(B1261&lt;=C1261,"OK","NG"),"-")</f>
        <v>-</v>
      </c>
      <c r="E1261" s="607" t="str">
        <f>IF(L1121="compact",C1261/B1261,"-")</f>
        <v>-</v>
      </c>
      <c r="G1261" s="257"/>
      <c r="I1261" s="73"/>
      <c r="J1261" s="73"/>
      <c r="K1261" s="73"/>
      <c r="L1261" s="73"/>
      <c r="M1261" s="73"/>
      <c r="N1261" s="73"/>
      <c r="O1261" s="73"/>
      <c r="P1261" s="73"/>
      <c r="Q1261" s="73"/>
      <c r="R1261" s="73"/>
      <c r="S1261" s="73"/>
      <c r="T1261" s="73"/>
      <c r="U1261" s="73"/>
      <c r="V1261" s="73"/>
      <c r="Z1261" s="143"/>
      <c r="AB1261" s="143"/>
      <c r="AD1261" s="143"/>
      <c r="AE1261" s="143"/>
      <c r="AF1261" s="143"/>
      <c r="AG1261" s="143"/>
      <c r="AH1261" s="143"/>
      <c r="AI1261" s="143"/>
      <c r="AJ1261" s="143"/>
      <c r="AK1261" s="143"/>
      <c r="AL1261" s="143"/>
      <c r="AM1261" s="143"/>
      <c r="AN1261" s="143"/>
      <c r="AO1261" s="143"/>
      <c r="AP1261" s="143"/>
      <c r="AQ1261" s="143"/>
    </row>
    <row r="1262" spans="1:43" ht="15" customHeight="1">
      <c r="A1262" s="593" t="str">
        <f>+input!B24</f>
        <v>111j</v>
      </c>
      <c r="B1262" s="644">
        <f>1.25*(Stress!E70+Stress!F70+Stress!G70+Stress!H70)+1.5*Stress!I70+1.8*IF(B1122="Positive",Stress!J70,Stress!K70)</f>
        <v>73354.997499999998</v>
      </c>
      <c r="C1262" s="644">
        <f>L1055</f>
        <v>130042.64171156453</v>
      </c>
      <c r="D1262" s="647" t="str">
        <f>IF(L1122="compact",IF(B1262&lt;=C1262,"OK","NG"),"-")</f>
        <v>-</v>
      </c>
      <c r="E1262" s="607" t="str">
        <f>IF(L1122="compact",C1262/B1262,"-")</f>
        <v>-</v>
      </c>
      <c r="G1262" s="257"/>
      <c r="I1262" s="73"/>
      <c r="J1262" s="73"/>
      <c r="K1262" s="73"/>
      <c r="L1262" s="73"/>
      <c r="M1262" s="73"/>
      <c r="N1262" s="73"/>
      <c r="O1262" s="73"/>
      <c r="P1262" s="73"/>
      <c r="Q1262" s="73"/>
      <c r="R1262" s="73"/>
      <c r="S1262" s="73"/>
      <c r="T1262" s="73"/>
      <c r="U1262" s="73"/>
      <c r="V1262" s="73"/>
      <c r="Z1262" s="143"/>
      <c r="AB1262" s="143"/>
      <c r="AD1262" s="143"/>
      <c r="AE1262" s="143"/>
      <c r="AF1262" s="143"/>
      <c r="AG1262" s="143"/>
      <c r="AH1262" s="143"/>
      <c r="AI1262" s="143"/>
      <c r="AJ1262" s="143"/>
      <c r="AK1262" s="143"/>
      <c r="AL1262" s="143"/>
      <c r="AM1262" s="143"/>
      <c r="AN1262" s="143"/>
      <c r="AO1262" s="143"/>
      <c r="AP1262" s="143"/>
      <c r="AQ1262" s="143"/>
    </row>
    <row r="1263" spans="1:43" ht="15" customHeight="1">
      <c r="A1263" s="593" t="str">
        <f>+input!B25</f>
        <v>112i</v>
      </c>
      <c r="B1263" s="644">
        <f>1.25*(Stress!E71+Stress!F71+Stress!G71+Stress!H71)+1.5*Stress!I71+1.8*IF(B1123="Positive",Stress!J71,Stress!K71)</f>
        <v>73355.107499999998</v>
      </c>
      <c r="C1263" s="644">
        <f>L1056</f>
        <v>113143.94768355771</v>
      </c>
      <c r="D1263" s="647" t="str">
        <f>IF(L1123="compact",IF(B1263&lt;=C1263,"OK","NG"),"-")</f>
        <v>-</v>
      </c>
      <c r="E1263" s="607" t="str">
        <f>IF(L1123="compact",C1263/B1263,"-")</f>
        <v>-</v>
      </c>
      <c r="G1263" s="257"/>
      <c r="I1263" s="73"/>
      <c r="J1263" s="73"/>
      <c r="K1263" s="73"/>
      <c r="L1263" s="73"/>
      <c r="M1263" s="73"/>
      <c r="N1263" s="73"/>
      <c r="O1263" s="73"/>
      <c r="P1263" s="73"/>
      <c r="Q1263" s="73"/>
      <c r="R1263" s="73"/>
      <c r="S1263" s="73"/>
      <c r="T1263" s="73"/>
      <c r="U1263" s="73"/>
      <c r="V1263" s="73"/>
      <c r="Z1263" s="143"/>
      <c r="AB1263" s="143"/>
      <c r="AD1263" s="143"/>
      <c r="AE1263" s="143"/>
      <c r="AF1263" s="143"/>
      <c r="AG1263" s="143"/>
      <c r="AH1263" s="143"/>
      <c r="AI1263" s="143"/>
      <c r="AJ1263" s="143"/>
      <c r="AK1263" s="143"/>
      <c r="AL1263" s="143"/>
      <c r="AM1263" s="143"/>
      <c r="AN1263" s="143"/>
      <c r="AO1263" s="143"/>
      <c r="AP1263" s="143"/>
      <c r="AQ1263" s="143"/>
    </row>
    <row r="1264" spans="1:43" ht="15" customHeight="1">
      <c r="A1264" s="593" t="str">
        <f>+input!B26</f>
        <v>112j</v>
      </c>
      <c r="B1264" s="644">
        <f>1.25*(Stress!E72+Stress!F72+Stress!G72+Stress!H72)+1.5*Stress!I72+1.8*IF(B1124="Positive",Stress!J72,Stress!K72)</f>
        <v>60230.861000000004</v>
      </c>
      <c r="C1264" s="644">
        <f>L1057</f>
        <v>113143.94768355771</v>
      </c>
      <c r="D1264" s="647" t="str">
        <f>IF(L1124="compact",IF(B1264&lt;=C1264,"OK","NG"),"-")</f>
        <v>-</v>
      </c>
      <c r="E1264" s="607" t="str">
        <f>IF(L1124="compact",C1264/B1264,"-")</f>
        <v>-</v>
      </c>
      <c r="G1264" s="257"/>
      <c r="I1264" s="73"/>
      <c r="J1264" s="73"/>
      <c r="K1264" s="73"/>
      <c r="L1264" s="73"/>
      <c r="M1264" s="73"/>
      <c r="N1264" s="73"/>
      <c r="O1264" s="73"/>
      <c r="P1264" s="73"/>
      <c r="Q1264" s="73"/>
      <c r="R1264" s="73"/>
      <c r="S1264" s="73"/>
      <c r="T1264" s="73"/>
      <c r="U1264" s="73"/>
      <c r="V1264" s="73"/>
      <c r="Z1264" s="143"/>
      <c r="AB1264" s="143"/>
      <c r="AD1264" s="143"/>
      <c r="AE1264" s="143"/>
      <c r="AF1264" s="143"/>
      <c r="AG1264" s="143"/>
      <c r="AH1264" s="143"/>
      <c r="AI1264" s="143"/>
      <c r="AJ1264" s="143"/>
      <c r="AK1264" s="143"/>
      <c r="AL1264" s="143"/>
      <c r="AM1264" s="143"/>
      <c r="AN1264" s="143"/>
      <c r="AO1264" s="143"/>
      <c r="AP1264" s="143"/>
      <c r="AQ1264" s="143"/>
    </row>
    <row r="1265" spans="1:43" ht="15" customHeight="1">
      <c r="A1265" s="593" t="str">
        <f>+input!B27</f>
        <v>113i</v>
      </c>
      <c r="B1265" s="644">
        <f>1.25*(Stress!E73+Stress!F73+Stress!G73+Stress!H73)+1.5*Stress!I73+1.8*IF(B1125="Positive",Stress!J73,Stress!K73)</f>
        <v>60231.040999999997</v>
      </c>
      <c r="C1265" s="644">
        <f>L1058</f>
        <v>113115.6492133463</v>
      </c>
      <c r="D1265" s="647" t="str">
        <f>IF(L1125="compact",IF(B1265&lt;=C1265,"OK","NG"),"-")</f>
        <v>-</v>
      </c>
      <c r="E1265" s="607" t="str">
        <f>IF(L1125="compact",C1265/B1265,"-")</f>
        <v>-</v>
      </c>
      <c r="G1265" s="257"/>
      <c r="I1265" s="73"/>
      <c r="J1265" s="73"/>
      <c r="K1265" s="73"/>
      <c r="L1265" s="73"/>
      <c r="M1265" s="73"/>
      <c r="N1265" s="73"/>
      <c r="O1265" s="73"/>
      <c r="P1265" s="73"/>
      <c r="Q1265" s="73"/>
      <c r="R1265" s="73"/>
      <c r="S1265" s="73"/>
      <c r="T1265" s="73"/>
      <c r="U1265" s="73"/>
      <c r="V1265" s="73"/>
      <c r="Z1265" s="143"/>
      <c r="AB1265" s="143"/>
      <c r="AD1265" s="143"/>
      <c r="AE1265" s="143"/>
      <c r="AF1265" s="143"/>
      <c r="AG1265" s="143"/>
      <c r="AH1265" s="143"/>
      <c r="AI1265" s="143"/>
      <c r="AJ1265" s="143"/>
      <c r="AK1265" s="143"/>
      <c r="AL1265" s="143"/>
      <c r="AM1265" s="143"/>
      <c r="AN1265" s="143"/>
      <c r="AO1265" s="143"/>
      <c r="AP1265" s="143"/>
      <c r="AQ1265" s="143"/>
    </row>
    <row r="1266" spans="1:43" ht="15" customHeight="1">
      <c r="A1266" s="593" t="str">
        <f>+input!B28</f>
        <v>113j</v>
      </c>
      <c r="B1266" s="644">
        <f>1.25*(Stress!E74+Stress!F74+Stress!G74+Stress!H74)+1.5*Stress!I74+1.8*IF(B1126="Positive",Stress!J74,Stress!K74)</f>
        <v>42321.550999999999</v>
      </c>
      <c r="C1266" s="644">
        <f>L1059</f>
        <v>113115.6492133463</v>
      </c>
      <c r="D1266" s="647" t="str">
        <f>IF(L1126="compact",IF(B1266&lt;=C1266,"OK","NG"),"-")</f>
        <v>-</v>
      </c>
      <c r="E1266" s="607" t="str">
        <f>IF(L1126="compact",C1266/B1266,"-")</f>
        <v>-</v>
      </c>
      <c r="G1266" s="257"/>
      <c r="I1266" s="73"/>
      <c r="J1266" s="73"/>
      <c r="K1266" s="73"/>
      <c r="L1266" s="73"/>
      <c r="M1266" s="73"/>
      <c r="N1266" s="73"/>
      <c r="O1266" s="73"/>
      <c r="P1266" s="73"/>
      <c r="Q1266" s="73"/>
      <c r="R1266" s="73"/>
      <c r="S1266" s="73"/>
      <c r="T1266" s="73"/>
      <c r="U1266" s="73"/>
      <c r="V1266" s="73"/>
      <c r="Z1266" s="143"/>
      <c r="AB1266" s="143"/>
      <c r="AD1266" s="143"/>
      <c r="AE1266" s="143"/>
      <c r="AF1266" s="143"/>
      <c r="AG1266" s="143"/>
      <c r="AH1266" s="143"/>
      <c r="AI1266" s="143"/>
      <c r="AJ1266" s="143"/>
      <c r="AK1266" s="143"/>
      <c r="AL1266" s="143"/>
      <c r="AM1266" s="143"/>
      <c r="AN1266" s="143"/>
      <c r="AO1266" s="143"/>
      <c r="AP1266" s="143"/>
      <c r="AQ1266" s="143"/>
    </row>
    <row r="1267" spans="1:43" ht="15" customHeight="1">
      <c r="A1267" s="593" t="str">
        <f>+input!B29</f>
        <v>114i</v>
      </c>
      <c r="B1267" s="644">
        <f>1.25*(Stress!E75+Stress!F75+Stress!G75+Stress!H75)+1.5*Stress!I75+1.8*IF(B1127="Positive",Stress!J75,Stress!K75)</f>
        <v>42321.611000000004</v>
      </c>
      <c r="C1267" s="644">
        <f>L1060</f>
        <v>113115.6492133463</v>
      </c>
      <c r="D1267" s="647" t="str">
        <f>IF(L1127="compact",IF(B1267&lt;=C1267,"OK","NG"),"-")</f>
        <v>-</v>
      </c>
      <c r="E1267" s="607" t="str">
        <f>IF(L1127="compact",C1267/B1267,"-")</f>
        <v>-</v>
      </c>
      <c r="G1267" s="257"/>
      <c r="I1267" s="73"/>
      <c r="J1267" s="73"/>
      <c r="K1267" s="73"/>
      <c r="L1267" s="73"/>
      <c r="M1267" s="73"/>
      <c r="N1267" s="73"/>
      <c r="O1267" s="73"/>
      <c r="P1267" s="73"/>
      <c r="Q1267" s="73"/>
      <c r="R1267" s="73"/>
      <c r="S1267" s="73"/>
      <c r="T1267" s="73"/>
      <c r="U1267" s="73"/>
      <c r="V1267" s="73"/>
      <c r="Z1267" s="143"/>
      <c r="AB1267" s="143"/>
      <c r="AD1267" s="143"/>
      <c r="AE1267" s="143"/>
      <c r="AF1267" s="143"/>
      <c r="AG1267" s="143"/>
      <c r="AH1267" s="143"/>
      <c r="AI1267" s="143"/>
      <c r="AJ1267" s="143"/>
      <c r="AK1267" s="143"/>
      <c r="AL1267" s="143"/>
      <c r="AM1267" s="143"/>
      <c r="AN1267" s="143"/>
      <c r="AO1267" s="143"/>
      <c r="AP1267" s="143"/>
      <c r="AQ1267" s="143"/>
    </row>
    <row r="1268" spans="1:43" ht="15" customHeight="1">
      <c r="A1268" s="593" t="str">
        <f>+input!B30</f>
        <v>114j</v>
      </c>
      <c r="B1268" s="644">
        <f>1.25*(Stress!E76+Stress!F76+Stress!G76+Stress!H76)+1.5*Stress!I76+1.8*IF(B1128="Positive",Stress!J76,Stress!K76)</f>
        <v>21555.933000000001</v>
      </c>
      <c r="C1268" s="644">
        <f>L1061</f>
        <v>113115.6492133463</v>
      </c>
      <c r="D1268" s="647" t="str">
        <f>IF(L1128="compact",IF(B1268&lt;=C1268,"OK","NG"),"-")</f>
        <v>-</v>
      </c>
      <c r="E1268" s="607" t="str">
        <f>IF(L1128="compact",C1268/B1268,"-")</f>
        <v>-</v>
      </c>
      <c r="G1268" s="257"/>
      <c r="I1268" s="73"/>
      <c r="J1268" s="73"/>
      <c r="K1268" s="73"/>
      <c r="L1268" s="73"/>
      <c r="M1268" s="73"/>
      <c r="N1268" s="73"/>
      <c r="O1268" s="73"/>
      <c r="P1268" s="73"/>
      <c r="Q1268" s="73"/>
      <c r="R1268" s="73"/>
      <c r="S1268" s="73"/>
      <c r="T1268" s="73"/>
      <c r="U1268" s="73"/>
      <c r="V1268" s="73"/>
      <c r="Z1268" s="143"/>
      <c r="AB1268" s="143"/>
      <c r="AD1268" s="143"/>
      <c r="AE1268" s="143"/>
      <c r="AF1268" s="143"/>
      <c r="AG1268" s="143"/>
      <c r="AH1268" s="143"/>
      <c r="AI1268" s="143"/>
      <c r="AJ1268" s="143"/>
      <c r="AK1268" s="143"/>
      <c r="AL1268" s="143"/>
      <c r="AM1268" s="143"/>
      <c r="AN1268" s="143"/>
      <c r="AO1268" s="143"/>
      <c r="AP1268" s="143"/>
      <c r="AQ1268" s="143"/>
    </row>
    <row r="1269" spans="1:43" ht="15" customHeight="1">
      <c r="A1269" s="593" t="str">
        <f>+input!B31</f>
        <v>115i</v>
      </c>
      <c r="B1269" s="644">
        <f>1.25*(Stress!E77+Stress!F77+Stress!G77+Stress!H77)+1.5*Stress!I77+1.8*IF(B1129="Positive",Stress!J77,Stress!K77)</f>
        <v>21555.845499999999</v>
      </c>
      <c r="C1269" s="644">
        <f>L1062</f>
        <v>83756.40301645358</v>
      </c>
      <c r="D1269" s="647" t="str">
        <f>IF(L1129="compact",IF(B1269&lt;=C1269,"OK","NG"),"-")</f>
        <v>-</v>
      </c>
      <c r="E1269" s="607" t="str">
        <f>IF(L1129="compact",C1269/B1269,"-")</f>
        <v>-</v>
      </c>
      <c r="G1269" s="257"/>
      <c r="I1269" s="73"/>
      <c r="J1269" s="73"/>
      <c r="K1269" s="73"/>
      <c r="L1269" s="73"/>
      <c r="M1269" s="73"/>
      <c r="N1269" s="73"/>
      <c r="O1269" s="73"/>
      <c r="P1269" s="73"/>
      <c r="Q1269" s="73"/>
      <c r="R1269" s="73"/>
      <c r="S1269" s="73"/>
      <c r="T1269" s="73"/>
      <c r="U1269" s="73"/>
      <c r="V1269" s="73"/>
      <c r="Z1269" s="143"/>
      <c r="AB1269" s="143"/>
      <c r="AD1269" s="143"/>
      <c r="AE1269" s="143"/>
      <c r="AF1269" s="143"/>
      <c r="AG1269" s="143"/>
      <c r="AH1269" s="143"/>
      <c r="AI1269" s="143"/>
      <c r="AJ1269" s="143"/>
      <c r="AK1269" s="143"/>
      <c r="AL1269" s="143"/>
      <c r="AM1269" s="143"/>
      <c r="AN1269" s="143"/>
      <c r="AO1269" s="143"/>
      <c r="AP1269" s="143"/>
      <c r="AQ1269" s="143"/>
    </row>
    <row r="1270" spans="1:43" ht="15" customHeight="1">
      <c r="A1270" s="593" t="str">
        <f>+input!B32</f>
        <v>115j</v>
      </c>
      <c r="B1270" s="644">
        <f>1.25*(Stress!E78+Stress!F78+Stress!G78+Stress!H78)+1.5*Stress!I78+1.8*IF(B1130="Positive",Stress!J78,Stress!K78)</f>
        <v>-19300.044999999998</v>
      </c>
      <c r="C1270" s="644">
        <f>L1063</f>
        <v>43367.731940758145</v>
      </c>
      <c r="D1270" s="647" t="str">
        <f>IF(L1130="compact",IF(B1270&lt;=C1270,"OK","NG"),"-")</f>
        <v>-</v>
      </c>
      <c r="E1270" s="607" t="str">
        <f>IF(L1130="compact",C1270/B1270,"-")</f>
        <v>-</v>
      </c>
      <c r="G1270" s="257"/>
      <c r="I1270" s="73"/>
      <c r="J1270" s="73"/>
      <c r="K1270" s="73"/>
      <c r="L1270" s="73"/>
      <c r="M1270" s="73"/>
      <c r="N1270" s="73"/>
      <c r="O1270" s="73"/>
      <c r="P1270" s="73"/>
      <c r="Q1270" s="73"/>
      <c r="R1270" s="73"/>
      <c r="S1270" s="73"/>
      <c r="T1270" s="73"/>
      <c r="U1270" s="73"/>
      <c r="V1270" s="73"/>
      <c r="Z1270" s="143"/>
      <c r="AB1270" s="143"/>
      <c r="AD1270" s="143"/>
      <c r="AE1270" s="143"/>
      <c r="AF1270" s="143"/>
      <c r="AG1270" s="143"/>
      <c r="AH1270" s="143"/>
      <c r="AI1270" s="143"/>
      <c r="AJ1270" s="143"/>
      <c r="AK1270" s="143"/>
      <c r="AL1270" s="143"/>
      <c r="AM1270" s="143"/>
      <c r="AN1270" s="143"/>
      <c r="AO1270" s="143"/>
      <c r="AP1270" s="143"/>
      <c r="AQ1270" s="143"/>
    </row>
    <row r="1271" spans="1:43" ht="15" customHeight="1">
      <c r="A1271" s="593" t="str">
        <f>+input!B33</f>
        <v>116i</v>
      </c>
      <c r="B1271" s="644">
        <f>1.25*(Stress!E79+Stress!F79+Stress!G79+Stress!H79)+1.5*Stress!I79+1.8*IF(B1131="Positive",Stress!J79,Stress!K79)</f>
        <v>-19300.057500000003</v>
      </c>
      <c r="C1271" s="644">
        <f>L1064</f>
        <v>52945.58194170786</v>
      </c>
      <c r="D1271" s="647" t="str">
        <f>IF(L1131="compact",IF(B1271&lt;=C1271,"OK","NG"),"-")</f>
        <v>-</v>
      </c>
      <c r="E1271" s="607" t="str">
        <f>IF(L1131="compact",C1271/B1271,"-")</f>
        <v>-</v>
      </c>
      <c r="G1271" s="257"/>
      <c r="I1271" s="73"/>
      <c r="J1271" s="73"/>
      <c r="K1271" s="73"/>
      <c r="L1271" s="73"/>
      <c r="M1271" s="73"/>
      <c r="N1271" s="73"/>
      <c r="O1271" s="73"/>
      <c r="P1271" s="73"/>
      <c r="Q1271" s="73"/>
      <c r="R1271" s="73"/>
      <c r="S1271" s="73"/>
      <c r="T1271" s="73"/>
      <c r="U1271" s="73"/>
      <c r="V1271" s="73"/>
      <c r="Z1271" s="143"/>
      <c r="AB1271" s="143"/>
      <c r="AD1271" s="143"/>
      <c r="AE1271" s="143"/>
      <c r="AF1271" s="143"/>
      <c r="AG1271" s="143"/>
      <c r="AH1271" s="143"/>
      <c r="AI1271" s="143"/>
      <c r="AJ1271" s="143"/>
      <c r="AK1271" s="143"/>
      <c r="AL1271" s="143"/>
      <c r="AM1271" s="143"/>
      <c r="AN1271" s="143"/>
      <c r="AO1271" s="143"/>
      <c r="AP1271" s="143"/>
      <c r="AQ1271" s="143"/>
    </row>
    <row r="1272" spans="1:43" ht="15" customHeight="1">
      <c r="A1272" s="593" t="str">
        <f>+input!B34</f>
        <v>116j</v>
      </c>
      <c r="B1272" s="644">
        <f>1.25*(Stress!E80+Stress!F80+Stress!G80+Stress!H80)+1.5*Stress!I80+1.8*IF(B1132="Positive",Stress!J80,Stress!K80)</f>
        <v>-43945.677000000011</v>
      </c>
      <c r="C1272" s="644">
        <f>L1065</f>
        <v>52945.58194170786</v>
      </c>
      <c r="D1272" s="647" t="str">
        <f>IF(L1132="compact",IF(B1272&lt;=C1272,"OK","NG"),"-")</f>
        <v>-</v>
      </c>
      <c r="E1272" s="607" t="str">
        <f>IF(L1132="compact",C1272/B1272,"-")</f>
        <v>-</v>
      </c>
      <c r="G1272" s="257"/>
      <c r="I1272" s="73"/>
      <c r="J1272" s="73"/>
      <c r="K1272" s="73"/>
      <c r="L1272" s="73"/>
      <c r="M1272" s="73"/>
      <c r="N1272" s="73"/>
      <c r="O1272" s="73"/>
      <c r="P1272" s="73"/>
      <c r="Q1272" s="73"/>
      <c r="R1272" s="73"/>
      <c r="S1272" s="73"/>
      <c r="T1272" s="73"/>
      <c r="U1272" s="73"/>
      <c r="V1272" s="73"/>
      <c r="Z1272" s="143"/>
      <c r="AB1272" s="143"/>
      <c r="AD1272" s="143"/>
      <c r="AE1272" s="143"/>
      <c r="AF1272" s="143"/>
      <c r="AG1272" s="143"/>
      <c r="AH1272" s="143"/>
      <c r="AI1272" s="143"/>
      <c r="AJ1272" s="143"/>
      <c r="AK1272" s="143"/>
      <c r="AL1272" s="143"/>
      <c r="AM1272" s="143"/>
      <c r="AN1272" s="143"/>
      <c r="AO1272" s="143"/>
      <c r="AP1272" s="143"/>
      <c r="AQ1272" s="143"/>
    </row>
    <row r="1273" spans="1:43" ht="15" customHeight="1">
      <c r="A1273" s="593" t="str">
        <f>+input!B35</f>
        <v>117i</v>
      </c>
      <c r="B1273" s="644">
        <f>1.25*(Stress!E81+Stress!F81+Stress!G81+Stress!H81)+1.5*Stress!I81+1.8*IF(B1133="Positive",Stress!J81,Stress!K81)</f>
        <v>-43945.630000000005</v>
      </c>
      <c r="C1273" s="644">
        <f>L1066</f>
        <v>111833.29968346468</v>
      </c>
      <c r="D1273" s="647" t="str">
        <f>IF(L1133="compact",IF(B1273&lt;=C1273,"OK","NG"),"-")</f>
        <v>-</v>
      </c>
      <c r="E1273" s="607" t="str">
        <f>IF(L1133="compact",C1273/B1273,"-")</f>
        <v>-</v>
      </c>
      <c r="G1273" s="257"/>
      <c r="I1273" s="73"/>
      <c r="J1273" s="73"/>
      <c r="K1273" s="73"/>
      <c r="L1273" s="73"/>
      <c r="M1273" s="73"/>
      <c r="N1273" s="73"/>
      <c r="O1273" s="73"/>
      <c r="P1273" s="73"/>
      <c r="Q1273" s="73"/>
      <c r="R1273" s="73"/>
      <c r="S1273" s="73"/>
      <c r="T1273" s="73"/>
      <c r="U1273" s="73"/>
      <c r="V1273" s="73"/>
      <c r="Z1273" s="143"/>
      <c r="AB1273" s="143"/>
      <c r="AD1273" s="143"/>
      <c r="AE1273" s="143"/>
      <c r="AF1273" s="143"/>
      <c r="AG1273" s="143"/>
      <c r="AH1273" s="143"/>
      <c r="AI1273" s="143"/>
      <c r="AJ1273" s="143"/>
      <c r="AK1273" s="143"/>
      <c r="AL1273" s="143"/>
      <c r="AM1273" s="143"/>
      <c r="AN1273" s="143"/>
      <c r="AO1273" s="143"/>
      <c r="AP1273" s="143"/>
      <c r="AQ1273" s="143"/>
    </row>
    <row r="1274" spans="1:43" ht="15" customHeight="1">
      <c r="A1274" s="593" t="str">
        <f>+input!B36</f>
        <v>117j</v>
      </c>
      <c r="B1274" s="644">
        <f>1.25*(Stress!E82+Stress!F82+Stress!G82+Stress!H82)+1.5*Stress!I82+1.8*IF(B1134="Positive",Stress!J82,Stress!K82)</f>
        <v>-76746.111499999999</v>
      </c>
      <c r="C1274" s="644">
        <f>L1067</f>
        <v>109767.64951328484</v>
      </c>
      <c r="D1274" s="647" t="str">
        <f>IF(L1134="compact",IF(B1274&lt;=C1274,"OK","NG"),"-")</f>
        <v>-</v>
      </c>
      <c r="E1274" s="607" t="str">
        <f>IF(L1134="compact",C1274/B1274,"-")</f>
        <v>-</v>
      </c>
      <c r="G1274" s="257"/>
      <c r="I1274" s="73"/>
      <c r="J1274" s="73"/>
      <c r="K1274" s="73"/>
      <c r="L1274" s="73"/>
      <c r="M1274" s="73"/>
      <c r="N1274" s="73"/>
      <c r="O1274" s="73"/>
      <c r="P1274" s="73"/>
      <c r="Q1274" s="73"/>
      <c r="R1274" s="73"/>
      <c r="S1274" s="73"/>
      <c r="T1274" s="73"/>
      <c r="U1274" s="73"/>
      <c r="V1274" s="73"/>
      <c r="Z1274" s="143"/>
      <c r="AB1274" s="143"/>
      <c r="AD1274" s="143"/>
      <c r="AE1274" s="143"/>
      <c r="AF1274" s="143"/>
      <c r="AG1274" s="143"/>
      <c r="AH1274" s="143"/>
      <c r="AI1274" s="143"/>
      <c r="AJ1274" s="143"/>
      <c r="AK1274" s="143"/>
      <c r="AL1274" s="143"/>
      <c r="AM1274" s="143"/>
      <c r="AN1274" s="143"/>
      <c r="AO1274" s="143"/>
      <c r="AP1274" s="143"/>
      <c r="AQ1274" s="143"/>
    </row>
    <row r="1275" spans="1:43" ht="15" customHeight="1">
      <c r="A1275" s="593" t="str">
        <f>+input!B37</f>
        <v>118i</v>
      </c>
      <c r="B1275" s="644">
        <f>1.25*(Stress!E83+Stress!F83+Stress!G83+Stress!H83)+1.5*Stress!I83+1.8*IF(B1135="Positive",Stress!J83,Stress!K83)</f>
        <v>-76746.051500000001</v>
      </c>
      <c r="C1275" s="644">
        <f>L1068</f>
        <v>161123.19717351606</v>
      </c>
      <c r="D1275" s="647" t="str">
        <f>IF(L1135="compact",IF(B1275&lt;=C1275,"OK","NG"),"-")</f>
        <v>-</v>
      </c>
      <c r="E1275" s="607" t="str">
        <f>IF(L1135="compact",C1275/B1275,"-")</f>
        <v>-</v>
      </c>
      <c r="G1275" s="257"/>
      <c r="I1275" s="73"/>
      <c r="J1275" s="73"/>
      <c r="K1275" s="73"/>
      <c r="L1275" s="73"/>
      <c r="M1275" s="73"/>
      <c r="N1275" s="73"/>
      <c r="O1275" s="73"/>
      <c r="P1275" s="73"/>
      <c r="Q1275" s="73"/>
      <c r="R1275" s="73"/>
      <c r="S1275" s="73"/>
      <c r="T1275" s="73"/>
      <c r="U1275" s="73"/>
      <c r="V1275" s="73"/>
      <c r="Z1275" s="143"/>
      <c r="AB1275" s="143"/>
      <c r="AD1275" s="143"/>
      <c r="AE1275" s="143"/>
      <c r="AF1275" s="143"/>
      <c r="AG1275" s="143"/>
      <c r="AH1275" s="143"/>
      <c r="AI1275" s="143"/>
      <c r="AJ1275" s="143"/>
      <c r="AK1275" s="143"/>
      <c r="AL1275" s="143"/>
      <c r="AM1275" s="143"/>
      <c r="AN1275" s="143"/>
      <c r="AO1275" s="143"/>
      <c r="AP1275" s="143"/>
      <c r="AQ1275" s="143"/>
    </row>
    <row r="1276" spans="1:43" ht="15" customHeight="1">
      <c r="A1276" s="593" t="str">
        <f>+input!B38</f>
        <v>118j</v>
      </c>
      <c r="B1276" s="644">
        <f>1.25*(Stress!E84+Stress!F84+Stress!G84+Stress!H84)+1.5*Stress!I84+1.8*IF(B1136="Positive",Stress!J84,Stress!K84)</f>
        <v>-102672.22149999999</v>
      </c>
      <c r="C1276" s="644">
        <f>L1069</f>
        <v>161123.19717351606</v>
      </c>
      <c r="D1276" s="647" t="str">
        <f>IF(L1136="compact",IF(B1276&lt;=C1276,"OK","NG"),"-")</f>
        <v>-</v>
      </c>
      <c r="E1276" s="607" t="str">
        <f>IF(L1136="compact",C1276/B1276,"-")</f>
        <v>-</v>
      </c>
      <c r="G1276" s="257"/>
      <c r="I1276" s="73"/>
      <c r="J1276" s="73"/>
      <c r="K1276" s="73"/>
      <c r="L1276" s="73"/>
      <c r="M1276" s="73"/>
      <c r="N1276" s="73"/>
      <c r="O1276" s="73"/>
      <c r="P1276" s="73"/>
      <c r="Q1276" s="73"/>
      <c r="R1276" s="73"/>
      <c r="S1276" s="73"/>
      <c r="T1276" s="73"/>
      <c r="U1276" s="73"/>
      <c r="V1276" s="73"/>
      <c r="Z1276" s="143"/>
      <c r="AB1276" s="143"/>
      <c r="AD1276" s="143"/>
      <c r="AE1276" s="143"/>
      <c r="AF1276" s="143"/>
      <c r="AG1276" s="143"/>
      <c r="AH1276" s="143"/>
      <c r="AI1276" s="143"/>
      <c r="AJ1276" s="143"/>
      <c r="AK1276" s="143"/>
      <c r="AL1276" s="143"/>
      <c r="AM1276" s="143"/>
      <c r="AN1276" s="143"/>
      <c r="AO1276" s="143"/>
      <c r="AP1276" s="143"/>
      <c r="AQ1276" s="143"/>
    </row>
    <row r="1277" spans="1:43" ht="15" customHeight="1">
      <c r="A1277" s="593" t="str">
        <f>+input!B39</f>
        <v>119i</v>
      </c>
      <c r="B1277" s="644">
        <f>1.25*(Stress!E85+Stress!F85+Stress!G85+Stress!H85)+1.5*Stress!I85+1.8*IF(B1137="Positive",Stress!J85,Stress!K85)</f>
        <v>-102672.35399999999</v>
      </c>
      <c r="C1277" s="644">
        <f>L1070</f>
        <v>179025.80399285004</v>
      </c>
      <c r="D1277" s="647" t="str">
        <f>IF(L1137="compact",IF(B1277&lt;=C1277,"OK","NG"),"-")</f>
        <v>-</v>
      </c>
      <c r="E1277" s="607" t="str">
        <f>IF(L1137="compact",C1277/B1277,"-")</f>
        <v>-</v>
      </c>
      <c r="G1277" s="257"/>
      <c r="I1277" s="73"/>
      <c r="J1277" s="73"/>
      <c r="K1277" s="73"/>
      <c r="L1277" s="73"/>
      <c r="M1277" s="73"/>
      <c r="N1277" s="73"/>
      <c r="O1277" s="73"/>
      <c r="P1277" s="73"/>
      <c r="Q1277" s="73"/>
      <c r="R1277" s="73"/>
      <c r="S1277" s="73"/>
      <c r="T1277" s="73"/>
      <c r="U1277" s="73"/>
      <c r="V1277" s="73"/>
      <c r="Z1277" s="143"/>
      <c r="AB1277" s="143"/>
      <c r="AD1277" s="143"/>
      <c r="AE1277" s="143"/>
      <c r="AF1277" s="143"/>
      <c r="AG1277" s="143"/>
      <c r="AH1277" s="143"/>
      <c r="AI1277" s="143"/>
      <c r="AJ1277" s="143"/>
      <c r="AK1277" s="143"/>
      <c r="AL1277" s="143"/>
      <c r="AM1277" s="143"/>
      <c r="AN1277" s="143"/>
      <c r="AO1277" s="143"/>
      <c r="AP1277" s="143"/>
      <c r="AQ1277" s="143"/>
    </row>
    <row r="1278" spans="1:43" ht="15" customHeight="1">
      <c r="A1278" s="593" t="str">
        <f>+input!B40</f>
        <v>119j</v>
      </c>
      <c r="B1278" s="644">
        <f>1.25*(Stress!E86+Stress!F86+Stress!G86+Stress!H86)+1.5*Stress!I86+1.8*IF(B1138="Positive",Stress!J86,Stress!K86)</f>
        <v>-114524.89750000002</v>
      </c>
      <c r="C1278" s="644">
        <f>L1071</f>
        <v>179025.80399285004</v>
      </c>
      <c r="D1278" s="647" t="str">
        <f>IF(L1138="compact",IF(B1278&lt;=C1278,"OK","NG"),"-")</f>
        <v>-</v>
      </c>
      <c r="E1278" s="607" t="str">
        <f>IF(L1138="compact",C1278/B1278,"-")</f>
        <v>-</v>
      </c>
      <c r="G1278" s="257"/>
      <c r="I1278" s="73"/>
      <c r="J1278" s="73"/>
      <c r="K1278" s="73"/>
      <c r="L1278" s="73"/>
      <c r="M1278" s="73"/>
      <c r="N1278" s="73"/>
      <c r="O1278" s="73"/>
      <c r="P1278" s="73"/>
      <c r="Q1278" s="73"/>
      <c r="R1278" s="73"/>
      <c r="S1278" s="73"/>
      <c r="T1278" s="73"/>
      <c r="U1278" s="73"/>
      <c r="V1278" s="73"/>
      <c r="Z1278" s="143"/>
      <c r="AB1278" s="143"/>
      <c r="AD1278" s="143"/>
      <c r="AE1278" s="143"/>
      <c r="AF1278" s="143"/>
      <c r="AG1278" s="143"/>
      <c r="AH1278" s="143"/>
      <c r="AI1278" s="143"/>
      <c r="AJ1278" s="143"/>
      <c r="AK1278" s="143"/>
      <c r="AL1278" s="143"/>
      <c r="AM1278" s="143"/>
      <c r="AN1278" s="143"/>
      <c r="AO1278" s="143"/>
      <c r="AP1278" s="143"/>
      <c r="AQ1278" s="143"/>
    </row>
    <row r="1279" spans="1:43" ht="15" customHeight="1">
      <c r="A1279" s="593" t="str">
        <f>+input!B41</f>
        <v>120i</v>
      </c>
      <c r="B1279" s="644">
        <f>1.25*(Stress!E87+Stress!F87+Stress!G87+Stress!H87)+1.5*Stress!I87+1.8*IF(B1139="Positive",Stress!J87,Stress!K87)</f>
        <v>-114522.23199999999</v>
      </c>
      <c r="C1279" s="644">
        <f>L1072</f>
        <v>179025.80399285004</v>
      </c>
      <c r="D1279" s="647" t="str">
        <f>IF(L1139="compact",IF(B1279&lt;=C1279,"OK","NG"),"-")</f>
        <v>-</v>
      </c>
      <c r="E1279" s="607" t="str">
        <f>IF(L1139="compact",C1279/B1279,"-")</f>
        <v>-</v>
      </c>
      <c r="G1279" s="257"/>
      <c r="I1279" s="73"/>
      <c r="J1279" s="73"/>
      <c r="K1279" s="73"/>
      <c r="L1279" s="73"/>
      <c r="M1279" s="73"/>
      <c r="N1279" s="73"/>
      <c r="O1279" s="73"/>
      <c r="P1279" s="73"/>
      <c r="Q1279" s="73"/>
      <c r="R1279" s="73"/>
      <c r="S1279" s="73"/>
      <c r="T1279" s="73"/>
      <c r="U1279" s="73"/>
      <c r="V1279" s="73"/>
      <c r="Z1279" s="143"/>
      <c r="AB1279" s="143"/>
      <c r="AD1279" s="143"/>
      <c r="AE1279" s="143"/>
      <c r="AF1279" s="143"/>
      <c r="AG1279" s="143"/>
      <c r="AH1279" s="143"/>
      <c r="AI1279" s="143"/>
      <c r="AJ1279" s="143"/>
      <c r="AK1279" s="143"/>
      <c r="AL1279" s="143"/>
      <c r="AM1279" s="143"/>
      <c r="AN1279" s="143"/>
      <c r="AO1279" s="143"/>
      <c r="AP1279" s="143"/>
      <c r="AQ1279" s="143"/>
    </row>
    <row r="1280" spans="1:43" ht="15" customHeight="1">
      <c r="A1280" s="593" t="str">
        <f>+input!B42</f>
        <v>120j</v>
      </c>
      <c r="B1280" s="644">
        <f>1.25*(Stress!E88+Stress!F88+Stress!G88+Stress!H88)+1.5*Stress!I88+1.8*IF(B1140="Positive",Stress!J88,Stress!K88)</f>
        <v>-105785.81299999999</v>
      </c>
      <c r="C1280" s="644">
        <f>L1073</f>
        <v>179025.80399285004</v>
      </c>
      <c r="D1280" s="647" t="str">
        <f>IF(L1140="compact",IF(B1280&lt;=C1280,"OK","NG"),"-")</f>
        <v>-</v>
      </c>
      <c r="E1280" s="607" t="str">
        <f>IF(L1140="compact",C1280/B1280,"-")</f>
        <v>-</v>
      </c>
      <c r="G1280" s="257"/>
      <c r="I1280" s="73"/>
      <c r="J1280" s="73"/>
      <c r="K1280" s="73"/>
      <c r="L1280" s="73"/>
      <c r="M1280" s="73"/>
      <c r="N1280" s="73"/>
      <c r="O1280" s="73"/>
      <c r="P1280" s="73"/>
      <c r="Q1280" s="73"/>
      <c r="R1280" s="73"/>
      <c r="S1280" s="73"/>
      <c r="T1280" s="73"/>
      <c r="U1280" s="73"/>
      <c r="V1280" s="73"/>
      <c r="Z1280" s="143"/>
      <c r="AB1280" s="143"/>
      <c r="AD1280" s="143"/>
      <c r="AE1280" s="143"/>
      <c r="AF1280" s="143"/>
      <c r="AG1280" s="143"/>
      <c r="AH1280" s="143"/>
      <c r="AI1280" s="143"/>
      <c r="AJ1280" s="143"/>
      <c r="AK1280" s="143"/>
      <c r="AL1280" s="143"/>
      <c r="AM1280" s="143"/>
      <c r="AN1280" s="143"/>
      <c r="AO1280" s="143"/>
      <c r="AP1280" s="143"/>
      <c r="AQ1280" s="143"/>
    </row>
    <row r="1281" spans="1:43" ht="15" customHeight="1">
      <c r="A1281" s="593" t="str">
        <f>+input!B43</f>
        <v>121i</v>
      </c>
      <c r="B1281" s="644">
        <f>1.25*(Stress!E89+Stress!F89+Stress!G89+Stress!H89)+1.5*Stress!I89+1.8*IF(B1141="Positive",Stress!J89,Stress!K89)</f>
        <v>-105785.65549999999</v>
      </c>
      <c r="C1281" s="644">
        <f>L1074</f>
        <v>161123.19717351606</v>
      </c>
      <c r="D1281" s="647" t="str">
        <f>IF(L1141="compact",IF(B1281&lt;=C1281,"OK","NG"),"-")</f>
        <v>-</v>
      </c>
      <c r="E1281" s="607" t="str">
        <f>IF(L1141="compact",C1281/B1281,"-")</f>
        <v>-</v>
      </c>
      <c r="G1281" s="257"/>
      <c r="I1281" s="73"/>
      <c r="J1281" s="73"/>
      <c r="K1281" s="73"/>
      <c r="L1281" s="73"/>
      <c r="M1281" s="73"/>
      <c r="N1281" s="73"/>
      <c r="O1281" s="73"/>
      <c r="P1281" s="73"/>
      <c r="Q1281" s="73"/>
      <c r="R1281" s="73"/>
      <c r="S1281" s="73"/>
      <c r="T1281" s="73"/>
      <c r="U1281" s="73"/>
      <c r="V1281" s="73"/>
      <c r="Z1281" s="143"/>
      <c r="AB1281" s="143"/>
      <c r="AD1281" s="143"/>
      <c r="AE1281" s="143"/>
      <c r="AF1281" s="143"/>
      <c r="AG1281" s="143"/>
      <c r="AH1281" s="143"/>
      <c r="AI1281" s="143"/>
      <c r="AJ1281" s="143"/>
      <c r="AK1281" s="143"/>
      <c r="AL1281" s="143"/>
      <c r="AM1281" s="143"/>
      <c r="AN1281" s="143"/>
      <c r="AO1281" s="143"/>
      <c r="AP1281" s="143"/>
      <c r="AQ1281" s="143"/>
    </row>
    <row r="1282" spans="1:43" ht="15" customHeight="1">
      <c r="A1282" s="994" t="str">
        <f>+input!B44</f>
        <v>121j</v>
      </c>
      <c r="B1282" s="644">
        <f>1.25*(Stress!E90+Stress!F90+Stress!G90+Stress!H90)+1.5*Stress!I90+1.8*IF(B1142="Positive",Stress!J90,Stress!K90)</f>
        <v>-87316.733500000002</v>
      </c>
      <c r="C1282" s="1070">
        <f>L1075</f>
        <v>161123.19717351606</v>
      </c>
      <c r="D1282" s="1071" t="str">
        <f>IF(L1142="compact",IF(B1282&lt;=C1282,"OK","NG"),"-")</f>
        <v>-</v>
      </c>
      <c r="E1282" s="990" t="str">
        <f>IF(L1142="compact",C1282/B1282,"-")</f>
        <v>-</v>
      </c>
      <c r="G1282" s="257"/>
      <c r="I1282" s="73"/>
      <c r="J1282" s="73"/>
      <c r="K1282" s="73"/>
      <c r="L1282" s="73"/>
      <c r="M1282" s="73"/>
      <c r="N1282" s="73"/>
      <c r="O1282" s="73"/>
      <c r="P1282" s="73"/>
      <c r="Q1282" s="73"/>
      <c r="R1282" s="73"/>
      <c r="S1282" s="73"/>
      <c r="T1282" s="73"/>
      <c r="U1282" s="73"/>
      <c r="V1282" s="73"/>
      <c r="Z1282" s="143"/>
      <c r="AB1282" s="143"/>
      <c r="AD1282" s="143"/>
      <c r="AE1282" s="143"/>
      <c r="AF1282" s="143"/>
      <c r="AG1282" s="143"/>
      <c r="AH1282" s="143"/>
      <c r="AI1282" s="143"/>
      <c r="AJ1282" s="143"/>
      <c r="AK1282" s="143"/>
      <c r="AL1282" s="143"/>
      <c r="AM1282" s="143"/>
      <c r="AN1282" s="143"/>
      <c r="AO1282" s="143"/>
      <c r="AP1282" s="143"/>
      <c r="AQ1282" s="143"/>
    </row>
    <row r="1283" spans="1:43" ht="15" customHeight="1">
      <c r="A1283" s="1000" t="str">
        <f>+input!B45</f>
        <v>122i</v>
      </c>
      <c r="B1283" s="644">
        <f>1.25*(Stress!E91+Stress!F91+Stress!G91+Stress!H91)+1.5*Stress!I91+1.8*IF(B1143="Positive",Stress!J91,Stress!K91)</f>
        <v>-87316.59599999999</v>
      </c>
      <c r="C1283" s="1072">
        <f>L1076</f>
        <v>118016.46692503565</v>
      </c>
      <c r="D1283" s="1073" t="str">
        <f>IF(L1143="compact",IF(B1283&lt;=C1283,"OK","NG"),"-")</f>
        <v>-</v>
      </c>
      <c r="E1283" s="993" t="str">
        <f>IF(L1143="compact",C1283/B1283,"-")</f>
        <v>-</v>
      </c>
      <c r="G1283" s="257"/>
      <c r="I1283" s="73"/>
      <c r="J1283" s="73"/>
      <c r="K1283" s="73"/>
      <c r="L1283" s="73"/>
      <c r="M1283" s="73"/>
      <c r="N1283" s="73"/>
      <c r="O1283" s="73"/>
      <c r="P1283" s="73"/>
      <c r="Q1283" s="73"/>
      <c r="R1283" s="73"/>
      <c r="S1283" s="73"/>
      <c r="T1283" s="73"/>
      <c r="U1283" s="73"/>
      <c r="V1283" s="73"/>
      <c r="Z1283" s="143"/>
      <c r="AB1283" s="143"/>
      <c r="AD1283" s="143"/>
      <c r="AE1283" s="143"/>
      <c r="AF1283" s="143"/>
      <c r="AG1283" s="143"/>
      <c r="AH1283" s="143"/>
      <c r="AI1283" s="143"/>
      <c r="AJ1283" s="143"/>
      <c r="AK1283" s="143"/>
      <c r="AL1283" s="143"/>
      <c r="AM1283" s="143"/>
      <c r="AN1283" s="143"/>
      <c r="AO1283" s="143"/>
      <c r="AP1283" s="143"/>
      <c r="AQ1283" s="143"/>
    </row>
    <row r="1284" spans="1:43" ht="15" customHeight="1">
      <c r="A1284" s="593" t="str">
        <f>+input!B46</f>
        <v>122j</v>
      </c>
      <c r="B1284" s="644">
        <f>1.25*(Stress!E92+Stress!F92+Stress!G92+Stress!H92)+1.5*Stress!I92+1.8*IF(B1144="Positive",Stress!J92,Stress!K92)</f>
        <v>-65173.652000000002</v>
      </c>
      <c r="C1284" s="644">
        <f>L1077</f>
        <v>118431.19390245817</v>
      </c>
      <c r="D1284" s="647" t="str">
        <f>IF(L1144="compact",IF(B1284&lt;=C1284,"OK","NG"),"-")</f>
        <v>-</v>
      </c>
      <c r="E1284" s="607" t="str">
        <f>IF(L1144="compact",C1284/B1284,"-")</f>
        <v>-</v>
      </c>
      <c r="G1284" s="257"/>
      <c r="I1284" s="73"/>
      <c r="J1284" s="73"/>
      <c r="K1284" s="73"/>
      <c r="L1284" s="73"/>
      <c r="M1284" s="73"/>
      <c r="N1284" s="73"/>
      <c r="O1284" s="73"/>
      <c r="P1284" s="73"/>
      <c r="Q1284" s="73"/>
      <c r="R1284" s="73"/>
      <c r="S1284" s="73"/>
      <c r="T1284" s="73"/>
      <c r="U1284" s="73"/>
      <c r="V1284" s="73"/>
      <c r="Z1284" s="143"/>
      <c r="AB1284" s="143"/>
      <c r="AD1284" s="143"/>
      <c r="AE1284" s="143"/>
      <c r="AF1284" s="143"/>
      <c r="AG1284" s="143"/>
      <c r="AH1284" s="143"/>
      <c r="AI1284" s="143"/>
      <c r="AJ1284" s="143"/>
      <c r="AK1284" s="143"/>
      <c r="AL1284" s="143"/>
      <c r="AM1284" s="143"/>
      <c r="AN1284" s="143"/>
      <c r="AO1284" s="143"/>
      <c r="AP1284" s="143"/>
      <c r="AQ1284" s="143"/>
    </row>
    <row r="1285" spans="1:43" ht="15" customHeight="1">
      <c r="A1285" s="593" t="str">
        <f>+input!B47</f>
        <v>123i</v>
      </c>
      <c r="B1285" s="644">
        <f>1.25*(Stress!E93+Stress!F93+Stress!G93+Stress!H93)+1.5*Stress!I93+1.8*IF(B1145="Positive",Stress!J93,Stress!K93)</f>
        <v>-65173.6495</v>
      </c>
      <c r="C1285" s="644">
        <f>L1078</f>
        <v>62723.505499360166</v>
      </c>
      <c r="D1285" s="647" t="str">
        <f>IF(L1145="compact",IF(B1285&lt;=C1285,"OK","NG"),"-")</f>
        <v>-</v>
      </c>
      <c r="E1285" s="607" t="str">
        <f>IF(L1145="compact",C1285/B1285,"-")</f>
        <v>-</v>
      </c>
      <c r="G1285" s="257"/>
      <c r="I1285" s="73"/>
      <c r="J1285" s="73"/>
      <c r="K1285" s="73"/>
      <c r="L1285" s="73"/>
      <c r="M1285" s="73"/>
      <c r="N1285" s="73"/>
      <c r="O1285" s="73"/>
      <c r="P1285" s="73"/>
      <c r="Q1285" s="73"/>
      <c r="R1285" s="73"/>
      <c r="S1285" s="73"/>
      <c r="T1285" s="73"/>
      <c r="U1285" s="73"/>
      <c r="V1285" s="73"/>
      <c r="Z1285" s="143"/>
      <c r="AB1285" s="143"/>
      <c r="AD1285" s="143"/>
      <c r="AE1285" s="143"/>
      <c r="AF1285" s="143"/>
      <c r="AG1285" s="143"/>
      <c r="AH1285" s="143"/>
      <c r="AI1285" s="143"/>
      <c r="AJ1285" s="143"/>
      <c r="AK1285" s="143"/>
      <c r="AL1285" s="143"/>
      <c r="AM1285" s="143"/>
      <c r="AN1285" s="143"/>
      <c r="AO1285" s="143"/>
      <c r="AP1285" s="143"/>
      <c r="AQ1285" s="143"/>
    </row>
    <row r="1286" spans="1:43" ht="15" customHeight="1">
      <c r="A1286" s="593" t="str">
        <f>+input!B48</f>
        <v>123j</v>
      </c>
      <c r="B1286" s="644">
        <f>1.25*(Stress!E94+Stress!F94+Stress!G94+Stress!H94)+1.5*Stress!I94+1.8*IF(B1146="Positive",Stress!J94,Stress!K94)</f>
        <v>-47886.451000000001</v>
      </c>
      <c r="C1286" s="644">
        <f>L1079</f>
        <v>62723.505499360166</v>
      </c>
      <c r="D1286" s="647" t="str">
        <f>IF(L1146="compact",IF(B1286&lt;=C1286,"OK","NG"),"-")</f>
        <v>-</v>
      </c>
      <c r="E1286" s="607" t="str">
        <f>IF(L1146="compact",C1286/B1286,"-")</f>
        <v>-</v>
      </c>
      <c r="G1286" s="257"/>
      <c r="I1286" s="73"/>
      <c r="J1286" s="73"/>
      <c r="K1286" s="73"/>
      <c r="L1286" s="73"/>
      <c r="M1286" s="73"/>
      <c r="N1286" s="73"/>
      <c r="O1286" s="73"/>
      <c r="P1286" s="73"/>
      <c r="Q1286" s="73"/>
      <c r="R1286" s="73"/>
      <c r="S1286" s="73"/>
      <c r="T1286" s="73"/>
      <c r="U1286" s="73"/>
      <c r="V1286" s="73"/>
      <c r="Z1286" s="143"/>
      <c r="AB1286" s="143"/>
      <c r="AD1286" s="143"/>
      <c r="AE1286" s="143"/>
      <c r="AF1286" s="143"/>
      <c r="AG1286" s="143"/>
      <c r="AH1286" s="143"/>
      <c r="AI1286" s="143"/>
      <c r="AJ1286" s="143"/>
      <c r="AK1286" s="143"/>
      <c r="AL1286" s="143"/>
      <c r="AM1286" s="143"/>
      <c r="AN1286" s="143"/>
      <c r="AO1286" s="143"/>
      <c r="AP1286" s="143"/>
      <c r="AQ1286" s="143"/>
    </row>
    <row r="1287" spans="1:43" ht="15" customHeight="1">
      <c r="A1287" s="593" t="str">
        <f>+input!B49</f>
        <v>124i</v>
      </c>
      <c r="B1287" s="644">
        <f>1.25*(Stress!E95+Stress!F95+Stress!G95+Stress!H95)+1.5*Stress!I95+1.8*IF(B1147="Positive",Stress!J95,Stress!K95)</f>
        <v>-47886.490999999995</v>
      </c>
      <c r="C1287" s="644">
        <f>L1080</f>
        <v>52111.705229174222</v>
      </c>
      <c r="D1287" s="647" t="str">
        <f>IF(L1147="compact",IF(B1287&lt;=C1287,"OK","NG"),"-")</f>
        <v>-</v>
      </c>
      <c r="E1287" s="607" t="str">
        <f>IF(L1147="compact",C1287/B1287,"-")</f>
        <v>-</v>
      </c>
      <c r="G1287" s="257"/>
      <c r="I1287" s="73"/>
      <c r="J1287" s="73"/>
      <c r="K1287" s="73"/>
      <c r="L1287" s="73"/>
      <c r="M1287" s="73"/>
      <c r="N1287" s="73"/>
      <c r="O1287" s="73"/>
      <c r="P1287" s="73"/>
      <c r="Q1287" s="73"/>
      <c r="R1287" s="73"/>
      <c r="S1287" s="73"/>
      <c r="T1287" s="73"/>
      <c r="U1287" s="73"/>
      <c r="V1287" s="73"/>
      <c r="Z1287" s="143"/>
      <c r="AB1287" s="143"/>
      <c r="AD1287" s="143"/>
      <c r="AE1287" s="143"/>
      <c r="AF1287" s="143"/>
      <c r="AG1287" s="143"/>
      <c r="AH1287" s="143"/>
      <c r="AI1287" s="143"/>
      <c r="AJ1287" s="143"/>
      <c r="AK1287" s="143"/>
      <c r="AL1287" s="143"/>
      <c r="AM1287" s="143"/>
      <c r="AN1287" s="143"/>
      <c r="AO1287" s="143"/>
      <c r="AP1287" s="143"/>
      <c r="AQ1287" s="143"/>
    </row>
    <row r="1288" spans="1:43" ht="15" customHeight="1">
      <c r="A1288" s="593" t="str">
        <f>+input!B50</f>
        <v>124j</v>
      </c>
      <c r="B1288" s="644">
        <f>1.25*(Stress!E96+Stress!F96+Stress!G96+Stress!H96)+1.5*Stress!I96+1.8*IF(B1148="Positive",Stress!J96,Stress!K96)</f>
        <v>-33086.458500000008</v>
      </c>
      <c r="C1288" s="644">
        <f>L1081</f>
        <v>52111.705229174222</v>
      </c>
      <c r="D1288" s="647" t="str">
        <f>IF(L1148="compact",IF(B1288&lt;=C1288,"OK","NG"),"-")</f>
        <v>-</v>
      </c>
      <c r="E1288" s="607" t="str">
        <f>IF(L1148="compact",C1288/B1288,"-")</f>
        <v>-</v>
      </c>
      <c r="G1288" s="257"/>
      <c r="I1288" s="73"/>
      <c r="J1288" s="73"/>
      <c r="K1288" s="73"/>
      <c r="L1288" s="73"/>
      <c r="M1288" s="73"/>
      <c r="N1288" s="73"/>
      <c r="O1288" s="73"/>
      <c r="P1288" s="73"/>
      <c r="Q1288" s="73"/>
      <c r="R1288" s="73"/>
      <c r="S1288" s="73"/>
      <c r="T1288" s="73"/>
      <c r="U1288" s="73"/>
      <c r="V1288" s="73"/>
      <c r="Z1288" s="143"/>
      <c r="AB1288" s="143"/>
      <c r="AD1288" s="143"/>
      <c r="AE1288" s="143"/>
      <c r="AF1288" s="143"/>
      <c r="AG1288" s="143"/>
      <c r="AH1288" s="143"/>
      <c r="AI1288" s="143"/>
      <c r="AJ1288" s="143"/>
      <c r="AK1288" s="143"/>
      <c r="AL1288" s="143"/>
      <c r="AM1288" s="143"/>
      <c r="AN1288" s="143"/>
      <c r="AO1288" s="143"/>
      <c r="AP1288" s="143"/>
      <c r="AQ1288" s="143"/>
    </row>
    <row r="1289" spans="1:43" ht="15" customHeight="1">
      <c r="A1289" s="593" t="str">
        <f>+input!B51</f>
        <v>125i</v>
      </c>
      <c r="B1289" s="644">
        <f>1.25*(Stress!E97+Stress!F97+Stress!G97+Stress!H97)+1.5*Stress!I97+1.8*IF(B1149="Positive",Stress!J97,Stress!K97)</f>
        <v>-33086.433499999999</v>
      </c>
      <c r="C1289" s="644">
        <f>L1082</f>
        <v>43367.731940758145</v>
      </c>
      <c r="D1289" s="647" t="str">
        <f>IF(L1149="compact",IF(B1289&lt;=C1289,"OK","NG"),"-")</f>
        <v>-</v>
      </c>
      <c r="E1289" s="607" t="str">
        <f>IF(L1149="compact",C1289/B1289,"-")</f>
        <v>-</v>
      </c>
      <c r="G1289" s="257"/>
      <c r="I1289" s="73"/>
      <c r="J1289" s="73"/>
      <c r="K1289" s="73"/>
      <c r="L1289" s="73"/>
      <c r="M1289" s="73"/>
      <c r="N1289" s="73"/>
      <c r="O1289" s="73"/>
      <c r="P1289" s="73"/>
      <c r="Q1289" s="73"/>
      <c r="R1289" s="73"/>
      <c r="S1289" s="73"/>
      <c r="T1289" s="73"/>
      <c r="U1289" s="73"/>
      <c r="V1289" s="73"/>
      <c r="Z1289" s="143"/>
      <c r="AB1289" s="143"/>
      <c r="AD1289" s="143"/>
      <c r="AE1289" s="143"/>
      <c r="AF1289" s="143"/>
      <c r="AG1289" s="143"/>
      <c r="AH1289" s="143"/>
      <c r="AI1289" s="143"/>
      <c r="AJ1289" s="143"/>
      <c r="AK1289" s="143"/>
      <c r="AL1289" s="143"/>
      <c r="AM1289" s="143"/>
      <c r="AN1289" s="143"/>
      <c r="AO1289" s="143"/>
      <c r="AP1289" s="143"/>
      <c r="AQ1289" s="143"/>
    </row>
    <row r="1290" spans="1:43" ht="15" customHeight="1">
      <c r="A1290" s="593" t="str">
        <f>+input!B52</f>
        <v>125j</v>
      </c>
      <c r="B1290" s="644">
        <f>1.25*(Stress!E98+Stress!F98+Stress!G98+Stress!H98)+1.5*Stress!I98+1.8*IF(B1150="Positive",Stress!J98,Stress!K98)</f>
        <v>-21471.9555</v>
      </c>
      <c r="C1290" s="644">
        <f>L1083</f>
        <v>43367.731940758145</v>
      </c>
      <c r="D1290" s="647" t="str">
        <f>IF(L1150="compact",IF(B1290&lt;=C1290,"OK","NG"),"-")</f>
        <v>-</v>
      </c>
      <c r="E1290" s="607" t="str">
        <f>IF(L1150="compact",C1290/B1290,"-")</f>
        <v>-</v>
      </c>
      <c r="G1290" s="257"/>
      <c r="I1290" s="73"/>
      <c r="J1290" s="73"/>
      <c r="K1290" s="73"/>
      <c r="L1290" s="73"/>
      <c r="M1290" s="73"/>
      <c r="N1290" s="73"/>
      <c r="O1290" s="73"/>
      <c r="P1290" s="73"/>
      <c r="Q1290" s="73"/>
      <c r="R1290" s="73"/>
      <c r="S1290" s="73"/>
      <c r="T1290" s="73"/>
      <c r="U1290" s="73"/>
      <c r="V1290" s="73"/>
      <c r="Z1290" s="143"/>
      <c r="AB1290" s="143"/>
      <c r="AD1290" s="143"/>
      <c r="AE1290" s="143"/>
      <c r="AF1290" s="143"/>
      <c r="AG1290" s="143"/>
      <c r="AH1290" s="143"/>
      <c r="AI1290" s="143"/>
      <c r="AJ1290" s="143"/>
      <c r="AK1290" s="143"/>
      <c r="AL1290" s="143"/>
      <c r="AM1290" s="143"/>
      <c r="AN1290" s="143"/>
      <c r="AO1290" s="143"/>
      <c r="AP1290" s="143"/>
      <c r="AQ1290" s="143"/>
    </row>
    <row r="1291" spans="1:43" ht="15" customHeight="1">
      <c r="A1291" s="593" t="str">
        <f>+input!B53</f>
        <v>126i</v>
      </c>
      <c r="B1291" s="644">
        <f>1.25*(Stress!E99+Stress!F99+Stress!G99+Stress!H99)+1.5*Stress!I99+1.8*IF(B1151="Positive",Stress!J99,Stress!K99)</f>
        <v>-21471.9555</v>
      </c>
      <c r="C1291" s="644">
        <f>L1084</f>
        <v>43367.731940758145</v>
      </c>
      <c r="D1291" s="647" t="str">
        <f>IF(L1151="compact",IF(B1291&lt;=C1291,"OK","NG"),"-")</f>
        <v>-</v>
      </c>
      <c r="E1291" s="607" t="str">
        <f>IF(L1151="compact",C1291/B1291,"-")</f>
        <v>-</v>
      </c>
      <c r="G1291" s="257"/>
      <c r="I1291" s="73"/>
      <c r="J1291" s="73"/>
      <c r="K1291" s="73"/>
      <c r="L1291" s="73"/>
      <c r="M1291" s="73"/>
      <c r="N1291" s="73"/>
      <c r="O1291" s="73"/>
      <c r="P1291" s="73"/>
      <c r="Q1291" s="73"/>
      <c r="R1291" s="73"/>
      <c r="S1291" s="73"/>
      <c r="T1291" s="73"/>
      <c r="U1291" s="73"/>
      <c r="V1291" s="73"/>
      <c r="Z1291" s="143"/>
      <c r="AB1291" s="143"/>
      <c r="AD1291" s="143"/>
      <c r="AE1291" s="143"/>
      <c r="AF1291" s="143"/>
      <c r="AG1291" s="143"/>
      <c r="AH1291" s="143"/>
      <c r="AI1291" s="143"/>
      <c r="AJ1291" s="143"/>
      <c r="AK1291" s="143"/>
      <c r="AL1291" s="143"/>
      <c r="AM1291" s="143"/>
      <c r="AN1291" s="143"/>
      <c r="AO1291" s="143"/>
      <c r="AP1291" s="143"/>
      <c r="AQ1291" s="143"/>
    </row>
    <row r="1292" spans="1:43" ht="15" customHeight="1">
      <c r="A1292" s="593" t="str">
        <f>+input!B54</f>
        <v>126j</v>
      </c>
      <c r="B1292" s="644">
        <f>1.25*(Stress!E100+Stress!F100+Stress!G100+Stress!H100)+1.5*Stress!I100+1.8*IF(B1152="Positive",Stress!J100,Stress!K100)</f>
        <v>-11978.594500000001</v>
      </c>
      <c r="C1292" s="644">
        <f>L1085</f>
        <v>43367.731940758145</v>
      </c>
      <c r="D1292" s="647" t="str">
        <f>IF(L1152="compact",IF(B1292&lt;=C1292,"OK","NG"),"-")</f>
        <v>-</v>
      </c>
      <c r="E1292" s="607" t="str">
        <f>IF(L1152="compact",C1292/B1292,"-")</f>
        <v>-</v>
      </c>
      <c r="G1292" s="257"/>
      <c r="I1292" s="73"/>
      <c r="J1292" s="73"/>
      <c r="K1292" s="73"/>
      <c r="L1292" s="73"/>
      <c r="M1292" s="73"/>
      <c r="N1292" s="73"/>
      <c r="O1292" s="73"/>
      <c r="P1292" s="73"/>
      <c r="Q1292" s="73"/>
      <c r="R1292" s="73"/>
      <c r="S1292" s="73"/>
      <c r="T1292" s="73"/>
      <c r="U1292" s="73"/>
      <c r="V1292" s="73"/>
      <c r="Z1292" s="143"/>
      <c r="AB1292" s="143"/>
      <c r="AD1292" s="143"/>
      <c r="AE1292" s="143"/>
      <c r="AF1292" s="143"/>
      <c r="AG1292" s="143"/>
      <c r="AH1292" s="143"/>
      <c r="AI1292" s="143"/>
      <c r="AJ1292" s="143"/>
      <c r="AK1292" s="143"/>
      <c r="AL1292" s="143"/>
      <c r="AM1292" s="143"/>
      <c r="AN1292" s="143"/>
      <c r="AO1292" s="143"/>
      <c r="AP1292" s="143"/>
      <c r="AQ1292" s="143"/>
    </row>
    <row r="1293" spans="1:43" ht="15" customHeight="1">
      <c r="A1293" s="593" t="str">
        <f>+input!B55</f>
        <v>127i</v>
      </c>
      <c r="B1293" s="644">
        <f>1.25*(Stress!E101+Stress!F101+Stress!G101+Stress!H101)+1.5*Stress!I101+1.8*IF(B1153="Positive",Stress!J101,Stress!K101)</f>
        <v>-11978.607000000002</v>
      </c>
      <c r="C1293" s="644">
        <f>L1086</f>
        <v>32568.879310273685</v>
      </c>
      <c r="D1293" s="647" t="str">
        <f>IF(L1153="compact",IF(B1293&lt;=C1293,"OK","NG"),"-")</f>
        <v>-</v>
      </c>
      <c r="E1293" s="607" t="str">
        <f>IF(L1153="compact",C1293/B1293,"-")</f>
        <v>-</v>
      </c>
      <c r="G1293" s="257"/>
      <c r="I1293" s="73"/>
      <c r="J1293" s="73"/>
      <c r="K1293" s="73"/>
      <c r="L1293" s="73"/>
      <c r="M1293" s="73"/>
      <c r="N1293" s="73"/>
      <c r="O1293" s="73"/>
      <c r="P1293" s="73"/>
      <c r="Q1293" s="73"/>
      <c r="R1293" s="73"/>
      <c r="S1293" s="73"/>
      <c r="T1293" s="73"/>
      <c r="U1293" s="73"/>
      <c r="V1293" s="73"/>
      <c r="Z1293" s="143"/>
      <c r="AB1293" s="143"/>
      <c r="AD1293" s="143"/>
      <c r="AE1293" s="143"/>
      <c r="AF1293" s="143"/>
      <c r="AG1293" s="143"/>
      <c r="AH1293" s="143"/>
      <c r="AI1293" s="143"/>
      <c r="AJ1293" s="143"/>
      <c r="AK1293" s="143"/>
      <c r="AL1293" s="143"/>
      <c r="AM1293" s="143"/>
      <c r="AN1293" s="143"/>
      <c r="AO1293" s="143"/>
      <c r="AP1293" s="143"/>
      <c r="AQ1293" s="143"/>
    </row>
    <row r="1294" spans="1:43" ht="15" customHeight="1">
      <c r="A1294" s="593" t="str">
        <f>+input!B56</f>
        <v>127j</v>
      </c>
      <c r="B1294" s="644">
        <f>1.25*(Stress!E102+Stress!F102+Stress!G102+Stress!H102)+1.5*Stress!I102+1.8*IF(B1154="Positive",Stress!J102,Stress!K102)</f>
        <v>18162.058500000003</v>
      </c>
      <c r="C1294" s="644">
        <f>L1087</f>
        <v>65023.106148950392</v>
      </c>
      <c r="D1294" s="647" t="str">
        <f>IF(L1154="compact",IF(B1294&lt;=C1294,"OK","NG"),"-")</f>
        <v>-</v>
      </c>
      <c r="E1294" s="607" t="str">
        <f>IF(L1154="compact",C1294/B1294,"-")</f>
        <v>-</v>
      </c>
      <c r="G1294" s="257"/>
      <c r="I1294" s="73"/>
      <c r="J1294" s="73"/>
      <c r="K1294" s="73"/>
      <c r="L1294" s="73"/>
      <c r="M1294" s="73"/>
      <c r="N1294" s="73"/>
      <c r="O1294" s="73"/>
      <c r="P1294" s="73"/>
      <c r="Q1294" s="73"/>
      <c r="R1294" s="73"/>
      <c r="S1294" s="73"/>
      <c r="T1294" s="73"/>
      <c r="U1294" s="73"/>
      <c r="V1294" s="73"/>
      <c r="Z1294" s="143"/>
      <c r="AB1294" s="143"/>
      <c r="AD1294" s="143"/>
      <c r="AE1294" s="143"/>
      <c r="AF1294" s="143"/>
      <c r="AG1294" s="143"/>
      <c r="AH1294" s="143"/>
      <c r="AI1294" s="143"/>
      <c r="AJ1294" s="143"/>
      <c r="AK1294" s="143"/>
      <c r="AL1294" s="143"/>
      <c r="AM1294" s="143"/>
      <c r="AN1294" s="143"/>
      <c r="AO1294" s="143"/>
      <c r="AP1294" s="143"/>
      <c r="AQ1294" s="143"/>
    </row>
    <row r="1295" spans="1:43" ht="15" customHeight="1">
      <c r="A1295" s="593" t="str">
        <f>+input!B57</f>
        <v>128i</v>
      </c>
      <c r="B1295" s="644">
        <f>1.25*(Stress!E103+Stress!F103+Stress!G103+Stress!H103)+1.5*Stress!I103+1.8*IF(B1155="Positive",Stress!J103,Stress!K103)</f>
        <v>18162.058500000003</v>
      </c>
      <c r="C1295" s="644">
        <f>L1088</f>
        <v>65023.106148950392</v>
      </c>
      <c r="D1295" s="647" t="str">
        <f>IF(L1155="compact",IF(B1295&lt;=C1295,"OK","NG"),"-")</f>
        <v>-</v>
      </c>
      <c r="E1295" s="607" t="str">
        <f>IF(L1155="compact",C1295/B1295,"-")</f>
        <v>-</v>
      </c>
      <c r="G1295" s="257"/>
      <c r="I1295" s="73"/>
      <c r="J1295" s="73"/>
      <c r="K1295" s="73"/>
      <c r="L1295" s="73"/>
      <c r="M1295" s="73"/>
      <c r="N1295" s="73"/>
      <c r="O1295" s="73"/>
      <c r="P1295" s="73"/>
      <c r="Q1295" s="73"/>
      <c r="R1295" s="73"/>
      <c r="S1295" s="73"/>
      <c r="T1295" s="73"/>
      <c r="U1295" s="73"/>
      <c r="V1295" s="73"/>
      <c r="Z1295" s="143"/>
      <c r="AB1295" s="143"/>
      <c r="AD1295" s="143"/>
      <c r="AE1295" s="143"/>
      <c r="AF1295" s="143"/>
      <c r="AG1295" s="143"/>
      <c r="AH1295" s="143"/>
      <c r="AI1295" s="143"/>
      <c r="AJ1295" s="143"/>
      <c r="AK1295" s="143"/>
      <c r="AL1295" s="143"/>
      <c r="AM1295" s="143"/>
      <c r="AN1295" s="143"/>
      <c r="AO1295" s="143"/>
      <c r="AP1295" s="143"/>
      <c r="AQ1295" s="143"/>
    </row>
    <row r="1296" spans="1:43" ht="15" customHeight="1">
      <c r="A1296" s="593" t="str">
        <f>+input!B58</f>
        <v>128j</v>
      </c>
      <c r="B1296" s="644">
        <f>1.25*(Stress!E104+Stress!F104+Stress!G104+Stress!H104)+1.5*Stress!I104+1.8*IF(B1156="Positive",Stress!J104,Stress!K104)</f>
        <v>16543.497499999998</v>
      </c>
      <c r="C1296" s="644">
        <f>L1089</f>
        <v>64421.871321991974</v>
      </c>
      <c r="D1296" s="647" t="str">
        <f>IF(L1156="compact",IF(B1296&lt;=C1296,"OK","NG"),"-")</f>
        <v>-</v>
      </c>
      <c r="E1296" s="607" t="str">
        <f>IF(L1156="compact",C1296/B1296,"-")</f>
        <v>-</v>
      </c>
      <c r="G1296" s="257"/>
      <c r="I1296" s="73"/>
      <c r="J1296" s="73"/>
      <c r="K1296" s="73"/>
      <c r="L1296" s="73"/>
      <c r="M1296" s="73"/>
      <c r="N1296" s="73"/>
      <c r="O1296" s="73"/>
      <c r="P1296" s="73"/>
      <c r="Q1296" s="73"/>
      <c r="R1296" s="73"/>
      <c r="S1296" s="73"/>
      <c r="T1296" s="73"/>
      <c r="U1296" s="73"/>
      <c r="V1296" s="73"/>
      <c r="Z1296" s="143"/>
      <c r="AB1296" s="143"/>
      <c r="AD1296" s="143"/>
      <c r="AE1296" s="143"/>
      <c r="AF1296" s="143"/>
      <c r="AG1296" s="143"/>
      <c r="AH1296" s="143"/>
      <c r="AI1296" s="143"/>
      <c r="AJ1296" s="143"/>
      <c r="AK1296" s="143"/>
      <c r="AL1296" s="143"/>
      <c r="AM1296" s="143"/>
      <c r="AN1296" s="143"/>
      <c r="AO1296" s="143"/>
      <c r="AP1296" s="143"/>
      <c r="AQ1296" s="143"/>
    </row>
    <row r="1297" spans="1:43" ht="15" customHeight="1">
      <c r="A1297" s="593" t="str">
        <f>+input!B59</f>
        <v>129i</v>
      </c>
      <c r="B1297" s="644">
        <f>1.25*(Stress!E105+Stress!F105+Stress!G105+Stress!H105)+1.5*Stress!I105+1.8*IF(B1157="Positive",Stress!J105,Stress!K105)</f>
        <v>16543.510000000002</v>
      </c>
      <c r="C1297" s="644">
        <f>L1090</f>
        <v>64421.865268041329</v>
      </c>
      <c r="D1297" s="647" t="str">
        <f>IF(L1157="compact",IF(B1297&lt;=C1297,"OK","NG"),"-")</f>
        <v>-</v>
      </c>
      <c r="E1297" s="607" t="str">
        <f>IF(L1157="compact",C1297/B1297,"-")</f>
        <v>-</v>
      </c>
      <c r="G1297" s="257"/>
      <c r="I1297" s="73"/>
      <c r="J1297" s="73"/>
      <c r="K1297" s="73"/>
      <c r="L1297" s="73"/>
      <c r="M1297" s="73"/>
      <c r="N1297" s="73"/>
      <c r="O1297" s="73"/>
      <c r="P1297" s="73"/>
      <c r="Q1297" s="73"/>
      <c r="R1297" s="73"/>
      <c r="S1297" s="73"/>
      <c r="T1297" s="73"/>
      <c r="U1297" s="73"/>
      <c r="V1297" s="73"/>
      <c r="Z1297" s="143"/>
      <c r="AB1297" s="143"/>
      <c r="AD1297" s="143"/>
      <c r="AE1297" s="143"/>
      <c r="AF1297" s="143"/>
      <c r="AG1297" s="143"/>
      <c r="AH1297" s="143"/>
      <c r="AI1297" s="143"/>
      <c r="AJ1297" s="143"/>
      <c r="AK1297" s="143"/>
      <c r="AL1297" s="143"/>
      <c r="AM1297" s="143"/>
      <c r="AN1297" s="143"/>
      <c r="AO1297" s="143"/>
      <c r="AP1297" s="143"/>
      <c r="AQ1297" s="143"/>
    </row>
    <row r="1298" spans="1:43" ht="15" customHeight="1">
      <c r="A1298" s="593" t="str">
        <f>+input!B60</f>
        <v>129j</v>
      </c>
      <c r="B1298" s="644">
        <f>1.25*(Stress!E106+Stress!F106+Stress!G106+Stress!H106)+1.5*Stress!I106+1.8*IF(B1158="Positive",Stress!J106,Stress!K106)</f>
        <v>6710.4380000000001</v>
      </c>
      <c r="C1298" s="644">
        <f>L1091</f>
        <v>65272.802655467778</v>
      </c>
      <c r="D1298" s="647" t="str">
        <f>IF(L1158="compact",IF(B1298&lt;=C1298,"OK","NG"),"-")</f>
        <v>-</v>
      </c>
      <c r="E1298" s="607" t="str">
        <f>IF(L1158="compact",C1298/B1298,"-")</f>
        <v>-</v>
      </c>
      <c r="G1298" s="257"/>
      <c r="I1298" s="73"/>
      <c r="J1298" s="73"/>
      <c r="K1298" s="73"/>
      <c r="L1298" s="73"/>
      <c r="M1298" s="73"/>
      <c r="N1298" s="73"/>
      <c r="O1298" s="73"/>
      <c r="R1298" s="257"/>
      <c r="T1298" s="257"/>
      <c r="V1298" s="73"/>
      <c r="W1298" s="559"/>
      <c r="X1298" s="73"/>
      <c r="Y1298" s="73"/>
      <c r="Z1298" s="73"/>
      <c r="AA1298" s="73"/>
      <c r="AB1298" s="73"/>
      <c r="AC1298" s="73"/>
      <c r="AE1298" s="73"/>
      <c r="AJ1298" s="143"/>
      <c r="AK1298" s="143"/>
      <c r="AL1298" s="143"/>
      <c r="AM1298" s="143"/>
      <c r="AN1298" s="143"/>
      <c r="AO1298" s="143"/>
      <c r="AP1298" s="143"/>
      <c r="AQ1298" s="143"/>
    </row>
    <row r="1299" spans="1:43" ht="15" customHeight="1">
      <c r="A1299" s="593" t="str">
        <f>+input!B61</f>
        <v>130i</v>
      </c>
      <c r="B1299" s="644">
        <f>1.25*(Stress!E107+Stress!F107+Stress!G107+Stress!H107)+1.5*Stress!I107+1.8*IF(B1159="Positive",Stress!J107,Stress!K107)</f>
        <v>6710.4505000000008</v>
      </c>
      <c r="C1299" s="644">
        <f>L1092</f>
        <v>58921.023702323429</v>
      </c>
      <c r="D1299" s="647" t="str">
        <f>IF(L1159="compact",IF(B1299&lt;=C1299,"OK","NG"),"-")</f>
        <v>-</v>
      </c>
      <c r="E1299" s="607" t="str">
        <f>IF(L1159="compact",C1299/B1299,"-")</f>
        <v>-</v>
      </c>
      <c r="G1299" s="257"/>
      <c r="I1299" s="73"/>
      <c r="J1299" s="73"/>
      <c r="K1299" s="73"/>
      <c r="L1299" s="73"/>
      <c r="M1299" s="73"/>
      <c r="N1299" s="73"/>
      <c r="O1299" s="73"/>
      <c r="R1299" s="257"/>
      <c r="T1299" s="257"/>
      <c r="V1299" s="73"/>
      <c r="W1299" s="559"/>
      <c r="X1299" s="73"/>
      <c r="Y1299" s="73"/>
      <c r="Z1299" s="73"/>
      <c r="AA1299" s="73"/>
      <c r="AB1299" s="73"/>
      <c r="AC1299" s="73"/>
      <c r="AE1299" s="73"/>
      <c r="AJ1299" s="143"/>
      <c r="AK1299" s="143"/>
      <c r="AL1299" s="143"/>
      <c r="AM1299" s="143"/>
      <c r="AN1299" s="143"/>
      <c r="AO1299" s="143"/>
      <c r="AP1299" s="143"/>
      <c r="AQ1299" s="143"/>
    </row>
    <row r="1300" spans="1:43" ht="15" customHeight="1">
      <c r="A1300" s="593" t="str">
        <f>+input!B62</f>
        <v>130j</v>
      </c>
      <c r="B1300" s="644">
        <f>1.25*(Stress!E108+Stress!F108+Stress!G108+Stress!H108)+1.5*Stress!I108+1.8*IF(B1160="Positive",Stress!J108,Stress!K108)</f>
        <v>-274.52449999999999</v>
      </c>
      <c r="C1300" s="644">
        <f>L1093</f>
        <v>29320.56363570091</v>
      </c>
      <c r="D1300" s="647" t="str">
        <f>IF(L1160="compact",IF(B1300&lt;=C1300,"OK","NG"),"-")</f>
        <v>-</v>
      </c>
      <c r="E1300" s="607" t="str">
        <f>IF(L1160="compact",C1300/B1300,"-")</f>
        <v>-</v>
      </c>
      <c r="G1300" s="257"/>
      <c r="I1300" s="73"/>
      <c r="J1300" s="73"/>
      <c r="K1300" s="73"/>
      <c r="L1300" s="73"/>
      <c r="M1300" s="73"/>
      <c r="N1300" s="73"/>
      <c r="O1300" s="73"/>
      <c r="R1300" s="257"/>
      <c r="T1300" s="257"/>
      <c r="V1300" s="73"/>
      <c r="W1300" s="559"/>
      <c r="X1300" s="73"/>
      <c r="Y1300" s="73"/>
      <c r="Z1300" s="73"/>
      <c r="AA1300" s="73"/>
      <c r="AB1300" s="73"/>
      <c r="AC1300" s="73"/>
      <c r="AE1300" s="73"/>
      <c r="AJ1300" s="143"/>
      <c r="AK1300" s="143"/>
      <c r="AL1300" s="143"/>
      <c r="AM1300" s="143"/>
      <c r="AN1300" s="143"/>
      <c r="AO1300" s="143"/>
      <c r="AP1300" s="143"/>
      <c r="AQ1300" s="143"/>
    </row>
    <row r="1301" spans="1:43" ht="15" customHeight="1">
      <c r="A1301" s="593" t="str">
        <f>+input!B63</f>
        <v>131i</v>
      </c>
      <c r="B1301" s="644">
        <f>1.25*(Stress!E109+Stress!F109+Stress!G109+Stress!H109)+1.5*Stress!I109+1.8*IF(B1161="Positive",Stress!J109,Stress!K109)</f>
        <v>-274.56600000000003</v>
      </c>
      <c r="C1301" s="644">
        <f>L1094</f>
        <v>29320.56363570091</v>
      </c>
      <c r="D1301" s="647" t="str">
        <f>IF(L1161="compact",IF(B1301&lt;=C1301,"OK","NG"),"-")</f>
        <v>-</v>
      </c>
      <c r="E1301" s="607" t="str">
        <f>IF(L1161="compact",C1301/B1301,"-")</f>
        <v>-</v>
      </c>
      <c r="G1301" s="257"/>
      <c r="I1301" s="73"/>
      <c r="J1301" s="73"/>
      <c r="K1301" s="73"/>
      <c r="L1301" s="73"/>
      <c r="M1301" s="73"/>
      <c r="N1301" s="73"/>
      <c r="O1301" s="73"/>
      <c r="R1301" s="257"/>
      <c r="T1301" s="257"/>
      <c r="V1301" s="73"/>
      <c r="W1301" s="559"/>
      <c r="X1301" s="73"/>
      <c r="Y1301" s="73"/>
      <c r="Z1301" s="73"/>
      <c r="AA1301" s="73"/>
      <c r="AB1301" s="73"/>
      <c r="AC1301" s="73"/>
      <c r="AE1301" s="73"/>
      <c r="AJ1301" s="143"/>
      <c r="AK1301" s="143"/>
      <c r="AL1301" s="143"/>
      <c r="AM1301" s="143"/>
      <c r="AN1301" s="143"/>
      <c r="AO1301" s="143"/>
      <c r="AP1301" s="143"/>
      <c r="AQ1301" s="143"/>
    </row>
    <row r="1302" spans="1:43" ht="15" customHeight="1">
      <c r="A1302" s="593" t="str">
        <f>+input!B64</f>
        <v>131j</v>
      </c>
      <c r="B1302" s="644">
        <f>1.25*(Stress!E110+Stress!F110+Stress!G110+Stress!H110)+1.5*Stress!I110+1.8*IF(B1162="Positive",Stress!J110,Stress!K110)</f>
        <v>0</v>
      </c>
      <c r="C1302" s="644">
        <f>L1095</f>
        <v>59770.029548127226</v>
      </c>
      <c r="D1302" s="647" t="str">
        <f>IF(L1162="compact",IF(B1302&lt;=C1302,"OK","NG"),"-")</f>
        <v>-</v>
      </c>
      <c r="E1302" s="607" t="str">
        <f>IF(L1162="compact",C1302/B1302,"-")</f>
        <v>-</v>
      </c>
      <c r="G1302" s="257"/>
      <c r="I1302" s="73"/>
      <c r="J1302" s="73"/>
      <c r="K1302" s="73"/>
      <c r="L1302" s="73"/>
      <c r="M1302" s="73"/>
      <c r="N1302" s="73"/>
      <c r="O1302" s="73"/>
      <c r="R1302" s="257"/>
      <c r="T1302" s="257"/>
      <c r="V1302" s="73"/>
      <c r="W1302" s="559"/>
      <c r="X1302" s="73"/>
      <c r="Y1302" s="73"/>
      <c r="Z1302" s="73"/>
      <c r="AA1302" s="73"/>
      <c r="AB1302" s="73"/>
      <c r="AC1302" s="73"/>
      <c r="AE1302" s="73"/>
      <c r="AJ1302" s="143"/>
      <c r="AK1302" s="143"/>
      <c r="AL1302" s="143"/>
      <c r="AM1302" s="143"/>
      <c r="AN1302" s="143"/>
      <c r="AO1302" s="143"/>
      <c r="AP1302" s="143"/>
      <c r="AQ1302" s="143"/>
    </row>
    <row r="1303" spans="1:43" ht="15" customHeight="1">
      <c r="A1303" s="181"/>
      <c r="B1303" s="181"/>
      <c r="C1303" s="243"/>
      <c r="D1303" s="243"/>
      <c r="E1303" s="243"/>
      <c r="F1303" s="243"/>
      <c r="G1303" s="243"/>
      <c r="H1303" s="243"/>
      <c r="I1303" s="243"/>
      <c r="J1303" s="243"/>
      <c r="K1303" s="242"/>
      <c r="L1303" s="242"/>
      <c r="M1303" s="243"/>
      <c r="N1303" s="243"/>
      <c r="O1303" s="243"/>
      <c r="P1303" s="243"/>
      <c r="Q1303" s="243"/>
      <c r="R1303" s="243"/>
      <c r="S1303" s="244"/>
      <c r="T1303" s="244"/>
      <c r="U1303" s="243"/>
      <c r="V1303" s="243"/>
      <c r="W1303" s="243"/>
    </row>
    <row r="1304" spans="1:43" ht="15" customHeight="1">
      <c r="A1304" s="181"/>
      <c r="B1304" s="181"/>
      <c r="C1304" s="243"/>
      <c r="D1304" s="243"/>
      <c r="E1304" s="243"/>
      <c r="F1304" s="243"/>
      <c r="G1304" s="243"/>
      <c r="H1304" s="243"/>
      <c r="I1304" s="243"/>
      <c r="J1304" s="243"/>
      <c r="K1304" s="242"/>
      <c r="L1304" s="242"/>
      <c r="M1304" s="243"/>
      <c r="N1304" s="243"/>
      <c r="O1304" s="243"/>
      <c r="P1304" s="243"/>
      <c r="Q1304" s="243"/>
      <c r="R1304" s="243"/>
      <c r="S1304" s="244"/>
      <c r="T1304" s="244"/>
      <c r="U1304" s="243"/>
      <c r="V1304" s="243"/>
      <c r="W1304" s="243"/>
    </row>
    <row r="1305" spans="1:43" ht="15" customHeight="1">
      <c r="A1305" s="207" t="s">
        <v>801</v>
      </c>
      <c r="B1305" s="135"/>
      <c r="C1305" s="135"/>
      <c r="D1305" s="135"/>
      <c r="E1305" s="135"/>
      <c r="F1305" s="135"/>
      <c r="H1305" s="135"/>
      <c r="I1305" s="135"/>
      <c r="N1305" s="137" t="s">
        <v>802</v>
      </c>
    </row>
    <row r="1306" spans="1:43" ht="15" customHeight="1">
      <c r="A1306" s="207"/>
      <c r="B1306" s="135"/>
      <c r="C1306" s="135"/>
      <c r="D1306" s="135"/>
      <c r="E1306" s="135"/>
      <c r="F1306" s="135"/>
      <c r="H1306" s="135"/>
      <c r="I1306" s="135"/>
    </row>
    <row r="1307" spans="1:43" ht="15" customHeight="1">
      <c r="A1307" s="170"/>
      <c r="B1307" s="170"/>
      <c r="C1307" s="147" t="s">
        <v>1770</v>
      </c>
      <c r="D1307" s="170"/>
      <c r="E1307" s="170"/>
      <c r="F1307" s="170"/>
      <c r="G1307" s="100"/>
      <c r="H1307" s="170"/>
      <c r="I1307" s="170"/>
      <c r="J1307" s="170"/>
      <c r="K1307" s="170"/>
      <c r="L1307" s="253"/>
      <c r="M1307" s="170"/>
      <c r="N1307" s="170"/>
      <c r="O1307" s="170"/>
      <c r="Q1307" s="170"/>
      <c r="R1307" s="170"/>
      <c r="S1307" s="170"/>
      <c r="T1307" s="170"/>
      <c r="U1307" s="170"/>
      <c r="V1307" s="170"/>
      <c r="W1307" s="170"/>
    </row>
    <row r="1308" spans="1:43" ht="15" customHeight="1">
      <c r="A1308" s="134"/>
      <c r="B1308" s="170" t="s">
        <v>323</v>
      </c>
      <c r="C1308" s="170"/>
      <c r="D1308" s="170"/>
      <c r="E1308" s="170"/>
      <c r="F1308" s="170"/>
      <c r="G1308" s="100"/>
      <c r="H1308" s="170"/>
      <c r="I1308" s="170"/>
      <c r="J1308" s="170"/>
      <c r="K1308" s="170"/>
      <c r="L1308" s="253"/>
      <c r="M1308" s="170"/>
      <c r="N1308" s="170"/>
      <c r="O1308" s="170"/>
      <c r="Q1308" s="170"/>
      <c r="R1308" s="170"/>
      <c r="S1308" s="170"/>
      <c r="T1308" s="170"/>
      <c r="U1308" s="170"/>
      <c r="V1308" s="170"/>
      <c r="W1308" s="170"/>
    </row>
    <row r="1309" spans="1:43" ht="15" customHeight="1">
      <c r="A1309" s="134"/>
      <c r="C1309" s="143" t="s">
        <v>1771</v>
      </c>
      <c r="D1309" s="170"/>
      <c r="E1309" s="170"/>
      <c r="F1309" s="170"/>
      <c r="G1309" s="100"/>
      <c r="H1309" s="170"/>
      <c r="I1309" s="170"/>
      <c r="J1309" s="170"/>
      <c r="K1309" s="170"/>
      <c r="L1309" s="253"/>
      <c r="M1309" s="170"/>
      <c r="N1309" s="170"/>
      <c r="O1309" s="170"/>
      <c r="Q1309" s="170"/>
      <c r="R1309" s="170"/>
      <c r="S1309" s="170"/>
      <c r="T1309" s="170"/>
      <c r="U1309" s="170"/>
      <c r="V1309" s="170"/>
      <c r="W1309" s="170"/>
    </row>
    <row r="1310" spans="1:43" ht="15" customHeight="1">
      <c r="A1310" s="134"/>
      <c r="C1310" s="170" t="s">
        <v>430</v>
      </c>
      <c r="D1310" s="170"/>
      <c r="E1310" s="170"/>
      <c r="F1310" s="170"/>
      <c r="G1310" s="100"/>
      <c r="H1310" s="170"/>
      <c r="I1310" s="170"/>
      <c r="J1310" s="170"/>
      <c r="K1310" s="170"/>
      <c r="L1310" s="253"/>
      <c r="M1310" s="170"/>
      <c r="N1310" s="170"/>
      <c r="O1310" s="170"/>
      <c r="Q1310" s="170"/>
      <c r="R1310" s="170"/>
      <c r="S1310" s="170"/>
      <c r="T1310" s="170"/>
      <c r="U1310" s="170"/>
      <c r="V1310" s="170"/>
      <c r="W1310" s="170"/>
    </row>
    <row r="1311" spans="1:43" ht="15" customHeight="1">
      <c r="A1311" s="134"/>
      <c r="C1311" s="170" t="s">
        <v>194</v>
      </c>
      <c r="D1311" s="170"/>
      <c r="E1311" s="170"/>
      <c r="F1311" s="170"/>
      <c r="G1311" s="100"/>
      <c r="H1311" s="170"/>
      <c r="I1311" s="170"/>
      <c r="J1311" s="170"/>
      <c r="K1311" s="170"/>
      <c r="L1311" s="253"/>
      <c r="M1311" s="170"/>
      <c r="N1311" s="170"/>
      <c r="O1311" s="170"/>
      <c r="Q1311" s="170"/>
      <c r="R1311" s="170"/>
      <c r="S1311" s="170"/>
      <c r="T1311" s="170"/>
      <c r="U1311" s="170"/>
      <c r="V1311" s="170"/>
      <c r="W1311" s="170"/>
    </row>
    <row r="1312" spans="1:43" ht="15" customHeight="1">
      <c r="A1312" s="134"/>
      <c r="B1312" s="136"/>
      <c r="C1312" s="170"/>
      <c r="D1312" s="170"/>
      <c r="E1312" s="170"/>
      <c r="F1312" s="170"/>
      <c r="G1312" s="100"/>
      <c r="H1312" s="170"/>
      <c r="I1312" s="170"/>
      <c r="J1312" s="170"/>
      <c r="K1312" s="170"/>
      <c r="L1312" s="253"/>
      <c r="M1312" s="170"/>
      <c r="N1312" s="170"/>
      <c r="O1312" s="170"/>
      <c r="Q1312" s="170"/>
      <c r="R1312" s="170"/>
      <c r="S1312" s="170"/>
      <c r="T1312" s="170"/>
      <c r="U1312" s="170"/>
      <c r="V1312" s="170"/>
      <c r="W1312" s="170"/>
    </row>
    <row r="1313" spans="1:28" ht="15" customHeight="1">
      <c r="A1313" s="134"/>
      <c r="B1313" s="170"/>
      <c r="C1313" s="170"/>
      <c r="D1313" s="170"/>
      <c r="E1313" s="170"/>
      <c r="F1313" s="170"/>
      <c r="G1313" s="100"/>
      <c r="H1313" s="170"/>
      <c r="I1313" s="170"/>
      <c r="J1313" s="170"/>
      <c r="K1313" s="170"/>
      <c r="L1313" s="253"/>
      <c r="M1313" s="170"/>
      <c r="N1313" s="170"/>
      <c r="O1313" s="170"/>
      <c r="Q1313" s="170"/>
      <c r="R1313" s="170"/>
      <c r="S1313" s="170"/>
      <c r="T1313" s="170"/>
      <c r="U1313" s="170"/>
      <c r="V1313" s="170"/>
      <c r="W1313" s="170"/>
      <c r="X1313" s="170"/>
      <c r="Y1313" s="253"/>
    </row>
    <row r="1314" spans="1:28" ht="15" customHeight="1">
      <c r="A1314" s="134" t="s">
        <v>32</v>
      </c>
      <c r="B1314" s="170" t="s">
        <v>293</v>
      </c>
      <c r="C1314" s="170"/>
      <c r="D1314" s="170"/>
      <c r="E1314" s="170"/>
      <c r="F1314" s="170"/>
      <c r="G1314" s="116"/>
      <c r="H1314" s="116"/>
      <c r="I1314" s="116"/>
      <c r="J1314" s="170"/>
      <c r="K1314" s="170"/>
      <c r="L1314" s="310"/>
      <c r="Z1314" s="310"/>
      <c r="AB1314" s="310"/>
    </row>
    <row r="1315" spans="1:28" ht="15" customHeight="1">
      <c r="B1315" s="148" t="s">
        <v>134</v>
      </c>
      <c r="C1315" s="148"/>
      <c r="D1315" s="148"/>
      <c r="E1315" s="148"/>
      <c r="F1315" s="148"/>
      <c r="G1315" s="141"/>
      <c r="H1315" s="141"/>
      <c r="I1315" s="148" t="s">
        <v>289</v>
      </c>
      <c r="J1315" s="129"/>
      <c r="K1315" s="141"/>
      <c r="L1315" s="141"/>
      <c r="Q1315" s="170"/>
      <c r="R1315" s="170"/>
      <c r="S1315" s="170"/>
      <c r="T1315" s="170"/>
      <c r="U1315" s="170"/>
      <c r="V1315" s="170"/>
      <c r="Z1315" s="310"/>
      <c r="AB1315" s="310"/>
    </row>
    <row r="1316" spans="1:28" ht="15" customHeight="1">
      <c r="B1316" s="146" t="s">
        <v>290</v>
      </c>
      <c r="C1316" s="146"/>
      <c r="D1316" s="146"/>
      <c r="E1316" s="146"/>
      <c r="F1316" s="146"/>
      <c r="G1316" s="146"/>
      <c r="H1316" s="146"/>
      <c r="I1316" s="146" t="s">
        <v>486</v>
      </c>
      <c r="J1316" s="130"/>
      <c r="K1316" s="146"/>
      <c r="L1316" s="146"/>
      <c r="N1316" s="137" t="s">
        <v>803</v>
      </c>
      <c r="Z1316" s="310"/>
      <c r="AB1316" s="310"/>
    </row>
    <row r="1317" spans="1:28" ht="15" customHeight="1">
      <c r="B1317" s="170" t="s">
        <v>993</v>
      </c>
      <c r="C1317" s="170"/>
      <c r="D1317" s="170"/>
      <c r="E1317" s="170"/>
      <c r="F1317" s="170"/>
      <c r="G1317" s="170"/>
      <c r="H1317" s="170"/>
      <c r="I1317" s="170"/>
      <c r="J1317" s="116"/>
      <c r="K1317" s="170"/>
      <c r="L1317" s="170"/>
      <c r="Q1317" s="170"/>
      <c r="R1317" s="170"/>
      <c r="S1317" s="170"/>
      <c r="T1317" s="170"/>
      <c r="U1317" s="170"/>
      <c r="V1317" s="170"/>
      <c r="Z1317" s="310"/>
      <c r="AB1317" s="310"/>
    </row>
    <row r="1318" spans="1:28" ht="15" customHeight="1">
      <c r="B1318" s="169"/>
      <c r="C1318" s="131" t="s">
        <v>291</v>
      </c>
      <c r="D1318" s="118"/>
      <c r="E1318" s="118"/>
      <c r="F1318" s="118"/>
      <c r="G1318" s="118"/>
      <c r="H1318" s="118"/>
      <c r="I1318" s="118" t="s">
        <v>486</v>
      </c>
      <c r="J1318" s="132"/>
      <c r="K1318" s="118"/>
      <c r="L1318" s="118"/>
      <c r="N1318" s="137" t="s">
        <v>804</v>
      </c>
      <c r="Z1318" s="310"/>
    </row>
    <row r="1319" spans="1:28" ht="15" customHeight="1">
      <c r="B1319" s="170"/>
      <c r="C1319" s="124" t="s">
        <v>292</v>
      </c>
      <c r="D1319" s="170"/>
      <c r="E1319" s="170"/>
      <c r="F1319" s="170"/>
      <c r="G1319" s="116"/>
      <c r="H1319" s="116"/>
      <c r="I1319" s="116"/>
      <c r="J1319" s="170"/>
      <c r="K1319" s="170"/>
      <c r="L1319" s="309"/>
      <c r="M1319" s="170"/>
      <c r="N1319" s="137" t="s">
        <v>805</v>
      </c>
      <c r="O1319" s="170"/>
      <c r="Q1319" s="170"/>
      <c r="R1319" s="170"/>
      <c r="S1319" s="170"/>
      <c r="T1319" s="170"/>
      <c r="U1319" s="170"/>
      <c r="V1319" s="170"/>
      <c r="Z1319" s="310"/>
    </row>
    <row r="1320" spans="1:28" ht="15" customHeight="1">
      <c r="B1320" s="170"/>
      <c r="C1320" s="170"/>
      <c r="D1320" s="115"/>
      <c r="E1320" s="170"/>
      <c r="F1320" s="170"/>
      <c r="G1320" s="116"/>
      <c r="H1320" s="116"/>
      <c r="I1320" s="116"/>
      <c r="J1320" s="170"/>
      <c r="K1320" s="170"/>
      <c r="L1320" s="309"/>
      <c r="M1320" s="170"/>
      <c r="N1320" s="170"/>
      <c r="O1320" s="170"/>
      <c r="P1320" s="170"/>
      <c r="Z1320" s="310"/>
    </row>
    <row r="1321" spans="1:28" ht="15" customHeight="1">
      <c r="B1321" s="170"/>
      <c r="C1321" s="170"/>
      <c r="D1321" s="170"/>
      <c r="E1321" s="170"/>
      <c r="F1321" s="170"/>
      <c r="G1321" s="116"/>
      <c r="H1321" s="116"/>
      <c r="I1321" s="116"/>
      <c r="J1321" s="170"/>
      <c r="K1321" s="170"/>
      <c r="L1321" s="309"/>
      <c r="M1321" s="170"/>
      <c r="N1321" s="170"/>
      <c r="O1321" s="170"/>
      <c r="P1321" s="170"/>
      <c r="Q1321" s="170"/>
      <c r="R1321" s="170"/>
      <c r="S1321" s="170"/>
      <c r="T1321" s="170"/>
      <c r="U1321" s="170"/>
      <c r="V1321" s="170"/>
    </row>
    <row r="1322" spans="1:28" ht="15" customHeight="1">
      <c r="B1322" s="170"/>
      <c r="C1322" s="170"/>
      <c r="D1322" s="170"/>
      <c r="E1322" s="170"/>
      <c r="F1322" s="170"/>
      <c r="G1322" s="116"/>
      <c r="H1322" s="116"/>
      <c r="I1322" s="116"/>
      <c r="J1322" s="170"/>
      <c r="K1322" s="170"/>
      <c r="L1322" s="309"/>
      <c r="M1322" s="170"/>
      <c r="N1322" s="170"/>
      <c r="O1322" s="170"/>
      <c r="P1322" s="170"/>
    </row>
    <row r="1323" spans="1:28" ht="15" customHeight="1">
      <c r="B1323" s="169"/>
      <c r="C1323" s="170"/>
      <c r="D1323" s="118"/>
      <c r="E1323" s="118"/>
      <c r="F1323" s="118"/>
      <c r="G1323" s="132"/>
      <c r="H1323" s="132"/>
      <c r="I1323" s="132"/>
      <c r="J1323" s="118"/>
      <c r="K1323" s="118"/>
      <c r="L1323" s="109"/>
      <c r="M1323" s="118"/>
      <c r="N1323" s="118"/>
      <c r="O1323" s="118"/>
      <c r="P1323" s="118"/>
      <c r="Q1323" s="170"/>
      <c r="R1323" s="170"/>
      <c r="S1323" s="170"/>
      <c r="T1323" s="170"/>
      <c r="U1323" s="170"/>
      <c r="V1323" s="170"/>
    </row>
    <row r="1324" spans="1:28" ht="15" customHeight="1">
      <c r="B1324" s="170"/>
      <c r="C1324" s="170"/>
      <c r="D1324" s="170"/>
      <c r="E1324" s="170"/>
      <c r="F1324" s="170"/>
      <c r="G1324" s="116"/>
      <c r="H1324" s="116"/>
      <c r="I1324" s="116"/>
      <c r="J1324" s="170"/>
      <c r="K1324" s="170"/>
      <c r="L1324" s="309"/>
      <c r="M1324" s="170"/>
      <c r="N1324" s="170"/>
    </row>
    <row r="1325" spans="1:28" ht="15" customHeight="1">
      <c r="B1325" s="170"/>
      <c r="C1325" s="170"/>
      <c r="D1325" s="170"/>
      <c r="E1325" s="170"/>
      <c r="F1325" s="122"/>
      <c r="G1325" s="125"/>
      <c r="H1325" s="116"/>
      <c r="I1325" s="116"/>
      <c r="J1325" s="170"/>
      <c r="K1325" s="170"/>
      <c r="L1325" s="309"/>
      <c r="M1325" s="170"/>
      <c r="N1325" s="170"/>
      <c r="O1325" s="170"/>
      <c r="P1325" s="170"/>
      <c r="Q1325" s="170"/>
      <c r="R1325" s="170"/>
      <c r="S1325" s="170"/>
      <c r="T1325" s="170"/>
      <c r="U1325" s="170"/>
      <c r="V1325" s="170"/>
    </row>
    <row r="1326" spans="1:28" ht="15" customHeight="1">
      <c r="B1326" s="170"/>
      <c r="C1326" s="170"/>
      <c r="D1326" s="170" t="s">
        <v>136</v>
      </c>
      <c r="E1326" s="170"/>
      <c r="F1326" s="121"/>
      <c r="G1326" s="120"/>
      <c r="H1326" s="119"/>
      <c r="I1326" s="121"/>
      <c r="J1326" s="242"/>
      <c r="K1326" s="242"/>
      <c r="L1326" s="309"/>
      <c r="M1326" s="170"/>
      <c r="N1326" s="170"/>
    </row>
    <row r="1327" spans="1:28" ht="15" customHeight="1">
      <c r="B1327" s="170"/>
      <c r="C1327" s="170"/>
      <c r="D1327" s="170"/>
      <c r="E1327" s="170"/>
      <c r="F1327" s="121"/>
      <c r="G1327" s="120"/>
      <c r="H1327" s="119"/>
      <c r="I1327" s="121"/>
      <c r="J1327" s="121"/>
      <c r="K1327" s="121"/>
      <c r="L1327" s="309"/>
      <c r="M1327" s="170"/>
      <c r="N1327" s="170"/>
      <c r="O1327" s="170"/>
      <c r="P1327" s="170"/>
      <c r="Q1327" s="170"/>
      <c r="R1327" s="170"/>
      <c r="S1327" s="170"/>
      <c r="T1327" s="170"/>
      <c r="U1327" s="170"/>
      <c r="V1327" s="170"/>
    </row>
    <row r="1328" spans="1:28" ht="15" customHeight="1">
      <c r="A1328" s="134"/>
      <c r="B1328" s="145"/>
      <c r="C1328" s="145"/>
      <c r="D1328" s="145"/>
      <c r="E1328" s="145"/>
      <c r="F1328" s="126"/>
      <c r="G1328" s="127"/>
      <c r="H1328" s="128"/>
      <c r="I1328" s="126"/>
      <c r="J1328" s="126"/>
      <c r="K1328" s="126"/>
      <c r="L1328" s="311"/>
    </row>
    <row r="1329" spans="1:32" ht="15" customHeight="1">
      <c r="C1329" s="134"/>
      <c r="D1329" s="170"/>
      <c r="E1329" s="170"/>
      <c r="F1329" s="170"/>
      <c r="G1329" s="170"/>
      <c r="H1329" s="121"/>
      <c r="I1329" s="120"/>
      <c r="J1329" s="119"/>
      <c r="K1329" s="121"/>
      <c r="L1329" s="121"/>
      <c r="M1329" s="121"/>
      <c r="N1329" s="309"/>
      <c r="O1329" s="170"/>
      <c r="P1329" s="170"/>
      <c r="Q1329" s="170"/>
      <c r="R1329" s="170"/>
      <c r="S1329" s="170"/>
      <c r="T1329" s="170"/>
      <c r="U1329" s="170"/>
      <c r="V1329" s="170"/>
      <c r="W1329" s="170"/>
    </row>
    <row r="1330" spans="1:32" ht="15" customHeight="1">
      <c r="A1330" s="134" t="s">
        <v>32</v>
      </c>
      <c r="B1330" s="143" t="s">
        <v>267</v>
      </c>
      <c r="C1330" s="136"/>
      <c r="D1330" s="147"/>
      <c r="E1330" s="136"/>
      <c r="F1330" s="136"/>
      <c r="G1330" s="136"/>
      <c r="H1330" s="170"/>
      <c r="I1330" s="170"/>
      <c r="J1330" s="170"/>
      <c r="N1330" s="137" t="s">
        <v>805</v>
      </c>
      <c r="Y1330" s="257"/>
    </row>
    <row r="1331" spans="1:32" ht="15" customHeight="1">
      <c r="A1331" s="170"/>
      <c r="B1331" s="148" t="s">
        <v>134</v>
      </c>
      <c r="C1331" s="141"/>
      <c r="D1331" s="148"/>
      <c r="E1331" s="148"/>
      <c r="F1331" s="148"/>
      <c r="G1331" s="141"/>
      <c r="H1331" s="141"/>
      <c r="I1331" s="141"/>
      <c r="J1331" s="148" t="s">
        <v>128</v>
      </c>
      <c r="K1331" s="141"/>
      <c r="L1331" s="141"/>
      <c r="Y1331" s="257"/>
    </row>
    <row r="1332" spans="1:32" ht="15" customHeight="1">
      <c r="A1332" s="170"/>
      <c r="B1332" s="170" t="s">
        <v>1772</v>
      </c>
      <c r="C1332" s="170"/>
      <c r="D1332" s="170"/>
      <c r="E1332" s="170"/>
      <c r="F1332" s="170"/>
      <c r="G1332" s="170"/>
      <c r="H1332" s="170"/>
      <c r="I1332" s="170"/>
      <c r="J1332" s="142">
        <v>1</v>
      </c>
      <c r="K1332" s="170"/>
      <c r="L1332" s="170"/>
      <c r="Y1332" s="257"/>
    </row>
    <row r="1333" spans="1:32" ht="15" customHeight="1">
      <c r="A1333" s="170"/>
      <c r="B1333" s="170" t="s">
        <v>1773</v>
      </c>
      <c r="C1333" s="170"/>
      <c r="D1333" s="147"/>
      <c r="E1333" s="170"/>
      <c r="F1333" s="170"/>
      <c r="G1333" s="170"/>
      <c r="H1333" s="170"/>
      <c r="I1333" s="170"/>
      <c r="J1333" s="170" t="s">
        <v>1775</v>
      </c>
      <c r="K1333" s="170"/>
      <c r="L1333" s="170"/>
      <c r="Y1333" s="257"/>
    </row>
    <row r="1334" spans="1:32" ht="15" customHeight="1">
      <c r="A1334" s="170"/>
      <c r="B1334" s="145" t="s">
        <v>1774</v>
      </c>
      <c r="C1334" s="145"/>
      <c r="D1334" s="149"/>
      <c r="E1334" s="145"/>
      <c r="F1334" s="145"/>
      <c r="G1334" s="145"/>
      <c r="H1334" s="145"/>
      <c r="I1334" s="145"/>
      <c r="J1334" s="145" t="s">
        <v>1776</v>
      </c>
      <c r="K1334" s="145"/>
      <c r="L1334" s="145"/>
      <c r="Y1334" s="257"/>
    </row>
    <row r="1335" spans="1:32" ht="15" customHeight="1">
      <c r="A1335" s="170"/>
      <c r="B1335" s="170"/>
      <c r="C1335" s="170"/>
      <c r="D1335" s="122"/>
      <c r="E1335" s="170"/>
      <c r="F1335" s="170"/>
      <c r="G1335" s="170"/>
      <c r="H1335" s="170"/>
      <c r="I1335" s="170"/>
      <c r="J1335" s="170"/>
      <c r="K1335" s="170"/>
      <c r="L1335" s="170"/>
      <c r="Y1335" s="362"/>
    </row>
    <row r="1336" spans="1:32" ht="15" customHeight="1">
      <c r="A1336" s="134" t="s">
        <v>32</v>
      </c>
      <c r="B1336" s="143" t="s">
        <v>2146</v>
      </c>
      <c r="C1336" s="136"/>
      <c r="D1336" s="147"/>
      <c r="E1336" s="136"/>
      <c r="F1336" s="136"/>
      <c r="G1336" s="136"/>
      <c r="H1336" s="170"/>
      <c r="I1336" s="170"/>
      <c r="L1336" s="362"/>
      <c r="Y1336" s="362"/>
    </row>
    <row r="1337" spans="1:32" ht="15" customHeight="1">
      <c r="A1337" s="170"/>
      <c r="B1337" s="148" t="s">
        <v>134</v>
      </c>
      <c r="C1337" s="141"/>
      <c r="D1337" s="148"/>
      <c r="E1337" s="148"/>
      <c r="F1337" s="148"/>
      <c r="G1337" s="141"/>
      <c r="H1337" s="141"/>
      <c r="I1337" s="141"/>
      <c r="J1337" s="148" t="s">
        <v>994</v>
      </c>
      <c r="K1337" s="141"/>
      <c r="L1337" s="141"/>
      <c r="Y1337" s="362"/>
    </row>
    <row r="1338" spans="1:32" ht="15" customHeight="1">
      <c r="A1338" s="170"/>
      <c r="B1338" s="170" t="s">
        <v>992</v>
      </c>
      <c r="C1338" s="170"/>
      <c r="D1338" s="170"/>
      <c r="E1338" s="170"/>
      <c r="F1338" s="170"/>
      <c r="G1338" s="170"/>
      <c r="H1338" s="170"/>
      <c r="I1338" s="170"/>
      <c r="J1338" s="142">
        <v>5</v>
      </c>
      <c r="K1338" s="170"/>
      <c r="L1338" s="170"/>
      <c r="Y1338" s="362"/>
      <c r="Z1338" s="143"/>
      <c r="AB1338" s="143"/>
      <c r="AD1338" s="559"/>
      <c r="AE1338" s="73"/>
      <c r="AF1338" s="559"/>
    </row>
    <row r="1339" spans="1:32" ht="15" customHeight="1">
      <c r="A1339" s="170"/>
      <c r="B1339" s="145" t="s">
        <v>993</v>
      </c>
      <c r="C1339" s="145"/>
      <c r="D1339" s="98"/>
      <c r="E1339" s="145"/>
      <c r="F1339" s="145"/>
      <c r="G1339" s="145"/>
      <c r="H1339" s="145"/>
      <c r="I1339" s="145"/>
      <c r="J1339" s="145" t="s">
        <v>1777</v>
      </c>
      <c r="K1339" s="145"/>
      <c r="L1339" s="145"/>
      <c r="Y1339" s="362"/>
      <c r="Z1339" s="143"/>
      <c r="AB1339" s="143"/>
      <c r="AD1339" s="559"/>
      <c r="AE1339" s="73"/>
      <c r="AF1339" s="559"/>
    </row>
    <row r="1340" spans="1:32" ht="15" customHeight="1">
      <c r="A1340" s="170"/>
      <c r="B1340" s="170" t="s">
        <v>429</v>
      </c>
      <c r="C1340" s="170"/>
      <c r="D1340" s="122"/>
      <c r="E1340" s="170"/>
      <c r="F1340" s="170"/>
      <c r="G1340" s="170"/>
      <c r="H1340" s="170"/>
      <c r="I1340" s="170"/>
      <c r="J1340" s="170"/>
      <c r="K1340" s="170"/>
      <c r="L1340" s="170"/>
      <c r="Y1340" s="362"/>
      <c r="Z1340" s="143"/>
      <c r="AB1340" s="143"/>
      <c r="AD1340" s="559"/>
      <c r="AE1340" s="73"/>
      <c r="AF1340" s="559"/>
    </row>
    <row r="1341" spans="1:32" ht="15" customHeight="1">
      <c r="A1341" s="170"/>
      <c r="B1341" s="170"/>
      <c r="C1341" s="170"/>
      <c r="D1341" s="122"/>
      <c r="E1341" s="170"/>
      <c r="F1341" s="170"/>
      <c r="G1341" s="170"/>
      <c r="H1341" s="170"/>
      <c r="I1341" s="170"/>
      <c r="J1341" s="170"/>
      <c r="K1341" s="170"/>
      <c r="L1341" s="170"/>
      <c r="Y1341" s="362"/>
      <c r="Z1341" s="143"/>
      <c r="AB1341" s="143"/>
      <c r="AD1341" s="559"/>
      <c r="AE1341" s="73"/>
      <c r="AF1341" s="559"/>
    </row>
    <row r="1342" spans="1:32" ht="15" customHeight="1">
      <c r="A1342" s="134" t="s">
        <v>32</v>
      </c>
      <c r="B1342" s="170" t="s">
        <v>133</v>
      </c>
      <c r="C1342" s="170"/>
      <c r="D1342" s="170"/>
      <c r="E1342" s="170"/>
      <c r="F1342" s="170"/>
      <c r="G1342" s="116"/>
      <c r="H1342" s="116"/>
      <c r="I1342" s="116"/>
      <c r="N1342" s="137" t="s">
        <v>806</v>
      </c>
    </row>
    <row r="1343" spans="1:32" ht="15" customHeight="1">
      <c r="B1343" s="141" t="s">
        <v>134</v>
      </c>
      <c r="C1343" s="141"/>
      <c r="D1343" s="141"/>
      <c r="E1343" s="141"/>
      <c r="F1343" s="141"/>
      <c r="G1343" s="250"/>
      <c r="H1343" s="250"/>
      <c r="I1343" s="141"/>
      <c r="J1343" s="250" t="s">
        <v>138</v>
      </c>
      <c r="K1343" s="141"/>
      <c r="L1343" s="141"/>
    </row>
    <row r="1344" spans="1:32" ht="15" customHeight="1">
      <c r="B1344" s="170" t="s">
        <v>847</v>
      </c>
      <c r="C1344" s="170"/>
      <c r="D1344" s="170"/>
      <c r="E1344" s="170"/>
      <c r="F1344" s="170"/>
      <c r="G1344" s="116"/>
      <c r="H1344" s="116"/>
      <c r="I1344" s="170"/>
      <c r="J1344" s="116" t="s">
        <v>135</v>
      </c>
      <c r="K1344" s="170"/>
      <c r="L1344" s="170"/>
    </row>
    <row r="1345" spans="1:43" ht="15" customHeight="1">
      <c r="B1345" s="170" t="s">
        <v>846</v>
      </c>
      <c r="C1345" s="170"/>
      <c r="D1345" s="170"/>
      <c r="E1345" s="170"/>
      <c r="F1345" s="170"/>
      <c r="G1345" s="116"/>
      <c r="H1345" s="116"/>
      <c r="I1345" s="170"/>
      <c r="J1345" s="116" t="s">
        <v>135</v>
      </c>
      <c r="K1345" s="170"/>
      <c r="L1345" s="170"/>
    </row>
    <row r="1346" spans="1:43" ht="15" customHeight="1">
      <c r="B1346" s="145" t="s">
        <v>136</v>
      </c>
      <c r="C1346" s="145"/>
      <c r="D1346" s="145"/>
      <c r="E1346" s="145"/>
      <c r="F1346" s="145"/>
      <c r="G1346" s="117"/>
      <c r="H1346" s="117"/>
      <c r="I1346" s="145"/>
      <c r="J1346" s="117" t="s">
        <v>137</v>
      </c>
      <c r="K1346" s="145"/>
      <c r="L1346" s="145"/>
    </row>
    <row r="1347" spans="1:43" ht="15" customHeight="1">
      <c r="B1347" s="170"/>
      <c r="C1347" s="135"/>
      <c r="D1347" s="135"/>
      <c r="E1347" s="135"/>
      <c r="F1347" s="135"/>
      <c r="I1347" s="135"/>
    </row>
    <row r="1348" spans="1:43" ht="15" customHeight="1" thickBot="1">
      <c r="A1348" s="468" t="s">
        <v>2141</v>
      </c>
      <c r="B1348" s="135"/>
      <c r="C1348" s="135"/>
      <c r="D1348" s="135"/>
      <c r="E1348" s="135"/>
      <c r="F1348" s="135"/>
      <c r="H1348" s="135"/>
      <c r="I1348" s="135"/>
    </row>
    <row r="1349" spans="1:43" ht="15" customHeight="1">
      <c r="A1349" s="476" t="s">
        <v>16</v>
      </c>
      <c r="B1349" s="1918" t="s">
        <v>706</v>
      </c>
      <c r="C1349" s="1911"/>
      <c r="D1349" s="1911"/>
      <c r="E1349" s="1911"/>
      <c r="F1349" s="1919"/>
      <c r="G1349" s="477" t="s">
        <v>359</v>
      </c>
      <c r="H1349" s="477" t="s">
        <v>1619</v>
      </c>
      <c r="I1349" s="477" t="s">
        <v>131</v>
      </c>
      <c r="J1349" s="1918" t="s">
        <v>811</v>
      </c>
      <c r="K1349" s="1911"/>
      <c r="L1349" s="1911"/>
      <c r="M1349" s="1919"/>
      <c r="N1349" s="478" t="s">
        <v>132</v>
      </c>
      <c r="U1349" s="73"/>
      <c r="V1349" s="73"/>
      <c r="W1349" s="73"/>
      <c r="X1349" s="73"/>
      <c r="Y1349" s="73"/>
      <c r="Z1349" s="73"/>
      <c r="AA1349" s="73"/>
      <c r="AB1349" s="73"/>
      <c r="AC1349" s="73"/>
      <c r="AE1349" s="143"/>
      <c r="AF1349" s="143"/>
      <c r="AG1349" s="143"/>
      <c r="AH1349" s="143"/>
      <c r="AI1349" s="143"/>
      <c r="AJ1349" s="143"/>
      <c r="AK1349" s="143"/>
      <c r="AL1349" s="143"/>
      <c r="AM1349" s="143"/>
      <c r="AN1349" s="143"/>
      <c r="AO1349" s="143"/>
      <c r="AP1349" s="143"/>
      <c r="AQ1349" s="143"/>
    </row>
    <row r="1350" spans="1:43" ht="15" customHeight="1">
      <c r="A1350" s="479"/>
      <c r="B1350" s="524" t="s">
        <v>808</v>
      </c>
      <c r="C1350" s="524" t="s">
        <v>414</v>
      </c>
      <c r="D1350" s="524" t="s">
        <v>467</v>
      </c>
      <c r="E1350" s="524" t="s">
        <v>705</v>
      </c>
      <c r="F1350" s="524"/>
      <c r="G1350" s="480"/>
      <c r="H1350" s="480"/>
      <c r="I1350" s="480"/>
      <c r="J1350" s="480" t="s">
        <v>807</v>
      </c>
      <c r="K1350" s="480" t="s">
        <v>810</v>
      </c>
      <c r="L1350" s="480" t="s">
        <v>809</v>
      </c>
      <c r="M1350" s="685" t="s">
        <v>812</v>
      </c>
      <c r="N1350" s="481"/>
      <c r="U1350" s="73"/>
      <c r="V1350" s="73"/>
      <c r="W1350" s="73"/>
      <c r="X1350" s="73"/>
      <c r="Y1350" s="73"/>
      <c r="Z1350" s="73"/>
      <c r="AA1350" s="73"/>
      <c r="AB1350" s="73"/>
      <c r="AC1350" s="73"/>
      <c r="AE1350" s="143"/>
      <c r="AF1350" s="143"/>
      <c r="AG1350" s="143"/>
      <c r="AH1350" s="143"/>
      <c r="AI1350" s="143"/>
      <c r="AJ1350" s="143"/>
      <c r="AK1350" s="143"/>
      <c r="AL1350" s="143"/>
      <c r="AM1350" s="143"/>
      <c r="AN1350" s="143"/>
      <c r="AO1350" s="143"/>
      <c r="AP1350" s="143"/>
      <c r="AQ1350" s="143"/>
    </row>
    <row r="1351" spans="1:43" ht="15" customHeight="1">
      <c r="A1351" s="579" t="str">
        <f>+input!B3</f>
        <v>101i</v>
      </c>
      <c r="B1351" s="596">
        <f>input!AK3</f>
        <v>2500</v>
      </c>
      <c r="C1351" s="596">
        <f>input!M3</f>
        <v>2600</v>
      </c>
      <c r="D1351" s="596">
        <f>Cons!G904</f>
        <v>650</v>
      </c>
      <c r="E1351" s="596" t="str">
        <f>IF(OR(AND(B1351&lt;=3*C1351,D1351=0),AND(B1351&lt;=1.5*C1351,D1351&gt;0)),"stiffened","unstiffened")</f>
        <v>stiffened</v>
      </c>
      <c r="F1351" s="641"/>
      <c r="G1351" s="644">
        <f>input!N3</f>
        <v>12</v>
      </c>
      <c r="H1351" s="644">
        <f>input!BQ3</f>
        <v>2620.2337681970284</v>
      </c>
      <c r="I1351" s="596">
        <f>0.58*input!BK3*1000*H1351*G1351/10^6</f>
        <v>6474.0735944612179</v>
      </c>
      <c r="J1351" s="595">
        <f>IF(E1351="stiffened",5+5/(B1351/C1351)^2,5)</f>
        <v>10.408000000000001</v>
      </c>
      <c r="K1351" s="595">
        <f>H1351/G1351</f>
        <v>218.35281401641905</v>
      </c>
      <c r="L1351" s="595">
        <f>SQRT(Es*J1351/input!BK3)</f>
        <v>78.46556614479077</v>
      </c>
      <c r="M1351" s="595">
        <f t="shared" ref="M1351:M1382" si="60">IF(K1351&lt;=1.12*L1351,1,IF(K1351&lt;=1.4*L1351,1.12/K1351*L1351,1.57*L1351^2/K1351^2))</f>
        <v>0.20274039632533483</v>
      </c>
      <c r="N1351" s="678">
        <f>IF(E1351="stiffened",IF(2*C1351*G1351/(input!F3*input!G3*input!H3+input!J3*input!K3)&lt;=2.5,I1351*(M1351+0.87*(1-M1351)/SQRT(1+(B1351/C1351)^2)),I1351*(M1351+0.87*(1-M1351)/(SQRT(1+(B1351/C1351)^2)+B1351/C1351))),M1351*I1351)</f>
        <v>4549.4716078986594</v>
      </c>
      <c r="U1351" s="73"/>
      <c r="V1351" s="73"/>
      <c r="W1351" s="73"/>
      <c r="X1351" s="73"/>
      <c r="Y1351" s="73"/>
      <c r="Z1351" s="73"/>
      <c r="AA1351" s="73"/>
      <c r="AB1351" s="73"/>
      <c r="AC1351" s="73"/>
      <c r="AE1351" s="143"/>
      <c r="AF1351" s="143"/>
      <c r="AG1351" s="143"/>
      <c r="AH1351" s="143"/>
      <c r="AI1351" s="143"/>
      <c r="AJ1351" s="143"/>
      <c r="AK1351" s="143"/>
      <c r="AL1351" s="143"/>
      <c r="AM1351" s="143"/>
      <c r="AN1351" s="143"/>
      <c r="AO1351" s="143"/>
      <c r="AP1351" s="143"/>
      <c r="AQ1351" s="143"/>
    </row>
    <row r="1352" spans="1:43" ht="15" customHeight="1">
      <c r="A1352" s="579" t="str">
        <f>+input!B4</f>
        <v>101j</v>
      </c>
      <c r="B1352" s="596">
        <f>input!AK4</f>
        <v>2500</v>
      </c>
      <c r="C1352" s="596">
        <f>input!M4</f>
        <v>2600</v>
      </c>
      <c r="D1352" s="596">
        <f>Cons!G905</f>
        <v>650</v>
      </c>
      <c r="E1352" s="596" t="str">
        <f t="shared" ref="E1352:E1412" si="61">IF(OR(AND(B1352&lt;=3*C1352,D1352=0),AND(B1352&lt;=1.5*C1352,D1352&gt;0)),"stiffened","unstiffened")</f>
        <v>stiffened</v>
      </c>
      <c r="F1352" s="641"/>
      <c r="G1352" s="644">
        <f>input!N4</f>
        <v>12</v>
      </c>
      <c r="H1352" s="644">
        <f>input!BQ4</f>
        <v>2620.2337681970284</v>
      </c>
      <c r="I1352" s="596">
        <f>0.58*input!BK4*1000*H1352*G1352/10^6</f>
        <v>6474.0735944612179</v>
      </c>
      <c r="J1352" s="595">
        <f t="shared" ref="J1352:J1412" si="62">IF(E1352="stiffened",5+5/(B1352/C1352)^2,5)</f>
        <v>10.408000000000001</v>
      </c>
      <c r="K1352" s="595">
        <f t="shared" ref="K1352:K1412" si="63">H1352/G1352</f>
        <v>218.35281401641905</v>
      </c>
      <c r="L1352" s="595">
        <f>SQRT(Es*J1352/input!BK4)</f>
        <v>78.46556614479077</v>
      </c>
      <c r="M1352" s="595">
        <f t="shared" si="60"/>
        <v>0.20274039632533483</v>
      </c>
      <c r="N1352" s="678">
        <f>IF(E1352="stiffened",IF(2*C1352*G1352/(input!F4*input!G4*input!H4+input!J4*input!K4)&lt;=2.5,I1352*(M1352+0.87*(1-M1352)/SQRT(1+(B1352/C1352)^2)),I1352*(M1352+0.87*(1-M1352)/(SQRT(1+(B1352/C1352)^2)+B1352/C1352))),M1352*I1352)</f>
        <v>4549.4716078986594</v>
      </c>
      <c r="U1352" s="73"/>
      <c r="V1352" s="73"/>
      <c r="W1352" s="73"/>
      <c r="X1352" s="73"/>
      <c r="Y1352" s="73"/>
      <c r="Z1352" s="73"/>
      <c r="AA1352" s="73"/>
      <c r="AB1352" s="73"/>
      <c r="AC1352" s="73"/>
      <c r="AE1352" s="143"/>
      <c r="AF1352" s="143"/>
      <c r="AG1352" s="143"/>
      <c r="AH1352" s="143"/>
      <c r="AI1352" s="143"/>
      <c r="AJ1352" s="143"/>
      <c r="AK1352" s="143"/>
      <c r="AL1352" s="143"/>
      <c r="AM1352" s="143"/>
      <c r="AN1352" s="143"/>
      <c r="AO1352" s="143"/>
      <c r="AP1352" s="143"/>
      <c r="AQ1352" s="143"/>
    </row>
    <row r="1353" spans="1:43" ht="15" customHeight="1">
      <c r="A1353" s="579" t="str">
        <f>+input!B5</f>
        <v>102i</v>
      </c>
      <c r="B1353" s="596">
        <f>input!AK5</f>
        <v>2500</v>
      </c>
      <c r="C1353" s="596">
        <f>input!M5</f>
        <v>2600</v>
      </c>
      <c r="D1353" s="596">
        <f>Cons!G906</f>
        <v>650</v>
      </c>
      <c r="E1353" s="596" t="str">
        <f t="shared" si="61"/>
        <v>stiffened</v>
      </c>
      <c r="F1353" s="641"/>
      <c r="G1353" s="644">
        <f>input!N5</f>
        <v>12</v>
      </c>
      <c r="H1353" s="644">
        <f>input!BQ5</f>
        <v>2620.2337681970284</v>
      </c>
      <c r="I1353" s="596">
        <f>0.58*input!BK5*1000*H1353*G1353/10^6</f>
        <v>6474.0735944612179</v>
      </c>
      <c r="J1353" s="595">
        <f t="shared" si="62"/>
        <v>10.408000000000001</v>
      </c>
      <c r="K1353" s="595">
        <f t="shared" si="63"/>
        <v>218.35281401641905</v>
      </c>
      <c r="L1353" s="595">
        <f>SQRT(Es*J1353/input!BK5)</f>
        <v>78.46556614479077</v>
      </c>
      <c r="M1353" s="595">
        <f t="shared" si="60"/>
        <v>0.20274039632533483</v>
      </c>
      <c r="N1353" s="678">
        <f>IF(E1353="stiffened",IF(2*C1353*G1353/(input!F5*input!G5*input!H5+input!J5*input!K5)&lt;=2.5,I1353*(M1353+0.87*(1-M1353)/SQRT(1+(B1353/C1353)^2)),I1353*(M1353+0.87*(1-M1353)/(SQRT(1+(B1353/C1353)^2)+B1353/C1353))),M1353*I1353)</f>
        <v>4549.4716078986594</v>
      </c>
      <c r="U1353" s="73"/>
      <c r="V1353" s="73"/>
      <c r="W1353" s="73"/>
      <c r="X1353" s="73"/>
      <c r="Y1353" s="73"/>
      <c r="Z1353" s="73"/>
      <c r="AA1353" s="73"/>
      <c r="AB1353" s="73"/>
      <c r="AC1353" s="73"/>
      <c r="AE1353" s="143"/>
      <c r="AF1353" s="143"/>
      <c r="AG1353" s="143"/>
      <c r="AH1353" s="143"/>
      <c r="AI1353" s="143"/>
      <c r="AJ1353" s="143"/>
      <c r="AK1353" s="143"/>
      <c r="AL1353" s="143"/>
      <c r="AM1353" s="143"/>
      <c r="AN1353" s="143"/>
      <c r="AO1353" s="143"/>
      <c r="AP1353" s="143"/>
      <c r="AQ1353" s="143"/>
    </row>
    <row r="1354" spans="1:43" ht="15" customHeight="1">
      <c r="A1354" s="579" t="str">
        <f>+input!B6</f>
        <v>102j</v>
      </c>
      <c r="B1354" s="596">
        <f>input!AK6</f>
        <v>2500</v>
      </c>
      <c r="C1354" s="596">
        <f>input!M6</f>
        <v>2600</v>
      </c>
      <c r="D1354" s="596">
        <f>Cons!G907</f>
        <v>650</v>
      </c>
      <c r="E1354" s="596" t="str">
        <f t="shared" si="61"/>
        <v>stiffened</v>
      </c>
      <c r="F1354" s="641"/>
      <c r="G1354" s="644">
        <f>input!N6</f>
        <v>12</v>
      </c>
      <c r="H1354" s="644">
        <f>input!BQ6</f>
        <v>2620.2337681970284</v>
      </c>
      <c r="I1354" s="596">
        <f>0.58*input!BK6*1000*H1354*G1354/10^6</f>
        <v>6474.0735944612179</v>
      </c>
      <c r="J1354" s="595">
        <f t="shared" si="62"/>
        <v>10.408000000000001</v>
      </c>
      <c r="K1354" s="595">
        <f t="shared" si="63"/>
        <v>218.35281401641905</v>
      </c>
      <c r="L1354" s="595">
        <f>SQRT(Es*J1354/input!BK6)</f>
        <v>78.46556614479077</v>
      </c>
      <c r="M1354" s="595">
        <f t="shared" si="60"/>
        <v>0.20274039632533483</v>
      </c>
      <c r="N1354" s="678">
        <f>IF(E1354="stiffened",IF(2*C1354*G1354/(input!F6*input!G6*input!H6+input!J6*input!K6)&lt;=2.5,I1354*(M1354+0.87*(1-M1354)/SQRT(1+(B1354/C1354)^2)),I1354*(M1354+0.87*(1-M1354)/(SQRT(1+(B1354/C1354)^2)+B1354/C1354))),M1354*I1354)</f>
        <v>4549.4716078986594</v>
      </c>
      <c r="U1354" s="73"/>
      <c r="V1354" s="73"/>
      <c r="W1354" s="73"/>
      <c r="X1354" s="73"/>
      <c r="Y1354" s="73"/>
      <c r="Z1354" s="73"/>
      <c r="AA1354" s="73"/>
      <c r="AB1354" s="73"/>
      <c r="AC1354" s="73"/>
      <c r="AE1354" s="143"/>
      <c r="AF1354" s="143"/>
      <c r="AG1354" s="143"/>
      <c r="AH1354" s="143"/>
      <c r="AI1354" s="143"/>
      <c r="AJ1354" s="143"/>
      <c r="AK1354" s="143"/>
      <c r="AL1354" s="143"/>
      <c r="AM1354" s="143"/>
      <c r="AN1354" s="143"/>
      <c r="AO1354" s="143"/>
      <c r="AP1354" s="143"/>
      <c r="AQ1354" s="143"/>
    </row>
    <row r="1355" spans="1:43" ht="15" customHeight="1">
      <c r="A1355" s="579" t="str">
        <f>+input!B7</f>
        <v>103i</v>
      </c>
      <c r="B1355" s="596">
        <f>input!AK7</f>
        <v>2500</v>
      </c>
      <c r="C1355" s="596">
        <f>input!M7</f>
        <v>2800</v>
      </c>
      <c r="D1355" s="596">
        <f>Cons!G908</f>
        <v>700</v>
      </c>
      <c r="E1355" s="596" t="str">
        <f t="shared" si="61"/>
        <v>stiffened</v>
      </c>
      <c r="F1355" s="641"/>
      <c r="G1355" s="644">
        <f>input!N7</f>
        <v>12</v>
      </c>
      <c r="H1355" s="644">
        <f>input!BQ7</f>
        <v>2821.7902119044925</v>
      </c>
      <c r="I1355" s="596">
        <f>0.58*input!BK7*1000*H1355*G1355/10^6</f>
        <v>6972.079255573618</v>
      </c>
      <c r="J1355" s="595">
        <f t="shared" si="62"/>
        <v>11.271999999999998</v>
      </c>
      <c r="K1355" s="595">
        <f t="shared" si="63"/>
        <v>235.14918432537436</v>
      </c>
      <c r="L1355" s="595">
        <f>SQRT(Es*J1355/input!BK7)</f>
        <v>81.657477685585107</v>
      </c>
      <c r="M1355" s="595">
        <f t="shared" si="60"/>
        <v>0.18932354199040394</v>
      </c>
      <c r="N1355" s="678">
        <f>IF(E1355="stiffened",IF(2*C1355*G1355/(input!F7*input!G7*input!H7+input!J7*input!K7)&lt;=2.5,I1355*(M1355+0.87*(1-M1355)/SQRT(1+(B1355/C1355)^2)),I1355*(M1355+0.87*(1-M1355)/(SQRT(1+(B1355/C1355)^2)+B1355/C1355))),M1355*I1355)</f>
        <v>4987.9984783153504</v>
      </c>
      <c r="U1355" s="73"/>
      <c r="V1355" s="73"/>
      <c r="W1355" s="73"/>
      <c r="X1355" s="73"/>
      <c r="Y1355" s="73"/>
      <c r="Z1355" s="73"/>
      <c r="AA1355" s="73"/>
      <c r="AB1355" s="73"/>
      <c r="AC1355" s="73"/>
      <c r="AE1355" s="143"/>
      <c r="AF1355" s="143"/>
      <c r="AG1355" s="143"/>
      <c r="AH1355" s="143"/>
      <c r="AI1355" s="143"/>
      <c r="AJ1355" s="143"/>
      <c r="AK1355" s="143"/>
      <c r="AL1355" s="143"/>
      <c r="AM1355" s="143"/>
      <c r="AN1355" s="143"/>
      <c r="AO1355" s="143"/>
      <c r="AP1355" s="143"/>
      <c r="AQ1355" s="143"/>
    </row>
    <row r="1356" spans="1:43" ht="15" customHeight="1">
      <c r="A1356" s="579" t="str">
        <f>+input!B8</f>
        <v>103j</v>
      </c>
      <c r="B1356" s="596">
        <f>input!AK8</f>
        <v>2500</v>
      </c>
      <c r="C1356" s="596">
        <f>input!M8</f>
        <v>2800</v>
      </c>
      <c r="D1356" s="596">
        <f>Cons!G909</f>
        <v>700</v>
      </c>
      <c r="E1356" s="596" t="str">
        <f t="shared" si="61"/>
        <v>stiffened</v>
      </c>
      <c r="F1356" s="641"/>
      <c r="G1356" s="644">
        <f>input!N8</f>
        <v>12</v>
      </c>
      <c r="H1356" s="644">
        <f>input!BQ8</f>
        <v>2821.7902119044925</v>
      </c>
      <c r="I1356" s="596">
        <f>0.58*input!BK8*1000*H1356*G1356/10^6</f>
        <v>6972.079255573618</v>
      </c>
      <c r="J1356" s="595">
        <f t="shared" si="62"/>
        <v>11.271999999999998</v>
      </c>
      <c r="K1356" s="595">
        <f t="shared" si="63"/>
        <v>235.14918432537436</v>
      </c>
      <c r="L1356" s="595">
        <f>SQRT(Es*J1356/input!BK8)</f>
        <v>81.657477685585107</v>
      </c>
      <c r="M1356" s="595">
        <f t="shared" si="60"/>
        <v>0.18932354199040394</v>
      </c>
      <c r="N1356" s="678">
        <f>IF(E1356="stiffened",IF(2*C1356*G1356/(input!F8*input!G8*input!H8+input!J8*input!K8)&lt;=2.5,I1356*(M1356+0.87*(1-M1356)/SQRT(1+(B1356/C1356)^2)),I1356*(M1356+0.87*(1-M1356)/(SQRT(1+(B1356/C1356)^2)+B1356/C1356))),M1356*I1356)</f>
        <v>4987.9984783153504</v>
      </c>
      <c r="U1356" s="73"/>
      <c r="V1356" s="73"/>
      <c r="W1356" s="73"/>
      <c r="X1356" s="73"/>
      <c r="Y1356" s="73"/>
      <c r="Z1356" s="73"/>
      <c r="AA1356" s="73"/>
      <c r="AB1356" s="73"/>
      <c r="AC1356" s="73"/>
      <c r="AE1356" s="143"/>
      <c r="AF1356" s="143"/>
      <c r="AG1356" s="143"/>
      <c r="AH1356" s="143"/>
      <c r="AI1356" s="143"/>
      <c r="AJ1356" s="143"/>
      <c r="AK1356" s="143"/>
      <c r="AL1356" s="143"/>
      <c r="AM1356" s="143"/>
      <c r="AN1356" s="143"/>
      <c r="AO1356" s="143"/>
      <c r="AP1356" s="143"/>
      <c r="AQ1356" s="143"/>
    </row>
    <row r="1357" spans="1:43" ht="15" customHeight="1">
      <c r="A1357" s="579" t="str">
        <f>+input!B9</f>
        <v>104i</v>
      </c>
      <c r="B1357" s="596">
        <f>input!AK9</f>
        <v>2500</v>
      </c>
      <c r="C1357" s="596">
        <f>input!M9</f>
        <v>2800</v>
      </c>
      <c r="D1357" s="596">
        <f>Cons!G910</f>
        <v>700</v>
      </c>
      <c r="E1357" s="596" t="str">
        <f t="shared" si="61"/>
        <v>stiffened</v>
      </c>
      <c r="F1357" s="641"/>
      <c r="G1357" s="644">
        <f>input!N9</f>
        <v>12</v>
      </c>
      <c r="H1357" s="644">
        <f>input!BQ9</f>
        <v>2821.7902119044925</v>
      </c>
      <c r="I1357" s="596">
        <f>0.58*input!BK9*1000*H1357*G1357/10^6</f>
        <v>6972.079255573618</v>
      </c>
      <c r="J1357" s="595">
        <f t="shared" si="62"/>
        <v>11.271999999999998</v>
      </c>
      <c r="K1357" s="595">
        <f t="shared" si="63"/>
        <v>235.14918432537436</v>
      </c>
      <c r="L1357" s="595">
        <f>SQRT(Es*J1357/input!BK9)</f>
        <v>81.657477685585107</v>
      </c>
      <c r="M1357" s="595">
        <f t="shared" si="60"/>
        <v>0.18932354199040394</v>
      </c>
      <c r="N1357" s="678">
        <f>IF(E1357="stiffened",IF(2*C1357*G1357/(input!F9*input!G9*input!H9+input!J9*input!K9)&lt;=2.5,I1357*(M1357+0.87*(1-M1357)/SQRT(1+(B1357/C1357)^2)),I1357*(M1357+0.87*(1-M1357)/(SQRT(1+(B1357/C1357)^2)+B1357/C1357))),M1357*I1357)</f>
        <v>4987.9984783153504</v>
      </c>
      <c r="U1357" s="73"/>
      <c r="V1357" s="73"/>
      <c r="W1357" s="73"/>
      <c r="X1357" s="73"/>
      <c r="Y1357" s="73"/>
      <c r="Z1357" s="73"/>
      <c r="AA1357" s="73"/>
      <c r="AB1357" s="73"/>
      <c r="AC1357" s="73"/>
      <c r="AE1357" s="143"/>
      <c r="AF1357" s="143"/>
      <c r="AG1357" s="143"/>
      <c r="AH1357" s="143"/>
      <c r="AI1357" s="143"/>
      <c r="AJ1357" s="143"/>
      <c r="AK1357" s="143"/>
      <c r="AL1357" s="143"/>
      <c r="AM1357" s="143"/>
      <c r="AN1357" s="143"/>
      <c r="AO1357" s="143"/>
      <c r="AP1357" s="143"/>
      <c r="AQ1357" s="143"/>
    </row>
    <row r="1358" spans="1:43" ht="15" customHeight="1">
      <c r="A1358" s="579" t="str">
        <f>+input!B10</f>
        <v>104j</v>
      </c>
      <c r="B1358" s="596">
        <f>input!AK10</f>
        <v>2500</v>
      </c>
      <c r="C1358" s="596">
        <f>input!M10</f>
        <v>2800</v>
      </c>
      <c r="D1358" s="596">
        <f>Cons!G911</f>
        <v>700</v>
      </c>
      <c r="E1358" s="596" t="str">
        <f t="shared" si="61"/>
        <v>stiffened</v>
      </c>
      <c r="F1358" s="641"/>
      <c r="G1358" s="644">
        <f>input!N10</f>
        <v>12</v>
      </c>
      <c r="H1358" s="644">
        <f>input!BQ10</f>
        <v>2821.7902119044925</v>
      </c>
      <c r="I1358" s="596">
        <f>0.58*input!BK10*1000*H1358*G1358/10^6</f>
        <v>6972.079255573618</v>
      </c>
      <c r="J1358" s="595">
        <f t="shared" si="62"/>
        <v>11.271999999999998</v>
      </c>
      <c r="K1358" s="595">
        <f t="shared" si="63"/>
        <v>235.14918432537436</v>
      </c>
      <c r="L1358" s="595">
        <f>SQRT(Es*J1358/input!BK10)</f>
        <v>81.657477685585107</v>
      </c>
      <c r="M1358" s="595">
        <f t="shared" si="60"/>
        <v>0.18932354199040394</v>
      </c>
      <c r="N1358" s="678">
        <f>IF(E1358="stiffened",IF(2*C1358*G1358/(input!F10*input!G10*input!H10+input!J10*input!K10)&lt;=2.5,I1358*(M1358+0.87*(1-M1358)/SQRT(1+(B1358/C1358)^2)),I1358*(M1358+0.87*(1-M1358)/(SQRT(1+(B1358/C1358)^2)+B1358/C1358))),M1358*I1358)</f>
        <v>4987.9984783153504</v>
      </c>
      <c r="U1358" s="73"/>
      <c r="V1358" s="73"/>
      <c r="W1358" s="73"/>
      <c r="X1358" s="73"/>
      <c r="Y1358" s="73"/>
      <c r="Z1358" s="73"/>
      <c r="AA1358" s="73"/>
      <c r="AB1358" s="73"/>
      <c r="AC1358" s="73"/>
      <c r="AE1358" s="143"/>
      <c r="AF1358" s="143"/>
      <c r="AG1358" s="143"/>
      <c r="AH1358" s="143"/>
      <c r="AI1358" s="143"/>
      <c r="AJ1358" s="143"/>
      <c r="AK1358" s="143"/>
      <c r="AL1358" s="143"/>
      <c r="AM1358" s="143"/>
      <c r="AN1358" s="143"/>
      <c r="AO1358" s="143"/>
      <c r="AP1358" s="143"/>
      <c r="AQ1358" s="143"/>
    </row>
    <row r="1359" spans="1:43" ht="15" customHeight="1">
      <c r="A1359" s="579" t="str">
        <f>+input!B11</f>
        <v>105i</v>
      </c>
      <c r="B1359" s="596">
        <f>input!AK11</f>
        <v>2500</v>
      </c>
      <c r="C1359" s="596">
        <f>input!M11</f>
        <v>2800</v>
      </c>
      <c r="D1359" s="596">
        <f>Cons!G912</f>
        <v>700</v>
      </c>
      <c r="E1359" s="596" t="str">
        <f t="shared" si="61"/>
        <v>stiffened</v>
      </c>
      <c r="F1359" s="641"/>
      <c r="G1359" s="644">
        <f>input!N11</f>
        <v>12</v>
      </c>
      <c r="H1359" s="644">
        <f>input!BQ11</f>
        <v>2821.7902119044925</v>
      </c>
      <c r="I1359" s="596">
        <f>0.58*input!BK11*1000*H1359*G1359/10^6</f>
        <v>6972.079255573618</v>
      </c>
      <c r="J1359" s="595">
        <f t="shared" si="62"/>
        <v>11.271999999999998</v>
      </c>
      <c r="K1359" s="595">
        <f t="shared" si="63"/>
        <v>235.14918432537436</v>
      </c>
      <c r="L1359" s="595">
        <f>SQRT(Es*J1359/input!BK11)</f>
        <v>81.657477685585107</v>
      </c>
      <c r="M1359" s="595">
        <f t="shared" si="60"/>
        <v>0.18932354199040394</v>
      </c>
      <c r="N1359" s="678">
        <f>IF(E1359="stiffened",IF(2*C1359*G1359/(input!F11*input!G11*input!H11+input!J11*input!K11)&lt;=2.5,I1359*(M1359+0.87*(1-M1359)/SQRT(1+(B1359/C1359)^2)),I1359*(M1359+0.87*(1-M1359)/(SQRT(1+(B1359/C1359)^2)+B1359/C1359))),M1359*I1359)</f>
        <v>4987.9984783153504</v>
      </c>
      <c r="U1359" s="73"/>
      <c r="V1359" s="73"/>
      <c r="W1359" s="73"/>
      <c r="X1359" s="73"/>
      <c r="Y1359" s="73"/>
      <c r="Z1359" s="73"/>
      <c r="AA1359" s="73"/>
      <c r="AB1359" s="73"/>
      <c r="AC1359" s="73"/>
      <c r="AE1359" s="143"/>
      <c r="AF1359" s="143"/>
      <c r="AG1359" s="143"/>
      <c r="AH1359" s="143"/>
      <c r="AI1359" s="143"/>
      <c r="AJ1359" s="143"/>
      <c r="AK1359" s="143"/>
      <c r="AL1359" s="143"/>
      <c r="AM1359" s="143"/>
      <c r="AN1359" s="143"/>
      <c r="AO1359" s="143"/>
      <c r="AP1359" s="143"/>
      <c r="AQ1359" s="143"/>
    </row>
    <row r="1360" spans="1:43" ht="15" customHeight="1">
      <c r="A1360" s="579" t="str">
        <f>+input!B12</f>
        <v>105j</v>
      </c>
      <c r="B1360" s="596">
        <f>input!AK12</f>
        <v>2500</v>
      </c>
      <c r="C1360" s="596">
        <f>input!M12</f>
        <v>2800</v>
      </c>
      <c r="D1360" s="596">
        <f>Cons!G913</f>
        <v>700</v>
      </c>
      <c r="E1360" s="596" t="str">
        <f t="shared" si="61"/>
        <v>stiffened</v>
      </c>
      <c r="F1360" s="641"/>
      <c r="G1360" s="644">
        <f>input!N12</f>
        <v>12</v>
      </c>
      <c r="H1360" s="644">
        <f>input!BQ12</f>
        <v>2821.7902119044925</v>
      </c>
      <c r="I1360" s="596">
        <f>0.58*input!BK12*1000*H1360*G1360/10^6</f>
        <v>6972.079255573618</v>
      </c>
      <c r="J1360" s="595">
        <f t="shared" si="62"/>
        <v>11.271999999999998</v>
      </c>
      <c r="K1360" s="595">
        <f t="shared" si="63"/>
        <v>235.14918432537436</v>
      </c>
      <c r="L1360" s="595">
        <f>SQRT(Es*J1360/input!BK12)</f>
        <v>81.657477685585107</v>
      </c>
      <c r="M1360" s="595">
        <f t="shared" si="60"/>
        <v>0.18932354199040394</v>
      </c>
      <c r="N1360" s="678">
        <f>IF(E1360="stiffened",IF(2*C1360*G1360/(input!F12*input!G12*input!H12+input!J12*input!K12)&lt;=2.5,I1360*(M1360+0.87*(1-M1360)/SQRT(1+(B1360/C1360)^2)),I1360*(M1360+0.87*(1-M1360)/(SQRT(1+(B1360/C1360)^2)+B1360/C1360))),M1360*I1360)</f>
        <v>4987.9984783153504</v>
      </c>
      <c r="U1360" s="73"/>
      <c r="V1360" s="73"/>
      <c r="W1360" s="73"/>
      <c r="X1360" s="73"/>
      <c r="Y1360" s="73"/>
      <c r="Z1360" s="73"/>
      <c r="AA1360" s="73"/>
      <c r="AB1360" s="73"/>
      <c r="AC1360" s="73"/>
      <c r="AE1360" s="143"/>
      <c r="AF1360" s="143"/>
      <c r="AG1360" s="143"/>
      <c r="AH1360" s="143"/>
      <c r="AI1360" s="143"/>
      <c r="AJ1360" s="143"/>
      <c r="AK1360" s="143"/>
      <c r="AL1360" s="143"/>
      <c r="AM1360" s="143"/>
      <c r="AN1360" s="143"/>
      <c r="AO1360" s="143"/>
      <c r="AP1360" s="143"/>
      <c r="AQ1360" s="143"/>
    </row>
    <row r="1361" spans="1:43" ht="15" customHeight="1">
      <c r="A1361" s="579" t="str">
        <f>+input!B13</f>
        <v>106i</v>
      </c>
      <c r="B1361" s="596">
        <f>input!AK13</f>
        <v>2500</v>
      </c>
      <c r="C1361" s="596">
        <f>input!M13</f>
        <v>2800</v>
      </c>
      <c r="D1361" s="596">
        <f>Cons!G914</f>
        <v>700</v>
      </c>
      <c r="E1361" s="596" t="str">
        <f t="shared" si="61"/>
        <v>stiffened</v>
      </c>
      <c r="F1361" s="641"/>
      <c r="G1361" s="644">
        <f>input!N13</f>
        <v>12</v>
      </c>
      <c r="H1361" s="644">
        <f>input!BQ13</f>
        <v>2821.7902119044925</v>
      </c>
      <c r="I1361" s="596">
        <f>0.58*input!BK13*1000*H1361*G1361/10^6</f>
        <v>6972.079255573618</v>
      </c>
      <c r="J1361" s="595">
        <f t="shared" si="62"/>
        <v>11.271999999999998</v>
      </c>
      <c r="K1361" s="595">
        <f t="shared" si="63"/>
        <v>235.14918432537436</v>
      </c>
      <c r="L1361" s="595">
        <f>SQRT(Es*J1361/input!BK13)</f>
        <v>81.657477685585107</v>
      </c>
      <c r="M1361" s="595">
        <f t="shared" si="60"/>
        <v>0.18932354199040394</v>
      </c>
      <c r="N1361" s="678">
        <f>IF(E1361="stiffened",IF(2*C1361*G1361/(input!F13*input!G13*input!H13+input!J13*input!K13)&lt;=2.5,I1361*(M1361+0.87*(1-M1361)/SQRT(1+(B1361/C1361)^2)),I1361*(M1361+0.87*(1-M1361)/(SQRT(1+(B1361/C1361)^2)+B1361/C1361))),M1361*I1361)</f>
        <v>4987.9984783153504</v>
      </c>
      <c r="U1361" s="73"/>
      <c r="V1361" s="73"/>
      <c r="W1361" s="73"/>
      <c r="X1361" s="73"/>
      <c r="Y1361" s="73"/>
      <c r="Z1361" s="73"/>
      <c r="AA1361" s="73"/>
      <c r="AB1361" s="73"/>
      <c r="AC1361" s="73"/>
      <c r="AE1361" s="143"/>
      <c r="AF1361" s="143"/>
      <c r="AG1361" s="143"/>
      <c r="AH1361" s="143"/>
      <c r="AI1361" s="143"/>
      <c r="AJ1361" s="143"/>
      <c r="AK1361" s="143"/>
      <c r="AL1361" s="143"/>
      <c r="AM1361" s="143"/>
      <c r="AN1361" s="143"/>
      <c r="AO1361" s="143"/>
      <c r="AP1361" s="143"/>
      <c r="AQ1361" s="143"/>
    </row>
    <row r="1362" spans="1:43" ht="15" customHeight="1">
      <c r="A1362" s="579" t="str">
        <f>+input!B14</f>
        <v>106j</v>
      </c>
      <c r="B1362" s="596">
        <f>input!AK14</f>
        <v>2500</v>
      </c>
      <c r="C1362" s="596">
        <f>input!M14</f>
        <v>2800</v>
      </c>
      <c r="D1362" s="596">
        <f>Cons!G915</f>
        <v>700</v>
      </c>
      <c r="E1362" s="596" t="str">
        <f t="shared" si="61"/>
        <v>stiffened</v>
      </c>
      <c r="F1362" s="641"/>
      <c r="G1362" s="644">
        <f>input!N14</f>
        <v>12</v>
      </c>
      <c r="H1362" s="644">
        <f>input!BQ14</f>
        <v>2821.7902119044925</v>
      </c>
      <c r="I1362" s="596">
        <f>0.58*input!BK14*1000*H1362*G1362/10^6</f>
        <v>6972.079255573618</v>
      </c>
      <c r="J1362" s="595">
        <f t="shared" si="62"/>
        <v>11.271999999999998</v>
      </c>
      <c r="K1362" s="595">
        <f t="shared" si="63"/>
        <v>235.14918432537436</v>
      </c>
      <c r="L1362" s="595">
        <f>SQRT(Es*J1362/input!BK14)</f>
        <v>81.657477685585107</v>
      </c>
      <c r="M1362" s="595">
        <f t="shared" si="60"/>
        <v>0.18932354199040394</v>
      </c>
      <c r="N1362" s="678">
        <f>IF(E1362="stiffened",IF(2*C1362*G1362/(input!F14*input!G14*input!H14+input!J14*input!K14)&lt;=2.5,I1362*(M1362+0.87*(1-M1362)/SQRT(1+(B1362/C1362)^2)),I1362*(M1362+0.87*(1-M1362)/(SQRT(1+(B1362/C1362)^2)+B1362/C1362))),M1362*I1362)</f>
        <v>4987.9984783153504</v>
      </c>
      <c r="U1362" s="73"/>
      <c r="V1362" s="73"/>
      <c r="W1362" s="73"/>
      <c r="X1362" s="73"/>
      <c r="Y1362" s="73"/>
      <c r="Z1362" s="73"/>
      <c r="AA1362" s="73"/>
      <c r="AB1362" s="73"/>
      <c r="AC1362" s="73"/>
      <c r="AE1362" s="143"/>
      <c r="AF1362" s="143"/>
      <c r="AG1362" s="143"/>
      <c r="AH1362" s="143"/>
      <c r="AI1362" s="143"/>
      <c r="AJ1362" s="143"/>
      <c r="AK1362" s="143"/>
      <c r="AL1362" s="143"/>
      <c r="AM1362" s="143"/>
      <c r="AN1362" s="143"/>
      <c r="AO1362" s="143"/>
      <c r="AP1362" s="143"/>
      <c r="AQ1362" s="143"/>
    </row>
    <row r="1363" spans="1:43" ht="15" customHeight="1">
      <c r="A1363" s="579" t="str">
        <f>+input!B15</f>
        <v>107i</v>
      </c>
      <c r="B1363" s="596">
        <f>input!AK15</f>
        <v>2500</v>
      </c>
      <c r="C1363" s="596">
        <f>input!M15</f>
        <v>2800</v>
      </c>
      <c r="D1363" s="596">
        <f>Cons!G916</f>
        <v>700</v>
      </c>
      <c r="E1363" s="596" t="str">
        <f t="shared" si="61"/>
        <v>stiffened</v>
      </c>
      <c r="F1363" s="641"/>
      <c r="G1363" s="644">
        <f>input!N15</f>
        <v>12</v>
      </c>
      <c r="H1363" s="644">
        <f>input!BQ15</f>
        <v>2821.7902119044925</v>
      </c>
      <c r="I1363" s="596">
        <f>0.58*input!BK15*1000*H1363*G1363/10^6</f>
        <v>6972.079255573618</v>
      </c>
      <c r="J1363" s="595">
        <f t="shared" si="62"/>
        <v>11.271999999999998</v>
      </c>
      <c r="K1363" s="595">
        <f t="shared" si="63"/>
        <v>235.14918432537436</v>
      </c>
      <c r="L1363" s="595">
        <f>SQRT(Es*J1363/input!BK15)</f>
        <v>81.657477685585107</v>
      </c>
      <c r="M1363" s="595">
        <f t="shared" si="60"/>
        <v>0.18932354199040394</v>
      </c>
      <c r="N1363" s="678">
        <f>IF(E1363="stiffened",IF(2*C1363*G1363/(input!F15*input!G15*input!H15+input!J15*input!K15)&lt;=2.5,I1363*(M1363+0.87*(1-M1363)/SQRT(1+(B1363/C1363)^2)),I1363*(M1363+0.87*(1-M1363)/(SQRT(1+(B1363/C1363)^2)+B1363/C1363))),M1363*I1363)</f>
        <v>4987.9984783153504</v>
      </c>
      <c r="U1363" s="73"/>
      <c r="V1363" s="73"/>
      <c r="W1363" s="73"/>
      <c r="X1363" s="73"/>
      <c r="Y1363" s="73"/>
      <c r="Z1363" s="73"/>
      <c r="AA1363" s="73"/>
      <c r="AB1363" s="73"/>
      <c r="AC1363" s="73"/>
      <c r="AE1363" s="143"/>
      <c r="AF1363" s="143"/>
      <c r="AG1363" s="143"/>
      <c r="AH1363" s="143"/>
      <c r="AI1363" s="143"/>
      <c r="AJ1363" s="143"/>
      <c r="AK1363" s="143"/>
      <c r="AL1363" s="143"/>
      <c r="AM1363" s="143"/>
      <c r="AN1363" s="143"/>
      <c r="AO1363" s="143"/>
      <c r="AP1363" s="143"/>
      <c r="AQ1363" s="143"/>
    </row>
    <row r="1364" spans="1:43" ht="15" customHeight="1">
      <c r="A1364" s="579" t="str">
        <f>+input!B16</f>
        <v>107j</v>
      </c>
      <c r="B1364" s="596">
        <f>input!AK16</f>
        <v>2500</v>
      </c>
      <c r="C1364" s="596">
        <f>input!M16</f>
        <v>2800</v>
      </c>
      <c r="D1364" s="596">
        <f>Cons!G917</f>
        <v>700</v>
      </c>
      <c r="E1364" s="596" t="str">
        <f t="shared" si="61"/>
        <v>stiffened</v>
      </c>
      <c r="F1364" s="641"/>
      <c r="G1364" s="644">
        <f>input!N16</f>
        <v>12</v>
      </c>
      <c r="H1364" s="644">
        <f>input!BQ16</f>
        <v>2821.7902119044925</v>
      </c>
      <c r="I1364" s="596">
        <f>0.58*input!BK16*1000*H1364*G1364/10^6</f>
        <v>6972.079255573618</v>
      </c>
      <c r="J1364" s="595">
        <f t="shared" si="62"/>
        <v>11.271999999999998</v>
      </c>
      <c r="K1364" s="595">
        <f t="shared" si="63"/>
        <v>235.14918432537436</v>
      </c>
      <c r="L1364" s="595">
        <f>SQRT(Es*J1364/input!BK16)</f>
        <v>81.657477685585107</v>
      </c>
      <c r="M1364" s="595">
        <f t="shared" si="60"/>
        <v>0.18932354199040394</v>
      </c>
      <c r="N1364" s="678">
        <f>IF(E1364="stiffened",IF(2*C1364*G1364/(input!F16*input!G16*input!H16+input!J16*input!K16)&lt;=2.5,I1364*(M1364+0.87*(1-M1364)/SQRT(1+(B1364/C1364)^2)),I1364*(M1364+0.87*(1-M1364)/(SQRT(1+(B1364/C1364)^2)+B1364/C1364))),M1364*I1364)</f>
        <v>4987.9984783153504</v>
      </c>
      <c r="U1364" s="73"/>
      <c r="V1364" s="73"/>
      <c r="W1364" s="73"/>
      <c r="X1364" s="73"/>
      <c r="Y1364" s="73"/>
      <c r="Z1364" s="73"/>
      <c r="AA1364" s="73"/>
      <c r="AB1364" s="73"/>
      <c r="AC1364" s="73"/>
      <c r="AE1364" s="143"/>
      <c r="AF1364" s="143"/>
      <c r="AG1364" s="143"/>
      <c r="AH1364" s="143"/>
      <c r="AI1364" s="143"/>
      <c r="AJ1364" s="143"/>
      <c r="AK1364" s="143"/>
      <c r="AL1364" s="143"/>
      <c r="AM1364" s="143"/>
      <c r="AN1364" s="143"/>
      <c r="AO1364" s="143"/>
      <c r="AP1364" s="143"/>
      <c r="AQ1364" s="143"/>
    </row>
    <row r="1365" spans="1:43" ht="15" customHeight="1">
      <c r="A1365" s="579" t="str">
        <f>+input!B17</f>
        <v>108i</v>
      </c>
      <c r="B1365" s="596">
        <f>input!AK17</f>
        <v>2500</v>
      </c>
      <c r="C1365" s="596">
        <f>input!M17</f>
        <v>2800</v>
      </c>
      <c r="D1365" s="596">
        <f>Cons!G918</f>
        <v>700</v>
      </c>
      <c r="E1365" s="596" t="str">
        <f t="shared" si="61"/>
        <v>stiffened</v>
      </c>
      <c r="F1365" s="641"/>
      <c r="G1365" s="644">
        <f>input!N17</f>
        <v>12</v>
      </c>
      <c r="H1365" s="644">
        <f>input!BQ17</f>
        <v>2821.7902119044925</v>
      </c>
      <c r="I1365" s="596">
        <f>0.58*input!BK17*1000*H1365*G1365/10^6</f>
        <v>6972.079255573618</v>
      </c>
      <c r="J1365" s="595">
        <f t="shared" si="62"/>
        <v>11.271999999999998</v>
      </c>
      <c r="K1365" s="595">
        <f t="shared" si="63"/>
        <v>235.14918432537436</v>
      </c>
      <c r="L1365" s="595">
        <f>SQRT(Es*J1365/input!BK17)</f>
        <v>81.657477685585107</v>
      </c>
      <c r="M1365" s="595">
        <f t="shared" si="60"/>
        <v>0.18932354199040394</v>
      </c>
      <c r="N1365" s="678">
        <f>IF(E1365="stiffened",IF(2*C1365*G1365/(input!F17*input!G17*input!H17+input!J17*input!K17)&lt;=2.5,I1365*(M1365+0.87*(1-M1365)/SQRT(1+(B1365/C1365)^2)),I1365*(M1365+0.87*(1-M1365)/(SQRT(1+(B1365/C1365)^2)+B1365/C1365))),M1365*I1365)</f>
        <v>4987.9984783153504</v>
      </c>
      <c r="U1365" s="73"/>
      <c r="V1365" s="73"/>
      <c r="W1365" s="73"/>
      <c r="X1365" s="73"/>
      <c r="Y1365" s="73"/>
      <c r="Z1365" s="73"/>
      <c r="AA1365" s="73"/>
      <c r="AB1365" s="73"/>
      <c r="AC1365" s="73"/>
      <c r="AE1365" s="143"/>
      <c r="AF1365" s="143"/>
      <c r="AG1365" s="143"/>
      <c r="AH1365" s="143"/>
      <c r="AI1365" s="143"/>
      <c r="AJ1365" s="143"/>
      <c r="AK1365" s="143"/>
      <c r="AL1365" s="143"/>
      <c r="AM1365" s="143"/>
      <c r="AN1365" s="143"/>
      <c r="AO1365" s="143"/>
      <c r="AP1365" s="143"/>
      <c r="AQ1365" s="143"/>
    </row>
    <row r="1366" spans="1:43" ht="15" customHeight="1">
      <c r="A1366" s="579" t="str">
        <f>+input!B18</f>
        <v>108j</v>
      </c>
      <c r="B1366" s="596">
        <f>input!AK18</f>
        <v>2500</v>
      </c>
      <c r="C1366" s="596">
        <f>input!M18</f>
        <v>2800</v>
      </c>
      <c r="D1366" s="596">
        <f>Cons!G919</f>
        <v>700</v>
      </c>
      <c r="E1366" s="596" t="str">
        <f t="shared" si="61"/>
        <v>stiffened</v>
      </c>
      <c r="F1366" s="641"/>
      <c r="G1366" s="644">
        <f>input!N18</f>
        <v>12</v>
      </c>
      <c r="H1366" s="644">
        <f>input!BQ18</f>
        <v>2821.7902119044925</v>
      </c>
      <c r="I1366" s="596">
        <f>0.58*input!BK18*1000*H1366*G1366/10^6</f>
        <v>6972.079255573618</v>
      </c>
      <c r="J1366" s="595">
        <f t="shared" si="62"/>
        <v>11.271999999999998</v>
      </c>
      <c r="K1366" s="595">
        <f t="shared" si="63"/>
        <v>235.14918432537436</v>
      </c>
      <c r="L1366" s="595">
        <f>SQRT(Es*J1366/input!BK18)</f>
        <v>81.657477685585107</v>
      </c>
      <c r="M1366" s="595">
        <f t="shared" si="60"/>
        <v>0.18932354199040394</v>
      </c>
      <c r="N1366" s="678">
        <f>IF(E1366="stiffened",IF(2*C1366*G1366/(input!F18*input!G18*input!H18+input!J18*input!K18)&lt;=2.5,I1366*(M1366+0.87*(1-M1366)/SQRT(1+(B1366/C1366)^2)),I1366*(M1366+0.87*(1-M1366)/(SQRT(1+(B1366/C1366)^2)+B1366/C1366))),M1366*I1366)</f>
        <v>4987.9984783153504</v>
      </c>
      <c r="U1366" s="73"/>
      <c r="V1366" s="73"/>
      <c r="W1366" s="73"/>
      <c r="X1366" s="73"/>
      <c r="Y1366" s="73"/>
      <c r="Z1366" s="73"/>
      <c r="AA1366" s="73"/>
      <c r="AB1366" s="73"/>
      <c r="AC1366" s="73"/>
      <c r="AE1366" s="143"/>
      <c r="AF1366" s="143"/>
      <c r="AG1366" s="143"/>
      <c r="AH1366" s="143"/>
      <c r="AI1366" s="143"/>
      <c r="AJ1366" s="143"/>
      <c r="AK1366" s="143"/>
      <c r="AL1366" s="143"/>
      <c r="AM1366" s="143"/>
      <c r="AN1366" s="143"/>
      <c r="AO1366" s="143"/>
      <c r="AP1366" s="143"/>
      <c r="AQ1366" s="143"/>
    </row>
    <row r="1367" spans="1:43" ht="15" customHeight="1">
      <c r="A1367" s="579" t="str">
        <f>+input!B19</f>
        <v>109i</v>
      </c>
      <c r="B1367" s="596">
        <f>input!AK19</f>
        <v>2500</v>
      </c>
      <c r="C1367" s="596">
        <f>input!M19</f>
        <v>2800</v>
      </c>
      <c r="D1367" s="596">
        <f>Cons!G920</f>
        <v>700</v>
      </c>
      <c r="E1367" s="596" t="str">
        <f t="shared" si="61"/>
        <v>stiffened</v>
      </c>
      <c r="F1367" s="641"/>
      <c r="G1367" s="644">
        <f>input!N19</f>
        <v>12</v>
      </c>
      <c r="H1367" s="644">
        <f>input!BQ19</f>
        <v>2821.7902119044925</v>
      </c>
      <c r="I1367" s="596">
        <f>0.58*input!BK19*1000*H1367*G1367/10^6</f>
        <v>6972.079255573618</v>
      </c>
      <c r="J1367" s="595">
        <f t="shared" si="62"/>
        <v>11.271999999999998</v>
      </c>
      <c r="K1367" s="595">
        <f t="shared" si="63"/>
        <v>235.14918432537436</v>
      </c>
      <c r="L1367" s="595">
        <f>SQRT(Es*J1367/input!BK19)</f>
        <v>81.657477685585107</v>
      </c>
      <c r="M1367" s="595">
        <f t="shared" si="60"/>
        <v>0.18932354199040394</v>
      </c>
      <c r="N1367" s="678">
        <f>IF(E1367="stiffened",IF(2*C1367*G1367/(input!F19*input!G19*input!H19+input!J19*input!K19)&lt;=2.5,I1367*(M1367+0.87*(1-M1367)/SQRT(1+(B1367/C1367)^2)),I1367*(M1367+0.87*(1-M1367)/(SQRT(1+(B1367/C1367)^2)+B1367/C1367))),M1367*I1367)</f>
        <v>4987.9984783153504</v>
      </c>
      <c r="U1367" s="73"/>
      <c r="V1367" s="73"/>
      <c r="W1367" s="73"/>
      <c r="X1367" s="73"/>
      <c r="Y1367" s="73"/>
      <c r="Z1367" s="73"/>
      <c r="AA1367" s="73"/>
      <c r="AB1367" s="73"/>
      <c r="AC1367" s="73"/>
      <c r="AE1367" s="143"/>
      <c r="AF1367" s="143"/>
      <c r="AG1367" s="143"/>
      <c r="AH1367" s="143"/>
      <c r="AI1367" s="143"/>
      <c r="AJ1367" s="143"/>
      <c r="AK1367" s="143"/>
      <c r="AL1367" s="143"/>
      <c r="AM1367" s="143"/>
      <c r="AN1367" s="143"/>
      <c r="AO1367" s="143"/>
      <c r="AP1367" s="143"/>
      <c r="AQ1367" s="143"/>
    </row>
    <row r="1368" spans="1:43" ht="15" customHeight="1">
      <c r="A1368" s="579" t="str">
        <f>+input!B20</f>
        <v>109j</v>
      </c>
      <c r="B1368" s="596">
        <f>input!AK20</f>
        <v>2500</v>
      </c>
      <c r="C1368" s="596">
        <f>input!M20</f>
        <v>2800</v>
      </c>
      <c r="D1368" s="596">
        <f>Cons!G921</f>
        <v>700</v>
      </c>
      <c r="E1368" s="596" t="str">
        <f t="shared" si="61"/>
        <v>stiffened</v>
      </c>
      <c r="F1368" s="641"/>
      <c r="G1368" s="644">
        <f>input!N20</f>
        <v>12</v>
      </c>
      <c r="H1368" s="644">
        <f>input!BQ20</f>
        <v>2821.7902119044925</v>
      </c>
      <c r="I1368" s="596">
        <f>0.58*input!BK20*1000*H1368*G1368/10^6</f>
        <v>6972.079255573618</v>
      </c>
      <c r="J1368" s="595">
        <f t="shared" si="62"/>
        <v>11.271999999999998</v>
      </c>
      <c r="K1368" s="595">
        <f t="shared" si="63"/>
        <v>235.14918432537436</v>
      </c>
      <c r="L1368" s="595">
        <f>SQRT(Es*J1368/input!BK20)</f>
        <v>81.657477685585107</v>
      </c>
      <c r="M1368" s="595">
        <f t="shared" si="60"/>
        <v>0.18932354199040394</v>
      </c>
      <c r="N1368" s="678">
        <f>IF(E1368="stiffened",IF(2*C1368*G1368/(input!F20*input!G20*input!H20+input!J20*input!K20)&lt;=2.5,I1368*(M1368+0.87*(1-M1368)/SQRT(1+(B1368/C1368)^2)),I1368*(M1368+0.87*(1-M1368)/(SQRT(1+(B1368/C1368)^2)+B1368/C1368))),M1368*I1368)</f>
        <v>4987.9984783153504</v>
      </c>
      <c r="U1368" s="73"/>
      <c r="V1368" s="73"/>
      <c r="W1368" s="73"/>
      <c r="X1368" s="73"/>
      <c r="Y1368" s="73"/>
      <c r="Z1368" s="73"/>
      <c r="AA1368" s="73"/>
      <c r="AB1368" s="73"/>
      <c r="AC1368" s="73"/>
      <c r="AE1368" s="143"/>
      <c r="AF1368" s="143"/>
      <c r="AG1368" s="143"/>
      <c r="AH1368" s="143"/>
      <c r="AI1368" s="143"/>
      <c r="AJ1368" s="143"/>
      <c r="AK1368" s="143"/>
      <c r="AL1368" s="143"/>
      <c r="AM1368" s="143"/>
      <c r="AN1368" s="143"/>
      <c r="AO1368" s="143"/>
      <c r="AP1368" s="143"/>
      <c r="AQ1368" s="143"/>
    </row>
    <row r="1369" spans="1:43" ht="15" customHeight="1">
      <c r="A1369" s="579" t="str">
        <f>+input!B21</f>
        <v>110i</v>
      </c>
      <c r="B1369" s="596">
        <f>input!AK21</f>
        <v>2500</v>
      </c>
      <c r="C1369" s="596">
        <f>input!M21</f>
        <v>2800</v>
      </c>
      <c r="D1369" s="596">
        <f>Cons!G922</f>
        <v>700</v>
      </c>
      <c r="E1369" s="596" t="str">
        <f t="shared" si="61"/>
        <v>stiffened</v>
      </c>
      <c r="F1369" s="641"/>
      <c r="G1369" s="644">
        <f>input!N21</f>
        <v>12</v>
      </c>
      <c r="H1369" s="644">
        <f>input!BQ21</f>
        <v>2821.7902119044925</v>
      </c>
      <c r="I1369" s="596">
        <f>0.58*input!BK21*1000*H1369*G1369/10^6</f>
        <v>6972.079255573618</v>
      </c>
      <c r="J1369" s="595">
        <f t="shared" si="62"/>
        <v>11.271999999999998</v>
      </c>
      <c r="K1369" s="595">
        <f t="shared" si="63"/>
        <v>235.14918432537436</v>
      </c>
      <c r="L1369" s="595">
        <f>SQRT(Es*J1369/input!BK21)</f>
        <v>81.657477685585107</v>
      </c>
      <c r="M1369" s="595">
        <f t="shared" si="60"/>
        <v>0.18932354199040394</v>
      </c>
      <c r="N1369" s="678">
        <f>IF(E1369="stiffened",IF(2*C1369*G1369/(input!F21*input!G21*input!H21+input!J21*input!K21)&lt;=2.5,I1369*(M1369+0.87*(1-M1369)/SQRT(1+(B1369/C1369)^2)),I1369*(M1369+0.87*(1-M1369)/(SQRT(1+(B1369/C1369)^2)+B1369/C1369))),M1369*I1369)</f>
        <v>4987.9984783153504</v>
      </c>
      <c r="U1369" s="73"/>
      <c r="V1369" s="73"/>
      <c r="W1369" s="73"/>
      <c r="X1369" s="73"/>
      <c r="Y1369" s="73"/>
      <c r="Z1369" s="73"/>
      <c r="AA1369" s="73"/>
      <c r="AB1369" s="73"/>
      <c r="AC1369" s="73"/>
      <c r="AE1369" s="143"/>
      <c r="AF1369" s="143"/>
      <c r="AG1369" s="143"/>
      <c r="AH1369" s="143"/>
      <c r="AI1369" s="143"/>
      <c r="AJ1369" s="143"/>
      <c r="AK1369" s="143"/>
      <c r="AL1369" s="143"/>
      <c r="AM1369" s="143"/>
      <c r="AN1369" s="143"/>
      <c r="AO1369" s="143"/>
      <c r="AP1369" s="143"/>
      <c r="AQ1369" s="143"/>
    </row>
    <row r="1370" spans="1:43" ht="15" customHeight="1">
      <c r="A1370" s="579" t="str">
        <f>+input!B22</f>
        <v>110j</v>
      </c>
      <c r="B1370" s="596">
        <f>input!AK22</f>
        <v>2500</v>
      </c>
      <c r="C1370" s="596">
        <f>input!M22</f>
        <v>2800</v>
      </c>
      <c r="D1370" s="596">
        <f>Cons!G923</f>
        <v>700</v>
      </c>
      <c r="E1370" s="596" t="str">
        <f t="shared" si="61"/>
        <v>stiffened</v>
      </c>
      <c r="F1370" s="641"/>
      <c r="G1370" s="644">
        <f>input!N22</f>
        <v>12</v>
      </c>
      <c r="H1370" s="644">
        <f>input!BQ22</f>
        <v>2821.7902119044925</v>
      </c>
      <c r="I1370" s="596">
        <f>0.58*input!BK22*1000*H1370*G1370/10^6</f>
        <v>6972.079255573618</v>
      </c>
      <c r="J1370" s="595">
        <f t="shared" si="62"/>
        <v>11.271999999999998</v>
      </c>
      <c r="K1370" s="595">
        <f t="shared" si="63"/>
        <v>235.14918432537436</v>
      </c>
      <c r="L1370" s="595">
        <f>SQRT(Es*J1370/input!BK22)</f>
        <v>81.657477685585107</v>
      </c>
      <c r="M1370" s="595">
        <f t="shared" si="60"/>
        <v>0.18932354199040394</v>
      </c>
      <c r="N1370" s="678">
        <f>IF(E1370="stiffened",IF(2*C1370*G1370/(input!F22*input!G22*input!H22+input!J22*input!K22)&lt;=2.5,I1370*(M1370+0.87*(1-M1370)/SQRT(1+(B1370/C1370)^2)),I1370*(M1370+0.87*(1-M1370)/(SQRT(1+(B1370/C1370)^2)+B1370/C1370))),M1370*I1370)</f>
        <v>4987.9984783153504</v>
      </c>
      <c r="U1370" s="73"/>
      <c r="V1370" s="73"/>
      <c r="W1370" s="73"/>
      <c r="X1370" s="73"/>
      <c r="Y1370" s="73"/>
      <c r="Z1370" s="73"/>
      <c r="AA1370" s="73"/>
      <c r="AB1370" s="73"/>
      <c r="AC1370" s="73"/>
      <c r="AE1370" s="143"/>
      <c r="AF1370" s="143"/>
      <c r="AG1370" s="143"/>
      <c r="AH1370" s="143"/>
      <c r="AI1370" s="143"/>
      <c r="AJ1370" s="143"/>
      <c r="AK1370" s="143"/>
      <c r="AL1370" s="143"/>
      <c r="AM1370" s="143"/>
      <c r="AN1370" s="143"/>
      <c r="AO1370" s="143"/>
      <c r="AP1370" s="143"/>
      <c r="AQ1370" s="143"/>
    </row>
    <row r="1371" spans="1:43" ht="15" customHeight="1">
      <c r="A1371" s="579" t="str">
        <f>+input!B23</f>
        <v>111i</v>
      </c>
      <c r="B1371" s="596">
        <f>input!AK23</f>
        <v>2500</v>
      </c>
      <c r="C1371" s="596">
        <f>input!M23</f>
        <v>2800</v>
      </c>
      <c r="D1371" s="596">
        <f>Cons!G924</f>
        <v>700</v>
      </c>
      <c r="E1371" s="596" t="str">
        <f t="shared" si="61"/>
        <v>stiffened</v>
      </c>
      <c r="F1371" s="641"/>
      <c r="G1371" s="644">
        <f>input!N23</f>
        <v>12</v>
      </c>
      <c r="H1371" s="644">
        <f>input!BQ23</f>
        <v>2821.7902119044925</v>
      </c>
      <c r="I1371" s="596">
        <f>0.58*input!BK23*1000*H1371*G1371/10^6</f>
        <v>6972.079255573618</v>
      </c>
      <c r="J1371" s="595">
        <f t="shared" si="62"/>
        <v>11.271999999999998</v>
      </c>
      <c r="K1371" s="595">
        <f t="shared" si="63"/>
        <v>235.14918432537436</v>
      </c>
      <c r="L1371" s="595">
        <f>SQRT(Es*J1371/input!BK23)</f>
        <v>81.657477685585107</v>
      </c>
      <c r="M1371" s="595">
        <f t="shared" si="60"/>
        <v>0.18932354199040394</v>
      </c>
      <c r="N1371" s="678">
        <f>IF(E1371="stiffened",IF(2*C1371*G1371/(input!F23*input!G23*input!H23+input!J23*input!K23)&lt;=2.5,I1371*(M1371+0.87*(1-M1371)/SQRT(1+(B1371/C1371)^2)),I1371*(M1371+0.87*(1-M1371)/(SQRT(1+(B1371/C1371)^2)+B1371/C1371))),M1371*I1371)</f>
        <v>4987.9984783153504</v>
      </c>
      <c r="U1371" s="73"/>
      <c r="V1371" s="73"/>
      <c r="W1371" s="73"/>
      <c r="X1371" s="73"/>
      <c r="Y1371" s="73"/>
      <c r="Z1371" s="73"/>
      <c r="AA1371" s="73"/>
      <c r="AB1371" s="73"/>
      <c r="AC1371" s="73"/>
      <c r="AE1371" s="143"/>
      <c r="AF1371" s="143"/>
      <c r="AG1371" s="143"/>
      <c r="AH1371" s="143"/>
      <c r="AI1371" s="143"/>
      <c r="AJ1371" s="143"/>
      <c r="AK1371" s="143"/>
      <c r="AL1371" s="143"/>
      <c r="AM1371" s="143"/>
      <c r="AN1371" s="143"/>
      <c r="AO1371" s="143"/>
      <c r="AP1371" s="143"/>
      <c r="AQ1371" s="143"/>
    </row>
    <row r="1372" spans="1:43" ht="15" customHeight="1">
      <c r="A1372" s="579" t="str">
        <f>+input!B24</f>
        <v>111j</v>
      </c>
      <c r="B1372" s="596">
        <f>input!AK24</f>
        <v>2500</v>
      </c>
      <c r="C1372" s="596">
        <f>input!M24</f>
        <v>2800</v>
      </c>
      <c r="D1372" s="596">
        <f>Cons!G925</f>
        <v>700</v>
      </c>
      <c r="E1372" s="596" t="str">
        <f t="shared" si="61"/>
        <v>stiffened</v>
      </c>
      <c r="F1372" s="641"/>
      <c r="G1372" s="644">
        <f>input!N24</f>
        <v>12</v>
      </c>
      <c r="H1372" s="644">
        <f>input!BQ24</f>
        <v>2821.7902119044925</v>
      </c>
      <c r="I1372" s="596">
        <f>0.58*input!BK24*1000*H1372*G1372/10^6</f>
        <v>6972.079255573618</v>
      </c>
      <c r="J1372" s="595">
        <f t="shared" si="62"/>
        <v>11.271999999999998</v>
      </c>
      <c r="K1372" s="595">
        <f t="shared" si="63"/>
        <v>235.14918432537436</v>
      </c>
      <c r="L1372" s="595">
        <f>SQRT(Es*J1372/input!BK24)</f>
        <v>81.657477685585107</v>
      </c>
      <c r="M1372" s="595">
        <f t="shared" si="60"/>
        <v>0.18932354199040394</v>
      </c>
      <c r="N1372" s="678">
        <f>IF(E1372="stiffened",IF(2*C1372*G1372/(input!F24*input!G24*input!H24+input!J24*input!K24)&lt;=2.5,I1372*(M1372+0.87*(1-M1372)/SQRT(1+(B1372/C1372)^2)),I1372*(M1372+0.87*(1-M1372)/(SQRT(1+(B1372/C1372)^2)+B1372/C1372))),M1372*I1372)</f>
        <v>4987.9984783153504</v>
      </c>
      <c r="U1372" s="73"/>
      <c r="V1372" s="73"/>
      <c r="W1372" s="73"/>
      <c r="X1372" s="73"/>
      <c r="Y1372" s="73"/>
      <c r="Z1372" s="73"/>
      <c r="AA1372" s="73"/>
      <c r="AB1372" s="73"/>
      <c r="AC1372" s="73"/>
      <c r="AE1372" s="143"/>
      <c r="AF1372" s="143"/>
      <c r="AG1372" s="143"/>
      <c r="AH1372" s="143"/>
      <c r="AI1372" s="143"/>
      <c r="AJ1372" s="143"/>
      <c r="AK1372" s="143"/>
      <c r="AL1372" s="143"/>
      <c r="AM1372" s="143"/>
      <c r="AN1372" s="143"/>
      <c r="AO1372" s="143"/>
      <c r="AP1372" s="143"/>
      <c r="AQ1372" s="143"/>
    </row>
    <row r="1373" spans="1:43" ht="15" customHeight="1">
      <c r="A1373" s="579" t="str">
        <f>+input!B25</f>
        <v>112i</v>
      </c>
      <c r="B1373" s="596">
        <f>input!AK25</f>
        <v>2500</v>
      </c>
      <c r="C1373" s="596">
        <f>input!M25</f>
        <v>2800</v>
      </c>
      <c r="D1373" s="596">
        <f>Cons!G926</f>
        <v>700</v>
      </c>
      <c r="E1373" s="596" t="str">
        <f t="shared" si="61"/>
        <v>stiffened</v>
      </c>
      <c r="F1373" s="641"/>
      <c r="G1373" s="644">
        <f>input!N25</f>
        <v>12</v>
      </c>
      <c r="H1373" s="644">
        <f>input!BQ25</f>
        <v>2821.7902119044925</v>
      </c>
      <c r="I1373" s="596">
        <f>0.58*input!BK25*1000*H1373*G1373/10^6</f>
        <v>6972.079255573618</v>
      </c>
      <c r="J1373" s="595">
        <f t="shared" si="62"/>
        <v>11.271999999999998</v>
      </c>
      <c r="K1373" s="595">
        <f t="shared" si="63"/>
        <v>235.14918432537436</v>
      </c>
      <c r="L1373" s="595">
        <f>SQRT(Es*J1373/input!BK25)</f>
        <v>81.657477685585107</v>
      </c>
      <c r="M1373" s="595">
        <f t="shared" si="60"/>
        <v>0.18932354199040394</v>
      </c>
      <c r="N1373" s="678">
        <f>IF(E1373="stiffened",IF(2*C1373*G1373/(input!F25*input!G25*input!H25+input!J25*input!K25)&lt;=2.5,I1373*(M1373+0.87*(1-M1373)/SQRT(1+(B1373/C1373)^2)),I1373*(M1373+0.87*(1-M1373)/(SQRT(1+(B1373/C1373)^2)+B1373/C1373))),M1373*I1373)</f>
        <v>4987.9984783153504</v>
      </c>
      <c r="U1373" s="73"/>
      <c r="V1373" s="73"/>
      <c r="W1373" s="73"/>
      <c r="X1373" s="73"/>
      <c r="Y1373" s="73"/>
      <c r="Z1373" s="73"/>
      <c r="AA1373" s="73"/>
      <c r="AB1373" s="73"/>
      <c r="AC1373" s="73"/>
      <c r="AE1373" s="143"/>
      <c r="AF1373" s="143"/>
      <c r="AG1373" s="143"/>
      <c r="AH1373" s="143"/>
      <c r="AI1373" s="143"/>
      <c r="AJ1373" s="143"/>
      <c r="AK1373" s="143"/>
      <c r="AL1373" s="143"/>
      <c r="AM1373" s="143"/>
      <c r="AN1373" s="143"/>
      <c r="AO1373" s="143"/>
      <c r="AP1373" s="143"/>
      <c r="AQ1373" s="143"/>
    </row>
    <row r="1374" spans="1:43" ht="15" customHeight="1">
      <c r="A1374" s="579" t="str">
        <f>+input!B26</f>
        <v>112j</v>
      </c>
      <c r="B1374" s="596">
        <f>input!AK26</f>
        <v>2500</v>
      </c>
      <c r="C1374" s="596">
        <f>input!M26</f>
        <v>2800</v>
      </c>
      <c r="D1374" s="596">
        <f>Cons!G927</f>
        <v>700</v>
      </c>
      <c r="E1374" s="596" t="str">
        <f t="shared" si="61"/>
        <v>stiffened</v>
      </c>
      <c r="F1374" s="641"/>
      <c r="G1374" s="644">
        <f>input!N26</f>
        <v>12</v>
      </c>
      <c r="H1374" s="644">
        <f>input!BQ26</f>
        <v>2821.7902119044925</v>
      </c>
      <c r="I1374" s="596">
        <f>0.58*input!BK26*1000*H1374*G1374/10^6</f>
        <v>6972.079255573618</v>
      </c>
      <c r="J1374" s="595">
        <f t="shared" si="62"/>
        <v>11.271999999999998</v>
      </c>
      <c r="K1374" s="595">
        <f t="shared" si="63"/>
        <v>235.14918432537436</v>
      </c>
      <c r="L1374" s="595">
        <f>SQRT(Es*J1374/input!BK26)</f>
        <v>81.657477685585107</v>
      </c>
      <c r="M1374" s="595">
        <f t="shared" si="60"/>
        <v>0.18932354199040394</v>
      </c>
      <c r="N1374" s="678">
        <f>IF(E1374="stiffened",IF(2*C1374*G1374/(input!F26*input!G26*input!H26+input!J26*input!K26)&lt;=2.5,I1374*(M1374+0.87*(1-M1374)/SQRT(1+(B1374/C1374)^2)),I1374*(M1374+0.87*(1-M1374)/(SQRT(1+(B1374/C1374)^2)+B1374/C1374))),M1374*I1374)</f>
        <v>4987.9984783153504</v>
      </c>
      <c r="U1374" s="73"/>
      <c r="V1374" s="73"/>
      <c r="W1374" s="73"/>
      <c r="X1374" s="73"/>
      <c r="Y1374" s="73"/>
      <c r="Z1374" s="73"/>
      <c r="AA1374" s="73"/>
      <c r="AB1374" s="73"/>
      <c r="AC1374" s="73"/>
      <c r="AE1374" s="143"/>
      <c r="AF1374" s="143"/>
      <c r="AG1374" s="143"/>
      <c r="AH1374" s="143"/>
      <c r="AI1374" s="143"/>
      <c r="AJ1374" s="143"/>
      <c r="AK1374" s="143"/>
      <c r="AL1374" s="143"/>
      <c r="AM1374" s="143"/>
      <c r="AN1374" s="143"/>
      <c r="AO1374" s="143"/>
      <c r="AP1374" s="143"/>
      <c r="AQ1374" s="143"/>
    </row>
    <row r="1375" spans="1:43" ht="15" customHeight="1">
      <c r="A1375" s="579" t="str">
        <f>+input!B27</f>
        <v>113i</v>
      </c>
      <c r="B1375" s="596">
        <f>input!AK27</f>
        <v>2500</v>
      </c>
      <c r="C1375" s="596">
        <f>input!M27</f>
        <v>2800</v>
      </c>
      <c r="D1375" s="596">
        <f>Cons!G928</f>
        <v>700</v>
      </c>
      <c r="E1375" s="596" t="str">
        <f t="shared" si="61"/>
        <v>stiffened</v>
      </c>
      <c r="F1375" s="641"/>
      <c r="G1375" s="644">
        <f>input!N27</f>
        <v>12</v>
      </c>
      <c r="H1375" s="644">
        <f>input!BQ27</f>
        <v>2821.7902119044925</v>
      </c>
      <c r="I1375" s="596">
        <f>0.58*input!BK27*1000*H1375*G1375/10^6</f>
        <v>6972.079255573618</v>
      </c>
      <c r="J1375" s="595">
        <f t="shared" si="62"/>
        <v>11.271999999999998</v>
      </c>
      <c r="K1375" s="595">
        <f t="shared" si="63"/>
        <v>235.14918432537436</v>
      </c>
      <c r="L1375" s="595">
        <f>SQRT(Es*J1375/input!BK27)</f>
        <v>81.657477685585107</v>
      </c>
      <c r="M1375" s="595">
        <f t="shared" si="60"/>
        <v>0.18932354199040394</v>
      </c>
      <c r="N1375" s="678">
        <f>IF(E1375="stiffened",IF(2*C1375*G1375/(input!F27*input!G27*input!H27+input!J27*input!K27)&lt;=2.5,I1375*(M1375+0.87*(1-M1375)/SQRT(1+(B1375/C1375)^2)),I1375*(M1375+0.87*(1-M1375)/(SQRT(1+(B1375/C1375)^2)+B1375/C1375))),M1375*I1375)</f>
        <v>4987.9984783153504</v>
      </c>
      <c r="U1375" s="73"/>
      <c r="V1375" s="73"/>
      <c r="W1375" s="73"/>
      <c r="X1375" s="73"/>
      <c r="Y1375" s="73"/>
      <c r="Z1375" s="73"/>
      <c r="AA1375" s="73"/>
      <c r="AB1375" s="73"/>
      <c r="AC1375" s="73"/>
      <c r="AE1375" s="143"/>
      <c r="AF1375" s="143"/>
      <c r="AG1375" s="143"/>
      <c r="AH1375" s="143"/>
      <c r="AI1375" s="143"/>
      <c r="AJ1375" s="143"/>
      <c r="AK1375" s="143"/>
      <c r="AL1375" s="143"/>
      <c r="AM1375" s="143"/>
      <c r="AN1375" s="143"/>
      <c r="AO1375" s="143"/>
      <c r="AP1375" s="143"/>
      <c r="AQ1375" s="143"/>
    </row>
    <row r="1376" spans="1:43" ht="15" customHeight="1">
      <c r="A1376" s="579" t="str">
        <f>+input!B28</f>
        <v>113j</v>
      </c>
      <c r="B1376" s="596">
        <f>input!AK28</f>
        <v>2500</v>
      </c>
      <c r="C1376" s="596">
        <f>input!M28</f>
        <v>2800</v>
      </c>
      <c r="D1376" s="596">
        <f>Cons!G929</f>
        <v>700</v>
      </c>
      <c r="E1376" s="596" t="str">
        <f t="shared" si="61"/>
        <v>stiffened</v>
      </c>
      <c r="F1376" s="641"/>
      <c r="G1376" s="644">
        <f>input!N28</f>
        <v>12</v>
      </c>
      <c r="H1376" s="644">
        <f>input!BQ28</f>
        <v>2821.7902119044925</v>
      </c>
      <c r="I1376" s="596">
        <f>0.58*input!BK28*1000*H1376*G1376/10^6</f>
        <v>6972.079255573618</v>
      </c>
      <c r="J1376" s="595">
        <f t="shared" si="62"/>
        <v>11.271999999999998</v>
      </c>
      <c r="K1376" s="595">
        <f t="shared" si="63"/>
        <v>235.14918432537436</v>
      </c>
      <c r="L1376" s="595">
        <f>SQRT(Es*J1376/input!BK28)</f>
        <v>81.657477685585107</v>
      </c>
      <c r="M1376" s="595">
        <f t="shared" si="60"/>
        <v>0.18932354199040394</v>
      </c>
      <c r="N1376" s="678">
        <f>IF(E1376="stiffened",IF(2*C1376*G1376/(input!F28*input!G28*input!H28+input!J28*input!K28)&lt;=2.5,I1376*(M1376+0.87*(1-M1376)/SQRT(1+(B1376/C1376)^2)),I1376*(M1376+0.87*(1-M1376)/(SQRT(1+(B1376/C1376)^2)+B1376/C1376))),M1376*I1376)</f>
        <v>4987.9984783153504</v>
      </c>
      <c r="U1376" s="73"/>
      <c r="V1376" s="73"/>
      <c r="W1376" s="73"/>
      <c r="X1376" s="73"/>
      <c r="Y1376" s="73"/>
      <c r="Z1376" s="73"/>
      <c r="AA1376" s="73"/>
      <c r="AB1376" s="73"/>
      <c r="AC1376" s="73"/>
      <c r="AE1376" s="143"/>
      <c r="AF1376" s="143"/>
      <c r="AG1376" s="143"/>
      <c r="AH1376" s="143"/>
      <c r="AI1376" s="143"/>
      <c r="AJ1376" s="143"/>
      <c r="AK1376" s="143"/>
      <c r="AL1376" s="143"/>
      <c r="AM1376" s="143"/>
      <c r="AN1376" s="143"/>
      <c r="AO1376" s="143"/>
      <c r="AP1376" s="143"/>
      <c r="AQ1376" s="143"/>
    </row>
    <row r="1377" spans="1:43" ht="15" customHeight="1">
      <c r="A1377" s="579" t="str">
        <f>+input!B29</f>
        <v>114i</v>
      </c>
      <c r="B1377" s="596">
        <f>input!AK29</f>
        <v>2500</v>
      </c>
      <c r="C1377" s="596">
        <f>input!M29</f>
        <v>2800</v>
      </c>
      <c r="D1377" s="596">
        <f>Cons!G930</f>
        <v>700</v>
      </c>
      <c r="E1377" s="596" t="str">
        <f t="shared" si="61"/>
        <v>stiffened</v>
      </c>
      <c r="F1377" s="641"/>
      <c r="G1377" s="644">
        <f>input!N29</f>
        <v>12</v>
      </c>
      <c r="H1377" s="644">
        <f>input!BQ29</f>
        <v>2821.7902119044925</v>
      </c>
      <c r="I1377" s="596">
        <f>0.58*input!BK29*1000*H1377*G1377/10^6</f>
        <v>6972.079255573618</v>
      </c>
      <c r="J1377" s="595">
        <f t="shared" si="62"/>
        <v>11.271999999999998</v>
      </c>
      <c r="K1377" s="595">
        <f t="shared" si="63"/>
        <v>235.14918432537436</v>
      </c>
      <c r="L1377" s="595">
        <f>SQRT(Es*J1377/input!BK29)</f>
        <v>81.657477685585107</v>
      </c>
      <c r="M1377" s="595">
        <f t="shared" si="60"/>
        <v>0.18932354199040394</v>
      </c>
      <c r="N1377" s="678">
        <f>IF(E1377="stiffened",IF(2*C1377*G1377/(input!F29*input!G29*input!H29+input!J29*input!K29)&lt;=2.5,I1377*(M1377+0.87*(1-M1377)/SQRT(1+(B1377/C1377)^2)),I1377*(M1377+0.87*(1-M1377)/(SQRT(1+(B1377/C1377)^2)+B1377/C1377))),M1377*I1377)</f>
        <v>4987.9984783153504</v>
      </c>
      <c r="U1377" s="73"/>
      <c r="V1377" s="73"/>
      <c r="W1377" s="73"/>
      <c r="X1377" s="73"/>
      <c r="Y1377" s="73"/>
      <c r="Z1377" s="73"/>
      <c r="AA1377" s="73"/>
      <c r="AB1377" s="73"/>
      <c r="AC1377" s="73"/>
      <c r="AE1377" s="143"/>
      <c r="AF1377" s="143"/>
      <c r="AG1377" s="143"/>
      <c r="AH1377" s="143"/>
      <c r="AI1377" s="143"/>
      <c r="AJ1377" s="143"/>
      <c r="AK1377" s="143"/>
      <c r="AL1377" s="143"/>
      <c r="AM1377" s="143"/>
      <c r="AN1377" s="143"/>
      <c r="AO1377" s="143"/>
      <c r="AP1377" s="143"/>
      <c r="AQ1377" s="143"/>
    </row>
    <row r="1378" spans="1:43" ht="15" customHeight="1">
      <c r="A1378" s="579" t="str">
        <f>+input!B30</f>
        <v>114j</v>
      </c>
      <c r="B1378" s="596">
        <f>input!AK30</f>
        <v>2500</v>
      </c>
      <c r="C1378" s="596">
        <f>input!M30</f>
        <v>2800</v>
      </c>
      <c r="D1378" s="596">
        <f>Cons!G931</f>
        <v>700</v>
      </c>
      <c r="E1378" s="596" t="str">
        <f t="shared" si="61"/>
        <v>stiffened</v>
      </c>
      <c r="F1378" s="641"/>
      <c r="G1378" s="644">
        <f>input!N30</f>
        <v>12</v>
      </c>
      <c r="H1378" s="644">
        <f>input!BQ30</f>
        <v>2821.7902119044925</v>
      </c>
      <c r="I1378" s="596">
        <f>0.58*input!BK30*1000*H1378*G1378/10^6</f>
        <v>6972.079255573618</v>
      </c>
      <c r="J1378" s="595">
        <f t="shared" si="62"/>
        <v>11.271999999999998</v>
      </c>
      <c r="K1378" s="595">
        <f t="shared" si="63"/>
        <v>235.14918432537436</v>
      </c>
      <c r="L1378" s="595">
        <f>SQRT(Es*J1378/input!BK30)</f>
        <v>81.657477685585107</v>
      </c>
      <c r="M1378" s="595">
        <f t="shared" si="60"/>
        <v>0.18932354199040394</v>
      </c>
      <c r="N1378" s="678">
        <f>IF(E1378="stiffened",IF(2*C1378*G1378/(input!F30*input!G30*input!H30+input!J30*input!K30)&lt;=2.5,I1378*(M1378+0.87*(1-M1378)/SQRT(1+(B1378/C1378)^2)),I1378*(M1378+0.87*(1-M1378)/(SQRT(1+(B1378/C1378)^2)+B1378/C1378))),M1378*I1378)</f>
        <v>4987.9984783153504</v>
      </c>
      <c r="U1378" s="73"/>
      <c r="V1378" s="73"/>
      <c r="W1378" s="73"/>
      <c r="X1378" s="73"/>
      <c r="Y1378" s="73"/>
      <c r="Z1378" s="73"/>
      <c r="AA1378" s="73"/>
      <c r="AB1378" s="73"/>
      <c r="AC1378" s="73"/>
      <c r="AE1378" s="143"/>
      <c r="AF1378" s="143"/>
      <c r="AG1378" s="143"/>
      <c r="AH1378" s="143"/>
      <c r="AI1378" s="143"/>
      <c r="AJ1378" s="143"/>
      <c r="AK1378" s="143"/>
      <c r="AL1378" s="143"/>
      <c r="AM1378" s="143"/>
      <c r="AN1378" s="143"/>
      <c r="AO1378" s="143"/>
      <c r="AP1378" s="143"/>
      <c r="AQ1378" s="143"/>
    </row>
    <row r="1379" spans="1:43" ht="15" customHeight="1">
      <c r="A1379" s="579" t="str">
        <f>+input!B31</f>
        <v>115i</v>
      </c>
      <c r="B1379" s="596">
        <f>input!AK31</f>
        <v>2500</v>
      </c>
      <c r="C1379" s="596">
        <f>input!M31</f>
        <v>2800</v>
      </c>
      <c r="D1379" s="596">
        <f>Cons!G932</f>
        <v>700</v>
      </c>
      <c r="E1379" s="596" t="str">
        <f t="shared" si="61"/>
        <v>stiffened</v>
      </c>
      <c r="F1379" s="641"/>
      <c r="G1379" s="644">
        <f>input!N31</f>
        <v>12</v>
      </c>
      <c r="H1379" s="644">
        <f>input!BQ31</f>
        <v>2821.7902119044925</v>
      </c>
      <c r="I1379" s="596">
        <f>0.58*input!BK31*1000*H1379*G1379/10^6</f>
        <v>6972.079255573618</v>
      </c>
      <c r="J1379" s="595">
        <f t="shared" si="62"/>
        <v>11.271999999999998</v>
      </c>
      <c r="K1379" s="595">
        <f t="shared" si="63"/>
        <v>235.14918432537436</v>
      </c>
      <c r="L1379" s="595">
        <f>SQRT(Es*J1379/input!BK31)</f>
        <v>81.657477685585107</v>
      </c>
      <c r="M1379" s="595">
        <f t="shared" si="60"/>
        <v>0.18932354199040394</v>
      </c>
      <c r="N1379" s="678">
        <f>IF(E1379="stiffened",IF(2*C1379*G1379/(input!F31*input!G31*input!H31+input!J31*input!K31)&lt;=2.5,I1379*(M1379+0.87*(1-M1379)/SQRT(1+(B1379/C1379)^2)),I1379*(M1379+0.87*(1-M1379)/(SQRT(1+(B1379/C1379)^2)+B1379/C1379))),M1379*I1379)</f>
        <v>4987.9984783153504</v>
      </c>
      <c r="U1379" s="73"/>
      <c r="V1379" s="73"/>
      <c r="W1379" s="73"/>
      <c r="X1379" s="73"/>
      <c r="Y1379" s="73"/>
      <c r="Z1379" s="73"/>
      <c r="AA1379" s="73"/>
      <c r="AB1379" s="73"/>
      <c r="AC1379" s="73"/>
      <c r="AE1379" s="143"/>
      <c r="AF1379" s="143"/>
      <c r="AG1379" s="143"/>
      <c r="AH1379" s="143"/>
      <c r="AI1379" s="143"/>
      <c r="AJ1379" s="143"/>
      <c r="AK1379" s="143"/>
      <c r="AL1379" s="143"/>
      <c r="AM1379" s="143"/>
      <c r="AN1379" s="143"/>
      <c r="AO1379" s="143"/>
      <c r="AP1379" s="143"/>
      <c r="AQ1379" s="143"/>
    </row>
    <row r="1380" spans="1:43" ht="15" customHeight="1">
      <c r="A1380" s="579" t="str">
        <f>+input!B32</f>
        <v>115j</v>
      </c>
      <c r="B1380" s="596">
        <f>input!AK32</f>
        <v>2500</v>
      </c>
      <c r="C1380" s="596">
        <f>input!M32</f>
        <v>2800</v>
      </c>
      <c r="D1380" s="596">
        <f>Cons!G933</f>
        <v>700</v>
      </c>
      <c r="E1380" s="596" t="str">
        <f t="shared" si="61"/>
        <v>stiffened</v>
      </c>
      <c r="F1380" s="641"/>
      <c r="G1380" s="644">
        <f>input!N32</f>
        <v>12</v>
      </c>
      <c r="H1380" s="644">
        <f>input!BQ32</f>
        <v>2821.7902119044925</v>
      </c>
      <c r="I1380" s="596">
        <f>0.58*input!BK32*1000*H1380*G1380/10^6</f>
        <v>6972.079255573618</v>
      </c>
      <c r="J1380" s="595">
        <f t="shared" si="62"/>
        <v>11.271999999999998</v>
      </c>
      <c r="K1380" s="595">
        <f t="shared" si="63"/>
        <v>235.14918432537436</v>
      </c>
      <c r="L1380" s="595">
        <f>SQRT(Es*J1380/input!BK32)</f>
        <v>81.657477685585107</v>
      </c>
      <c r="M1380" s="595">
        <f t="shared" si="60"/>
        <v>0.18932354199040394</v>
      </c>
      <c r="N1380" s="678">
        <f>IF(E1380="stiffened",IF(2*C1380*G1380/(input!F32*input!G32*input!H32+input!J32*input!K32)&lt;=2.5,I1380*(M1380+0.87*(1-M1380)/SQRT(1+(B1380/C1380)^2)),I1380*(M1380+0.87*(1-M1380)/(SQRT(1+(B1380/C1380)^2)+B1380/C1380))),M1380*I1380)</f>
        <v>4987.9984783153504</v>
      </c>
      <c r="U1380" s="73"/>
      <c r="V1380" s="73"/>
      <c r="W1380" s="73"/>
      <c r="X1380" s="73"/>
      <c r="Y1380" s="73"/>
      <c r="Z1380" s="73"/>
      <c r="AA1380" s="73"/>
      <c r="AB1380" s="73"/>
      <c r="AC1380" s="73"/>
      <c r="AE1380" s="143"/>
      <c r="AF1380" s="143"/>
      <c r="AG1380" s="143"/>
      <c r="AH1380" s="143"/>
      <c r="AI1380" s="143"/>
      <c r="AJ1380" s="143"/>
      <c r="AK1380" s="143"/>
      <c r="AL1380" s="143"/>
      <c r="AM1380" s="143"/>
      <c r="AN1380" s="143"/>
      <c r="AO1380" s="143"/>
      <c r="AP1380" s="143"/>
      <c r="AQ1380" s="143"/>
    </row>
    <row r="1381" spans="1:43" ht="15" customHeight="1">
      <c r="A1381" s="579" t="str">
        <f>+input!B33</f>
        <v>116i</v>
      </c>
      <c r="B1381" s="596">
        <f>input!AK33</f>
        <v>2500</v>
      </c>
      <c r="C1381" s="596">
        <f>input!M33</f>
        <v>2814</v>
      </c>
      <c r="D1381" s="596">
        <f>Cons!G934</f>
        <v>703.5</v>
      </c>
      <c r="E1381" s="596" t="str">
        <f t="shared" si="61"/>
        <v>stiffened</v>
      </c>
      <c r="F1381" s="641"/>
      <c r="G1381" s="644">
        <f>input!N33</f>
        <v>12</v>
      </c>
      <c r="H1381" s="644">
        <f>input!BQ33</f>
        <v>2835.8681651303891</v>
      </c>
      <c r="I1381" s="596">
        <f>0.58*input!BK33*1000*H1381*G1381/10^6</f>
        <v>7006.8630624041652</v>
      </c>
      <c r="J1381" s="595">
        <f t="shared" si="62"/>
        <v>11.3348768</v>
      </c>
      <c r="K1381" s="595">
        <f t="shared" si="63"/>
        <v>236.3223470941991</v>
      </c>
      <c r="L1381" s="595">
        <f>SQRT(Es*J1381/input!BK33)</f>
        <v>81.884909407853627</v>
      </c>
      <c r="M1381" s="595">
        <f t="shared" si="60"/>
        <v>0.1884941236845043</v>
      </c>
      <c r="N1381" s="678">
        <f>IF(E1381="stiffened",IF(2*C1381*G1381/(input!F33*input!G33*input!H33+input!J33*input!K33)&lt;=2.5,I1381*(M1381+0.87*(1-M1381)/SQRT(1+(B1381/C1381)^2)),I1381*(M1381+0.87*(1-M1381)/(SQRT(1+(B1381/C1381)^2)+B1381/C1381))),M1381*I1381)</f>
        <v>5018.9937439250962</v>
      </c>
      <c r="U1381" s="73"/>
      <c r="V1381" s="73"/>
      <c r="W1381" s="73"/>
      <c r="X1381" s="73"/>
      <c r="Y1381" s="73"/>
      <c r="Z1381" s="73"/>
      <c r="AA1381" s="73"/>
      <c r="AB1381" s="73"/>
      <c r="AC1381" s="73"/>
      <c r="AE1381" s="143"/>
      <c r="AF1381" s="143"/>
      <c r="AG1381" s="143"/>
      <c r="AH1381" s="143"/>
      <c r="AI1381" s="143"/>
      <c r="AJ1381" s="143"/>
      <c r="AK1381" s="143"/>
      <c r="AL1381" s="143"/>
      <c r="AM1381" s="143"/>
      <c r="AN1381" s="143"/>
      <c r="AO1381" s="143"/>
      <c r="AP1381" s="143"/>
      <c r="AQ1381" s="143"/>
    </row>
    <row r="1382" spans="1:43" ht="15" customHeight="1">
      <c r="A1382" s="579" t="str">
        <f>+input!B34</f>
        <v>116j</v>
      </c>
      <c r="B1382" s="596">
        <f>input!AK34</f>
        <v>2500</v>
      </c>
      <c r="C1382" s="596">
        <f>input!M34</f>
        <v>2814</v>
      </c>
      <c r="D1382" s="596">
        <f>Cons!G935</f>
        <v>703.5</v>
      </c>
      <c r="E1382" s="596" t="str">
        <f t="shared" si="61"/>
        <v>stiffened</v>
      </c>
      <c r="F1382" s="641"/>
      <c r="G1382" s="644">
        <f>input!N34</f>
        <v>12</v>
      </c>
      <c r="H1382" s="644">
        <f>input!BQ34</f>
        <v>2835.8681651303891</v>
      </c>
      <c r="I1382" s="596">
        <f>0.58*input!BK34*1000*H1382*G1382/10^6</f>
        <v>7006.8630624041652</v>
      </c>
      <c r="J1382" s="595">
        <f t="shared" si="62"/>
        <v>11.3348768</v>
      </c>
      <c r="K1382" s="595">
        <f t="shared" si="63"/>
        <v>236.3223470941991</v>
      </c>
      <c r="L1382" s="595">
        <f>SQRT(Es*J1382/input!BK34)</f>
        <v>81.884909407853627</v>
      </c>
      <c r="M1382" s="595">
        <f t="shared" si="60"/>
        <v>0.1884941236845043</v>
      </c>
      <c r="N1382" s="678">
        <f>IF(E1382="stiffened",IF(2*C1382*G1382/(input!F34*input!G34*input!H34+input!J34*input!K34)&lt;=2.5,I1382*(M1382+0.87*(1-M1382)/SQRT(1+(B1382/C1382)^2)),I1382*(M1382+0.87*(1-M1382)/(SQRT(1+(B1382/C1382)^2)+B1382/C1382))),M1382*I1382)</f>
        <v>5018.9937439250962</v>
      </c>
      <c r="U1382" s="73"/>
      <c r="V1382" s="73"/>
      <c r="W1382" s="73"/>
      <c r="X1382" s="73"/>
      <c r="Y1382" s="73"/>
      <c r="Z1382" s="73"/>
      <c r="AA1382" s="73"/>
      <c r="AB1382" s="73"/>
      <c r="AC1382" s="73"/>
      <c r="AE1382" s="143"/>
      <c r="AF1382" s="143"/>
      <c r="AG1382" s="143"/>
      <c r="AH1382" s="143"/>
      <c r="AI1382" s="143"/>
      <c r="AJ1382" s="143"/>
      <c r="AK1382" s="143"/>
      <c r="AL1382" s="143"/>
      <c r="AM1382" s="143"/>
      <c r="AN1382" s="143"/>
      <c r="AO1382" s="143"/>
      <c r="AP1382" s="143"/>
      <c r="AQ1382" s="143"/>
    </row>
    <row r="1383" spans="1:43" ht="15" customHeight="1">
      <c r="A1383" s="579" t="str">
        <f>+input!B35</f>
        <v>117i</v>
      </c>
      <c r="B1383" s="596">
        <f>input!AK35</f>
        <v>2500</v>
      </c>
      <c r="C1383" s="596">
        <f>input!M35</f>
        <v>2924</v>
      </c>
      <c r="D1383" s="596">
        <f>Cons!G936</f>
        <v>731</v>
      </c>
      <c r="E1383" s="596" t="str">
        <f t="shared" si="61"/>
        <v>stiffened</v>
      </c>
      <c r="F1383" s="641"/>
      <c r="G1383" s="644">
        <f>input!N35</f>
        <v>12</v>
      </c>
      <c r="H1383" s="644">
        <f>input!BQ35</f>
        <v>2946.7552070031197</v>
      </c>
      <c r="I1383" s="596">
        <f>0.58*input!BK35*1000*H1383*G1383/10^6</f>
        <v>7280.8427654633069</v>
      </c>
      <c r="J1383" s="595">
        <f t="shared" si="62"/>
        <v>11.8398208</v>
      </c>
      <c r="K1383" s="595">
        <f t="shared" si="63"/>
        <v>245.56293391692665</v>
      </c>
      <c r="L1383" s="595">
        <f>SQRT(Es*J1383/input!BK35)</f>
        <v>83.688933894141755</v>
      </c>
      <c r="M1383" s="595">
        <f t="shared" ref="M1383:M1412" si="64">IF(K1383&lt;=1.12*L1383,1,IF(K1383&lt;=1.4*L1383,1.12/K1383*L1383,1.57*L1383^2/K1383^2))</f>
        <v>0.18235181745845419</v>
      </c>
      <c r="N1383" s="678">
        <f>IF(E1383="stiffened",IF(2*C1383*G1383/(input!F35*input!G35*input!H35+input!J35*input!K35)&lt;=2.5,I1383*(M1383+0.87*(1-M1383)/SQRT(1+(B1383/C1383)^2)),I1383*(M1383+0.87*(1-M1383)/(SQRT(1+(B1383/C1383)^2)+B1383/C1383))),M1383*I1383)</f>
        <v>5264.2376535428275</v>
      </c>
      <c r="U1383" s="73"/>
      <c r="V1383" s="73"/>
      <c r="W1383" s="73"/>
      <c r="X1383" s="73"/>
      <c r="Y1383" s="73"/>
      <c r="Z1383" s="73"/>
      <c r="AA1383" s="73"/>
      <c r="AB1383" s="73"/>
      <c r="AC1383" s="73"/>
      <c r="AE1383" s="143"/>
      <c r="AF1383" s="143"/>
      <c r="AG1383" s="143"/>
      <c r="AH1383" s="143"/>
      <c r="AI1383" s="143"/>
      <c r="AJ1383" s="143"/>
      <c r="AK1383" s="143"/>
      <c r="AL1383" s="143"/>
      <c r="AM1383" s="143"/>
      <c r="AN1383" s="143"/>
      <c r="AO1383" s="143"/>
      <c r="AP1383" s="143"/>
      <c r="AQ1383" s="143"/>
    </row>
    <row r="1384" spans="1:43" ht="15" customHeight="1">
      <c r="A1384" s="579" t="str">
        <f>+input!B36</f>
        <v>117j</v>
      </c>
      <c r="B1384" s="596">
        <f>input!AK36</f>
        <v>2500</v>
      </c>
      <c r="C1384" s="596">
        <f>input!M36</f>
        <v>2924</v>
      </c>
      <c r="D1384" s="596">
        <f>Cons!G937</f>
        <v>731</v>
      </c>
      <c r="E1384" s="596" t="str">
        <f t="shared" si="61"/>
        <v>stiffened</v>
      </c>
      <c r="F1384" s="641"/>
      <c r="G1384" s="644">
        <f>input!N36</f>
        <v>12</v>
      </c>
      <c r="H1384" s="644">
        <f>input!BQ36</f>
        <v>2946.7552070031197</v>
      </c>
      <c r="I1384" s="596">
        <f>0.58*input!BK36*1000*H1384*G1384/10^6</f>
        <v>7280.8427654633069</v>
      </c>
      <c r="J1384" s="595">
        <f t="shared" si="62"/>
        <v>11.8398208</v>
      </c>
      <c r="K1384" s="595">
        <f t="shared" si="63"/>
        <v>245.56293391692665</v>
      </c>
      <c r="L1384" s="595">
        <f>SQRT(Es*J1384/input!BK36)</f>
        <v>83.688933894141755</v>
      </c>
      <c r="M1384" s="595">
        <f t="shared" si="64"/>
        <v>0.18235181745845419</v>
      </c>
      <c r="N1384" s="678">
        <f>IF(E1384="stiffened",IF(2*C1384*G1384/(input!F36*input!G36*input!H36+input!J36*input!K36)&lt;=2.5,I1384*(M1384+0.87*(1-M1384)/SQRT(1+(B1384/C1384)^2)),I1384*(M1384+0.87*(1-M1384)/(SQRT(1+(B1384/C1384)^2)+B1384/C1384))),M1384*I1384)</f>
        <v>5264.2376535428275</v>
      </c>
      <c r="U1384" s="73"/>
      <c r="V1384" s="73"/>
      <c r="W1384" s="73"/>
      <c r="X1384" s="73"/>
      <c r="Y1384" s="73"/>
      <c r="Z1384" s="73"/>
      <c r="AA1384" s="73"/>
      <c r="AB1384" s="73"/>
      <c r="AC1384" s="73"/>
      <c r="AE1384" s="143"/>
      <c r="AF1384" s="143"/>
      <c r="AG1384" s="143"/>
      <c r="AH1384" s="143"/>
      <c r="AI1384" s="143"/>
      <c r="AJ1384" s="143"/>
      <c r="AK1384" s="143"/>
      <c r="AL1384" s="143"/>
      <c r="AM1384" s="143"/>
      <c r="AN1384" s="143"/>
      <c r="AO1384" s="143"/>
      <c r="AP1384" s="143"/>
      <c r="AQ1384" s="143"/>
    </row>
    <row r="1385" spans="1:43" ht="15" customHeight="1">
      <c r="A1385" s="579" t="str">
        <f>+input!B37</f>
        <v>118i</v>
      </c>
      <c r="B1385" s="596">
        <f>input!AK37</f>
        <v>2500</v>
      </c>
      <c r="C1385" s="596">
        <f>input!M37</f>
        <v>3103</v>
      </c>
      <c r="D1385" s="596">
        <f>Cons!G938</f>
        <v>775.75</v>
      </c>
      <c r="E1385" s="596" t="str">
        <f t="shared" si="61"/>
        <v>stiffened</v>
      </c>
      <c r="F1385" s="641"/>
      <c r="G1385" s="644">
        <f>input!N37</f>
        <v>14</v>
      </c>
      <c r="H1385" s="644">
        <f>input!BQ37</f>
        <v>3127.1637309229591</v>
      </c>
      <c r="I1385" s="596">
        <f>0.58*input!BK37*1000*H1385*G1385/10^6</f>
        <v>9014.3621707585226</v>
      </c>
      <c r="J1385" s="595">
        <f t="shared" si="62"/>
        <v>12.702887199999999</v>
      </c>
      <c r="K1385" s="595">
        <f t="shared" si="63"/>
        <v>223.3688379230685</v>
      </c>
      <c r="L1385" s="595">
        <f>SQRT(Es*J1385/input!BK37)</f>
        <v>86.685546531499639</v>
      </c>
      <c r="M1385" s="595">
        <f t="shared" si="64"/>
        <v>0.23645465384839207</v>
      </c>
      <c r="N1385" s="678">
        <f>IF(E1385="stiffened",IF(2*C1385*G1385/(input!F37*input!G37*input!H37+input!J37*input!K37)&lt;=2.5,I1385*(M1385+0.87*(1-M1385)/SQRT(1+(B1385/C1385)^2)),I1385*(M1385+0.87*(1-M1385)/(SQRT(1+(B1385/C1385)^2)+B1385/C1385))),M1385*I1385)</f>
        <v>6794.4795403845001</v>
      </c>
      <c r="U1385" s="73"/>
      <c r="V1385" s="73"/>
      <c r="W1385" s="73"/>
      <c r="X1385" s="73"/>
      <c r="Y1385" s="73"/>
      <c r="Z1385" s="73"/>
      <c r="AA1385" s="73"/>
      <c r="AB1385" s="73"/>
      <c r="AC1385" s="73"/>
      <c r="AE1385" s="143"/>
      <c r="AF1385" s="143"/>
      <c r="AG1385" s="143"/>
      <c r="AH1385" s="143"/>
      <c r="AI1385" s="143"/>
      <c r="AJ1385" s="143"/>
      <c r="AK1385" s="143"/>
      <c r="AL1385" s="143"/>
      <c r="AM1385" s="143"/>
      <c r="AN1385" s="143"/>
      <c r="AO1385" s="143"/>
      <c r="AP1385" s="143"/>
      <c r="AQ1385" s="143"/>
    </row>
    <row r="1386" spans="1:43" ht="15" customHeight="1">
      <c r="A1386" s="579" t="str">
        <f>+input!B38</f>
        <v>118j</v>
      </c>
      <c r="B1386" s="596">
        <f>input!AK38</f>
        <v>2500</v>
      </c>
      <c r="C1386" s="596">
        <f>input!M38</f>
        <v>3103</v>
      </c>
      <c r="D1386" s="596">
        <f>Cons!G939</f>
        <v>775.75</v>
      </c>
      <c r="E1386" s="596" t="str">
        <f t="shared" si="61"/>
        <v>stiffened</v>
      </c>
      <c r="F1386" s="641"/>
      <c r="G1386" s="644">
        <f>input!N38</f>
        <v>14</v>
      </c>
      <c r="H1386" s="644">
        <f>input!BQ38</f>
        <v>3127.1637309229591</v>
      </c>
      <c r="I1386" s="596">
        <f>0.58*input!BK38*1000*H1386*G1386/10^6</f>
        <v>9014.3621707585226</v>
      </c>
      <c r="J1386" s="595">
        <f t="shared" si="62"/>
        <v>12.702887199999999</v>
      </c>
      <c r="K1386" s="595">
        <f t="shared" si="63"/>
        <v>223.3688379230685</v>
      </c>
      <c r="L1386" s="595">
        <f>SQRT(Es*J1386/input!BK38)</f>
        <v>86.685546531499639</v>
      </c>
      <c r="M1386" s="595">
        <f t="shared" si="64"/>
        <v>0.23645465384839207</v>
      </c>
      <c r="N1386" s="678">
        <f>IF(E1386="stiffened",IF(2*C1386*G1386/(input!F38*input!G38*input!H38+input!J38*input!K38)&lt;=2.5,I1386*(M1386+0.87*(1-M1386)/SQRT(1+(B1386/C1386)^2)),I1386*(M1386+0.87*(1-M1386)/(SQRT(1+(B1386/C1386)^2)+B1386/C1386))),M1386*I1386)</f>
        <v>6794.4795403845001</v>
      </c>
      <c r="U1386" s="73"/>
      <c r="V1386" s="73"/>
      <c r="W1386" s="73"/>
      <c r="X1386" s="73"/>
      <c r="Y1386" s="73"/>
      <c r="Z1386" s="73"/>
      <c r="AA1386" s="73"/>
      <c r="AB1386" s="73"/>
      <c r="AC1386" s="73"/>
      <c r="AE1386" s="143"/>
      <c r="AF1386" s="143"/>
      <c r="AG1386" s="143"/>
      <c r="AH1386" s="143"/>
      <c r="AI1386" s="143"/>
      <c r="AJ1386" s="143"/>
      <c r="AK1386" s="143"/>
      <c r="AL1386" s="143"/>
      <c r="AM1386" s="143"/>
      <c r="AN1386" s="143"/>
      <c r="AO1386" s="143"/>
      <c r="AP1386" s="143"/>
      <c r="AQ1386" s="143"/>
    </row>
    <row r="1387" spans="1:43" ht="15" customHeight="1">
      <c r="A1387" s="579" t="str">
        <f>+input!B39</f>
        <v>119i</v>
      </c>
      <c r="B1387" s="596">
        <f>input!AK39</f>
        <v>2500</v>
      </c>
      <c r="C1387" s="596">
        <f>input!M39</f>
        <v>3200</v>
      </c>
      <c r="D1387" s="596">
        <f>Cons!G940</f>
        <v>800</v>
      </c>
      <c r="E1387" s="596" t="str">
        <f t="shared" si="61"/>
        <v>stiffened</v>
      </c>
      <c r="F1387" s="641"/>
      <c r="G1387" s="644">
        <f>input!N39</f>
        <v>14</v>
      </c>
      <c r="H1387" s="644">
        <f>input!BQ39</f>
        <v>3224.9030993194197</v>
      </c>
      <c r="I1387" s="596">
        <f>0.58*input!BK39*1000*H1387*G1387/10^6</f>
        <v>9296.1056740981585</v>
      </c>
      <c r="J1387" s="595">
        <f t="shared" si="62"/>
        <v>13.192</v>
      </c>
      <c r="K1387" s="595">
        <f t="shared" si="63"/>
        <v>230.35022137995855</v>
      </c>
      <c r="L1387" s="595">
        <f>SQRT(Es*J1387/input!BK39)</f>
        <v>88.338656939412175</v>
      </c>
      <c r="M1387" s="595">
        <f t="shared" si="64"/>
        <v>0.23090001906825569</v>
      </c>
      <c r="N1387" s="678">
        <f>IF(E1387="stiffened",IF(2*C1387*G1387/(input!F39*input!G39*input!H39+input!J39*input!K39)&lt;=2.5,I1387*(M1387+0.87*(1-M1387)/SQRT(1+(B1387/C1387)^2)),I1387*(M1387+0.87*(1-M1387)/(SQRT(1+(B1387/C1387)^2)+B1387/C1387))),M1387*I1387)</f>
        <v>7048.1261490788047</v>
      </c>
      <c r="U1387" s="73"/>
      <c r="V1387" s="73"/>
      <c r="W1387" s="73"/>
      <c r="X1387" s="73"/>
      <c r="Y1387" s="73"/>
      <c r="Z1387" s="73"/>
      <c r="AA1387" s="73"/>
      <c r="AB1387" s="73"/>
      <c r="AC1387" s="73"/>
      <c r="AE1387" s="143"/>
      <c r="AF1387" s="143"/>
      <c r="AG1387" s="143"/>
      <c r="AH1387" s="143"/>
      <c r="AI1387" s="143"/>
      <c r="AJ1387" s="143"/>
      <c r="AK1387" s="143"/>
      <c r="AL1387" s="143"/>
      <c r="AM1387" s="143"/>
      <c r="AN1387" s="143"/>
      <c r="AO1387" s="143"/>
      <c r="AP1387" s="143"/>
      <c r="AQ1387" s="143"/>
    </row>
    <row r="1388" spans="1:43" ht="15" customHeight="1">
      <c r="A1388" s="579" t="str">
        <f>+input!B40</f>
        <v>119j</v>
      </c>
      <c r="B1388" s="596">
        <f>input!AK40</f>
        <v>2500</v>
      </c>
      <c r="C1388" s="596">
        <f>input!M40</f>
        <v>3200</v>
      </c>
      <c r="D1388" s="596">
        <f>Cons!G941</f>
        <v>800</v>
      </c>
      <c r="E1388" s="596" t="str">
        <f t="shared" si="61"/>
        <v>stiffened</v>
      </c>
      <c r="F1388" s="641"/>
      <c r="G1388" s="644">
        <f>input!N40</f>
        <v>14</v>
      </c>
      <c r="H1388" s="644">
        <f>input!BQ40</f>
        <v>3224.9030993194197</v>
      </c>
      <c r="I1388" s="596">
        <f>0.58*input!BK40*1000*H1388*G1388/10^6</f>
        <v>9296.1056740981585</v>
      </c>
      <c r="J1388" s="595">
        <f t="shared" si="62"/>
        <v>13.192</v>
      </c>
      <c r="K1388" s="595">
        <f t="shared" si="63"/>
        <v>230.35022137995855</v>
      </c>
      <c r="L1388" s="595">
        <f>SQRT(Es*J1388/input!BK40)</f>
        <v>88.338656939412175</v>
      </c>
      <c r="M1388" s="595">
        <f t="shared" si="64"/>
        <v>0.23090001906825569</v>
      </c>
      <c r="N1388" s="678">
        <f>IF(E1388="stiffened",IF(2*C1388*G1388/(input!F40*input!G40*input!H40+input!J40*input!K40)&lt;=2.5,I1388*(M1388+0.87*(1-M1388)/SQRT(1+(B1388/C1388)^2)),I1388*(M1388+0.87*(1-M1388)/(SQRT(1+(B1388/C1388)^2)+B1388/C1388))),M1388*I1388)</f>
        <v>7048.1261490788047</v>
      </c>
      <c r="U1388" s="73"/>
      <c r="V1388" s="73"/>
      <c r="W1388" s="73"/>
      <c r="X1388" s="73"/>
      <c r="Y1388" s="73"/>
      <c r="Z1388" s="73"/>
      <c r="AA1388" s="73"/>
      <c r="AB1388" s="73"/>
      <c r="AC1388" s="73"/>
      <c r="AE1388" s="143"/>
      <c r="AF1388" s="143"/>
      <c r="AG1388" s="143"/>
      <c r="AH1388" s="143"/>
      <c r="AI1388" s="143"/>
      <c r="AJ1388" s="143"/>
      <c r="AK1388" s="143"/>
      <c r="AL1388" s="143"/>
      <c r="AM1388" s="143"/>
      <c r="AN1388" s="143"/>
      <c r="AO1388" s="143"/>
      <c r="AP1388" s="143"/>
      <c r="AQ1388" s="143"/>
    </row>
    <row r="1389" spans="1:43" ht="15" customHeight="1">
      <c r="A1389" s="579" t="str">
        <f>+input!B41</f>
        <v>120i</v>
      </c>
      <c r="B1389" s="596">
        <f>input!AK41</f>
        <v>2500</v>
      </c>
      <c r="C1389" s="596">
        <f>input!M41</f>
        <v>3200</v>
      </c>
      <c r="D1389" s="596">
        <f>Cons!G942</f>
        <v>800</v>
      </c>
      <c r="E1389" s="596" t="str">
        <f t="shared" si="61"/>
        <v>stiffened</v>
      </c>
      <c r="F1389" s="641"/>
      <c r="G1389" s="644">
        <f>input!N41</f>
        <v>14</v>
      </c>
      <c r="H1389" s="644">
        <f>input!BQ41</f>
        <v>3224.9030993194197</v>
      </c>
      <c r="I1389" s="596">
        <f>0.58*input!BK41*1000*H1389*G1389/10^6</f>
        <v>9296.1056740981585</v>
      </c>
      <c r="J1389" s="595">
        <f t="shared" si="62"/>
        <v>13.192</v>
      </c>
      <c r="K1389" s="595">
        <f t="shared" si="63"/>
        <v>230.35022137995855</v>
      </c>
      <c r="L1389" s="595">
        <f>SQRT(Es*J1389/input!BK41)</f>
        <v>88.338656939412175</v>
      </c>
      <c r="M1389" s="595">
        <f t="shared" si="64"/>
        <v>0.23090001906825569</v>
      </c>
      <c r="N1389" s="678">
        <f>IF(E1389="stiffened",IF(2*C1389*G1389/(input!F41*input!G41*input!H41+input!J41*input!K41)&lt;=2.5,I1389*(M1389+0.87*(1-M1389)/SQRT(1+(B1389/C1389)^2)),I1389*(M1389+0.87*(1-M1389)/(SQRT(1+(B1389/C1389)^2)+B1389/C1389))),M1389*I1389)</f>
        <v>7048.1261490788047</v>
      </c>
      <c r="U1389" s="73"/>
      <c r="V1389" s="73"/>
      <c r="W1389" s="73"/>
      <c r="X1389" s="73"/>
      <c r="Y1389" s="73"/>
      <c r="Z1389" s="73"/>
      <c r="AA1389" s="73"/>
      <c r="AB1389" s="73"/>
      <c r="AC1389" s="73"/>
      <c r="AE1389" s="143"/>
      <c r="AF1389" s="143"/>
      <c r="AG1389" s="143"/>
      <c r="AH1389" s="143"/>
      <c r="AI1389" s="143"/>
      <c r="AJ1389" s="143"/>
      <c r="AK1389" s="143"/>
      <c r="AL1389" s="143"/>
      <c r="AM1389" s="143"/>
      <c r="AN1389" s="143"/>
      <c r="AO1389" s="143"/>
      <c r="AP1389" s="143"/>
      <c r="AQ1389" s="143"/>
    </row>
    <row r="1390" spans="1:43" ht="15" customHeight="1">
      <c r="A1390" s="579" t="str">
        <f>+input!B42</f>
        <v>120j</v>
      </c>
      <c r="B1390" s="596">
        <f>input!AK42</f>
        <v>2500</v>
      </c>
      <c r="C1390" s="596">
        <f>input!M42</f>
        <v>3200</v>
      </c>
      <c r="D1390" s="596">
        <f>Cons!G943</f>
        <v>800</v>
      </c>
      <c r="E1390" s="596" t="str">
        <f t="shared" si="61"/>
        <v>stiffened</v>
      </c>
      <c r="F1390" s="641"/>
      <c r="G1390" s="644">
        <f>input!N42</f>
        <v>14</v>
      </c>
      <c r="H1390" s="644">
        <f>input!BQ42</f>
        <v>3224.9030993194197</v>
      </c>
      <c r="I1390" s="596">
        <f>0.58*input!BK42*1000*H1390*G1390/10^6</f>
        <v>9296.1056740981585</v>
      </c>
      <c r="J1390" s="595">
        <f t="shared" si="62"/>
        <v>13.192</v>
      </c>
      <c r="K1390" s="595">
        <f t="shared" si="63"/>
        <v>230.35022137995855</v>
      </c>
      <c r="L1390" s="595">
        <f>SQRT(Es*J1390/input!BK42)</f>
        <v>88.338656939412175</v>
      </c>
      <c r="M1390" s="595">
        <f t="shared" si="64"/>
        <v>0.23090001906825569</v>
      </c>
      <c r="N1390" s="678">
        <f>IF(E1390="stiffened",IF(2*C1390*G1390/(input!F42*input!G42*input!H42+input!J42*input!K42)&lt;=2.5,I1390*(M1390+0.87*(1-M1390)/SQRT(1+(B1390/C1390)^2)),I1390*(M1390+0.87*(1-M1390)/(SQRT(1+(B1390/C1390)^2)+B1390/C1390))),M1390*I1390)</f>
        <v>7048.1261490788047</v>
      </c>
      <c r="U1390" s="73"/>
      <c r="V1390" s="73"/>
      <c r="W1390" s="73"/>
      <c r="X1390" s="73"/>
      <c r="Y1390" s="73"/>
      <c r="Z1390" s="73"/>
      <c r="AA1390" s="73"/>
      <c r="AB1390" s="73"/>
      <c r="AC1390" s="73"/>
      <c r="AE1390" s="143"/>
      <c r="AF1390" s="143"/>
      <c r="AG1390" s="143"/>
      <c r="AH1390" s="143"/>
      <c r="AI1390" s="143"/>
      <c r="AJ1390" s="143"/>
      <c r="AK1390" s="143"/>
      <c r="AL1390" s="143"/>
      <c r="AM1390" s="143"/>
      <c r="AN1390" s="143"/>
      <c r="AO1390" s="143"/>
      <c r="AP1390" s="143"/>
      <c r="AQ1390" s="143"/>
    </row>
    <row r="1391" spans="1:43" ht="15" customHeight="1">
      <c r="A1391" s="579" t="str">
        <f>+input!B43</f>
        <v>121i</v>
      </c>
      <c r="B1391" s="596">
        <f>input!AK43</f>
        <v>2500</v>
      </c>
      <c r="C1391" s="596">
        <f>input!M43</f>
        <v>3103</v>
      </c>
      <c r="D1391" s="596">
        <f>Cons!G944</f>
        <v>775.75</v>
      </c>
      <c r="E1391" s="596" t="str">
        <f t="shared" si="61"/>
        <v>stiffened</v>
      </c>
      <c r="F1391" s="641"/>
      <c r="G1391" s="644">
        <f>input!N43</f>
        <v>14</v>
      </c>
      <c r="H1391" s="644">
        <f>input!BQ43</f>
        <v>3127.1637309229591</v>
      </c>
      <c r="I1391" s="596">
        <f>0.58*input!BK43*1000*H1391*G1391/10^6</f>
        <v>9014.3621707585226</v>
      </c>
      <c r="J1391" s="595">
        <f t="shared" si="62"/>
        <v>12.702887199999999</v>
      </c>
      <c r="K1391" s="595">
        <f t="shared" si="63"/>
        <v>223.3688379230685</v>
      </c>
      <c r="L1391" s="595">
        <f>SQRT(Es*J1391/input!BK43)</f>
        <v>86.685546531499639</v>
      </c>
      <c r="M1391" s="595">
        <f t="shared" si="64"/>
        <v>0.23645465384839207</v>
      </c>
      <c r="N1391" s="678">
        <f>IF(E1391="stiffened",IF(2*C1391*G1391/(input!F43*input!G43*input!H43+input!J43*input!K43)&lt;=2.5,I1391*(M1391+0.87*(1-M1391)/SQRT(1+(B1391/C1391)^2)),I1391*(M1391+0.87*(1-M1391)/(SQRT(1+(B1391/C1391)^2)+B1391/C1391))),M1391*I1391)</f>
        <v>6794.4795403845001</v>
      </c>
      <c r="U1391" s="73"/>
      <c r="V1391" s="73"/>
      <c r="W1391" s="73"/>
      <c r="X1391" s="73"/>
      <c r="Y1391" s="73"/>
      <c r="Z1391" s="73"/>
      <c r="AA1391" s="73"/>
      <c r="AB1391" s="73"/>
      <c r="AC1391" s="73"/>
      <c r="AE1391" s="143"/>
      <c r="AF1391" s="143"/>
      <c r="AG1391" s="143"/>
      <c r="AH1391" s="143"/>
      <c r="AI1391" s="143"/>
      <c r="AJ1391" s="143"/>
      <c r="AK1391" s="143"/>
      <c r="AL1391" s="143"/>
      <c r="AM1391" s="143"/>
      <c r="AN1391" s="143"/>
      <c r="AO1391" s="143"/>
      <c r="AP1391" s="143"/>
      <c r="AQ1391" s="143"/>
    </row>
    <row r="1392" spans="1:43" ht="15" customHeight="1">
      <c r="A1392" s="579" t="str">
        <f>+input!B44</f>
        <v>121j</v>
      </c>
      <c r="B1392" s="596">
        <f>input!AK44</f>
        <v>2500</v>
      </c>
      <c r="C1392" s="596">
        <f>input!M44</f>
        <v>3103</v>
      </c>
      <c r="D1392" s="596">
        <f>Cons!G945</f>
        <v>775.75</v>
      </c>
      <c r="E1392" s="596" t="str">
        <f t="shared" si="61"/>
        <v>stiffened</v>
      </c>
      <c r="F1392" s="641"/>
      <c r="G1392" s="644">
        <f>input!N44</f>
        <v>14</v>
      </c>
      <c r="H1392" s="644">
        <f>input!BQ44</f>
        <v>3127.1637309229591</v>
      </c>
      <c r="I1392" s="596">
        <f>0.58*input!BK44*1000*H1392*G1392/10^6</f>
        <v>9014.3621707585226</v>
      </c>
      <c r="J1392" s="595">
        <f t="shared" si="62"/>
        <v>12.702887199999999</v>
      </c>
      <c r="K1392" s="595">
        <f t="shared" si="63"/>
        <v>223.3688379230685</v>
      </c>
      <c r="L1392" s="595">
        <f>SQRT(Es*J1392/input!BK44)</f>
        <v>86.685546531499639</v>
      </c>
      <c r="M1392" s="595">
        <f t="shared" si="64"/>
        <v>0.23645465384839207</v>
      </c>
      <c r="N1392" s="678">
        <f>IF(E1392="stiffened",IF(2*C1392*G1392/(input!F44*input!G44*input!H44+input!J44*input!K44)&lt;=2.5,I1392*(M1392+0.87*(1-M1392)/SQRT(1+(B1392/C1392)^2)),I1392*(M1392+0.87*(1-M1392)/(SQRT(1+(B1392/C1392)^2)+B1392/C1392))),M1392*I1392)</f>
        <v>6794.4795403845001</v>
      </c>
      <c r="U1392" s="73"/>
      <c r="V1392" s="73"/>
      <c r="W1392" s="73"/>
      <c r="X1392" s="73"/>
      <c r="Y1392" s="73"/>
      <c r="Z1392" s="73"/>
      <c r="AA1392" s="73"/>
      <c r="AB1392" s="73"/>
      <c r="AC1392" s="73"/>
      <c r="AE1392" s="143"/>
      <c r="AF1392" s="143"/>
      <c r="AG1392" s="143"/>
      <c r="AH1392" s="143"/>
      <c r="AI1392" s="143"/>
      <c r="AJ1392" s="143"/>
      <c r="AK1392" s="143"/>
      <c r="AL1392" s="143"/>
      <c r="AM1392" s="143"/>
      <c r="AN1392" s="143"/>
      <c r="AO1392" s="143"/>
      <c r="AP1392" s="143"/>
      <c r="AQ1392" s="143"/>
    </row>
    <row r="1393" spans="1:43" ht="15" customHeight="1">
      <c r="A1393" s="579" t="str">
        <f>+input!B45</f>
        <v>122i</v>
      </c>
      <c r="B1393" s="596">
        <f>input!AK45</f>
        <v>2500</v>
      </c>
      <c r="C1393" s="596">
        <f>input!M45</f>
        <v>2924</v>
      </c>
      <c r="D1393" s="596">
        <f>Cons!G946</f>
        <v>731</v>
      </c>
      <c r="E1393" s="596" t="str">
        <f t="shared" si="61"/>
        <v>stiffened</v>
      </c>
      <c r="F1393" s="641"/>
      <c r="G1393" s="644">
        <f>input!N45</f>
        <v>12</v>
      </c>
      <c r="H1393" s="644">
        <f>input!BQ45</f>
        <v>2946.7552070031197</v>
      </c>
      <c r="I1393" s="596">
        <f>0.58*input!BK45*1000*H1393*G1393/10^6</f>
        <v>7280.8427654633069</v>
      </c>
      <c r="J1393" s="595">
        <f t="shared" si="62"/>
        <v>11.8398208</v>
      </c>
      <c r="K1393" s="595">
        <f t="shared" si="63"/>
        <v>245.56293391692665</v>
      </c>
      <c r="L1393" s="595">
        <f>SQRT(Es*J1393/input!BK45)</f>
        <v>83.688933894141755</v>
      </c>
      <c r="M1393" s="595">
        <f t="shared" si="64"/>
        <v>0.18235181745845419</v>
      </c>
      <c r="N1393" s="678">
        <f>IF(E1393="stiffened",IF(2*C1393*G1393/(input!F45*input!G45*input!H45+input!J45*input!K45)&lt;=2.5,I1393*(M1393+0.87*(1-M1393)/SQRT(1+(B1393/C1393)^2)),I1393*(M1393+0.87*(1-M1393)/(SQRT(1+(B1393/C1393)^2)+B1393/C1393))),M1393*I1393)</f>
        <v>5264.2376535428275</v>
      </c>
      <c r="U1393" s="73"/>
      <c r="V1393" s="73"/>
      <c r="W1393" s="73"/>
      <c r="X1393" s="73"/>
      <c r="Y1393" s="73"/>
      <c r="Z1393" s="73"/>
      <c r="AA1393" s="73"/>
      <c r="AB1393" s="73"/>
      <c r="AC1393" s="73"/>
      <c r="AE1393" s="143"/>
      <c r="AF1393" s="143"/>
      <c r="AG1393" s="143"/>
      <c r="AH1393" s="143"/>
      <c r="AI1393" s="143"/>
      <c r="AJ1393" s="143"/>
      <c r="AK1393" s="143"/>
      <c r="AL1393" s="143"/>
      <c r="AM1393" s="143"/>
      <c r="AN1393" s="143"/>
      <c r="AO1393" s="143"/>
      <c r="AP1393" s="143"/>
      <c r="AQ1393" s="143"/>
    </row>
    <row r="1394" spans="1:43" ht="15" customHeight="1">
      <c r="A1394" s="579" t="str">
        <f>+input!B46</f>
        <v>122j</v>
      </c>
      <c r="B1394" s="596">
        <f>input!AK46</f>
        <v>2500</v>
      </c>
      <c r="C1394" s="596">
        <f>input!M46</f>
        <v>2924</v>
      </c>
      <c r="D1394" s="596">
        <f>Cons!G947</f>
        <v>731</v>
      </c>
      <c r="E1394" s="596" t="str">
        <f t="shared" si="61"/>
        <v>stiffened</v>
      </c>
      <c r="F1394" s="641"/>
      <c r="G1394" s="644">
        <f>input!N46</f>
        <v>12</v>
      </c>
      <c r="H1394" s="644">
        <f>input!BQ46</f>
        <v>2946.7552070031197</v>
      </c>
      <c r="I1394" s="596">
        <f>0.58*input!BK46*1000*H1394*G1394/10^6</f>
        <v>7280.8427654633069</v>
      </c>
      <c r="J1394" s="595">
        <f t="shared" si="62"/>
        <v>11.8398208</v>
      </c>
      <c r="K1394" s="595">
        <f t="shared" si="63"/>
        <v>245.56293391692665</v>
      </c>
      <c r="L1394" s="595">
        <f>SQRT(Es*J1394/input!BK46)</f>
        <v>83.688933894141755</v>
      </c>
      <c r="M1394" s="595">
        <f t="shared" si="64"/>
        <v>0.18235181745845419</v>
      </c>
      <c r="N1394" s="678">
        <f>IF(E1394="stiffened",IF(2*C1394*G1394/(input!F46*input!G46*input!H46+input!J46*input!K46)&lt;=2.5,I1394*(M1394+0.87*(1-M1394)/SQRT(1+(B1394/C1394)^2)),I1394*(M1394+0.87*(1-M1394)/(SQRT(1+(B1394/C1394)^2)+B1394/C1394))),M1394*I1394)</f>
        <v>5264.2376535428275</v>
      </c>
      <c r="U1394" s="73"/>
      <c r="V1394" s="73"/>
      <c r="W1394" s="73"/>
      <c r="X1394" s="73"/>
      <c r="Y1394" s="73"/>
      <c r="Z1394" s="73"/>
      <c r="AA1394" s="73"/>
      <c r="AB1394" s="73"/>
      <c r="AC1394" s="73"/>
      <c r="AE1394" s="143"/>
      <c r="AF1394" s="143"/>
      <c r="AG1394" s="143"/>
      <c r="AH1394" s="143"/>
      <c r="AI1394" s="143"/>
      <c r="AJ1394" s="143"/>
      <c r="AK1394" s="143"/>
      <c r="AL1394" s="143"/>
      <c r="AM1394" s="143"/>
      <c r="AN1394" s="143"/>
      <c r="AO1394" s="143"/>
      <c r="AP1394" s="143"/>
      <c r="AQ1394" s="143"/>
    </row>
    <row r="1395" spans="1:43" ht="15" customHeight="1">
      <c r="A1395" s="579" t="str">
        <f>+input!B47</f>
        <v>123i</v>
      </c>
      <c r="B1395" s="596">
        <f>input!AK47</f>
        <v>2500</v>
      </c>
      <c r="C1395" s="596">
        <f>input!M47</f>
        <v>2814</v>
      </c>
      <c r="D1395" s="596">
        <f>Cons!G948</f>
        <v>703.5</v>
      </c>
      <c r="E1395" s="596" t="str">
        <f t="shared" si="61"/>
        <v>stiffened</v>
      </c>
      <c r="F1395" s="641"/>
      <c r="G1395" s="644">
        <f>input!N47</f>
        <v>12</v>
      </c>
      <c r="H1395" s="644">
        <f>input!BQ47</f>
        <v>2835.8681651303891</v>
      </c>
      <c r="I1395" s="596">
        <f>0.58*input!BK47*1000*H1395*G1395/10^6</f>
        <v>7006.8630624041652</v>
      </c>
      <c r="J1395" s="595">
        <f t="shared" si="62"/>
        <v>11.3348768</v>
      </c>
      <c r="K1395" s="595">
        <f t="shared" si="63"/>
        <v>236.3223470941991</v>
      </c>
      <c r="L1395" s="595">
        <f>SQRT(Es*J1395/input!BK47)</f>
        <v>81.884909407853627</v>
      </c>
      <c r="M1395" s="595">
        <f t="shared" si="64"/>
        <v>0.1884941236845043</v>
      </c>
      <c r="N1395" s="678">
        <f>IF(E1395="stiffened",IF(2*C1395*G1395/(input!F47*input!G47*input!H47+input!J47*input!K47)&lt;=2.5,I1395*(M1395+0.87*(1-M1395)/SQRT(1+(B1395/C1395)^2)),I1395*(M1395+0.87*(1-M1395)/(SQRT(1+(B1395/C1395)^2)+B1395/C1395))),M1395*I1395)</f>
        <v>5018.9937439250962</v>
      </c>
      <c r="U1395" s="73"/>
      <c r="V1395" s="73"/>
      <c r="W1395" s="73"/>
      <c r="X1395" s="73"/>
      <c r="Y1395" s="73"/>
      <c r="Z1395" s="73"/>
      <c r="AA1395" s="73"/>
      <c r="AB1395" s="73"/>
      <c r="AC1395" s="73"/>
      <c r="AE1395" s="143"/>
      <c r="AF1395" s="143"/>
      <c r="AG1395" s="143"/>
      <c r="AH1395" s="143"/>
      <c r="AI1395" s="143"/>
      <c r="AJ1395" s="143"/>
      <c r="AK1395" s="143"/>
      <c r="AL1395" s="143"/>
      <c r="AM1395" s="143"/>
      <c r="AN1395" s="143"/>
      <c r="AO1395" s="143"/>
      <c r="AP1395" s="143"/>
      <c r="AQ1395" s="143"/>
    </row>
    <row r="1396" spans="1:43" ht="15" customHeight="1">
      <c r="A1396" s="579" t="str">
        <f>+input!B48</f>
        <v>123j</v>
      </c>
      <c r="B1396" s="596">
        <f>input!AK48</f>
        <v>2500</v>
      </c>
      <c r="C1396" s="596">
        <f>input!M48</f>
        <v>2814</v>
      </c>
      <c r="D1396" s="596">
        <f>Cons!G949</f>
        <v>703.5</v>
      </c>
      <c r="E1396" s="596" t="str">
        <f t="shared" si="61"/>
        <v>stiffened</v>
      </c>
      <c r="F1396" s="641"/>
      <c r="G1396" s="644">
        <f>input!N48</f>
        <v>12</v>
      </c>
      <c r="H1396" s="644">
        <f>input!BQ48</f>
        <v>2835.8681651303891</v>
      </c>
      <c r="I1396" s="596">
        <f>0.58*input!BK48*1000*H1396*G1396/10^6</f>
        <v>7006.8630624041652</v>
      </c>
      <c r="J1396" s="595">
        <f t="shared" si="62"/>
        <v>11.3348768</v>
      </c>
      <c r="K1396" s="595">
        <f t="shared" si="63"/>
        <v>236.3223470941991</v>
      </c>
      <c r="L1396" s="595">
        <f>SQRT(Es*J1396/input!BK48)</f>
        <v>81.884909407853627</v>
      </c>
      <c r="M1396" s="595">
        <f t="shared" si="64"/>
        <v>0.1884941236845043</v>
      </c>
      <c r="N1396" s="678">
        <f>IF(E1396="stiffened",IF(2*C1396*G1396/(input!F48*input!G48*input!H48+input!J48*input!K48)&lt;=2.5,I1396*(M1396+0.87*(1-M1396)/SQRT(1+(B1396/C1396)^2)),I1396*(M1396+0.87*(1-M1396)/(SQRT(1+(B1396/C1396)^2)+B1396/C1396))),M1396*I1396)</f>
        <v>5018.9937439250962</v>
      </c>
      <c r="U1396" s="73"/>
      <c r="V1396" s="73"/>
      <c r="W1396" s="73"/>
      <c r="X1396" s="73"/>
      <c r="Y1396" s="73"/>
      <c r="Z1396" s="73"/>
      <c r="AA1396" s="73"/>
      <c r="AB1396" s="73"/>
      <c r="AC1396" s="73"/>
      <c r="AE1396" s="143"/>
      <c r="AF1396" s="143"/>
      <c r="AG1396" s="143"/>
      <c r="AH1396" s="143"/>
      <c r="AI1396" s="143"/>
      <c r="AJ1396" s="143"/>
      <c r="AK1396" s="143"/>
      <c r="AL1396" s="143"/>
      <c r="AM1396" s="143"/>
      <c r="AN1396" s="143"/>
      <c r="AO1396" s="143"/>
      <c r="AP1396" s="143"/>
      <c r="AQ1396" s="143"/>
    </row>
    <row r="1397" spans="1:43" ht="15" customHeight="1">
      <c r="A1397" s="579" t="str">
        <f>+input!B49</f>
        <v>124i</v>
      </c>
      <c r="B1397" s="596">
        <f>input!AK49</f>
        <v>2500</v>
      </c>
      <c r="C1397" s="596">
        <f>input!M49</f>
        <v>2800</v>
      </c>
      <c r="D1397" s="596">
        <f>Cons!G950</f>
        <v>700</v>
      </c>
      <c r="E1397" s="596" t="str">
        <f t="shared" si="61"/>
        <v>stiffened</v>
      </c>
      <c r="F1397" s="641"/>
      <c r="G1397" s="644">
        <f>input!N49</f>
        <v>12</v>
      </c>
      <c r="H1397" s="644">
        <f>input!BQ49</f>
        <v>2821.7902119044925</v>
      </c>
      <c r="I1397" s="596">
        <f>0.58*input!BK49*1000*H1397*G1397/10^6</f>
        <v>6972.079255573618</v>
      </c>
      <c r="J1397" s="595">
        <f t="shared" si="62"/>
        <v>11.271999999999998</v>
      </c>
      <c r="K1397" s="595">
        <f t="shared" si="63"/>
        <v>235.14918432537436</v>
      </c>
      <c r="L1397" s="595">
        <f>SQRT(Es*J1397/input!BK49)</f>
        <v>81.657477685585107</v>
      </c>
      <c r="M1397" s="595">
        <f t="shared" si="64"/>
        <v>0.18932354199040394</v>
      </c>
      <c r="N1397" s="678">
        <f>IF(E1397="stiffened",IF(2*C1397*G1397/(input!F49*input!G49*input!H49+input!J49*input!K49)&lt;=2.5,I1397*(M1397+0.87*(1-M1397)/SQRT(1+(B1397/C1397)^2)),I1397*(M1397+0.87*(1-M1397)/(SQRT(1+(B1397/C1397)^2)+B1397/C1397))),M1397*I1397)</f>
        <v>4987.9984783153504</v>
      </c>
      <c r="U1397" s="73"/>
      <c r="V1397" s="73"/>
      <c r="W1397" s="73"/>
      <c r="X1397" s="73"/>
      <c r="Y1397" s="73"/>
      <c r="Z1397" s="73"/>
      <c r="AA1397" s="73"/>
      <c r="AB1397" s="73"/>
      <c r="AC1397" s="73"/>
      <c r="AE1397" s="143"/>
      <c r="AF1397" s="143"/>
      <c r="AG1397" s="143"/>
      <c r="AH1397" s="143"/>
      <c r="AI1397" s="143"/>
      <c r="AJ1397" s="143"/>
      <c r="AK1397" s="143"/>
      <c r="AL1397" s="143"/>
      <c r="AM1397" s="143"/>
      <c r="AN1397" s="143"/>
      <c r="AO1397" s="143"/>
      <c r="AP1397" s="143"/>
      <c r="AQ1397" s="143"/>
    </row>
    <row r="1398" spans="1:43" ht="15" customHeight="1">
      <c r="A1398" s="579" t="str">
        <f>+input!B50</f>
        <v>124j</v>
      </c>
      <c r="B1398" s="596">
        <f>input!AK50</f>
        <v>2500</v>
      </c>
      <c r="C1398" s="596">
        <f>input!M50</f>
        <v>2800</v>
      </c>
      <c r="D1398" s="596">
        <f>Cons!G951</f>
        <v>700</v>
      </c>
      <c r="E1398" s="596" t="str">
        <f t="shared" si="61"/>
        <v>stiffened</v>
      </c>
      <c r="F1398" s="641"/>
      <c r="G1398" s="644">
        <f>input!N50</f>
        <v>12</v>
      </c>
      <c r="H1398" s="644">
        <f>input!BQ50</f>
        <v>2821.7902119044925</v>
      </c>
      <c r="I1398" s="596">
        <f>0.58*input!BK50*1000*H1398*G1398/10^6</f>
        <v>6972.079255573618</v>
      </c>
      <c r="J1398" s="595">
        <f t="shared" si="62"/>
        <v>11.271999999999998</v>
      </c>
      <c r="K1398" s="595">
        <f t="shared" si="63"/>
        <v>235.14918432537436</v>
      </c>
      <c r="L1398" s="595">
        <f>SQRT(Es*J1398/input!BK50)</f>
        <v>81.657477685585107</v>
      </c>
      <c r="M1398" s="595">
        <f t="shared" si="64"/>
        <v>0.18932354199040394</v>
      </c>
      <c r="N1398" s="678">
        <f>IF(E1398="stiffened",IF(2*C1398*G1398/(input!F50*input!G50*input!H50+input!J50*input!K50)&lt;=2.5,I1398*(M1398+0.87*(1-M1398)/SQRT(1+(B1398/C1398)^2)),I1398*(M1398+0.87*(1-M1398)/(SQRT(1+(B1398/C1398)^2)+B1398/C1398))),M1398*I1398)</f>
        <v>4987.9984783153504</v>
      </c>
      <c r="U1398" s="73"/>
      <c r="V1398" s="73"/>
      <c r="W1398" s="73"/>
      <c r="X1398" s="73"/>
      <c r="Y1398" s="73"/>
      <c r="Z1398" s="73"/>
      <c r="AA1398" s="73"/>
      <c r="AB1398" s="73"/>
      <c r="AC1398" s="73"/>
      <c r="AE1398" s="143"/>
      <c r="AF1398" s="143"/>
      <c r="AG1398" s="143"/>
      <c r="AH1398" s="143"/>
      <c r="AI1398" s="143"/>
      <c r="AJ1398" s="143"/>
      <c r="AK1398" s="143"/>
      <c r="AL1398" s="143"/>
      <c r="AM1398" s="143"/>
      <c r="AN1398" s="143"/>
      <c r="AO1398" s="143"/>
      <c r="AP1398" s="143"/>
      <c r="AQ1398" s="143"/>
    </row>
    <row r="1399" spans="1:43" ht="15" customHeight="1">
      <c r="A1399" s="579" t="str">
        <f>+input!B51</f>
        <v>125i</v>
      </c>
      <c r="B1399" s="596">
        <f>input!AK51</f>
        <v>2500</v>
      </c>
      <c r="C1399" s="596">
        <f>input!M51</f>
        <v>2800</v>
      </c>
      <c r="D1399" s="596">
        <f>Cons!G952</f>
        <v>700</v>
      </c>
      <c r="E1399" s="596" t="str">
        <f t="shared" si="61"/>
        <v>stiffened</v>
      </c>
      <c r="F1399" s="641"/>
      <c r="G1399" s="644">
        <f>input!N51</f>
        <v>12</v>
      </c>
      <c r="H1399" s="644">
        <f>input!BQ51</f>
        <v>2821.7902119044925</v>
      </c>
      <c r="I1399" s="596">
        <f>0.58*input!BK51*1000*H1399*G1399/10^6</f>
        <v>6972.079255573618</v>
      </c>
      <c r="J1399" s="595">
        <f t="shared" si="62"/>
        <v>11.271999999999998</v>
      </c>
      <c r="K1399" s="595">
        <f t="shared" si="63"/>
        <v>235.14918432537436</v>
      </c>
      <c r="L1399" s="595">
        <f>SQRT(Es*J1399/input!BK51)</f>
        <v>81.657477685585107</v>
      </c>
      <c r="M1399" s="595">
        <f t="shared" si="64"/>
        <v>0.18932354199040394</v>
      </c>
      <c r="N1399" s="678">
        <f>IF(E1399="stiffened",IF(2*C1399*G1399/(input!F51*input!G51*input!H51+input!J51*input!K51)&lt;=2.5,I1399*(M1399+0.87*(1-M1399)/SQRT(1+(B1399/C1399)^2)),I1399*(M1399+0.87*(1-M1399)/(SQRT(1+(B1399/C1399)^2)+B1399/C1399))),M1399*I1399)</f>
        <v>4987.9984783153504</v>
      </c>
      <c r="U1399" s="73"/>
      <c r="V1399" s="73"/>
      <c r="W1399" s="73"/>
      <c r="X1399" s="73"/>
      <c r="Y1399" s="73"/>
      <c r="Z1399" s="73"/>
      <c r="AA1399" s="73"/>
      <c r="AB1399" s="73"/>
      <c r="AC1399" s="73"/>
      <c r="AE1399" s="143"/>
      <c r="AF1399" s="143"/>
      <c r="AG1399" s="143"/>
      <c r="AH1399" s="143"/>
      <c r="AI1399" s="143"/>
      <c r="AJ1399" s="143"/>
      <c r="AK1399" s="143"/>
      <c r="AL1399" s="143"/>
      <c r="AM1399" s="143"/>
      <c r="AN1399" s="143"/>
      <c r="AO1399" s="143"/>
      <c r="AP1399" s="143"/>
      <c r="AQ1399" s="143"/>
    </row>
    <row r="1400" spans="1:43" ht="15" customHeight="1">
      <c r="A1400" s="579" t="str">
        <f>+input!B52</f>
        <v>125j</v>
      </c>
      <c r="B1400" s="596">
        <f>input!AK52</f>
        <v>2500</v>
      </c>
      <c r="C1400" s="596">
        <f>input!M52</f>
        <v>2800</v>
      </c>
      <c r="D1400" s="596">
        <f>Cons!G953</f>
        <v>700</v>
      </c>
      <c r="E1400" s="596" t="str">
        <f t="shared" si="61"/>
        <v>stiffened</v>
      </c>
      <c r="F1400" s="641"/>
      <c r="G1400" s="644">
        <f>input!N52</f>
        <v>12</v>
      </c>
      <c r="H1400" s="644">
        <f>input!BQ52</f>
        <v>2821.7902119044925</v>
      </c>
      <c r="I1400" s="596">
        <f>0.58*input!BK52*1000*H1400*G1400/10^6</f>
        <v>6972.079255573618</v>
      </c>
      <c r="J1400" s="595">
        <f t="shared" si="62"/>
        <v>11.271999999999998</v>
      </c>
      <c r="K1400" s="595">
        <f t="shared" si="63"/>
        <v>235.14918432537436</v>
      </c>
      <c r="L1400" s="595">
        <f>SQRT(Es*J1400/input!BK52)</f>
        <v>81.657477685585107</v>
      </c>
      <c r="M1400" s="595">
        <f t="shared" si="64"/>
        <v>0.18932354199040394</v>
      </c>
      <c r="N1400" s="678">
        <f>IF(E1400="stiffened",IF(2*C1400*G1400/(input!F52*input!G52*input!H52+input!J52*input!K52)&lt;=2.5,I1400*(M1400+0.87*(1-M1400)/SQRT(1+(B1400/C1400)^2)),I1400*(M1400+0.87*(1-M1400)/(SQRT(1+(B1400/C1400)^2)+B1400/C1400))),M1400*I1400)</f>
        <v>4987.9984783153504</v>
      </c>
      <c r="U1400" s="73"/>
      <c r="V1400" s="73"/>
      <c r="W1400" s="73"/>
      <c r="X1400" s="73"/>
      <c r="Y1400" s="73"/>
      <c r="Z1400" s="73"/>
      <c r="AA1400" s="73"/>
      <c r="AB1400" s="73"/>
      <c r="AC1400" s="73"/>
      <c r="AE1400" s="143"/>
      <c r="AF1400" s="143"/>
      <c r="AG1400" s="143"/>
      <c r="AH1400" s="143"/>
      <c r="AI1400" s="143"/>
      <c r="AJ1400" s="143"/>
      <c r="AK1400" s="143"/>
      <c r="AL1400" s="143"/>
      <c r="AM1400" s="143"/>
      <c r="AN1400" s="143"/>
      <c r="AO1400" s="143"/>
      <c r="AP1400" s="143"/>
      <c r="AQ1400" s="143"/>
    </row>
    <row r="1401" spans="1:43" ht="15" customHeight="1">
      <c r="A1401" s="1023" t="str">
        <f>+input!B53</f>
        <v>126i</v>
      </c>
      <c r="B1401" s="1008">
        <f>input!AK53</f>
        <v>2500</v>
      </c>
      <c r="C1401" s="596">
        <f>input!M53</f>
        <v>2800</v>
      </c>
      <c r="D1401" s="596">
        <f>Cons!G954</f>
        <v>700</v>
      </c>
      <c r="E1401" s="596" t="str">
        <f t="shared" si="61"/>
        <v>stiffened</v>
      </c>
      <c r="F1401" s="1074"/>
      <c r="G1401" s="1070">
        <f>input!N53</f>
        <v>12</v>
      </c>
      <c r="H1401" s="644">
        <f>input!BQ53</f>
        <v>2821.7902119044925</v>
      </c>
      <c r="I1401" s="596">
        <f>0.58*input!BK53*1000*H1401*G1401/10^6</f>
        <v>6972.079255573618</v>
      </c>
      <c r="J1401" s="595">
        <f t="shared" si="62"/>
        <v>11.271999999999998</v>
      </c>
      <c r="K1401" s="595">
        <f t="shared" si="63"/>
        <v>235.14918432537436</v>
      </c>
      <c r="L1401" s="595">
        <f>SQRT(Es*J1401/input!BK53)</f>
        <v>81.657477685585107</v>
      </c>
      <c r="M1401" s="998">
        <f t="shared" si="64"/>
        <v>0.18932354199040394</v>
      </c>
      <c r="N1401" s="1075">
        <f>IF(E1401="stiffened",IF(2*C1401*G1401/(input!F53*input!G53*input!H53+input!J53*input!K53)&lt;=2.5,I1401*(M1401+0.87*(1-M1401)/SQRT(1+(B1401/C1401)^2)),I1401*(M1401+0.87*(1-M1401)/(SQRT(1+(B1401/C1401)^2)+B1401/C1401))),M1401*I1401)</f>
        <v>4987.9984783153504</v>
      </c>
      <c r="U1401" s="73"/>
      <c r="V1401" s="73"/>
      <c r="W1401" s="73"/>
      <c r="X1401" s="73"/>
      <c r="Y1401" s="73"/>
      <c r="Z1401" s="73"/>
      <c r="AA1401" s="73"/>
      <c r="AB1401" s="73"/>
      <c r="AC1401" s="73"/>
      <c r="AE1401" s="143"/>
      <c r="AF1401" s="143"/>
      <c r="AG1401" s="143"/>
      <c r="AH1401" s="143"/>
      <c r="AI1401" s="143"/>
      <c r="AJ1401" s="143"/>
      <c r="AK1401" s="143"/>
      <c r="AL1401" s="143"/>
      <c r="AM1401" s="143"/>
      <c r="AN1401" s="143"/>
      <c r="AO1401" s="143"/>
      <c r="AP1401" s="143"/>
      <c r="AQ1401" s="143"/>
    </row>
    <row r="1402" spans="1:43" ht="15" customHeight="1">
      <c r="A1402" s="1026" t="str">
        <f>+input!B54</f>
        <v>126j</v>
      </c>
      <c r="B1402" s="1011">
        <f>input!AK54</f>
        <v>2500</v>
      </c>
      <c r="C1402" s="596">
        <f>input!M54</f>
        <v>2800</v>
      </c>
      <c r="D1402" s="596">
        <f>Cons!G955</f>
        <v>700</v>
      </c>
      <c r="E1402" s="596" t="str">
        <f t="shared" si="61"/>
        <v>stiffened</v>
      </c>
      <c r="F1402" s="1076"/>
      <c r="G1402" s="1072">
        <f>input!N54</f>
        <v>12</v>
      </c>
      <c r="H1402" s="644">
        <f>input!BQ54</f>
        <v>2821.7902119044925</v>
      </c>
      <c r="I1402" s="596">
        <f>0.58*input!BK54*1000*H1402*G1402/10^6</f>
        <v>6972.079255573618</v>
      </c>
      <c r="J1402" s="595">
        <f t="shared" si="62"/>
        <v>11.271999999999998</v>
      </c>
      <c r="K1402" s="595">
        <f t="shared" si="63"/>
        <v>235.14918432537436</v>
      </c>
      <c r="L1402" s="595">
        <f>SQRT(Es*J1402/input!BK54)</f>
        <v>81.657477685585107</v>
      </c>
      <c r="M1402" s="1004">
        <f t="shared" si="64"/>
        <v>0.18932354199040394</v>
      </c>
      <c r="N1402" s="1077">
        <f>IF(E1402="stiffened",IF(2*C1402*G1402/(input!F54*input!G54*input!H54+input!J54*input!K54)&lt;=2.5,I1402*(M1402+0.87*(1-M1402)/SQRT(1+(B1402/C1402)^2)),I1402*(M1402+0.87*(1-M1402)/(SQRT(1+(B1402/C1402)^2)+B1402/C1402))),M1402*I1402)</f>
        <v>4987.9984783153504</v>
      </c>
      <c r="U1402" s="73"/>
      <c r="V1402" s="73"/>
      <c r="W1402" s="73"/>
      <c r="X1402" s="73"/>
      <c r="Y1402" s="73"/>
      <c r="Z1402" s="73"/>
      <c r="AA1402" s="73"/>
      <c r="AB1402" s="73"/>
      <c r="AC1402" s="73"/>
      <c r="AE1402" s="143"/>
      <c r="AF1402" s="143"/>
      <c r="AG1402" s="143"/>
      <c r="AH1402" s="143"/>
      <c r="AI1402" s="143"/>
      <c r="AJ1402" s="143"/>
      <c r="AK1402" s="143"/>
      <c r="AL1402" s="143"/>
      <c r="AM1402" s="143"/>
      <c r="AN1402" s="143"/>
      <c r="AO1402" s="143"/>
      <c r="AP1402" s="143"/>
      <c r="AQ1402" s="143"/>
    </row>
    <row r="1403" spans="1:43" ht="15" customHeight="1">
      <c r="A1403" s="579" t="str">
        <f>+input!B55</f>
        <v>127i</v>
      </c>
      <c r="B1403" s="596">
        <f>input!AK55</f>
        <v>2500</v>
      </c>
      <c r="C1403" s="596">
        <f>input!M55</f>
        <v>2800</v>
      </c>
      <c r="D1403" s="596">
        <f>Cons!G956</f>
        <v>700</v>
      </c>
      <c r="E1403" s="596" t="str">
        <f t="shared" si="61"/>
        <v>stiffened</v>
      </c>
      <c r="F1403" s="641"/>
      <c r="G1403" s="644">
        <f>input!N55</f>
        <v>12</v>
      </c>
      <c r="H1403" s="644">
        <f>input!BQ55</f>
        <v>2821.7902119044925</v>
      </c>
      <c r="I1403" s="596">
        <f>0.58*input!BK55*1000*H1403*G1403/10^6</f>
        <v>6972.079255573618</v>
      </c>
      <c r="J1403" s="595">
        <f t="shared" si="62"/>
        <v>11.271999999999998</v>
      </c>
      <c r="K1403" s="595">
        <f t="shared" si="63"/>
        <v>235.14918432537436</v>
      </c>
      <c r="L1403" s="595">
        <f>SQRT(Es*J1403/input!BK55)</f>
        <v>81.657477685585107</v>
      </c>
      <c r="M1403" s="595">
        <f t="shared" si="64"/>
        <v>0.18932354199040394</v>
      </c>
      <c r="N1403" s="678">
        <f>IF(E1403="stiffened",IF(2*C1403*G1403/(input!F55*input!G55*input!H55+input!J55*input!K55)&lt;=2.5,I1403*(M1403+0.87*(1-M1403)/SQRT(1+(B1403/C1403)^2)),I1403*(M1403+0.87*(1-M1403)/(SQRT(1+(B1403/C1403)^2)+B1403/C1403))),M1403*I1403)</f>
        <v>4987.9984783153504</v>
      </c>
      <c r="U1403" s="73"/>
      <c r="V1403" s="73"/>
      <c r="W1403" s="73"/>
      <c r="X1403" s="73"/>
      <c r="Y1403" s="73"/>
      <c r="Z1403" s="73"/>
      <c r="AA1403" s="73"/>
      <c r="AB1403" s="73"/>
      <c r="AC1403" s="73"/>
      <c r="AE1403" s="143"/>
      <c r="AF1403" s="143"/>
      <c r="AG1403" s="143"/>
      <c r="AH1403" s="143"/>
      <c r="AI1403" s="143"/>
      <c r="AJ1403" s="143"/>
      <c r="AK1403" s="143"/>
      <c r="AL1403" s="143"/>
      <c r="AM1403" s="143"/>
      <c r="AN1403" s="143"/>
      <c r="AO1403" s="143"/>
      <c r="AP1403" s="143"/>
      <c r="AQ1403" s="143"/>
    </row>
    <row r="1404" spans="1:43" ht="15" customHeight="1">
      <c r="A1404" s="579" t="str">
        <f>+input!B56</f>
        <v>127j</v>
      </c>
      <c r="B1404" s="596">
        <f>input!AK56</f>
        <v>2500</v>
      </c>
      <c r="C1404" s="596">
        <f>input!M56</f>
        <v>2800</v>
      </c>
      <c r="D1404" s="596">
        <f>Cons!G957</f>
        <v>700</v>
      </c>
      <c r="E1404" s="596" t="str">
        <f t="shared" si="61"/>
        <v>stiffened</v>
      </c>
      <c r="F1404" s="641"/>
      <c r="G1404" s="644">
        <f>input!N56</f>
        <v>12</v>
      </c>
      <c r="H1404" s="644">
        <f>input!BQ56</f>
        <v>2821.7902119044925</v>
      </c>
      <c r="I1404" s="596">
        <f>0.58*input!BK56*1000*H1404*G1404/10^6</f>
        <v>6972.079255573618</v>
      </c>
      <c r="J1404" s="595">
        <f t="shared" si="62"/>
        <v>11.271999999999998</v>
      </c>
      <c r="K1404" s="595">
        <f t="shared" si="63"/>
        <v>235.14918432537436</v>
      </c>
      <c r="L1404" s="595">
        <f>SQRT(Es*J1404/input!BK56)</f>
        <v>81.657477685585107</v>
      </c>
      <c r="M1404" s="595">
        <f t="shared" si="64"/>
        <v>0.18932354199040394</v>
      </c>
      <c r="N1404" s="678">
        <f>IF(E1404="stiffened",IF(2*C1404*G1404/(input!F56*input!G56*input!H56+input!J56*input!K56)&lt;=2.5,I1404*(M1404+0.87*(1-M1404)/SQRT(1+(B1404/C1404)^2)),I1404*(M1404+0.87*(1-M1404)/(SQRT(1+(B1404/C1404)^2)+B1404/C1404))),M1404*I1404)</f>
        <v>4987.9984783153504</v>
      </c>
      <c r="U1404" s="73"/>
      <c r="V1404" s="73"/>
      <c r="W1404" s="73"/>
      <c r="X1404" s="73"/>
      <c r="Y1404" s="73"/>
      <c r="Z1404" s="73"/>
      <c r="AA1404" s="73"/>
      <c r="AB1404" s="73"/>
      <c r="AC1404" s="73"/>
      <c r="AE1404" s="143"/>
      <c r="AF1404" s="143"/>
      <c r="AG1404" s="143"/>
      <c r="AH1404" s="143"/>
      <c r="AI1404" s="143"/>
      <c r="AJ1404" s="143"/>
      <c r="AK1404" s="143"/>
      <c r="AL1404" s="143"/>
      <c r="AM1404" s="143"/>
      <c r="AN1404" s="143"/>
      <c r="AO1404" s="143"/>
      <c r="AP1404" s="143"/>
      <c r="AQ1404" s="143"/>
    </row>
    <row r="1405" spans="1:43" ht="15" customHeight="1">
      <c r="A1405" s="579" t="str">
        <f>+input!B57</f>
        <v>128i</v>
      </c>
      <c r="B1405" s="596">
        <f>input!AK57</f>
        <v>2500</v>
      </c>
      <c r="C1405" s="596">
        <f>input!M57</f>
        <v>2800</v>
      </c>
      <c r="D1405" s="596">
        <f>Cons!G958</f>
        <v>700</v>
      </c>
      <c r="E1405" s="596" t="str">
        <f t="shared" si="61"/>
        <v>stiffened</v>
      </c>
      <c r="F1405" s="641"/>
      <c r="G1405" s="644">
        <f>input!N57</f>
        <v>12</v>
      </c>
      <c r="H1405" s="644">
        <f>input!BQ57</f>
        <v>2821.7902119044925</v>
      </c>
      <c r="I1405" s="596">
        <f>0.58*input!BK57*1000*H1405*G1405/10^6</f>
        <v>6972.079255573618</v>
      </c>
      <c r="J1405" s="595">
        <f t="shared" si="62"/>
        <v>11.271999999999998</v>
      </c>
      <c r="K1405" s="595">
        <f t="shared" si="63"/>
        <v>235.14918432537436</v>
      </c>
      <c r="L1405" s="595">
        <f>SQRT(Es*J1405/input!BK57)</f>
        <v>81.657477685585107</v>
      </c>
      <c r="M1405" s="595">
        <f t="shared" si="64"/>
        <v>0.18932354199040394</v>
      </c>
      <c r="N1405" s="678">
        <f>IF(E1405="stiffened",IF(2*C1405*G1405/(input!F57*input!G57*input!H57+input!J57*input!K57)&lt;=2.5,I1405*(M1405+0.87*(1-M1405)/SQRT(1+(B1405/C1405)^2)),I1405*(M1405+0.87*(1-M1405)/(SQRT(1+(B1405/C1405)^2)+B1405/C1405))),M1405*I1405)</f>
        <v>4987.9984783153504</v>
      </c>
      <c r="U1405" s="73"/>
      <c r="V1405" s="73"/>
      <c r="W1405" s="73"/>
      <c r="X1405" s="73"/>
      <c r="Y1405" s="73"/>
      <c r="Z1405" s="73"/>
      <c r="AA1405" s="73"/>
      <c r="AB1405" s="73"/>
      <c r="AC1405" s="73"/>
      <c r="AE1405" s="143"/>
      <c r="AF1405" s="143"/>
      <c r="AG1405" s="143"/>
      <c r="AH1405" s="143"/>
      <c r="AI1405" s="143"/>
      <c r="AJ1405" s="143"/>
      <c r="AK1405" s="143"/>
      <c r="AL1405" s="143"/>
      <c r="AM1405" s="143"/>
      <c r="AN1405" s="143"/>
      <c r="AO1405" s="143"/>
      <c r="AP1405" s="143"/>
      <c r="AQ1405" s="143"/>
    </row>
    <row r="1406" spans="1:43" ht="15" customHeight="1">
      <c r="A1406" s="579" t="str">
        <f>+input!B58</f>
        <v>128j</v>
      </c>
      <c r="B1406" s="596">
        <f>input!AK58</f>
        <v>2500</v>
      </c>
      <c r="C1406" s="596">
        <f>input!M58</f>
        <v>2800</v>
      </c>
      <c r="D1406" s="596">
        <f>Cons!G959</f>
        <v>700</v>
      </c>
      <c r="E1406" s="596" t="str">
        <f t="shared" si="61"/>
        <v>stiffened</v>
      </c>
      <c r="F1406" s="641"/>
      <c r="G1406" s="644">
        <f>input!N58</f>
        <v>12</v>
      </c>
      <c r="H1406" s="644">
        <f>input!BQ58</f>
        <v>2821.7902119044925</v>
      </c>
      <c r="I1406" s="596">
        <f>0.58*input!BK58*1000*H1406*G1406/10^6</f>
        <v>6972.079255573618</v>
      </c>
      <c r="J1406" s="595">
        <f t="shared" si="62"/>
        <v>11.271999999999998</v>
      </c>
      <c r="K1406" s="595">
        <f t="shared" si="63"/>
        <v>235.14918432537436</v>
      </c>
      <c r="L1406" s="595">
        <f>SQRT(Es*J1406/input!BK58)</f>
        <v>81.657477685585107</v>
      </c>
      <c r="M1406" s="595">
        <f t="shared" si="64"/>
        <v>0.18932354199040394</v>
      </c>
      <c r="N1406" s="678">
        <f>IF(E1406="stiffened",IF(2*C1406*G1406/(input!F58*input!G58*input!H58+input!J58*input!K58)&lt;=2.5,I1406*(M1406+0.87*(1-M1406)/SQRT(1+(B1406/C1406)^2)),I1406*(M1406+0.87*(1-M1406)/(SQRT(1+(B1406/C1406)^2)+B1406/C1406))),M1406*I1406)</f>
        <v>4987.9984783153504</v>
      </c>
      <c r="U1406" s="73"/>
      <c r="V1406" s="73"/>
      <c r="W1406" s="73"/>
      <c r="X1406" s="73"/>
      <c r="Y1406" s="73"/>
      <c r="Z1406" s="73"/>
      <c r="AA1406" s="73"/>
      <c r="AB1406" s="73"/>
      <c r="AC1406" s="73"/>
      <c r="AE1406" s="143"/>
      <c r="AF1406" s="143"/>
      <c r="AG1406" s="143"/>
      <c r="AH1406" s="143"/>
      <c r="AI1406" s="143"/>
      <c r="AJ1406" s="143"/>
      <c r="AK1406" s="143"/>
      <c r="AL1406" s="143"/>
      <c r="AM1406" s="143"/>
      <c r="AN1406" s="143"/>
      <c r="AO1406" s="143"/>
      <c r="AP1406" s="143"/>
      <c r="AQ1406" s="143"/>
    </row>
    <row r="1407" spans="1:43" ht="15" customHeight="1">
      <c r="A1407" s="579" t="str">
        <f>+input!B59</f>
        <v>129i</v>
      </c>
      <c r="B1407" s="596">
        <f>input!AK59</f>
        <v>2500</v>
      </c>
      <c r="C1407" s="596">
        <f>input!M59</f>
        <v>2800</v>
      </c>
      <c r="D1407" s="596">
        <f>Cons!G960</f>
        <v>700</v>
      </c>
      <c r="E1407" s="596" t="str">
        <f t="shared" si="61"/>
        <v>stiffened</v>
      </c>
      <c r="F1407" s="641"/>
      <c r="G1407" s="644">
        <f>input!N59</f>
        <v>12</v>
      </c>
      <c r="H1407" s="644">
        <f>input!BQ59</f>
        <v>2821.7902119044925</v>
      </c>
      <c r="I1407" s="596">
        <f>0.58*input!BK59*1000*H1407*G1407/10^6</f>
        <v>6972.079255573618</v>
      </c>
      <c r="J1407" s="595">
        <f t="shared" si="62"/>
        <v>11.271999999999998</v>
      </c>
      <c r="K1407" s="595">
        <f t="shared" si="63"/>
        <v>235.14918432537436</v>
      </c>
      <c r="L1407" s="595">
        <f>SQRT(Es*J1407/input!BK59)</f>
        <v>81.657477685585107</v>
      </c>
      <c r="M1407" s="595">
        <f t="shared" si="64"/>
        <v>0.18932354199040394</v>
      </c>
      <c r="N1407" s="678">
        <f>IF(E1407="stiffened",IF(2*C1407*G1407/(input!F59*input!G59*input!H59+input!J59*input!K59)&lt;=2.5,I1407*(M1407+0.87*(1-M1407)/SQRT(1+(B1407/C1407)^2)),I1407*(M1407+0.87*(1-M1407)/(SQRT(1+(B1407/C1407)^2)+B1407/C1407))),M1407*I1407)</f>
        <v>4987.9984783153504</v>
      </c>
      <c r="U1407" s="73"/>
      <c r="V1407" s="73"/>
      <c r="W1407" s="73"/>
      <c r="X1407" s="73"/>
      <c r="Y1407" s="73"/>
      <c r="Z1407" s="73"/>
      <c r="AA1407" s="73"/>
      <c r="AB1407" s="73"/>
      <c r="AC1407" s="73"/>
      <c r="AE1407" s="143"/>
      <c r="AF1407" s="143"/>
      <c r="AG1407" s="143"/>
      <c r="AH1407" s="143"/>
      <c r="AI1407" s="143"/>
      <c r="AJ1407" s="143"/>
      <c r="AK1407" s="143"/>
      <c r="AL1407" s="143"/>
      <c r="AM1407" s="143"/>
      <c r="AN1407" s="143"/>
      <c r="AO1407" s="143"/>
      <c r="AP1407" s="143"/>
      <c r="AQ1407" s="143"/>
    </row>
    <row r="1408" spans="1:43" ht="15" customHeight="1">
      <c r="A1408" s="579" t="str">
        <f>+input!B60</f>
        <v>129j</v>
      </c>
      <c r="B1408" s="596">
        <f>input!AK60</f>
        <v>2500</v>
      </c>
      <c r="C1408" s="596">
        <f>input!M60</f>
        <v>2800</v>
      </c>
      <c r="D1408" s="596">
        <f>Cons!G961</f>
        <v>700</v>
      </c>
      <c r="E1408" s="596" t="str">
        <f t="shared" si="61"/>
        <v>stiffened</v>
      </c>
      <c r="F1408" s="641"/>
      <c r="G1408" s="644">
        <f>input!N60</f>
        <v>12</v>
      </c>
      <c r="H1408" s="644">
        <f>input!BQ60</f>
        <v>2821.7902119044925</v>
      </c>
      <c r="I1408" s="596">
        <f>0.58*input!BK60*1000*H1408*G1408/10^6</f>
        <v>6972.079255573618</v>
      </c>
      <c r="J1408" s="595">
        <f t="shared" si="62"/>
        <v>11.271999999999998</v>
      </c>
      <c r="K1408" s="595">
        <f t="shared" si="63"/>
        <v>235.14918432537436</v>
      </c>
      <c r="L1408" s="595">
        <f>SQRT(Es*J1408/input!BK60)</f>
        <v>81.657477685585107</v>
      </c>
      <c r="M1408" s="595">
        <f t="shared" si="64"/>
        <v>0.18932354199040394</v>
      </c>
      <c r="N1408" s="678">
        <f>IF(E1408="stiffened",IF(2*C1408*G1408/(input!F60*input!G60*input!H60+input!J60*input!K60)&lt;=2.5,I1408*(M1408+0.87*(1-M1408)/SQRT(1+(B1408/C1408)^2)),I1408*(M1408+0.87*(1-M1408)/(SQRT(1+(B1408/C1408)^2)+B1408/C1408))),M1408*I1408)</f>
        <v>4987.9984783153504</v>
      </c>
      <c r="U1408" s="73"/>
      <c r="V1408" s="73"/>
      <c r="W1408" s="73"/>
      <c r="X1408" s="73"/>
      <c r="Y1408" s="73"/>
      <c r="Z1408" s="73"/>
      <c r="AA1408" s="73"/>
      <c r="AB1408" s="73"/>
      <c r="AC1408" s="73"/>
      <c r="AE1408" s="143"/>
      <c r="AF1408" s="143"/>
      <c r="AG1408" s="143"/>
      <c r="AH1408" s="143"/>
      <c r="AI1408" s="143"/>
      <c r="AJ1408" s="143"/>
      <c r="AK1408" s="143"/>
      <c r="AL1408" s="143"/>
      <c r="AM1408" s="143"/>
      <c r="AN1408" s="143"/>
      <c r="AO1408" s="143"/>
      <c r="AP1408" s="143"/>
      <c r="AQ1408" s="143"/>
    </row>
    <row r="1409" spans="1:43" ht="15" customHeight="1">
      <c r="A1409" s="579" t="str">
        <f>+input!B61</f>
        <v>130i</v>
      </c>
      <c r="B1409" s="596">
        <f>input!AK61</f>
        <v>2500</v>
      </c>
      <c r="C1409" s="596">
        <f>input!M61</f>
        <v>2600</v>
      </c>
      <c r="D1409" s="596">
        <f>Cons!G962</f>
        <v>650</v>
      </c>
      <c r="E1409" s="596" t="str">
        <f t="shared" si="61"/>
        <v>stiffened</v>
      </c>
      <c r="F1409" s="641"/>
      <c r="G1409" s="644">
        <f>input!N61</f>
        <v>12</v>
      </c>
      <c r="H1409" s="644">
        <f>input!BQ61</f>
        <v>2620.2337681970284</v>
      </c>
      <c r="I1409" s="596">
        <f>0.58*input!BK61*1000*H1409*G1409/10^6</f>
        <v>6474.0735944612179</v>
      </c>
      <c r="J1409" s="595">
        <f t="shared" si="62"/>
        <v>10.408000000000001</v>
      </c>
      <c r="K1409" s="595">
        <f t="shared" si="63"/>
        <v>218.35281401641905</v>
      </c>
      <c r="L1409" s="595">
        <f>SQRT(Es*J1409/input!BK61)</f>
        <v>78.46556614479077</v>
      </c>
      <c r="M1409" s="595">
        <f t="shared" si="64"/>
        <v>0.20274039632533483</v>
      </c>
      <c r="N1409" s="678">
        <f>IF(E1409="stiffened",IF(2*C1409*G1409/(input!F61*input!G61*input!H61+input!J61*input!K61)&lt;=2.5,I1409*(M1409+0.87*(1-M1409)/SQRT(1+(B1409/C1409)^2)),I1409*(M1409+0.87*(1-M1409)/(SQRT(1+(B1409/C1409)^2)+B1409/C1409))),M1409*I1409)</f>
        <v>4549.4716078986594</v>
      </c>
      <c r="U1409" s="73"/>
      <c r="V1409" s="73"/>
      <c r="W1409" s="73"/>
      <c r="X1409" s="73"/>
      <c r="Y1409" s="73"/>
      <c r="Z1409" s="73"/>
      <c r="AA1409" s="73"/>
      <c r="AB1409" s="73"/>
      <c r="AC1409" s="73"/>
      <c r="AE1409" s="143"/>
      <c r="AF1409" s="143"/>
      <c r="AG1409" s="143"/>
      <c r="AH1409" s="143"/>
      <c r="AI1409" s="143"/>
      <c r="AJ1409" s="143"/>
      <c r="AK1409" s="143"/>
      <c r="AL1409" s="143"/>
      <c r="AM1409" s="143"/>
      <c r="AN1409" s="143"/>
      <c r="AO1409" s="143"/>
      <c r="AP1409" s="143"/>
      <c r="AQ1409" s="143"/>
    </row>
    <row r="1410" spans="1:43" ht="15" customHeight="1">
      <c r="A1410" s="579" t="str">
        <f>+input!B62</f>
        <v>130j</v>
      </c>
      <c r="B1410" s="596">
        <f>input!AK62</f>
        <v>2500</v>
      </c>
      <c r="C1410" s="596">
        <f>input!M62</f>
        <v>2600</v>
      </c>
      <c r="D1410" s="596">
        <f>Cons!G963</f>
        <v>650</v>
      </c>
      <c r="E1410" s="596" t="str">
        <f t="shared" si="61"/>
        <v>stiffened</v>
      </c>
      <c r="F1410" s="641"/>
      <c r="G1410" s="644">
        <f>input!N62</f>
        <v>12</v>
      </c>
      <c r="H1410" s="644">
        <f>input!BQ62</f>
        <v>2620.2337681970284</v>
      </c>
      <c r="I1410" s="596">
        <f>0.58*input!BK62*1000*H1410*G1410/10^6</f>
        <v>6474.0735944612179</v>
      </c>
      <c r="J1410" s="595">
        <f t="shared" si="62"/>
        <v>10.408000000000001</v>
      </c>
      <c r="K1410" s="595">
        <f t="shared" si="63"/>
        <v>218.35281401641905</v>
      </c>
      <c r="L1410" s="595">
        <f>SQRT(Es*J1410/input!BK62)</f>
        <v>78.46556614479077</v>
      </c>
      <c r="M1410" s="595">
        <f t="shared" si="64"/>
        <v>0.20274039632533483</v>
      </c>
      <c r="N1410" s="678">
        <f>IF(E1410="stiffened",IF(2*C1410*G1410/(input!F62*input!G62*input!H62+input!J62*input!K62)&lt;=2.5,I1410*(M1410+0.87*(1-M1410)/SQRT(1+(B1410/C1410)^2)),I1410*(M1410+0.87*(1-M1410)/(SQRT(1+(B1410/C1410)^2)+B1410/C1410))),M1410*I1410)</f>
        <v>4549.4716078986594</v>
      </c>
      <c r="U1410" s="73"/>
      <c r="V1410" s="73"/>
      <c r="W1410" s="73"/>
      <c r="X1410" s="73"/>
      <c r="Y1410" s="73"/>
      <c r="Z1410" s="73"/>
      <c r="AA1410" s="73"/>
      <c r="AB1410" s="73"/>
      <c r="AC1410" s="73"/>
      <c r="AE1410" s="143"/>
      <c r="AF1410" s="143"/>
      <c r="AG1410" s="143"/>
      <c r="AH1410" s="143"/>
      <c r="AI1410" s="143"/>
      <c r="AJ1410" s="143"/>
      <c r="AK1410" s="143"/>
      <c r="AL1410" s="143"/>
      <c r="AM1410" s="143"/>
      <c r="AN1410" s="143"/>
      <c r="AO1410" s="143"/>
      <c r="AP1410" s="143"/>
      <c r="AQ1410" s="143"/>
    </row>
    <row r="1411" spans="1:43" ht="15" customHeight="1">
      <c r="A1411" s="579" t="str">
        <f>+input!B63</f>
        <v>131i</v>
      </c>
      <c r="B1411" s="596">
        <f>input!AK63</f>
        <v>2500</v>
      </c>
      <c r="C1411" s="596">
        <f>input!M63</f>
        <v>2600</v>
      </c>
      <c r="D1411" s="596">
        <f>Cons!G964</f>
        <v>650</v>
      </c>
      <c r="E1411" s="596" t="str">
        <f t="shared" si="61"/>
        <v>stiffened</v>
      </c>
      <c r="F1411" s="641"/>
      <c r="G1411" s="644">
        <f>input!N63</f>
        <v>12</v>
      </c>
      <c r="H1411" s="644">
        <f>input!BQ63</f>
        <v>2620.2337681970284</v>
      </c>
      <c r="I1411" s="596">
        <f>0.58*input!BK63*1000*H1411*G1411/10^6</f>
        <v>6474.0735944612179</v>
      </c>
      <c r="J1411" s="595">
        <f t="shared" si="62"/>
        <v>10.408000000000001</v>
      </c>
      <c r="K1411" s="595">
        <f t="shared" si="63"/>
        <v>218.35281401641905</v>
      </c>
      <c r="L1411" s="595">
        <f>SQRT(Es*J1411/input!BK63)</f>
        <v>78.46556614479077</v>
      </c>
      <c r="M1411" s="595">
        <f t="shared" si="64"/>
        <v>0.20274039632533483</v>
      </c>
      <c r="N1411" s="678">
        <f>IF(E1411="stiffened",IF(2*C1411*G1411/(input!F63*input!G63*input!H63+input!J63*input!K63)&lt;=2.5,I1411*(M1411+0.87*(1-M1411)/SQRT(1+(B1411/C1411)^2)),I1411*(M1411+0.87*(1-M1411)/(SQRT(1+(B1411/C1411)^2)+B1411/C1411))),M1411*I1411)</f>
        <v>4549.4716078986594</v>
      </c>
      <c r="U1411" s="73"/>
      <c r="V1411" s="73"/>
      <c r="W1411" s="73"/>
      <c r="X1411" s="73"/>
      <c r="Y1411" s="73"/>
      <c r="Z1411" s="73"/>
      <c r="AA1411" s="73"/>
      <c r="AB1411" s="73"/>
      <c r="AC1411" s="73"/>
      <c r="AE1411" s="143"/>
      <c r="AF1411" s="143"/>
      <c r="AG1411" s="143"/>
      <c r="AH1411" s="143"/>
      <c r="AI1411" s="143"/>
      <c r="AJ1411" s="143"/>
      <c r="AK1411" s="143"/>
      <c r="AL1411" s="143"/>
      <c r="AM1411" s="143"/>
      <c r="AN1411" s="143"/>
      <c r="AO1411" s="143"/>
      <c r="AP1411" s="143"/>
      <c r="AQ1411" s="143"/>
    </row>
    <row r="1412" spans="1:43" ht="15" customHeight="1">
      <c r="A1412" s="579" t="str">
        <f>+input!B64</f>
        <v>131j</v>
      </c>
      <c r="B1412" s="596">
        <f>input!AK64</f>
        <v>2500</v>
      </c>
      <c r="C1412" s="596">
        <f>input!M64</f>
        <v>2600</v>
      </c>
      <c r="D1412" s="596">
        <f>Cons!G965</f>
        <v>650</v>
      </c>
      <c r="E1412" s="596" t="str">
        <f t="shared" si="61"/>
        <v>stiffened</v>
      </c>
      <c r="F1412" s="641"/>
      <c r="G1412" s="644">
        <f>input!N64</f>
        <v>12</v>
      </c>
      <c r="H1412" s="644">
        <f>input!BQ64</f>
        <v>2620.2337681970284</v>
      </c>
      <c r="I1412" s="596">
        <f>0.58*input!BK64*1000*H1412*G1412/10^6</f>
        <v>6474.0735944612179</v>
      </c>
      <c r="J1412" s="595">
        <f t="shared" si="62"/>
        <v>10.408000000000001</v>
      </c>
      <c r="K1412" s="595">
        <f t="shared" si="63"/>
        <v>218.35281401641905</v>
      </c>
      <c r="L1412" s="595">
        <f>SQRT(Es*J1412/input!BK64)</f>
        <v>78.46556614479077</v>
      </c>
      <c r="M1412" s="595">
        <f t="shared" si="64"/>
        <v>0.20274039632533483</v>
      </c>
      <c r="N1412" s="678">
        <f>IF(E1412="stiffened",IF(2*C1412*G1412/(input!F64*input!G64*input!H64+input!J64*input!K64)&lt;=2.5,I1412*(M1412+0.87*(1-M1412)/SQRT(1+(B1412/C1412)^2)),I1412*(M1412+0.87*(1-M1412)/(SQRT(1+(B1412/C1412)^2)+B1412/C1412))),M1412*I1412)</f>
        <v>4549.4716078986594</v>
      </c>
      <c r="U1412" s="73"/>
      <c r="V1412" s="73"/>
      <c r="W1412" s="73"/>
      <c r="X1412" s="73"/>
      <c r="Y1412" s="73"/>
      <c r="Z1412" s="73"/>
      <c r="AA1412" s="73"/>
      <c r="AB1412" s="73"/>
      <c r="AC1412" s="73"/>
      <c r="AE1412" s="143"/>
      <c r="AF1412" s="143"/>
      <c r="AG1412" s="143"/>
      <c r="AH1412" s="143"/>
      <c r="AI1412" s="143"/>
      <c r="AJ1412" s="143"/>
      <c r="AK1412" s="143"/>
      <c r="AL1412" s="143"/>
      <c r="AM1412" s="143"/>
      <c r="AN1412" s="143"/>
      <c r="AO1412" s="143"/>
      <c r="AP1412" s="143"/>
      <c r="AQ1412" s="143"/>
    </row>
    <row r="1413" spans="1:43" ht="15" customHeight="1">
      <c r="L1413" s="143"/>
      <c r="Z1413" s="300"/>
      <c r="AB1413" s="300"/>
      <c r="AC1413" s="216"/>
    </row>
    <row r="1414" spans="1:43" ht="15" customHeight="1" thickBot="1">
      <c r="A1414" s="468" t="s">
        <v>2142</v>
      </c>
      <c r="L1414" s="143"/>
      <c r="Z1414" s="300"/>
      <c r="AB1414" s="300"/>
      <c r="AC1414" s="216"/>
    </row>
    <row r="1415" spans="1:43" ht="15" customHeight="1">
      <c r="A1415" s="615" t="s">
        <v>16</v>
      </c>
      <c r="B1415" s="1918" t="s">
        <v>714</v>
      </c>
      <c r="C1415" s="1911"/>
      <c r="D1415" s="1911"/>
      <c r="E1415" s="1911"/>
      <c r="F1415" s="1911"/>
      <c r="G1415" s="1911"/>
      <c r="H1415" s="1911"/>
      <c r="I1415" s="1919"/>
      <c r="J1415" s="623" t="s">
        <v>715</v>
      </c>
      <c r="K1415" s="623" t="s">
        <v>716</v>
      </c>
      <c r="L1415" s="623" t="s">
        <v>717</v>
      </c>
      <c r="M1415" s="628" t="s">
        <v>432</v>
      </c>
      <c r="N1415" s="216"/>
      <c r="P1415" s="257"/>
      <c r="Q1415" s="73"/>
      <c r="R1415" s="73"/>
      <c r="S1415" s="73"/>
      <c r="T1415" s="73"/>
      <c r="U1415" s="73"/>
      <c r="V1415" s="73"/>
      <c r="W1415" s="73"/>
      <c r="X1415" s="73"/>
      <c r="Y1415" s="73"/>
      <c r="Z1415" s="73"/>
      <c r="AA1415" s="73"/>
      <c r="AB1415" s="73"/>
      <c r="AC1415" s="73"/>
      <c r="AE1415" s="143"/>
      <c r="AF1415" s="143"/>
      <c r="AG1415" s="143"/>
      <c r="AH1415" s="143"/>
      <c r="AI1415" s="143"/>
      <c r="AJ1415" s="143"/>
      <c r="AK1415" s="143"/>
      <c r="AL1415" s="143"/>
      <c r="AM1415" s="143"/>
      <c r="AN1415" s="143"/>
      <c r="AO1415" s="143"/>
      <c r="AP1415" s="143"/>
      <c r="AQ1415" s="143"/>
    </row>
    <row r="1416" spans="1:43" ht="15" customHeight="1">
      <c r="A1416" s="616"/>
      <c r="B1416" s="627" t="s">
        <v>707</v>
      </c>
      <c r="C1416" s="621" t="s">
        <v>708</v>
      </c>
      <c r="D1416" s="627" t="s">
        <v>709</v>
      </c>
      <c r="E1416" s="627" t="s">
        <v>710</v>
      </c>
      <c r="F1416" s="627" t="s">
        <v>712</v>
      </c>
      <c r="G1416" s="627" t="s">
        <v>711</v>
      </c>
      <c r="H1416" s="627" t="s">
        <v>713</v>
      </c>
      <c r="I1416" s="627" t="s">
        <v>357</v>
      </c>
      <c r="J1416" s="625"/>
      <c r="K1416" s="625"/>
      <c r="L1416" s="625"/>
      <c r="M1416" s="629"/>
      <c r="N1416" s="216"/>
      <c r="P1416" s="257"/>
      <c r="Q1416" s="73"/>
      <c r="R1416" s="73"/>
      <c r="S1416" s="73"/>
      <c r="T1416" s="73"/>
      <c r="U1416" s="73"/>
      <c r="V1416" s="73"/>
      <c r="W1416" s="73"/>
      <c r="X1416" s="73"/>
      <c r="Y1416" s="73"/>
      <c r="Z1416" s="73"/>
      <c r="AA1416" s="73"/>
      <c r="AB1416" s="73"/>
      <c r="AC1416" s="73"/>
      <c r="AE1416" s="143"/>
      <c r="AF1416" s="143"/>
      <c r="AG1416" s="143"/>
      <c r="AH1416" s="143"/>
      <c r="AI1416" s="143"/>
      <c r="AJ1416" s="143"/>
      <c r="AK1416" s="143"/>
      <c r="AL1416" s="143"/>
      <c r="AM1416" s="143"/>
      <c r="AN1416" s="143"/>
      <c r="AO1416" s="143"/>
      <c r="AP1416" s="143"/>
      <c r="AQ1416" s="143"/>
    </row>
    <row r="1417" spans="1:43" ht="15" customHeight="1">
      <c r="A1417" s="579" t="str">
        <f>+input!B3</f>
        <v>101i</v>
      </c>
      <c r="B1417" s="596">
        <f>MST!G4</f>
        <v>0.25</v>
      </c>
      <c r="C1417" s="596">
        <f>MST!H4</f>
        <v>0</v>
      </c>
      <c r="D1417" s="596">
        <f>MST!I4</f>
        <v>0.12</v>
      </c>
      <c r="E1417" s="595">
        <f>MST!J4</f>
        <v>-0.22</v>
      </c>
      <c r="F1417" s="596">
        <f>MST!K4</f>
        <v>-0.11</v>
      </c>
      <c r="G1417" s="596">
        <f>MST!Y4</f>
        <v>-260.5</v>
      </c>
      <c r="H1417" s="596">
        <f>MST!X4</f>
        <v>0</v>
      </c>
      <c r="I1417" s="596">
        <f>(1.25*(B1417+C1417+D1417+E1417)+1.5*F1417+1.8*IF(1.25*(B1417+C1417+D1417+E1417)+1.5*F1417&gt;=0,H1417,G1417))/2</f>
        <v>1.1249999999999996E-2</v>
      </c>
      <c r="J1417" s="595">
        <f>ATAN(input!BP3)*180/PI()</f>
        <v>7.1250163489017977</v>
      </c>
      <c r="K1417" s="596">
        <f>I1417/COS(J1417*PI()/180)</f>
        <v>1.1337549958544833E-2</v>
      </c>
      <c r="L1417" s="596">
        <f t="shared" ref="L1417:L1448" si="65">N1351</f>
        <v>4549.4716078986594</v>
      </c>
      <c r="M1417" s="609" t="str">
        <f t="shared" ref="M1417:M1448" si="66">IF(ABS(K1417)&lt;=L1417,"OK","NG")</f>
        <v>OK</v>
      </c>
      <c r="N1417" s="216"/>
      <c r="P1417" s="257"/>
      <c r="Q1417" s="73"/>
      <c r="R1417" s="73"/>
      <c r="S1417" s="73"/>
      <c r="T1417" s="73"/>
      <c r="U1417" s="73"/>
      <c r="V1417" s="73"/>
      <c r="W1417" s="73"/>
      <c r="X1417" s="73"/>
      <c r="Y1417" s="73"/>
      <c r="Z1417" s="73"/>
      <c r="AA1417" s="73"/>
      <c r="AB1417" s="73"/>
      <c r="AC1417" s="73"/>
      <c r="AE1417" s="143"/>
      <c r="AF1417" s="143"/>
      <c r="AG1417" s="143"/>
      <c r="AH1417" s="143"/>
      <c r="AI1417" s="143"/>
      <c r="AJ1417" s="143"/>
      <c r="AK1417" s="143"/>
      <c r="AL1417" s="143"/>
      <c r="AM1417" s="143"/>
      <c r="AN1417" s="143"/>
      <c r="AO1417" s="143"/>
      <c r="AP1417" s="143"/>
      <c r="AQ1417" s="143"/>
    </row>
    <row r="1418" spans="1:43" ht="15" customHeight="1">
      <c r="A1418" s="579" t="str">
        <f>+input!B4</f>
        <v>101j</v>
      </c>
      <c r="B1418" s="596">
        <f>MST!G5</f>
        <v>-6.73</v>
      </c>
      <c r="C1418" s="596">
        <f>MST!H5</f>
        <v>0</v>
      </c>
      <c r="D1418" s="596">
        <f>MST!I5</f>
        <v>-32.06</v>
      </c>
      <c r="E1418" s="595">
        <f>MST!J5</f>
        <v>-4.6399999999999997</v>
      </c>
      <c r="F1418" s="596">
        <f>MST!K5</f>
        <v>-4.3499999999999996</v>
      </c>
      <c r="G1418" s="596">
        <f>MST!Y5</f>
        <v>-260.5</v>
      </c>
      <c r="H1418" s="596">
        <f>MST!X5</f>
        <v>0</v>
      </c>
      <c r="I1418" s="596">
        <f t="shared" ref="I1418:I1478" si="67">(1.25*(B1418+C1418+D1418+E1418)+1.5*F1418+1.8*IF(1.25*(B1418+C1418+D1418+E1418)+1.5*F1418&gt;=0,H1418,G1418))/2</f>
        <v>-264.85625000000005</v>
      </c>
      <c r="J1418" s="595">
        <f>ATAN(input!BP4)*180/PI()</f>
        <v>7.1250163489017977</v>
      </c>
      <c r="K1418" s="596">
        <f t="shared" ref="K1418:K1478" si="68">I1418/COS(J1418*PI()/180)</f>
        <v>-266.91741921847478</v>
      </c>
      <c r="L1418" s="596">
        <f t="shared" si="65"/>
        <v>4549.4716078986594</v>
      </c>
      <c r="M1418" s="609" t="str">
        <f t="shared" si="66"/>
        <v>OK</v>
      </c>
      <c r="N1418" s="216"/>
      <c r="P1418" s="257"/>
      <c r="Q1418" s="76"/>
      <c r="R1418" s="73"/>
      <c r="S1418" s="73"/>
      <c r="T1418" s="73"/>
      <c r="U1418" s="73"/>
      <c r="V1418" s="73"/>
      <c r="W1418" s="73"/>
      <c r="X1418" s="73"/>
      <c r="Y1418" s="73"/>
      <c r="Z1418" s="73"/>
      <c r="AA1418" s="73"/>
      <c r="AB1418" s="73"/>
      <c r="AC1418" s="73"/>
      <c r="AE1418" s="143"/>
      <c r="AF1418" s="143"/>
      <c r="AG1418" s="143"/>
      <c r="AH1418" s="143"/>
      <c r="AI1418" s="143"/>
      <c r="AJ1418" s="143"/>
      <c r="AK1418" s="143"/>
      <c r="AL1418" s="143"/>
      <c r="AM1418" s="143"/>
      <c r="AN1418" s="143"/>
      <c r="AO1418" s="143"/>
      <c r="AP1418" s="143"/>
      <c r="AQ1418" s="143"/>
    </row>
    <row r="1419" spans="1:43" ht="15" customHeight="1">
      <c r="A1419" s="579" t="str">
        <f>+input!B5</f>
        <v>102i</v>
      </c>
      <c r="B1419" s="596">
        <f>MST!G6</f>
        <v>670.91</v>
      </c>
      <c r="C1419" s="596">
        <f>MST!H6</f>
        <v>0.8</v>
      </c>
      <c r="D1419" s="596">
        <f>MST!I6</f>
        <v>1427.75</v>
      </c>
      <c r="E1419" s="595">
        <f>MST!J6</f>
        <v>327.74</v>
      </c>
      <c r="F1419" s="596">
        <f>MST!K6</f>
        <v>288.8</v>
      </c>
      <c r="G1419" s="596">
        <f>MST!Y6</f>
        <v>-66.89</v>
      </c>
      <c r="H1419" s="596">
        <f>MST!X6</f>
        <v>1215.58</v>
      </c>
      <c r="I1419" s="596">
        <f t="shared" si="67"/>
        <v>2827.6219999999998</v>
      </c>
      <c r="J1419" s="595">
        <f>ATAN(input!BP5)*180/PI()</f>
        <v>7.1250163489017977</v>
      </c>
      <c r="K1419" s="596">
        <f t="shared" si="68"/>
        <v>2849.6271723449299</v>
      </c>
      <c r="L1419" s="596">
        <f t="shared" si="65"/>
        <v>4549.4716078986594</v>
      </c>
      <c r="M1419" s="609" t="str">
        <f t="shared" si="66"/>
        <v>OK</v>
      </c>
      <c r="N1419" s="216"/>
      <c r="P1419" s="257"/>
      <c r="Q1419" s="76"/>
      <c r="R1419" s="73"/>
      <c r="S1419" s="73"/>
      <c r="T1419" s="73"/>
      <c r="U1419" s="73"/>
      <c r="V1419" s="73"/>
      <c r="W1419" s="73"/>
      <c r="X1419" s="73"/>
      <c r="Y1419" s="73"/>
      <c r="Z1419" s="73"/>
      <c r="AA1419" s="73"/>
      <c r="AB1419" s="73"/>
      <c r="AC1419" s="73"/>
      <c r="AE1419" s="143"/>
      <c r="AF1419" s="143"/>
      <c r="AG1419" s="143"/>
      <c r="AH1419" s="143"/>
      <c r="AI1419" s="143"/>
      <c r="AJ1419" s="143"/>
      <c r="AK1419" s="143"/>
      <c r="AL1419" s="143"/>
      <c r="AM1419" s="143"/>
      <c r="AN1419" s="143"/>
      <c r="AO1419" s="143"/>
      <c r="AP1419" s="143"/>
      <c r="AQ1419" s="143"/>
    </row>
    <row r="1420" spans="1:43" ht="15" customHeight="1">
      <c r="A1420" s="579" t="str">
        <f>+input!B6</f>
        <v>102j</v>
      </c>
      <c r="B1420" s="596">
        <f>MST!G7</f>
        <v>637.29</v>
      </c>
      <c r="C1420" s="596">
        <f>MST!H7</f>
        <v>0.8</v>
      </c>
      <c r="D1420" s="596">
        <f>MST!I7</f>
        <v>1272.67</v>
      </c>
      <c r="E1420" s="595">
        <f>MST!J7</f>
        <v>306.41000000000003</v>
      </c>
      <c r="F1420" s="596">
        <f>MST!K7</f>
        <v>268.33999999999997</v>
      </c>
      <c r="G1420" s="596">
        <f>MST!Y7</f>
        <v>-77.16</v>
      </c>
      <c r="H1420" s="596">
        <f>MST!X7</f>
        <v>1133.21</v>
      </c>
      <c r="I1420" s="596">
        <f t="shared" si="67"/>
        <v>2606.8752500000001</v>
      </c>
      <c r="J1420" s="595">
        <f>ATAN(input!BP6)*180/PI()</f>
        <v>7.1250163489017977</v>
      </c>
      <c r="K1420" s="596">
        <f t="shared" si="68"/>
        <v>2627.1625228950275</v>
      </c>
      <c r="L1420" s="596">
        <f t="shared" si="65"/>
        <v>4549.4716078986594</v>
      </c>
      <c r="M1420" s="609" t="str">
        <f t="shared" si="66"/>
        <v>OK</v>
      </c>
      <c r="N1420" s="216"/>
      <c r="P1420" s="257"/>
      <c r="Q1420" s="73"/>
      <c r="R1420" s="73"/>
      <c r="S1420" s="73"/>
      <c r="T1420" s="73"/>
      <c r="U1420" s="73"/>
      <c r="V1420" s="73"/>
      <c r="W1420" s="73"/>
      <c r="X1420" s="73"/>
      <c r="Y1420" s="73"/>
      <c r="Z1420" s="73"/>
      <c r="AA1420" s="73"/>
      <c r="AB1420" s="73"/>
      <c r="AC1420" s="73"/>
      <c r="AE1420" s="143"/>
      <c r="AF1420" s="143"/>
      <c r="AG1420" s="143"/>
      <c r="AH1420" s="143"/>
      <c r="AI1420" s="143"/>
      <c r="AJ1420" s="143"/>
      <c r="AK1420" s="143"/>
      <c r="AL1420" s="143"/>
      <c r="AM1420" s="143"/>
      <c r="AN1420" s="143"/>
      <c r="AO1420" s="143"/>
      <c r="AP1420" s="143"/>
      <c r="AQ1420" s="143"/>
    </row>
    <row r="1421" spans="1:43" ht="15" customHeight="1">
      <c r="A1421" s="579" t="str">
        <f>+input!B7</f>
        <v>103i</v>
      </c>
      <c r="B1421" s="596">
        <f>MST!G8</f>
        <v>637.28</v>
      </c>
      <c r="C1421" s="596">
        <f>MST!H8</f>
        <v>0.8</v>
      </c>
      <c r="D1421" s="596">
        <f>MST!I8</f>
        <v>1272.6400000000001</v>
      </c>
      <c r="E1421" s="595">
        <f>MST!J8</f>
        <v>306.43</v>
      </c>
      <c r="F1421" s="596">
        <f>MST!K8</f>
        <v>268.35000000000002</v>
      </c>
      <c r="G1421" s="596">
        <f>MST!Y8</f>
        <v>-77.16</v>
      </c>
      <c r="H1421" s="596">
        <f>MST!X8</f>
        <v>1133.21</v>
      </c>
      <c r="I1421" s="596">
        <f t="shared" si="67"/>
        <v>2606.8702499999999</v>
      </c>
      <c r="J1421" s="595">
        <f>ATAN(input!BP7)*180/PI()</f>
        <v>7.1250163489017977</v>
      </c>
      <c r="K1421" s="596">
        <f t="shared" si="68"/>
        <v>2627.1574839839345</v>
      </c>
      <c r="L1421" s="596">
        <f t="shared" si="65"/>
        <v>4987.9984783153504</v>
      </c>
      <c r="M1421" s="609" t="str">
        <f t="shared" si="66"/>
        <v>OK</v>
      </c>
      <c r="N1421" s="216"/>
      <c r="P1421" s="257"/>
      <c r="Q1421" s="73"/>
      <c r="R1421" s="73"/>
      <c r="S1421" s="73"/>
      <c r="T1421" s="73"/>
      <c r="U1421" s="73"/>
      <c r="V1421" s="73"/>
      <c r="W1421" s="73"/>
      <c r="X1421" s="73"/>
      <c r="Y1421" s="73"/>
      <c r="Z1421" s="73"/>
      <c r="AA1421" s="73"/>
      <c r="AB1421" s="73"/>
      <c r="AC1421" s="73"/>
      <c r="AE1421" s="143"/>
      <c r="AF1421" s="143"/>
      <c r="AG1421" s="143"/>
      <c r="AH1421" s="143"/>
      <c r="AI1421" s="143"/>
      <c r="AJ1421" s="143"/>
      <c r="AK1421" s="143"/>
      <c r="AL1421" s="143"/>
      <c r="AM1421" s="143"/>
      <c r="AN1421" s="143"/>
      <c r="AO1421" s="143"/>
      <c r="AP1421" s="143"/>
      <c r="AQ1421" s="143"/>
    </row>
    <row r="1422" spans="1:43" ht="15" customHeight="1">
      <c r="A1422" s="579" t="str">
        <f>+input!B8</f>
        <v>103j</v>
      </c>
      <c r="B1422" s="596">
        <f>MST!G9</f>
        <v>580.19000000000005</v>
      </c>
      <c r="C1422" s="596">
        <f>MST!H9</f>
        <v>0.8</v>
      </c>
      <c r="D1422" s="596">
        <f>MST!I9</f>
        <v>1140.18</v>
      </c>
      <c r="E1422" s="595">
        <f>MST!J9</f>
        <v>276.64</v>
      </c>
      <c r="F1422" s="596">
        <f>MST!K9</f>
        <v>239.79</v>
      </c>
      <c r="G1422" s="596">
        <f>MST!Y9</f>
        <v>-125.95</v>
      </c>
      <c r="H1422" s="596">
        <f>MST!X9</f>
        <v>1032.82</v>
      </c>
      <c r="I1422" s="596">
        <f t="shared" si="67"/>
        <v>2358.0117499999997</v>
      </c>
      <c r="J1422" s="595">
        <f>ATAN(input!BP8)*180/PI()</f>
        <v>7.1250163489017977</v>
      </c>
      <c r="K1422" s="596">
        <f t="shared" si="68"/>
        <v>2376.362312752065</v>
      </c>
      <c r="L1422" s="596">
        <f t="shared" si="65"/>
        <v>4987.9984783153504</v>
      </c>
      <c r="M1422" s="609" t="str">
        <f t="shared" si="66"/>
        <v>OK</v>
      </c>
      <c r="N1422" s="216"/>
      <c r="P1422" s="257"/>
      <c r="Q1422" s="73"/>
      <c r="R1422" s="73"/>
      <c r="S1422" s="73"/>
      <c r="T1422" s="73"/>
      <c r="U1422" s="73"/>
      <c r="V1422" s="73"/>
      <c r="W1422" s="73"/>
      <c r="X1422" s="73"/>
      <c r="Y1422" s="73"/>
      <c r="Z1422" s="73"/>
      <c r="AA1422" s="73"/>
      <c r="AB1422" s="73"/>
      <c r="AC1422" s="73"/>
      <c r="AE1422" s="143"/>
      <c r="AF1422" s="143"/>
      <c r="AG1422" s="143"/>
      <c r="AH1422" s="143"/>
      <c r="AI1422" s="143"/>
      <c r="AJ1422" s="143"/>
      <c r="AK1422" s="143"/>
      <c r="AL1422" s="143"/>
      <c r="AM1422" s="143"/>
      <c r="AN1422" s="143"/>
      <c r="AO1422" s="143"/>
      <c r="AP1422" s="143"/>
      <c r="AQ1422" s="143"/>
    </row>
    <row r="1423" spans="1:43" ht="15" customHeight="1">
      <c r="A1423" s="579" t="str">
        <f>+input!B9</f>
        <v>104i</v>
      </c>
      <c r="B1423" s="596">
        <f>MST!G10</f>
        <v>565.29</v>
      </c>
      <c r="C1423" s="596">
        <f>MST!H10</f>
        <v>0.8</v>
      </c>
      <c r="D1423" s="596">
        <f>MST!I10</f>
        <v>1070.69</v>
      </c>
      <c r="E1423" s="595">
        <f>MST!J10</f>
        <v>255.38</v>
      </c>
      <c r="F1423" s="596">
        <f>MST!K10</f>
        <v>227.19</v>
      </c>
      <c r="G1423" s="596">
        <f>MST!Y10</f>
        <v>-109.76</v>
      </c>
      <c r="H1423" s="596">
        <f>MST!X10</f>
        <v>1008.86</v>
      </c>
      <c r="I1423" s="596">
        <f t="shared" si="67"/>
        <v>2260.9665</v>
      </c>
      <c r="J1423" s="595">
        <f>ATAN(input!BP9)*180/PI()</f>
        <v>7.1250163489017977</v>
      </c>
      <c r="K1423" s="596">
        <f t="shared" si="68"/>
        <v>2278.5618354085568</v>
      </c>
      <c r="L1423" s="596">
        <f t="shared" si="65"/>
        <v>4987.9984783153504</v>
      </c>
      <c r="M1423" s="609" t="str">
        <f t="shared" si="66"/>
        <v>OK</v>
      </c>
      <c r="N1423" s="216"/>
      <c r="P1423" s="257"/>
      <c r="Q1423" s="73"/>
      <c r="R1423" s="73"/>
      <c r="S1423" s="73"/>
      <c r="T1423" s="73"/>
      <c r="U1423" s="73"/>
      <c r="V1423" s="73"/>
      <c r="W1423" s="73"/>
      <c r="X1423" s="73"/>
      <c r="Y1423" s="73"/>
      <c r="Z1423" s="73"/>
      <c r="AA1423" s="73"/>
      <c r="AB1423" s="73"/>
      <c r="AC1423" s="73"/>
      <c r="AE1423" s="143"/>
      <c r="AF1423" s="143"/>
      <c r="AG1423" s="143"/>
      <c r="AH1423" s="143"/>
      <c r="AI1423" s="143"/>
      <c r="AJ1423" s="143"/>
      <c r="AK1423" s="143"/>
      <c r="AL1423" s="143"/>
      <c r="AM1423" s="143"/>
      <c r="AN1423" s="143"/>
      <c r="AO1423" s="143"/>
      <c r="AP1423" s="143"/>
      <c r="AQ1423" s="143"/>
    </row>
    <row r="1424" spans="1:43" ht="15" customHeight="1">
      <c r="A1424" s="579" t="str">
        <f>+input!B10</f>
        <v>104j</v>
      </c>
      <c r="B1424" s="596">
        <f>MST!G11</f>
        <v>488.14</v>
      </c>
      <c r="C1424" s="596">
        <f>MST!H11</f>
        <v>0.8</v>
      </c>
      <c r="D1424" s="596">
        <f>MST!I11</f>
        <v>891.69</v>
      </c>
      <c r="E1424" s="595">
        <f>MST!J11</f>
        <v>215.13</v>
      </c>
      <c r="F1424" s="596">
        <f>MST!K11</f>
        <v>188.59</v>
      </c>
      <c r="G1424" s="596">
        <f>MST!Y11</f>
        <v>-182.9</v>
      </c>
      <c r="H1424" s="596">
        <f>MST!X11</f>
        <v>885.54</v>
      </c>
      <c r="I1424" s="596">
        <f t="shared" si="67"/>
        <v>1935.7784999999999</v>
      </c>
      <c r="J1424" s="595">
        <f>ATAN(input!BP10)*180/PI()</f>
        <v>7.1250163489017977</v>
      </c>
      <c r="K1424" s="596">
        <f t="shared" si="68"/>
        <v>1950.8431513268429</v>
      </c>
      <c r="L1424" s="596">
        <f t="shared" si="65"/>
        <v>4987.9984783153504</v>
      </c>
      <c r="M1424" s="609" t="str">
        <f t="shared" si="66"/>
        <v>OK</v>
      </c>
      <c r="N1424" s="216"/>
      <c r="P1424" s="257"/>
      <c r="Q1424" s="73"/>
      <c r="R1424" s="73"/>
      <c r="S1424" s="73"/>
      <c r="T1424" s="73"/>
      <c r="U1424" s="73"/>
      <c r="V1424" s="73"/>
      <c r="W1424" s="73"/>
      <c r="X1424" s="73"/>
      <c r="Y1424" s="73"/>
      <c r="Z1424" s="73"/>
      <c r="AA1424" s="73"/>
      <c r="AB1424" s="73"/>
      <c r="AC1424" s="73"/>
      <c r="AE1424" s="143"/>
      <c r="AF1424" s="143"/>
      <c r="AG1424" s="143"/>
      <c r="AH1424" s="143"/>
      <c r="AI1424" s="143"/>
      <c r="AJ1424" s="143"/>
      <c r="AK1424" s="143"/>
      <c r="AL1424" s="143"/>
      <c r="AM1424" s="143"/>
      <c r="AN1424" s="143"/>
      <c r="AO1424" s="143"/>
      <c r="AP1424" s="143"/>
      <c r="AQ1424" s="143"/>
    </row>
    <row r="1425" spans="1:43" ht="15" customHeight="1">
      <c r="A1425" s="579" t="str">
        <f>+input!B11</f>
        <v>105i</v>
      </c>
      <c r="B1425" s="596">
        <f>MST!G12</f>
        <v>488.14</v>
      </c>
      <c r="C1425" s="596">
        <f>MST!H12</f>
        <v>0.8</v>
      </c>
      <c r="D1425" s="596">
        <f>MST!I12</f>
        <v>891.71</v>
      </c>
      <c r="E1425" s="595">
        <f>MST!J12</f>
        <v>215.12</v>
      </c>
      <c r="F1425" s="596">
        <f>MST!K12</f>
        <v>188.59</v>
      </c>
      <c r="G1425" s="596">
        <f>MST!Y12</f>
        <v>-182.9</v>
      </c>
      <c r="H1425" s="596">
        <f>MST!X12</f>
        <v>885.54</v>
      </c>
      <c r="I1425" s="596">
        <f t="shared" si="67"/>
        <v>1935.7847499999998</v>
      </c>
      <c r="J1425" s="595">
        <f>ATAN(input!BP11)*180/PI()</f>
        <v>7.1250163489017977</v>
      </c>
      <c r="K1425" s="596">
        <f t="shared" si="68"/>
        <v>1950.8494499657088</v>
      </c>
      <c r="L1425" s="596">
        <f t="shared" si="65"/>
        <v>4987.9984783153504</v>
      </c>
      <c r="M1425" s="609" t="str">
        <f t="shared" si="66"/>
        <v>OK</v>
      </c>
      <c r="N1425" s="216"/>
      <c r="P1425" s="257"/>
      <c r="Q1425" s="73"/>
      <c r="R1425" s="73"/>
      <c r="S1425" s="73"/>
      <c r="T1425" s="73"/>
      <c r="U1425" s="73"/>
      <c r="V1425" s="73"/>
      <c r="W1425" s="73"/>
      <c r="X1425" s="73"/>
      <c r="Y1425" s="73"/>
      <c r="Z1425" s="73"/>
      <c r="AA1425" s="73"/>
      <c r="AB1425" s="73"/>
      <c r="AC1425" s="73"/>
      <c r="AE1425" s="143"/>
      <c r="AF1425" s="143"/>
      <c r="AG1425" s="143"/>
      <c r="AH1425" s="143"/>
      <c r="AI1425" s="143"/>
      <c r="AJ1425" s="143"/>
      <c r="AK1425" s="143"/>
      <c r="AL1425" s="143"/>
      <c r="AM1425" s="143"/>
      <c r="AN1425" s="143"/>
      <c r="AO1425" s="143"/>
      <c r="AP1425" s="143"/>
      <c r="AQ1425" s="143"/>
    </row>
    <row r="1426" spans="1:43" ht="15" customHeight="1">
      <c r="A1426" s="579" t="str">
        <f>+input!B12</f>
        <v>105j</v>
      </c>
      <c r="B1426" s="596">
        <f>MST!G13</f>
        <v>389.13</v>
      </c>
      <c r="C1426" s="596">
        <f>MST!H13</f>
        <v>0.8</v>
      </c>
      <c r="D1426" s="596">
        <f>MST!I13</f>
        <v>712.71</v>
      </c>
      <c r="E1426" s="595">
        <f>MST!J13</f>
        <v>174.87</v>
      </c>
      <c r="F1426" s="596">
        <f>MST!K13</f>
        <v>149.99</v>
      </c>
      <c r="G1426" s="596">
        <f>MST!Y13</f>
        <v>-277.99</v>
      </c>
      <c r="H1426" s="596">
        <f>MST!X13</f>
        <v>783.4</v>
      </c>
      <c r="I1426" s="596">
        <f t="shared" si="67"/>
        <v>1615.9962500000001</v>
      </c>
      <c r="J1426" s="595">
        <f>ATAN(input!BP12)*180/PI()</f>
        <v>7.1250163489017977</v>
      </c>
      <c r="K1426" s="596">
        <f t="shared" si="68"/>
        <v>1628.5722859729876</v>
      </c>
      <c r="L1426" s="596">
        <f t="shared" si="65"/>
        <v>4987.9984783153504</v>
      </c>
      <c r="M1426" s="609" t="str">
        <f t="shared" si="66"/>
        <v>OK</v>
      </c>
      <c r="N1426" s="216"/>
      <c r="P1426" s="257"/>
      <c r="Q1426" s="73"/>
      <c r="R1426" s="73"/>
      <c r="S1426" s="73"/>
      <c r="T1426" s="73"/>
      <c r="U1426" s="73"/>
      <c r="V1426" s="73"/>
      <c r="W1426" s="73"/>
      <c r="X1426" s="73"/>
      <c r="Y1426" s="73"/>
      <c r="Z1426" s="73"/>
      <c r="AA1426" s="73"/>
      <c r="AB1426" s="73"/>
      <c r="AC1426" s="73"/>
      <c r="AE1426" s="143"/>
      <c r="AF1426" s="143"/>
      <c r="AG1426" s="143"/>
      <c r="AH1426" s="143"/>
      <c r="AI1426" s="143"/>
      <c r="AJ1426" s="143"/>
      <c r="AK1426" s="143"/>
      <c r="AL1426" s="143"/>
      <c r="AM1426" s="143"/>
      <c r="AN1426" s="143"/>
      <c r="AO1426" s="143"/>
      <c r="AP1426" s="143"/>
      <c r="AQ1426" s="143"/>
    </row>
    <row r="1427" spans="1:43" ht="15" customHeight="1">
      <c r="A1427" s="579" t="str">
        <f>+input!B13</f>
        <v>106i</v>
      </c>
      <c r="B1427" s="596">
        <f>MST!G14</f>
        <v>370.15</v>
      </c>
      <c r="C1427" s="596">
        <f>MST!H14</f>
        <v>0.81</v>
      </c>
      <c r="D1427" s="596">
        <f>MST!I14</f>
        <v>631.29</v>
      </c>
      <c r="E1427" s="595">
        <f>MST!J14</f>
        <v>150.32</v>
      </c>
      <c r="F1427" s="596">
        <f>MST!K14</f>
        <v>135.09</v>
      </c>
      <c r="G1427" s="596">
        <f>MST!Y14</f>
        <v>-221.05</v>
      </c>
      <c r="H1427" s="596">
        <f>MST!X14</f>
        <v>758.34</v>
      </c>
      <c r="I1427" s="596">
        <f t="shared" si="67"/>
        <v>1504.17975</v>
      </c>
      <c r="J1427" s="595">
        <f>ATAN(input!BP13)*180/PI()</f>
        <v>7.1250163489017977</v>
      </c>
      <c r="K1427" s="596">
        <f t="shared" si="68"/>
        <v>1515.8856055339095</v>
      </c>
      <c r="L1427" s="596">
        <f t="shared" si="65"/>
        <v>4987.9984783153504</v>
      </c>
      <c r="M1427" s="609" t="str">
        <f t="shared" si="66"/>
        <v>OK</v>
      </c>
      <c r="N1427" s="216"/>
      <c r="P1427" s="257"/>
      <c r="Q1427" s="73"/>
      <c r="R1427" s="73"/>
      <c r="S1427" s="73"/>
      <c r="T1427" s="73"/>
      <c r="U1427" s="73"/>
      <c r="V1427" s="73"/>
      <c r="W1427" s="73"/>
      <c r="X1427" s="73"/>
      <c r="Y1427" s="73"/>
      <c r="Z1427" s="73"/>
      <c r="AA1427" s="73"/>
      <c r="AB1427" s="73"/>
      <c r="AC1427" s="73"/>
      <c r="AE1427" s="143"/>
      <c r="AF1427" s="143"/>
      <c r="AG1427" s="143"/>
      <c r="AH1427" s="143"/>
      <c r="AI1427" s="143"/>
      <c r="AJ1427" s="143"/>
      <c r="AK1427" s="143"/>
      <c r="AL1427" s="143"/>
      <c r="AM1427" s="143"/>
      <c r="AN1427" s="143"/>
      <c r="AO1427" s="143"/>
      <c r="AP1427" s="143"/>
      <c r="AQ1427" s="143"/>
    </row>
    <row r="1428" spans="1:43" ht="15" customHeight="1">
      <c r="A1428" s="579" t="str">
        <f>+input!B14</f>
        <v>106j</v>
      </c>
      <c r="B1428" s="596">
        <f>MST!G15</f>
        <v>271.14999999999998</v>
      </c>
      <c r="C1428" s="596">
        <f>MST!H15</f>
        <v>0.81</v>
      </c>
      <c r="D1428" s="596">
        <f>MST!I15</f>
        <v>452.29</v>
      </c>
      <c r="E1428" s="595">
        <f>MST!J15</f>
        <v>110.07</v>
      </c>
      <c r="F1428" s="596">
        <f>MST!K15</f>
        <v>96.49</v>
      </c>
      <c r="G1428" s="596">
        <f>MST!Y15</f>
        <v>-304.18</v>
      </c>
      <c r="H1428" s="596">
        <f>MST!X15</f>
        <v>652.79999999999995</v>
      </c>
      <c r="I1428" s="596">
        <f t="shared" si="67"/>
        <v>1181.3374999999999</v>
      </c>
      <c r="J1428" s="595">
        <f>ATAN(input!BP14)*180/PI()</f>
        <v>7.1250163489017977</v>
      </c>
      <c r="K1428" s="596">
        <f t="shared" si="68"/>
        <v>1190.5309265913297</v>
      </c>
      <c r="L1428" s="596">
        <f t="shared" si="65"/>
        <v>4987.9984783153504</v>
      </c>
      <c r="M1428" s="609" t="str">
        <f t="shared" si="66"/>
        <v>OK</v>
      </c>
      <c r="N1428" s="216"/>
      <c r="P1428" s="257"/>
      <c r="Q1428" s="73"/>
      <c r="R1428" s="73"/>
      <c r="S1428" s="73"/>
      <c r="T1428" s="73"/>
      <c r="U1428" s="73"/>
      <c r="V1428" s="73"/>
      <c r="W1428" s="73"/>
      <c r="X1428" s="73"/>
      <c r="Y1428" s="73"/>
      <c r="Z1428" s="73"/>
      <c r="AA1428" s="73"/>
      <c r="AB1428" s="73"/>
      <c r="AC1428" s="73"/>
      <c r="AE1428" s="143"/>
      <c r="AF1428" s="143"/>
      <c r="AG1428" s="143"/>
      <c r="AH1428" s="143"/>
      <c r="AI1428" s="143"/>
      <c r="AJ1428" s="143"/>
      <c r="AK1428" s="143"/>
      <c r="AL1428" s="143"/>
      <c r="AM1428" s="143"/>
      <c r="AN1428" s="143"/>
      <c r="AO1428" s="143"/>
      <c r="AP1428" s="143"/>
      <c r="AQ1428" s="143"/>
    </row>
    <row r="1429" spans="1:43" ht="15" customHeight="1">
      <c r="A1429" s="579" t="str">
        <f>+input!B15</f>
        <v>107i</v>
      </c>
      <c r="B1429" s="596">
        <f>MST!G16</f>
        <v>271.2</v>
      </c>
      <c r="C1429" s="596">
        <f>MST!H16</f>
        <v>0.81</v>
      </c>
      <c r="D1429" s="596">
        <f>MST!I16</f>
        <v>452.28</v>
      </c>
      <c r="E1429" s="595">
        <f>MST!J16</f>
        <v>110.05</v>
      </c>
      <c r="F1429" s="596">
        <f>MST!K16</f>
        <v>96.5</v>
      </c>
      <c r="G1429" s="596">
        <f>MST!Y16</f>
        <v>-304.18</v>
      </c>
      <c r="H1429" s="596">
        <f>MST!X16</f>
        <v>652.79999999999995</v>
      </c>
      <c r="I1429" s="596">
        <f t="shared" si="67"/>
        <v>1181.3575000000001</v>
      </c>
      <c r="J1429" s="595">
        <f>ATAN(input!BP15)*180/PI()</f>
        <v>7.1250163489017977</v>
      </c>
      <c r="K1429" s="596">
        <f t="shared" si="68"/>
        <v>1190.5510822357005</v>
      </c>
      <c r="L1429" s="596">
        <f t="shared" si="65"/>
        <v>4987.9984783153504</v>
      </c>
      <c r="M1429" s="609" t="str">
        <f t="shared" si="66"/>
        <v>OK</v>
      </c>
      <c r="N1429" s="216"/>
      <c r="P1429" s="257"/>
      <c r="Q1429" s="73"/>
      <c r="R1429" s="73"/>
      <c r="S1429" s="73"/>
      <c r="T1429" s="73"/>
      <c r="U1429" s="73"/>
      <c r="V1429" s="73"/>
      <c r="W1429" s="73"/>
      <c r="X1429" s="73"/>
      <c r="Y1429" s="73"/>
      <c r="Z1429" s="73"/>
      <c r="AA1429" s="73"/>
      <c r="AB1429" s="73"/>
      <c r="AC1429" s="73"/>
      <c r="AE1429" s="143"/>
      <c r="AF1429" s="143"/>
      <c r="AG1429" s="143"/>
      <c r="AH1429" s="143"/>
      <c r="AI1429" s="143"/>
      <c r="AJ1429" s="143"/>
      <c r="AK1429" s="143"/>
      <c r="AL1429" s="143"/>
      <c r="AM1429" s="143"/>
      <c r="AN1429" s="143"/>
      <c r="AO1429" s="143"/>
      <c r="AP1429" s="143"/>
      <c r="AQ1429" s="143"/>
    </row>
    <row r="1430" spans="1:43" ht="15" customHeight="1">
      <c r="A1430" s="579" t="str">
        <f>+input!B16</f>
        <v>107j</v>
      </c>
      <c r="B1430" s="596">
        <f>MST!G17</f>
        <v>160.07</v>
      </c>
      <c r="C1430" s="596">
        <f>MST!H17</f>
        <v>0.81</v>
      </c>
      <c r="D1430" s="596">
        <f>MST!I17</f>
        <v>273.27999999999997</v>
      </c>
      <c r="E1430" s="595">
        <f>MST!J17</f>
        <v>69.8</v>
      </c>
      <c r="F1430" s="596">
        <f>MST!K17</f>
        <v>57.9</v>
      </c>
      <c r="G1430" s="596">
        <f>MST!Y17</f>
        <v>-403.78</v>
      </c>
      <c r="H1430" s="596">
        <f>MST!X17</f>
        <v>563.48</v>
      </c>
      <c r="I1430" s="596">
        <f t="shared" si="67"/>
        <v>865.53199999999993</v>
      </c>
      <c r="J1430" s="595">
        <f>ATAN(input!BP16)*180/PI()</f>
        <v>7.1250163489017977</v>
      </c>
      <c r="K1430" s="596">
        <f t="shared" si="68"/>
        <v>872.26775917504244</v>
      </c>
      <c r="L1430" s="596">
        <f t="shared" si="65"/>
        <v>4987.9984783153504</v>
      </c>
      <c r="M1430" s="609" t="str">
        <f t="shared" si="66"/>
        <v>OK</v>
      </c>
      <c r="N1430" s="216"/>
      <c r="P1430" s="257"/>
      <c r="Q1430" s="73"/>
      <c r="R1430" s="73"/>
      <c r="S1430" s="73"/>
      <c r="T1430" s="73"/>
      <c r="U1430" s="73"/>
      <c r="V1430" s="73"/>
      <c r="W1430" s="73"/>
      <c r="X1430" s="73"/>
      <c r="Y1430" s="73"/>
      <c r="Z1430" s="73"/>
      <c r="AA1430" s="73"/>
      <c r="AB1430" s="73"/>
      <c r="AC1430" s="73"/>
      <c r="AE1430" s="143"/>
      <c r="AF1430" s="143"/>
      <c r="AG1430" s="143"/>
      <c r="AH1430" s="143"/>
      <c r="AI1430" s="143"/>
      <c r="AJ1430" s="143"/>
      <c r="AK1430" s="143"/>
      <c r="AL1430" s="143"/>
      <c r="AM1430" s="143"/>
      <c r="AN1430" s="143"/>
      <c r="AO1430" s="143"/>
      <c r="AP1430" s="143"/>
      <c r="AQ1430" s="143"/>
    </row>
    <row r="1431" spans="1:43" ht="15" customHeight="1">
      <c r="A1431" s="579" t="str">
        <f>+input!B17</f>
        <v>108i</v>
      </c>
      <c r="B1431" s="596">
        <f>MST!G18</f>
        <v>139.71</v>
      </c>
      <c r="C1431" s="596">
        <f>MST!H18</f>
        <v>0.8</v>
      </c>
      <c r="D1431" s="596">
        <f>MST!I18</f>
        <v>187.21</v>
      </c>
      <c r="E1431" s="595">
        <f>MST!J18</f>
        <v>44.54</v>
      </c>
      <c r="F1431" s="596">
        <f>MST!K18</f>
        <v>42.63</v>
      </c>
      <c r="G1431" s="596">
        <f>MST!Y18</f>
        <v>-352.17</v>
      </c>
      <c r="H1431" s="596">
        <f>MST!X18</f>
        <v>552.13</v>
      </c>
      <c r="I1431" s="596">
        <f t="shared" si="67"/>
        <v>761.55200000000013</v>
      </c>
      <c r="J1431" s="595">
        <f>ATAN(input!BP17)*180/PI()</f>
        <v>7.1250163489017977</v>
      </c>
      <c r="K1431" s="596">
        <f t="shared" si="68"/>
        <v>767.47856409153223</v>
      </c>
      <c r="L1431" s="596">
        <f t="shared" si="65"/>
        <v>4987.9984783153504</v>
      </c>
      <c r="M1431" s="609" t="str">
        <f t="shared" si="66"/>
        <v>OK</v>
      </c>
      <c r="N1431" s="216"/>
      <c r="P1431" s="257"/>
      <c r="Q1431" s="73"/>
      <c r="R1431" s="73"/>
      <c r="S1431" s="73"/>
      <c r="T1431" s="73"/>
      <c r="U1431" s="73"/>
      <c r="V1431" s="73"/>
      <c r="W1431" s="73"/>
      <c r="X1431" s="73"/>
      <c r="Y1431" s="73"/>
      <c r="Z1431" s="73"/>
      <c r="AA1431" s="73"/>
      <c r="AB1431" s="73"/>
      <c r="AC1431" s="73"/>
      <c r="AE1431" s="143"/>
      <c r="AF1431" s="143"/>
      <c r="AG1431" s="143"/>
      <c r="AH1431" s="143"/>
      <c r="AI1431" s="143"/>
      <c r="AJ1431" s="143"/>
      <c r="AK1431" s="143"/>
      <c r="AL1431" s="143"/>
      <c r="AM1431" s="143"/>
      <c r="AN1431" s="143"/>
      <c r="AO1431" s="143"/>
      <c r="AP1431" s="143"/>
      <c r="AQ1431" s="143"/>
    </row>
    <row r="1432" spans="1:43" ht="15" customHeight="1">
      <c r="A1432" s="579" t="str">
        <f>+input!B18</f>
        <v>108j</v>
      </c>
      <c r="B1432" s="596">
        <f>MST!G19</f>
        <v>28.58</v>
      </c>
      <c r="C1432" s="596">
        <f>MST!H19</f>
        <v>0.8</v>
      </c>
      <c r="D1432" s="596">
        <f>MST!I19</f>
        <v>8.2100000000000009</v>
      </c>
      <c r="E1432" s="595">
        <f>MST!J19</f>
        <v>4.29</v>
      </c>
      <c r="F1432" s="596">
        <f>MST!K19</f>
        <v>4.03</v>
      </c>
      <c r="G1432" s="596">
        <f>MST!Y19</f>
        <v>-439.91</v>
      </c>
      <c r="H1432" s="596">
        <f>MST!X19</f>
        <v>454.01</v>
      </c>
      <c r="I1432" s="596">
        <f t="shared" si="67"/>
        <v>437.80649999999997</v>
      </c>
      <c r="J1432" s="595">
        <f>ATAN(input!BP18)*180/PI()</f>
        <v>7.1250163489017977</v>
      </c>
      <c r="K1432" s="596">
        <f t="shared" si="68"/>
        <v>441.21360586005858</v>
      </c>
      <c r="L1432" s="596">
        <f t="shared" si="65"/>
        <v>4987.9984783153504</v>
      </c>
      <c r="M1432" s="609" t="str">
        <f t="shared" si="66"/>
        <v>OK</v>
      </c>
      <c r="N1432" s="216"/>
      <c r="P1432" s="257"/>
      <c r="Q1432" s="73"/>
      <c r="R1432" s="73"/>
      <c r="S1432" s="73"/>
      <c r="T1432" s="73"/>
      <c r="U1432" s="73"/>
      <c r="V1432" s="73"/>
      <c r="W1432" s="73"/>
      <c r="X1432" s="73"/>
      <c r="Y1432" s="73"/>
      <c r="Z1432" s="73"/>
      <c r="AA1432" s="73"/>
      <c r="AB1432" s="73"/>
      <c r="AC1432" s="73"/>
      <c r="AE1432" s="143"/>
      <c r="AF1432" s="143"/>
      <c r="AG1432" s="143"/>
      <c r="AH1432" s="143"/>
      <c r="AI1432" s="143"/>
      <c r="AJ1432" s="143"/>
      <c r="AK1432" s="143"/>
      <c r="AL1432" s="143"/>
      <c r="AM1432" s="143"/>
      <c r="AN1432" s="143"/>
      <c r="AO1432" s="143"/>
      <c r="AP1432" s="143"/>
      <c r="AQ1432" s="143"/>
    </row>
    <row r="1433" spans="1:43" ht="15" customHeight="1">
      <c r="A1433" s="579" t="str">
        <f>+input!B19</f>
        <v>109i</v>
      </c>
      <c r="B1433" s="596">
        <f>MST!G20</f>
        <v>28.62</v>
      </c>
      <c r="C1433" s="596">
        <f>MST!H20</f>
        <v>0.8</v>
      </c>
      <c r="D1433" s="596">
        <f>MST!I20</f>
        <v>8.17</v>
      </c>
      <c r="E1433" s="595">
        <f>MST!J20</f>
        <v>4.2699999999999996</v>
      </c>
      <c r="F1433" s="596">
        <f>MST!K20</f>
        <v>4.01</v>
      </c>
      <c r="G1433" s="596">
        <f>MST!Y20</f>
        <v>-439.91</v>
      </c>
      <c r="H1433" s="596">
        <f>MST!X20</f>
        <v>454.01</v>
      </c>
      <c r="I1433" s="596">
        <f t="shared" si="67"/>
        <v>437.779</v>
      </c>
      <c r="J1433" s="595">
        <f>ATAN(input!BP19)*180/PI()</f>
        <v>7.1250163489017977</v>
      </c>
      <c r="K1433" s="596">
        <f t="shared" si="68"/>
        <v>441.18589184904886</v>
      </c>
      <c r="L1433" s="596">
        <f t="shared" si="65"/>
        <v>4987.9984783153504</v>
      </c>
      <c r="M1433" s="609" t="str">
        <f t="shared" si="66"/>
        <v>OK</v>
      </c>
      <c r="N1433" s="216"/>
      <c r="P1433" s="257"/>
      <c r="Q1433" s="73"/>
      <c r="R1433" s="73"/>
      <c r="S1433" s="73"/>
      <c r="T1433" s="73"/>
      <c r="U1433" s="73"/>
      <c r="V1433" s="73"/>
      <c r="W1433" s="73"/>
      <c r="X1433" s="73"/>
      <c r="Y1433" s="73"/>
      <c r="Z1433" s="73"/>
      <c r="AA1433" s="73"/>
      <c r="AB1433" s="73"/>
      <c r="AC1433" s="73"/>
      <c r="AE1433" s="143"/>
      <c r="AF1433" s="143"/>
      <c r="AG1433" s="143"/>
      <c r="AH1433" s="143"/>
      <c r="AI1433" s="143"/>
      <c r="AJ1433" s="143"/>
      <c r="AK1433" s="143"/>
      <c r="AL1433" s="143"/>
      <c r="AM1433" s="143"/>
      <c r="AN1433" s="143"/>
      <c r="AO1433" s="143"/>
      <c r="AP1433" s="143"/>
      <c r="AQ1433" s="143"/>
    </row>
    <row r="1434" spans="1:43" ht="15" customHeight="1">
      <c r="A1434" s="579" t="str">
        <f>+input!B20</f>
        <v>109j</v>
      </c>
      <c r="B1434" s="596">
        <f>MST!G21</f>
        <v>-82.51</v>
      </c>
      <c r="C1434" s="596">
        <f>MST!H21</f>
        <v>0.8</v>
      </c>
      <c r="D1434" s="596">
        <f>MST!I21</f>
        <v>-170.83</v>
      </c>
      <c r="E1434" s="595">
        <f>MST!J21</f>
        <v>-35.979999999999997</v>
      </c>
      <c r="F1434" s="596">
        <f>MST!K21</f>
        <v>-34.590000000000003</v>
      </c>
      <c r="G1434" s="596">
        <f>MST!Y21</f>
        <v>-542.6</v>
      </c>
      <c r="H1434" s="596">
        <f>MST!X21</f>
        <v>372.08</v>
      </c>
      <c r="I1434" s="596">
        <f t="shared" si="67"/>
        <v>-694.60750000000007</v>
      </c>
      <c r="J1434" s="595">
        <f>ATAN(input!BP20)*180/PI()</f>
        <v>7.1250163489017977</v>
      </c>
      <c r="K1434" s="596">
        <f t="shared" si="68"/>
        <v>-700.01308736266071</v>
      </c>
      <c r="L1434" s="596">
        <f t="shared" si="65"/>
        <v>4987.9984783153504</v>
      </c>
      <c r="M1434" s="609" t="str">
        <f t="shared" si="66"/>
        <v>OK</v>
      </c>
      <c r="N1434" s="216"/>
      <c r="P1434" s="257"/>
      <c r="Q1434" s="73"/>
      <c r="R1434" s="73"/>
      <c r="S1434" s="73"/>
      <c r="T1434" s="73"/>
      <c r="U1434" s="73"/>
      <c r="V1434" s="73"/>
      <c r="W1434" s="73"/>
      <c r="X1434" s="73"/>
      <c r="Y1434" s="73"/>
      <c r="Z1434" s="73"/>
      <c r="AA1434" s="73"/>
      <c r="AB1434" s="73"/>
      <c r="AC1434" s="73"/>
      <c r="AE1434" s="143"/>
      <c r="AF1434" s="143"/>
      <c r="AG1434" s="143"/>
      <c r="AH1434" s="143"/>
      <c r="AI1434" s="143"/>
      <c r="AJ1434" s="143"/>
      <c r="AK1434" s="143"/>
      <c r="AL1434" s="143"/>
      <c r="AM1434" s="143"/>
      <c r="AN1434" s="143"/>
      <c r="AO1434" s="143"/>
      <c r="AP1434" s="143"/>
      <c r="AQ1434" s="143"/>
    </row>
    <row r="1435" spans="1:43" ht="15" customHeight="1">
      <c r="A1435" s="579" t="str">
        <f>+input!B21</f>
        <v>110i</v>
      </c>
      <c r="B1435" s="596">
        <f>MST!G22</f>
        <v>-98.11</v>
      </c>
      <c r="C1435" s="596">
        <f>MST!H22</f>
        <v>0.81</v>
      </c>
      <c r="D1435" s="596">
        <f>MST!I22</f>
        <v>-227.87</v>
      </c>
      <c r="E1435" s="595">
        <f>MST!J22</f>
        <v>-53.2</v>
      </c>
      <c r="F1435" s="596">
        <f>MST!K22</f>
        <v>-45.02</v>
      </c>
      <c r="G1435" s="596">
        <f>MST!Y22</f>
        <v>-544.74</v>
      </c>
      <c r="H1435" s="596">
        <f>MST!X22</f>
        <v>404.89</v>
      </c>
      <c r="I1435" s="596">
        <f t="shared" si="67"/>
        <v>-760.51224999999999</v>
      </c>
      <c r="J1435" s="595">
        <f>ATAN(input!BP21)*180/PI()</f>
        <v>7.1250163489017977</v>
      </c>
      <c r="K1435" s="596">
        <f t="shared" si="68"/>
        <v>-766.43072252980801</v>
      </c>
      <c r="L1435" s="596">
        <f t="shared" si="65"/>
        <v>4987.9984783153504</v>
      </c>
      <c r="M1435" s="609" t="str">
        <f t="shared" si="66"/>
        <v>OK</v>
      </c>
      <c r="N1435" s="216"/>
      <c r="P1435" s="257"/>
      <c r="Q1435" s="73"/>
      <c r="R1435" s="73"/>
      <c r="S1435" s="73"/>
      <c r="T1435" s="73"/>
      <c r="U1435" s="73"/>
      <c r="V1435" s="73"/>
      <c r="W1435" s="73"/>
      <c r="X1435" s="73"/>
      <c r="Y1435" s="73"/>
      <c r="Z1435" s="73"/>
      <c r="AA1435" s="73"/>
      <c r="AB1435" s="73"/>
      <c r="AC1435" s="73"/>
      <c r="AE1435" s="143"/>
      <c r="AF1435" s="143"/>
      <c r="AG1435" s="143"/>
      <c r="AH1435" s="143"/>
      <c r="AI1435" s="143"/>
      <c r="AJ1435" s="143"/>
      <c r="AK1435" s="143"/>
      <c r="AL1435" s="143"/>
      <c r="AM1435" s="143"/>
      <c r="AN1435" s="143"/>
      <c r="AO1435" s="143"/>
      <c r="AP1435" s="143"/>
      <c r="AQ1435" s="143"/>
    </row>
    <row r="1436" spans="1:43" ht="15" customHeight="1">
      <c r="A1436" s="579" t="str">
        <f>+input!B22</f>
        <v>110j</v>
      </c>
      <c r="B1436" s="596">
        <f>MST!G23</f>
        <v>-209.24</v>
      </c>
      <c r="C1436" s="596">
        <f>MST!H23</f>
        <v>0.81</v>
      </c>
      <c r="D1436" s="596">
        <f>MST!I23</f>
        <v>-406.87</v>
      </c>
      <c r="E1436" s="595">
        <f>MST!J23</f>
        <v>-93.45</v>
      </c>
      <c r="F1436" s="596">
        <f>MST!K23</f>
        <v>-83.62</v>
      </c>
      <c r="G1436" s="596">
        <f>MST!Y23</f>
        <v>-641.21</v>
      </c>
      <c r="H1436" s="596">
        <f>MST!X23</f>
        <v>317.18</v>
      </c>
      <c r="I1436" s="596">
        <f t="shared" si="67"/>
        <v>-1082.7727500000001</v>
      </c>
      <c r="J1436" s="595">
        <f>ATAN(input!BP22)*180/PI()</f>
        <v>7.1250163489017977</v>
      </c>
      <c r="K1436" s="596">
        <f t="shared" si="68"/>
        <v>-1091.1991241667536</v>
      </c>
      <c r="L1436" s="596">
        <f t="shared" si="65"/>
        <v>4987.9984783153504</v>
      </c>
      <c r="M1436" s="609" t="str">
        <f t="shared" si="66"/>
        <v>OK</v>
      </c>
      <c r="N1436" s="216"/>
      <c r="P1436" s="257"/>
      <c r="Q1436" s="73"/>
      <c r="R1436" s="73"/>
      <c r="S1436" s="73"/>
      <c r="T1436" s="73"/>
      <c r="U1436" s="73"/>
      <c r="V1436" s="73"/>
      <c r="W1436" s="73"/>
      <c r="X1436" s="73"/>
      <c r="Y1436" s="73"/>
      <c r="Z1436" s="73"/>
      <c r="AA1436" s="73"/>
      <c r="AB1436" s="73"/>
      <c r="AC1436" s="73"/>
      <c r="AE1436" s="143"/>
      <c r="AF1436" s="143"/>
      <c r="AG1436" s="143"/>
      <c r="AH1436" s="143"/>
      <c r="AI1436" s="143"/>
      <c r="AJ1436" s="143"/>
      <c r="AK1436" s="143"/>
      <c r="AL1436" s="143"/>
      <c r="AM1436" s="143"/>
      <c r="AN1436" s="143"/>
      <c r="AO1436" s="143"/>
      <c r="AP1436" s="143"/>
      <c r="AQ1436" s="143"/>
    </row>
    <row r="1437" spans="1:43" ht="15" customHeight="1">
      <c r="A1437" s="579" t="str">
        <f>+input!B23</f>
        <v>111i</v>
      </c>
      <c r="B1437" s="596">
        <f>MST!G24</f>
        <v>-226.95</v>
      </c>
      <c r="C1437" s="596">
        <f>MST!H24</f>
        <v>0.8</v>
      </c>
      <c r="D1437" s="596">
        <f>MST!I24</f>
        <v>-468.2</v>
      </c>
      <c r="E1437" s="595">
        <f>MST!J24</f>
        <v>-110.9</v>
      </c>
      <c r="F1437" s="596">
        <f>MST!K24</f>
        <v>-94.2</v>
      </c>
      <c r="G1437" s="596">
        <f>MST!Y24</f>
        <v>-643.48</v>
      </c>
      <c r="H1437" s="596">
        <f>MST!X24</f>
        <v>361.34</v>
      </c>
      <c r="I1437" s="596">
        <f t="shared" si="67"/>
        <v>-1153.0632500000002</v>
      </c>
      <c r="J1437" s="595">
        <f>ATAN(input!BP23)*180/PI()</f>
        <v>7.1250163489017977</v>
      </c>
      <c r="K1437" s="596">
        <f t="shared" si="68"/>
        <v>-1162.036640198851</v>
      </c>
      <c r="L1437" s="596">
        <f t="shared" si="65"/>
        <v>4987.9984783153504</v>
      </c>
      <c r="M1437" s="609" t="str">
        <f t="shared" si="66"/>
        <v>OK</v>
      </c>
      <c r="N1437" s="216"/>
      <c r="P1437" s="257"/>
      <c r="Q1437" s="73"/>
      <c r="R1437" s="73"/>
      <c r="S1437" s="73"/>
      <c r="T1437" s="73"/>
      <c r="U1437" s="73"/>
      <c r="V1437" s="73"/>
      <c r="W1437" s="73"/>
      <c r="X1437" s="73"/>
      <c r="Y1437" s="73"/>
      <c r="Z1437" s="73"/>
      <c r="AA1437" s="73"/>
      <c r="AB1437" s="73"/>
      <c r="AC1437" s="73"/>
      <c r="AE1437" s="143"/>
      <c r="AF1437" s="143"/>
      <c r="AG1437" s="143"/>
      <c r="AH1437" s="143"/>
      <c r="AI1437" s="143"/>
      <c r="AJ1437" s="143"/>
      <c r="AK1437" s="143"/>
      <c r="AL1437" s="143"/>
      <c r="AM1437" s="143"/>
      <c r="AN1437" s="143"/>
      <c r="AO1437" s="143"/>
      <c r="AP1437" s="143"/>
      <c r="AQ1437" s="143"/>
    </row>
    <row r="1438" spans="1:43" ht="15" customHeight="1">
      <c r="A1438" s="579" t="str">
        <f>+input!B24</f>
        <v>111j</v>
      </c>
      <c r="B1438" s="596">
        <f>MST!G25</f>
        <v>-338.08</v>
      </c>
      <c r="C1438" s="596">
        <f>MST!H25</f>
        <v>0.8</v>
      </c>
      <c r="D1438" s="596">
        <f>MST!I25</f>
        <v>-647.20000000000005</v>
      </c>
      <c r="E1438" s="595">
        <f>MST!J25</f>
        <v>-151.15</v>
      </c>
      <c r="F1438" s="596">
        <f>MST!K25</f>
        <v>-132.80000000000001</v>
      </c>
      <c r="G1438" s="596">
        <f>MST!Y25</f>
        <v>-735.21</v>
      </c>
      <c r="H1438" s="596">
        <f>MST!X25</f>
        <v>269.23</v>
      </c>
      <c r="I1438" s="596">
        <f t="shared" si="67"/>
        <v>-1471.0577500000002</v>
      </c>
      <c r="J1438" s="595">
        <f>ATAN(input!BP24)*180/PI()</f>
        <v>7.1250163489017977</v>
      </c>
      <c r="K1438" s="596">
        <f t="shared" si="68"/>
        <v>-1482.5058428915165</v>
      </c>
      <c r="L1438" s="596">
        <f t="shared" si="65"/>
        <v>4987.9984783153504</v>
      </c>
      <c r="M1438" s="609" t="str">
        <f t="shared" si="66"/>
        <v>OK</v>
      </c>
      <c r="N1438" s="216"/>
      <c r="P1438" s="257"/>
      <c r="Q1438" s="73"/>
      <c r="R1438" s="73"/>
      <c r="S1438" s="73"/>
      <c r="T1438" s="73"/>
      <c r="U1438" s="73"/>
      <c r="V1438" s="73"/>
      <c r="W1438" s="73"/>
      <c r="X1438" s="73"/>
      <c r="Y1438" s="73"/>
      <c r="Z1438" s="73"/>
      <c r="AA1438" s="73"/>
      <c r="AB1438" s="73"/>
      <c r="AC1438" s="73"/>
      <c r="AE1438" s="143"/>
      <c r="AF1438" s="143"/>
      <c r="AG1438" s="143"/>
      <c r="AH1438" s="143"/>
      <c r="AI1438" s="143"/>
      <c r="AJ1438" s="143"/>
      <c r="AK1438" s="143"/>
      <c r="AL1438" s="143"/>
      <c r="AM1438" s="143"/>
      <c r="AN1438" s="143"/>
      <c r="AO1438" s="143"/>
      <c r="AP1438" s="143"/>
      <c r="AQ1438" s="143"/>
    </row>
    <row r="1439" spans="1:43" ht="15" customHeight="1">
      <c r="A1439" s="579" t="str">
        <f>+input!B25</f>
        <v>112i</v>
      </c>
      <c r="B1439" s="596">
        <f>MST!G26</f>
        <v>-338.14</v>
      </c>
      <c r="C1439" s="596">
        <f>MST!H26</f>
        <v>0.8</v>
      </c>
      <c r="D1439" s="596">
        <f>MST!I26</f>
        <v>-647.17999999999995</v>
      </c>
      <c r="E1439" s="595">
        <f>MST!J26</f>
        <v>-151.13</v>
      </c>
      <c r="F1439" s="596">
        <f>MST!K26</f>
        <v>-132.83000000000001</v>
      </c>
      <c r="G1439" s="596">
        <f>MST!Y26</f>
        <v>-735.21</v>
      </c>
      <c r="H1439" s="596">
        <f>MST!X26</f>
        <v>269.23</v>
      </c>
      <c r="I1439" s="596">
        <f t="shared" si="67"/>
        <v>-1471.09275</v>
      </c>
      <c r="J1439" s="595">
        <f>ATAN(input!BP25)*180/PI()</f>
        <v>7.1250163489017977</v>
      </c>
      <c r="K1439" s="596">
        <f t="shared" si="68"/>
        <v>-1482.5411152691652</v>
      </c>
      <c r="L1439" s="596">
        <f t="shared" si="65"/>
        <v>4987.9984783153504</v>
      </c>
      <c r="M1439" s="609" t="str">
        <f t="shared" si="66"/>
        <v>OK</v>
      </c>
      <c r="N1439" s="216"/>
      <c r="P1439" s="257"/>
      <c r="Q1439" s="73"/>
      <c r="R1439" s="73"/>
      <c r="S1439" s="73"/>
      <c r="T1439" s="73"/>
      <c r="U1439" s="73"/>
      <c r="V1439" s="73"/>
      <c r="W1439" s="73"/>
      <c r="X1439" s="73"/>
      <c r="Y1439" s="73"/>
      <c r="Z1439" s="73"/>
      <c r="AA1439" s="73"/>
      <c r="AB1439" s="73"/>
      <c r="AC1439" s="73"/>
      <c r="AE1439" s="143"/>
      <c r="AF1439" s="143"/>
      <c r="AG1439" s="143"/>
      <c r="AH1439" s="143"/>
      <c r="AI1439" s="143"/>
      <c r="AJ1439" s="143"/>
      <c r="AK1439" s="143"/>
      <c r="AL1439" s="143"/>
      <c r="AM1439" s="143"/>
      <c r="AN1439" s="143"/>
      <c r="AO1439" s="143"/>
      <c r="AP1439" s="143"/>
      <c r="AQ1439" s="143"/>
    </row>
    <row r="1440" spans="1:43" ht="15" customHeight="1">
      <c r="A1440" s="579" t="str">
        <f>+input!B26</f>
        <v>112j</v>
      </c>
      <c r="B1440" s="596">
        <f>MST!G27</f>
        <v>-433.86</v>
      </c>
      <c r="C1440" s="596">
        <f>MST!H27</f>
        <v>0.8</v>
      </c>
      <c r="D1440" s="596">
        <f>MST!I27</f>
        <v>-826.18</v>
      </c>
      <c r="E1440" s="595">
        <f>MST!J27</f>
        <v>-191.38</v>
      </c>
      <c r="F1440" s="596">
        <f>MST!K27</f>
        <v>-171.43</v>
      </c>
      <c r="G1440" s="596">
        <f>MST!Y27</f>
        <v>-841.58</v>
      </c>
      <c r="H1440" s="596">
        <f>MST!X27</f>
        <v>194.31</v>
      </c>
      <c r="I1440" s="596">
        <f t="shared" si="67"/>
        <v>-1792.6320000000001</v>
      </c>
      <c r="J1440" s="595">
        <f>ATAN(input!BP26)*180/PI()</f>
        <v>7.1250163489017977</v>
      </c>
      <c r="K1440" s="596">
        <f t="shared" si="68"/>
        <v>-1806.5826539809907</v>
      </c>
      <c r="L1440" s="596">
        <f t="shared" si="65"/>
        <v>4987.9984783153504</v>
      </c>
      <c r="M1440" s="609" t="str">
        <f t="shared" si="66"/>
        <v>OK</v>
      </c>
      <c r="N1440" s="216"/>
      <c r="P1440" s="257"/>
      <c r="Q1440" s="73"/>
      <c r="R1440" s="73"/>
      <c r="S1440" s="73"/>
      <c r="T1440" s="73"/>
      <c r="U1440" s="73"/>
      <c r="V1440" s="73"/>
      <c r="W1440" s="73"/>
      <c r="X1440" s="73"/>
      <c r="Y1440" s="73"/>
      <c r="Z1440" s="73"/>
      <c r="AA1440" s="73"/>
      <c r="AB1440" s="73"/>
      <c r="AC1440" s="73"/>
      <c r="AE1440" s="143"/>
      <c r="AF1440" s="143"/>
      <c r="AG1440" s="143"/>
      <c r="AH1440" s="143"/>
      <c r="AI1440" s="143"/>
      <c r="AJ1440" s="143"/>
      <c r="AK1440" s="143"/>
      <c r="AL1440" s="143"/>
      <c r="AM1440" s="143"/>
      <c r="AN1440" s="143"/>
      <c r="AO1440" s="143"/>
      <c r="AP1440" s="143"/>
      <c r="AQ1440" s="143"/>
    </row>
    <row r="1441" spans="1:43" ht="15" customHeight="1">
      <c r="A1441" s="579" t="str">
        <f>+input!B27</f>
        <v>113i</v>
      </c>
      <c r="B1441" s="596">
        <f>MST!G28</f>
        <v>-451.11</v>
      </c>
      <c r="C1441" s="596">
        <f>MST!H28</f>
        <v>0.79</v>
      </c>
      <c r="D1441" s="596">
        <f>MST!I28</f>
        <v>-905.7</v>
      </c>
      <c r="E1441" s="595">
        <f>MST!J28</f>
        <v>-216.38</v>
      </c>
      <c r="F1441" s="596">
        <f>MST!K28</f>
        <v>-186.41</v>
      </c>
      <c r="G1441" s="596">
        <f>MST!Y28</f>
        <v>-870.41</v>
      </c>
      <c r="H1441" s="596">
        <f>MST!X28</f>
        <v>261.68</v>
      </c>
      <c r="I1441" s="596">
        <f t="shared" si="67"/>
        <v>-1905.9265</v>
      </c>
      <c r="J1441" s="595">
        <f>ATAN(input!BP27)*180/PI()</f>
        <v>7.1250163489017977</v>
      </c>
      <c r="K1441" s="596">
        <f t="shared" si="68"/>
        <v>-1920.758836539067</v>
      </c>
      <c r="L1441" s="596">
        <f t="shared" si="65"/>
        <v>4987.9984783153504</v>
      </c>
      <c r="M1441" s="609" t="str">
        <f t="shared" si="66"/>
        <v>OK</v>
      </c>
      <c r="N1441" s="216"/>
      <c r="P1441" s="257"/>
      <c r="Q1441" s="73"/>
      <c r="R1441" s="73"/>
      <c r="S1441" s="73"/>
      <c r="T1441" s="73"/>
      <c r="U1441" s="73"/>
      <c r="V1441" s="73"/>
      <c r="W1441" s="73"/>
      <c r="X1441" s="73"/>
      <c r="Y1441" s="73"/>
      <c r="Z1441" s="73"/>
      <c r="AA1441" s="73"/>
      <c r="AB1441" s="73"/>
      <c r="AC1441" s="73"/>
      <c r="AE1441" s="143"/>
      <c r="AF1441" s="143"/>
      <c r="AG1441" s="143"/>
      <c r="AH1441" s="143"/>
      <c r="AI1441" s="143"/>
      <c r="AJ1441" s="143"/>
      <c r="AK1441" s="143"/>
      <c r="AL1441" s="143"/>
      <c r="AM1441" s="143"/>
      <c r="AN1441" s="143"/>
      <c r="AO1441" s="143"/>
      <c r="AP1441" s="143"/>
      <c r="AQ1441" s="143"/>
    </row>
    <row r="1442" spans="1:43" ht="15" customHeight="1">
      <c r="A1442" s="579" t="str">
        <f>+input!B28</f>
        <v>113j</v>
      </c>
      <c r="B1442" s="596">
        <f>MST!G29</f>
        <v>-543.46</v>
      </c>
      <c r="C1442" s="596">
        <f>MST!H29</f>
        <v>0.79</v>
      </c>
      <c r="D1442" s="596">
        <f>MST!I29</f>
        <v>-1084.7</v>
      </c>
      <c r="E1442" s="595">
        <f>MST!J29</f>
        <v>-256.63</v>
      </c>
      <c r="F1442" s="596">
        <f>MST!K29</f>
        <v>-225.01</v>
      </c>
      <c r="G1442" s="596">
        <f>MST!Y29</f>
        <v>-967.84</v>
      </c>
      <c r="H1442" s="596">
        <f>MST!X29</f>
        <v>181.49</v>
      </c>
      <c r="I1442" s="596">
        <f t="shared" si="67"/>
        <v>-2217.3135000000002</v>
      </c>
      <c r="J1442" s="595">
        <f>ATAN(input!BP28)*180/PI()</f>
        <v>7.1250163489017977</v>
      </c>
      <c r="K1442" s="596">
        <f t="shared" si="68"/>
        <v>-2234.5691182227474</v>
      </c>
      <c r="L1442" s="596">
        <f t="shared" si="65"/>
        <v>4987.9984783153504</v>
      </c>
      <c r="M1442" s="609" t="str">
        <f t="shared" si="66"/>
        <v>OK</v>
      </c>
      <c r="N1442" s="216"/>
      <c r="P1442" s="257"/>
      <c r="Q1442" s="73"/>
      <c r="R1442" s="73"/>
      <c r="S1442" s="73"/>
      <c r="T1442" s="73"/>
      <c r="U1442" s="73"/>
      <c r="V1442" s="73"/>
      <c r="W1442" s="73"/>
      <c r="X1442" s="73"/>
      <c r="Y1442" s="73"/>
      <c r="Z1442" s="73"/>
      <c r="AA1442" s="73"/>
      <c r="AB1442" s="73"/>
      <c r="AC1442" s="73"/>
      <c r="AE1442" s="143"/>
      <c r="AF1442" s="143"/>
      <c r="AG1442" s="143"/>
      <c r="AH1442" s="143"/>
      <c r="AI1442" s="143"/>
      <c r="AJ1442" s="143"/>
      <c r="AK1442" s="143"/>
      <c r="AL1442" s="143"/>
      <c r="AM1442" s="143"/>
      <c r="AN1442" s="143"/>
      <c r="AO1442" s="143"/>
      <c r="AP1442" s="143"/>
      <c r="AQ1442" s="143"/>
    </row>
    <row r="1443" spans="1:43" ht="15" customHeight="1">
      <c r="A1443" s="579" t="str">
        <f>+input!B29</f>
        <v>114i</v>
      </c>
      <c r="B1443" s="596">
        <f>MST!G30</f>
        <v>-543.46</v>
      </c>
      <c r="C1443" s="596">
        <f>MST!H30</f>
        <v>0.79</v>
      </c>
      <c r="D1443" s="596">
        <f>MST!I30</f>
        <v>-1084.6600000000001</v>
      </c>
      <c r="E1443" s="595">
        <f>MST!J30</f>
        <v>-256.64</v>
      </c>
      <c r="F1443" s="596">
        <f>MST!K30</f>
        <v>-225.01</v>
      </c>
      <c r="G1443" s="596">
        <f>MST!Y30</f>
        <v>-967.84</v>
      </c>
      <c r="H1443" s="596">
        <f>MST!X30</f>
        <v>181.49</v>
      </c>
      <c r="I1443" s="596">
        <f t="shared" si="67"/>
        <v>-2217.29475</v>
      </c>
      <c r="J1443" s="595">
        <f>ATAN(input!BP29)*180/PI()</f>
        <v>7.1250163489017977</v>
      </c>
      <c r="K1443" s="596">
        <f t="shared" si="68"/>
        <v>-2234.5502223061494</v>
      </c>
      <c r="L1443" s="596">
        <f t="shared" si="65"/>
        <v>4987.9984783153504</v>
      </c>
      <c r="M1443" s="609" t="str">
        <f t="shared" si="66"/>
        <v>OK</v>
      </c>
      <c r="N1443" s="216"/>
      <c r="P1443" s="257"/>
      <c r="Q1443" s="73"/>
      <c r="R1443" s="73"/>
      <c r="S1443" s="73"/>
      <c r="T1443" s="73"/>
      <c r="U1443" s="73"/>
      <c r="V1443" s="73"/>
      <c r="W1443" s="73"/>
      <c r="X1443" s="73"/>
      <c r="Y1443" s="73"/>
      <c r="Z1443" s="73"/>
      <c r="AA1443" s="73"/>
      <c r="AB1443" s="73"/>
      <c r="AC1443" s="73"/>
      <c r="AE1443" s="143"/>
      <c r="AF1443" s="143"/>
      <c r="AG1443" s="143"/>
      <c r="AH1443" s="143"/>
      <c r="AI1443" s="143"/>
      <c r="AJ1443" s="143"/>
      <c r="AK1443" s="143"/>
      <c r="AL1443" s="143"/>
      <c r="AM1443" s="143"/>
      <c r="AN1443" s="143"/>
      <c r="AO1443" s="143"/>
      <c r="AP1443" s="143"/>
      <c r="AQ1443" s="143"/>
    </row>
    <row r="1444" spans="1:43" ht="15" customHeight="1">
      <c r="A1444" s="579" t="str">
        <f>+input!B30</f>
        <v>114j</v>
      </c>
      <c r="B1444" s="596">
        <f>MST!G31</f>
        <v>-635.82000000000005</v>
      </c>
      <c r="C1444" s="596">
        <f>MST!H31</f>
        <v>0.79</v>
      </c>
      <c r="D1444" s="596">
        <f>MST!I31</f>
        <v>-1263.6600000000001</v>
      </c>
      <c r="E1444" s="595">
        <f>MST!J31</f>
        <v>-296.89</v>
      </c>
      <c r="F1444" s="596">
        <f>MST!K31</f>
        <v>-263.61</v>
      </c>
      <c r="G1444" s="596">
        <f>MST!Y31</f>
        <v>-1078.81</v>
      </c>
      <c r="H1444" s="596">
        <f>MST!X31</f>
        <v>117.89</v>
      </c>
      <c r="I1444" s="596">
        <f t="shared" si="67"/>
        <v>-2540.8739999999998</v>
      </c>
      <c r="J1444" s="595">
        <f>ATAN(input!BP30)*180/PI()</f>
        <v>7.1250163489017977</v>
      </c>
      <c r="K1444" s="596">
        <f t="shared" si="68"/>
        <v>-2560.6476367437908</v>
      </c>
      <c r="L1444" s="596">
        <f t="shared" si="65"/>
        <v>4987.9984783153504</v>
      </c>
      <c r="M1444" s="609" t="str">
        <f t="shared" si="66"/>
        <v>OK</v>
      </c>
      <c r="N1444" s="216"/>
      <c r="P1444" s="257"/>
      <c r="Q1444" s="73"/>
      <c r="R1444" s="73"/>
      <c r="S1444" s="73"/>
      <c r="T1444" s="73"/>
      <c r="U1444" s="73"/>
      <c r="V1444" s="73"/>
      <c r="W1444" s="73"/>
      <c r="X1444" s="73"/>
      <c r="Y1444" s="73"/>
      <c r="Z1444" s="73"/>
      <c r="AA1444" s="73"/>
      <c r="AB1444" s="73"/>
      <c r="AC1444" s="73"/>
      <c r="AE1444" s="143"/>
      <c r="AF1444" s="143"/>
      <c r="AG1444" s="143"/>
      <c r="AH1444" s="143"/>
      <c r="AI1444" s="143"/>
      <c r="AJ1444" s="143"/>
      <c r="AK1444" s="143"/>
      <c r="AL1444" s="143"/>
      <c r="AM1444" s="143"/>
      <c r="AN1444" s="143"/>
      <c r="AO1444" s="143"/>
      <c r="AP1444" s="143"/>
      <c r="AQ1444" s="143"/>
    </row>
    <row r="1445" spans="1:43" ht="15" customHeight="1">
      <c r="A1445" s="579" t="str">
        <f>+input!B31</f>
        <v>115i</v>
      </c>
      <c r="B1445" s="596">
        <f>MST!G32</f>
        <v>-654.26</v>
      </c>
      <c r="C1445" s="596">
        <f>MST!H32</f>
        <v>0.79</v>
      </c>
      <c r="D1445" s="596">
        <f>MST!I32</f>
        <v>-1344.62</v>
      </c>
      <c r="E1445" s="595">
        <f>MST!J32</f>
        <v>-320.83</v>
      </c>
      <c r="F1445" s="596">
        <f>MST!K32</f>
        <v>-278.14999999999998</v>
      </c>
      <c r="G1445" s="596">
        <f>MST!Y32</f>
        <v>-1115.26</v>
      </c>
      <c r="H1445" s="596">
        <f>MST!X32</f>
        <v>197.04</v>
      </c>
      <c r="I1445" s="596">
        <f t="shared" si="67"/>
        <v>-2661.6714999999999</v>
      </c>
      <c r="J1445" s="595">
        <f>ATAN(input!BP31)*180/PI()</f>
        <v>7.1250163489017977</v>
      </c>
      <c r="K1445" s="596">
        <f t="shared" si="68"/>
        <v>-2682.3852092875527</v>
      </c>
      <c r="L1445" s="596">
        <f t="shared" si="65"/>
        <v>4987.9984783153504</v>
      </c>
      <c r="M1445" s="609" t="str">
        <f t="shared" si="66"/>
        <v>OK</v>
      </c>
      <c r="N1445" s="216"/>
      <c r="P1445" s="257"/>
      <c r="Q1445" s="73"/>
      <c r="R1445" s="73"/>
      <c r="S1445" s="73"/>
      <c r="T1445" s="73"/>
      <c r="U1445" s="73"/>
      <c r="V1445" s="73"/>
      <c r="W1445" s="73"/>
      <c r="X1445" s="73"/>
      <c r="Y1445" s="73"/>
      <c r="Z1445" s="73"/>
      <c r="AA1445" s="73"/>
      <c r="AB1445" s="73"/>
      <c r="AC1445" s="73"/>
      <c r="AE1445" s="143"/>
      <c r="AF1445" s="143"/>
      <c r="AG1445" s="143"/>
      <c r="AH1445" s="143"/>
      <c r="AI1445" s="143"/>
      <c r="AJ1445" s="143"/>
      <c r="AK1445" s="143"/>
      <c r="AL1445" s="143"/>
      <c r="AM1445" s="143"/>
      <c r="AN1445" s="143"/>
      <c r="AO1445" s="143"/>
      <c r="AP1445" s="143"/>
      <c r="AQ1445" s="143"/>
    </row>
    <row r="1446" spans="1:43" ht="15" customHeight="1">
      <c r="A1446" s="579" t="str">
        <f>+input!B32</f>
        <v>115j</v>
      </c>
      <c r="B1446" s="596">
        <f>MST!G33</f>
        <v>-726.93</v>
      </c>
      <c r="C1446" s="596">
        <f>MST!H33</f>
        <v>0.79</v>
      </c>
      <c r="D1446" s="596">
        <f>MST!I33</f>
        <v>-1523.62</v>
      </c>
      <c r="E1446" s="595">
        <f>MST!J33</f>
        <v>-361.08</v>
      </c>
      <c r="F1446" s="596">
        <f>MST!K33</f>
        <v>-316.75</v>
      </c>
      <c r="G1446" s="596">
        <f>MST!Y33</f>
        <v>-1218.23</v>
      </c>
      <c r="H1446" s="596">
        <f>MST!X33</f>
        <v>132.12</v>
      </c>
      <c r="I1446" s="596">
        <f t="shared" si="67"/>
        <v>-2965.7444999999998</v>
      </c>
      <c r="J1446" s="595">
        <f>ATAN(input!BP32)*180/PI()</f>
        <v>7.1250163489017977</v>
      </c>
      <c r="K1446" s="596">
        <f t="shared" si="68"/>
        <v>-2988.8245718248509</v>
      </c>
      <c r="L1446" s="596">
        <f t="shared" si="65"/>
        <v>4987.9984783153504</v>
      </c>
      <c r="M1446" s="609" t="str">
        <f t="shared" si="66"/>
        <v>OK</v>
      </c>
      <c r="N1446" s="216"/>
      <c r="P1446" s="257"/>
      <c r="Q1446" s="73"/>
      <c r="R1446" s="73"/>
      <c r="S1446" s="73"/>
      <c r="T1446" s="73"/>
      <c r="U1446" s="73"/>
      <c r="V1446" s="73"/>
      <c r="W1446" s="73"/>
      <c r="X1446" s="73"/>
      <c r="Y1446" s="73"/>
      <c r="Z1446" s="73"/>
      <c r="AA1446" s="73"/>
      <c r="AB1446" s="73"/>
      <c r="AC1446" s="73"/>
      <c r="AE1446" s="143"/>
      <c r="AF1446" s="143"/>
      <c r="AG1446" s="143"/>
      <c r="AH1446" s="143"/>
      <c r="AI1446" s="143"/>
      <c r="AJ1446" s="143"/>
      <c r="AK1446" s="143"/>
      <c r="AL1446" s="143"/>
      <c r="AM1446" s="143"/>
      <c r="AN1446" s="143"/>
      <c r="AO1446" s="143"/>
      <c r="AP1446" s="143"/>
      <c r="AQ1446" s="143"/>
    </row>
    <row r="1447" spans="1:43" ht="15" customHeight="1">
      <c r="A1447" s="579" t="str">
        <f>+input!B33</f>
        <v>116i</v>
      </c>
      <c r="B1447" s="596">
        <f>MST!G34</f>
        <v>-726.94</v>
      </c>
      <c r="C1447" s="596">
        <f>MST!H34</f>
        <v>0.79</v>
      </c>
      <c r="D1447" s="596">
        <f>MST!I34</f>
        <v>-1523.63</v>
      </c>
      <c r="E1447" s="595">
        <f>MST!J34</f>
        <v>-361.09</v>
      </c>
      <c r="F1447" s="596">
        <f>MST!K34</f>
        <v>-316.75</v>
      </c>
      <c r="G1447" s="596">
        <f>MST!Y34</f>
        <v>-1218.23</v>
      </c>
      <c r="H1447" s="596">
        <f>MST!X34</f>
        <v>132.12</v>
      </c>
      <c r="I1447" s="596">
        <f t="shared" si="67"/>
        <v>-2965.7632500000004</v>
      </c>
      <c r="J1447" s="595">
        <f>ATAN(input!BP33)*180/PI()</f>
        <v>7.1200043621660019</v>
      </c>
      <c r="K1447" s="596">
        <f t="shared" si="68"/>
        <v>-2988.8107981480598</v>
      </c>
      <c r="L1447" s="596">
        <f t="shared" si="65"/>
        <v>5018.9937439250962</v>
      </c>
      <c r="M1447" s="609" t="str">
        <f t="shared" si="66"/>
        <v>OK</v>
      </c>
      <c r="N1447" s="216"/>
      <c r="P1447" s="257"/>
      <c r="Q1447" s="73"/>
      <c r="R1447" s="73"/>
      <c r="S1447" s="73"/>
      <c r="T1447" s="73"/>
      <c r="U1447" s="73"/>
      <c r="V1447" s="73"/>
      <c r="W1447" s="73"/>
      <c r="X1447" s="73"/>
      <c r="Y1447" s="73"/>
      <c r="Z1447" s="73"/>
      <c r="AA1447" s="73"/>
      <c r="AB1447" s="73"/>
      <c r="AC1447" s="73"/>
      <c r="AE1447" s="143"/>
      <c r="AF1447" s="143"/>
      <c r="AG1447" s="143"/>
      <c r="AH1447" s="143"/>
      <c r="AI1447" s="143"/>
      <c r="AJ1447" s="143"/>
      <c r="AK1447" s="143"/>
      <c r="AL1447" s="143"/>
      <c r="AM1447" s="143"/>
      <c r="AN1447" s="143"/>
      <c r="AO1447" s="143"/>
      <c r="AP1447" s="143"/>
      <c r="AQ1447" s="143"/>
    </row>
    <row r="1448" spans="1:43" ht="15" customHeight="1">
      <c r="A1448" s="579" t="str">
        <f>+input!B34</f>
        <v>116j</v>
      </c>
      <c r="B1448" s="596">
        <f>MST!G35</f>
        <v>-811.43</v>
      </c>
      <c r="C1448" s="596">
        <f>MST!H35</f>
        <v>0.79</v>
      </c>
      <c r="D1448" s="596">
        <f>MST!I35</f>
        <v>-1702.63</v>
      </c>
      <c r="E1448" s="595">
        <f>MST!J35</f>
        <v>-401.34</v>
      </c>
      <c r="F1448" s="596">
        <f>MST!K35</f>
        <v>-355.35</v>
      </c>
      <c r="G1448" s="596">
        <f>MST!Y35</f>
        <v>-1332.23</v>
      </c>
      <c r="H1448" s="596">
        <f>MST!X35</f>
        <v>81.45</v>
      </c>
      <c r="I1448" s="596">
        <f t="shared" si="67"/>
        <v>-3287.1507500000002</v>
      </c>
      <c r="J1448" s="595">
        <f>ATAN(input!BP34)*180/PI()</f>
        <v>7.1200043621660019</v>
      </c>
      <c r="K1448" s="596">
        <f t="shared" si="68"/>
        <v>-3312.695865639475</v>
      </c>
      <c r="L1448" s="596">
        <f t="shared" si="65"/>
        <v>5018.9937439250962</v>
      </c>
      <c r="M1448" s="609" t="str">
        <f t="shared" si="66"/>
        <v>OK</v>
      </c>
      <c r="N1448" s="216"/>
      <c r="P1448" s="257"/>
      <c r="Q1448" s="73"/>
      <c r="R1448" s="73"/>
      <c r="S1448" s="73"/>
      <c r="T1448" s="73"/>
      <c r="U1448" s="73"/>
      <c r="V1448" s="73"/>
      <c r="W1448" s="73"/>
      <c r="X1448" s="73"/>
      <c r="Y1448" s="73"/>
      <c r="Z1448" s="73"/>
      <c r="AA1448" s="73"/>
      <c r="AB1448" s="73"/>
      <c r="AC1448" s="73"/>
      <c r="AE1448" s="143"/>
      <c r="AF1448" s="143"/>
      <c r="AG1448" s="143"/>
      <c r="AH1448" s="143"/>
      <c r="AI1448" s="143"/>
      <c r="AJ1448" s="143"/>
      <c r="AK1448" s="143"/>
      <c r="AL1448" s="143"/>
      <c r="AM1448" s="143"/>
      <c r="AN1448" s="143"/>
      <c r="AO1448" s="143"/>
      <c r="AP1448" s="143"/>
      <c r="AQ1448" s="143"/>
    </row>
    <row r="1449" spans="1:43" ht="15" customHeight="1">
      <c r="A1449" s="579" t="str">
        <f>+input!B35</f>
        <v>117i</v>
      </c>
      <c r="B1449" s="596">
        <f>MST!G36</f>
        <v>-836.11</v>
      </c>
      <c r="C1449" s="596">
        <f>MST!H36</f>
        <v>1.05</v>
      </c>
      <c r="D1449" s="596">
        <f>MST!I36</f>
        <v>-1797.59</v>
      </c>
      <c r="E1449" s="595">
        <f>MST!J36</f>
        <v>-426.86</v>
      </c>
      <c r="F1449" s="596">
        <f>MST!K36</f>
        <v>-371</v>
      </c>
      <c r="G1449" s="596">
        <f>MST!Y36</f>
        <v>-1381.37</v>
      </c>
      <c r="H1449" s="596">
        <f>MST!X36</f>
        <v>161.44</v>
      </c>
      <c r="I1449" s="596">
        <f t="shared" si="67"/>
        <v>-3433.6767500000005</v>
      </c>
      <c r="J1449" s="595">
        <f>ATAN(input!BP35)*180/PI()</f>
        <v>7.1250163489017977</v>
      </c>
      <c r="K1449" s="596">
        <f t="shared" si="68"/>
        <v>-3460.3983728550111</v>
      </c>
      <c r="L1449" s="596">
        <f t="shared" ref="L1449:L1478" si="69">N1383</f>
        <v>5264.2376535428275</v>
      </c>
      <c r="M1449" s="609" t="str">
        <f t="shared" ref="M1449:M1478" si="70">IF(ABS(K1449)&lt;=L1449,"OK","NG")</f>
        <v>OK</v>
      </c>
      <c r="N1449" s="216"/>
      <c r="P1449" s="257"/>
      <c r="Q1449" s="73"/>
      <c r="R1449" s="73"/>
      <c r="S1449" s="73"/>
      <c r="T1449" s="73"/>
      <c r="U1449" s="73"/>
      <c r="V1449" s="73"/>
      <c r="W1449" s="73"/>
      <c r="X1449" s="73"/>
      <c r="Y1449" s="73"/>
      <c r="Z1449" s="73"/>
      <c r="AA1449" s="73"/>
      <c r="AB1449" s="73"/>
      <c r="AC1449" s="73"/>
      <c r="AE1449" s="143"/>
      <c r="AF1449" s="143"/>
      <c r="AG1449" s="143"/>
      <c r="AH1449" s="143"/>
      <c r="AI1449" s="143"/>
      <c r="AJ1449" s="143"/>
      <c r="AK1449" s="143"/>
      <c r="AL1449" s="143"/>
      <c r="AM1449" s="143"/>
      <c r="AN1449" s="143"/>
      <c r="AO1449" s="143"/>
      <c r="AP1449" s="143"/>
      <c r="AQ1449" s="143"/>
    </row>
    <row r="1450" spans="1:43" ht="15" customHeight="1">
      <c r="A1450" s="579" t="str">
        <f>+input!B36</f>
        <v>117j</v>
      </c>
      <c r="B1450" s="596">
        <f>MST!G37</f>
        <v>-940.77</v>
      </c>
      <c r="C1450" s="596">
        <f>MST!H37</f>
        <v>-77.819999999999993</v>
      </c>
      <c r="D1450" s="596">
        <f>MST!I37</f>
        <v>-1976.59</v>
      </c>
      <c r="E1450" s="595">
        <f>MST!J37</f>
        <v>-467.11</v>
      </c>
      <c r="F1450" s="596">
        <f>MST!K37</f>
        <v>-409.6</v>
      </c>
      <c r="G1450" s="596">
        <f>MST!Y37</f>
        <v>-1496.14</v>
      </c>
      <c r="H1450" s="596">
        <f>MST!X37</f>
        <v>118.38</v>
      </c>
      <c r="I1450" s="596">
        <f t="shared" si="67"/>
        <v>-3817.6572500000002</v>
      </c>
      <c r="J1450" s="595">
        <f>ATAN(input!BP36)*180/PI()</f>
        <v>7.1250163489017977</v>
      </c>
      <c r="K1450" s="596">
        <f t="shared" si="68"/>
        <v>-3847.3670930200797</v>
      </c>
      <c r="L1450" s="596">
        <f t="shared" si="69"/>
        <v>5264.2376535428275</v>
      </c>
      <c r="M1450" s="609" t="str">
        <f t="shared" si="70"/>
        <v>OK</v>
      </c>
      <c r="N1450" s="216"/>
      <c r="P1450" s="257"/>
      <c r="Q1450" s="73"/>
      <c r="R1450" s="73"/>
      <c r="S1450" s="73"/>
      <c r="T1450" s="73"/>
      <c r="U1450" s="73"/>
      <c r="V1450" s="73"/>
      <c r="W1450" s="73"/>
      <c r="X1450" s="73"/>
      <c r="Y1450" s="73"/>
      <c r="Z1450" s="73"/>
      <c r="AA1450" s="73"/>
      <c r="AB1450" s="73"/>
      <c r="AC1450" s="73"/>
      <c r="AE1450" s="143"/>
      <c r="AF1450" s="143"/>
      <c r="AG1450" s="143"/>
      <c r="AH1450" s="143"/>
      <c r="AI1450" s="143"/>
      <c r="AJ1450" s="143"/>
      <c r="AK1450" s="143"/>
      <c r="AL1450" s="143"/>
      <c r="AM1450" s="143"/>
      <c r="AN1450" s="143"/>
      <c r="AO1450" s="143"/>
      <c r="AP1450" s="143"/>
      <c r="AQ1450" s="143"/>
    </row>
    <row r="1451" spans="1:43" ht="15" customHeight="1">
      <c r="A1451" s="579" t="str">
        <f>+input!B37</f>
        <v>118i</v>
      </c>
      <c r="B1451" s="596">
        <f>MST!G38</f>
        <v>-940.8</v>
      </c>
      <c r="C1451" s="596">
        <f>MST!H38</f>
        <v>-77.819999999999993</v>
      </c>
      <c r="D1451" s="596">
        <f>MST!I38</f>
        <v>-1976.64</v>
      </c>
      <c r="E1451" s="595">
        <f>MST!J38</f>
        <v>-467.1</v>
      </c>
      <c r="F1451" s="596">
        <f>MST!K38</f>
        <v>-409.59</v>
      </c>
      <c r="G1451" s="596">
        <f>MST!Y38</f>
        <v>-1496.14</v>
      </c>
      <c r="H1451" s="596">
        <f>MST!X38</f>
        <v>118.38</v>
      </c>
      <c r="I1451" s="596">
        <f t="shared" si="67"/>
        <v>-3817.6935000000003</v>
      </c>
      <c r="J1451" s="595">
        <f>ATAN(input!BP37)*180/PI()</f>
        <v>7.1272889087734086</v>
      </c>
      <c r="K1451" s="596">
        <f t="shared" si="68"/>
        <v>-3847.4227035063905</v>
      </c>
      <c r="L1451" s="596">
        <f t="shared" si="69"/>
        <v>6794.4795403845001</v>
      </c>
      <c r="M1451" s="609" t="str">
        <f t="shared" si="70"/>
        <v>OK</v>
      </c>
      <c r="N1451" s="216"/>
      <c r="P1451" s="257"/>
      <c r="Q1451" s="73"/>
      <c r="R1451" s="73"/>
      <c r="S1451" s="73"/>
      <c r="T1451" s="73"/>
      <c r="U1451" s="73"/>
      <c r="V1451" s="73"/>
      <c r="W1451" s="73"/>
      <c r="X1451" s="73"/>
      <c r="Y1451" s="73"/>
      <c r="Z1451" s="73"/>
      <c r="AA1451" s="73"/>
      <c r="AB1451" s="73"/>
      <c r="AC1451" s="73"/>
      <c r="AE1451" s="143"/>
      <c r="AF1451" s="143"/>
      <c r="AG1451" s="143"/>
      <c r="AH1451" s="143"/>
      <c r="AI1451" s="143"/>
      <c r="AJ1451" s="143"/>
      <c r="AK1451" s="143"/>
      <c r="AL1451" s="143"/>
      <c r="AM1451" s="143"/>
      <c r="AN1451" s="143"/>
      <c r="AO1451" s="143"/>
      <c r="AP1451" s="143"/>
      <c r="AQ1451" s="143"/>
    </row>
    <row r="1452" spans="1:43" ht="15" customHeight="1">
      <c r="A1452" s="579" t="str">
        <f>+input!B38</f>
        <v>118j</v>
      </c>
      <c r="B1452" s="596">
        <f>MST!G39</f>
        <v>-1044.52</v>
      </c>
      <c r="C1452" s="596">
        <f>MST!H39</f>
        <v>-154.38999999999999</v>
      </c>
      <c r="D1452" s="596">
        <f>MST!I39</f>
        <v>-2101.94</v>
      </c>
      <c r="E1452" s="595">
        <f>MST!J39</f>
        <v>-495.28</v>
      </c>
      <c r="F1452" s="596">
        <f>MST!K39</f>
        <v>-436.61</v>
      </c>
      <c r="G1452" s="596">
        <f>MST!Y39</f>
        <v>-1582.19</v>
      </c>
      <c r="H1452" s="596">
        <f>MST!X39</f>
        <v>98.33</v>
      </c>
      <c r="I1452" s="596">
        <f t="shared" si="67"/>
        <v>-4124.0097500000002</v>
      </c>
      <c r="J1452" s="595">
        <f>ATAN(input!BP38)*180/PI()</f>
        <v>7.1272889087734086</v>
      </c>
      <c r="K1452" s="596">
        <f t="shared" si="68"/>
        <v>-4156.124304277364</v>
      </c>
      <c r="L1452" s="596">
        <f t="shared" si="69"/>
        <v>6794.4795403845001</v>
      </c>
      <c r="M1452" s="609" t="str">
        <f t="shared" si="70"/>
        <v>OK</v>
      </c>
      <c r="N1452" s="216"/>
      <c r="P1452" s="257"/>
      <c r="Q1452" s="73"/>
      <c r="R1452" s="73"/>
      <c r="S1452" s="73"/>
      <c r="T1452" s="73"/>
      <c r="U1452" s="73"/>
      <c r="V1452" s="73"/>
      <c r="W1452" s="73"/>
      <c r="X1452" s="73"/>
      <c r="Y1452" s="73"/>
      <c r="Z1452" s="73"/>
      <c r="AA1452" s="73"/>
      <c r="AB1452" s="73"/>
      <c r="AC1452" s="73"/>
      <c r="AE1452" s="143"/>
      <c r="AF1452" s="143"/>
      <c r="AG1452" s="143"/>
      <c r="AH1452" s="143"/>
      <c r="AI1452" s="143"/>
      <c r="AJ1452" s="143"/>
      <c r="AK1452" s="143"/>
      <c r="AL1452" s="143"/>
      <c r="AM1452" s="143"/>
      <c r="AN1452" s="143"/>
      <c r="AO1452" s="143"/>
      <c r="AP1452" s="143"/>
      <c r="AQ1452" s="143"/>
    </row>
    <row r="1453" spans="1:43" ht="15" customHeight="1">
      <c r="A1453" s="579" t="str">
        <f>+input!B39</f>
        <v>119i</v>
      </c>
      <c r="B1453" s="596">
        <f>MST!G40</f>
        <v>-1044.56</v>
      </c>
      <c r="C1453" s="596">
        <f>MST!H40</f>
        <v>-154.38999999999999</v>
      </c>
      <c r="D1453" s="596">
        <f>MST!I40</f>
        <v>-2101.65</v>
      </c>
      <c r="E1453" s="595">
        <f>MST!J40</f>
        <v>-495.27</v>
      </c>
      <c r="F1453" s="596">
        <f>MST!K40</f>
        <v>-436.62</v>
      </c>
      <c r="G1453" s="596">
        <f>MST!Y40</f>
        <v>-1582.19</v>
      </c>
      <c r="H1453" s="596">
        <f>MST!X40</f>
        <v>98.33</v>
      </c>
      <c r="I1453" s="596">
        <f t="shared" si="67"/>
        <v>-4123.8547500000004</v>
      </c>
      <c r="J1453" s="595">
        <f>ATAN(input!BP39)*180/PI()</f>
        <v>7.1250163489017977</v>
      </c>
      <c r="K1453" s="596">
        <f t="shared" si="68"/>
        <v>-4155.9474888806599</v>
      </c>
      <c r="L1453" s="596">
        <f t="shared" si="69"/>
        <v>7048.1261490788047</v>
      </c>
      <c r="M1453" s="609" t="str">
        <f t="shared" si="70"/>
        <v>OK</v>
      </c>
      <c r="N1453" s="216"/>
      <c r="P1453" s="257"/>
      <c r="Q1453" s="73"/>
      <c r="R1453" s="73"/>
      <c r="S1453" s="73"/>
      <c r="T1453" s="73"/>
      <c r="U1453" s="73"/>
      <c r="V1453" s="73"/>
      <c r="W1453" s="73"/>
      <c r="X1453" s="73"/>
      <c r="Y1453" s="73"/>
      <c r="Z1453" s="73"/>
      <c r="AA1453" s="73"/>
      <c r="AB1453" s="73"/>
      <c r="AC1453" s="73"/>
      <c r="AE1453" s="143"/>
      <c r="AF1453" s="143"/>
      <c r="AG1453" s="143"/>
      <c r="AH1453" s="143"/>
      <c r="AI1453" s="143"/>
      <c r="AJ1453" s="143"/>
      <c r="AK1453" s="143"/>
      <c r="AL1453" s="143"/>
      <c r="AM1453" s="143"/>
      <c r="AN1453" s="143"/>
      <c r="AO1453" s="143"/>
      <c r="AP1453" s="143"/>
      <c r="AQ1453" s="143"/>
    </row>
    <row r="1454" spans="1:43" ht="15" customHeight="1">
      <c r="A1454" s="579" t="str">
        <f>+input!B40</f>
        <v>119j</v>
      </c>
      <c r="B1454" s="596">
        <f>MST!G41</f>
        <v>-1089.3499999999999</v>
      </c>
      <c r="C1454" s="596">
        <f>MST!H41</f>
        <v>-192.08</v>
      </c>
      <c r="D1454" s="596">
        <f>MST!I41</f>
        <v>-2155.35</v>
      </c>
      <c r="E1454" s="595">
        <f>MST!J41</f>
        <v>-507.34</v>
      </c>
      <c r="F1454" s="596">
        <f>MST!K41</f>
        <v>-448.2</v>
      </c>
      <c r="G1454" s="596">
        <f>MST!Y41</f>
        <v>-1620.22</v>
      </c>
      <c r="H1454" s="596">
        <f>MST!X41</f>
        <v>93.98</v>
      </c>
      <c r="I1454" s="596">
        <f t="shared" si="67"/>
        <v>-4259.4229999999998</v>
      </c>
      <c r="J1454" s="595">
        <f>ATAN(input!BP40)*180/PI()</f>
        <v>7.1250163489017977</v>
      </c>
      <c r="K1454" s="596">
        <f t="shared" si="68"/>
        <v>-4292.5707606288815</v>
      </c>
      <c r="L1454" s="596">
        <f t="shared" si="69"/>
        <v>7048.1261490788047</v>
      </c>
      <c r="M1454" s="609" t="str">
        <f t="shared" si="70"/>
        <v>OK</v>
      </c>
      <c r="N1454" s="216"/>
      <c r="P1454" s="257"/>
      <c r="Q1454" s="73"/>
      <c r="R1454" s="73"/>
      <c r="S1454" s="73"/>
      <c r="T1454" s="73"/>
      <c r="U1454" s="73"/>
      <c r="V1454" s="73"/>
      <c r="W1454" s="73"/>
      <c r="X1454" s="73"/>
      <c r="Y1454" s="73"/>
      <c r="Z1454" s="73"/>
      <c r="AA1454" s="73"/>
      <c r="AB1454" s="73"/>
      <c r="AC1454" s="73"/>
      <c r="AE1454" s="143"/>
      <c r="AF1454" s="143"/>
      <c r="AG1454" s="143"/>
      <c r="AH1454" s="143"/>
      <c r="AI1454" s="143"/>
      <c r="AJ1454" s="143"/>
      <c r="AK1454" s="143"/>
      <c r="AL1454" s="143"/>
      <c r="AM1454" s="143"/>
      <c r="AN1454" s="143"/>
      <c r="AO1454" s="143"/>
      <c r="AP1454" s="143"/>
      <c r="AQ1454" s="143"/>
    </row>
    <row r="1455" spans="1:43" ht="15" customHeight="1">
      <c r="A1455" s="579" t="str">
        <f>+input!B41</f>
        <v>120i</v>
      </c>
      <c r="B1455" s="596">
        <f>MST!G42</f>
        <v>818.61</v>
      </c>
      <c r="C1455" s="596">
        <f>MST!H42</f>
        <v>190.84</v>
      </c>
      <c r="D1455" s="596">
        <f>MST!I42</f>
        <v>1710.25</v>
      </c>
      <c r="E1455" s="595">
        <f>MST!J42</f>
        <v>399.79</v>
      </c>
      <c r="F1455" s="596">
        <f>MST!K42</f>
        <v>353.79</v>
      </c>
      <c r="G1455" s="596">
        <f>MST!Y42</f>
        <v>-45.18</v>
      </c>
      <c r="H1455" s="596">
        <f>MST!X42</f>
        <v>1336.24</v>
      </c>
      <c r="I1455" s="596">
        <f t="shared" si="67"/>
        <v>3417.6397499999998</v>
      </c>
      <c r="J1455" s="595">
        <f>ATAN(input!BP41)*180/PI()</f>
        <v>7.1250163489017977</v>
      </c>
      <c r="K1455" s="596">
        <f t="shared" si="68"/>
        <v>3444.2365694163273</v>
      </c>
      <c r="L1455" s="596">
        <f t="shared" si="69"/>
        <v>7048.1261490788047</v>
      </c>
      <c r="M1455" s="609" t="str">
        <f t="shared" si="70"/>
        <v>OK</v>
      </c>
      <c r="N1455" s="216"/>
      <c r="P1455" s="257"/>
      <c r="Q1455" s="73"/>
      <c r="R1455" s="73"/>
      <c r="S1455" s="73"/>
      <c r="T1455" s="73"/>
      <c r="U1455" s="73"/>
      <c r="V1455" s="73"/>
      <c r="W1455" s="73"/>
      <c r="X1455" s="73"/>
      <c r="Y1455" s="73"/>
      <c r="Z1455" s="73"/>
      <c r="AA1455" s="73"/>
      <c r="AB1455" s="73"/>
      <c r="AC1455" s="73"/>
      <c r="AE1455" s="143"/>
      <c r="AF1455" s="143"/>
      <c r="AG1455" s="143"/>
      <c r="AH1455" s="143"/>
      <c r="AI1455" s="143"/>
      <c r="AJ1455" s="143"/>
      <c r="AK1455" s="143"/>
      <c r="AL1455" s="143"/>
      <c r="AM1455" s="143"/>
      <c r="AN1455" s="143"/>
      <c r="AO1455" s="143"/>
      <c r="AP1455" s="143"/>
      <c r="AQ1455" s="143"/>
    </row>
    <row r="1456" spans="1:43" ht="15" customHeight="1">
      <c r="A1456" s="579" t="str">
        <f>+input!B42</f>
        <v>120j</v>
      </c>
      <c r="B1456" s="596">
        <f>MST!G43</f>
        <v>773.82</v>
      </c>
      <c r="C1456" s="596">
        <f>MST!H43</f>
        <v>153.15</v>
      </c>
      <c r="D1456" s="596">
        <f>MST!I43</f>
        <v>1656.55</v>
      </c>
      <c r="E1456" s="595">
        <f>MST!J43</f>
        <v>387.71</v>
      </c>
      <c r="F1456" s="596">
        <f>MST!K43</f>
        <v>342.21</v>
      </c>
      <c r="G1456" s="596">
        <f>MST!Y43</f>
        <v>-49.56</v>
      </c>
      <c r="H1456" s="596">
        <f>MST!X43</f>
        <v>1294.5999999999999</v>
      </c>
      <c r="I1456" s="596">
        <f t="shared" si="67"/>
        <v>3278.8162499999999</v>
      </c>
      <c r="J1456" s="595">
        <f>ATAN(input!BP42)*180/PI()</f>
        <v>7.1250163489017977</v>
      </c>
      <c r="K1456" s="596">
        <f t="shared" si="68"/>
        <v>3304.3327146012116</v>
      </c>
      <c r="L1456" s="596">
        <f t="shared" si="69"/>
        <v>7048.1261490788047</v>
      </c>
      <c r="M1456" s="609" t="str">
        <f t="shared" si="70"/>
        <v>OK</v>
      </c>
      <c r="N1456" s="216"/>
      <c r="P1456" s="257"/>
      <c r="Q1456" s="73"/>
      <c r="R1456" s="73"/>
      <c r="S1456" s="73"/>
      <c r="T1456" s="73"/>
      <c r="U1456" s="73"/>
      <c r="V1456" s="73"/>
      <c r="W1456" s="73"/>
      <c r="X1456" s="73"/>
      <c r="Y1456" s="73"/>
      <c r="Z1456" s="73"/>
      <c r="AA1456" s="73"/>
      <c r="AB1456" s="73"/>
      <c r="AC1456" s="73"/>
      <c r="AE1456" s="143"/>
      <c r="AF1456" s="143"/>
      <c r="AG1456" s="143"/>
      <c r="AH1456" s="143"/>
      <c r="AI1456" s="143"/>
      <c r="AJ1456" s="143"/>
      <c r="AK1456" s="143"/>
      <c r="AL1456" s="143"/>
      <c r="AM1456" s="143"/>
      <c r="AN1456" s="143"/>
      <c r="AO1456" s="143"/>
      <c r="AP1456" s="143"/>
      <c r="AQ1456" s="143"/>
    </row>
    <row r="1457" spans="1:43" ht="15" customHeight="1">
      <c r="A1457" s="579" t="str">
        <f>+input!B43</f>
        <v>121i</v>
      </c>
      <c r="B1457" s="596">
        <f>MST!G44</f>
        <v>773.82</v>
      </c>
      <c r="C1457" s="596">
        <f>MST!H44</f>
        <v>153.15</v>
      </c>
      <c r="D1457" s="596">
        <f>MST!I44</f>
        <v>1656.49</v>
      </c>
      <c r="E1457" s="595">
        <f>MST!J44</f>
        <v>387.68</v>
      </c>
      <c r="F1457" s="596">
        <f>MST!K44</f>
        <v>342.23</v>
      </c>
      <c r="G1457" s="596">
        <f>MST!Y44</f>
        <v>-49.56</v>
      </c>
      <c r="H1457" s="596">
        <f>MST!X44</f>
        <v>1294.5999999999999</v>
      </c>
      <c r="I1457" s="596">
        <f t="shared" si="67"/>
        <v>3278.7749999999996</v>
      </c>
      <c r="J1457" s="595">
        <f>ATAN(input!BP43)*180/PI()</f>
        <v>7.1272889087734086</v>
      </c>
      <c r="K1457" s="596">
        <f t="shared" si="68"/>
        <v>3304.3075287969459</v>
      </c>
      <c r="L1457" s="596">
        <f t="shared" si="69"/>
        <v>6794.4795403845001</v>
      </c>
      <c r="M1457" s="609" t="str">
        <f t="shared" si="70"/>
        <v>OK</v>
      </c>
      <c r="N1457" s="216"/>
      <c r="P1457" s="257"/>
      <c r="Q1457" s="73"/>
      <c r="R1457" s="73"/>
      <c r="S1457" s="73"/>
      <c r="T1457" s="73"/>
      <c r="U1457" s="73"/>
      <c r="V1457" s="73"/>
      <c r="W1457" s="73"/>
      <c r="X1457" s="73"/>
      <c r="Y1457" s="73"/>
      <c r="Z1457" s="73"/>
      <c r="AA1457" s="73"/>
      <c r="AB1457" s="73"/>
      <c r="AC1457" s="73"/>
      <c r="AE1457" s="143"/>
      <c r="AF1457" s="143"/>
      <c r="AG1457" s="143"/>
      <c r="AH1457" s="143"/>
      <c r="AI1457" s="143"/>
      <c r="AJ1457" s="143"/>
      <c r="AK1457" s="143"/>
      <c r="AL1457" s="143"/>
      <c r="AM1457" s="143"/>
      <c r="AN1457" s="143"/>
      <c r="AO1457" s="143"/>
      <c r="AP1457" s="143"/>
      <c r="AQ1457" s="143"/>
    </row>
    <row r="1458" spans="1:43" ht="15" customHeight="1">
      <c r="A1458" s="579" t="str">
        <f>+input!B44</f>
        <v>121j</v>
      </c>
      <c r="B1458" s="596">
        <f>MST!G45</f>
        <v>670.1</v>
      </c>
      <c r="C1458" s="596">
        <f>MST!H45</f>
        <v>77.37</v>
      </c>
      <c r="D1458" s="596">
        <f>MST!I45</f>
        <v>1531.19</v>
      </c>
      <c r="E1458" s="595">
        <f>MST!J45</f>
        <v>359.51</v>
      </c>
      <c r="F1458" s="596">
        <f>MST!K45</f>
        <v>315.20999999999998</v>
      </c>
      <c r="G1458" s="596">
        <f>MST!Y45</f>
        <v>-74.39</v>
      </c>
      <c r="H1458" s="596">
        <f>MST!X45</f>
        <v>1200.3699999999999</v>
      </c>
      <c r="I1458" s="596">
        <f t="shared" si="67"/>
        <v>2965.5967499999997</v>
      </c>
      <c r="J1458" s="595">
        <f>ATAN(input!BP44)*180/PI()</f>
        <v>7.1272889087734086</v>
      </c>
      <c r="K1458" s="596">
        <f t="shared" si="68"/>
        <v>2988.6904921504997</v>
      </c>
      <c r="L1458" s="596">
        <f t="shared" si="69"/>
        <v>6794.4795403845001</v>
      </c>
      <c r="M1458" s="609" t="str">
        <f t="shared" si="70"/>
        <v>OK</v>
      </c>
      <c r="N1458" s="216"/>
      <c r="P1458" s="257"/>
      <c r="Q1458" s="73"/>
      <c r="R1458" s="73"/>
      <c r="S1458" s="73"/>
      <c r="T1458" s="73"/>
      <c r="U1458" s="73"/>
      <c r="V1458" s="73"/>
      <c r="W1458" s="73"/>
      <c r="X1458" s="73"/>
      <c r="Y1458" s="73"/>
      <c r="Z1458" s="73"/>
      <c r="AA1458" s="73"/>
      <c r="AB1458" s="73"/>
      <c r="AC1458" s="73"/>
      <c r="AE1458" s="143"/>
      <c r="AF1458" s="143"/>
      <c r="AG1458" s="143"/>
      <c r="AH1458" s="143"/>
      <c r="AI1458" s="143"/>
      <c r="AJ1458" s="143"/>
      <c r="AK1458" s="143"/>
      <c r="AL1458" s="143"/>
      <c r="AM1458" s="143"/>
      <c r="AN1458" s="143"/>
      <c r="AO1458" s="143"/>
      <c r="AP1458" s="143"/>
      <c r="AQ1458" s="143"/>
    </row>
    <row r="1459" spans="1:43" ht="15" customHeight="1">
      <c r="A1459" s="579" t="str">
        <f>+input!B45</f>
        <v>122i</v>
      </c>
      <c r="B1459" s="596">
        <f>MST!G46</f>
        <v>670.09</v>
      </c>
      <c r="C1459" s="596">
        <f>MST!H46</f>
        <v>77.37</v>
      </c>
      <c r="D1459" s="596">
        <f>MST!I46</f>
        <v>1531.21</v>
      </c>
      <c r="E1459" s="595">
        <f>MST!J46</f>
        <v>359.51</v>
      </c>
      <c r="F1459" s="596">
        <f>MST!K46</f>
        <v>315.20999999999998</v>
      </c>
      <c r="G1459" s="596">
        <f>MST!Y46</f>
        <v>-74.39</v>
      </c>
      <c r="H1459" s="596">
        <f>MST!X46</f>
        <v>1200.3699999999999</v>
      </c>
      <c r="I1459" s="596">
        <f t="shared" si="67"/>
        <v>2965.6030000000001</v>
      </c>
      <c r="J1459" s="595">
        <f>ATAN(input!BP45)*180/PI()</f>
        <v>7.1250163489017977</v>
      </c>
      <c r="K1459" s="596">
        <f t="shared" si="68"/>
        <v>2988.6819706409283</v>
      </c>
      <c r="L1459" s="596">
        <f t="shared" si="69"/>
        <v>5264.2376535428275</v>
      </c>
      <c r="M1459" s="609" t="str">
        <f t="shared" si="70"/>
        <v>OK</v>
      </c>
      <c r="N1459" s="216"/>
      <c r="P1459" s="257"/>
      <c r="Q1459" s="73"/>
      <c r="R1459" s="73"/>
      <c r="S1459" s="73"/>
      <c r="T1459" s="73"/>
      <c r="U1459" s="73"/>
      <c r="V1459" s="73"/>
      <c r="W1459" s="73"/>
      <c r="X1459" s="73"/>
      <c r="Y1459" s="73"/>
      <c r="Z1459" s="73"/>
      <c r="AA1459" s="73"/>
      <c r="AB1459" s="73"/>
      <c r="AC1459" s="73"/>
      <c r="AE1459" s="143"/>
      <c r="AF1459" s="143"/>
      <c r="AG1459" s="143"/>
      <c r="AH1459" s="143"/>
      <c r="AI1459" s="143"/>
      <c r="AJ1459" s="143"/>
      <c r="AK1459" s="143"/>
      <c r="AL1459" s="143"/>
      <c r="AM1459" s="143"/>
      <c r="AN1459" s="143"/>
      <c r="AO1459" s="143"/>
      <c r="AP1459" s="143"/>
      <c r="AQ1459" s="143"/>
    </row>
    <row r="1460" spans="1:43" ht="15" customHeight="1">
      <c r="A1460" s="579" t="str">
        <f>+input!B46</f>
        <v>122j</v>
      </c>
      <c r="B1460" s="596">
        <f>MST!G47</f>
        <v>559.71</v>
      </c>
      <c r="C1460" s="596">
        <f>MST!H47</f>
        <v>-1.5</v>
      </c>
      <c r="D1460" s="596">
        <f>MST!I47</f>
        <v>1352.21</v>
      </c>
      <c r="E1460" s="595">
        <f>MST!J47</f>
        <v>319.26</v>
      </c>
      <c r="F1460" s="596">
        <f>MST!K47</f>
        <v>276.61</v>
      </c>
      <c r="G1460" s="596">
        <f>MST!Y47</f>
        <v>-127.47</v>
      </c>
      <c r="H1460" s="596">
        <f>MST!X47</f>
        <v>1074.5999999999999</v>
      </c>
      <c r="I1460" s="596">
        <f t="shared" si="67"/>
        <v>2568.1475</v>
      </c>
      <c r="J1460" s="595">
        <f>ATAN(input!BP46)*180/PI()</f>
        <v>7.1250163489017977</v>
      </c>
      <c r="K1460" s="596">
        <f t="shared" si="68"/>
        <v>2588.1333850810688</v>
      </c>
      <c r="L1460" s="596">
        <f t="shared" si="69"/>
        <v>5264.2376535428275</v>
      </c>
      <c r="M1460" s="609" t="str">
        <f t="shared" si="70"/>
        <v>OK</v>
      </c>
      <c r="N1460" s="216"/>
      <c r="P1460" s="257"/>
      <c r="Q1460" s="73"/>
      <c r="R1460" s="73"/>
      <c r="S1460" s="73"/>
      <c r="T1460" s="73"/>
      <c r="U1460" s="73"/>
      <c r="V1460" s="73"/>
      <c r="W1460" s="73"/>
      <c r="X1460" s="73"/>
      <c r="Y1460" s="73"/>
      <c r="Z1460" s="73"/>
      <c r="AA1460" s="73"/>
      <c r="AB1460" s="73"/>
      <c r="AC1460" s="73"/>
      <c r="AE1460" s="143"/>
      <c r="AF1460" s="143"/>
      <c r="AG1460" s="143"/>
      <c r="AH1460" s="143"/>
      <c r="AI1460" s="143"/>
      <c r="AJ1460" s="143"/>
      <c r="AK1460" s="143"/>
      <c r="AL1460" s="143"/>
      <c r="AM1460" s="143"/>
      <c r="AN1460" s="143"/>
      <c r="AO1460" s="143"/>
      <c r="AP1460" s="143"/>
      <c r="AQ1460" s="143"/>
    </row>
    <row r="1461" spans="1:43" ht="15" customHeight="1">
      <c r="A1461" s="579" t="str">
        <f>+input!B47</f>
        <v>123i</v>
      </c>
      <c r="B1461" s="596">
        <f>MST!G48</f>
        <v>538.45000000000005</v>
      </c>
      <c r="C1461" s="596">
        <f>MST!H48</f>
        <v>-1.26</v>
      </c>
      <c r="D1461" s="596">
        <f>MST!I48</f>
        <v>1264.22</v>
      </c>
      <c r="E1461" s="595">
        <f>MST!J48</f>
        <v>294.25</v>
      </c>
      <c r="F1461" s="596">
        <f>MST!K48</f>
        <v>261.39999999999998</v>
      </c>
      <c r="G1461" s="596">
        <f>MST!Y48</f>
        <v>-84.1</v>
      </c>
      <c r="H1461" s="596">
        <f>MST!X48</f>
        <v>1020.04</v>
      </c>
      <c r="I1461" s="596">
        <f t="shared" si="67"/>
        <v>2423.8734999999997</v>
      </c>
      <c r="J1461" s="595">
        <f>ATAN(input!BP47)*180/PI()</f>
        <v>7.1200043621660019</v>
      </c>
      <c r="K1461" s="596">
        <f t="shared" si="68"/>
        <v>2442.7099129186827</v>
      </c>
      <c r="L1461" s="596">
        <f t="shared" si="69"/>
        <v>5018.9937439250962</v>
      </c>
      <c r="M1461" s="609" t="str">
        <f t="shared" si="70"/>
        <v>OK</v>
      </c>
      <c r="N1461" s="216"/>
      <c r="P1461" s="257"/>
      <c r="Q1461" s="73"/>
      <c r="R1461" s="73"/>
      <c r="S1461" s="73"/>
      <c r="T1461" s="73"/>
      <c r="U1461" s="73"/>
      <c r="V1461" s="73"/>
      <c r="W1461" s="73"/>
      <c r="X1461" s="73"/>
      <c r="Y1461" s="73"/>
      <c r="Z1461" s="73"/>
      <c r="AA1461" s="73"/>
      <c r="AB1461" s="73"/>
      <c r="AC1461" s="73"/>
      <c r="AE1461" s="143"/>
      <c r="AF1461" s="143"/>
      <c r="AG1461" s="143"/>
      <c r="AH1461" s="143"/>
      <c r="AI1461" s="143"/>
      <c r="AJ1461" s="143"/>
      <c r="AK1461" s="143"/>
      <c r="AL1461" s="143"/>
      <c r="AM1461" s="143"/>
      <c r="AN1461" s="143"/>
      <c r="AO1461" s="143"/>
      <c r="AP1461" s="143"/>
      <c r="AQ1461" s="143"/>
    </row>
    <row r="1462" spans="1:43" ht="15" customHeight="1">
      <c r="A1462" s="579" t="str">
        <f>+input!B48</f>
        <v>123j</v>
      </c>
      <c r="B1462" s="596">
        <f>MST!G49</f>
        <v>438.05</v>
      </c>
      <c r="C1462" s="596">
        <f>MST!H49</f>
        <v>-1.26</v>
      </c>
      <c r="D1462" s="596">
        <f>MST!I49</f>
        <v>1085.22</v>
      </c>
      <c r="E1462" s="595">
        <f>MST!J49</f>
        <v>254</v>
      </c>
      <c r="F1462" s="596">
        <f>MST!K49</f>
        <v>222.8</v>
      </c>
      <c r="G1462" s="596">
        <f>MST!Y49</f>
        <v>-150.58000000000001</v>
      </c>
      <c r="H1462" s="596">
        <f>MST!X49</f>
        <v>896.86</v>
      </c>
      <c r="I1462" s="596">
        <f t="shared" si="67"/>
        <v>2084.2802499999998</v>
      </c>
      <c r="J1462" s="595">
        <f>ATAN(input!BP48)*180/PI()</f>
        <v>7.1200043621660019</v>
      </c>
      <c r="K1462" s="596">
        <f t="shared" si="68"/>
        <v>2100.4776148489723</v>
      </c>
      <c r="L1462" s="596">
        <f t="shared" si="69"/>
        <v>5018.9937439250962</v>
      </c>
      <c r="M1462" s="609" t="str">
        <f t="shared" si="70"/>
        <v>OK</v>
      </c>
      <c r="N1462" s="216"/>
      <c r="P1462" s="257"/>
      <c r="Q1462" s="73"/>
      <c r="R1462" s="73"/>
      <c r="S1462" s="73"/>
      <c r="T1462" s="73"/>
      <c r="U1462" s="73"/>
      <c r="V1462" s="73"/>
      <c r="W1462" s="73"/>
      <c r="X1462" s="73"/>
      <c r="Y1462" s="73"/>
      <c r="Z1462" s="73"/>
      <c r="AA1462" s="73"/>
      <c r="AB1462" s="73"/>
      <c r="AC1462" s="73"/>
      <c r="AE1462" s="143"/>
      <c r="AF1462" s="143"/>
      <c r="AG1462" s="143"/>
      <c r="AH1462" s="143"/>
      <c r="AI1462" s="143"/>
      <c r="AJ1462" s="143"/>
      <c r="AK1462" s="143"/>
      <c r="AL1462" s="143"/>
      <c r="AM1462" s="143"/>
      <c r="AN1462" s="143"/>
      <c r="AO1462" s="143"/>
      <c r="AP1462" s="143"/>
      <c r="AQ1462" s="143"/>
    </row>
    <row r="1463" spans="1:43" ht="15" customHeight="1">
      <c r="A1463" s="579" t="str">
        <f>+input!B49</f>
        <v>124i</v>
      </c>
      <c r="B1463" s="596">
        <f>MST!G50</f>
        <v>438.05</v>
      </c>
      <c r="C1463" s="596">
        <f>MST!H50</f>
        <v>-1.26</v>
      </c>
      <c r="D1463" s="596">
        <f>MST!I50</f>
        <v>1085.21</v>
      </c>
      <c r="E1463" s="595">
        <f>MST!J50</f>
        <v>254</v>
      </c>
      <c r="F1463" s="596">
        <f>MST!K50</f>
        <v>222.8</v>
      </c>
      <c r="G1463" s="596">
        <f>MST!Y50</f>
        <v>-150.58000000000001</v>
      </c>
      <c r="H1463" s="596">
        <f>MST!X50</f>
        <v>896.86</v>
      </c>
      <c r="I1463" s="596">
        <f t="shared" si="67"/>
        <v>2084.2739999999999</v>
      </c>
      <c r="J1463" s="595">
        <f>ATAN(input!BP49)*180/PI()</f>
        <v>7.1250163489017977</v>
      </c>
      <c r="K1463" s="596">
        <f t="shared" si="68"/>
        <v>2100.4942757596514</v>
      </c>
      <c r="L1463" s="596">
        <f t="shared" si="69"/>
        <v>4987.9984783153504</v>
      </c>
      <c r="M1463" s="609" t="str">
        <f t="shared" si="70"/>
        <v>OK</v>
      </c>
      <c r="N1463" s="216"/>
      <c r="P1463" s="257"/>
      <c r="Q1463" s="73"/>
      <c r="R1463" s="73"/>
      <c r="S1463" s="73"/>
      <c r="T1463" s="73"/>
      <c r="U1463" s="73"/>
      <c r="V1463" s="73"/>
      <c r="W1463" s="73"/>
      <c r="X1463" s="73"/>
      <c r="Y1463" s="73"/>
      <c r="Z1463" s="73"/>
      <c r="AA1463" s="73"/>
      <c r="AB1463" s="73"/>
      <c r="AC1463" s="73"/>
      <c r="AE1463" s="143"/>
      <c r="AF1463" s="143"/>
      <c r="AG1463" s="143"/>
      <c r="AH1463" s="143"/>
      <c r="AI1463" s="143"/>
      <c r="AJ1463" s="143"/>
      <c r="AK1463" s="143"/>
      <c r="AL1463" s="143"/>
      <c r="AM1463" s="143"/>
      <c r="AN1463" s="143"/>
      <c r="AO1463" s="143"/>
      <c r="AP1463" s="143"/>
      <c r="AQ1463" s="143"/>
    </row>
    <row r="1464" spans="1:43" ht="15" customHeight="1">
      <c r="A1464" s="579" t="str">
        <f>+input!B50</f>
        <v>124j</v>
      </c>
      <c r="B1464" s="596">
        <f>MST!G51</f>
        <v>356.62</v>
      </c>
      <c r="C1464" s="596">
        <f>MST!H51</f>
        <v>-1.26</v>
      </c>
      <c r="D1464" s="596">
        <f>MST!I51</f>
        <v>906.21</v>
      </c>
      <c r="E1464" s="595">
        <f>MST!J51</f>
        <v>213.75</v>
      </c>
      <c r="F1464" s="596">
        <f>MST!K51</f>
        <v>184.2</v>
      </c>
      <c r="G1464" s="596">
        <f>MST!Y51</f>
        <v>-236.34</v>
      </c>
      <c r="H1464" s="596">
        <f>MST!X51</f>
        <v>785.76</v>
      </c>
      <c r="I1464" s="596">
        <f t="shared" si="67"/>
        <v>1767.4089999999999</v>
      </c>
      <c r="J1464" s="595">
        <f>ATAN(input!BP50)*180/PI()</f>
        <v>7.1250163489017977</v>
      </c>
      <c r="K1464" s="596">
        <f t="shared" si="68"/>
        <v>1781.1633630828239</v>
      </c>
      <c r="L1464" s="596">
        <f t="shared" si="69"/>
        <v>4987.9984783153504</v>
      </c>
      <c r="M1464" s="609" t="str">
        <f t="shared" si="70"/>
        <v>OK</v>
      </c>
      <c r="N1464" s="216"/>
      <c r="P1464" s="257"/>
      <c r="Q1464" s="73"/>
      <c r="R1464" s="73"/>
      <c r="S1464" s="73"/>
      <c r="T1464" s="73"/>
      <c r="U1464" s="73"/>
      <c r="V1464" s="73"/>
      <c r="W1464" s="73"/>
      <c r="X1464" s="73"/>
      <c r="Y1464" s="73"/>
      <c r="Z1464" s="73"/>
      <c r="AA1464" s="73"/>
      <c r="AB1464" s="73"/>
      <c r="AC1464" s="73"/>
      <c r="AE1464" s="143"/>
      <c r="AF1464" s="143"/>
      <c r="AG1464" s="143"/>
      <c r="AH1464" s="143"/>
      <c r="AI1464" s="143"/>
      <c r="AJ1464" s="143"/>
      <c r="AK1464" s="143"/>
      <c r="AL1464" s="143"/>
      <c r="AM1464" s="143"/>
      <c r="AN1464" s="143"/>
      <c r="AO1464" s="143"/>
      <c r="AP1464" s="143"/>
      <c r="AQ1464" s="143"/>
    </row>
    <row r="1465" spans="1:43" ht="15" customHeight="1">
      <c r="A1465" s="579" t="str">
        <f>+input!B51</f>
        <v>125i</v>
      </c>
      <c r="B1465" s="596">
        <f>MST!G52</f>
        <v>335.09</v>
      </c>
      <c r="C1465" s="596">
        <f>MST!H52</f>
        <v>-1.27</v>
      </c>
      <c r="D1465" s="596">
        <f>MST!I52</f>
        <v>817.95</v>
      </c>
      <c r="E1465" s="595">
        <f>MST!J52</f>
        <v>188.96</v>
      </c>
      <c r="F1465" s="596">
        <f>MST!K52</f>
        <v>169.04</v>
      </c>
      <c r="G1465" s="596">
        <f>MST!Y52</f>
        <v>-194.53</v>
      </c>
      <c r="H1465" s="596">
        <f>MST!X52</f>
        <v>758</v>
      </c>
      <c r="I1465" s="596">
        <f t="shared" si="67"/>
        <v>1646.93625</v>
      </c>
      <c r="J1465" s="595">
        <f>ATAN(input!BP51)*180/PI()</f>
        <v>7.1250163489017977</v>
      </c>
      <c r="K1465" s="596">
        <f t="shared" si="68"/>
        <v>1659.7530678145322</v>
      </c>
      <c r="L1465" s="596">
        <f t="shared" si="69"/>
        <v>4987.9984783153504</v>
      </c>
      <c r="M1465" s="609" t="str">
        <f t="shared" si="70"/>
        <v>OK</v>
      </c>
      <c r="N1465" s="216"/>
      <c r="P1465" s="257"/>
      <c r="Q1465" s="73"/>
      <c r="R1465" s="73"/>
      <c r="S1465" s="73"/>
      <c r="T1465" s="73"/>
      <c r="U1465" s="73"/>
      <c r="V1465" s="73"/>
      <c r="W1465" s="73"/>
      <c r="X1465" s="73"/>
      <c r="Y1465" s="73"/>
      <c r="Z1465" s="73"/>
      <c r="AA1465" s="73"/>
      <c r="AB1465" s="73"/>
      <c r="AC1465" s="73"/>
      <c r="AE1465" s="143"/>
      <c r="AF1465" s="143"/>
      <c r="AG1465" s="143"/>
      <c r="AH1465" s="143"/>
      <c r="AI1465" s="143"/>
      <c r="AJ1465" s="143"/>
      <c r="AK1465" s="143"/>
      <c r="AL1465" s="143"/>
      <c r="AM1465" s="143"/>
      <c r="AN1465" s="143"/>
      <c r="AO1465" s="143"/>
      <c r="AP1465" s="143"/>
      <c r="AQ1465" s="143"/>
    </row>
    <row r="1466" spans="1:43" ht="15" customHeight="1">
      <c r="A1466" s="579" t="str">
        <f>+input!B52</f>
        <v>125j</v>
      </c>
      <c r="B1466" s="596">
        <f>MST!G53</f>
        <v>262.42</v>
      </c>
      <c r="C1466" s="596">
        <f>MST!H53</f>
        <v>-1.27</v>
      </c>
      <c r="D1466" s="596">
        <f>MST!I53</f>
        <v>638.95000000000005</v>
      </c>
      <c r="E1466" s="595">
        <f>MST!J53</f>
        <v>148.71</v>
      </c>
      <c r="F1466" s="596">
        <f>MST!K53</f>
        <v>130.44</v>
      </c>
      <c r="G1466" s="596">
        <f>MST!Y53</f>
        <v>-277.33</v>
      </c>
      <c r="H1466" s="596">
        <f>MST!X53</f>
        <v>639.65</v>
      </c>
      <c r="I1466" s="596">
        <f t="shared" si="67"/>
        <v>1329.0212500000002</v>
      </c>
      <c r="J1466" s="595">
        <f>ATAN(input!BP52)*180/PI()</f>
        <v>7.1250163489017977</v>
      </c>
      <c r="K1466" s="596">
        <f t="shared" si="68"/>
        <v>1339.3639838082408</v>
      </c>
      <c r="L1466" s="596">
        <f t="shared" si="69"/>
        <v>4987.9984783153504</v>
      </c>
      <c r="M1466" s="609" t="str">
        <f t="shared" si="70"/>
        <v>OK</v>
      </c>
      <c r="N1466" s="216"/>
      <c r="P1466" s="257"/>
      <c r="Q1466" s="73"/>
      <c r="R1466" s="73"/>
      <c r="S1466" s="73"/>
      <c r="T1466" s="73"/>
      <c r="U1466" s="73"/>
      <c r="V1466" s="73"/>
      <c r="W1466" s="73"/>
      <c r="X1466" s="73"/>
      <c r="Y1466" s="73"/>
      <c r="Z1466" s="73"/>
      <c r="AA1466" s="73"/>
      <c r="AB1466" s="73"/>
      <c r="AC1466" s="73"/>
      <c r="AE1466" s="143"/>
      <c r="AF1466" s="143"/>
      <c r="AG1466" s="143"/>
      <c r="AH1466" s="143"/>
      <c r="AI1466" s="143"/>
      <c r="AJ1466" s="143"/>
      <c r="AK1466" s="143"/>
      <c r="AL1466" s="143"/>
      <c r="AM1466" s="143"/>
      <c r="AN1466" s="143"/>
      <c r="AO1466" s="143"/>
      <c r="AP1466" s="143"/>
      <c r="AQ1466" s="143"/>
    </row>
    <row r="1467" spans="1:43" ht="15" customHeight="1">
      <c r="A1467" s="1023" t="str">
        <f>+input!B53</f>
        <v>126i</v>
      </c>
      <c r="B1467" s="1008">
        <f>MST!G54</f>
        <v>262.42</v>
      </c>
      <c r="C1467" s="1008">
        <f>MST!H54</f>
        <v>-1.27</v>
      </c>
      <c r="D1467" s="1008">
        <f>MST!I54</f>
        <v>638.96</v>
      </c>
      <c r="E1467" s="998">
        <f>MST!J54</f>
        <v>148.71</v>
      </c>
      <c r="F1467" s="1008">
        <f>MST!K54</f>
        <v>130.44</v>
      </c>
      <c r="G1467" s="1008">
        <f>MST!Y54</f>
        <v>-277.33</v>
      </c>
      <c r="H1467" s="1008">
        <f>MST!X54</f>
        <v>639.65</v>
      </c>
      <c r="I1467" s="596">
        <f t="shared" si="67"/>
        <v>1329.0275000000001</v>
      </c>
      <c r="J1467" s="998">
        <f>ATAN(input!BP53)*180/PI()</f>
        <v>7.1250163489017977</v>
      </c>
      <c r="K1467" s="596">
        <f t="shared" si="68"/>
        <v>1339.3702824471065</v>
      </c>
      <c r="L1467" s="1008">
        <f t="shared" si="69"/>
        <v>4987.9984783153504</v>
      </c>
      <c r="M1467" s="1047" t="str">
        <f t="shared" si="70"/>
        <v>OK</v>
      </c>
      <c r="N1467" s="216"/>
      <c r="P1467" s="257"/>
      <c r="Q1467" s="73"/>
      <c r="R1467" s="73"/>
      <c r="S1467" s="73"/>
      <c r="T1467" s="73"/>
      <c r="U1467" s="73"/>
      <c r="V1467" s="73"/>
      <c r="W1467" s="73"/>
      <c r="X1467" s="73"/>
      <c r="Y1467" s="73"/>
      <c r="Z1467" s="73"/>
      <c r="AA1467" s="73"/>
      <c r="AB1467" s="73"/>
      <c r="AC1467" s="73"/>
      <c r="AE1467" s="143"/>
      <c r="AF1467" s="143"/>
      <c r="AG1467" s="143"/>
      <c r="AH1467" s="143"/>
      <c r="AI1467" s="143"/>
      <c r="AJ1467" s="143"/>
      <c r="AK1467" s="143"/>
      <c r="AL1467" s="143"/>
      <c r="AM1467" s="143"/>
      <c r="AN1467" s="143"/>
      <c r="AO1467" s="143"/>
      <c r="AP1467" s="143"/>
      <c r="AQ1467" s="143"/>
    </row>
    <row r="1468" spans="1:43" ht="15" customHeight="1">
      <c r="A1468" s="1026" t="str">
        <f>+input!B54</f>
        <v>126j</v>
      </c>
      <c r="B1468" s="1011">
        <f>MST!G55</f>
        <v>189.75</v>
      </c>
      <c r="C1468" s="1011">
        <f>MST!H55</f>
        <v>-1.27</v>
      </c>
      <c r="D1468" s="1011">
        <f>MST!I55</f>
        <v>459.96</v>
      </c>
      <c r="E1468" s="1004">
        <f>MST!J55</f>
        <v>108.46</v>
      </c>
      <c r="F1468" s="1011">
        <f>MST!K55</f>
        <v>91.84</v>
      </c>
      <c r="G1468" s="1011">
        <f>MST!Y55</f>
        <v>-382.8</v>
      </c>
      <c r="H1468" s="1011">
        <f>MST!X55</f>
        <v>537.66</v>
      </c>
      <c r="I1468" s="596">
        <f t="shared" si="67"/>
        <v>1025.8364999999999</v>
      </c>
      <c r="J1468" s="1004">
        <f>ATAN(input!BP54)*180/PI()</f>
        <v>7.1250163489017977</v>
      </c>
      <c r="K1468" s="596">
        <f t="shared" si="68"/>
        <v>1033.819783826558</v>
      </c>
      <c r="L1468" s="1011">
        <f t="shared" si="69"/>
        <v>4987.9984783153504</v>
      </c>
      <c r="M1468" s="1050" t="str">
        <f t="shared" si="70"/>
        <v>OK</v>
      </c>
      <c r="N1468" s="216"/>
      <c r="P1468" s="257"/>
      <c r="Q1468" s="73"/>
      <c r="R1468" s="73"/>
      <c r="S1468" s="73"/>
      <c r="T1468" s="73"/>
      <c r="U1468" s="73"/>
      <c r="V1468" s="73"/>
      <c r="W1468" s="73"/>
      <c r="X1468" s="73"/>
      <c r="Y1468" s="73"/>
      <c r="Z1468" s="73"/>
      <c r="AA1468" s="73"/>
      <c r="AB1468" s="73"/>
      <c r="AC1468" s="73"/>
      <c r="AE1468" s="143"/>
      <c r="AF1468" s="143"/>
      <c r="AG1468" s="143"/>
      <c r="AH1468" s="143"/>
      <c r="AI1468" s="143"/>
      <c r="AJ1468" s="143"/>
      <c r="AK1468" s="143"/>
      <c r="AL1468" s="143"/>
      <c r="AM1468" s="143"/>
      <c r="AN1468" s="143"/>
      <c r="AO1468" s="143"/>
      <c r="AP1468" s="143"/>
      <c r="AQ1468" s="143"/>
    </row>
    <row r="1469" spans="1:43" ht="15" customHeight="1">
      <c r="A1469" s="579" t="str">
        <f>+input!B55</f>
        <v>127i</v>
      </c>
      <c r="B1469" s="596">
        <f>MST!G56</f>
        <v>171.04</v>
      </c>
      <c r="C1469" s="596">
        <f>MST!H56</f>
        <v>-1.26</v>
      </c>
      <c r="D1469" s="596">
        <f>MST!I56</f>
        <v>383.14</v>
      </c>
      <c r="E1469" s="595">
        <f>MST!J56</f>
        <v>84.9</v>
      </c>
      <c r="F1469" s="596">
        <f>MST!K56</f>
        <v>77.64</v>
      </c>
      <c r="G1469" s="596">
        <f>MST!Y56</f>
        <v>-391.46</v>
      </c>
      <c r="H1469" s="596">
        <f>MST!X56</f>
        <v>591.86</v>
      </c>
      <c r="I1469" s="596">
        <f t="shared" si="67"/>
        <v>989.54149999999993</v>
      </c>
      <c r="J1469" s="595">
        <f>ATAN(input!BP55)*180/PI()</f>
        <v>7.1250163489017977</v>
      </c>
      <c r="K1469" s="596">
        <f t="shared" si="68"/>
        <v>997.24232820474606</v>
      </c>
      <c r="L1469" s="596">
        <f t="shared" si="69"/>
        <v>4987.9984783153504</v>
      </c>
      <c r="M1469" s="609" t="str">
        <f t="shared" si="70"/>
        <v>OK</v>
      </c>
      <c r="N1469" s="216"/>
      <c r="P1469" s="257"/>
      <c r="Q1469" s="73"/>
      <c r="R1469" s="73"/>
      <c r="S1469" s="73"/>
      <c r="T1469" s="73"/>
      <c r="U1469" s="73"/>
      <c r="V1469" s="73"/>
      <c r="W1469" s="73"/>
      <c r="X1469" s="73"/>
      <c r="Y1469" s="73"/>
      <c r="Z1469" s="73"/>
      <c r="AA1469" s="73"/>
      <c r="AB1469" s="73"/>
      <c r="AC1469" s="73"/>
      <c r="AE1469" s="143"/>
      <c r="AF1469" s="143"/>
      <c r="AG1469" s="143"/>
      <c r="AH1469" s="143"/>
      <c r="AI1469" s="143"/>
      <c r="AJ1469" s="143"/>
      <c r="AK1469" s="143"/>
      <c r="AL1469" s="143"/>
      <c r="AM1469" s="143"/>
      <c r="AN1469" s="143"/>
      <c r="AO1469" s="143"/>
      <c r="AP1469" s="143"/>
      <c r="AQ1469" s="143"/>
    </row>
    <row r="1470" spans="1:43" ht="15" customHeight="1">
      <c r="A1470" s="579" t="str">
        <f>+input!B56</f>
        <v>127j</v>
      </c>
      <c r="B1470" s="596">
        <f>MST!G57</f>
        <v>107.07</v>
      </c>
      <c r="C1470" s="596">
        <f>MST!H57</f>
        <v>-1.26</v>
      </c>
      <c r="D1470" s="596">
        <f>MST!I57</f>
        <v>204.14</v>
      </c>
      <c r="E1470" s="595">
        <f>MST!J57</f>
        <v>44.65</v>
      </c>
      <c r="F1470" s="596">
        <f>MST!K57</f>
        <v>39.04</v>
      </c>
      <c r="G1470" s="596">
        <f>MST!Y57</f>
        <v>-489.35</v>
      </c>
      <c r="H1470" s="596">
        <f>MST!X57</f>
        <v>480.45</v>
      </c>
      <c r="I1470" s="596">
        <f t="shared" si="67"/>
        <v>683.31</v>
      </c>
      <c r="J1470" s="595">
        <f>ATAN(input!BP56)*180/PI()</f>
        <v>7.1250163489017977</v>
      </c>
      <c r="K1470" s="596">
        <f t="shared" si="68"/>
        <v>688.62766774873523</v>
      </c>
      <c r="L1470" s="596">
        <f t="shared" si="69"/>
        <v>4987.9984783153504</v>
      </c>
      <c r="M1470" s="609" t="str">
        <f t="shared" si="70"/>
        <v>OK</v>
      </c>
      <c r="N1470" s="216"/>
      <c r="P1470" s="257"/>
      <c r="Q1470" s="73"/>
      <c r="R1470" s="73"/>
      <c r="S1470" s="73"/>
      <c r="T1470" s="73"/>
      <c r="U1470" s="73"/>
      <c r="V1470" s="73"/>
      <c r="W1470" s="73"/>
      <c r="X1470" s="73"/>
      <c r="Y1470" s="73"/>
      <c r="Z1470" s="73"/>
      <c r="AA1470" s="73"/>
      <c r="AB1470" s="73"/>
      <c r="AC1470" s="73"/>
      <c r="AE1470" s="143"/>
      <c r="AF1470" s="143"/>
      <c r="AG1470" s="143"/>
      <c r="AH1470" s="143"/>
      <c r="AI1470" s="143"/>
      <c r="AJ1470" s="143"/>
      <c r="AK1470" s="143"/>
      <c r="AL1470" s="143"/>
      <c r="AM1470" s="143"/>
      <c r="AN1470" s="143"/>
      <c r="AO1470" s="143"/>
      <c r="AP1470" s="143"/>
      <c r="AQ1470" s="143"/>
    </row>
    <row r="1471" spans="1:43" ht="15" customHeight="1">
      <c r="A1471" s="579" t="str">
        <f>+input!B57</f>
        <v>128i</v>
      </c>
      <c r="B1471" s="596">
        <f>MST!G58</f>
        <v>107.07</v>
      </c>
      <c r="C1471" s="596">
        <f>MST!H58</f>
        <v>-1.26</v>
      </c>
      <c r="D1471" s="596">
        <f>MST!I58</f>
        <v>204.14</v>
      </c>
      <c r="E1471" s="595">
        <f>MST!J58</f>
        <v>44.65</v>
      </c>
      <c r="F1471" s="596">
        <f>MST!K58</f>
        <v>39.04</v>
      </c>
      <c r="G1471" s="596">
        <f>MST!Y58</f>
        <v>-489.35</v>
      </c>
      <c r="H1471" s="596">
        <f>MST!X58</f>
        <v>480.45</v>
      </c>
      <c r="I1471" s="596">
        <f t="shared" si="67"/>
        <v>683.31</v>
      </c>
      <c r="J1471" s="595">
        <f>ATAN(input!BP57)*180/PI()</f>
        <v>7.1250163489017977</v>
      </c>
      <c r="K1471" s="596">
        <f t="shared" si="68"/>
        <v>688.62766774873523</v>
      </c>
      <c r="L1471" s="596">
        <f t="shared" si="69"/>
        <v>4987.9984783153504</v>
      </c>
      <c r="M1471" s="609" t="str">
        <f t="shared" si="70"/>
        <v>OK</v>
      </c>
      <c r="N1471" s="216"/>
      <c r="P1471" s="257"/>
      <c r="Q1471" s="73"/>
      <c r="R1471" s="73"/>
      <c r="S1471" s="73"/>
      <c r="T1471" s="73"/>
      <c r="U1471" s="73"/>
      <c r="V1471" s="73"/>
      <c r="W1471" s="73"/>
      <c r="X1471" s="73"/>
      <c r="Y1471" s="73"/>
      <c r="Z1471" s="73"/>
      <c r="AA1471" s="73"/>
      <c r="AB1471" s="73"/>
      <c r="AC1471" s="73"/>
      <c r="AE1471" s="143"/>
      <c r="AF1471" s="143"/>
      <c r="AG1471" s="143"/>
      <c r="AH1471" s="143"/>
      <c r="AI1471" s="143"/>
      <c r="AJ1471" s="143"/>
      <c r="AK1471" s="143"/>
      <c r="AL1471" s="143"/>
      <c r="AM1471" s="143"/>
      <c r="AN1471" s="143"/>
      <c r="AO1471" s="143"/>
      <c r="AP1471" s="143"/>
      <c r="AQ1471" s="143"/>
    </row>
    <row r="1472" spans="1:43" ht="15" customHeight="1">
      <c r="A1472" s="579" t="str">
        <f>+input!B58</f>
        <v>128j</v>
      </c>
      <c r="B1472" s="596">
        <f>MST!G59</f>
        <v>43.09</v>
      </c>
      <c r="C1472" s="596">
        <f>MST!H59</f>
        <v>-1.26</v>
      </c>
      <c r="D1472" s="596">
        <f>MST!I59</f>
        <v>25.14</v>
      </c>
      <c r="E1472" s="595">
        <f>MST!J59</f>
        <v>4.4000000000000004</v>
      </c>
      <c r="F1472" s="596">
        <f>MST!K59</f>
        <v>0.44</v>
      </c>
      <c r="G1472" s="596">
        <f>MST!Y59</f>
        <v>-611.36</v>
      </c>
      <c r="H1472" s="596">
        <f>MST!X59</f>
        <v>381.74</v>
      </c>
      <c r="I1472" s="596">
        <f t="shared" si="67"/>
        <v>388.50225</v>
      </c>
      <c r="J1472" s="595">
        <f>ATAN(input!BP58)*180/PI()</f>
        <v>7.1250163489017977</v>
      </c>
      <c r="K1472" s="596">
        <f t="shared" si="68"/>
        <v>391.52565941174004</v>
      </c>
      <c r="L1472" s="596">
        <f t="shared" si="69"/>
        <v>4987.9984783153504</v>
      </c>
      <c r="M1472" s="609" t="str">
        <f t="shared" si="70"/>
        <v>OK</v>
      </c>
      <c r="N1472" s="216"/>
      <c r="P1472" s="257"/>
      <c r="Q1472" s="73"/>
      <c r="R1472" s="73"/>
      <c r="S1472" s="73"/>
      <c r="T1472" s="73"/>
      <c r="U1472" s="73"/>
      <c r="V1472" s="73"/>
      <c r="W1472" s="73"/>
      <c r="X1472" s="73"/>
      <c r="Y1472" s="73"/>
      <c r="Z1472" s="73"/>
      <c r="AA1472" s="73"/>
      <c r="AB1472" s="73"/>
      <c r="AC1472" s="73"/>
      <c r="AE1472" s="143"/>
      <c r="AF1472" s="143"/>
      <c r="AG1472" s="143"/>
      <c r="AH1472" s="143"/>
      <c r="AI1472" s="143"/>
      <c r="AJ1472" s="143"/>
      <c r="AK1472" s="143"/>
      <c r="AL1472" s="143"/>
      <c r="AM1472" s="143"/>
      <c r="AN1472" s="143"/>
      <c r="AO1472" s="143"/>
      <c r="AP1472" s="143"/>
      <c r="AQ1472" s="143"/>
    </row>
    <row r="1473" spans="1:43" ht="15" customHeight="1">
      <c r="A1473" s="579" t="str">
        <f>+input!B59</f>
        <v>129i</v>
      </c>
      <c r="B1473" s="596">
        <f>MST!G60</f>
        <v>23.74</v>
      </c>
      <c r="C1473" s="596">
        <f>MST!H60</f>
        <v>-1.26</v>
      </c>
      <c r="D1473" s="596">
        <f>MST!I60</f>
        <v>-62.32</v>
      </c>
      <c r="E1473" s="595">
        <f>MST!J60</f>
        <v>-21.61</v>
      </c>
      <c r="F1473" s="596">
        <f>MST!K60</f>
        <v>-15.16</v>
      </c>
      <c r="G1473" s="596">
        <f>MST!Y60</f>
        <v>-648.28</v>
      </c>
      <c r="H1473" s="596">
        <f>MST!X60</f>
        <v>419.3</v>
      </c>
      <c r="I1473" s="596">
        <f t="shared" si="67"/>
        <v>-633.22825</v>
      </c>
      <c r="J1473" s="595">
        <f>ATAN(input!BP59)*180/PI()</f>
        <v>7.1250163489017977</v>
      </c>
      <c r="K1473" s="596">
        <f t="shared" si="68"/>
        <v>-638.15617062550393</v>
      </c>
      <c r="L1473" s="596">
        <f t="shared" si="69"/>
        <v>4987.9984783153504</v>
      </c>
      <c r="M1473" s="609" t="str">
        <f t="shared" si="70"/>
        <v>OK</v>
      </c>
      <c r="N1473" s="216"/>
      <c r="P1473" s="257"/>
      <c r="Q1473" s="73"/>
      <c r="R1473" s="73"/>
      <c r="S1473" s="73"/>
      <c r="T1473" s="73"/>
      <c r="U1473" s="73"/>
      <c r="V1473" s="73"/>
      <c r="W1473" s="73"/>
      <c r="X1473" s="73"/>
      <c r="Y1473" s="73"/>
      <c r="Z1473" s="73"/>
      <c r="AA1473" s="73"/>
      <c r="AB1473" s="73"/>
      <c r="AC1473" s="73"/>
      <c r="AE1473" s="143"/>
      <c r="AF1473" s="143"/>
      <c r="AG1473" s="143"/>
      <c r="AH1473" s="143"/>
      <c r="AI1473" s="143"/>
      <c r="AJ1473" s="143"/>
      <c r="AK1473" s="143"/>
      <c r="AL1473" s="143"/>
      <c r="AM1473" s="143"/>
      <c r="AN1473" s="143"/>
      <c r="AO1473" s="143"/>
      <c r="AP1473" s="143"/>
      <c r="AQ1473" s="143"/>
    </row>
    <row r="1474" spans="1:43" ht="15" customHeight="1">
      <c r="A1474" s="579" t="str">
        <f>+input!B60</f>
        <v>129j</v>
      </c>
      <c r="B1474" s="596">
        <f>MST!G61</f>
        <v>-59.05</v>
      </c>
      <c r="C1474" s="596">
        <f>MST!H61</f>
        <v>-1.26</v>
      </c>
      <c r="D1474" s="596">
        <f>MST!I61</f>
        <v>-293.94</v>
      </c>
      <c r="E1474" s="595">
        <f>MST!J61</f>
        <v>-73.69</v>
      </c>
      <c r="F1474" s="596">
        <f>MST!K61</f>
        <v>-65.11</v>
      </c>
      <c r="G1474" s="596">
        <f>MST!Y61</f>
        <v>-828.59</v>
      </c>
      <c r="H1474" s="596">
        <f>MST!X61</f>
        <v>335.83</v>
      </c>
      <c r="I1474" s="596">
        <f t="shared" si="67"/>
        <v>-1062.0259999999998</v>
      </c>
      <c r="J1474" s="595">
        <f>ATAN(input!BP60)*180/PI()</f>
        <v>7.1250163489017977</v>
      </c>
      <c r="K1474" s="596">
        <f t="shared" si="68"/>
        <v>-1070.2909184243142</v>
      </c>
      <c r="L1474" s="596">
        <f t="shared" si="69"/>
        <v>4987.9984783153504</v>
      </c>
      <c r="M1474" s="609" t="str">
        <f t="shared" si="70"/>
        <v>OK</v>
      </c>
      <c r="N1474" s="216"/>
      <c r="P1474" s="257"/>
      <c r="Q1474" s="73"/>
      <c r="R1474" s="73"/>
      <c r="S1474" s="73"/>
      <c r="T1474" s="73"/>
      <c r="U1474" s="73"/>
      <c r="V1474" s="73"/>
      <c r="W1474" s="73"/>
      <c r="X1474" s="73"/>
      <c r="Y1474" s="73"/>
      <c r="Z1474" s="73"/>
      <c r="AA1474" s="73"/>
      <c r="AB1474" s="73"/>
      <c r="AC1474" s="73"/>
      <c r="AE1474" s="143"/>
      <c r="AF1474" s="143"/>
      <c r="AG1474" s="143"/>
      <c r="AH1474" s="143"/>
      <c r="AI1474" s="143"/>
      <c r="AJ1474" s="143"/>
      <c r="AK1474" s="143"/>
      <c r="AL1474" s="143"/>
      <c r="AM1474" s="143"/>
      <c r="AN1474" s="143"/>
      <c r="AO1474" s="143"/>
      <c r="AP1474" s="143"/>
      <c r="AQ1474" s="143"/>
    </row>
    <row r="1475" spans="1:43" ht="15" customHeight="1">
      <c r="A1475" s="579" t="str">
        <f>+input!B61</f>
        <v>130i</v>
      </c>
      <c r="B1475" s="596">
        <f>MST!G62</f>
        <v>-59.05</v>
      </c>
      <c r="C1475" s="596">
        <f>MST!H62</f>
        <v>-1.26</v>
      </c>
      <c r="D1475" s="596">
        <f>MST!I62</f>
        <v>-293.94</v>
      </c>
      <c r="E1475" s="595">
        <f>MST!J62</f>
        <v>-73.69</v>
      </c>
      <c r="F1475" s="596">
        <f>MST!K62</f>
        <v>-65.11</v>
      </c>
      <c r="G1475" s="596">
        <f>MST!Y62</f>
        <v>-828.59</v>
      </c>
      <c r="H1475" s="596">
        <f>MST!X62</f>
        <v>335.83</v>
      </c>
      <c r="I1475" s="596">
        <f t="shared" si="67"/>
        <v>-1062.0259999999998</v>
      </c>
      <c r="J1475" s="595">
        <f>ATAN(input!BP61)*180/PI()</f>
        <v>7.1250163489017977</v>
      </c>
      <c r="K1475" s="596">
        <f t="shared" si="68"/>
        <v>-1070.2909184243142</v>
      </c>
      <c r="L1475" s="596">
        <f t="shared" si="69"/>
        <v>4549.4716078986594</v>
      </c>
      <c r="M1475" s="609" t="str">
        <f t="shared" si="70"/>
        <v>OK</v>
      </c>
      <c r="N1475" s="216"/>
      <c r="P1475" s="257"/>
      <c r="Q1475" s="73"/>
      <c r="R1475" s="73"/>
      <c r="S1475" s="73"/>
      <c r="T1475" s="73"/>
      <c r="U1475" s="73"/>
      <c r="V1475" s="73"/>
      <c r="W1475" s="73"/>
      <c r="X1475" s="73"/>
      <c r="Y1475" s="73"/>
      <c r="Z1475" s="73"/>
      <c r="AA1475" s="73"/>
      <c r="AB1475" s="73"/>
      <c r="AC1475" s="73"/>
      <c r="AE1475" s="143"/>
      <c r="AF1475" s="143"/>
      <c r="AG1475" s="143"/>
      <c r="AH1475" s="143"/>
      <c r="AI1475" s="143"/>
      <c r="AJ1475" s="143"/>
      <c r="AK1475" s="143"/>
      <c r="AL1475" s="143"/>
      <c r="AM1475" s="143"/>
      <c r="AN1475" s="143"/>
      <c r="AO1475" s="143"/>
      <c r="AP1475" s="143"/>
      <c r="AQ1475" s="143"/>
    </row>
    <row r="1476" spans="1:43" ht="15" customHeight="1">
      <c r="A1476" s="579" t="str">
        <f>+input!B62</f>
        <v>130j</v>
      </c>
      <c r="B1476" s="596">
        <f>MST!G63</f>
        <v>-94.58</v>
      </c>
      <c r="C1476" s="596">
        <f>MST!H63</f>
        <v>-1.26</v>
      </c>
      <c r="D1476" s="596">
        <f>MST!I63</f>
        <v>-463.65</v>
      </c>
      <c r="E1476" s="595">
        <f>MST!J63</f>
        <v>-97.04</v>
      </c>
      <c r="F1476" s="596">
        <f>MST!K63</f>
        <v>-87.49</v>
      </c>
      <c r="G1476" s="596">
        <f>MST!Y63</f>
        <v>-928.88</v>
      </c>
      <c r="H1476" s="596">
        <f>MST!X63</f>
        <v>332.78</v>
      </c>
      <c r="I1476" s="596">
        <f t="shared" si="67"/>
        <v>-1311.94075</v>
      </c>
      <c r="J1476" s="595">
        <f>ATAN(input!BP62)*180/PI()</f>
        <v>7.1250163489017977</v>
      </c>
      <c r="K1476" s="596">
        <f t="shared" si="68"/>
        <v>-1322.1505596245138</v>
      </c>
      <c r="L1476" s="596">
        <f t="shared" si="69"/>
        <v>4549.4716078986594</v>
      </c>
      <c r="M1476" s="609" t="str">
        <f t="shared" si="70"/>
        <v>OK</v>
      </c>
      <c r="N1476" s="216"/>
      <c r="P1476" s="257"/>
      <c r="Q1476" s="73"/>
      <c r="R1476" s="73"/>
      <c r="S1476" s="73"/>
      <c r="T1476" s="73"/>
      <c r="U1476" s="73"/>
      <c r="V1476" s="73"/>
      <c r="W1476" s="73"/>
      <c r="X1476" s="73"/>
      <c r="Y1476" s="73"/>
      <c r="Z1476" s="73"/>
      <c r="AA1476" s="73"/>
      <c r="AB1476" s="73"/>
      <c r="AC1476" s="73"/>
      <c r="AE1476" s="143"/>
      <c r="AF1476" s="143"/>
      <c r="AG1476" s="143"/>
      <c r="AH1476" s="143"/>
      <c r="AI1476" s="143"/>
      <c r="AJ1476" s="143"/>
      <c r="AK1476" s="143"/>
      <c r="AL1476" s="143"/>
      <c r="AM1476" s="143"/>
      <c r="AN1476" s="143"/>
      <c r="AO1476" s="143"/>
      <c r="AP1476" s="143"/>
      <c r="AQ1476" s="143"/>
    </row>
    <row r="1477" spans="1:43" ht="15" customHeight="1">
      <c r="A1477" s="579" t="str">
        <f>+input!B63</f>
        <v>131i</v>
      </c>
      <c r="B1477" s="596">
        <f>MST!G64</f>
        <v>6.74</v>
      </c>
      <c r="C1477" s="596">
        <f>MST!H64</f>
        <v>0</v>
      </c>
      <c r="D1477" s="596">
        <f>MST!I64</f>
        <v>32.200000000000003</v>
      </c>
      <c r="E1477" s="595">
        <f>MST!J64</f>
        <v>4.43</v>
      </c>
      <c r="F1477" s="596">
        <f>MST!K64</f>
        <v>4.25</v>
      </c>
      <c r="G1477" s="596">
        <f>MST!Y64</f>
        <v>0</v>
      </c>
      <c r="H1477" s="596">
        <f>MST!X64</f>
        <v>260.5</v>
      </c>
      <c r="I1477" s="596">
        <f t="shared" si="67"/>
        <v>264.74375000000003</v>
      </c>
      <c r="J1477" s="595">
        <f>ATAN(input!BP63)*180/PI()</f>
        <v>7.1250163489017977</v>
      </c>
      <c r="K1477" s="596">
        <f t="shared" si="68"/>
        <v>266.80404371888932</v>
      </c>
      <c r="L1477" s="596">
        <f t="shared" si="69"/>
        <v>4549.4716078986594</v>
      </c>
      <c r="M1477" s="609" t="str">
        <f t="shared" si="70"/>
        <v>OK</v>
      </c>
      <c r="N1477" s="216"/>
      <c r="P1477" s="257"/>
      <c r="Q1477" s="73"/>
      <c r="R1477" s="73"/>
      <c r="S1477" s="73"/>
      <c r="T1477" s="73"/>
      <c r="U1477" s="73"/>
      <c r="V1477" s="73"/>
      <c r="W1477" s="73"/>
      <c r="X1477" s="73"/>
      <c r="Y1477" s="73"/>
      <c r="Z1477" s="73"/>
      <c r="AA1477" s="73"/>
      <c r="AB1477" s="73"/>
      <c r="AC1477" s="73"/>
      <c r="AE1477" s="143"/>
      <c r="AF1477" s="143"/>
      <c r="AG1477" s="143"/>
      <c r="AH1477" s="143"/>
      <c r="AI1477" s="143"/>
      <c r="AJ1477" s="143"/>
      <c r="AK1477" s="143"/>
      <c r="AL1477" s="143"/>
      <c r="AM1477" s="143"/>
      <c r="AN1477" s="143"/>
      <c r="AO1477" s="143"/>
      <c r="AP1477" s="143"/>
      <c r="AQ1477" s="143"/>
    </row>
    <row r="1478" spans="1:43" ht="15" customHeight="1">
      <c r="A1478" s="579" t="str">
        <f>+input!B64</f>
        <v>131j</v>
      </c>
      <c r="B1478" s="596">
        <f>MST!G65</f>
        <v>0</v>
      </c>
      <c r="C1478" s="596">
        <f>MST!H65</f>
        <v>0</v>
      </c>
      <c r="D1478" s="596">
        <f>MST!I65</f>
        <v>0.01</v>
      </c>
      <c r="E1478" s="595">
        <f>MST!J65</f>
        <v>0</v>
      </c>
      <c r="F1478" s="596">
        <f>MST!K65</f>
        <v>0.01</v>
      </c>
      <c r="G1478" s="596">
        <f>MST!Y65</f>
        <v>0</v>
      </c>
      <c r="H1478" s="596">
        <f>MST!X65</f>
        <v>260.5</v>
      </c>
      <c r="I1478" s="596">
        <f t="shared" si="67"/>
        <v>234.46375</v>
      </c>
      <c r="J1478" s="595">
        <f>ATAN(input!BP64)*180/PI()</f>
        <v>7.1250163489017977</v>
      </c>
      <c r="K1478" s="596">
        <f t="shared" si="68"/>
        <v>236.28839814157928</v>
      </c>
      <c r="L1478" s="596">
        <f t="shared" si="69"/>
        <v>4549.4716078986594</v>
      </c>
      <c r="M1478" s="609" t="str">
        <f t="shared" si="70"/>
        <v>OK</v>
      </c>
      <c r="N1478" s="216"/>
      <c r="P1478" s="257"/>
      <c r="Q1478" s="73"/>
      <c r="R1478" s="73"/>
      <c r="S1478" s="73"/>
      <c r="T1478" s="73"/>
      <c r="U1478" s="73"/>
      <c r="V1478" s="73"/>
      <c r="W1478" s="73"/>
      <c r="X1478" s="73"/>
      <c r="Y1478" s="73"/>
      <c r="Z1478" s="73"/>
      <c r="AA1478" s="73"/>
      <c r="AB1478" s="73"/>
      <c r="AC1478" s="73"/>
      <c r="AE1478" s="143"/>
      <c r="AF1478" s="143"/>
      <c r="AG1478" s="143"/>
      <c r="AH1478" s="143"/>
      <c r="AI1478" s="143"/>
      <c r="AJ1478" s="143"/>
      <c r="AK1478" s="143"/>
      <c r="AL1478" s="143"/>
      <c r="AM1478" s="143"/>
      <c r="AN1478" s="143"/>
      <c r="AO1478" s="143"/>
      <c r="AP1478" s="143"/>
      <c r="AQ1478" s="143"/>
    </row>
  </sheetData>
  <mergeCells count="65">
    <mergeCell ref="L1099:M1099"/>
    <mergeCell ref="B1349:F1349"/>
    <mergeCell ref="I640:L640"/>
    <mergeCell ref="C432:E432"/>
    <mergeCell ref="F432:K432"/>
    <mergeCell ref="J511:K511"/>
    <mergeCell ref="J512:K512"/>
    <mergeCell ref="H511:I511"/>
    <mergeCell ref="H512:I512"/>
    <mergeCell ref="F511:G511"/>
    <mergeCell ref="F512:G512"/>
    <mergeCell ref="D511:E511"/>
    <mergeCell ref="D512:E512"/>
    <mergeCell ref="D509:E510"/>
    <mergeCell ref="F509:G509"/>
    <mergeCell ref="H509:I509"/>
    <mergeCell ref="B586:E586"/>
    <mergeCell ref="F586:I586"/>
    <mergeCell ref="J586:M586"/>
    <mergeCell ref="J587:M587"/>
    <mergeCell ref="F587:I587"/>
    <mergeCell ref="B587:E587"/>
    <mergeCell ref="B347:E347"/>
    <mergeCell ref="G347:J347"/>
    <mergeCell ref="L515:M515"/>
    <mergeCell ref="B584:I584"/>
    <mergeCell ref="J584:M585"/>
    <mergeCell ref="B585:E585"/>
    <mergeCell ref="F585:I585"/>
    <mergeCell ref="F510:G510"/>
    <mergeCell ref="B515:F515"/>
    <mergeCell ref="G515:I515"/>
    <mergeCell ref="J515:K515"/>
    <mergeCell ref="H510:I510"/>
    <mergeCell ref="J509:K509"/>
    <mergeCell ref="B1167:E1167"/>
    <mergeCell ref="F1167:I1167"/>
    <mergeCell ref="J1168:M1168"/>
    <mergeCell ref="F1168:I1168"/>
    <mergeCell ref="B1168:E1168"/>
    <mergeCell ref="D1240:E1240"/>
    <mergeCell ref="J1349:M1349"/>
    <mergeCell ref="B1415:I1415"/>
    <mergeCell ref="D649:E650"/>
    <mergeCell ref="C718:E719"/>
    <mergeCell ref="B764:D764"/>
    <mergeCell ref="E764:G764"/>
    <mergeCell ref="H764:J764"/>
    <mergeCell ref="B830:H830"/>
    <mergeCell ref="B898:F898"/>
    <mergeCell ref="H898:I898"/>
    <mergeCell ref="H1032:L1032"/>
    <mergeCell ref="D1032:F1032"/>
    <mergeCell ref="B1166:I1166"/>
    <mergeCell ref="B1169:E1169"/>
    <mergeCell ref="J1166:M1167"/>
    <mergeCell ref="F1169:I1169"/>
    <mergeCell ref="J1169:M1169"/>
    <mergeCell ref="D1239:E1239"/>
    <mergeCell ref="E1173:H1173"/>
    <mergeCell ref="E1174:F1174"/>
    <mergeCell ref="G1174:H1174"/>
    <mergeCell ref="J1173:M1173"/>
    <mergeCell ref="J1174:K1174"/>
    <mergeCell ref="L1174:M1174"/>
  </mergeCells>
  <phoneticPr fontId="34" type="noConversion"/>
  <conditionalFormatting sqref="M434:M495 L517:M578 F1237:I1237 L1237:M1237 E1175:H1236">
    <cfRule type="cellIs" dxfId="122" priority="48" operator="equal">
      <formula>"NG"</formula>
    </cfRule>
  </conditionalFormatting>
  <conditionalFormatting sqref="D1241:D1302">
    <cfRule type="cellIs" dxfId="119" priority="45" operator="equal">
      <formula>"NG"</formula>
    </cfRule>
  </conditionalFormatting>
  <conditionalFormatting sqref="M1417:M1478">
    <cfRule type="cellIs" dxfId="118" priority="44" operator="equal">
      <formula>"NG"</formula>
    </cfRule>
  </conditionalFormatting>
  <conditionalFormatting sqref="E1241:E1302">
    <cfRule type="cellIs" dxfId="115" priority="40" operator="equal">
      <formula>"NG"</formula>
    </cfRule>
  </conditionalFormatting>
  <conditionalFormatting sqref="E517:E578">
    <cfRule type="cellIs" dxfId="114" priority="27" operator="equal">
      <formula>"NG"</formula>
    </cfRule>
  </conditionalFormatting>
  <conditionalFormatting sqref="F517:F578">
    <cfRule type="cellIs" dxfId="113" priority="25" operator="equal">
      <formula>"NG"</formula>
    </cfRule>
  </conditionalFormatting>
  <conditionalFormatting sqref="J1175:M1236">
    <cfRule type="cellIs" dxfId="112" priority="1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3" orientation="portrait" r:id="rId1"/>
  <rowBreaks count="32" manualBreakCount="32">
    <brk id="38" max="16383" man="1"/>
    <brk id="79" max="16383" man="1"/>
    <brk id="128" max="16383" man="1"/>
    <brk id="157" max="13" man="1"/>
    <brk id="196" max="13" man="1"/>
    <brk id="247" max="13" man="1"/>
    <brk id="263" max="13" man="1"/>
    <brk id="316" max="13" man="1"/>
    <brk id="345" max="13" man="1"/>
    <brk id="398" max="13" man="1"/>
    <brk id="412" max="13" man="1"/>
    <brk id="465" max="13" man="1"/>
    <brk id="497" max="13" man="1"/>
    <brk id="550" max="13" man="1"/>
    <brk id="581" max="16383" man="1"/>
    <brk id="721" max="16383" man="1"/>
    <brk id="762" max="16383" man="1"/>
    <brk id="828" max="13" man="1"/>
    <brk id="879" max="13" man="1"/>
    <brk id="896" max="13" man="1"/>
    <brk id="949" max="13" man="1"/>
    <brk id="963" max="13" man="1"/>
    <brk id="1016" max="13" man="1"/>
    <brk id="1030" max="13" man="1"/>
    <brk id="1081" max="13" man="1"/>
    <brk id="1097" max="13" man="1"/>
    <brk id="1148" max="13" man="1"/>
    <brk id="1163" max="16383" man="1"/>
    <brk id="1282" max="13" man="1"/>
    <brk id="1304" max="16383" man="1"/>
    <brk id="1347" max="13" man="1"/>
    <brk id="1413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AZ523"/>
  <sheetViews>
    <sheetView showGridLines="0" view="pageBreakPreview" zoomScaleNormal="100" zoomScaleSheetLayoutView="100" workbookViewId="0">
      <selection activeCell="L231" sqref="L231"/>
    </sheetView>
  </sheetViews>
  <sheetFormatPr defaultColWidth="9.77734375" defaultRowHeight="15" customHeight="1"/>
  <cols>
    <col min="1" max="11" width="5.88671875" style="3" customWidth="1"/>
    <col min="12" max="12" width="5.88671875" style="30" customWidth="1"/>
    <col min="13" max="14" width="5.88671875" style="3" customWidth="1"/>
    <col min="15" max="15" width="5.77734375" style="3" customWidth="1"/>
    <col min="16" max="16" width="5.33203125" style="3" customWidth="1"/>
    <col min="17" max="23" width="4.77734375" style="3" customWidth="1"/>
    <col min="24" max="24" width="4.77734375" style="30" customWidth="1"/>
    <col min="25" max="25" width="4.77734375" style="3" customWidth="1"/>
    <col min="26" max="26" width="4.77734375" style="30" customWidth="1"/>
    <col min="27" max="27" width="4.77734375" style="3" customWidth="1"/>
    <col min="28" max="28" width="5.33203125" style="3" customWidth="1"/>
    <col min="29" max="29" width="5.33203125" style="30" customWidth="1"/>
    <col min="30" max="44" width="5.33203125" style="73" customWidth="1"/>
    <col min="45" max="45" width="7" style="73" customWidth="1"/>
    <col min="46" max="64" width="5.33203125" style="3" customWidth="1"/>
    <col min="65" max="79" width="2.77734375" style="3" customWidth="1"/>
    <col min="80" max="16384" width="9.77734375" style="3"/>
  </cols>
  <sheetData>
    <row r="1" spans="1:52" s="143" customFormat="1" ht="15" customHeight="1">
      <c r="L1" s="248"/>
      <c r="X1" s="248"/>
      <c r="Z1" s="248"/>
      <c r="AC1" s="248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</row>
    <row r="2" spans="1:52" ht="15" customHeight="1">
      <c r="A2" s="133" t="s">
        <v>355</v>
      </c>
      <c r="M2" s="1" t="s">
        <v>160</v>
      </c>
      <c r="AQ2" s="76"/>
    </row>
    <row r="3" spans="1:52" s="143" customFormat="1" ht="15" customHeight="1">
      <c r="A3" s="133"/>
      <c r="L3" s="248"/>
      <c r="X3" s="248"/>
      <c r="Z3" s="248"/>
      <c r="AA3" s="137"/>
      <c r="AC3" s="248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6"/>
      <c r="AR3" s="73"/>
      <c r="AS3" s="73"/>
    </row>
    <row r="4" spans="1:52" s="143" customFormat="1" ht="15" customHeight="1" thickBot="1">
      <c r="A4" s="133"/>
      <c r="B4" s="20" t="s">
        <v>121</v>
      </c>
      <c r="C4" s="3"/>
      <c r="D4" s="3"/>
      <c r="E4" s="3"/>
      <c r="F4" s="3"/>
      <c r="G4" s="3"/>
      <c r="H4" s="3"/>
      <c r="I4" s="3"/>
      <c r="J4" s="3"/>
      <c r="K4" s="248"/>
      <c r="X4" s="248"/>
      <c r="Z4" s="248"/>
      <c r="AA4" s="137"/>
      <c r="AC4" s="248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6"/>
      <c r="AR4" s="73"/>
      <c r="AS4" s="73"/>
    </row>
    <row r="5" spans="1:52" s="143" customFormat="1" ht="15" customHeight="1">
      <c r="A5" s="133"/>
      <c r="B5" s="35" t="s">
        <v>813</v>
      </c>
      <c r="C5" s="36"/>
      <c r="D5" s="36"/>
      <c r="E5" s="36"/>
      <c r="F5" s="36"/>
      <c r="G5" s="36"/>
      <c r="H5" s="36"/>
      <c r="I5" s="36"/>
      <c r="J5" s="36"/>
      <c r="K5" s="36"/>
      <c r="L5" s="43"/>
      <c r="W5" s="248"/>
      <c r="Y5" s="248"/>
      <c r="Z5" s="137"/>
      <c r="AB5" s="248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6"/>
      <c r="AQ5" s="73"/>
      <c r="AR5" s="73"/>
    </row>
    <row r="6" spans="1:52" s="143" customFormat="1" ht="15" customHeight="1">
      <c r="A6" s="133"/>
      <c r="B6" s="37"/>
      <c r="C6" s="9"/>
      <c r="D6" s="9"/>
      <c r="E6" s="33" t="s">
        <v>205</v>
      </c>
      <c r="F6" s="9"/>
      <c r="G6" s="9"/>
      <c r="H6" s="18"/>
      <c r="I6" s="31" t="s">
        <v>495</v>
      </c>
      <c r="J6" s="9"/>
      <c r="K6" s="9"/>
      <c r="L6" s="38" t="s">
        <v>207</v>
      </c>
      <c r="W6" s="248"/>
      <c r="Y6" s="248"/>
      <c r="Z6" s="137"/>
      <c r="AB6" s="248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6"/>
      <c r="AQ6" s="73"/>
      <c r="AR6" s="73"/>
    </row>
    <row r="7" spans="1:52" s="143" customFormat="1" ht="15" customHeight="1">
      <c r="A7" s="133"/>
      <c r="B7" s="252" t="s">
        <v>488</v>
      </c>
      <c r="C7" s="198"/>
      <c r="D7" s="9"/>
      <c r="E7" s="33"/>
      <c r="F7" s="9"/>
      <c r="G7" s="9"/>
      <c r="H7" s="18"/>
      <c r="I7" s="9"/>
      <c r="J7" s="9"/>
      <c r="K7" s="9"/>
      <c r="L7" s="38"/>
      <c r="W7" s="248"/>
      <c r="Y7" s="248"/>
      <c r="Z7" s="137"/>
      <c r="AB7" s="248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6"/>
      <c r="AQ7" s="73"/>
      <c r="AR7" s="73"/>
    </row>
    <row r="8" spans="1:52" s="143" customFormat="1" ht="15" customHeight="1">
      <c r="A8" s="133"/>
      <c r="B8" s="46"/>
      <c r="C8" s="11"/>
      <c r="D8" s="11"/>
      <c r="E8" s="34"/>
      <c r="F8" s="11"/>
      <c r="G8" s="11"/>
      <c r="H8" s="17"/>
      <c r="I8" s="11"/>
      <c r="J8" s="11"/>
      <c r="K8" s="11"/>
      <c r="L8" s="47"/>
      <c r="W8" s="248"/>
      <c r="Y8" s="248"/>
      <c r="Z8" s="137"/>
      <c r="AB8" s="248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6"/>
      <c r="AQ8" s="73"/>
      <c r="AR8" s="73"/>
    </row>
    <row r="9" spans="1:52" ht="15" customHeight="1">
      <c r="A9" s="8"/>
      <c r="B9" s="39" t="s">
        <v>814</v>
      </c>
      <c r="C9" s="9"/>
      <c r="D9" s="9"/>
      <c r="E9" s="33"/>
      <c r="F9" s="9"/>
      <c r="G9" s="9"/>
      <c r="H9" s="18"/>
      <c r="I9" s="9"/>
      <c r="J9" s="9"/>
      <c r="K9" s="9"/>
      <c r="L9" s="44"/>
      <c r="O9" s="143"/>
      <c r="P9" s="143"/>
      <c r="Q9" s="143"/>
      <c r="R9" s="143"/>
      <c r="W9" s="30"/>
      <c r="X9" s="3"/>
      <c r="Y9" s="30"/>
      <c r="Z9" s="3"/>
      <c r="AB9" s="30"/>
      <c r="AC9" s="73"/>
      <c r="AP9" s="76"/>
      <c r="AS9" s="3"/>
    </row>
    <row r="10" spans="1:52" ht="15" customHeight="1">
      <c r="A10" s="8"/>
      <c r="B10" s="37"/>
      <c r="C10" s="9"/>
      <c r="D10" s="9"/>
      <c r="E10" s="33" t="s">
        <v>206</v>
      </c>
      <c r="F10" s="9"/>
      <c r="G10" s="9"/>
      <c r="H10" s="18"/>
      <c r="I10" s="31" t="s">
        <v>496</v>
      </c>
      <c r="J10" s="9"/>
      <c r="K10" s="9"/>
      <c r="L10" s="38" t="s">
        <v>208</v>
      </c>
      <c r="O10" s="143"/>
      <c r="P10" s="143"/>
      <c r="Q10" s="143"/>
      <c r="R10" s="143"/>
      <c r="W10" s="30"/>
      <c r="X10" s="3"/>
      <c r="Y10" s="30"/>
      <c r="Z10" s="3"/>
      <c r="AB10" s="30"/>
      <c r="AC10" s="73"/>
      <c r="AM10" s="505"/>
      <c r="AP10" s="76"/>
      <c r="AS10" s="3"/>
    </row>
    <row r="11" spans="1:52" s="143" customFormat="1" ht="15" customHeight="1">
      <c r="A11" s="133"/>
      <c r="B11" s="252" t="s">
        <v>487</v>
      </c>
      <c r="C11" s="9"/>
      <c r="D11" s="9"/>
      <c r="E11" s="33"/>
      <c r="F11" s="9"/>
      <c r="G11" s="9"/>
      <c r="H11" s="18"/>
      <c r="I11" s="9"/>
      <c r="J11" s="9"/>
      <c r="K11" s="9"/>
      <c r="L11" s="38"/>
      <c r="W11" s="248"/>
      <c r="Y11" s="248"/>
      <c r="AB11" s="248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505"/>
      <c r="AN11" s="73"/>
      <c r="AO11" s="73"/>
      <c r="AP11" s="76"/>
      <c r="AQ11" s="73"/>
      <c r="AR11" s="73"/>
    </row>
    <row r="12" spans="1:52" s="143" customFormat="1" ht="15" customHeight="1">
      <c r="A12" s="133"/>
      <c r="B12" s="292"/>
      <c r="C12" s="11"/>
      <c r="D12" s="11"/>
      <c r="E12" s="34"/>
      <c r="F12" s="11"/>
      <c r="G12" s="11"/>
      <c r="H12" s="17"/>
      <c r="I12" s="11"/>
      <c r="J12" s="11"/>
      <c r="K12" s="11"/>
      <c r="L12" s="236"/>
      <c r="W12" s="289"/>
      <c r="Y12" s="289"/>
      <c r="AB12" s="289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505"/>
      <c r="AN12" s="73"/>
      <c r="AO12" s="73"/>
      <c r="AP12" s="76"/>
      <c r="AQ12" s="73"/>
      <c r="AR12" s="73"/>
    </row>
    <row r="13" spans="1:52" s="143" customFormat="1" ht="15" customHeight="1">
      <c r="A13" s="133"/>
      <c r="B13" s="39" t="s">
        <v>661</v>
      </c>
      <c r="C13" s="9"/>
      <c r="D13" s="9"/>
      <c r="E13" s="33"/>
      <c r="F13" s="9"/>
      <c r="G13" s="9"/>
      <c r="H13" s="18"/>
      <c r="I13" s="9"/>
      <c r="J13" s="9"/>
      <c r="K13" s="9"/>
      <c r="L13" s="44"/>
      <c r="W13" s="289"/>
      <c r="Y13" s="289"/>
      <c r="AB13" s="289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6"/>
      <c r="AQ13" s="73"/>
      <c r="AR13" s="73"/>
    </row>
    <row r="14" spans="1:52" s="143" customFormat="1" ht="15" customHeight="1">
      <c r="A14" s="133"/>
      <c r="B14" s="37"/>
      <c r="C14" s="9"/>
      <c r="D14" s="9"/>
      <c r="E14" s="33" t="s">
        <v>662</v>
      </c>
      <c r="F14" s="9"/>
      <c r="G14" s="9"/>
      <c r="H14" s="18"/>
      <c r="I14" s="31" t="s">
        <v>448</v>
      </c>
      <c r="J14" s="9"/>
      <c r="K14" s="9"/>
      <c r="L14" s="38"/>
      <c r="W14" s="289"/>
      <c r="Y14" s="289"/>
      <c r="AB14" s="289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505"/>
      <c r="AN14" s="73"/>
      <c r="AO14" s="73"/>
      <c r="AP14" s="76"/>
      <c r="AQ14" s="73"/>
      <c r="AR14" s="73"/>
    </row>
    <row r="15" spans="1:52" ht="15" customHeight="1" thickBot="1">
      <c r="A15" s="8"/>
      <c r="B15" s="40"/>
      <c r="C15" s="41"/>
      <c r="D15" s="41"/>
      <c r="E15" s="41"/>
      <c r="F15" s="41"/>
      <c r="G15" s="41"/>
      <c r="H15" s="42"/>
      <c r="I15" s="41"/>
      <c r="J15" s="41"/>
      <c r="K15" s="41"/>
      <c r="L15" s="45"/>
      <c r="O15" s="143"/>
      <c r="P15" s="143"/>
      <c r="Q15" s="143"/>
      <c r="R15" s="143"/>
      <c r="V15" s="5"/>
      <c r="W15" s="50"/>
      <c r="X15" s="5"/>
      <c r="Y15" s="50"/>
      <c r="Z15" s="5"/>
      <c r="AA15" s="5"/>
      <c r="AB15" s="50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269"/>
      <c r="AN15" s="122"/>
      <c r="AO15" s="122"/>
      <c r="AP15" s="74"/>
      <c r="AQ15" s="122"/>
      <c r="AR15" s="122"/>
      <c r="AS15" s="5"/>
      <c r="AT15" s="5"/>
      <c r="AU15" s="5"/>
      <c r="AV15" s="5"/>
      <c r="AW15" s="5"/>
      <c r="AX15" s="5"/>
      <c r="AY15" s="5"/>
    </row>
    <row r="16" spans="1:52" ht="15" customHeight="1">
      <c r="K16" s="5"/>
      <c r="L16" s="50"/>
      <c r="M16" s="5"/>
      <c r="N16" s="5"/>
      <c r="O16" s="5"/>
      <c r="P16" s="143"/>
      <c r="Q16" s="143"/>
      <c r="R16" s="143"/>
      <c r="S16" s="143"/>
      <c r="T16" s="5"/>
      <c r="U16" s="5"/>
      <c r="V16" s="5"/>
      <c r="W16" s="5"/>
      <c r="X16" s="50"/>
      <c r="Y16" s="5"/>
      <c r="Z16" s="50"/>
      <c r="AA16" s="5"/>
      <c r="AB16" s="5"/>
      <c r="AC16" s="50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269"/>
      <c r="AO16" s="122"/>
      <c r="AP16" s="122"/>
      <c r="AQ16" s="74"/>
      <c r="AR16" s="122"/>
      <c r="AS16" s="122"/>
      <c r="AT16" s="5"/>
      <c r="AU16" s="5"/>
      <c r="AV16" s="5"/>
      <c r="AW16" s="5"/>
      <c r="AX16" s="5"/>
      <c r="AY16" s="5"/>
      <c r="AZ16" s="5"/>
    </row>
    <row r="17" spans="1:52" s="143" customFormat="1" ht="15" customHeight="1">
      <c r="K17" s="170"/>
      <c r="L17" s="309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309"/>
      <c r="Y17" s="170"/>
      <c r="Z17" s="309"/>
      <c r="AA17" s="170"/>
      <c r="AB17" s="170"/>
      <c r="AC17" s="309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269"/>
      <c r="AO17" s="122"/>
      <c r="AP17" s="122"/>
      <c r="AQ17" s="74"/>
      <c r="AR17" s="122"/>
      <c r="AS17" s="122"/>
      <c r="AT17" s="170"/>
      <c r="AU17" s="170"/>
      <c r="AV17" s="170"/>
      <c r="AW17" s="170"/>
      <c r="AX17" s="170"/>
      <c r="AY17" s="170"/>
      <c r="AZ17" s="170"/>
    </row>
    <row r="18" spans="1:52" s="143" customFormat="1" ht="15" customHeight="1">
      <c r="A18" s="296" t="s">
        <v>815</v>
      </c>
      <c r="K18" s="170"/>
      <c r="L18" s="288"/>
      <c r="M18" s="137" t="s">
        <v>819</v>
      </c>
      <c r="Q18" s="170"/>
      <c r="R18" s="170"/>
      <c r="S18" s="170"/>
      <c r="T18" s="170"/>
      <c r="U18" s="170"/>
      <c r="V18" s="170"/>
      <c r="W18" s="170"/>
      <c r="X18" s="288"/>
      <c r="Y18" s="170"/>
      <c r="Z18" s="288"/>
      <c r="AB18" s="170"/>
      <c r="AC18" s="288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269"/>
      <c r="AO18" s="122"/>
      <c r="AP18" s="122"/>
      <c r="AQ18" s="74"/>
      <c r="AR18" s="122"/>
      <c r="AS18" s="122"/>
      <c r="AT18" s="170"/>
      <c r="AU18" s="170"/>
      <c r="AV18" s="170"/>
      <c r="AW18" s="170"/>
      <c r="AX18" s="170"/>
      <c r="AY18" s="170"/>
      <c r="AZ18" s="170"/>
    </row>
    <row r="19" spans="1:52" s="143" customFormat="1" ht="15" customHeight="1">
      <c r="A19" s="296"/>
      <c r="D19" s="147" t="s">
        <v>205</v>
      </c>
      <c r="K19" s="170"/>
      <c r="L19" s="288"/>
      <c r="M19" s="170"/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288"/>
      <c r="Y19" s="170"/>
      <c r="Z19" s="288"/>
      <c r="AA19" s="170"/>
      <c r="AB19" s="170"/>
      <c r="AC19" s="288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269"/>
      <c r="AO19" s="122"/>
      <c r="AP19" s="122"/>
      <c r="AQ19" s="74"/>
      <c r="AR19" s="122"/>
      <c r="AS19" s="122"/>
      <c r="AT19" s="170"/>
      <c r="AU19" s="170"/>
      <c r="AV19" s="170"/>
      <c r="AW19" s="170"/>
      <c r="AX19" s="170"/>
      <c r="AY19" s="170"/>
      <c r="AZ19" s="170"/>
    </row>
    <row r="20" spans="1:52" s="143" customFormat="1" ht="15" customHeight="1">
      <c r="A20" s="296"/>
      <c r="K20" s="170"/>
      <c r="L20" s="288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288"/>
      <c r="Y20" s="170"/>
      <c r="Z20" s="288"/>
      <c r="AA20" s="170"/>
      <c r="AB20" s="170"/>
      <c r="AC20" s="288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269"/>
      <c r="AO20" s="122"/>
      <c r="AP20" s="122"/>
      <c r="AQ20" s="74"/>
      <c r="AR20" s="122"/>
      <c r="AS20" s="122"/>
      <c r="AT20" s="170"/>
      <c r="AU20" s="170"/>
      <c r="AV20" s="170"/>
      <c r="AW20" s="170"/>
      <c r="AX20" s="170"/>
      <c r="AY20" s="170"/>
      <c r="AZ20" s="170"/>
    </row>
    <row r="21" spans="1:52" s="143" customFormat="1" ht="15" customHeight="1">
      <c r="B21" s="143" t="s">
        <v>668</v>
      </c>
      <c r="K21" s="170"/>
      <c r="L21" s="288"/>
      <c r="M21" s="170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288"/>
      <c r="Y21" s="170"/>
      <c r="Z21" s="288"/>
      <c r="AA21" s="170"/>
      <c r="AB21" s="170"/>
      <c r="AC21" s="288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269"/>
      <c r="AO21" s="122"/>
      <c r="AP21" s="122"/>
      <c r="AQ21" s="74"/>
      <c r="AR21" s="122"/>
      <c r="AS21" s="122"/>
      <c r="AT21" s="170"/>
      <c r="AU21" s="170"/>
      <c r="AV21" s="170"/>
      <c r="AW21" s="170"/>
      <c r="AX21" s="170"/>
      <c r="AY21" s="170"/>
      <c r="AZ21" s="170"/>
    </row>
    <row r="22" spans="1:52" s="143" customFormat="1" ht="15" customHeight="1">
      <c r="B22" s="19"/>
      <c r="C22" s="5" t="s">
        <v>490</v>
      </c>
      <c r="D22" s="138" t="s">
        <v>489</v>
      </c>
      <c r="E22" s="170" t="s">
        <v>821</v>
      </c>
      <c r="K22" s="170"/>
      <c r="L22" s="247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247"/>
      <c r="Y22" s="170"/>
      <c r="Z22" s="247"/>
      <c r="AA22" s="170"/>
      <c r="AB22" s="170"/>
      <c r="AC22" s="247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269"/>
      <c r="AO22" s="122"/>
      <c r="AP22" s="122"/>
      <c r="AQ22" s="74"/>
      <c r="AR22" s="122"/>
      <c r="AS22" s="122"/>
      <c r="AT22" s="170"/>
      <c r="AU22" s="170"/>
      <c r="AV22" s="170"/>
      <c r="AW22" s="170"/>
      <c r="AX22" s="170"/>
      <c r="AY22" s="170"/>
      <c r="AZ22" s="170"/>
    </row>
    <row r="23" spans="1:52" s="143" customFormat="1" ht="15" customHeight="1">
      <c r="B23" s="139"/>
      <c r="C23" s="170" t="s">
        <v>823</v>
      </c>
      <c r="D23" s="138" t="s">
        <v>324</v>
      </c>
      <c r="E23" s="170" t="s">
        <v>822</v>
      </c>
      <c r="K23" s="170"/>
      <c r="L23" s="309"/>
      <c r="M23" s="170"/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309"/>
      <c r="Y23" s="170"/>
      <c r="Z23" s="309"/>
      <c r="AA23" s="170"/>
      <c r="AB23" s="170"/>
      <c r="AC23" s="309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269"/>
      <c r="AO23" s="122"/>
      <c r="AP23" s="122"/>
      <c r="AQ23" s="74"/>
      <c r="AR23" s="122"/>
      <c r="AS23" s="122"/>
      <c r="AT23" s="170"/>
      <c r="AU23" s="170"/>
      <c r="AV23" s="170"/>
      <c r="AW23" s="170"/>
      <c r="AX23" s="170"/>
      <c r="AY23" s="170"/>
      <c r="AZ23" s="170"/>
    </row>
    <row r="24" spans="1:52" s="143" customFormat="1" ht="15" customHeight="1">
      <c r="B24" s="139"/>
      <c r="C24" s="170"/>
      <c r="E24" s="138"/>
      <c r="G24" s="170"/>
      <c r="H24" s="170"/>
      <c r="I24" s="170"/>
      <c r="J24" s="170"/>
      <c r="K24" s="170"/>
      <c r="L24" s="247"/>
      <c r="M24" s="170"/>
      <c r="N24" s="170"/>
      <c r="O24" s="170"/>
      <c r="P24" s="170"/>
      <c r="Q24" s="170"/>
      <c r="R24" s="170"/>
      <c r="S24" s="170"/>
      <c r="T24" s="170"/>
      <c r="U24" s="170"/>
      <c r="V24" s="170"/>
      <c r="W24" s="170"/>
      <c r="X24" s="247"/>
      <c r="Y24" s="170"/>
      <c r="Z24" s="247"/>
      <c r="AA24" s="170"/>
      <c r="AC24" s="248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505"/>
      <c r="AO24" s="73"/>
      <c r="AP24" s="73"/>
      <c r="AQ24" s="76"/>
      <c r="AR24" s="73"/>
      <c r="AS24" s="73"/>
    </row>
    <row r="25" spans="1:52" s="143" customFormat="1" ht="15" customHeight="1" thickBot="1">
      <c r="A25" s="468" t="s">
        <v>1644</v>
      </c>
      <c r="B25" s="138"/>
      <c r="D25" s="170"/>
      <c r="E25" s="170"/>
      <c r="F25" s="170"/>
      <c r="G25" s="170"/>
      <c r="H25" s="170"/>
      <c r="I25" s="465"/>
      <c r="J25" s="170"/>
      <c r="K25" s="170"/>
      <c r="O25" s="170"/>
      <c r="P25" s="170"/>
      <c r="Q25" s="170"/>
      <c r="R25" s="170"/>
      <c r="S25" s="170"/>
      <c r="T25" s="170"/>
      <c r="U25" s="170"/>
      <c r="V25" s="170"/>
      <c r="W25" s="170"/>
      <c r="X25" s="465"/>
      <c r="Y25" s="170"/>
      <c r="Z25" s="465"/>
      <c r="AA25" s="170"/>
      <c r="AC25" s="466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505"/>
      <c r="AO25" s="73"/>
      <c r="AP25" s="73"/>
      <c r="AQ25" s="76"/>
      <c r="AR25" s="73"/>
      <c r="AS25" s="73"/>
    </row>
    <row r="26" spans="1:52" s="143" customFormat="1" ht="15" customHeight="1">
      <c r="A26" s="535" t="s">
        <v>16</v>
      </c>
      <c r="B26" s="536" t="s">
        <v>816</v>
      </c>
      <c r="C26" s="672"/>
      <c r="D26" s="681" t="s">
        <v>138</v>
      </c>
      <c r="E26" s="681"/>
      <c r="F26" s="1918" t="s">
        <v>491</v>
      </c>
      <c r="G26" s="1919"/>
      <c r="H26" s="536" t="s">
        <v>395</v>
      </c>
      <c r="I26" s="536" t="s">
        <v>494</v>
      </c>
      <c r="J26" s="536" t="s">
        <v>818</v>
      </c>
      <c r="K26" s="478" t="s">
        <v>498</v>
      </c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</row>
    <row r="27" spans="1:52" s="143" customFormat="1" ht="15" customHeight="1">
      <c r="A27" s="537"/>
      <c r="B27" s="262" t="s">
        <v>817</v>
      </c>
      <c r="C27" s="162"/>
      <c r="D27" s="679"/>
      <c r="E27" s="679"/>
      <c r="F27" s="262" t="s">
        <v>492</v>
      </c>
      <c r="G27" s="262" t="s">
        <v>493</v>
      </c>
      <c r="H27" s="262"/>
      <c r="I27" s="262"/>
      <c r="J27" s="687"/>
      <c r="K27" s="690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</row>
    <row r="28" spans="1:52" s="143" customFormat="1" ht="15" customHeight="1">
      <c r="A28" s="579" t="str">
        <f>+input!B3</f>
        <v>101i</v>
      </c>
      <c r="B28" s="538" t="str">
        <f>ULS!B434</f>
        <v>Negative</v>
      </c>
      <c r="C28" s="674"/>
      <c r="D28" s="115" t="str">
        <f>ULS!L1101</f>
        <v>-</v>
      </c>
      <c r="E28" s="115"/>
      <c r="F28" s="538">
        <f>Stress!J832</f>
        <v>2.4486449175564252E-4</v>
      </c>
      <c r="G28" s="538">
        <f>Stress!K832</f>
        <v>-2.1058754536361785E-4</v>
      </c>
      <c r="H28" s="538">
        <f>ULS!L900</f>
        <v>0.99877645922455283</v>
      </c>
      <c r="I28" s="538">
        <f>0.95*H28*input!BI3</f>
        <v>360.55830178006357</v>
      </c>
      <c r="J28" s="686" t="str">
        <f t="shared" ref="J28:J59" si="0">IF(AND(D28="compact",F28&lt;=0),IF(MAX(ABS(F28),ABS(F28))&lt;=I28,"OK","NG"),"-")</f>
        <v>-</v>
      </c>
      <c r="K28" s="691" t="str">
        <f t="shared" ref="K28:K59" si="1">IF(AND(D28="compact",F28&lt;=0),I28/MAX(ABS(F28),ABS(F28)),"-")</f>
        <v>-</v>
      </c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</row>
    <row r="29" spans="1:52" s="143" customFormat="1" ht="15" customHeight="1">
      <c r="A29" s="579" t="str">
        <f>+input!B4</f>
        <v>101j</v>
      </c>
      <c r="B29" s="538" t="str">
        <f>ULS!B435</f>
        <v>Negative</v>
      </c>
      <c r="C29" s="674"/>
      <c r="D29" s="115" t="str">
        <f>ULS!L1102</f>
        <v>-</v>
      </c>
      <c r="E29" s="115"/>
      <c r="F29" s="538">
        <f>Stress!J833</f>
        <v>1.7062754294474489</v>
      </c>
      <c r="G29" s="538">
        <f>Stress!K833</f>
        <v>-1.904752526946053</v>
      </c>
      <c r="H29" s="538">
        <f>ULS!L901</f>
        <v>0.99877645922455283</v>
      </c>
      <c r="I29" s="538">
        <f>0.95*H29*input!BI4</f>
        <v>360.55830178006357</v>
      </c>
      <c r="J29" s="686" t="str">
        <f t="shared" si="0"/>
        <v>-</v>
      </c>
      <c r="K29" s="691" t="str">
        <f t="shared" si="1"/>
        <v>-</v>
      </c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</row>
    <row r="30" spans="1:52" s="143" customFormat="1" ht="15" customHeight="1">
      <c r="A30" s="579" t="str">
        <f>+input!B5</f>
        <v>102i</v>
      </c>
      <c r="B30" s="538" t="str">
        <f>ULS!B436</f>
        <v>Negative</v>
      </c>
      <c r="C30" s="674"/>
      <c r="D30" s="115" t="str">
        <f>ULS!L1103</f>
        <v>-</v>
      </c>
      <c r="E30" s="115"/>
      <c r="F30" s="538">
        <f>Stress!J834</f>
        <v>1.7063338357277509</v>
      </c>
      <c r="G30" s="538">
        <f>Stress!K834</f>
        <v>-1.9047898522748292</v>
      </c>
      <c r="H30" s="538">
        <f>ULS!L902</f>
        <v>0.99877645922455283</v>
      </c>
      <c r="I30" s="538">
        <f>0.95*H30*input!BI5</f>
        <v>360.55830178006357</v>
      </c>
      <c r="J30" s="686" t="str">
        <f t="shared" si="0"/>
        <v>-</v>
      </c>
      <c r="K30" s="691" t="str">
        <f t="shared" si="1"/>
        <v>-</v>
      </c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</row>
    <row r="31" spans="1:52" s="143" customFormat="1" ht="15" customHeight="1">
      <c r="A31" s="579" t="str">
        <f>+input!B6</f>
        <v>102j</v>
      </c>
      <c r="B31" s="538" t="str">
        <f>ULS!B437</f>
        <v>Positive</v>
      </c>
      <c r="C31" s="674"/>
      <c r="D31" s="115" t="str">
        <f>ULS!L1104</f>
        <v>noncompact</v>
      </c>
      <c r="E31" s="115"/>
      <c r="F31" s="538">
        <f>Stress!J835</f>
        <v>-71.334950875146163</v>
      </c>
      <c r="G31" s="538">
        <f>Stress!K835</f>
        <v>98.015377329802618</v>
      </c>
      <c r="H31" s="538">
        <f>ULS!L903</f>
        <v>0.99821981651945046</v>
      </c>
      <c r="I31" s="538">
        <f>0.95*H31*input!BI6</f>
        <v>360.35735376352159</v>
      </c>
      <c r="J31" s="686" t="str">
        <f t="shared" si="0"/>
        <v>-</v>
      </c>
      <c r="K31" s="692" t="str">
        <f t="shared" si="1"/>
        <v>-</v>
      </c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</row>
    <row r="32" spans="1:52" s="143" customFormat="1" ht="15" customHeight="1">
      <c r="A32" s="579" t="str">
        <f>+input!B7</f>
        <v>103i</v>
      </c>
      <c r="B32" s="538" t="str">
        <f>ULS!B438</f>
        <v>Positive</v>
      </c>
      <c r="C32" s="674"/>
      <c r="D32" s="115" t="str">
        <f>ULS!L1105</f>
        <v>noncompact</v>
      </c>
      <c r="E32" s="115"/>
      <c r="F32" s="538">
        <f>Stress!J836</f>
        <v>-53.617563055074484</v>
      </c>
      <c r="G32" s="538">
        <f>Stress!K836</f>
        <v>70.457604527347627</v>
      </c>
      <c r="H32" s="538">
        <f>ULS!L904</f>
        <v>0.99864955025098268</v>
      </c>
      <c r="I32" s="538">
        <f>0.95*H32*input!BI7</f>
        <v>360.51248764060472</v>
      </c>
      <c r="J32" s="686" t="str">
        <f t="shared" si="0"/>
        <v>-</v>
      </c>
      <c r="K32" s="692" t="str">
        <f t="shared" si="1"/>
        <v>-</v>
      </c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</row>
    <row r="33" spans="1:37" s="143" customFormat="1" ht="15" customHeight="1">
      <c r="A33" s="579" t="str">
        <f>+input!B8</f>
        <v>103j</v>
      </c>
      <c r="B33" s="538" t="str">
        <f>ULS!B439</f>
        <v>Positive</v>
      </c>
      <c r="C33" s="674"/>
      <c r="D33" s="115" t="str">
        <f>ULS!L1106</f>
        <v>noncompact</v>
      </c>
      <c r="E33" s="115"/>
      <c r="F33" s="538">
        <f>Stress!J837</f>
        <v>-121.45895167896074</v>
      </c>
      <c r="G33" s="538">
        <f>Stress!K837</f>
        <v>159.06351154993905</v>
      </c>
      <c r="H33" s="538">
        <f>ULS!L905</f>
        <v>0.99864955025098268</v>
      </c>
      <c r="I33" s="538">
        <f>0.95*H33*input!BI8</f>
        <v>360.51248764060472</v>
      </c>
      <c r="J33" s="686" t="str">
        <f t="shared" si="0"/>
        <v>-</v>
      </c>
      <c r="K33" s="692" t="str">
        <f t="shared" si="1"/>
        <v>-</v>
      </c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</row>
    <row r="34" spans="1:37" s="143" customFormat="1" ht="15" customHeight="1">
      <c r="A34" s="579" t="str">
        <f>+input!B9</f>
        <v>104i</v>
      </c>
      <c r="B34" s="538" t="str">
        <f>ULS!B440</f>
        <v>Positive</v>
      </c>
      <c r="C34" s="674"/>
      <c r="D34" s="115" t="str">
        <f>ULS!L1107</f>
        <v>noncompact</v>
      </c>
      <c r="E34" s="115"/>
      <c r="F34" s="538">
        <f>Stress!J838</f>
        <v>-121.45865651548422</v>
      </c>
      <c r="G34" s="538">
        <f>Stress!K838</f>
        <v>159.06324574638279</v>
      </c>
      <c r="H34" s="538">
        <f>ULS!L906</f>
        <v>0.99864955025098268</v>
      </c>
      <c r="I34" s="538">
        <f>0.95*H34*input!BI9</f>
        <v>360.51248764060472</v>
      </c>
      <c r="J34" s="686" t="str">
        <f t="shared" si="0"/>
        <v>-</v>
      </c>
      <c r="K34" s="692" t="str">
        <f t="shared" si="1"/>
        <v>-</v>
      </c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</row>
    <row r="35" spans="1:37" s="143" customFormat="1" ht="15" customHeight="1">
      <c r="A35" s="579" t="str">
        <f>+input!B10</f>
        <v>104j</v>
      </c>
      <c r="B35" s="538" t="str">
        <f>ULS!B441</f>
        <v>Positive</v>
      </c>
      <c r="C35" s="674"/>
      <c r="D35" s="115" t="str">
        <f>ULS!L1108</f>
        <v>noncompact</v>
      </c>
      <c r="E35" s="115"/>
      <c r="F35" s="538">
        <f>Stress!J839</f>
        <v>-197.31102157532837</v>
      </c>
      <c r="G35" s="538">
        <f>Stress!K839</f>
        <v>257.38275800703201</v>
      </c>
      <c r="H35" s="538">
        <f>ULS!L907</f>
        <v>0.99864955025098268</v>
      </c>
      <c r="I35" s="538">
        <f>0.95*H35*input!BI10</f>
        <v>360.51248764060472</v>
      </c>
      <c r="J35" s="686" t="str">
        <f t="shared" si="0"/>
        <v>-</v>
      </c>
      <c r="K35" s="692" t="str">
        <f t="shared" si="1"/>
        <v>-</v>
      </c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</row>
    <row r="36" spans="1:37" s="143" customFormat="1" ht="15" customHeight="1">
      <c r="A36" s="579" t="str">
        <f>+input!B11</f>
        <v>105i</v>
      </c>
      <c r="B36" s="538" t="str">
        <f>ULS!B442</f>
        <v>Positive</v>
      </c>
      <c r="C36" s="674"/>
      <c r="D36" s="115" t="str">
        <f>ULS!L1109</f>
        <v>noncompact</v>
      </c>
      <c r="E36" s="115"/>
      <c r="F36" s="538">
        <f>Stress!J840</f>
        <v>-163.61278114435103</v>
      </c>
      <c r="G36" s="538">
        <f>Stress!K840</f>
        <v>168.77258855260271</v>
      </c>
      <c r="H36" s="538">
        <f>ULS!L908</f>
        <v>0.99925469424550584</v>
      </c>
      <c r="I36" s="538">
        <f>0.95*H36*input!BI11</f>
        <v>360.73094462262759</v>
      </c>
      <c r="J36" s="686" t="str">
        <f t="shared" si="0"/>
        <v>-</v>
      </c>
      <c r="K36" s="692" t="str">
        <f t="shared" si="1"/>
        <v>-</v>
      </c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</row>
    <row r="37" spans="1:37" s="143" customFormat="1" ht="15" customHeight="1">
      <c r="A37" s="579" t="str">
        <f>+input!B12</f>
        <v>105j</v>
      </c>
      <c r="B37" s="538" t="str">
        <f>ULS!B443</f>
        <v>Positive</v>
      </c>
      <c r="C37" s="674"/>
      <c r="D37" s="115" t="str">
        <f>ULS!L1110</f>
        <v>noncompact</v>
      </c>
      <c r="E37" s="115"/>
      <c r="F37" s="538">
        <f>Stress!J841</f>
        <v>-215.22779506293875</v>
      </c>
      <c r="G37" s="538">
        <f>Stress!K841</f>
        <v>221.39619707712728</v>
      </c>
      <c r="H37" s="538">
        <f>ULS!L909</f>
        <v>0.99925469424550584</v>
      </c>
      <c r="I37" s="538">
        <f>0.95*H37*input!BI12</f>
        <v>360.73094462262759</v>
      </c>
      <c r="J37" s="686" t="str">
        <f t="shared" si="0"/>
        <v>-</v>
      </c>
      <c r="K37" s="692" t="str">
        <f t="shared" si="1"/>
        <v>-</v>
      </c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</row>
    <row r="38" spans="1:37" s="143" customFormat="1" ht="15" customHeight="1">
      <c r="A38" s="579" t="str">
        <f>+input!B13</f>
        <v>106i</v>
      </c>
      <c r="B38" s="538" t="str">
        <f>ULS!B444</f>
        <v>Positive</v>
      </c>
      <c r="C38" s="674"/>
      <c r="D38" s="115" t="str">
        <f>ULS!L1111</f>
        <v>noncompact</v>
      </c>
      <c r="E38" s="115"/>
      <c r="F38" s="538">
        <f>Stress!J842</f>
        <v>-215.22734501056041</v>
      </c>
      <c r="G38" s="538">
        <f>Stress!K842</f>
        <v>221.39590913479728</v>
      </c>
      <c r="H38" s="538">
        <f>ULS!L910</f>
        <v>0.99925469424550584</v>
      </c>
      <c r="I38" s="538">
        <f>0.95*H38*input!BI13</f>
        <v>360.73094462262759</v>
      </c>
      <c r="J38" s="686" t="str">
        <f t="shared" si="0"/>
        <v>-</v>
      </c>
      <c r="K38" s="692" t="str">
        <f t="shared" si="1"/>
        <v>-</v>
      </c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</row>
    <row r="39" spans="1:37" s="143" customFormat="1" ht="15" customHeight="1">
      <c r="A39" s="579" t="str">
        <f>+input!B14</f>
        <v>106j</v>
      </c>
      <c r="B39" s="538" t="str">
        <f>ULS!B445</f>
        <v>Positive</v>
      </c>
      <c r="C39" s="674"/>
      <c r="D39" s="115" t="str">
        <f>ULS!L1112</f>
        <v>noncompact</v>
      </c>
      <c r="E39" s="115"/>
      <c r="F39" s="538">
        <f>Stress!J843</f>
        <v>-250.93902701526093</v>
      </c>
      <c r="G39" s="538">
        <f>Stress!K843</f>
        <v>257.56235405558527</v>
      </c>
      <c r="H39" s="538">
        <f>ULS!L911</f>
        <v>0.99925469424550584</v>
      </c>
      <c r="I39" s="538">
        <f>0.95*H39*input!BI14</f>
        <v>360.73094462262759</v>
      </c>
      <c r="J39" s="686" t="str">
        <f t="shared" si="0"/>
        <v>-</v>
      </c>
      <c r="K39" s="692" t="str">
        <f t="shared" si="1"/>
        <v>-</v>
      </c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</row>
    <row r="40" spans="1:37" s="143" customFormat="1" ht="15" customHeight="1">
      <c r="A40" s="579" t="str">
        <f>+input!B15</f>
        <v>107i</v>
      </c>
      <c r="B40" s="538" t="str">
        <f>ULS!B446</f>
        <v>Positive</v>
      </c>
      <c r="C40" s="674"/>
      <c r="D40" s="115" t="str">
        <f>ULS!L1113</f>
        <v>noncompact</v>
      </c>
      <c r="E40" s="115"/>
      <c r="F40" s="538">
        <f>Stress!J844</f>
        <v>-216.32051451662332</v>
      </c>
      <c r="G40" s="538">
        <f>Stress!K844</f>
        <v>225.65911578894838</v>
      </c>
      <c r="H40" s="538">
        <f>ULS!L912</f>
        <v>0.99936678944932145</v>
      </c>
      <c r="I40" s="538">
        <f>0.95*H40*input!BI15</f>
        <v>360.77141099120502</v>
      </c>
      <c r="J40" s="686" t="str">
        <f t="shared" si="0"/>
        <v>-</v>
      </c>
      <c r="K40" s="692" t="str">
        <f t="shared" si="1"/>
        <v>-</v>
      </c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</row>
    <row r="41" spans="1:37" s="143" customFormat="1" ht="15" customHeight="1">
      <c r="A41" s="579" t="str">
        <f>+input!B16</f>
        <v>107j</v>
      </c>
      <c r="B41" s="538" t="str">
        <f>ULS!B447</f>
        <v>Positive</v>
      </c>
      <c r="C41" s="674"/>
      <c r="D41" s="115" t="str">
        <f>ULS!L1114</f>
        <v>noncompact</v>
      </c>
      <c r="E41" s="115"/>
      <c r="F41" s="538">
        <f>Stress!J845</f>
        <v>-237.1581910995456</v>
      </c>
      <c r="G41" s="538">
        <f>Stress!K845</f>
        <v>247.50325153057574</v>
      </c>
      <c r="H41" s="538">
        <f>ULS!L913</f>
        <v>0.99936678944932145</v>
      </c>
      <c r="I41" s="538">
        <f>0.95*H41*input!BI16</f>
        <v>360.77141099120502</v>
      </c>
      <c r="J41" s="686" t="str">
        <f t="shared" si="0"/>
        <v>-</v>
      </c>
      <c r="K41" s="692" t="str">
        <f t="shared" si="1"/>
        <v>-</v>
      </c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</row>
    <row r="42" spans="1:37" s="143" customFormat="1" ht="15" customHeight="1">
      <c r="A42" s="579" t="str">
        <f>+input!B17</f>
        <v>108i</v>
      </c>
      <c r="B42" s="538" t="str">
        <f>ULS!B448</f>
        <v>Positive</v>
      </c>
      <c r="C42" s="674"/>
      <c r="D42" s="115" t="str">
        <f>ULS!L1115</f>
        <v>noncompact</v>
      </c>
      <c r="E42" s="115"/>
      <c r="F42" s="538">
        <f>Stress!J846</f>
        <v>-237.15784186006064</v>
      </c>
      <c r="G42" s="538">
        <f>Stress!K846</f>
        <v>247.50291088227388</v>
      </c>
      <c r="H42" s="538">
        <f>ULS!L914</f>
        <v>0.99936678944932145</v>
      </c>
      <c r="I42" s="538">
        <f>0.95*H42*input!BI17</f>
        <v>360.77141099120502</v>
      </c>
      <c r="J42" s="686" t="str">
        <f t="shared" si="0"/>
        <v>-</v>
      </c>
      <c r="K42" s="692" t="str">
        <f t="shared" si="1"/>
        <v>-</v>
      </c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</row>
    <row r="43" spans="1:37" s="143" customFormat="1" ht="15" customHeight="1">
      <c r="A43" s="579" t="str">
        <f>+input!B18</f>
        <v>108j</v>
      </c>
      <c r="B43" s="538" t="str">
        <f>ULS!B449</f>
        <v>Positive</v>
      </c>
      <c r="C43" s="674"/>
      <c r="D43" s="115" t="str">
        <f>ULS!L1116</f>
        <v>noncompact</v>
      </c>
      <c r="E43" s="115"/>
      <c r="F43" s="538">
        <f>Stress!J847</f>
        <v>-243.74663791112033</v>
      </c>
      <c r="G43" s="538">
        <f>Stress!K847</f>
        <v>254.54673706927233</v>
      </c>
      <c r="H43" s="538">
        <f>ULS!L915</f>
        <v>0.99936678944932145</v>
      </c>
      <c r="I43" s="538">
        <f>0.95*H43*input!BI18</f>
        <v>360.77141099120502</v>
      </c>
      <c r="J43" s="686" t="str">
        <f t="shared" si="0"/>
        <v>-</v>
      </c>
      <c r="K43" s="691" t="str">
        <f t="shared" si="1"/>
        <v>-</v>
      </c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</row>
    <row r="44" spans="1:37" s="143" customFormat="1" ht="15" customHeight="1">
      <c r="A44" s="579" t="str">
        <f>+input!B19</f>
        <v>109i</v>
      </c>
      <c r="B44" s="538" t="str">
        <f>ULS!B450</f>
        <v>Positive</v>
      </c>
      <c r="C44" s="674"/>
      <c r="D44" s="115" t="str">
        <f>ULS!L1117</f>
        <v>noncompact</v>
      </c>
      <c r="E44" s="115"/>
      <c r="F44" s="538">
        <f>Stress!J848</f>
        <v>-243.7469631052075</v>
      </c>
      <c r="G44" s="538">
        <f>Stress!K848</f>
        <v>254.54704203077279</v>
      </c>
      <c r="H44" s="538">
        <f>ULS!L916</f>
        <v>0.99936678944932145</v>
      </c>
      <c r="I44" s="538">
        <f>0.95*H44*input!BI19</f>
        <v>360.77141099120502</v>
      </c>
      <c r="J44" s="686" t="str">
        <f t="shared" si="0"/>
        <v>-</v>
      </c>
      <c r="K44" s="691" t="str">
        <f t="shared" si="1"/>
        <v>-</v>
      </c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</row>
    <row r="45" spans="1:37" s="143" customFormat="1" ht="15" customHeight="1">
      <c r="A45" s="579" t="str">
        <f>+input!B20</f>
        <v>109j</v>
      </c>
      <c r="B45" s="538" t="str">
        <f>ULS!B451</f>
        <v>Positive</v>
      </c>
      <c r="C45" s="674"/>
      <c r="D45" s="115" t="str">
        <f>ULS!L1118</f>
        <v>noncompact</v>
      </c>
      <c r="E45" s="115"/>
      <c r="F45" s="538">
        <f>Stress!J849</f>
        <v>-240.31779975484068</v>
      </c>
      <c r="G45" s="538">
        <f>Stress!K849</f>
        <v>251.88109495757953</v>
      </c>
      <c r="H45" s="538">
        <f>ULS!L917</f>
        <v>0.99936678944932145</v>
      </c>
      <c r="I45" s="538">
        <f>0.95*H45*input!BI20</f>
        <v>360.77141099120502</v>
      </c>
      <c r="J45" s="686" t="str">
        <f t="shared" si="0"/>
        <v>-</v>
      </c>
      <c r="K45" s="691" t="str">
        <f t="shared" si="1"/>
        <v>-</v>
      </c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</row>
    <row r="46" spans="1:37" s="143" customFormat="1" ht="15" customHeight="1">
      <c r="A46" s="579" t="str">
        <f>+input!B21</f>
        <v>110i</v>
      </c>
      <c r="B46" s="538" t="str">
        <f>ULS!B452</f>
        <v>Positive</v>
      </c>
      <c r="C46" s="674"/>
      <c r="D46" s="115" t="str">
        <f>ULS!L1119</f>
        <v>noncompact</v>
      </c>
      <c r="E46" s="115"/>
      <c r="F46" s="538">
        <f>Stress!J850</f>
        <v>-240.31814432612413</v>
      </c>
      <c r="G46" s="538">
        <f>Stress!K850</f>
        <v>251.88136098865277</v>
      </c>
      <c r="H46" s="538">
        <f>ULS!L918</f>
        <v>0.99936678944932145</v>
      </c>
      <c r="I46" s="538">
        <f>0.95*H46*input!BI21</f>
        <v>360.77141099120502</v>
      </c>
      <c r="J46" s="686" t="str">
        <f t="shared" si="0"/>
        <v>-</v>
      </c>
      <c r="K46" s="691" t="str">
        <f t="shared" si="1"/>
        <v>-</v>
      </c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</row>
    <row r="47" spans="1:37" s="143" customFormat="1" ht="15" customHeight="1">
      <c r="A47" s="579" t="str">
        <f>+input!B22</f>
        <v>110j</v>
      </c>
      <c r="B47" s="538" t="str">
        <f>ULS!B453</f>
        <v>Positive</v>
      </c>
      <c r="C47" s="674"/>
      <c r="D47" s="115" t="str">
        <f>ULS!L1120</f>
        <v>noncompact</v>
      </c>
      <c r="E47" s="115"/>
      <c r="F47" s="538">
        <f>Stress!J851</f>
        <v>-224.06530213113965</v>
      </c>
      <c r="G47" s="538">
        <f>Stress!K851</f>
        <v>236.29113977818463</v>
      </c>
      <c r="H47" s="538">
        <f>ULS!L919</f>
        <v>0.99936678944932145</v>
      </c>
      <c r="I47" s="538">
        <f>0.95*H47*input!BI22</f>
        <v>360.77141099120502</v>
      </c>
      <c r="J47" s="686" t="str">
        <f t="shared" si="0"/>
        <v>-</v>
      </c>
      <c r="K47" s="691" t="str">
        <f t="shared" si="1"/>
        <v>-</v>
      </c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</row>
    <row r="48" spans="1:37" s="143" customFormat="1" ht="15" customHeight="1">
      <c r="A48" s="579" t="str">
        <f>+input!B23</f>
        <v>111i</v>
      </c>
      <c r="B48" s="538" t="str">
        <f>ULS!B454</f>
        <v>Positive</v>
      </c>
      <c r="C48" s="674"/>
      <c r="D48" s="115" t="str">
        <f>ULS!L1121</f>
        <v>noncompact</v>
      </c>
      <c r="E48" s="115"/>
      <c r="F48" s="538">
        <f>Stress!J852</f>
        <v>-224.0654681697705</v>
      </c>
      <c r="G48" s="538">
        <f>Stress!K852</f>
        <v>236.29116411204635</v>
      </c>
      <c r="H48" s="538">
        <f>ULS!L920</f>
        <v>0.99936678944932145</v>
      </c>
      <c r="I48" s="538">
        <f>0.95*H48*input!BI23</f>
        <v>360.77141099120502</v>
      </c>
      <c r="J48" s="686" t="str">
        <f t="shared" si="0"/>
        <v>-</v>
      </c>
      <c r="K48" s="691" t="str">
        <f t="shared" si="1"/>
        <v>-</v>
      </c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</row>
    <row r="49" spans="1:37" s="143" customFormat="1" ht="15" customHeight="1">
      <c r="A49" s="579" t="str">
        <f>+input!B24</f>
        <v>111j</v>
      </c>
      <c r="B49" s="538" t="str">
        <f>ULS!B455</f>
        <v>Positive</v>
      </c>
      <c r="C49" s="674"/>
      <c r="D49" s="115" t="str">
        <f>ULS!L1122</f>
        <v>noncompact</v>
      </c>
      <c r="E49" s="115"/>
      <c r="F49" s="538">
        <f>Stress!J853</f>
        <v>-194.78254485594192</v>
      </c>
      <c r="G49" s="538">
        <f>Stress!K853</f>
        <v>207.5823304811347</v>
      </c>
      <c r="H49" s="538">
        <f>ULS!L921</f>
        <v>0.99936678944932145</v>
      </c>
      <c r="I49" s="538">
        <f>0.95*H49*input!BI24</f>
        <v>360.77141099120502</v>
      </c>
      <c r="J49" s="686" t="str">
        <f t="shared" si="0"/>
        <v>-</v>
      </c>
      <c r="K49" s="691" t="str">
        <f t="shared" si="1"/>
        <v>-</v>
      </c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</row>
    <row r="50" spans="1:37" s="143" customFormat="1" ht="15" customHeight="1">
      <c r="A50" s="579" t="str">
        <f>+input!B25</f>
        <v>112i</v>
      </c>
      <c r="B50" s="538" t="str">
        <f>ULS!B456</f>
        <v>Positive</v>
      </c>
      <c r="C50" s="674"/>
      <c r="D50" s="115" t="str">
        <f>ULS!L1123</f>
        <v>noncompact</v>
      </c>
      <c r="E50" s="115"/>
      <c r="F50" s="538">
        <f>Stress!J854</f>
        <v>-233.60690183278581</v>
      </c>
      <c r="G50" s="538">
        <f>Stress!K854</f>
        <v>247.95829106992863</v>
      </c>
      <c r="H50" s="538">
        <f>ULS!L922</f>
        <v>0.99920837412667252</v>
      </c>
      <c r="I50" s="538">
        <f>0.95*H50*input!BI25</f>
        <v>360.71422305972874</v>
      </c>
      <c r="J50" s="686" t="str">
        <f t="shared" si="0"/>
        <v>-</v>
      </c>
      <c r="K50" s="691" t="str">
        <f t="shared" si="1"/>
        <v>-</v>
      </c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</row>
    <row r="51" spans="1:37" s="143" customFormat="1" ht="15" customHeight="1">
      <c r="A51" s="579" t="str">
        <f>+input!B26</f>
        <v>112j</v>
      </c>
      <c r="B51" s="538" t="str">
        <f>ULS!B457</f>
        <v>Positive</v>
      </c>
      <c r="C51" s="674"/>
      <c r="D51" s="115" t="str">
        <f>ULS!L1124</f>
        <v>noncompact</v>
      </c>
      <c r="E51" s="115"/>
      <c r="F51" s="538">
        <f>Stress!J855</f>
        <v>-186.54818767280241</v>
      </c>
      <c r="G51" s="538">
        <f>Stress!K855</f>
        <v>202.42636709133177</v>
      </c>
      <c r="H51" s="538">
        <f>ULS!L923</f>
        <v>0.99920837412667252</v>
      </c>
      <c r="I51" s="538">
        <f>0.95*H51*input!BI26</f>
        <v>360.71422305972874</v>
      </c>
      <c r="J51" s="686" t="str">
        <f t="shared" si="0"/>
        <v>-</v>
      </c>
      <c r="K51" s="691" t="str">
        <f t="shared" si="1"/>
        <v>-</v>
      </c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</row>
    <row r="52" spans="1:37" s="143" customFormat="1" ht="15" customHeight="1">
      <c r="A52" s="579" t="str">
        <f>+input!B27</f>
        <v>113i</v>
      </c>
      <c r="B52" s="538" t="str">
        <f>ULS!B458</f>
        <v>Positive</v>
      </c>
      <c r="C52" s="674"/>
      <c r="D52" s="115" t="str">
        <f>ULS!L1125</f>
        <v>noncompact</v>
      </c>
      <c r="E52" s="115"/>
      <c r="F52" s="538">
        <f>Stress!J856</f>
        <v>-204.6790217876638</v>
      </c>
      <c r="G52" s="538">
        <f>Stress!K856</f>
        <v>204.98559693046343</v>
      </c>
      <c r="H52" s="538">
        <f>ULS!L924</f>
        <v>0.9992112124555369</v>
      </c>
      <c r="I52" s="538">
        <f>0.95*H52*input!BI27</f>
        <v>360.71524769644878</v>
      </c>
      <c r="J52" s="686" t="str">
        <f t="shared" si="0"/>
        <v>-</v>
      </c>
      <c r="K52" s="691" t="str">
        <f t="shared" si="1"/>
        <v>-</v>
      </c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</row>
    <row r="53" spans="1:37" s="143" customFormat="1" ht="15" customHeight="1">
      <c r="A53" s="579" t="str">
        <f>+input!B28</f>
        <v>113j</v>
      </c>
      <c r="B53" s="538" t="str">
        <f>ULS!B459</f>
        <v>Positive</v>
      </c>
      <c r="C53" s="674"/>
      <c r="D53" s="115" t="str">
        <f>ULS!L1126</f>
        <v>noncompact</v>
      </c>
      <c r="E53" s="115"/>
      <c r="F53" s="538">
        <f>Stress!J857</f>
        <v>-135.29218933974741</v>
      </c>
      <c r="G53" s="538">
        <f>Stress!K857</f>
        <v>142.21135093161624</v>
      </c>
      <c r="H53" s="538">
        <f>ULS!L925</f>
        <v>0.9992112124555369</v>
      </c>
      <c r="I53" s="538">
        <f>0.95*H53*input!BI28</f>
        <v>360.71524769644878</v>
      </c>
      <c r="J53" s="686" t="str">
        <f t="shared" si="0"/>
        <v>-</v>
      </c>
      <c r="K53" s="691" t="str">
        <f t="shared" si="1"/>
        <v>-</v>
      </c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</row>
    <row r="54" spans="1:37" s="143" customFormat="1" ht="15" customHeight="1">
      <c r="A54" s="579" t="str">
        <f>+input!B29</f>
        <v>114i</v>
      </c>
      <c r="B54" s="538" t="str">
        <f>ULS!B460</f>
        <v>Positive</v>
      </c>
      <c r="C54" s="674"/>
      <c r="D54" s="115" t="str">
        <f>ULS!L1127</f>
        <v>noncompact</v>
      </c>
      <c r="E54" s="115"/>
      <c r="F54" s="538">
        <f>Stress!J858</f>
        <v>-135.2925324594566</v>
      </c>
      <c r="G54" s="538">
        <f>Stress!K858</f>
        <v>142.21159473527078</v>
      </c>
      <c r="H54" s="538">
        <f>ULS!L926</f>
        <v>0.9992112124555369</v>
      </c>
      <c r="I54" s="538">
        <f>0.95*H54*input!BI29</f>
        <v>360.71524769644878</v>
      </c>
      <c r="J54" s="686" t="str">
        <f t="shared" si="0"/>
        <v>-</v>
      </c>
      <c r="K54" s="691" t="str">
        <f t="shared" si="1"/>
        <v>-</v>
      </c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</row>
    <row r="55" spans="1:37" s="143" customFormat="1" ht="15" customHeight="1">
      <c r="A55" s="579" t="str">
        <f>+input!B30</f>
        <v>114j</v>
      </c>
      <c r="B55" s="538" t="str">
        <f>ULS!B461</f>
        <v>Positive</v>
      </c>
      <c r="C55" s="674"/>
      <c r="D55" s="115" t="str">
        <f>ULS!L1128</f>
        <v>noncompact</v>
      </c>
      <c r="E55" s="115"/>
      <c r="F55" s="538">
        <f>Stress!J859</f>
        <v>-53.621753229861916</v>
      </c>
      <c r="G55" s="538">
        <f>Stress!K859</f>
        <v>69.172195706737554</v>
      </c>
      <c r="H55" s="538">
        <f>ULS!L927</f>
        <v>0.9992112124555369</v>
      </c>
      <c r="I55" s="538">
        <f>0.95*H55*input!BI30</f>
        <v>360.71524769644878</v>
      </c>
      <c r="J55" s="686" t="str">
        <f t="shared" si="0"/>
        <v>-</v>
      </c>
      <c r="K55" s="691" t="str">
        <f t="shared" si="1"/>
        <v>-</v>
      </c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</row>
    <row r="56" spans="1:37" s="143" customFormat="1" ht="15" customHeight="1">
      <c r="A56" s="579" t="str">
        <f>+input!B31</f>
        <v>115i</v>
      </c>
      <c r="B56" s="538" t="str">
        <f>ULS!B462</f>
        <v>Positive</v>
      </c>
      <c r="C56" s="674"/>
      <c r="D56" s="115" t="str">
        <f>ULS!L1129</f>
        <v>noncompact</v>
      </c>
      <c r="E56" s="115"/>
      <c r="F56" s="538">
        <f>Stress!J860</f>
        <v>-64.491585627609382</v>
      </c>
      <c r="G56" s="538">
        <f>Stress!K860</f>
        <v>100.72185170403407</v>
      </c>
      <c r="H56" s="538">
        <f>ULS!L928</f>
        <v>0.99865402318905505</v>
      </c>
      <c r="I56" s="538">
        <f>0.95*H56*input!BI31</f>
        <v>360.51410237124884</v>
      </c>
      <c r="J56" s="686" t="str">
        <f t="shared" si="0"/>
        <v>-</v>
      </c>
      <c r="K56" s="691" t="str">
        <f t="shared" si="1"/>
        <v>-</v>
      </c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</row>
    <row r="57" spans="1:37" s="143" customFormat="1" ht="15" customHeight="1">
      <c r="A57" s="579" t="str">
        <f>+input!B32</f>
        <v>115j</v>
      </c>
      <c r="B57" s="538" t="str">
        <f>ULS!B463</f>
        <v>Negative</v>
      </c>
      <c r="C57" s="674"/>
      <c r="D57" s="115" t="str">
        <f>ULS!L1130</f>
        <v>-</v>
      </c>
      <c r="E57" s="115"/>
      <c r="F57" s="538">
        <f>Stress!J861</f>
        <v>124.42926806383137</v>
      </c>
      <c r="G57" s="538">
        <f>Stress!K861</f>
        <v>-105.58480480468377</v>
      </c>
      <c r="H57" s="538">
        <f>ULS!L929</f>
        <v>0.9986883513310395</v>
      </c>
      <c r="I57" s="538">
        <f>0.95*H57*input!BI32</f>
        <v>360.52649483050521</v>
      </c>
      <c r="J57" s="686" t="str">
        <f t="shared" si="0"/>
        <v>-</v>
      </c>
      <c r="K57" s="691" t="str">
        <f t="shared" si="1"/>
        <v>-</v>
      </c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</row>
    <row r="58" spans="1:37" s="143" customFormat="1" ht="15" customHeight="1">
      <c r="A58" s="579" t="str">
        <f>+input!B33</f>
        <v>116i</v>
      </c>
      <c r="B58" s="538" t="str">
        <f>ULS!B464</f>
        <v>Negative</v>
      </c>
      <c r="C58" s="674"/>
      <c r="D58" s="115" t="str">
        <f>ULS!L1131</f>
        <v>-</v>
      </c>
      <c r="E58" s="115"/>
      <c r="F58" s="538">
        <f>Stress!J862</f>
        <v>100.88935739940497</v>
      </c>
      <c r="G58" s="538">
        <f>Stress!K862</f>
        <v>-85.205733701368331</v>
      </c>
      <c r="H58" s="538">
        <f>ULS!L930</f>
        <v>0.9990012655574797</v>
      </c>
      <c r="I58" s="538">
        <f>0.95*H58*input!BI33</f>
        <v>360.63945686625016</v>
      </c>
      <c r="J58" s="686" t="str">
        <f t="shared" si="0"/>
        <v>-</v>
      </c>
      <c r="K58" s="691" t="str">
        <f t="shared" si="1"/>
        <v>-</v>
      </c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</row>
    <row r="59" spans="1:37" s="143" customFormat="1" ht="15" customHeight="1">
      <c r="A59" s="579" t="str">
        <f>+input!B34</f>
        <v>116j</v>
      </c>
      <c r="B59" s="538" t="str">
        <f>ULS!B465</f>
        <v>Negative</v>
      </c>
      <c r="C59" s="674"/>
      <c r="D59" s="115" t="str">
        <f>ULS!L1132</f>
        <v>-</v>
      </c>
      <c r="E59" s="115"/>
      <c r="F59" s="538">
        <f>Stress!J863</f>
        <v>242.35346540405965</v>
      </c>
      <c r="G59" s="538">
        <f>Stress!K863</f>
        <v>-198.59462539890259</v>
      </c>
      <c r="H59" s="538">
        <f>ULS!L931</f>
        <v>0.9990012655574797</v>
      </c>
      <c r="I59" s="538">
        <f>0.95*H59*input!BI34</f>
        <v>360.63945686625016</v>
      </c>
      <c r="J59" s="686" t="str">
        <f t="shared" si="0"/>
        <v>-</v>
      </c>
      <c r="K59" s="691" t="str">
        <f t="shared" si="1"/>
        <v>-</v>
      </c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</row>
    <row r="60" spans="1:37" s="143" customFormat="1" ht="15" customHeight="1">
      <c r="A60" s="579" t="str">
        <f>+input!B35</f>
        <v>117i</v>
      </c>
      <c r="B60" s="538" t="str">
        <f>ULS!B466</f>
        <v>Negative</v>
      </c>
      <c r="C60" s="674"/>
      <c r="D60" s="115" t="str">
        <f>ULS!L1133</f>
        <v>-</v>
      </c>
      <c r="E60" s="115"/>
      <c r="F60" s="538">
        <f>Stress!J864</f>
        <v>152.47612912340156</v>
      </c>
      <c r="G60" s="538">
        <f>Stress!K864</f>
        <v>-114.49809136942919</v>
      </c>
      <c r="H60" s="538">
        <f>ULS!L932</f>
        <v>0.99927957097925801</v>
      </c>
      <c r="I60" s="538">
        <f>0.95*H60*input!BI35</f>
        <v>360.73992512351214</v>
      </c>
      <c r="J60" s="686" t="str">
        <f t="shared" ref="J60:J89" si="2">IF(AND(D60="compact",F60&lt;=0),IF(MAX(ABS(F60),ABS(F60))&lt;=I60,"OK","NG"),"-")</f>
        <v>-</v>
      </c>
      <c r="K60" s="691" t="str">
        <f t="shared" ref="K60:K89" si="3">IF(AND(D60="compact",F60&lt;=0),I60/MAX(ABS(F60),ABS(F60)),"-")</f>
        <v>-</v>
      </c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</row>
    <row r="61" spans="1:37" s="143" customFormat="1" ht="15" customHeight="1">
      <c r="A61" s="579" t="str">
        <f>+input!B36</f>
        <v>117j</v>
      </c>
      <c r="B61" s="538" t="str">
        <f>ULS!B467</f>
        <v>Negative</v>
      </c>
      <c r="C61" s="674"/>
      <c r="D61" s="115" t="str">
        <f>ULS!L1134</f>
        <v>-</v>
      </c>
      <c r="E61" s="115"/>
      <c r="F61" s="538">
        <f>Stress!J865</f>
        <v>267.65525669140129</v>
      </c>
      <c r="G61" s="538">
        <f>Stress!K865</f>
        <v>-202.72760786275177</v>
      </c>
      <c r="H61" s="538">
        <f>ULS!L933</f>
        <v>0.99927957097925801</v>
      </c>
      <c r="I61" s="538">
        <f>0.95*H61*input!BI36</f>
        <v>360.73992512351214</v>
      </c>
      <c r="J61" s="686" t="str">
        <f t="shared" si="2"/>
        <v>-</v>
      </c>
      <c r="K61" s="691" t="str">
        <f t="shared" si="3"/>
        <v>-</v>
      </c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</row>
    <row r="62" spans="1:37" s="143" customFormat="1" ht="15" customHeight="1">
      <c r="A62" s="579" t="str">
        <f>+input!B37</f>
        <v>118i</v>
      </c>
      <c r="B62" s="538" t="str">
        <f>ULS!B468</f>
        <v>Negative</v>
      </c>
      <c r="C62" s="674"/>
      <c r="D62" s="115" t="str">
        <f>ULS!L1135</f>
        <v>-</v>
      </c>
      <c r="E62" s="115"/>
      <c r="F62" s="538">
        <f>Stress!J866</f>
        <v>146.1250264133437</v>
      </c>
      <c r="G62" s="538">
        <f>Stress!K866</f>
        <v>-157.5256122471643</v>
      </c>
      <c r="H62" s="538">
        <f>ULS!L934</f>
        <v>0.99958150957525504</v>
      </c>
      <c r="I62" s="538">
        <f>0.95*H62*input!BI37</f>
        <v>360.84892495666708</v>
      </c>
      <c r="J62" s="686" t="str">
        <f t="shared" si="2"/>
        <v>-</v>
      </c>
      <c r="K62" s="691" t="str">
        <f t="shared" si="3"/>
        <v>-</v>
      </c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</row>
    <row r="63" spans="1:37" s="143" customFormat="1" ht="15" customHeight="1">
      <c r="A63" s="579" t="str">
        <f>+input!B38</f>
        <v>118j</v>
      </c>
      <c r="B63" s="538" t="str">
        <f>ULS!B469</f>
        <v>Negative</v>
      </c>
      <c r="C63" s="674"/>
      <c r="D63" s="115" t="str">
        <f>ULS!L1136</f>
        <v>-</v>
      </c>
      <c r="E63" s="115"/>
      <c r="F63" s="538">
        <f>Stress!J867</f>
        <v>195.68025632982938</v>
      </c>
      <c r="G63" s="538">
        <f>Stress!K867</f>
        <v>-211.81998146038285</v>
      </c>
      <c r="H63" s="538">
        <f>ULS!L935</f>
        <v>0.99958150957525504</v>
      </c>
      <c r="I63" s="538">
        <f>0.95*H63*input!BI38</f>
        <v>360.84892495666708</v>
      </c>
      <c r="J63" s="686" t="str">
        <f t="shared" si="2"/>
        <v>-</v>
      </c>
      <c r="K63" s="691" t="str">
        <f t="shared" si="3"/>
        <v>-</v>
      </c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</row>
    <row r="64" spans="1:37" s="143" customFormat="1" ht="15" customHeight="1">
      <c r="A64" s="579" t="str">
        <f>+input!B39</f>
        <v>119i</v>
      </c>
      <c r="B64" s="538" t="str">
        <f>ULS!B470</f>
        <v>Negative</v>
      </c>
      <c r="C64" s="674"/>
      <c r="D64" s="115" t="str">
        <f>ULS!L1137</f>
        <v>-</v>
      </c>
      <c r="E64" s="115"/>
      <c r="F64" s="538">
        <f>Stress!J868</f>
        <v>189.60045702891051</v>
      </c>
      <c r="G64" s="538">
        <f>Stress!K868</f>
        <v>-199.67153375924252</v>
      </c>
      <c r="H64" s="538">
        <f>ULS!L936</f>
        <v>0.99955958440904513</v>
      </c>
      <c r="I64" s="538">
        <f>0.95*H64*input!BI39</f>
        <v>360.84100997166524</v>
      </c>
      <c r="J64" s="686" t="str">
        <f t="shared" si="2"/>
        <v>-</v>
      </c>
      <c r="K64" s="691" t="str">
        <f t="shared" si="3"/>
        <v>-</v>
      </c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</row>
    <row r="65" spans="1:37" s="143" customFormat="1" ht="15" customHeight="1">
      <c r="A65" s="579" t="str">
        <f>+input!B40</f>
        <v>119j</v>
      </c>
      <c r="B65" s="538" t="str">
        <f>ULS!B471</f>
        <v>Negative</v>
      </c>
      <c r="C65" s="674"/>
      <c r="D65" s="115" t="str">
        <f>ULS!L1138</f>
        <v>-</v>
      </c>
      <c r="E65" s="115"/>
      <c r="F65" s="538">
        <f>Stress!J869</f>
        <v>211.5585821319703</v>
      </c>
      <c r="G65" s="538">
        <f>Stress!K869</f>
        <v>-223.20120059589294</v>
      </c>
      <c r="H65" s="538">
        <f>ULS!L937</f>
        <v>0.99955958440904513</v>
      </c>
      <c r="I65" s="538">
        <f>0.95*H65*input!BI40</f>
        <v>360.84100997166524</v>
      </c>
      <c r="J65" s="686" t="str">
        <f t="shared" si="2"/>
        <v>-</v>
      </c>
      <c r="K65" s="691" t="str">
        <f t="shared" si="3"/>
        <v>-</v>
      </c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</row>
    <row r="66" spans="1:37" s="143" customFormat="1" ht="15" customHeight="1">
      <c r="A66" s="1023" t="str">
        <f>+input!B41</f>
        <v>120i</v>
      </c>
      <c r="B66" s="968" t="str">
        <f>ULS!B472</f>
        <v>Negative</v>
      </c>
      <c r="C66" s="1078"/>
      <c r="D66" s="112" t="str">
        <f>ULS!L1139</f>
        <v>-</v>
      </c>
      <c r="E66" s="112"/>
      <c r="F66" s="968">
        <f>Stress!J870</f>
        <v>211.55437030380548</v>
      </c>
      <c r="G66" s="968">
        <f>Stress!K870</f>
        <v>-223.19823516194259</v>
      </c>
      <c r="H66" s="968">
        <f>ULS!L938</f>
        <v>0.99955958440904513</v>
      </c>
      <c r="I66" s="538">
        <f>0.95*H66*input!BI41</f>
        <v>360.84100997166524</v>
      </c>
      <c r="J66" s="1079" t="str">
        <f t="shared" si="2"/>
        <v>-</v>
      </c>
      <c r="K66" s="1080" t="str">
        <f t="shared" si="3"/>
        <v>-</v>
      </c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</row>
    <row r="67" spans="1:37" s="143" customFormat="1" ht="15" customHeight="1">
      <c r="A67" s="1026" t="str">
        <f>+input!B42</f>
        <v>120j</v>
      </c>
      <c r="B67" s="970" t="str">
        <f>ULS!B473</f>
        <v>Negative</v>
      </c>
      <c r="C67" s="1081"/>
      <c r="D67" s="365" t="str">
        <f>ULS!L1140</f>
        <v>-</v>
      </c>
      <c r="E67" s="365"/>
      <c r="F67" s="970">
        <f>Stress!J871</f>
        <v>195.22339414821215</v>
      </c>
      <c r="G67" s="970">
        <f>Stress!K871</f>
        <v>-205.38693438027693</v>
      </c>
      <c r="H67" s="970">
        <f>ULS!L939</f>
        <v>0.99955958440904513</v>
      </c>
      <c r="I67" s="538">
        <f>0.95*H67*input!BI42</f>
        <v>360.84100997166524</v>
      </c>
      <c r="J67" s="1082" t="str">
        <f t="shared" si="2"/>
        <v>-</v>
      </c>
      <c r="K67" s="1083" t="str">
        <f t="shared" si="3"/>
        <v>-</v>
      </c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</row>
    <row r="68" spans="1:37" s="143" customFormat="1" ht="15" customHeight="1">
      <c r="A68" s="579" t="str">
        <f>+input!B43</f>
        <v>121i</v>
      </c>
      <c r="B68" s="538" t="str">
        <f>ULS!B474</f>
        <v>Negative</v>
      </c>
      <c r="C68" s="674"/>
      <c r="D68" s="115" t="str">
        <f>ULS!L1141</f>
        <v>-</v>
      </c>
      <c r="E68" s="115"/>
      <c r="F68" s="538">
        <f>Stress!J872</f>
        <v>201.48214330122192</v>
      </c>
      <c r="G68" s="538">
        <f>Stress!K872</f>
        <v>-217.89167903764434</v>
      </c>
      <c r="H68" s="538">
        <f>ULS!L940</f>
        <v>0.99958150957525504</v>
      </c>
      <c r="I68" s="538">
        <f>0.95*H68*input!BI43</f>
        <v>360.84892495666708</v>
      </c>
      <c r="J68" s="686" t="str">
        <f t="shared" si="2"/>
        <v>-</v>
      </c>
      <c r="K68" s="691" t="str">
        <f t="shared" si="3"/>
        <v>-</v>
      </c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</row>
    <row r="69" spans="1:37" s="143" customFormat="1" ht="15" customHeight="1">
      <c r="A69" s="579" t="str">
        <f>+input!B44</f>
        <v>121j</v>
      </c>
      <c r="B69" s="538" t="str">
        <f>ULS!B475</f>
        <v>Negative</v>
      </c>
      <c r="C69" s="674"/>
      <c r="D69" s="115" t="str">
        <f>ULS!L1142</f>
        <v>-</v>
      </c>
      <c r="E69" s="115"/>
      <c r="F69" s="538">
        <f>Stress!J873</f>
        <v>165.78275268019314</v>
      </c>
      <c r="G69" s="538">
        <f>Stress!K873</f>
        <v>-178.00781807326427</v>
      </c>
      <c r="H69" s="538">
        <f>ULS!L941</f>
        <v>0.99958150957525504</v>
      </c>
      <c r="I69" s="538">
        <f>0.95*H69*input!BI44</f>
        <v>360.84892495666708</v>
      </c>
      <c r="J69" s="686" t="str">
        <f t="shared" si="2"/>
        <v>-</v>
      </c>
      <c r="K69" s="691" t="str">
        <f t="shared" si="3"/>
        <v>-</v>
      </c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</row>
    <row r="70" spans="1:37" s="143" customFormat="1" ht="15" customHeight="1">
      <c r="A70" s="579" t="str">
        <f>+input!B45</f>
        <v>122i</v>
      </c>
      <c r="B70" s="538" t="str">
        <f>ULS!B476</f>
        <v>Negative</v>
      </c>
      <c r="C70" s="674"/>
      <c r="D70" s="115" t="str">
        <f>ULS!L1143</f>
        <v>-</v>
      </c>
      <c r="E70" s="115"/>
      <c r="F70" s="538">
        <f>Stress!J874</f>
        <v>280.91962480998933</v>
      </c>
      <c r="G70" s="538">
        <f>Stress!K874</f>
        <v>-218.86396699294551</v>
      </c>
      <c r="H70" s="538">
        <f>ULS!L942</f>
        <v>0.99935203090728109</v>
      </c>
      <c r="I70" s="538">
        <f>0.95*H70*input!BI45</f>
        <v>360.76608315752844</v>
      </c>
      <c r="J70" s="686" t="str">
        <f t="shared" si="2"/>
        <v>-</v>
      </c>
      <c r="K70" s="691" t="str">
        <f t="shared" si="3"/>
        <v>-</v>
      </c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</row>
    <row r="71" spans="1:37" s="143" customFormat="1" ht="15" customHeight="1">
      <c r="A71" s="579" t="str">
        <f>+input!B46</f>
        <v>122j</v>
      </c>
      <c r="B71" s="538" t="str">
        <f>ULS!B477</f>
        <v>Negative</v>
      </c>
      <c r="C71" s="674"/>
      <c r="D71" s="115" t="str">
        <f>ULS!L1144</f>
        <v>-</v>
      </c>
      <c r="E71" s="115"/>
      <c r="F71" s="538">
        <f>Stress!J875</f>
        <v>207.69278050936867</v>
      </c>
      <c r="G71" s="538">
        <f>Stress!K875</f>
        <v>-160.07714027226467</v>
      </c>
      <c r="H71" s="538">
        <f>ULS!L943</f>
        <v>0.99935203090728109</v>
      </c>
      <c r="I71" s="538">
        <f>0.95*H71*input!BI46</f>
        <v>360.76608315752844</v>
      </c>
      <c r="J71" s="686" t="str">
        <f t="shared" si="2"/>
        <v>-</v>
      </c>
      <c r="K71" s="691" t="str">
        <f t="shared" si="3"/>
        <v>-</v>
      </c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</row>
    <row r="72" spans="1:37" s="143" customFormat="1" ht="15" customHeight="1">
      <c r="A72" s="579" t="str">
        <f>+input!B47</f>
        <v>123i</v>
      </c>
      <c r="B72" s="538" t="str">
        <f>ULS!B478</f>
        <v>Negative</v>
      </c>
      <c r="C72" s="674"/>
      <c r="D72" s="115" t="str">
        <f>ULS!L1145</f>
        <v>-</v>
      </c>
      <c r="E72" s="115"/>
      <c r="F72" s="538">
        <f>Stress!J876</f>
        <v>269.34248946555658</v>
      </c>
      <c r="G72" s="538">
        <f>Stress!K876</f>
        <v>-241.5446476035425</v>
      </c>
      <c r="H72" s="538">
        <f>ULS!L944</f>
        <v>0.99933256833423689</v>
      </c>
      <c r="I72" s="538">
        <f>0.95*H72*input!BI47</f>
        <v>360.75905716865952</v>
      </c>
      <c r="J72" s="686" t="str">
        <f t="shared" si="2"/>
        <v>-</v>
      </c>
      <c r="K72" s="691" t="str">
        <f t="shared" si="3"/>
        <v>-</v>
      </c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</row>
    <row r="73" spans="1:37" s="143" customFormat="1" ht="15" customHeight="1">
      <c r="A73" s="579" t="str">
        <f>+input!B48</f>
        <v>123j</v>
      </c>
      <c r="B73" s="538" t="str">
        <f>ULS!B479</f>
        <v>Negative</v>
      </c>
      <c r="C73" s="674"/>
      <c r="D73" s="115" t="str">
        <f>ULS!L1146</f>
        <v>-</v>
      </c>
      <c r="E73" s="115"/>
      <c r="F73" s="538">
        <f>Stress!J877</f>
        <v>194.81446401199821</v>
      </c>
      <c r="G73" s="538">
        <f>Stress!K877</f>
        <v>-176.23542235659244</v>
      </c>
      <c r="H73" s="538">
        <f>ULS!L945</f>
        <v>0.99933256833423689</v>
      </c>
      <c r="I73" s="538">
        <f>0.95*H73*input!BI48</f>
        <v>360.75905716865952</v>
      </c>
      <c r="J73" s="686" t="str">
        <f t="shared" si="2"/>
        <v>-</v>
      </c>
      <c r="K73" s="691" t="str">
        <f t="shared" si="3"/>
        <v>-</v>
      </c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</row>
    <row r="74" spans="1:37" s="143" customFormat="1" ht="15" customHeight="1">
      <c r="A74" s="579" t="str">
        <f>+input!B49</f>
        <v>124i</v>
      </c>
      <c r="B74" s="538" t="str">
        <f>ULS!B480</f>
        <v>Negative</v>
      </c>
      <c r="C74" s="674"/>
      <c r="D74" s="115" t="str">
        <f>ULS!L1147</f>
        <v>-</v>
      </c>
      <c r="E74" s="115"/>
      <c r="F74" s="538">
        <f>Stress!J878</f>
        <v>283.82065404120863</v>
      </c>
      <c r="G74" s="538">
        <f>Stress!K878</f>
        <v>-218.75318888655647</v>
      </c>
      <c r="H74" s="538">
        <f>ULS!L946</f>
        <v>0.99881123637478653</v>
      </c>
      <c r="I74" s="538">
        <f>0.95*H74*input!BI49</f>
        <v>360.57085633129793</v>
      </c>
      <c r="J74" s="686" t="str">
        <f t="shared" si="2"/>
        <v>-</v>
      </c>
      <c r="K74" s="691" t="str">
        <f t="shared" si="3"/>
        <v>-</v>
      </c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</row>
    <row r="75" spans="1:37" s="143" customFormat="1" ht="15" customHeight="1">
      <c r="A75" s="579" t="str">
        <f>+input!B50</f>
        <v>124j</v>
      </c>
      <c r="B75" s="538" t="str">
        <f>ULS!B481</f>
        <v>Negative</v>
      </c>
      <c r="C75" s="674"/>
      <c r="D75" s="115" t="str">
        <f>ULS!L1148</f>
        <v>-</v>
      </c>
      <c r="E75" s="115"/>
      <c r="F75" s="538">
        <f>Stress!J879</f>
        <v>189.84515350706562</v>
      </c>
      <c r="G75" s="538">
        <f>Stress!K879</f>
        <v>-149.0754723087523</v>
      </c>
      <c r="H75" s="538">
        <f>ULS!L947</f>
        <v>0.99881123637478653</v>
      </c>
      <c r="I75" s="538">
        <f>0.95*H75*input!BI50</f>
        <v>360.57085633129793</v>
      </c>
      <c r="J75" s="686" t="str">
        <f t="shared" si="2"/>
        <v>-</v>
      </c>
      <c r="K75" s="691" t="str">
        <f t="shared" si="3"/>
        <v>-</v>
      </c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</row>
    <row r="76" spans="1:37" s="143" customFormat="1" ht="15" customHeight="1">
      <c r="A76" s="579" t="str">
        <f>+input!B51</f>
        <v>125i</v>
      </c>
      <c r="B76" s="538" t="str">
        <f>ULS!B482</f>
        <v>Negative</v>
      </c>
      <c r="C76" s="674"/>
      <c r="D76" s="115" t="str">
        <f>ULS!L1149</f>
        <v>-</v>
      </c>
      <c r="E76" s="115"/>
      <c r="F76" s="538">
        <f>Stress!J880</f>
        <v>211.79533268210758</v>
      </c>
      <c r="G76" s="538">
        <f>Stress!K880</f>
        <v>-180.50892344890909</v>
      </c>
      <c r="H76" s="538">
        <f>ULS!L948</f>
        <v>0.9986883513310395</v>
      </c>
      <c r="I76" s="538">
        <f>0.95*H76*input!BI51</f>
        <v>360.52649483050521</v>
      </c>
      <c r="J76" s="686" t="str">
        <f t="shared" si="2"/>
        <v>-</v>
      </c>
      <c r="K76" s="691" t="str">
        <f t="shared" si="3"/>
        <v>-</v>
      </c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</row>
    <row r="77" spans="1:37" s="143" customFormat="1" ht="15" customHeight="1">
      <c r="A77" s="579" t="str">
        <f>+input!B52</f>
        <v>125j</v>
      </c>
      <c r="B77" s="538" t="str">
        <f>ULS!B483</f>
        <v>Negative</v>
      </c>
      <c r="C77" s="674"/>
      <c r="D77" s="115" t="str">
        <f>ULS!L1150</f>
        <v>-</v>
      </c>
      <c r="E77" s="115"/>
      <c r="F77" s="538">
        <f>Stress!J881</f>
        <v>130.28318885838365</v>
      </c>
      <c r="G77" s="538">
        <f>Stress!K881</f>
        <v>-114.571955943489</v>
      </c>
      <c r="H77" s="538">
        <f>ULS!L949</f>
        <v>0.9986883513310395</v>
      </c>
      <c r="I77" s="538">
        <f>0.95*H77*input!BI52</f>
        <v>360.52649483050521</v>
      </c>
      <c r="J77" s="686" t="str">
        <f t="shared" si="2"/>
        <v>-</v>
      </c>
      <c r="K77" s="691" t="str">
        <f t="shared" si="3"/>
        <v>-</v>
      </c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</row>
    <row r="78" spans="1:37" s="143" customFormat="1" ht="15" customHeight="1">
      <c r="A78" s="579" t="str">
        <f>+input!B53</f>
        <v>126i</v>
      </c>
      <c r="B78" s="538" t="str">
        <f>ULS!B484</f>
        <v>Negative</v>
      </c>
      <c r="C78" s="674"/>
      <c r="D78" s="115" t="str">
        <f>ULS!L1151</f>
        <v>-</v>
      </c>
      <c r="E78" s="115"/>
      <c r="F78" s="538">
        <f>Stress!J882</f>
        <v>130.28318885838365</v>
      </c>
      <c r="G78" s="538">
        <f>Stress!K882</f>
        <v>-114.571955943489</v>
      </c>
      <c r="H78" s="538">
        <f>ULS!L950</f>
        <v>0.9986883513310395</v>
      </c>
      <c r="I78" s="538">
        <f>0.95*H78*input!BI53</f>
        <v>360.52649483050521</v>
      </c>
      <c r="J78" s="686" t="str">
        <f t="shared" si="2"/>
        <v>-</v>
      </c>
      <c r="K78" s="691" t="str">
        <f t="shared" si="3"/>
        <v>-</v>
      </c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</row>
    <row r="79" spans="1:37" s="143" customFormat="1" ht="15" customHeight="1">
      <c r="A79" s="579" t="str">
        <f>+input!B54</f>
        <v>126j</v>
      </c>
      <c r="B79" s="538" t="str">
        <f>ULS!B485</f>
        <v>Negative</v>
      </c>
      <c r="C79" s="674"/>
      <c r="D79" s="115" t="str">
        <f>ULS!L1152</f>
        <v>-</v>
      </c>
      <c r="E79" s="115"/>
      <c r="F79" s="538">
        <f>Stress!J883</f>
        <v>64.901673908539863</v>
      </c>
      <c r="G79" s="538">
        <f>Stress!K883</f>
        <v>-61.120820776983564</v>
      </c>
      <c r="H79" s="538">
        <f>ULS!L951</f>
        <v>0.9986883513310395</v>
      </c>
      <c r="I79" s="538">
        <f>0.95*H79*input!BI54</f>
        <v>360.52649483050521</v>
      </c>
      <c r="J79" s="686" t="str">
        <f t="shared" si="2"/>
        <v>-</v>
      </c>
      <c r="K79" s="691" t="str">
        <f t="shared" si="3"/>
        <v>-</v>
      </c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</row>
    <row r="80" spans="1:37" s="143" customFormat="1" ht="15" customHeight="1">
      <c r="A80" s="579" t="str">
        <f>+input!B55</f>
        <v>127i</v>
      </c>
      <c r="B80" s="538" t="str">
        <f>ULS!B486</f>
        <v>Negative</v>
      </c>
      <c r="C80" s="674"/>
      <c r="D80" s="115" t="str">
        <f>ULS!L1153</f>
        <v>-</v>
      </c>
      <c r="E80" s="115"/>
      <c r="F80" s="538">
        <f>Stress!J884</f>
        <v>69.003390895663784</v>
      </c>
      <c r="G80" s="538">
        <f>Stress!K884</f>
        <v>-81.9892343002156</v>
      </c>
      <c r="H80" s="538">
        <f>ULS!L952</f>
        <v>0.9984721708472587</v>
      </c>
      <c r="I80" s="538">
        <f>0.95*H80*input!BI55</f>
        <v>360.44845367586038</v>
      </c>
      <c r="J80" s="686" t="str">
        <f t="shared" si="2"/>
        <v>-</v>
      </c>
      <c r="K80" s="691" t="str">
        <f t="shared" si="3"/>
        <v>-</v>
      </c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</row>
    <row r="81" spans="1:52" s="143" customFormat="1" ht="15" customHeight="1">
      <c r="A81" s="579" t="str">
        <f>+input!B56</f>
        <v>127j</v>
      </c>
      <c r="B81" s="538" t="str">
        <f>ULS!B487</f>
        <v>Positive</v>
      </c>
      <c r="C81" s="674"/>
      <c r="D81" s="115" t="str">
        <f>ULS!L1154</f>
        <v>noncompact</v>
      </c>
      <c r="E81" s="115"/>
      <c r="F81" s="538">
        <f>Stress!J885</f>
        <v>-32.387423705175699</v>
      </c>
      <c r="G81" s="538">
        <f>Stress!K885</f>
        <v>104.10168836806361</v>
      </c>
      <c r="H81" s="538">
        <f>ULS!L953</f>
        <v>0.99786917248109319</v>
      </c>
      <c r="I81" s="538">
        <f>0.95*H81*input!BI56</f>
        <v>360.2307712656746</v>
      </c>
      <c r="J81" s="686" t="str">
        <f t="shared" si="2"/>
        <v>-</v>
      </c>
      <c r="K81" s="691" t="str">
        <f t="shared" si="3"/>
        <v>-</v>
      </c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</row>
    <row r="82" spans="1:52" s="143" customFormat="1" ht="15" customHeight="1">
      <c r="A82" s="579" t="str">
        <f>+input!B57</f>
        <v>128i</v>
      </c>
      <c r="B82" s="538" t="str">
        <f>ULS!B488</f>
        <v>Positive</v>
      </c>
      <c r="C82" s="674"/>
      <c r="D82" s="115" t="str">
        <f>ULS!L1155</f>
        <v>noncompact</v>
      </c>
      <c r="E82" s="115"/>
      <c r="F82" s="538">
        <f>Stress!J886</f>
        <v>-32.387423705175699</v>
      </c>
      <c r="G82" s="538">
        <f>Stress!K886</f>
        <v>104.51381637231903</v>
      </c>
      <c r="H82" s="538">
        <f>ULS!L954</f>
        <v>0.99786917248109319</v>
      </c>
      <c r="I82" s="538">
        <f>0.95*H82*input!BI57</f>
        <v>360.2307712656746</v>
      </c>
      <c r="J82" s="686" t="str">
        <f t="shared" si="2"/>
        <v>-</v>
      </c>
      <c r="K82" s="691" t="str">
        <f t="shared" si="3"/>
        <v>-</v>
      </c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</row>
    <row r="83" spans="1:52" s="143" customFormat="1" ht="15" customHeight="1">
      <c r="A83" s="579" t="str">
        <f>+input!B58</f>
        <v>128j</v>
      </c>
      <c r="B83" s="538" t="str">
        <f>ULS!B489</f>
        <v>Positive</v>
      </c>
      <c r="C83" s="674"/>
      <c r="D83" s="115" t="str">
        <f>ULS!L1156</f>
        <v>noncompact</v>
      </c>
      <c r="E83" s="115"/>
      <c r="F83" s="538">
        <f>Stress!J887</f>
        <v>-40.640166668244198</v>
      </c>
      <c r="G83" s="538">
        <f>Stress!K887</f>
        <v>98.851041554692955</v>
      </c>
      <c r="H83" s="538">
        <f>ULS!L955</f>
        <v>0.99786917248109319</v>
      </c>
      <c r="I83" s="538">
        <f>0.95*H83*input!BI58</f>
        <v>360.2307712656746</v>
      </c>
      <c r="J83" s="686" t="str">
        <f t="shared" si="2"/>
        <v>-</v>
      </c>
      <c r="K83" s="691" t="str">
        <f t="shared" si="3"/>
        <v>-</v>
      </c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</row>
    <row r="84" spans="1:52" s="143" customFormat="1" ht="15" customHeight="1">
      <c r="A84" s="579" t="str">
        <f>+input!B59</f>
        <v>129i</v>
      </c>
      <c r="B84" s="538" t="str">
        <f>ULS!B490</f>
        <v>Positive</v>
      </c>
      <c r="C84" s="674"/>
      <c r="D84" s="115" t="str">
        <f>ULS!L1157</f>
        <v>noncompact</v>
      </c>
      <c r="E84" s="115"/>
      <c r="F84" s="538">
        <f>Stress!J888</f>
        <v>-40.640273772663001</v>
      </c>
      <c r="G84" s="538">
        <f>Stress!K888</f>
        <v>98.851143921311007</v>
      </c>
      <c r="H84" s="538">
        <f>ULS!L956</f>
        <v>0.99786917248109319</v>
      </c>
      <c r="I84" s="538">
        <f>0.95*H84*input!BI59</f>
        <v>360.2307712656746</v>
      </c>
      <c r="J84" s="686" t="str">
        <f t="shared" si="2"/>
        <v>-</v>
      </c>
      <c r="K84" s="691" t="str">
        <f t="shared" si="3"/>
        <v>-</v>
      </c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</row>
    <row r="85" spans="1:52" s="143" customFormat="1" ht="15" customHeight="1">
      <c r="A85" s="579" t="str">
        <f>+input!B60</f>
        <v>129j</v>
      </c>
      <c r="B85" s="538" t="str">
        <f>ULS!B491</f>
        <v>Positive</v>
      </c>
      <c r="C85" s="674"/>
      <c r="D85" s="115" t="str">
        <f>ULS!L1158</f>
        <v>noncompact</v>
      </c>
      <c r="E85" s="115"/>
      <c r="F85" s="538">
        <f>Stress!J889</f>
        <v>-19.135976955403198</v>
      </c>
      <c r="G85" s="538">
        <f>Stress!K889</f>
        <v>41.049651304115358</v>
      </c>
      <c r="H85" s="538">
        <f>ULS!L957</f>
        <v>0.99786917248109319</v>
      </c>
      <c r="I85" s="538">
        <f>0.95*H85*input!BI60</f>
        <v>360.2307712656746</v>
      </c>
      <c r="J85" s="686" t="str">
        <f t="shared" si="2"/>
        <v>-</v>
      </c>
      <c r="K85" s="691" t="str">
        <f t="shared" si="3"/>
        <v>-</v>
      </c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</row>
    <row r="86" spans="1:52" s="143" customFormat="1" ht="15" customHeight="1">
      <c r="A86" s="579" t="str">
        <f>+input!B61</f>
        <v>130i</v>
      </c>
      <c r="B86" s="538" t="str">
        <f>ULS!B492</f>
        <v>Positive</v>
      </c>
      <c r="C86" s="674"/>
      <c r="D86" s="115" t="str">
        <f>ULS!L1159</f>
        <v>noncompact</v>
      </c>
      <c r="E86" s="115"/>
      <c r="F86" s="538">
        <f>Stress!J890</f>
        <v>-20.883228992184055</v>
      </c>
      <c r="G86" s="538">
        <f>Stress!K890</f>
        <v>45.364783274106934</v>
      </c>
      <c r="H86" s="538">
        <f>ULS!L958</f>
        <v>0.99796211251019107</v>
      </c>
      <c r="I86" s="538">
        <f>0.95*H86*input!BI61</f>
        <v>360.26432261617896</v>
      </c>
      <c r="J86" s="686" t="str">
        <f t="shared" si="2"/>
        <v>-</v>
      </c>
      <c r="K86" s="691" t="str">
        <f t="shared" si="3"/>
        <v>-</v>
      </c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</row>
    <row r="87" spans="1:52" s="143" customFormat="1" ht="15" customHeight="1">
      <c r="A87" s="579" t="str">
        <f>+input!B62</f>
        <v>130j</v>
      </c>
      <c r="B87" s="538" t="str">
        <f>ULS!B493</f>
        <v>Negative</v>
      </c>
      <c r="C87" s="674"/>
      <c r="D87" s="115" t="str">
        <f>ULS!L1160</f>
        <v>-</v>
      </c>
      <c r="E87" s="115"/>
      <c r="F87" s="538">
        <f>Stress!J891</f>
        <v>1.7368375264845035</v>
      </c>
      <c r="G87" s="538">
        <f>Stress!K891</f>
        <v>-2.0720062237502197</v>
      </c>
      <c r="H87" s="538">
        <f>ULS!L959</f>
        <v>0.99855139265312309</v>
      </c>
      <c r="I87" s="538">
        <f>0.95*H87*input!BI62</f>
        <v>360.47705274777741</v>
      </c>
      <c r="J87" s="686" t="str">
        <f t="shared" si="2"/>
        <v>-</v>
      </c>
      <c r="K87" s="691" t="str">
        <f t="shared" si="3"/>
        <v>-</v>
      </c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</row>
    <row r="88" spans="1:52" s="143" customFormat="1" ht="15" customHeight="1">
      <c r="A88" s="579" t="str">
        <f>+input!B63</f>
        <v>131i</v>
      </c>
      <c r="B88" s="538" t="str">
        <f>ULS!B494</f>
        <v>Negative</v>
      </c>
      <c r="C88" s="674"/>
      <c r="D88" s="115" t="str">
        <f>ULS!L1161</f>
        <v>-</v>
      </c>
      <c r="E88" s="115"/>
      <c r="F88" s="538">
        <f>Stress!J892</f>
        <v>1.7372990617578352</v>
      </c>
      <c r="G88" s="538">
        <f>Stress!K892</f>
        <v>-2.0724070390995681</v>
      </c>
      <c r="H88" s="538">
        <f>ULS!L960</f>
        <v>0.99855139265312309</v>
      </c>
      <c r="I88" s="538">
        <f>0.95*H88*input!BI63</f>
        <v>360.47705274777741</v>
      </c>
      <c r="J88" s="686" t="str">
        <f t="shared" si="2"/>
        <v>-</v>
      </c>
      <c r="K88" s="691" t="str">
        <f t="shared" si="3"/>
        <v>-</v>
      </c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</row>
    <row r="89" spans="1:52" s="143" customFormat="1" ht="15" customHeight="1">
      <c r="A89" s="579" t="str">
        <f>+input!B64</f>
        <v>131j</v>
      </c>
      <c r="B89" s="538" t="str">
        <f>ULS!B495</f>
        <v>Positive</v>
      </c>
      <c r="C89" s="674"/>
      <c r="D89" s="115" t="str">
        <f>ULS!L1162</f>
        <v>noncompact</v>
      </c>
      <c r="E89" s="115"/>
      <c r="F89" s="538">
        <f>Stress!J893</f>
        <v>0</v>
      </c>
      <c r="G89" s="538">
        <f>Stress!K893</f>
        <v>0</v>
      </c>
      <c r="H89" s="538">
        <f>ULS!L961</f>
        <v>0.99796211251019107</v>
      </c>
      <c r="I89" s="538">
        <f>0.95*H89*input!BI64</f>
        <v>360.26432261617896</v>
      </c>
      <c r="J89" s="686" t="str">
        <f t="shared" si="2"/>
        <v>-</v>
      </c>
      <c r="K89" s="691" t="str">
        <f t="shared" si="3"/>
        <v>-</v>
      </c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</row>
    <row r="90" spans="1:52" s="143" customFormat="1" ht="15" customHeight="1">
      <c r="A90" s="288"/>
      <c r="B90" s="288"/>
      <c r="C90" s="288"/>
      <c r="D90" s="288"/>
      <c r="E90" s="288"/>
      <c r="F90" s="293"/>
      <c r="G90" s="288"/>
      <c r="H90" s="293"/>
      <c r="I90" s="288"/>
      <c r="J90" s="293"/>
      <c r="K90" s="293"/>
      <c r="L90" s="294"/>
      <c r="M90" s="294"/>
      <c r="N90" s="294"/>
      <c r="O90" s="294"/>
      <c r="P90" s="293"/>
      <c r="Q90" s="293"/>
      <c r="R90" s="293"/>
      <c r="S90" s="293"/>
      <c r="T90" s="291"/>
      <c r="U90" s="291"/>
      <c r="V90" s="295"/>
      <c r="W90" s="295"/>
      <c r="X90" s="295"/>
      <c r="Y90" s="295"/>
      <c r="Z90" s="288"/>
      <c r="AA90" s="170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505"/>
      <c r="AO90" s="73"/>
      <c r="AP90" s="73"/>
      <c r="AQ90" s="76"/>
      <c r="AR90" s="73"/>
      <c r="AS90" s="73"/>
    </row>
    <row r="91" spans="1:52" s="143" customFormat="1" ht="15" customHeight="1">
      <c r="A91" s="309"/>
      <c r="B91" s="309"/>
      <c r="C91" s="309"/>
      <c r="D91" s="309"/>
      <c r="E91" s="309"/>
      <c r="F91" s="313"/>
      <c r="G91" s="309"/>
      <c r="H91" s="313"/>
      <c r="I91" s="309"/>
      <c r="J91" s="313"/>
      <c r="K91" s="313"/>
      <c r="L91" s="294"/>
      <c r="Q91" s="313"/>
      <c r="R91" s="313"/>
      <c r="S91" s="313"/>
      <c r="T91" s="315"/>
      <c r="U91" s="315"/>
      <c r="V91" s="295"/>
      <c r="W91" s="295"/>
      <c r="X91" s="295"/>
      <c r="Y91" s="295"/>
      <c r="Z91" s="309"/>
      <c r="AA91" s="170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505"/>
      <c r="AO91" s="73"/>
      <c r="AP91" s="73"/>
      <c r="AQ91" s="76"/>
      <c r="AR91" s="73"/>
      <c r="AS91" s="73"/>
    </row>
    <row r="92" spans="1:52" s="143" customFormat="1" ht="15" customHeight="1">
      <c r="A92" s="296" t="s">
        <v>820</v>
      </c>
      <c r="K92" s="170"/>
      <c r="L92" s="309"/>
      <c r="M92" s="137" t="s">
        <v>819</v>
      </c>
      <c r="N92" s="170"/>
      <c r="P92" s="170"/>
      <c r="Q92" s="170"/>
      <c r="R92" s="170"/>
      <c r="S92" s="170"/>
      <c r="T92" s="170"/>
      <c r="U92" s="170"/>
      <c r="V92" s="170"/>
      <c r="W92" s="170"/>
      <c r="X92" s="309"/>
      <c r="Y92" s="170"/>
      <c r="Z92" s="309"/>
      <c r="AB92" s="170"/>
      <c r="AC92" s="309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269"/>
      <c r="AO92" s="122"/>
      <c r="AP92" s="122"/>
      <c r="AQ92" s="74"/>
      <c r="AR92" s="122"/>
      <c r="AS92" s="122"/>
      <c r="AT92" s="170"/>
      <c r="AU92" s="170"/>
      <c r="AV92" s="170"/>
      <c r="AW92" s="170"/>
      <c r="AX92" s="170"/>
      <c r="AY92" s="170"/>
      <c r="AZ92" s="170"/>
    </row>
    <row r="93" spans="1:52" s="143" customFormat="1" ht="15" customHeight="1">
      <c r="A93" s="296"/>
      <c r="D93" s="147" t="s">
        <v>206</v>
      </c>
      <c r="K93" s="170"/>
      <c r="L93" s="309"/>
      <c r="M93" s="170"/>
      <c r="N93" s="170"/>
      <c r="P93" s="170"/>
      <c r="Q93" s="170"/>
      <c r="R93" s="170"/>
      <c r="S93" s="170"/>
      <c r="T93" s="170"/>
      <c r="U93" s="170"/>
      <c r="V93" s="170"/>
      <c r="W93" s="170"/>
      <c r="X93" s="309"/>
      <c r="Y93" s="170"/>
      <c r="Z93" s="309"/>
      <c r="AA93" s="170"/>
      <c r="AB93" s="170"/>
      <c r="AC93" s="309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269"/>
      <c r="AO93" s="122"/>
      <c r="AP93" s="122"/>
      <c r="AQ93" s="74"/>
      <c r="AR93" s="122"/>
      <c r="AS93" s="122"/>
      <c r="AT93" s="170"/>
      <c r="AU93" s="170"/>
      <c r="AV93" s="170"/>
      <c r="AW93" s="170"/>
      <c r="AX93" s="170"/>
      <c r="AY93" s="170"/>
      <c r="AZ93" s="170"/>
    </row>
    <row r="94" spans="1:52" s="143" customFormat="1" ht="15" customHeight="1">
      <c r="B94" s="143" t="s">
        <v>323</v>
      </c>
      <c r="K94" s="170"/>
      <c r="L94" s="309"/>
      <c r="M94" s="170"/>
      <c r="N94" s="170"/>
      <c r="P94" s="170"/>
      <c r="Q94" s="170"/>
      <c r="R94" s="170"/>
      <c r="S94" s="170"/>
      <c r="T94" s="170"/>
      <c r="U94" s="170"/>
      <c r="V94" s="170"/>
      <c r="W94" s="170"/>
      <c r="X94" s="309"/>
      <c r="Y94" s="170"/>
      <c r="Z94" s="309"/>
      <c r="AA94" s="170"/>
      <c r="AB94" s="170"/>
      <c r="AC94" s="309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269"/>
      <c r="AO94" s="122"/>
      <c r="AP94" s="122"/>
      <c r="AQ94" s="74"/>
      <c r="AR94" s="122"/>
      <c r="AS94" s="122"/>
      <c r="AT94" s="170"/>
      <c r="AU94" s="170"/>
      <c r="AV94" s="170"/>
      <c r="AW94" s="170"/>
      <c r="AX94" s="170"/>
      <c r="AY94" s="170"/>
      <c r="AZ94" s="170"/>
    </row>
    <row r="95" spans="1:52" s="143" customFormat="1" ht="15" customHeight="1">
      <c r="B95" s="139"/>
      <c r="C95" s="170" t="s">
        <v>1252</v>
      </c>
      <c r="D95" s="138" t="s">
        <v>324</v>
      </c>
      <c r="E95" s="170" t="s">
        <v>1254</v>
      </c>
      <c r="K95" s="170"/>
      <c r="L95" s="309"/>
      <c r="M95" s="170"/>
      <c r="N95" s="170"/>
      <c r="P95" s="170"/>
      <c r="Q95" s="170"/>
      <c r="R95" s="170"/>
      <c r="S95" s="170"/>
      <c r="T95" s="170"/>
      <c r="U95" s="170"/>
      <c r="V95" s="170"/>
      <c r="W95" s="170"/>
      <c r="X95" s="309"/>
      <c r="Y95" s="170"/>
      <c r="Z95" s="309"/>
      <c r="AA95" s="170"/>
      <c r="AB95" s="170"/>
      <c r="AC95" s="309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269"/>
      <c r="AO95" s="122"/>
      <c r="AP95" s="122"/>
      <c r="AQ95" s="74"/>
      <c r="AR95" s="122"/>
      <c r="AS95" s="122"/>
      <c r="AT95" s="170"/>
      <c r="AU95" s="170"/>
      <c r="AV95" s="170"/>
      <c r="AW95" s="170"/>
      <c r="AX95" s="170"/>
      <c r="AY95" s="170"/>
      <c r="AZ95" s="170"/>
    </row>
    <row r="96" spans="1:52" s="143" customFormat="1" ht="15" customHeight="1">
      <c r="B96" s="139"/>
      <c r="C96" s="170" t="s">
        <v>415</v>
      </c>
      <c r="D96" s="138" t="s">
        <v>324</v>
      </c>
      <c r="E96" s="170" t="s">
        <v>824</v>
      </c>
      <c r="H96" s="170"/>
      <c r="I96" s="170"/>
      <c r="J96" s="170"/>
      <c r="K96" s="170"/>
      <c r="L96" s="309"/>
      <c r="M96" s="170"/>
      <c r="N96" s="170"/>
      <c r="P96" s="170"/>
      <c r="Q96" s="170"/>
      <c r="R96" s="170"/>
      <c r="S96" s="170"/>
      <c r="T96" s="170"/>
      <c r="U96" s="170"/>
      <c r="V96" s="170"/>
      <c r="W96" s="170"/>
      <c r="X96" s="309"/>
      <c r="Y96" s="170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505"/>
      <c r="AO96" s="73"/>
      <c r="AP96" s="73"/>
      <c r="AQ96" s="76"/>
      <c r="AR96" s="73"/>
      <c r="AS96" s="73"/>
    </row>
    <row r="97" spans="1:45" s="143" customFormat="1" ht="15" customHeight="1">
      <c r="B97" s="139"/>
      <c r="C97" s="1870" t="s">
        <v>415</v>
      </c>
      <c r="D97" s="2004" t="s">
        <v>324</v>
      </c>
      <c r="E97" s="112" t="s">
        <v>259</v>
      </c>
      <c r="F97" s="1938" t="s">
        <v>260</v>
      </c>
      <c r="G97" s="1938"/>
      <c r="H97" s="1938"/>
      <c r="I97" s="1938"/>
      <c r="J97" s="135"/>
      <c r="K97" s="135"/>
      <c r="L97" s="135"/>
      <c r="M97" s="137" t="s">
        <v>825</v>
      </c>
      <c r="Q97" s="170"/>
      <c r="R97" s="170"/>
      <c r="S97" s="170"/>
      <c r="T97" s="170"/>
      <c r="U97" s="170"/>
      <c r="V97" s="170"/>
      <c r="W97" s="170"/>
      <c r="X97" s="309"/>
      <c r="Y97" s="170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505"/>
      <c r="AO97" s="73"/>
      <c r="AP97" s="73"/>
      <c r="AQ97" s="76"/>
      <c r="AR97" s="73"/>
      <c r="AS97" s="73"/>
    </row>
    <row r="98" spans="1:45" s="143" customFormat="1" ht="15" customHeight="1">
      <c r="A98" s="134"/>
      <c r="B98" s="207"/>
      <c r="C98" s="1870"/>
      <c r="D98" s="2004"/>
      <c r="E98" s="365" t="s">
        <v>261</v>
      </c>
      <c r="F98" s="1938"/>
      <c r="G98" s="1938"/>
      <c r="H98" s="1938"/>
      <c r="I98" s="1938"/>
      <c r="J98" s="135"/>
      <c r="K98" s="135"/>
      <c r="L98" s="135"/>
      <c r="M98" s="135"/>
      <c r="N98" s="135"/>
      <c r="O98" s="135"/>
      <c r="P98" s="170"/>
      <c r="Q98" s="170"/>
      <c r="R98" s="170"/>
      <c r="S98" s="170"/>
      <c r="T98" s="170"/>
      <c r="U98" s="170"/>
      <c r="V98" s="170"/>
      <c r="W98" s="170"/>
      <c r="X98" s="170"/>
      <c r="Y98" s="309"/>
      <c r="Z98" s="170"/>
      <c r="AA98" s="108"/>
      <c r="AD98" s="559"/>
      <c r="AE98" s="73"/>
      <c r="AF98" s="559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</row>
    <row r="99" spans="1:45" s="143" customFormat="1" ht="15" customHeight="1">
      <c r="A99" s="88"/>
      <c r="B99" s="95"/>
      <c r="C99" s="135"/>
      <c r="D99" s="135"/>
      <c r="O99" s="170"/>
      <c r="P99" s="170"/>
      <c r="Q99" s="170"/>
      <c r="R99" s="170"/>
      <c r="S99" s="170"/>
      <c r="T99" s="170"/>
      <c r="AD99" s="73"/>
      <c r="AE99" s="73"/>
      <c r="AF99" s="559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</row>
    <row r="100" spans="1:45" s="143" customFormat="1" ht="15" customHeight="1">
      <c r="A100" s="170"/>
      <c r="B100" s="134" t="s">
        <v>849</v>
      </c>
      <c r="C100" s="170" t="s">
        <v>2144</v>
      </c>
      <c r="D100" s="334"/>
      <c r="E100" s="334"/>
      <c r="F100" s="334"/>
      <c r="G100" s="334"/>
      <c r="H100" s="334"/>
      <c r="I100" s="334"/>
      <c r="J100" s="170"/>
      <c r="K100" s="170"/>
      <c r="L100" s="170"/>
      <c r="M100" s="1117"/>
      <c r="N100" s="170"/>
      <c r="P100" s="170"/>
      <c r="Q100" s="170"/>
      <c r="R100" s="170"/>
      <c r="X100" s="170"/>
      <c r="Y100" s="1117"/>
      <c r="Z100" s="170"/>
      <c r="AA100" s="170"/>
      <c r="AB100" s="73"/>
      <c r="AD100" s="559"/>
      <c r="AE100" s="73"/>
      <c r="AF100" s="559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</row>
    <row r="101" spans="1:45" s="143" customFormat="1" ht="15" customHeight="1">
      <c r="A101" s="170"/>
      <c r="B101" s="134"/>
      <c r="C101" s="115" t="s">
        <v>2249</v>
      </c>
      <c r="D101" s="1126"/>
      <c r="E101" s="1126"/>
      <c r="F101" s="1126"/>
      <c r="G101" s="115" t="s">
        <v>2248</v>
      </c>
      <c r="H101" s="334"/>
      <c r="I101" s="334"/>
      <c r="J101" s="170"/>
      <c r="K101" s="170"/>
      <c r="L101" s="170"/>
      <c r="M101" s="1117"/>
      <c r="N101" s="170"/>
      <c r="P101" s="170"/>
      <c r="Q101" s="170"/>
      <c r="R101" s="170"/>
      <c r="X101" s="170"/>
      <c r="Y101" s="1117"/>
      <c r="Z101" s="170"/>
      <c r="AA101" s="170"/>
      <c r="AB101" s="73"/>
      <c r="AD101" s="559"/>
      <c r="AE101" s="73"/>
      <c r="AF101" s="559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</row>
    <row r="102" spans="1:45" s="143" customFormat="1" ht="15" customHeight="1">
      <c r="A102" s="170"/>
      <c r="B102" s="134"/>
      <c r="C102" s="145" t="s">
        <v>2225</v>
      </c>
      <c r="D102" s="140"/>
      <c r="E102" s="140"/>
      <c r="F102" s="140"/>
      <c r="G102" s="140"/>
      <c r="H102" s="140"/>
      <c r="I102" s="140"/>
      <c r="J102" s="170"/>
      <c r="K102" s="170"/>
      <c r="L102" s="170"/>
      <c r="M102" s="108" t="s">
        <v>2224</v>
      </c>
      <c r="N102" s="170"/>
      <c r="P102" s="170"/>
      <c r="Q102" s="170"/>
      <c r="R102" s="170"/>
      <c r="X102" s="170"/>
      <c r="Y102" s="1117"/>
      <c r="Z102" s="170"/>
      <c r="AA102" s="170"/>
      <c r="AB102" s="73"/>
      <c r="AD102" s="559"/>
      <c r="AE102" s="73"/>
      <c r="AF102" s="559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</row>
    <row r="103" spans="1:45" s="143" customFormat="1" ht="15" customHeight="1">
      <c r="A103" s="170"/>
      <c r="B103" s="170"/>
      <c r="C103" s="148" t="s">
        <v>134</v>
      </c>
      <c r="D103" s="148"/>
      <c r="E103" s="148"/>
      <c r="F103" s="148"/>
      <c r="G103" s="148"/>
      <c r="H103" s="148" t="s">
        <v>129</v>
      </c>
      <c r="I103" s="148"/>
      <c r="J103" s="148"/>
      <c r="K103" s="148"/>
      <c r="L103" s="148"/>
      <c r="X103" s="170"/>
      <c r="Y103" s="1117"/>
      <c r="Z103" s="170"/>
      <c r="AA103" s="170"/>
      <c r="AB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</row>
    <row r="104" spans="1:45" s="143" customFormat="1" ht="15" customHeight="1">
      <c r="A104" s="170"/>
      <c r="B104" s="170"/>
      <c r="C104" s="122" t="s">
        <v>826</v>
      </c>
      <c r="D104" s="122"/>
      <c r="E104" s="122"/>
      <c r="F104" s="122"/>
      <c r="G104" s="122"/>
      <c r="H104" s="1928">
        <v>7.2</v>
      </c>
      <c r="I104" s="1928"/>
      <c r="J104" s="122"/>
      <c r="K104" s="122"/>
      <c r="L104" s="122"/>
      <c r="X104" s="170"/>
      <c r="Y104" s="1117"/>
      <c r="Z104" s="170"/>
      <c r="AA104" s="170"/>
      <c r="AB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</row>
    <row r="105" spans="1:45" s="143" customFormat="1" ht="15" customHeight="1">
      <c r="A105" s="170"/>
      <c r="B105" s="170"/>
      <c r="C105" s="122" t="s">
        <v>827</v>
      </c>
      <c r="D105" s="122"/>
      <c r="E105" s="122"/>
      <c r="F105" s="122"/>
      <c r="G105" s="122"/>
      <c r="H105" s="122"/>
      <c r="I105" s="122"/>
      <c r="J105" s="122"/>
      <c r="K105" s="122"/>
      <c r="L105" s="122"/>
      <c r="X105" s="170"/>
      <c r="Y105" s="1117"/>
      <c r="Z105" s="170"/>
      <c r="AA105" s="170"/>
      <c r="AB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</row>
    <row r="106" spans="1:45" s="143" customFormat="1" ht="15" customHeight="1">
      <c r="B106" s="170"/>
      <c r="D106" s="170" t="s">
        <v>1704</v>
      </c>
      <c r="E106" s="170"/>
      <c r="F106" s="170"/>
      <c r="G106" s="170"/>
      <c r="H106" s="170" t="s">
        <v>1706</v>
      </c>
      <c r="I106" s="170"/>
      <c r="J106" s="170"/>
      <c r="K106" s="170"/>
      <c r="L106" s="170"/>
      <c r="M106" s="170"/>
      <c r="N106" s="170"/>
      <c r="O106" s="170"/>
      <c r="P106" s="170"/>
      <c r="Q106" s="170"/>
      <c r="R106" s="170"/>
      <c r="S106" s="170"/>
      <c r="T106" s="170"/>
      <c r="U106" s="170"/>
      <c r="V106" s="170"/>
      <c r="W106" s="170"/>
      <c r="X106" s="170"/>
      <c r="Y106" s="1117"/>
      <c r="Z106" s="170"/>
      <c r="AA106" s="170"/>
      <c r="AB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</row>
    <row r="107" spans="1:45" s="143" customFormat="1" ht="15" customHeight="1">
      <c r="B107" s="170"/>
      <c r="C107" s="145"/>
      <c r="D107" s="145" t="s">
        <v>1705</v>
      </c>
      <c r="E107" s="145"/>
      <c r="F107" s="145"/>
      <c r="G107" s="145"/>
      <c r="H107" s="145" t="s">
        <v>264</v>
      </c>
      <c r="I107" s="145"/>
      <c r="J107" s="145"/>
      <c r="K107" s="145"/>
      <c r="L107" s="145"/>
      <c r="M107" s="170"/>
      <c r="N107" s="170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117"/>
      <c r="Z107" s="170"/>
      <c r="AA107" s="170"/>
      <c r="AB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</row>
    <row r="108" spans="1:45" s="143" customFormat="1" ht="15" customHeight="1">
      <c r="R108" s="170"/>
      <c r="S108" s="170"/>
      <c r="T108" s="170"/>
      <c r="U108" s="170"/>
      <c r="V108" s="170"/>
      <c r="W108" s="170"/>
      <c r="X108" s="170"/>
      <c r="Y108" s="1117"/>
      <c r="Z108" s="170"/>
      <c r="AA108" s="170"/>
      <c r="AB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</row>
    <row r="109" spans="1:45" s="143" customFormat="1" ht="15" customHeight="1">
      <c r="C109" s="170" t="s">
        <v>381</v>
      </c>
      <c r="D109" s="138" t="s">
        <v>324</v>
      </c>
      <c r="E109" s="170" t="s">
        <v>434</v>
      </c>
      <c r="R109" s="170"/>
      <c r="S109" s="170"/>
      <c r="T109" s="170"/>
      <c r="U109" s="170"/>
      <c r="V109" s="170"/>
      <c r="W109" s="170"/>
      <c r="X109" s="170"/>
      <c r="Y109" s="1117"/>
      <c r="Z109" s="170"/>
      <c r="AA109" s="170"/>
      <c r="AB109" s="73"/>
      <c r="AD109" s="559"/>
      <c r="AE109" s="73"/>
      <c r="AF109" s="559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</row>
    <row r="110" spans="1:45" s="143" customFormat="1" ht="15" customHeight="1">
      <c r="C110" s="170"/>
      <c r="D110" s="138" t="s">
        <v>324</v>
      </c>
      <c r="E110" s="170" t="s">
        <v>2134</v>
      </c>
      <c r="R110" s="170"/>
      <c r="S110" s="170"/>
      <c r="T110" s="170"/>
      <c r="U110" s="170"/>
      <c r="V110" s="170"/>
      <c r="W110" s="170"/>
      <c r="X110" s="170"/>
      <c r="Y110" s="1117"/>
      <c r="Z110" s="170"/>
      <c r="AA110" s="170"/>
      <c r="AB110" s="73"/>
      <c r="AD110" s="559"/>
      <c r="AE110" s="73"/>
      <c r="AF110" s="559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</row>
    <row r="111" spans="1:45" s="143" customFormat="1" ht="15" customHeight="1">
      <c r="C111" s="170" t="s">
        <v>433</v>
      </c>
      <c r="D111" s="138" t="s">
        <v>324</v>
      </c>
      <c r="E111" s="170" t="s">
        <v>435</v>
      </c>
      <c r="R111" s="170"/>
      <c r="S111" s="170"/>
      <c r="T111" s="170"/>
      <c r="U111" s="170"/>
      <c r="V111" s="170"/>
      <c r="W111" s="170"/>
      <c r="X111" s="170"/>
      <c r="Y111" s="1117"/>
      <c r="Z111" s="170"/>
      <c r="AA111" s="170"/>
      <c r="AB111" s="73"/>
      <c r="AD111" s="559"/>
      <c r="AE111" s="73"/>
      <c r="AF111" s="559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</row>
    <row r="112" spans="1:45" s="143" customFormat="1" ht="15" customHeight="1">
      <c r="C112" s="170" t="s">
        <v>2237</v>
      </c>
      <c r="D112" s="138"/>
      <c r="E112" s="170"/>
      <c r="R112" s="170"/>
      <c r="S112" s="170"/>
      <c r="T112" s="170"/>
      <c r="U112" s="170"/>
      <c r="V112" s="170"/>
      <c r="W112" s="170"/>
      <c r="X112" s="170"/>
      <c r="Y112" s="1117"/>
      <c r="Z112" s="170"/>
      <c r="AA112" s="170"/>
      <c r="AB112" s="73"/>
      <c r="AD112" s="559"/>
      <c r="AE112" s="73"/>
      <c r="AF112" s="559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</row>
    <row r="113" spans="1:45" s="143" customFormat="1" ht="15" customHeight="1">
      <c r="C113" s="170"/>
      <c r="D113" s="138"/>
      <c r="E113" s="170"/>
      <c r="R113" s="170"/>
      <c r="S113" s="170"/>
      <c r="T113" s="170"/>
      <c r="U113" s="170"/>
      <c r="V113" s="170"/>
      <c r="W113" s="170"/>
      <c r="X113" s="170"/>
      <c r="Y113" s="1117"/>
      <c r="Z113" s="170"/>
      <c r="AA113" s="170"/>
      <c r="AB113" s="73"/>
      <c r="AD113" s="559"/>
      <c r="AE113" s="73"/>
      <c r="AF113" s="559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</row>
    <row r="114" spans="1:45" s="143" customFormat="1" ht="15" customHeight="1">
      <c r="C114" s="170" t="s">
        <v>2250</v>
      </c>
      <c r="D114" s="138"/>
      <c r="E114" s="170"/>
      <c r="R114" s="170"/>
      <c r="S114" s="170"/>
      <c r="T114" s="170"/>
      <c r="U114" s="170"/>
      <c r="V114" s="170"/>
      <c r="W114" s="170"/>
      <c r="X114" s="170"/>
      <c r="Y114" s="1117"/>
      <c r="Z114" s="170"/>
      <c r="AA114" s="170"/>
      <c r="AB114" s="73"/>
      <c r="AD114" s="559"/>
      <c r="AE114" s="73"/>
      <c r="AF114" s="559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</row>
    <row r="115" spans="1:45" s="143" customFormat="1" ht="15" customHeight="1">
      <c r="C115" s="334" t="s">
        <v>2251</v>
      </c>
      <c r="D115" s="138"/>
      <c r="E115" s="170"/>
      <c r="R115" s="170"/>
      <c r="S115" s="170"/>
      <c r="T115" s="170"/>
      <c r="U115" s="170"/>
      <c r="V115" s="170"/>
      <c r="W115" s="170"/>
      <c r="X115" s="170"/>
      <c r="Y115" s="1117"/>
      <c r="Z115" s="170"/>
      <c r="AA115" s="170"/>
      <c r="AB115" s="73"/>
      <c r="AD115" s="559"/>
      <c r="AE115" s="73"/>
      <c r="AF115" s="559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</row>
    <row r="116" spans="1:45" s="143" customFormat="1" ht="15" customHeight="1">
      <c r="C116" s="334" t="s">
        <v>2252</v>
      </c>
      <c r="D116" s="138"/>
      <c r="E116" s="170"/>
      <c r="R116" s="170"/>
      <c r="S116" s="170"/>
      <c r="T116" s="170"/>
      <c r="U116" s="170"/>
      <c r="V116" s="170"/>
      <c r="W116" s="170"/>
      <c r="X116" s="170"/>
      <c r="Y116" s="1117"/>
      <c r="Z116" s="170"/>
      <c r="AA116" s="170"/>
      <c r="AB116" s="73"/>
      <c r="AD116" s="559"/>
      <c r="AE116" s="73"/>
      <c r="AF116" s="559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</row>
    <row r="117" spans="1:45" s="143" customFormat="1" ht="15" customHeight="1">
      <c r="A117" s="170"/>
      <c r="B117" s="170"/>
      <c r="C117" s="1120" t="s">
        <v>134</v>
      </c>
      <c r="D117" s="1120"/>
      <c r="E117" s="1120"/>
      <c r="F117" s="1120"/>
      <c r="G117" s="1120"/>
      <c r="H117" s="1120" t="s">
        <v>129</v>
      </c>
      <c r="I117" s="1120"/>
      <c r="J117" s="1120"/>
      <c r="K117" s="1120"/>
      <c r="L117" s="1120"/>
      <c r="X117" s="170"/>
      <c r="Y117" s="1117"/>
      <c r="Z117" s="170"/>
      <c r="AA117" s="170"/>
      <c r="AB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</row>
    <row r="118" spans="1:45" s="143" customFormat="1" ht="15" customHeight="1">
      <c r="A118" s="170"/>
      <c r="B118" s="170"/>
      <c r="C118" s="1125" t="s">
        <v>2243</v>
      </c>
      <c r="D118" s="170"/>
      <c r="E118" s="122" t="s">
        <v>2228</v>
      </c>
      <c r="F118" s="122"/>
      <c r="G118" s="122"/>
      <c r="H118" s="53" t="s">
        <v>2242</v>
      </c>
      <c r="I118" s="53"/>
      <c r="J118" s="122"/>
      <c r="K118" s="122"/>
      <c r="L118" s="122"/>
      <c r="X118" s="170"/>
      <c r="Y118" s="1117"/>
      <c r="Z118" s="170"/>
      <c r="AA118" s="170"/>
      <c r="AB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</row>
    <row r="119" spans="1:45" s="143" customFormat="1" ht="15" customHeight="1">
      <c r="A119" s="170"/>
      <c r="B119" s="170"/>
      <c r="C119" s="118"/>
      <c r="D119" s="118"/>
      <c r="E119" s="380" t="s">
        <v>2229</v>
      </c>
      <c r="F119" s="380"/>
      <c r="G119" s="380"/>
      <c r="H119" s="1124" t="s">
        <v>2230</v>
      </c>
      <c r="I119" s="380"/>
      <c r="J119" s="380"/>
      <c r="K119" s="380"/>
      <c r="L119" s="380"/>
      <c r="X119" s="170"/>
      <c r="Y119" s="1117"/>
      <c r="Z119" s="170"/>
      <c r="AA119" s="170"/>
      <c r="AB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</row>
    <row r="120" spans="1:45" s="143" customFormat="1" ht="15" customHeight="1">
      <c r="A120" s="170"/>
      <c r="B120" s="170"/>
      <c r="C120" s="669" t="s">
        <v>2244</v>
      </c>
      <c r="D120" s="149"/>
      <c r="E120" s="149"/>
      <c r="F120" s="149"/>
      <c r="G120" s="149"/>
      <c r="H120" s="1121" t="s">
        <v>2245</v>
      </c>
      <c r="I120" s="149"/>
      <c r="J120" s="149"/>
      <c r="K120" s="149"/>
      <c r="L120" s="149"/>
      <c r="X120" s="170"/>
      <c r="Y120" s="1117"/>
      <c r="Z120" s="170"/>
      <c r="AA120" s="170"/>
      <c r="AB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</row>
    <row r="121" spans="1:45" s="143" customFormat="1" ht="15" customHeight="1">
      <c r="C121" s="334"/>
      <c r="D121" s="138"/>
      <c r="E121" s="170"/>
      <c r="R121" s="170"/>
      <c r="S121" s="170"/>
      <c r="T121" s="170"/>
      <c r="U121" s="170"/>
      <c r="V121" s="170"/>
      <c r="W121" s="170"/>
      <c r="X121" s="170"/>
      <c r="Y121" s="1117"/>
      <c r="Z121" s="170"/>
      <c r="AA121" s="170"/>
      <c r="AB121" s="73"/>
      <c r="AD121" s="559"/>
      <c r="AE121" s="73"/>
      <c r="AF121" s="559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</row>
    <row r="122" spans="1:45" s="143" customFormat="1" ht="15" customHeight="1">
      <c r="C122" s="170" t="s">
        <v>2231</v>
      </c>
      <c r="D122" s="138" t="s">
        <v>324</v>
      </c>
      <c r="E122" s="170" t="s">
        <v>2232</v>
      </c>
      <c r="R122" s="170"/>
      <c r="S122" s="170"/>
      <c r="T122" s="170"/>
      <c r="U122" s="170"/>
      <c r="V122" s="170"/>
      <c r="W122" s="170"/>
      <c r="X122" s="170"/>
      <c r="Y122" s="1117"/>
      <c r="Z122" s="170"/>
      <c r="AA122" s="170"/>
      <c r="AB122" s="73"/>
      <c r="AD122" s="559"/>
      <c r="AE122" s="73"/>
      <c r="AF122" s="559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</row>
    <row r="123" spans="1:45" s="143" customFormat="1" ht="15" customHeight="1">
      <c r="C123" s="334"/>
      <c r="D123" s="138"/>
      <c r="E123" s="170" t="s">
        <v>2233</v>
      </c>
      <c r="R123" s="170"/>
      <c r="S123" s="170"/>
      <c r="T123" s="170"/>
      <c r="U123" s="170"/>
      <c r="V123" s="170"/>
      <c r="W123" s="170"/>
      <c r="X123" s="170"/>
      <c r="Y123" s="1117"/>
      <c r="Z123" s="170"/>
      <c r="AA123" s="170"/>
      <c r="AB123" s="73"/>
      <c r="AD123" s="559"/>
      <c r="AE123" s="73"/>
      <c r="AF123" s="559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</row>
    <row r="124" spans="1:45" s="143" customFormat="1" ht="15" customHeight="1">
      <c r="C124" s="1122" t="s">
        <v>2234</v>
      </c>
      <c r="D124" s="138" t="s">
        <v>2235</v>
      </c>
      <c r="E124" s="170" t="s">
        <v>2236</v>
      </c>
      <c r="R124" s="170"/>
      <c r="S124" s="170"/>
      <c r="T124" s="170"/>
      <c r="U124" s="170"/>
      <c r="V124" s="170"/>
      <c r="W124" s="170"/>
      <c r="X124" s="170"/>
      <c r="Y124" s="1117"/>
      <c r="Z124" s="170"/>
      <c r="AA124" s="170"/>
      <c r="AB124" s="73"/>
      <c r="AD124" s="559"/>
      <c r="AE124" s="73"/>
      <c r="AF124" s="559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</row>
    <row r="125" spans="1:45" s="143" customFormat="1" ht="15" customHeight="1">
      <c r="C125" s="218" t="s">
        <v>2246</v>
      </c>
      <c r="D125" s="138"/>
      <c r="E125" s="170"/>
      <c r="R125" s="170"/>
      <c r="S125" s="170"/>
      <c r="T125" s="170"/>
      <c r="U125" s="170"/>
      <c r="V125" s="170"/>
      <c r="W125" s="170"/>
      <c r="X125" s="170"/>
      <c r="Y125" s="1117"/>
      <c r="Z125" s="170"/>
      <c r="AA125" s="170"/>
      <c r="AB125" s="73"/>
      <c r="AD125" s="559"/>
      <c r="AE125" s="73"/>
      <c r="AF125" s="559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</row>
    <row r="126" spans="1:45" s="143" customFormat="1" ht="15" customHeight="1">
      <c r="C126" s="218" t="s">
        <v>2247</v>
      </c>
      <c r="D126" s="138"/>
      <c r="E126" s="170"/>
      <c r="R126" s="170"/>
      <c r="S126" s="170"/>
      <c r="T126" s="170"/>
      <c r="U126" s="170"/>
      <c r="V126" s="170"/>
      <c r="W126" s="170"/>
      <c r="X126" s="170"/>
      <c r="Y126" s="1117"/>
      <c r="Z126" s="170"/>
      <c r="AA126" s="170"/>
      <c r="AB126" s="73"/>
      <c r="AD126" s="559"/>
      <c r="AE126" s="73"/>
      <c r="AF126" s="559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</row>
    <row r="127" spans="1:45" s="143" customFormat="1" ht="15" customHeight="1">
      <c r="C127" s="218"/>
      <c r="D127" s="138"/>
      <c r="E127" s="170"/>
      <c r="R127" s="170"/>
      <c r="S127" s="170"/>
      <c r="T127" s="170"/>
      <c r="U127" s="170"/>
      <c r="V127" s="170"/>
      <c r="W127" s="170"/>
      <c r="X127" s="170"/>
      <c r="Y127" s="1117"/>
      <c r="Z127" s="170"/>
      <c r="AA127" s="170"/>
      <c r="AB127" s="73"/>
      <c r="AD127" s="559"/>
      <c r="AE127" s="73"/>
      <c r="AF127" s="559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</row>
    <row r="128" spans="1:45" s="143" customFormat="1" ht="15" customHeight="1">
      <c r="A128" s="134"/>
      <c r="B128" s="134" t="s">
        <v>849</v>
      </c>
      <c r="C128" s="170" t="s">
        <v>850</v>
      </c>
      <c r="D128" s="334"/>
      <c r="E128" s="334"/>
      <c r="F128" s="334"/>
      <c r="G128" s="100"/>
      <c r="H128" s="170"/>
      <c r="I128" s="170"/>
      <c r="J128" s="170"/>
      <c r="K128" s="170"/>
      <c r="L128" s="329"/>
      <c r="M128" s="170"/>
      <c r="N128" s="170"/>
      <c r="O128" s="170"/>
      <c r="Q128" s="170"/>
      <c r="R128" s="170"/>
      <c r="S128" s="170"/>
      <c r="T128" s="170"/>
      <c r="U128" s="170"/>
      <c r="V128" s="170"/>
      <c r="W128" s="170"/>
      <c r="X128" s="170"/>
      <c r="Y128" s="329"/>
      <c r="Z128" s="170"/>
      <c r="AD128" s="559"/>
      <c r="AE128" s="73"/>
      <c r="AF128" s="559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</row>
    <row r="129" spans="1:45" s="143" customFormat="1" ht="15" customHeight="1">
      <c r="A129" s="134"/>
      <c r="C129" s="170"/>
      <c r="D129" s="170"/>
      <c r="E129" s="138"/>
      <c r="F129" s="170"/>
      <c r="G129" s="100"/>
      <c r="H129" s="170"/>
      <c r="I129" s="170"/>
      <c r="J129" s="170"/>
      <c r="K129" s="170"/>
      <c r="L129" s="329"/>
      <c r="M129" s="137" t="s">
        <v>851</v>
      </c>
      <c r="P129" s="170"/>
      <c r="Q129" s="170"/>
      <c r="R129" s="170"/>
      <c r="S129" s="170"/>
      <c r="T129" s="170"/>
      <c r="U129" s="170"/>
      <c r="V129" s="170"/>
      <c r="W129" s="170"/>
      <c r="X129" s="170"/>
      <c r="Y129" s="329"/>
      <c r="Z129" s="170"/>
      <c r="AA129" s="170"/>
      <c r="AD129" s="559"/>
      <c r="AE129" s="73"/>
      <c r="AF129" s="559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</row>
    <row r="130" spans="1:45" s="143" customFormat="1" ht="15" customHeight="1">
      <c r="A130" s="134"/>
      <c r="C130" s="170"/>
      <c r="D130" s="170"/>
      <c r="E130" s="138"/>
      <c r="F130" s="170"/>
      <c r="G130" s="100"/>
      <c r="H130" s="170"/>
      <c r="I130" s="170"/>
      <c r="J130" s="170"/>
      <c r="K130" s="170"/>
      <c r="L130" s="329"/>
      <c r="M130" s="170"/>
      <c r="N130" s="170"/>
      <c r="O130" s="170"/>
      <c r="P130" s="170"/>
      <c r="Q130" s="170"/>
      <c r="R130" s="170"/>
      <c r="S130" s="170"/>
      <c r="T130" s="170"/>
      <c r="U130" s="170"/>
      <c r="V130" s="170"/>
      <c r="W130" s="170"/>
      <c r="X130" s="170"/>
      <c r="Y130" s="329"/>
      <c r="Z130" s="170"/>
      <c r="AA130" s="170"/>
      <c r="AD130" s="559"/>
      <c r="AE130" s="73"/>
      <c r="AF130" s="559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</row>
    <row r="131" spans="1:45" s="143" customFormat="1" ht="15" customHeight="1">
      <c r="A131" s="134"/>
      <c r="C131" s="170"/>
      <c r="D131" s="170"/>
      <c r="E131" s="138"/>
      <c r="F131" s="170"/>
      <c r="G131" s="100"/>
      <c r="H131" s="170"/>
      <c r="I131" s="170"/>
      <c r="J131" s="170"/>
      <c r="K131" s="170"/>
      <c r="L131" s="329"/>
      <c r="M131" s="170"/>
      <c r="N131" s="170"/>
      <c r="O131" s="170"/>
      <c r="P131" s="170"/>
      <c r="Q131" s="170"/>
      <c r="R131" s="170"/>
      <c r="S131" s="170"/>
      <c r="T131" s="170"/>
      <c r="U131" s="170"/>
      <c r="V131" s="170"/>
      <c r="W131" s="170"/>
      <c r="X131" s="170"/>
      <c r="Y131" s="329"/>
      <c r="Z131" s="170"/>
      <c r="AA131" s="170"/>
      <c r="AD131" s="559"/>
      <c r="AE131" s="73"/>
      <c r="AF131" s="559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</row>
    <row r="132" spans="1:45" s="143" customFormat="1" ht="15" customHeight="1">
      <c r="A132" s="134"/>
      <c r="C132" s="170"/>
      <c r="D132" s="170"/>
      <c r="E132" s="138"/>
      <c r="F132" s="170"/>
      <c r="G132" s="100"/>
      <c r="H132" s="170"/>
      <c r="I132" s="170"/>
      <c r="J132" s="170"/>
      <c r="K132" s="170"/>
      <c r="L132" s="329"/>
      <c r="M132" s="170"/>
      <c r="N132" s="170"/>
      <c r="O132" s="170"/>
      <c r="P132" s="170"/>
      <c r="Q132" s="170"/>
      <c r="R132" s="170"/>
      <c r="S132" s="170"/>
      <c r="T132" s="170"/>
      <c r="U132" s="170"/>
      <c r="V132" s="170"/>
      <c r="W132" s="170"/>
      <c r="X132" s="170"/>
      <c r="Y132" s="329"/>
      <c r="Z132" s="170"/>
      <c r="AA132" s="170"/>
      <c r="AD132" s="559"/>
      <c r="AE132" s="73"/>
      <c r="AF132" s="559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</row>
    <row r="133" spans="1:45" s="143" customFormat="1" ht="15" customHeight="1">
      <c r="A133" s="134"/>
      <c r="C133" s="170"/>
      <c r="D133" s="170"/>
      <c r="E133" s="138"/>
      <c r="F133" s="170"/>
      <c r="G133" s="100"/>
      <c r="H133" s="170"/>
      <c r="I133" s="170"/>
      <c r="J133" s="170"/>
      <c r="K133" s="170"/>
      <c r="L133" s="329"/>
      <c r="M133" s="170"/>
      <c r="N133" s="170"/>
      <c r="O133" s="170"/>
      <c r="P133" s="170"/>
      <c r="Q133" s="170"/>
      <c r="R133" s="170"/>
      <c r="S133" s="170"/>
      <c r="T133" s="170"/>
      <c r="U133" s="170"/>
      <c r="V133" s="170"/>
      <c r="W133" s="170"/>
      <c r="X133" s="170"/>
      <c r="Y133" s="329"/>
      <c r="Z133" s="170"/>
      <c r="AA133" s="170"/>
      <c r="AD133" s="559"/>
      <c r="AE133" s="73"/>
      <c r="AF133" s="559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</row>
    <row r="134" spans="1:45" s="143" customFormat="1" ht="15" customHeight="1">
      <c r="A134" s="134"/>
      <c r="C134" s="170"/>
      <c r="D134" s="170"/>
      <c r="E134" s="138"/>
      <c r="F134" s="170"/>
      <c r="G134" s="100"/>
      <c r="H134" s="170"/>
      <c r="I134" s="170"/>
      <c r="J134" s="170"/>
      <c r="K134" s="170"/>
      <c r="L134" s="329"/>
      <c r="M134" s="170"/>
      <c r="N134" s="170"/>
      <c r="O134" s="170"/>
      <c r="P134" s="170"/>
      <c r="Q134" s="170"/>
      <c r="R134" s="170"/>
      <c r="S134" s="170"/>
      <c r="T134" s="170"/>
      <c r="U134" s="170"/>
      <c r="V134" s="170"/>
      <c r="W134" s="170"/>
      <c r="X134" s="170"/>
      <c r="Y134" s="329"/>
      <c r="Z134" s="170"/>
      <c r="AA134" s="170"/>
      <c r="AD134" s="559"/>
      <c r="AE134" s="73"/>
      <c r="AF134" s="5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</row>
    <row r="135" spans="1:45" s="143" customFormat="1" ht="15" customHeight="1">
      <c r="A135" s="134"/>
      <c r="C135" s="170"/>
      <c r="D135" s="170"/>
      <c r="E135" s="138"/>
      <c r="F135" s="170"/>
      <c r="G135" s="100"/>
      <c r="H135" s="170"/>
      <c r="I135" s="170"/>
      <c r="J135" s="170"/>
      <c r="K135" s="170"/>
      <c r="L135" s="329"/>
      <c r="M135" s="170"/>
      <c r="N135" s="170"/>
      <c r="O135" s="170"/>
      <c r="P135" s="170"/>
      <c r="Q135" s="170"/>
      <c r="R135" s="170"/>
      <c r="S135" s="170"/>
      <c r="T135" s="170"/>
      <c r="U135" s="170"/>
      <c r="V135" s="170"/>
      <c r="W135" s="170"/>
      <c r="X135" s="170"/>
      <c r="Y135" s="329"/>
      <c r="Z135" s="170"/>
      <c r="AA135" s="170"/>
      <c r="AD135" s="559"/>
      <c r="AE135" s="73"/>
      <c r="AF135" s="559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</row>
    <row r="136" spans="1:45" s="143" customFormat="1" ht="15" customHeight="1">
      <c r="A136" s="134"/>
      <c r="C136" s="170"/>
      <c r="D136" s="170"/>
      <c r="E136" s="138"/>
      <c r="F136" s="170"/>
      <c r="G136" s="100"/>
      <c r="H136" s="170"/>
      <c r="I136" s="170"/>
      <c r="J136" s="170"/>
      <c r="K136" s="170"/>
      <c r="L136" s="329"/>
      <c r="M136" s="170"/>
      <c r="N136" s="170"/>
      <c r="O136" s="170"/>
      <c r="P136" s="170"/>
      <c r="Q136" s="170"/>
      <c r="R136" s="170"/>
      <c r="S136" s="170"/>
      <c r="T136" s="170"/>
      <c r="U136" s="170"/>
      <c r="V136" s="170"/>
      <c r="W136" s="170"/>
      <c r="X136" s="170"/>
      <c r="Y136" s="329"/>
      <c r="Z136" s="170"/>
      <c r="AA136" s="170"/>
      <c r="AD136" s="559"/>
      <c r="AE136" s="73"/>
      <c r="AF136" s="559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</row>
    <row r="137" spans="1:45" s="143" customFormat="1" ht="15" customHeight="1">
      <c r="A137" s="134"/>
      <c r="C137" s="170"/>
      <c r="D137" s="170"/>
      <c r="E137" s="138"/>
      <c r="F137" s="170"/>
      <c r="G137" s="100"/>
      <c r="H137" s="170"/>
      <c r="I137" s="170"/>
      <c r="J137" s="170"/>
      <c r="K137" s="170"/>
      <c r="L137" s="329"/>
      <c r="M137" s="170"/>
      <c r="N137" s="170"/>
      <c r="O137" s="170"/>
      <c r="P137" s="170"/>
      <c r="Q137" s="170"/>
      <c r="R137" s="170"/>
      <c r="S137" s="170"/>
      <c r="T137" s="170"/>
      <c r="U137" s="170"/>
      <c r="V137" s="170"/>
      <c r="W137" s="170"/>
      <c r="X137" s="170"/>
      <c r="Y137" s="329"/>
      <c r="Z137" s="170"/>
      <c r="AA137" s="170"/>
      <c r="AD137" s="559"/>
      <c r="AE137" s="73"/>
      <c r="AF137" s="559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</row>
    <row r="138" spans="1:45" s="143" customFormat="1" ht="15" customHeight="1">
      <c r="A138" s="134">
        <f>0.5*0.5*0.5</f>
        <v>0.125</v>
      </c>
      <c r="C138" s="170"/>
      <c r="D138" s="170"/>
      <c r="E138" s="138"/>
      <c r="F138" s="170"/>
      <c r="G138" s="100"/>
      <c r="H138" s="170"/>
      <c r="I138" s="170"/>
      <c r="J138" s="170"/>
      <c r="K138" s="170"/>
      <c r="L138" s="329"/>
      <c r="M138" s="170"/>
      <c r="N138" s="170"/>
      <c r="O138" s="170"/>
      <c r="P138" s="170"/>
      <c r="Q138" s="170"/>
      <c r="R138" s="170"/>
      <c r="S138" s="170"/>
      <c r="T138" s="170"/>
      <c r="U138" s="170"/>
      <c r="V138" s="170"/>
      <c r="W138" s="170"/>
      <c r="X138" s="170"/>
      <c r="Y138" s="329"/>
      <c r="Z138" s="170"/>
      <c r="AA138" s="170"/>
      <c r="AD138" s="559"/>
      <c r="AE138" s="73"/>
      <c r="AF138" s="559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</row>
    <row r="139" spans="1:45" s="143" customFormat="1" ht="15" customHeight="1">
      <c r="A139" s="134"/>
      <c r="C139" s="170"/>
      <c r="D139" s="170"/>
      <c r="E139" s="138"/>
      <c r="F139" s="170"/>
      <c r="G139" s="100"/>
      <c r="H139" s="170"/>
      <c r="I139" s="170"/>
      <c r="J139" s="170"/>
      <c r="K139" s="170"/>
      <c r="L139" s="329"/>
      <c r="M139" s="170"/>
      <c r="N139" s="170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  <c r="Y139" s="329"/>
      <c r="Z139" s="170"/>
      <c r="AA139" s="170"/>
      <c r="AD139" s="559"/>
      <c r="AE139" s="73"/>
      <c r="AF139" s="559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</row>
    <row r="140" spans="1:45" s="143" customFormat="1" ht="15" customHeight="1">
      <c r="A140" s="134"/>
      <c r="C140" s="170"/>
      <c r="D140" s="170"/>
      <c r="E140" s="138"/>
      <c r="F140" s="170"/>
      <c r="G140" s="100"/>
      <c r="H140" s="170"/>
      <c r="I140" s="170"/>
      <c r="J140" s="170"/>
      <c r="K140" s="170"/>
      <c r="L140" s="329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329"/>
      <c r="Z140" s="170"/>
      <c r="AA140" s="170"/>
      <c r="AD140" s="559"/>
      <c r="AE140" s="73"/>
      <c r="AF140" s="559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</row>
    <row r="141" spans="1:45" s="143" customFormat="1" ht="15" customHeight="1">
      <c r="A141" s="134"/>
      <c r="C141" s="170"/>
      <c r="D141" s="170"/>
      <c r="E141" s="138"/>
      <c r="F141" s="170"/>
      <c r="G141" s="100"/>
      <c r="H141" s="170"/>
      <c r="I141" s="170"/>
      <c r="J141" s="170"/>
      <c r="K141" s="170"/>
      <c r="L141" s="329"/>
      <c r="M141" s="170"/>
      <c r="N141" s="170"/>
      <c r="O141" s="170"/>
      <c r="P141" s="170"/>
      <c r="Q141" s="170"/>
      <c r="R141" s="170"/>
      <c r="S141" s="170"/>
      <c r="T141" s="170"/>
      <c r="U141" s="170"/>
      <c r="V141" s="170"/>
      <c r="W141" s="170"/>
      <c r="X141" s="170"/>
      <c r="Y141" s="329"/>
      <c r="Z141" s="170"/>
      <c r="AA141" s="170"/>
      <c r="AD141" s="559"/>
      <c r="AE141" s="73"/>
      <c r="AF141" s="559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</row>
    <row r="142" spans="1:45" s="143" customFormat="1" ht="15" customHeight="1">
      <c r="A142" s="134"/>
      <c r="C142" s="170"/>
      <c r="D142" s="170"/>
      <c r="E142" s="138"/>
      <c r="F142" s="170"/>
      <c r="G142" s="100"/>
      <c r="H142" s="170"/>
      <c r="I142" s="170"/>
      <c r="J142" s="170" t="s">
        <v>1617</v>
      </c>
      <c r="K142" s="693">
        <f>ULS!$J$511</f>
        <v>6.4337426860029305</v>
      </c>
      <c r="L142" s="459"/>
      <c r="M142" s="170"/>
      <c r="R142" s="693"/>
      <c r="S142" s="170"/>
      <c r="T142" s="170"/>
      <c r="U142" s="170"/>
      <c r="V142" s="170"/>
      <c r="W142" s="170"/>
      <c r="X142" s="170"/>
      <c r="Y142" s="459"/>
      <c r="Z142" s="170"/>
      <c r="AA142" s="170"/>
      <c r="AD142" s="559"/>
      <c r="AE142" s="73"/>
      <c r="AF142" s="559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</row>
    <row r="143" spans="1:45" s="143" customFormat="1" ht="15" customHeight="1">
      <c r="A143" s="134"/>
      <c r="C143" s="170"/>
      <c r="D143" s="170"/>
      <c r="E143" s="138"/>
      <c r="F143" s="170"/>
      <c r="G143" s="100"/>
      <c r="H143" s="170"/>
      <c r="I143" s="170"/>
      <c r="J143" s="170"/>
      <c r="K143" s="170"/>
      <c r="L143" s="459"/>
      <c r="M143" s="170"/>
      <c r="N143" s="170"/>
      <c r="Q143" s="464"/>
      <c r="R143" s="464"/>
      <c r="S143" s="170"/>
      <c r="T143" s="170"/>
      <c r="U143" s="170"/>
      <c r="V143" s="170"/>
      <c r="W143" s="170"/>
      <c r="X143" s="170"/>
      <c r="Y143" s="459"/>
      <c r="Z143" s="170"/>
      <c r="AA143" s="170"/>
      <c r="AD143" s="559"/>
      <c r="AE143" s="73"/>
      <c r="AF143" s="559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</row>
    <row r="144" spans="1:45" s="143" customFormat="1" ht="15" customHeight="1">
      <c r="A144" s="134"/>
      <c r="C144" s="170"/>
      <c r="D144" s="170"/>
      <c r="E144" s="138"/>
      <c r="F144" s="170"/>
      <c r="G144" s="100"/>
      <c r="H144" s="170"/>
      <c r="I144" s="170"/>
      <c r="J144" s="170"/>
      <c r="K144" s="170"/>
      <c r="L144" s="459"/>
      <c r="M144" s="170"/>
      <c r="N144" s="170"/>
      <c r="Q144" s="464"/>
      <c r="R144" s="464"/>
      <c r="S144" s="170"/>
      <c r="T144" s="170"/>
      <c r="Y144" s="459"/>
      <c r="Z144" s="170"/>
      <c r="AA144" s="170"/>
      <c r="AD144" s="559"/>
      <c r="AE144" s="73"/>
      <c r="AF144" s="559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</row>
    <row r="145" spans="1:45" s="143" customFormat="1" ht="15" customHeight="1">
      <c r="A145" s="134"/>
      <c r="C145" s="170"/>
      <c r="D145" s="170"/>
      <c r="E145" s="138"/>
      <c r="F145" s="170"/>
      <c r="G145" s="100"/>
      <c r="H145" s="170"/>
      <c r="I145" s="170"/>
      <c r="J145" s="170" t="s">
        <v>1617</v>
      </c>
      <c r="K145" s="693">
        <f>ULS!$J$512</f>
        <v>5.7028140935422975</v>
      </c>
      <c r="L145" s="459"/>
      <c r="M145" s="170"/>
      <c r="N145" s="170"/>
      <c r="R145" s="693"/>
      <c r="S145" s="170"/>
      <c r="T145" s="170"/>
      <c r="U145" s="170"/>
      <c r="V145" s="170"/>
      <c r="W145" s="170"/>
      <c r="X145" s="170"/>
      <c r="Y145" s="459"/>
      <c r="Z145" s="170"/>
      <c r="AA145" s="170"/>
      <c r="AD145" s="559"/>
      <c r="AE145" s="73"/>
      <c r="AF145" s="559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</row>
    <row r="146" spans="1:45" s="143" customFormat="1" ht="15" customHeight="1">
      <c r="A146" s="134"/>
      <c r="C146" s="170"/>
      <c r="D146" s="170"/>
      <c r="E146" s="138"/>
      <c r="F146" s="170"/>
      <c r="G146" s="100"/>
      <c r="H146" s="170"/>
      <c r="I146" s="170"/>
      <c r="J146" s="170"/>
      <c r="K146" s="170"/>
      <c r="L146" s="459"/>
      <c r="M146" s="170"/>
      <c r="N146" s="170"/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  <c r="Y146" s="459"/>
      <c r="Z146" s="170"/>
      <c r="AA146" s="170"/>
      <c r="AD146" s="559"/>
      <c r="AE146" s="73"/>
      <c r="AF146" s="559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</row>
    <row r="147" spans="1:45" s="143" customFormat="1" ht="15" customHeight="1"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</row>
    <row r="148" spans="1:45" s="143" customFormat="1" ht="15" customHeight="1" thickBot="1">
      <c r="A148" s="468" t="s">
        <v>2281</v>
      </c>
      <c r="B148" s="170"/>
      <c r="D148" s="138"/>
      <c r="F148" s="170"/>
      <c r="G148" s="170"/>
      <c r="H148" s="170"/>
      <c r="I148" s="170"/>
      <c r="J148" s="170"/>
      <c r="K148" s="309"/>
      <c r="Z148" s="309"/>
      <c r="AA148" s="170"/>
      <c r="AC148" s="310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</row>
    <row r="149" spans="1:45" s="143" customFormat="1" ht="15" customHeight="1">
      <c r="A149" s="659" t="s">
        <v>16</v>
      </c>
      <c r="B149" s="1926" t="s">
        <v>2149</v>
      </c>
      <c r="C149" s="1926"/>
      <c r="D149" s="660" t="s">
        <v>619</v>
      </c>
      <c r="E149" s="660" t="s">
        <v>853</v>
      </c>
      <c r="F149" s="660" t="s">
        <v>2150</v>
      </c>
      <c r="G149" s="660" t="s">
        <v>412</v>
      </c>
      <c r="H149" s="1123" t="s">
        <v>2234</v>
      </c>
      <c r="I149" s="660" t="s">
        <v>414</v>
      </c>
      <c r="J149" s="660" t="s">
        <v>2151</v>
      </c>
      <c r="K149" s="660" t="s">
        <v>2152</v>
      </c>
      <c r="L149" s="660" t="s">
        <v>2154</v>
      </c>
      <c r="M149" s="665" t="s">
        <v>2153</v>
      </c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</row>
    <row r="150" spans="1:45" s="143" customFormat="1" ht="15" customHeight="1">
      <c r="A150" s="661"/>
      <c r="B150" s="662" t="s">
        <v>492</v>
      </c>
      <c r="C150" s="662" t="s">
        <v>493</v>
      </c>
      <c r="D150" s="633"/>
      <c r="E150" s="633"/>
      <c r="F150" s="662"/>
      <c r="G150" s="662"/>
      <c r="H150" s="662"/>
      <c r="I150" s="662"/>
      <c r="J150" s="662"/>
      <c r="K150" s="662"/>
      <c r="L150" s="662"/>
      <c r="M150" s="664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</row>
    <row r="151" spans="1:45" s="143" customFormat="1" ht="15" customHeight="1">
      <c r="A151" s="1102" t="str">
        <f>+input!B3</f>
        <v>101i</v>
      </c>
      <c r="B151" s="488">
        <f>Stress!J832</f>
        <v>2.4486449175564252E-4</v>
      </c>
      <c r="C151" s="488">
        <f>Stress!K832</f>
        <v>-2.1058754536361785E-4</v>
      </c>
      <c r="D151" s="488">
        <f>input!M3+input!K3+input!H3</f>
        <v>2634</v>
      </c>
      <c r="E151" s="488">
        <f>IF(B28="Positive",input!H3,input!K3)</f>
        <v>12</v>
      </c>
      <c r="F151" s="488">
        <f>IF((ABS(B151)+ABS(C151))=0,0,IF(B28="Positive",ABS(B151),ABS(C151))/(ABS(B151)+ABS(C151))*D151-E151)</f>
        <v>1205.8836612438386</v>
      </c>
      <c r="G151" s="694">
        <f>Cons!G904</f>
        <v>650</v>
      </c>
      <c r="H151" s="694">
        <f>IF(OR(B151=0,C151=0),0,IF(B28="Positive",C151/B151,B151/C151))</f>
        <v>-1.1627681557940155</v>
      </c>
      <c r="I151" s="488">
        <f>input!M3</f>
        <v>2600</v>
      </c>
      <c r="J151" s="21">
        <f>IF(input!AJ3=0,9/(F151/I151)^2,IF(input!AJ3=1,IF(AND(B151&lt;=0,C151&lt;=0),7.2,IF(G151/F151&gt;=0.4,MAX(5.17/(G151/I151)^2,9/(F151/I151)^2),11.64/((F151-G151)/I151)^2)),IF(H151&gt;=-1,247.8*((G151/F151)^1.8)*(1-H151)^2.7,247.8*(1-H151)^0.32)))</f>
        <v>317.17904803816833</v>
      </c>
      <c r="K151" s="694">
        <f>MIN(0.9*Es*J151/(input!BQ3/input!N3)^2,H28*input!BI3,input!BK3/0.7)</f>
        <v>379.53505450533009</v>
      </c>
      <c r="L151" s="694">
        <f>IF(B28="Positive",B151,C151)</f>
        <v>-2.1058754536361785E-4</v>
      </c>
      <c r="M151" s="696" t="str">
        <f t="shared" ref="M151:M182" si="4">IF(ABS(L151)&lt;=K151,"OK","NG")</f>
        <v>OK</v>
      </c>
      <c r="O151" s="113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</row>
    <row r="152" spans="1:45" s="143" customFormat="1" ht="15" customHeight="1">
      <c r="A152" s="1102" t="str">
        <f>+input!B4</f>
        <v>101j</v>
      </c>
      <c r="B152" s="488">
        <f>Stress!J833</f>
        <v>1.7062754294474489</v>
      </c>
      <c r="C152" s="488">
        <f>Stress!K833</f>
        <v>-1.904752526946053</v>
      </c>
      <c r="D152" s="488">
        <f>input!M4+input!K4+input!H4</f>
        <v>2634</v>
      </c>
      <c r="E152" s="488">
        <f>IF(B29="Positive",input!H4,input!K4)</f>
        <v>12</v>
      </c>
      <c r="F152" s="488">
        <f t="shared" ref="F152:F212" si="5">IF((ABS(B152)+ABS(C152))=0,0,IF(B29="Positive",ABS(B152),ABS(C152))/(ABS(B152)+ABS(C152))*D152-E152)</f>
        <v>1377.3877911116278</v>
      </c>
      <c r="G152" s="694">
        <f>Cons!G905</f>
        <v>650</v>
      </c>
      <c r="H152" s="694">
        <f t="shared" ref="H152:H212" si="6">IF(OR(B152=0,C152=0),0,IF(B29="Positive",C152/B152,B152/C152))</f>
        <v>-0.8957990107949465</v>
      </c>
      <c r="I152" s="488">
        <f>input!M4</f>
        <v>2600</v>
      </c>
      <c r="J152" s="21">
        <f>IF(input!AJ4=0,9/(F152/I152)^2,IF(input!AJ4=1,IF(AND(B152&lt;=0,C152&lt;=0),7.2,IF(G152/F152&gt;=0.4,MAX(5.17/(G152/I152)^2,9/(F152/I152)^2),11.64/((F152-G152)/I152)^2)),IF(H152&gt;=-1,247.8*((G152/F152)^1.8)*(1-H152)^2.7,247.8*(1-H152)^0.32)))</f>
        <v>360.64782780701637</v>
      </c>
      <c r="K152" s="694">
        <f>MIN(0.9*Es*J152/(input!BQ4/input!N4)^2,H29*input!BI4,input!BK4/0.7)</f>
        <v>379.53505450533009</v>
      </c>
      <c r="L152" s="694">
        <f t="shared" ref="L152:L212" si="7">IF(B29="Positive",B152,C152)</f>
        <v>-1.904752526946053</v>
      </c>
      <c r="M152" s="696" t="str">
        <f t="shared" si="4"/>
        <v>OK</v>
      </c>
      <c r="O152" s="113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</row>
    <row r="153" spans="1:45" s="143" customFormat="1" ht="15" customHeight="1">
      <c r="A153" s="1102" t="str">
        <f>+input!B5</f>
        <v>102i</v>
      </c>
      <c r="B153" s="488">
        <f>Stress!J834</f>
        <v>1.7063338357277509</v>
      </c>
      <c r="C153" s="488">
        <f>Stress!K834</f>
        <v>-1.9047898522748292</v>
      </c>
      <c r="D153" s="488">
        <f>input!M5+input!K5+input!H5</f>
        <v>2634</v>
      </c>
      <c r="E153" s="488">
        <f>IF(B30="Positive",input!H5,input!K5)</f>
        <v>12</v>
      </c>
      <c r="F153" s="488">
        <f t="shared" si="5"/>
        <v>1377.3781837384449</v>
      </c>
      <c r="G153" s="694">
        <f>Cons!G906</f>
        <v>650</v>
      </c>
      <c r="H153" s="694">
        <f t="shared" si="6"/>
        <v>-0.89581212000364829</v>
      </c>
      <c r="I153" s="488">
        <f>input!M5</f>
        <v>2600</v>
      </c>
      <c r="J153" s="21">
        <f>IF(input!AJ5=0,9/(F153/I153)^2,IF(input!AJ5=1,IF(AND(B153&lt;=0,C153&lt;=0),7.2,IF(G153/F153&gt;=0.4,MAX(5.17/(G153/I153)^2,9/(F153/I153)^2),11.64/((F153-G153)/I153)^2)),IF(H153&gt;=-1,247.8*((G153/F153)^1.8)*(1-H153)^2.7,247.8*(1-H153)^0.32)))</f>
        <v>360.65908930406584</v>
      </c>
      <c r="K153" s="694">
        <f>MIN(0.9*Es*J153/(input!BQ5/input!N5)^2,H30*input!BI5,input!BK5/0.7)</f>
        <v>379.53505450533009</v>
      </c>
      <c r="L153" s="694">
        <f t="shared" si="7"/>
        <v>-1.9047898522748292</v>
      </c>
      <c r="M153" s="696" t="str">
        <f t="shared" si="4"/>
        <v>OK</v>
      </c>
      <c r="O153" s="113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</row>
    <row r="154" spans="1:45" s="143" customFormat="1" ht="15" customHeight="1">
      <c r="A154" s="1102" t="str">
        <f>+input!B6</f>
        <v>102j</v>
      </c>
      <c r="B154" s="488">
        <f>Stress!J835</f>
        <v>-71.334950875146163</v>
      </c>
      <c r="C154" s="488">
        <f>Stress!K835</f>
        <v>98.015377329802618</v>
      </c>
      <c r="D154" s="488">
        <f>input!M6+input!K6+input!H6</f>
        <v>2634</v>
      </c>
      <c r="E154" s="488">
        <f>IF(B31="Positive",input!H6,input!K6)</f>
        <v>22</v>
      </c>
      <c r="F154" s="488">
        <f t="shared" si="5"/>
        <v>1087.5122318141705</v>
      </c>
      <c r="G154" s="694">
        <f>Cons!G907</f>
        <v>650</v>
      </c>
      <c r="H154" s="694">
        <f t="shared" si="6"/>
        <v>-1.3740161888013886</v>
      </c>
      <c r="I154" s="488">
        <f>input!M6</f>
        <v>2600</v>
      </c>
      <c r="J154" s="21">
        <f>IF(input!AJ6=0,9/(F154/I154)^2,IF(input!AJ6=1,IF(AND(B154&lt;=0,C154&lt;=0),7.2,IF(G154/F154&gt;=0.4,MAX(5.17/(G154/I154)^2,9/(F154/I154)^2),11.64/((F154-G154)/I154)^2)),IF(H154&gt;=-1,247.8*((G154/F154)^1.8)*(1-H154)^2.7,247.8*(1-H154)^0.32)))</f>
        <v>326.78045896665304</v>
      </c>
      <c r="K154" s="694">
        <f>MIN(0.9*Es*J154/(input!BQ6/input!N6)^2,H31*input!BI6,input!BK6/0.7)</f>
        <v>379.32353027739117</v>
      </c>
      <c r="L154" s="694">
        <f t="shared" si="7"/>
        <v>-71.334950875146163</v>
      </c>
      <c r="M154" s="696" t="str">
        <f t="shared" si="4"/>
        <v>OK</v>
      </c>
      <c r="O154" s="113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</row>
    <row r="155" spans="1:45" s="143" customFormat="1" ht="15" customHeight="1">
      <c r="A155" s="1102" t="str">
        <f>+input!B7</f>
        <v>103i</v>
      </c>
      <c r="B155" s="488">
        <f>Stress!J836</f>
        <v>-53.617563055074484</v>
      </c>
      <c r="C155" s="488">
        <f>Stress!K836</f>
        <v>70.457604527347627</v>
      </c>
      <c r="D155" s="488">
        <f>input!M7+input!K7+input!H7</f>
        <v>2848</v>
      </c>
      <c r="E155" s="488">
        <f>IF(B32="Positive",input!H7,input!K7)</f>
        <v>30</v>
      </c>
      <c r="F155" s="488">
        <f t="shared" si="5"/>
        <v>1200.7282960501577</v>
      </c>
      <c r="G155" s="694">
        <f>Cons!G908</f>
        <v>700</v>
      </c>
      <c r="H155" s="694">
        <f t="shared" si="6"/>
        <v>-1.3140769649485098</v>
      </c>
      <c r="I155" s="488">
        <f>input!M7</f>
        <v>2800</v>
      </c>
      <c r="J155" s="21">
        <f>IF(input!AJ7=0,9/(F155/I155)^2,IF(input!AJ7=1,IF(AND(B155&lt;=0,C155&lt;=0),7.2,IF(G155/F155&gt;=0.4,MAX(5.17/(G155/I155)^2,9/(F155/I155)^2),11.64/((F155-G155)/I155)^2)),IF(H155&gt;=-1,247.8*((G155/F155)^1.8)*(1-H155)^2.7,247.8*(1-H155)^0.32)))</f>
        <v>324.11728907598291</v>
      </c>
      <c r="K155" s="694">
        <f>MIN(0.9*Es*J155/(input!BQ7/input!N7)^2,H32*input!BI7,input!BK7/0.7)</f>
        <v>379.48682909537342</v>
      </c>
      <c r="L155" s="694">
        <f t="shared" si="7"/>
        <v>-53.617563055074484</v>
      </c>
      <c r="M155" s="696" t="str">
        <f t="shared" si="4"/>
        <v>OK</v>
      </c>
      <c r="O155" s="113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</row>
    <row r="156" spans="1:45" s="143" customFormat="1" ht="15" customHeight="1">
      <c r="A156" s="1102" t="str">
        <f>+input!B8</f>
        <v>103j</v>
      </c>
      <c r="B156" s="488">
        <f>Stress!J837</f>
        <v>-121.45895167896074</v>
      </c>
      <c r="C156" s="488">
        <f>Stress!K837</f>
        <v>159.06351154993905</v>
      </c>
      <c r="D156" s="488">
        <f>input!M8+input!K8+input!H8</f>
        <v>2848</v>
      </c>
      <c r="E156" s="488">
        <f>IF(B33="Positive",input!H8,input!K8)</f>
        <v>30</v>
      </c>
      <c r="F156" s="488">
        <f t="shared" si="5"/>
        <v>1203.1101416980696</v>
      </c>
      <c r="G156" s="694">
        <f>Cons!G909</f>
        <v>700</v>
      </c>
      <c r="H156" s="694">
        <f t="shared" si="6"/>
        <v>-1.3096071499972628</v>
      </c>
      <c r="I156" s="488">
        <f>input!M8</f>
        <v>2800</v>
      </c>
      <c r="J156" s="21">
        <f>IF(input!AJ8=0,9/(F156/I156)^2,IF(input!AJ8=1,IF(AND(B156&lt;=0,C156&lt;=0),7.2,IF(G156/F156&gt;=0.4,MAX(5.17/(G156/I156)^2,9/(F156/I156)^2),11.64/((F156-G156)/I156)^2)),IF(H156&gt;=-1,247.8*((G156/F156)^1.8)*(1-H156)^2.7,247.8*(1-H156)^0.32)))</f>
        <v>323.91681909344658</v>
      </c>
      <c r="K156" s="694">
        <f>MIN(0.9*Es*J156/(input!BQ8/input!N8)^2,H33*input!BI8,input!BK8/0.7)</f>
        <v>379.48682909537342</v>
      </c>
      <c r="L156" s="694">
        <f t="shared" si="7"/>
        <v>-121.45895167896074</v>
      </c>
      <c r="M156" s="696" t="str">
        <f t="shared" si="4"/>
        <v>OK</v>
      </c>
      <c r="O156" s="113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</row>
    <row r="157" spans="1:45" s="143" customFormat="1" ht="15" customHeight="1">
      <c r="A157" s="1102" t="str">
        <f>+input!B9</f>
        <v>104i</v>
      </c>
      <c r="B157" s="488">
        <f>Stress!J838</f>
        <v>-121.45865651548422</v>
      </c>
      <c r="C157" s="488">
        <f>Stress!K838</f>
        <v>159.06324574638279</v>
      </c>
      <c r="D157" s="488">
        <f>input!M9+input!K9+input!H9</f>
        <v>2848</v>
      </c>
      <c r="E157" s="488">
        <f>IF(B34="Positive",input!H9,input!K9)</f>
        <v>30</v>
      </c>
      <c r="F157" s="488">
        <f t="shared" si="5"/>
        <v>1203.109610932227</v>
      </c>
      <c r="G157" s="694">
        <f>Cons!G910</f>
        <v>700</v>
      </c>
      <c r="H157" s="694">
        <f t="shared" si="6"/>
        <v>-1.3096081441186083</v>
      </c>
      <c r="I157" s="488">
        <f>input!M9</f>
        <v>2800</v>
      </c>
      <c r="J157" s="21">
        <f>IF(input!AJ9=0,9/(F157/I157)^2,IF(input!AJ9=1,IF(AND(B157&lt;=0,C157&lt;=0),7.2,IF(G157/F157&gt;=0.4,MAX(5.17/(G157/I157)^2,9/(F157/I157)^2),11.64/((F157-G157)/I157)^2)),IF(H157&gt;=-1,247.8*((G157/F157)^1.8)*(1-H157)^2.7,247.8*(1-H157)^0.32)))</f>
        <v>323.91686370883696</v>
      </c>
      <c r="K157" s="694">
        <f>MIN(0.9*Es*J157/(input!BQ9/input!N9)^2,H34*input!BI9,input!BK9/0.7)</f>
        <v>379.48682909537342</v>
      </c>
      <c r="L157" s="694">
        <f t="shared" si="7"/>
        <v>-121.45865651548422</v>
      </c>
      <c r="M157" s="696" t="str">
        <f t="shared" si="4"/>
        <v>OK</v>
      </c>
      <c r="O157" s="113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</row>
    <row r="158" spans="1:45" s="143" customFormat="1" ht="15" customHeight="1">
      <c r="A158" s="1102" t="str">
        <f>+input!B10</f>
        <v>104j</v>
      </c>
      <c r="B158" s="488">
        <f>Stress!J839</f>
        <v>-197.31102157532837</v>
      </c>
      <c r="C158" s="488">
        <f>Stress!K839</f>
        <v>257.38275800703201</v>
      </c>
      <c r="D158" s="488">
        <f>input!M10+input!K10+input!H10</f>
        <v>2848</v>
      </c>
      <c r="E158" s="488">
        <f>IF(B35="Positive",input!H10,input!K10)</f>
        <v>30</v>
      </c>
      <c r="F158" s="488">
        <f t="shared" si="5"/>
        <v>1205.8686542021378</v>
      </c>
      <c r="G158" s="694">
        <f>Cons!G911</f>
        <v>700</v>
      </c>
      <c r="H158" s="694">
        <f t="shared" si="6"/>
        <v>-1.3044520065432319</v>
      </c>
      <c r="I158" s="488">
        <f>input!M10</f>
        <v>2800</v>
      </c>
      <c r="J158" s="21">
        <f>IF(input!AJ10=0,9/(F158/I158)^2,IF(input!AJ10=1,IF(AND(B158&lt;=0,C158&lt;=0),7.2,IF(G158/F158&gt;=0.4,MAX(5.17/(G158/I158)^2,9/(F158/I158)^2),11.64/((F158-G158)/I158)^2)),IF(H158&gt;=-1,247.8*((G158/F158)^1.8)*(1-H158)^2.7,247.8*(1-H158)^0.32)))</f>
        <v>323.68528444659438</v>
      </c>
      <c r="K158" s="694">
        <f>MIN(0.9*Es*J158/(input!BQ10/input!N10)^2,H35*input!BI10,input!BK10/0.7)</f>
        <v>379.48682909537342</v>
      </c>
      <c r="L158" s="694">
        <f t="shared" si="7"/>
        <v>-197.31102157532837</v>
      </c>
      <c r="M158" s="696" t="str">
        <f t="shared" si="4"/>
        <v>OK</v>
      </c>
      <c r="O158" s="113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</row>
    <row r="159" spans="1:45" s="143" customFormat="1" ht="15" customHeight="1">
      <c r="A159" s="1102" t="str">
        <f>+input!B11</f>
        <v>105i</v>
      </c>
      <c r="B159" s="488">
        <f>Stress!J840</f>
        <v>-163.61278114435103</v>
      </c>
      <c r="C159" s="488">
        <f>Stress!K840</f>
        <v>168.77258855260271</v>
      </c>
      <c r="D159" s="488">
        <f>input!M11+input!K11+input!H11</f>
        <v>2872</v>
      </c>
      <c r="E159" s="488">
        <f>IF(B36="Positive",input!H11,input!K11)</f>
        <v>38</v>
      </c>
      <c r="F159" s="488">
        <f t="shared" si="5"/>
        <v>1375.7081541073699</v>
      </c>
      <c r="G159" s="694">
        <f>Cons!G912</f>
        <v>700</v>
      </c>
      <c r="H159" s="694">
        <f t="shared" si="6"/>
        <v>-1.0315367013026893</v>
      </c>
      <c r="I159" s="488">
        <f>input!M11</f>
        <v>2800</v>
      </c>
      <c r="J159" s="21">
        <f>IF(input!AJ11=0,9/(F159/I159)^2,IF(input!AJ11=1,IF(AND(B159&lt;=0,C159&lt;=0),7.2,IF(G159/F159&gt;=0.4,MAX(5.17/(G159/I159)^2,9/(F159/I159)^2),11.64/((F159-G159)/I159)^2)),IF(H159&gt;=-1,247.8*((G159/F159)^1.8)*(1-H159)^2.7,247.8*(1-H159)^0.32)))</f>
        <v>310.88888642399257</v>
      </c>
      <c r="K159" s="694">
        <f>MIN(0.9*Es*J159/(input!BQ11/input!N11)^2,H36*input!BI11,input!BK11/0.7)</f>
        <v>379.71678381329224</v>
      </c>
      <c r="L159" s="694">
        <f t="shared" si="7"/>
        <v>-163.61278114435103</v>
      </c>
      <c r="M159" s="696" t="str">
        <f t="shared" si="4"/>
        <v>OK</v>
      </c>
      <c r="O159" s="113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</row>
    <row r="160" spans="1:45" s="143" customFormat="1" ht="15" customHeight="1">
      <c r="A160" s="1102" t="str">
        <f>+input!B12</f>
        <v>105j</v>
      </c>
      <c r="B160" s="488">
        <f>Stress!J841</f>
        <v>-215.22779506293875</v>
      </c>
      <c r="C160" s="488">
        <f>Stress!K841</f>
        <v>221.39619707712728</v>
      </c>
      <c r="D160" s="488">
        <f>input!M12+input!K12+input!H12</f>
        <v>2872</v>
      </c>
      <c r="E160" s="488">
        <f>IF(B37="Positive",input!H12,input!K12)</f>
        <v>38</v>
      </c>
      <c r="F160" s="488">
        <f t="shared" si="5"/>
        <v>1377.7129212965162</v>
      </c>
      <c r="G160" s="694">
        <f>Cons!G913</f>
        <v>700</v>
      </c>
      <c r="H160" s="694">
        <f t="shared" si="6"/>
        <v>-1.0286598764457198</v>
      </c>
      <c r="I160" s="488">
        <f>input!M12</f>
        <v>2800</v>
      </c>
      <c r="J160" s="21">
        <f>IF(input!AJ12=0,9/(F160/I160)^2,IF(input!AJ12=1,IF(AND(B160&lt;=0,C160&lt;=0),7.2,IF(G160/F160&gt;=0.4,MAX(5.17/(G160/I160)^2,9/(F160/I160)^2),11.64/((F160-G160)/I160)^2)),IF(H160&gt;=-1,247.8*((G160/F160)^1.8)*(1-H160)^2.7,247.8*(1-H160)^0.32)))</f>
        <v>310.74794029908429</v>
      </c>
      <c r="K160" s="694">
        <f>MIN(0.9*Es*J160/(input!BQ12/input!N12)^2,H37*input!BI12,input!BK12/0.7)</f>
        <v>379.71678381329224</v>
      </c>
      <c r="L160" s="694">
        <f t="shared" si="7"/>
        <v>-215.22779506293875</v>
      </c>
      <c r="M160" s="696" t="str">
        <f t="shared" si="4"/>
        <v>OK</v>
      </c>
      <c r="O160" s="113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</row>
    <row r="161" spans="1:30" s="143" customFormat="1" ht="15" customHeight="1">
      <c r="A161" s="1102" t="str">
        <f>+input!B13</f>
        <v>106i</v>
      </c>
      <c r="B161" s="488">
        <f>Stress!J842</f>
        <v>-215.22734501056041</v>
      </c>
      <c r="C161" s="488">
        <f>Stress!K842</f>
        <v>221.39590913479728</v>
      </c>
      <c r="D161" s="488">
        <f>input!M13+input!K13+input!H13</f>
        <v>2872</v>
      </c>
      <c r="E161" s="488">
        <f>IF(B38="Positive",input!H13,input!K13)</f>
        <v>38</v>
      </c>
      <c r="F161" s="488">
        <f t="shared" si="5"/>
        <v>1377.7123538466983</v>
      </c>
      <c r="G161" s="694">
        <f>Cons!G914</f>
        <v>700</v>
      </c>
      <c r="H161" s="694">
        <f t="shared" si="6"/>
        <v>-1.0286606895788926</v>
      </c>
      <c r="I161" s="488">
        <f>input!M13</f>
        <v>2800</v>
      </c>
      <c r="J161" s="21">
        <f>IF(input!AJ13=0,9/(F161/I161)^2,IF(input!AJ13=1,IF(AND(B161&lt;=0,C161&lt;=0),7.2,IF(G161/F161&gt;=0.4,MAX(5.17/(G161/I161)^2,9/(F161/I161)^2),11.64/((F161-G161)/I161)^2)),IF(H161&gt;=-1,247.8*((G161/F161)^1.8)*(1-H161)^2.7,247.8*(1-H161)^0.32)))</f>
        <v>310.74798015663589</v>
      </c>
      <c r="K161" s="694">
        <f>MIN(0.9*Es*J161/(input!BQ13/input!N13)^2,H38*input!BI13,input!BK13/0.7)</f>
        <v>379.71678381329224</v>
      </c>
      <c r="L161" s="694">
        <f t="shared" si="7"/>
        <v>-215.22734501056041</v>
      </c>
      <c r="M161" s="696" t="str">
        <f t="shared" si="4"/>
        <v>OK</v>
      </c>
      <c r="O161" s="113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</row>
    <row r="162" spans="1:30" s="143" customFormat="1" ht="15" customHeight="1">
      <c r="A162" s="1102" t="str">
        <f>+input!B14</f>
        <v>106j</v>
      </c>
      <c r="B162" s="488">
        <f>Stress!J843</f>
        <v>-250.93902701526093</v>
      </c>
      <c r="C162" s="488">
        <f>Stress!K843</f>
        <v>257.56235405558527</v>
      </c>
      <c r="D162" s="488">
        <f>input!M14+input!K14+input!H14</f>
        <v>2872</v>
      </c>
      <c r="E162" s="488">
        <f>IF(B39="Positive",input!H14,input!K14)</f>
        <v>38</v>
      </c>
      <c r="F162" s="488">
        <f t="shared" si="5"/>
        <v>1379.2958273390007</v>
      </c>
      <c r="G162" s="694">
        <f>Cons!G915</f>
        <v>700</v>
      </c>
      <c r="H162" s="694">
        <f t="shared" si="6"/>
        <v>-1.0263941688110616</v>
      </c>
      <c r="I162" s="488">
        <f>input!M14</f>
        <v>2800</v>
      </c>
      <c r="J162" s="21">
        <f>IF(input!AJ14=0,9/(F162/I162)^2,IF(input!AJ14=1,IF(AND(B162&lt;=0,C162&lt;=0),7.2,IF(G162/F162&gt;=0.4,MAX(5.17/(G162/I162)^2,9/(F162/I162)^2),11.64/((F162-G162)/I162)^2)),IF(H162&gt;=-1,247.8*((G162/F162)^1.8)*(1-H162)^2.7,247.8*(1-H162)^0.32)))</f>
        <v>310.63683932888324</v>
      </c>
      <c r="K162" s="694">
        <f>MIN(0.9*Es*J162/(input!BQ14/input!N14)^2,H39*input!BI14,input!BK14/0.7)</f>
        <v>379.71678381329224</v>
      </c>
      <c r="L162" s="694">
        <f t="shared" si="7"/>
        <v>-250.93902701526093</v>
      </c>
      <c r="M162" s="696" t="str">
        <f t="shared" si="4"/>
        <v>OK</v>
      </c>
      <c r="O162" s="113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</row>
    <row r="163" spans="1:30" s="143" customFormat="1" ht="15" customHeight="1">
      <c r="A163" s="1102" t="str">
        <f>+input!B15</f>
        <v>107i</v>
      </c>
      <c r="B163" s="488">
        <f>Stress!J844</f>
        <v>-216.32051451662332</v>
      </c>
      <c r="C163" s="488">
        <f>Stress!K844</f>
        <v>225.65911578894838</v>
      </c>
      <c r="D163" s="488">
        <f>input!M15+input!K15+input!H15</f>
        <v>2880</v>
      </c>
      <c r="E163" s="488">
        <f>IF(B40="Positive",input!H15,input!K15)</f>
        <v>40</v>
      </c>
      <c r="F163" s="488">
        <f t="shared" si="5"/>
        <v>1369.5741954830569</v>
      </c>
      <c r="G163" s="694">
        <f>Cons!G916</f>
        <v>700</v>
      </c>
      <c r="H163" s="694">
        <f t="shared" si="6"/>
        <v>-1.0431702064558812</v>
      </c>
      <c r="I163" s="488">
        <f>input!M15</f>
        <v>2800</v>
      </c>
      <c r="J163" s="21">
        <f>IF(input!AJ15=0,9/(F163/I163)^2,IF(input!AJ15=1,IF(AND(B163&lt;=0,C163&lt;=0),7.2,IF(G163/F163&gt;=0.4,MAX(5.17/(G163/I163)^2,9/(F163/I163)^2),11.64/((F163-G163)/I163)^2)),IF(H163&gt;=-1,247.8*((G163/F163)^1.8)*(1-H163)^2.7,247.8*(1-H163)^0.32)))</f>
        <v>311.45747404814279</v>
      </c>
      <c r="K163" s="694">
        <f>MIN(0.9*Es*J163/(input!BQ15/input!N15)^2,H40*input!BI15,input!BK15/0.7)</f>
        <v>379.75937999074216</v>
      </c>
      <c r="L163" s="694">
        <f t="shared" si="7"/>
        <v>-216.32051451662332</v>
      </c>
      <c r="M163" s="696" t="str">
        <f t="shared" si="4"/>
        <v>OK</v>
      </c>
      <c r="O163" s="113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</row>
    <row r="164" spans="1:30" s="143" customFormat="1" ht="15" customHeight="1">
      <c r="A164" s="1102" t="str">
        <f>+input!B16</f>
        <v>107j</v>
      </c>
      <c r="B164" s="488">
        <f>Stress!J845</f>
        <v>-237.1581910995456</v>
      </c>
      <c r="C164" s="488">
        <f>Stress!K845</f>
        <v>247.50325153057574</v>
      </c>
      <c r="D164" s="488">
        <f>input!M16+input!K16+input!H16</f>
        <v>2880</v>
      </c>
      <c r="E164" s="488">
        <f>IF(B41="Positive",input!H16,input!K16)</f>
        <v>40</v>
      </c>
      <c r="F164" s="488">
        <f t="shared" si="5"/>
        <v>1369.2633130874985</v>
      </c>
      <c r="G164" s="694">
        <f>Cons!G917</f>
        <v>700</v>
      </c>
      <c r="H164" s="694">
        <f t="shared" si="6"/>
        <v>-1.0436209282212305</v>
      </c>
      <c r="I164" s="488">
        <f>input!M16</f>
        <v>2800</v>
      </c>
      <c r="J164" s="21">
        <f>IF(input!AJ16=0,9/(F164/I164)^2,IF(input!AJ16=1,IF(AND(B164&lt;=0,C164&lt;=0),7.2,IF(G164/F164&gt;=0.4,MAX(5.17/(G164/I164)^2,9/(F164/I164)^2),11.64/((F164-G164)/I164)^2)),IF(H164&gt;=-1,247.8*((G164/F164)^1.8)*(1-H164)^2.7,247.8*(1-H164)^0.32)))</f>
        <v>311.47945872811778</v>
      </c>
      <c r="K164" s="694">
        <f>MIN(0.9*Es*J164/(input!BQ16/input!N16)^2,H41*input!BI16,input!BK16/0.7)</f>
        <v>379.75937999074216</v>
      </c>
      <c r="L164" s="694">
        <f t="shared" si="7"/>
        <v>-237.1581910995456</v>
      </c>
      <c r="M164" s="696" t="str">
        <f t="shared" si="4"/>
        <v>OK</v>
      </c>
      <c r="O164" s="113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</row>
    <row r="165" spans="1:30" s="143" customFormat="1" ht="15" customHeight="1">
      <c r="A165" s="1102" t="str">
        <f>+input!B17</f>
        <v>108i</v>
      </c>
      <c r="B165" s="488">
        <f>Stress!J846</f>
        <v>-237.15784186006064</v>
      </c>
      <c r="C165" s="488">
        <f>Stress!K846</f>
        <v>247.50291088227388</v>
      </c>
      <c r="D165" s="488">
        <f>input!M17+input!K17+input!H17</f>
        <v>2880</v>
      </c>
      <c r="E165" s="488">
        <f>IF(B42="Positive",input!H17,input!K17)</f>
        <v>40</v>
      </c>
      <c r="F165" s="488">
        <f t="shared" si="5"/>
        <v>1369.2632438098265</v>
      </c>
      <c r="G165" s="694">
        <f>Cons!G918</f>
        <v>700</v>
      </c>
      <c r="H165" s="694">
        <f t="shared" si="6"/>
        <v>-1.0436210286831566</v>
      </c>
      <c r="I165" s="488">
        <f>input!M17</f>
        <v>2800</v>
      </c>
      <c r="J165" s="21">
        <f>IF(input!AJ17=0,9/(F165/I165)^2,IF(input!AJ17=1,IF(AND(B165&lt;=0,C165&lt;=0),7.2,IF(G165/F165&gt;=0.4,MAX(5.17/(G165/I165)^2,9/(F165/I165)^2),11.64/((F165-G165)/I165)^2)),IF(H165&gt;=-1,247.8*((G165/F165)^1.8)*(1-H165)^2.7,247.8*(1-H165)^0.32)))</f>
        <v>311.47946362794249</v>
      </c>
      <c r="K165" s="694">
        <f>MIN(0.9*Es*J165/(input!BQ17/input!N17)^2,H42*input!BI17,input!BK17/0.7)</f>
        <v>379.75937999074216</v>
      </c>
      <c r="L165" s="694">
        <f t="shared" si="7"/>
        <v>-237.15784186006064</v>
      </c>
      <c r="M165" s="696" t="str">
        <f t="shared" si="4"/>
        <v>OK</v>
      </c>
      <c r="O165" s="113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</row>
    <row r="166" spans="1:30" s="143" customFormat="1" ht="15" customHeight="1">
      <c r="A166" s="1102" t="str">
        <f>+input!B18</f>
        <v>108j</v>
      </c>
      <c r="B166" s="488">
        <f>Stress!J847</f>
        <v>-243.74663791112033</v>
      </c>
      <c r="C166" s="488">
        <f>Stress!K847</f>
        <v>254.54673706927233</v>
      </c>
      <c r="D166" s="488">
        <f>input!M18+input!K18+input!H18</f>
        <v>2880</v>
      </c>
      <c r="E166" s="488">
        <f>IF(B43="Positive",input!H18,input!K18)</f>
        <v>40</v>
      </c>
      <c r="F166" s="488">
        <f t="shared" si="5"/>
        <v>1368.7891841059479</v>
      </c>
      <c r="G166" s="694">
        <f>Cons!G919</f>
        <v>700</v>
      </c>
      <c r="H166" s="694">
        <f t="shared" si="6"/>
        <v>-1.0443087102686115</v>
      </c>
      <c r="I166" s="488">
        <f>input!M18</f>
        <v>2800</v>
      </c>
      <c r="J166" s="21">
        <f>IF(input!AJ18=0,9/(F166/I166)^2,IF(input!AJ18=1,IF(AND(B166&lt;=0,C166&lt;=0),7.2,IF(G166/F166&gt;=0.4,MAX(5.17/(G166/I166)^2,9/(F166/I166)^2),11.64/((F166-G166)/I166)^2)),IF(H166&gt;=-1,247.8*((G166/F166)^1.8)*(1-H166)^2.7,247.8*(1-H166)^0.32)))</f>
        <v>311.51300005160022</v>
      </c>
      <c r="K166" s="694">
        <f>MIN(0.9*Es*J166/(input!BQ18/input!N18)^2,H43*input!BI18,input!BK18/0.7)</f>
        <v>379.75937999074216</v>
      </c>
      <c r="L166" s="694">
        <f t="shared" si="7"/>
        <v>-243.74663791112033</v>
      </c>
      <c r="M166" s="696" t="str">
        <f t="shared" si="4"/>
        <v>OK</v>
      </c>
      <c r="O166" s="113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</row>
    <row r="167" spans="1:30" s="143" customFormat="1" ht="15" customHeight="1">
      <c r="A167" s="1102" t="str">
        <f>+input!B19</f>
        <v>109i</v>
      </c>
      <c r="B167" s="488">
        <f>Stress!J848</f>
        <v>-243.7469631052075</v>
      </c>
      <c r="C167" s="488">
        <f>Stress!K848</f>
        <v>254.54704203077279</v>
      </c>
      <c r="D167" s="488">
        <f>input!M19+input!K19+input!H19</f>
        <v>2880</v>
      </c>
      <c r="E167" s="488">
        <f>IF(B44="Positive",input!H19,input!K19)</f>
        <v>40</v>
      </c>
      <c r="F167" s="488">
        <f t="shared" si="5"/>
        <v>1368.7892820453058</v>
      </c>
      <c r="G167" s="694">
        <f>Cons!G920</f>
        <v>700</v>
      </c>
      <c r="H167" s="694">
        <f t="shared" si="6"/>
        <v>-1.0443085681477955</v>
      </c>
      <c r="I167" s="488">
        <f>input!M19</f>
        <v>2800</v>
      </c>
      <c r="J167" s="21">
        <f>IF(input!AJ19=0,9/(F167/I167)^2,IF(input!AJ19=1,IF(AND(B167&lt;=0,C167&lt;=0),7.2,IF(G167/F167&gt;=0.4,MAX(5.17/(G167/I167)^2,9/(F167/I167)^2),11.64/((F167-G167)/I167)^2)),IF(H167&gt;=-1,247.8*((G167/F167)^1.8)*(1-H167)^2.7,247.8*(1-H167)^0.32)))</f>
        <v>311.51299312153418</v>
      </c>
      <c r="K167" s="694">
        <f>MIN(0.9*Es*J167/(input!BQ19/input!N19)^2,H44*input!BI19,input!BK19/0.7)</f>
        <v>379.75937999074216</v>
      </c>
      <c r="L167" s="694">
        <f t="shared" si="7"/>
        <v>-243.7469631052075</v>
      </c>
      <c r="M167" s="696" t="str">
        <f t="shared" si="4"/>
        <v>OK</v>
      </c>
      <c r="O167" s="113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</row>
    <row r="168" spans="1:30" s="143" customFormat="1" ht="15" customHeight="1">
      <c r="A168" s="1102" t="str">
        <f>+input!B20</f>
        <v>109j</v>
      </c>
      <c r="B168" s="488">
        <f>Stress!J849</f>
        <v>-240.31779975484068</v>
      </c>
      <c r="C168" s="488">
        <f>Stress!K849</f>
        <v>251.88109495757953</v>
      </c>
      <c r="D168" s="488">
        <f>input!M20+input!K20+input!H20</f>
        <v>2880</v>
      </c>
      <c r="E168" s="488">
        <f>IF(B45="Positive",input!H20,input!K20)</f>
        <v>40</v>
      </c>
      <c r="F168" s="488">
        <f t="shared" si="5"/>
        <v>1366.169885241874</v>
      </c>
      <c r="G168" s="694">
        <f>Cons!G921</f>
        <v>700</v>
      </c>
      <c r="H168" s="694">
        <f t="shared" si="6"/>
        <v>-1.0481166822205226</v>
      </c>
      <c r="I168" s="488">
        <f>input!M20</f>
        <v>2800</v>
      </c>
      <c r="J168" s="21">
        <f>IF(input!AJ20=0,9/(F168/I168)^2,IF(input!AJ20=1,IF(AND(B168&lt;=0,C168&lt;=0),7.2,IF(G168/F168&gt;=0.4,MAX(5.17/(G168/I168)^2,9/(F168/I168)^2),11.64/((F168-G168)/I168)^2)),IF(H168&gt;=-1,247.8*((G168/F168)^1.8)*(1-H168)^2.7,247.8*(1-H168)^0.32)))</f>
        <v>311.69856611973921</v>
      </c>
      <c r="K168" s="694">
        <f>MIN(0.9*Es*J168/(input!BQ20/input!N20)^2,H45*input!BI20,input!BK20/0.7)</f>
        <v>379.75937999074216</v>
      </c>
      <c r="L168" s="694">
        <f t="shared" si="7"/>
        <v>-240.31779975484068</v>
      </c>
      <c r="M168" s="696" t="str">
        <f t="shared" si="4"/>
        <v>OK</v>
      </c>
      <c r="O168" s="113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</row>
    <row r="169" spans="1:30" s="143" customFormat="1" ht="15" customHeight="1">
      <c r="A169" s="1102" t="str">
        <f>+input!B21</f>
        <v>110i</v>
      </c>
      <c r="B169" s="488">
        <f>Stress!J850</f>
        <v>-240.31814432612413</v>
      </c>
      <c r="C169" s="488">
        <f>Stress!K850</f>
        <v>251.88136098865277</v>
      </c>
      <c r="D169" s="488">
        <f>input!M21+input!K21+input!H21</f>
        <v>2880</v>
      </c>
      <c r="E169" s="488">
        <f>IF(B46="Positive",input!H21,input!K21)</f>
        <v>40</v>
      </c>
      <c r="F169" s="488">
        <f t="shared" si="5"/>
        <v>1366.1701569907259</v>
      </c>
      <c r="G169" s="694">
        <f>Cons!G922</f>
        <v>700</v>
      </c>
      <c r="H169" s="694">
        <f t="shared" si="6"/>
        <v>-1.0481162864125513</v>
      </c>
      <c r="I169" s="488">
        <f>input!M21</f>
        <v>2800</v>
      </c>
      <c r="J169" s="21">
        <f>IF(input!AJ21=0,9/(F169/I169)^2,IF(input!AJ21=1,IF(AND(B169&lt;=0,C169&lt;=0),7.2,IF(G169/F169&gt;=0.4,MAX(5.17/(G169/I169)^2,9/(F169/I169)^2),11.64/((F169-G169)/I169)^2)),IF(H169&gt;=-1,247.8*((G169/F169)^1.8)*(1-H169)^2.7,247.8*(1-H169)^0.32)))</f>
        <v>311.69854684383972</v>
      </c>
      <c r="K169" s="694">
        <f>MIN(0.9*Es*J169/(input!BQ21/input!N21)^2,H46*input!BI21,input!BK21/0.7)</f>
        <v>379.75937999074216</v>
      </c>
      <c r="L169" s="694">
        <f t="shared" si="7"/>
        <v>-240.31814432612413</v>
      </c>
      <c r="M169" s="696" t="str">
        <f t="shared" si="4"/>
        <v>OK</v>
      </c>
      <c r="O169" s="113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</row>
    <row r="170" spans="1:30" s="143" customFormat="1" ht="15" customHeight="1">
      <c r="A170" s="1102" t="str">
        <f>+input!B22</f>
        <v>110j</v>
      </c>
      <c r="B170" s="488">
        <f>Stress!J851</f>
        <v>-224.06530213113965</v>
      </c>
      <c r="C170" s="488">
        <f>Stress!K851</f>
        <v>236.29113977818463</v>
      </c>
      <c r="D170" s="488">
        <f>input!M22+input!K22+input!H22</f>
        <v>2880</v>
      </c>
      <c r="E170" s="488">
        <f>IF(B47="Positive",input!H22,input!K22)</f>
        <v>40</v>
      </c>
      <c r="F170" s="488">
        <f t="shared" si="5"/>
        <v>1361.7574457332944</v>
      </c>
      <c r="G170" s="694">
        <f>Cons!G923</f>
        <v>700</v>
      </c>
      <c r="H170" s="694">
        <f t="shared" si="6"/>
        <v>-1.0545637255334139</v>
      </c>
      <c r="I170" s="488">
        <f>input!M22</f>
        <v>2800</v>
      </c>
      <c r="J170" s="21">
        <f>IF(input!AJ22=0,9/(F170/I170)^2,IF(input!AJ22=1,IF(AND(B170&lt;=0,C170&lt;=0),7.2,IF(G170/F170&gt;=0.4,MAX(5.17/(G170/I170)^2,9/(F170/I170)^2),11.64/((F170-G170)/I170)^2)),IF(H170&gt;=-1,247.8*((G170/F170)^1.8)*(1-H170)^2.7,247.8*(1-H170)^0.32)))</f>
        <v>312.01220250659509</v>
      </c>
      <c r="K170" s="694">
        <f>MIN(0.9*Es*J170/(input!BQ22/input!N22)^2,H47*input!BI22,input!BK22/0.7)</f>
        <v>379.75937999074216</v>
      </c>
      <c r="L170" s="694">
        <f t="shared" si="7"/>
        <v>-224.06530213113965</v>
      </c>
      <c r="M170" s="696" t="str">
        <f t="shared" si="4"/>
        <v>OK</v>
      </c>
      <c r="O170" s="113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</row>
    <row r="171" spans="1:30" s="143" customFormat="1" ht="15" customHeight="1">
      <c r="A171" s="1102" t="str">
        <f>+input!B23</f>
        <v>111i</v>
      </c>
      <c r="B171" s="488">
        <f>Stress!J852</f>
        <v>-224.0654681697705</v>
      </c>
      <c r="C171" s="488">
        <f>Stress!K852</f>
        <v>236.29116411204635</v>
      </c>
      <c r="D171" s="488">
        <f>input!M23+input!K23+input!H23</f>
        <v>2880</v>
      </c>
      <c r="E171" s="488">
        <f>IF(B48="Positive",input!H23,input!K23)</f>
        <v>40</v>
      </c>
      <c r="F171" s="488">
        <f t="shared" si="5"/>
        <v>1361.7579048017278</v>
      </c>
      <c r="G171" s="694">
        <f>Cons!G924</f>
        <v>700</v>
      </c>
      <c r="H171" s="694">
        <f t="shared" si="6"/>
        <v>-1.0545630526744649</v>
      </c>
      <c r="I171" s="488">
        <f>input!M23</f>
        <v>2800</v>
      </c>
      <c r="J171" s="21">
        <f>IF(input!AJ23=0,9/(F171/I171)^2,IF(input!AJ23=1,IF(AND(B171&lt;=0,C171&lt;=0),7.2,IF(G171/F171&gt;=0.4,MAX(5.17/(G171/I171)^2,9/(F171/I171)^2),11.64/((F171-G171)/I171)^2)),IF(H171&gt;=-1,247.8*((G171/F171)^1.8)*(1-H171)^2.7,247.8*(1-H171)^0.32)))</f>
        <v>312.01216980823119</v>
      </c>
      <c r="K171" s="694">
        <f>MIN(0.9*Es*J171/(input!BQ23/input!N23)^2,H48*input!BI23,input!BK23/0.7)</f>
        <v>379.75937999074216</v>
      </c>
      <c r="L171" s="694">
        <f t="shared" si="7"/>
        <v>-224.0654681697705</v>
      </c>
      <c r="M171" s="696" t="str">
        <f t="shared" si="4"/>
        <v>OK</v>
      </c>
      <c r="O171" s="113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</row>
    <row r="172" spans="1:30" s="143" customFormat="1" ht="15" customHeight="1">
      <c r="A172" s="1102" t="str">
        <f>+input!B24</f>
        <v>111j</v>
      </c>
      <c r="B172" s="488">
        <f>Stress!J853</f>
        <v>-194.78254485594192</v>
      </c>
      <c r="C172" s="488">
        <f>Stress!K853</f>
        <v>207.5823304811347</v>
      </c>
      <c r="D172" s="488">
        <f>input!M24+input!K24+input!H24</f>
        <v>2880</v>
      </c>
      <c r="E172" s="488">
        <f>IF(B49="Positive",input!H24,input!K24)</f>
        <v>40</v>
      </c>
      <c r="F172" s="488">
        <f t="shared" si="5"/>
        <v>1354.1915996399123</v>
      </c>
      <c r="G172" s="694">
        <f>Cons!G925</f>
        <v>700</v>
      </c>
      <c r="H172" s="694">
        <f t="shared" si="6"/>
        <v>-1.0657132066667436</v>
      </c>
      <c r="I172" s="488">
        <f>input!M24</f>
        <v>2800</v>
      </c>
      <c r="J172" s="21">
        <f>IF(input!AJ24=0,9/(F172/I172)^2,IF(input!AJ24=1,IF(AND(B172&lt;=0,C172&lt;=0),7.2,IF(G172/F172&gt;=0.4,MAX(5.17/(G172/I172)^2,9/(F172/I172)^2),11.64/((F172-G172)/I172)^2)),IF(H172&gt;=-1,247.8*((G172/F172)^1.8)*(1-H172)^2.7,247.8*(1-H172)^0.32)))</f>
        <v>312.55302778588003</v>
      </c>
      <c r="K172" s="694">
        <f>MIN(0.9*Es*J172/(input!BQ24/input!N24)^2,H49*input!BI24,input!BK24/0.7)</f>
        <v>379.75937999074216</v>
      </c>
      <c r="L172" s="694">
        <f t="shared" si="7"/>
        <v>-194.78254485594192</v>
      </c>
      <c r="M172" s="696" t="str">
        <f t="shared" si="4"/>
        <v>OK</v>
      </c>
      <c r="O172" s="113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</row>
    <row r="173" spans="1:30" s="143" customFormat="1" ht="15" customHeight="1">
      <c r="A173" s="1102" t="str">
        <f>+input!B25</f>
        <v>112i</v>
      </c>
      <c r="B173" s="488">
        <f>Stress!J854</f>
        <v>-233.60690183278581</v>
      </c>
      <c r="C173" s="488">
        <f>Stress!K854</f>
        <v>247.95829106992863</v>
      </c>
      <c r="D173" s="488">
        <f>input!M25+input!K25+input!H25</f>
        <v>2868</v>
      </c>
      <c r="E173" s="488">
        <f>IF(B50="Positive",input!H25,input!K25)</f>
        <v>36</v>
      </c>
      <c r="F173" s="488">
        <f t="shared" si="5"/>
        <v>1355.2645771136115</v>
      </c>
      <c r="G173" s="694">
        <f>Cons!G926</f>
        <v>700</v>
      </c>
      <c r="H173" s="694">
        <f t="shared" si="6"/>
        <v>-1.0614339265002344</v>
      </c>
      <c r="I173" s="488">
        <f>input!M25</f>
        <v>2800</v>
      </c>
      <c r="J173" s="21">
        <f>IF(input!AJ25=0,9/(F173/I173)^2,IF(input!AJ25=1,IF(AND(B173&lt;=0,C173&lt;=0),7.2,IF(G173/F173&gt;=0.4,MAX(5.17/(G173/I173)^2,9/(F173/I173)^2),11.64/((F173-G173)/I173)^2)),IF(H173&gt;=-1,247.8*((G173/F173)^1.8)*(1-H173)^2.7,247.8*(1-H173)^0.32)))</f>
        <v>312.34568901485841</v>
      </c>
      <c r="K173" s="694">
        <f>MIN(0.9*Es*J173/(input!BQ25/input!N25)^2,H50*input!BI25,input!BK25/0.7)</f>
        <v>379.69918216813556</v>
      </c>
      <c r="L173" s="694">
        <f t="shared" si="7"/>
        <v>-233.60690183278581</v>
      </c>
      <c r="M173" s="696" t="str">
        <f t="shared" si="4"/>
        <v>OK</v>
      </c>
      <c r="O173" s="113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</row>
    <row r="174" spans="1:30" s="143" customFormat="1" ht="15" customHeight="1">
      <c r="A174" s="1102" t="str">
        <f>+input!B26</f>
        <v>112j</v>
      </c>
      <c r="B174" s="488">
        <f>Stress!J855</f>
        <v>-186.54818767280241</v>
      </c>
      <c r="C174" s="488">
        <f>Stress!K855</f>
        <v>202.42636709133177</v>
      </c>
      <c r="D174" s="488">
        <f>input!M26+input!K26+input!H26</f>
        <v>2868</v>
      </c>
      <c r="E174" s="488">
        <f>IF(B51="Positive",input!H26,input!K26)</f>
        <v>36</v>
      </c>
      <c r="F174" s="488">
        <f t="shared" si="5"/>
        <v>1339.4632422422133</v>
      </c>
      <c r="G174" s="694">
        <f>Cons!G927</f>
        <v>700</v>
      </c>
      <c r="H174" s="694">
        <f t="shared" si="6"/>
        <v>-1.0851156991478201</v>
      </c>
      <c r="I174" s="488">
        <f>input!M26</f>
        <v>2800</v>
      </c>
      <c r="J174" s="21">
        <f>IF(input!AJ26=0,9/(F174/I174)^2,IF(input!AJ26=1,IF(AND(B174&lt;=0,C174&lt;=0),7.2,IF(G174/F174&gt;=0.4,MAX(5.17/(G174/I174)^2,9/(F174/I174)^2),11.64/((F174-G174)/I174)^2)),IF(H174&gt;=-1,247.8*((G174/F174)^1.8)*(1-H174)^2.7,247.8*(1-H174)^0.32)))</f>
        <v>313.48946641802473</v>
      </c>
      <c r="K174" s="694">
        <f>MIN(0.9*Es*J174/(input!BQ26/input!N26)^2,H51*input!BI26,input!BK26/0.7)</f>
        <v>379.69918216813556</v>
      </c>
      <c r="L174" s="694">
        <f t="shared" si="7"/>
        <v>-186.54818767280241</v>
      </c>
      <c r="M174" s="696" t="str">
        <f t="shared" si="4"/>
        <v>OK</v>
      </c>
      <c r="O174" s="113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</row>
    <row r="175" spans="1:30" s="143" customFormat="1" ht="15" customHeight="1">
      <c r="A175" s="1102" t="str">
        <f>+input!B27</f>
        <v>113i</v>
      </c>
      <c r="B175" s="488">
        <f>Stress!J856</f>
        <v>-204.6790217876638</v>
      </c>
      <c r="C175" s="488">
        <f>Stress!K856</f>
        <v>204.98559693046343</v>
      </c>
      <c r="D175" s="488">
        <f>input!M27+input!K27+input!H27</f>
        <v>2862</v>
      </c>
      <c r="E175" s="488">
        <f>IF(B52="Positive",input!H27,input!K27)</f>
        <v>30</v>
      </c>
      <c r="F175" s="488">
        <f t="shared" si="5"/>
        <v>1399.9291019792752</v>
      </c>
      <c r="G175" s="694">
        <f>Cons!G928</f>
        <v>700</v>
      </c>
      <c r="H175" s="694">
        <f t="shared" si="6"/>
        <v>-1.001497833730697</v>
      </c>
      <c r="I175" s="488">
        <f>input!M27</f>
        <v>2800</v>
      </c>
      <c r="J175" s="21">
        <f>IF(input!AJ27=0,9/(F175/I175)^2,IF(input!AJ27=1,IF(AND(B175&lt;=0,C175&lt;=0),7.2,IF(G175/F175&gt;=0.4,MAX(5.17/(G175/I175)^2,9/(F175/I175)^2),11.64/((F175-G175)/I175)^2)),IF(H175&gt;=-1,247.8*((G175/F175)^1.8)*(1-H175)^2.7,247.8*(1-H175)^0.32)))</f>
        <v>309.41042464647506</v>
      </c>
      <c r="K175" s="694">
        <f>MIN(0.9*Es*J175/(input!BQ27/input!N27)^2,H52*input!BI27,input!BK27/0.7)</f>
        <v>379.70026073310402</v>
      </c>
      <c r="L175" s="694">
        <f t="shared" si="7"/>
        <v>-204.6790217876638</v>
      </c>
      <c r="M175" s="696" t="str">
        <f t="shared" si="4"/>
        <v>OK</v>
      </c>
      <c r="O175" s="113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</row>
    <row r="176" spans="1:30" s="143" customFormat="1" ht="15" customHeight="1">
      <c r="A176" s="1102" t="str">
        <f>+input!B28</f>
        <v>113j</v>
      </c>
      <c r="B176" s="488">
        <f>Stress!J857</f>
        <v>-135.29218933974741</v>
      </c>
      <c r="C176" s="488">
        <f>Stress!K857</f>
        <v>142.21135093161624</v>
      </c>
      <c r="D176" s="488">
        <f>input!M28+input!K28+input!H28</f>
        <v>2862</v>
      </c>
      <c r="E176" s="488">
        <f>IF(B53="Positive",input!H28,input!K28)</f>
        <v>30</v>
      </c>
      <c r="F176" s="488">
        <f t="shared" si="5"/>
        <v>1365.3200219057312</v>
      </c>
      <c r="G176" s="694">
        <f>Cons!G929</f>
        <v>700</v>
      </c>
      <c r="H176" s="694">
        <f t="shared" si="6"/>
        <v>-1.051142358074296</v>
      </c>
      <c r="I176" s="488">
        <f>input!M28</f>
        <v>2800</v>
      </c>
      <c r="J176" s="21">
        <f>IF(input!AJ28=0,9/(F176/I176)^2,IF(input!AJ28=1,IF(AND(B176&lt;=0,C176&lt;=0),7.2,IF(G176/F176&gt;=0.4,MAX(5.17/(G176/I176)^2,9/(F176/I176)^2),11.64/((F176-G176)/I176)^2)),IF(H176&gt;=-1,247.8*((G176/F176)^1.8)*(1-H176)^2.7,247.8*(1-H176)^0.32)))</f>
        <v>311.84584296572984</v>
      </c>
      <c r="K176" s="694">
        <f>MIN(0.9*Es*J176/(input!BQ28/input!N28)^2,H53*input!BI28,input!BK28/0.7)</f>
        <v>379.70026073310402</v>
      </c>
      <c r="L176" s="694">
        <f t="shared" si="7"/>
        <v>-135.29218933974741</v>
      </c>
      <c r="M176" s="696" t="str">
        <f t="shared" si="4"/>
        <v>OK</v>
      </c>
      <c r="O176" s="113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</row>
    <row r="177" spans="1:30" s="143" customFormat="1" ht="15" customHeight="1">
      <c r="A177" s="1102" t="str">
        <f>+input!B29</f>
        <v>114i</v>
      </c>
      <c r="B177" s="488">
        <f>Stress!J858</f>
        <v>-135.2925324594566</v>
      </c>
      <c r="C177" s="488">
        <f>Stress!K858</f>
        <v>142.21159473527078</v>
      </c>
      <c r="D177" s="488">
        <f>input!M29+input!K29+input!H29</f>
        <v>2862</v>
      </c>
      <c r="E177" s="488">
        <f>IF(B54="Positive",input!H29,input!K29)</f>
        <v>30</v>
      </c>
      <c r="F177" s="488">
        <f t="shared" si="5"/>
        <v>1365.320609510278</v>
      </c>
      <c r="G177" s="694">
        <f>Cons!G930</f>
        <v>700</v>
      </c>
      <c r="H177" s="694">
        <f t="shared" si="6"/>
        <v>-1.0511414942867423</v>
      </c>
      <c r="I177" s="488">
        <f>input!M29</f>
        <v>2800</v>
      </c>
      <c r="J177" s="21">
        <f>IF(input!AJ29=0,9/(F177/I177)^2,IF(input!AJ29=1,IF(AND(B177&lt;=0,C177&lt;=0),7.2,IF(G177/F177&gt;=0.4,MAX(5.17/(G177/I177)^2,9/(F177/I177)^2),11.64/((F177-G177)/I177)^2)),IF(H177&gt;=-1,247.8*((G177/F177)^1.8)*(1-H177)^2.7,247.8*(1-H177)^0.32)))</f>
        <v>311.84580094136697</v>
      </c>
      <c r="K177" s="694">
        <f>MIN(0.9*Es*J177/(input!BQ29/input!N29)^2,H54*input!BI29,input!BK29/0.7)</f>
        <v>379.70026073310402</v>
      </c>
      <c r="L177" s="694">
        <f t="shared" si="7"/>
        <v>-135.2925324594566</v>
      </c>
      <c r="M177" s="696" t="str">
        <f t="shared" si="4"/>
        <v>OK</v>
      </c>
      <c r="O177" s="113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</row>
    <row r="178" spans="1:30" s="143" customFormat="1" ht="15" customHeight="1">
      <c r="A178" s="1102" t="str">
        <f>+input!B30</f>
        <v>114j</v>
      </c>
      <c r="B178" s="488">
        <f>Stress!J859</f>
        <v>-53.621753229861916</v>
      </c>
      <c r="C178" s="488">
        <f>Stress!K859</f>
        <v>69.172195706737554</v>
      </c>
      <c r="D178" s="488">
        <f>input!M30+input!K30+input!H30</f>
        <v>2862</v>
      </c>
      <c r="E178" s="488">
        <f>IF(B55="Positive",input!H30,input!K30)</f>
        <v>30</v>
      </c>
      <c r="F178" s="488">
        <f t="shared" si="5"/>
        <v>1219.7802951438719</v>
      </c>
      <c r="G178" s="694">
        <f>Cons!G931</f>
        <v>700</v>
      </c>
      <c r="H178" s="694">
        <f t="shared" si="6"/>
        <v>-1.2900024997357902</v>
      </c>
      <c r="I178" s="488">
        <f>input!M30</f>
        <v>2800</v>
      </c>
      <c r="J178" s="21">
        <f>IF(input!AJ30=0,9/(F178/I178)^2,IF(input!AJ30=1,IF(AND(B178&lt;=0,C178&lt;=0),7.2,IF(G178/F178&gt;=0.4,MAX(5.17/(G178/I178)^2,9/(F178/I178)^2),11.64/((F178-G178)/I178)^2)),IF(H178&gt;=-1,247.8*((G178/F178)^1.8)*(1-H178)^2.7,247.8*(1-H178)^0.32)))</f>
        <v>323.03442617364362</v>
      </c>
      <c r="K178" s="694">
        <f>MIN(0.9*Es*J178/(input!BQ30/input!N30)^2,H55*input!BI30,input!BK30/0.7)</f>
        <v>379.70026073310402</v>
      </c>
      <c r="L178" s="694">
        <f t="shared" si="7"/>
        <v>-53.621753229861916</v>
      </c>
      <c r="M178" s="696" t="str">
        <f t="shared" si="4"/>
        <v>OK</v>
      </c>
      <c r="O178" s="113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</row>
    <row r="179" spans="1:30" s="143" customFormat="1" ht="15" customHeight="1">
      <c r="A179" s="1102" t="str">
        <f>+input!B31</f>
        <v>115i</v>
      </c>
      <c r="B179" s="488">
        <f>Stress!J860</f>
        <v>-64.491585627609382</v>
      </c>
      <c r="C179" s="488">
        <f>Stress!K860</f>
        <v>100.72185170403407</v>
      </c>
      <c r="D179" s="488">
        <f>input!M31+input!K31+input!H31</f>
        <v>2840</v>
      </c>
      <c r="E179" s="488">
        <f>IF(B56="Positive",input!H31,input!K31)</f>
        <v>22</v>
      </c>
      <c r="F179" s="488">
        <f t="shared" si="5"/>
        <v>1086.602945018024</v>
      </c>
      <c r="G179" s="694">
        <f>Cons!G932</f>
        <v>700</v>
      </c>
      <c r="H179" s="694">
        <f t="shared" si="6"/>
        <v>-1.5617828391695521</v>
      </c>
      <c r="I179" s="488">
        <f>input!M31</f>
        <v>2800</v>
      </c>
      <c r="J179" s="21">
        <f>IF(input!AJ31=0,9/(F179/I179)^2,IF(input!AJ31=1,IF(AND(B179&lt;=0,C179&lt;=0),7.2,IF(G179/F179&gt;=0.4,MAX(5.17/(G179/I179)^2,9/(F179/I179)^2),11.64/((F179-G179)/I179)^2)),IF(H179&gt;=-1,247.8*((G179/F179)^1.8)*(1-H179)^2.7,247.8*(1-H179)^0.32)))</f>
        <v>334.83807917983899</v>
      </c>
      <c r="K179" s="694">
        <f>MIN(0.9*Es*J179/(input!BQ31/input!N31)^2,H56*input!BI31,input!BK31/0.7)</f>
        <v>379.48852881184092</v>
      </c>
      <c r="L179" s="694">
        <f t="shared" si="7"/>
        <v>-64.491585627609382</v>
      </c>
      <c r="M179" s="696" t="str">
        <f t="shared" si="4"/>
        <v>OK</v>
      </c>
      <c r="O179" s="113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</row>
    <row r="180" spans="1:30" s="143" customFormat="1" ht="15" customHeight="1">
      <c r="A180" s="1102" t="str">
        <f>+input!B32</f>
        <v>115j</v>
      </c>
      <c r="B180" s="488">
        <f>Stress!J861</f>
        <v>124.42926806383137</v>
      </c>
      <c r="C180" s="488">
        <f>Stress!K861</f>
        <v>-105.58480480468377</v>
      </c>
      <c r="D180" s="488">
        <f>input!M32+input!K32+input!H32</f>
        <v>2840</v>
      </c>
      <c r="E180" s="488">
        <f>IF(B57="Positive",input!H32,input!K32)</f>
        <v>18</v>
      </c>
      <c r="F180" s="488">
        <f t="shared" si="5"/>
        <v>1285.663040724964</v>
      </c>
      <c r="G180" s="694">
        <f>Cons!G933</f>
        <v>700</v>
      </c>
      <c r="H180" s="694">
        <f t="shared" si="6"/>
        <v>-1.1784770383769432</v>
      </c>
      <c r="I180" s="488">
        <f>input!M32</f>
        <v>2800</v>
      </c>
      <c r="J180" s="21">
        <f>IF(input!AJ32=0,9/(F180/I180)^2,IF(input!AJ32=1,IF(AND(B180&lt;=0,C180&lt;=0),7.2,IF(G180/F180&gt;=0.4,MAX(5.17/(G180/I180)^2,9/(F180/I180)^2),11.64/((F180-G180)/I180)^2)),IF(H180&gt;=-1,247.8*((G180/F180)^1.8)*(1-H180)^2.7,247.8*(1-H180)^0.32)))</f>
        <v>317.914442439347</v>
      </c>
      <c r="K180" s="694">
        <f>MIN(0.9*Es*J180/(input!BQ32/input!N32)^2,H57*input!BI32,input!BK32/0.7)</f>
        <v>379.50157350579502</v>
      </c>
      <c r="L180" s="694">
        <f t="shared" si="7"/>
        <v>-105.58480480468377</v>
      </c>
      <c r="M180" s="696" t="str">
        <f t="shared" si="4"/>
        <v>OK</v>
      </c>
      <c r="O180" s="113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</row>
    <row r="181" spans="1:30" s="143" customFormat="1" ht="15" customHeight="1">
      <c r="A181" s="1102" t="str">
        <f>+input!B33</f>
        <v>116i</v>
      </c>
      <c r="B181" s="488">
        <f>Stress!J862</f>
        <v>100.88935739940497</v>
      </c>
      <c r="C181" s="488">
        <f>Stress!K862</f>
        <v>-85.205733701368331</v>
      </c>
      <c r="D181" s="488">
        <f>input!M33+input!K33+input!H33</f>
        <v>2864</v>
      </c>
      <c r="E181" s="488">
        <f>IF(B58="Positive",input!H33,input!K33)</f>
        <v>24</v>
      </c>
      <c r="F181" s="488">
        <f t="shared" si="5"/>
        <v>1287.3146611082473</v>
      </c>
      <c r="G181" s="694">
        <f>Cons!G934</f>
        <v>703.5</v>
      </c>
      <c r="H181" s="694">
        <f t="shared" si="6"/>
        <v>-1.1840677031548732</v>
      </c>
      <c r="I181" s="488">
        <f>input!M33</f>
        <v>2814</v>
      </c>
      <c r="J181" s="21">
        <f>IF(input!AJ33=0,9/(F181/I181)^2,IF(input!AJ33=1,IF(AND(B181&lt;=0,C181&lt;=0),7.2,IF(G181/F181&gt;=0.4,MAX(5.17/(G181/I181)^2,9/(F181/I181)^2),11.64/((F181-G181)/I181)^2)),IF(H181&gt;=-1,247.8*((G181/F181)^1.8)*(1-H181)^2.7,247.8*(1-H181)^0.32)))</f>
        <v>318.17529321806109</v>
      </c>
      <c r="K181" s="694">
        <f>MIN(0.9*Es*J181/(input!BQ33/input!N33)^2,H58*input!BI33,input!BK33/0.7)</f>
        <v>379.62048091184226</v>
      </c>
      <c r="L181" s="694">
        <f t="shared" si="7"/>
        <v>-85.205733701368331</v>
      </c>
      <c r="M181" s="696" t="str">
        <f t="shared" si="4"/>
        <v>OK</v>
      </c>
      <c r="O181" s="113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</row>
    <row r="182" spans="1:30" s="143" customFormat="1" ht="15" customHeight="1">
      <c r="A182" s="1102" t="str">
        <f>+input!B34</f>
        <v>116j</v>
      </c>
      <c r="B182" s="488">
        <f>Stress!J863</f>
        <v>242.35346540405965</v>
      </c>
      <c r="C182" s="488">
        <f>Stress!K863</f>
        <v>-198.59462539890259</v>
      </c>
      <c r="D182" s="488">
        <f>input!M34+input!K34+input!H34</f>
        <v>2864</v>
      </c>
      <c r="E182" s="488">
        <f>IF(B59="Positive",input!H34,input!K34)</f>
        <v>24</v>
      </c>
      <c r="F182" s="488">
        <f t="shared" si="5"/>
        <v>1265.8910756291589</v>
      </c>
      <c r="G182" s="694">
        <f>Cons!G935</f>
        <v>703.5</v>
      </c>
      <c r="H182" s="694">
        <f t="shared" si="6"/>
        <v>-1.2203425189239732</v>
      </c>
      <c r="I182" s="488">
        <f>input!M34</f>
        <v>2814</v>
      </c>
      <c r="J182" s="21">
        <f>IF(input!AJ34=0,9/(F182/I182)^2,IF(input!AJ34=1,IF(AND(B182&lt;=0,C182&lt;=0),7.2,IF(G182/F182&gt;=0.4,MAX(5.17/(G182/I182)^2,9/(F182/I182)^2),11.64/((F182-G182)/I182)^2)),IF(H182&gt;=-1,247.8*((G182/F182)^1.8)*(1-H182)^2.7,247.8*(1-H182)^0.32)))</f>
        <v>319.85687821491319</v>
      </c>
      <c r="K182" s="694">
        <f>MIN(0.9*Es*J182/(input!BQ34/input!N34)^2,H59*input!BI34,input!BK34/0.7)</f>
        <v>379.62048091184226</v>
      </c>
      <c r="L182" s="694">
        <f t="shared" si="7"/>
        <v>-198.59462539890259</v>
      </c>
      <c r="M182" s="696" t="str">
        <f t="shared" si="4"/>
        <v>OK</v>
      </c>
      <c r="O182" s="113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</row>
    <row r="183" spans="1:30" s="143" customFormat="1" ht="15" customHeight="1">
      <c r="A183" s="1102" t="str">
        <f>+input!B35</f>
        <v>117i</v>
      </c>
      <c r="B183" s="488">
        <f>Stress!J864</f>
        <v>152.47612912340156</v>
      </c>
      <c r="C183" s="488">
        <f>Stress!K864</f>
        <v>-114.49809136942919</v>
      </c>
      <c r="D183" s="488">
        <f>input!M35+input!K35+input!H35</f>
        <v>2988</v>
      </c>
      <c r="E183" s="488">
        <f>IF(B60="Positive",input!H35,input!K35)</f>
        <v>28</v>
      </c>
      <c r="F183" s="488">
        <f t="shared" si="5"/>
        <v>1253.4731563980413</v>
      </c>
      <c r="G183" s="694">
        <f>Cons!G936</f>
        <v>731</v>
      </c>
      <c r="H183" s="694">
        <f t="shared" si="6"/>
        <v>-1.33169144830053</v>
      </c>
      <c r="I183" s="488">
        <f>input!M35</f>
        <v>2924</v>
      </c>
      <c r="J183" s="21">
        <f>IF(input!AJ35=0,9/(F183/I183)^2,IF(input!AJ35=1,IF(AND(B183&lt;=0,C183&lt;=0),7.2,IF(G183/F183&gt;=0.4,MAX(5.17/(G183/I183)^2,9/(F183/I183)^2),11.64/((F183-G183)/I183)^2)),IF(H183&gt;=-1,247.8*((G183/F183)^1.8)*(1-H183)^2.7,247.8*(1-H183)^0.32)))</f>
        <v>324.90474025380837</v>
      </c>
      <c r="K183" s="694">
        <f>MIN(0.9*Es*J183/(input!BQ35/input!N35)^2,H60*input!BI35,input!BK35/0.7)</f>
        <v>379.72623697211804</v>
      </c>
      <c r="L183" s="694">
        <f t="shared" si="7"/>
        <v>-114.49809136942919</v>
      </c>
      <c r="M183" s="696" t="str">
        <f t="shared" ref="M183:M212" si="8">IF(ABS(L183)&lt;=K183,"OK","NG")</f>
        <v>OK</v>
      </c>
      <c r="O183" s="113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</row>
    <row r="184" spans="1:30" s="143" customFormat="1" ht="15" customHeight="1">
      <c r="A184" s="1102" t="str">
        <f>+input!B36</f>
        <v>117j</v>
      </c>
      <c r="B184" s="488">
        <f>Stress!J865</f>
        <v>267.65525669140129</v>
      </c>
      <c r="C184" s="488">
        <f>Stress!K865</f>
        <v>-202.72760786275177</v>
      </c>
      <c r="D184" s="488">
        <f>input!M36+input!K36+input!H36</f>
        <v>2988</v>
      </c>
      <c r="E184" s="488">
        <f>IF(B61="Positive",input!H36,input!K36)</f>
        <v>28</v>
      </c>
      <c r="F184" s="488">
        <f t="shared" si="5"/>
        <v>1259.780950243703</v>
      </c>
      <c r="G184" s="694">
        <f>Cons!G937</f>
        <v>731</v>
      </c>
      <c r="H184" s="694">
        <f t="shared" si="6"/>
        <v>-1.3202703840544801</v>
      </c>
      <c r="I184" s="488">
        <f>input!M36</f>
        <v>2924</v>
      </c>
      <c r="J184" s="21">
        <f>IF(input!AJ36=0,9/(F184/I184)^2,IF(input!AJ36=1,IF(AND(B184&lt;=0,C184&lt;=0),7.2,IF(G184/F184&gt;=0.4,MAX(5.17/(G184/I184)^2,9/(F184/I184)^2),11.64/((F184-G184)/I184)^2)),IF(H184&gt;=-1,247.8*((G184/F184)^1.8)*(1-H184)^2.7,247.8*(1-H184)^0.32)))</f>
        <v>324.39462751013832</v>
      </c>
      <c r="K184" s="694">
        <f>MIN(0.9*Es*J184/(input!BQ36/input!N36)^2,H61*input!BI36,input!BK36/0.7)</f>
        <v>379.72623697211804</v>
      </c>
      <c r="L184" s="694">
        <f t="shared" si="7"/>
        <v>-202.72760786275177</v>
      </c>
      <c r="M184" s="696" t="str">
        <f t="shared" si="8"/>
        <v>OK</v>
      </c>
      <c r="O184" s="113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</row>
    <row r="185" spans="1:30" s="143" customFormat="1" ht="15" customHeight="1">
      <c r="A185" s="1102" t="str">
        <f>+input!B37</f>
        <v>118i</v>
      </c>
      <c r="B185" s="488">
        <f>Stress!J866</f>
        <v>146.1250264133437</v>
      </c>
      <c r="C185" s="488">
        <f>Stress!K866</f>
        <v>-157.5256122471643</v>
      </c>
      <c r="D185" s="488">
        <f>input!M37+input!K37+input!H37</f>
        <v>3173</v>
      </c>
      <c r="E185" s="488">
        <f>IF(B62="Positive",input!H37,input!K37)</f>
        <v>30</v>
      </c>
      <c r="F185" s="488">
        <f t="shared" si="5"/>
        <v>1616.0652606072019</v>
      </c>
      <c r="G185" s="694">
        <f>Cons!G938</f>
        <v>775.75</v>
      </c>
      <c r="H185" s="694">
        <f t="shared" si="6"/>
        <v>-0.92762709713559088</v>
      </c>
      <c r="I185" s="488">
        <f>input!M37</f>
        <v>3103</v>
      </c>
      <c r="J185" s="21">
        <f>IF(input!AJ37=0,9/(F185/I185)^2,IF(input!AJ37=1,IF(AND(B185&lt;=0,C185&lt;=0),7.2,IF(G185/F185&gt;=0.4,MAX(5.17/(G185/I185)^2,9/(F185/I185)^2),11.64/((F185-G185)/I185)^2)),IF(H185&gt;=-1,247.8*((G185/F185)^1.8)*(1-H185)^2.7,247.8*(1-H185)^0.32)))</f>
        <v>388.98841259290919</v>
      </c>
      <c r="K185" s="694">
        <f>MIN(0.9*Es*J185/(input!BQ37/input!N37)^2,H62*input!BI37,input!BK37/0.7)</f>
        <v>379.84097363859689</v>
      </c>
      <c r="L185" s="694">
        <f t="shared" si="7"/>
        <v>-157.5256122471643</v>
      </c>
      <c r="M185" s="696" t="str">
        <f t="shared" si="8"/>
        <v>OK</v>
      </c>
      <c r="O185" s="113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</row>
    <row r="186" spans="1:30" s="143" customFormat="1" ht="15" customHeight="1">
      <c r="A186" s="1102" t="str">
        <f>+input!B38</f>
        <v>118j</v>
      </c>
      <c r="B186" s="488">
        <f>Stress!J867</f>
        <v>195.68025632982938</v>
      </c>
      <c r="C186" s="488">
        <f>Stress!K867</f>
        <v>-211.81998146038285</v>
      </c>
      <c r="D186" s="488">
        <f>input!M38+input!K38+input!H38</f>
        <v>3173</v>
      </c>
      <c r="E186" s="488">
        <f>IF(B63="Positive",input!H38,input!K38)</f>
        <v>30</v>
      </c>
      <c r="F186" s="488">
        <f t="shared" si="5"/>
        <v>1619.3359729517638</v>
      </c>
      <c r="G186" s="694">
        <f>Cons!G939</f>
        <v>775.75</v>
      </c>
      <c r="H186" s="694">
        <f t="shared" si="6"/>
        <v>-0.92380452014357239</v>
      </c>
      <c r="I186" s="488">
        <f>input!M38</f>
        <v>3103</v>
      </c>
      <c r="J186" s="21">
        <f>IF(input!AJ38=0,9/(F186/I186)^2,IF(input!AJ38=1,IF(AND(B186&lt;=0,C186&lt;=0),7.2,IF(G186/F186&gt;=0.4,MAX(5.17/(G186/I186)^2,9/(F186/I186)^2),11.64/((F186-G186)/I186)^2)),IF(H186&gt;=-1,247.8*((G186/F186)^1.8)*(1-H186)^2.7,247.8*(1-H186)^0.32)))</f>
        <v>385.50367211174557</v>
      </c>
      <c r="K186" s="694">
        <f>MIN(0.9*Es*J186/(input!BQ38/input!N38)^2,H63*input!BI38,input!BK38/0.7)</f>
        <v>379.84097363859689</v>
      </c>
      <c r="L186" s="694">
        <f t="shared" si="7"/>
        <v>-211.81998146038285</v>
      </c>
      <c r="M186" s="696" t="str">
        <f t="shared" si="8"/>
        <v>OK</v>
      </c>
      <c r="O186" s="113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</row>
    <row r="187" spans="1:30" s="143" customFormat="1" ht="15" customHeight="1">
      <c r="A187" s="1102" t="str">
        <f>+input!B39</f>
        <v>119i</v>
      </c>
      <c r="B187" s="488">
        <f>Stress!J868</f>
        <v>189.60045702891051</v>
      </c>
      <c r="C187" s="488">
        <f>Stress!K868</f>
        <v>-199.67153375924252</v>
      </c>
      <c r="D187" s="488">
        <f>input!M39+input!K39+input!H39</f>
        <v>3270</v>
      </c>
      <c r="E187" s="488">
        <f>IF(B64="Positive",input!H39,input!K39)</f>
        <v>30</v>
      </c>
      <c r="F187" s="488">
        <f t="shared" si="5"/>
        <v>1647.3000134706685</v>
      </c>
      <c r="G187" s="694">
        <f>Cons!G940</f>
        <v>800</v>
      </c>
      <c r="H187" s="694">
        <f t="shared" si="6"/>
        <v>-0.94956178008591152</v>
      </c>
      <c r="I187" s="488">
        <f>input!M39</f>
        <v>3200</v>
      </c>
      <c r="J187" s="21">
        <f>IF(input!AJ39=0,9/(F187/I187)^2,IF(input!AJ39=1,IF(AND(B187&lt;=0,C187&lt;=0),7.2,IF(G187/F187&gt;=0.4,MAX(5.17/(G187/I187)^2,9/(F187/I187)^2),11.64/((F187-G187)/I187)^2)),IF(H187&gt;=-1,247.8*((G187/F187)^1.8)*(1-H187)^2.7,247.8*(1-H187)^0.32)))</f>
        <v>409.54565335895495</v>
      </c>
      <c r="K187" s="694">
        <f>MIN(0.9*Es*J187/(input!BQ39/input!N39)^2,H64*input!BI39,input!BK39/0.7)</f>
        <v>379.83264207543715</v>
      </c>
      <c r="L187" s="694">
        <f t="shared" si="7"/>
        <v>-199.67153375924252</v>
      </c>
      <c r="M187" s="696" t="str">
        <f t="shared" si="8"/>
        <v>OK</v>
      </c>
      <c r="O187" s="113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</row>
    <row r="188" spans="1:30" s="143" customFormat="1" ht="15" customHeight="1">
      <c r="A188" s="1102" t="str">
        <f>+input!B40</f>
        <v>119j</v>
      </c>
      <c r="B188" s="488">
        <f>Stress!J869</f>
        <v>211.5585821319703</v>
      </c>
      <c r="C188" s="488">
        <f>Stress!K869</f>
        <v>-223.20120059589294</v>
      </c>
      <c r="D188" s="488">
        <f>input!M40+input!K40+input!H40</f>
        <v>3270</v>
      </c>
      <c r="E188" s="488">
        <f>IF(B65="Positive",input!H40,input!K40)</f>
        <v>30</v>
      </c>
      <c r="F188" s="488">
        <f t="shared" si="5"/>
        <v>1648.7843654007638</v>
      </c>
      <c r="G188" s="694">
        <f>Cons!G941</f>
        <v>800</v>
      </c>
      <c r="H188" s="694">
        <f t="shared" si="6"/>
        <v>-0.94783801147646296</v>
      </c>
      <c r="I188" s="488">
        <f>input!M40</f>
        <v>3200</v>
      </c>
      <c r="J188" s="21">
        <f>IF(input!AJ40=0,9/(F188/I188)^2,IF(input!AJ40=1,IF(AND(B188&lt;=0,C188&lt;=0),7.2,IF(G188/F188&gt;=0.4,MAX(5.17/(G188/I188)^2,9/(F188/I188)^2),11.64/((F188-G188)/I188)^2)),IF(H188&gt;=-1,247.8*((G188/F188)^1.8)*(1-H188)^2.7,247.8*(1-H188)^0.32)))</f>
        <v>407.90684075881978</v>
      </c>
      <c r="K188" s="694">
        <f>MIN(0.9*Es*J188/(input!BQ40/input!N40)^2,H65*input!BI40,input!BK40/0.7)</f>
        <v>379.83264207543715</v>
      </c>
      <c r="L188" s="694">
        <f t="shared" si="7"/>
        <v>-223.20120059589294</v>
      </c>
      <c r="M188" s="696" t="str">
        <f t="shared" si="8"/>
        <v>OK</v>
      </c>
      <c r="O188" s="113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</row>
    <row r="189" spans="1:30" s="143" customFormat="1" ht="15" customHeight="1">
      <c r="A189" s="1102" t="str">
        <f>+input!B41</f>
        <v>120i</v>
      </c>
      <c r="B189" s="488">
        <f>Stress!J870</f>
        <v>211.55437030380548</v>
      </c>
      <c r="C189" s="488">
        <f>Stress!K870</f>
        <v>-223.19823516194259</v>
      </c>
      <c r="D189" s="488">
        <f>input!M41+input!K41+input!H41</f>
        <v>3270</v>
      </c>
      <c r="E189" s="488">
        <f>IF(B66="Positive",input!H41,input!K41)</f>
        <v>30</v>
      </c>
      <c r="F189" s="488">
        <f t="shared" si="5"/>
        <v>1648.7897756188472</v>
      </c>
      <c r="G189" s="694">
        <f>Cons!G942</f>
        <v>800</v>
      </c>
      <c r="H189" s="694">
        <f t="shared" si="6"/>
        <v>-0.94783173419947142</v>
      </c>
      <c r="I189" s="488">
        <f>input!M41</f>
        <v>3200</v>
      </c>
      <c r="J189" s="21">
        <f>IF(input!AJ41=0,9/(F189/I189)^2,IF(input!AJ41=1,IF(AND(B189&lt;=0,C189&lt;=0),7.2,IF(G189/F189&gt;=0.4,MAX(5.17/(G189/I189)^2,9/(F189/I189)^2),11.64/((F189-G189)/I189)^2)),IF(H189&gt;=-1,247.8*((G189/F189)^1.8)*(1-H189)^2.7,247.8*(1-H189)^0.32)))</f>
        <v>407.90088223241349</v>
      </c>
      <c r="K189" s="694">
        <f>MIN(0.9*Es*J189/(input!BQ41/input!N41)^2,H66*input!BI41,input!BK41/0.7)</f>
        <v>379.83264207543715</v>
      </c>
      <c r="L189" s="694">
        <f t="shared" si="7"/>
        <v>-223.19823516194259</v>
      </c>
      <c r="M189" s="696" t="str">
        <f t="shared" si="8"/>
        <v>OK</v>
      </c>
      <c r="O189" s="113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</row>
    <row r="190" spans="1:30" s="143" customFormat="1" ht="15" customHeight="1">
      <c r="A190" s="1102" t="str">
        <f>+input!B42</f>
        <v>120j</v>
      </c>
      <c r="B190" s="488">
        <f>Stress!J871</f>
        <v>195.22339414821215</v>
      </c>
      <c r="C190" s="488">
        <f>Stress!K871</f>
        <v>-205.38693438027693</v>
      </c>
      <c r="D190" s="488">
        <f>input!M42+input!K42+input!H42</f>
        <v>3270</v>
      </c>
      <c r="E190" s="488">
        <f>IF(B67="Positive",input!H42,input!K42)</f>
        <v>30</v>
      </c>
      <c r="F190" s="488">
        <f t="shared" si="5"/>
        <v>1646.4801793564948</v>
      </c>
      <c r="G190" s="694">
        <f>Cons!G943</f>
        <v>800</v>
      </c>
      <c r="H190" s="694">
        <f t="shared" si="6"/>
        <v>-0.95051515685390764</v>
      </c>
      <c r="I190" s="488">
        <f>input!M42</f>
        <v>3200</v>
      </c>
      <c r="J190" s="21">
        <f>IF(input!AJ42=0,9/(F190/I190)^2,IF(input!AJ42=1,IF(AND(B190&lt;=0,C190&lt;=0),7.2,IF(G190/F190&gt;=0.4,MAX(5.17/(G190/I190)^2,9/(F190/I190)^2),11.64/((F190-G190)/I190)^2)),IF(H190&gt;=-1,247.8*((G190/F190)^1.8)*(1-H190)^2.7,247.8*(1-H190)^0.32)))</f>
        <v>410.45424875564953</v>
      </c>
      <c r="K190" s="694">
        <f>MIN(0.9*Es*J190/(input!BQ42/input!N42)^2,H67*input!BI42,input!BK42/0.7)</f>
        <v>379.83264207543715</v>
      </c>
      <c r="L190" s="694">
        <f t="shared" si="7"/>
        <v>-205.38693438027693</v>
      </c>
      <c r="M190" s="696" t="str">
        <f t="shared" si="8"/>
        <v>OK</v>
      </c>
      <c r="O190" s="113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</row>
    <row r="191" spans="1:30" s="143" customFormat="1" ht="15" customHeight="1">
      <c r="A191" s="1102" t="str">
        <f>+input!B43</f>
        <v>121i</v>
      </c>
      <c r="B191" s="488">
        <f>Stress!J872</f>
        <v>201.48214330122192</v>
      </c>
      <c r="C191" s="488">
        <f>Stress!K872</f>
        <v>-217.89167903764434</v>
      </c>
      <c r="D191" s="488">
        <f>input!M43+input!K43+input!H43</f>
        <v>3173</v>
      </c>
      <c r="E191" s="488">
        <f>IF(B68="Positive",input!H43,input!K43)</f>
        <v>30</v>
      </c>
      <c r="F191" s="488">
        <f t="shared" si="5"/>
        <v>1618.5776192005569</v>
      </c>
      <c r="G191" s="694">
        <f>Cons!G944</f>
        <v>775.75</v>
      </c>
      <c r="H191" s="694">
        <f t="shared" si="6"/>
        <v>-0.92468947961254</v>
      </c>
      <c r="I191" s="488">
        <f>input!M43</f>
        <v>3103</v>
      </c>
      <c r="J191" s="21">
        <f>IF(input!AJ43=0,9/(F191/I191)^2,IF(input!AJ43=1,IF(AND(B191&lt;=0,C191&lt;=0),7.2,IF(G191/F191&gt;=0.4,MAX(5.17/(G191/I191)^2,9/(F191/I191)^2),11.64/((F191-G191)/I191)^2)),IF(H191&gt;=-1,247.8*((G191/F191)^1.8)*(1-H191)^2.7,247.8*(1-H191)^0.32)))</f>
        <v>386.30824168870441</v>
      </c>
      <c r="K191" s="694">
        <f>MIN(0.9*Es*J191/(input!BQ43/input!N43)^2,H68*input!BI43,input!BK43/0.7)</f>
        <v>379.84097363859689</v>
      </c>
      <c r="L191" s="694">
        <f t="shared" si="7"/>
        <v>-217.89167903764434</v>
      </c>
      <c r="M191" s="696" t="str">
        <f t="shared" si="8"/>
        <v>OK</v>
      </c>
      <c r="O191" s="113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</row>
    <row r="192" spans="1:30" s="143" customFormat="1" ht="15" customHeight="1">
      <c r="A192" s="1102" t="str">
        <f>+input!B44</f>
        <v>121j</v>
      </c>
      <c r="B192" s="488">
        <f>Stress!J873</f>
        <v>165.78275268019314</v>
      </c>
      <c r="C192" s="488">
        <f>Stress!K873</f>
        <v>-178.00781807326427</v>
      </c>
      <c r="D192" s="488">
        <f>input!M44+input!K44+input!H44</f>
        <v>3173</v>
      </c>
      <c r="E192" s="488">
        <f>IF(B69="Positive",input!H44,input!K44)</f>
        <v>30</v>
      </c>
      <c r="F192" s="488">
        <f t="shared" si="5"/>
        <v>1612.9153525316322</v>
      </c>
      <c r="G192" s="694">
        <f>Cons!G945</f>
        <v>775.75</v>
      </c>
      <c r="H192" s="694">
        <f t="shared" si="6"/>
        <v>-0.93132287376254708</v>
      </c>
      <c r="I192" s="488">
        <f>input!M44</f>
        <v>3103</v>
      </c>
      <c r="J192" s="21">
        <f>IF(input!AJ44=0,9/(F192/I192)^2,IF(input!AJ44=1,IF(AND(B192&lt;=0,C192&lt;=0),7.2,IF(G192/F192&gt;=0.4,MAX(5.17/(G192/I192)^2,9/(F192/I192)^2),11.64/((F192-G192)/I192)^2)),IF(H192&gt;=-1,247.8*((G192/F192)^1.8)*(1-H192)^2.7,247.8*(1-H192)^0.32)))</f>
        <v>392.38090494292084</v>
      </c>
      <c r="K192" s="694">
        <f>MIN(0.9*Es*J192/(input!BQ44/input!N44)^2,H69*input!BI44,input!BK44/0.7)</f>
        <v>379.84097363859689</v>
      </c>
      <c r="L192" s="694">
        <f t="shared" si="7"/>
        <v>-178.00781807326427</v>
      </c>
      <c r="M192" s="696" t="str">
        <f t="shared" si="8"/>
        <v>OK</v>
      </c>
      <c r="O192" s="113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</row>
    <row r="193" spans="1:30" s="143" customFormat="1" ht="15" customHeight="1">
      <c r="A193" s="1102" t="str">
        <f>+input!B45</f>
        <v>122i</v>
      </c>
      <c r="B193" s="488">
        <f>Stress!J874</f>
        <v>280.91962480998933</v>
      </c>
      <c r="C193" s="488">
        <f>Stress!K874</f>
        <v>-218.86396699294551</v>
      </c>
      <c r="D193" s="488">
        <f>input!M45+input!K45+input!H45</f>
        <v>2994</v>
      </c>
      <c r="E193" s="488">
        <f>IF(B70="Positive",input!H45,input!K45)</f>
        <v>30</v>
      </c>
      <c r="F193" s="488">
        <f t="shared" si="5"/>
        <v>1281.1249107098656</v>
      </c>
      <c r="G193" s="694">
        <f>Cons!G946</f>
        <v>731</v>
      </c>
      <c r="H193" s="694">
        <f t="shared" si="6"/>
        <v>-1.2835352875562382</v>
      </c>
      <c r="I193" s="488">
        <f>input!M45</f>
        <v>2924</v>
      </c>
      <c r="J193" s="21">
        <f>IF(input!AJ45=0,9/(F193/I193)^2,IF(input!AJ45=1,IF(AND(B193&lt;=0,C193&lt;=0),7.2,IF(G193/F193&gt;=0.4,MAX(5.17/(G193/I193)^2,9/(F193/I193)^2),11.64/((F193-G193)/I193)^2)),IF(H193&gt;=-1,247.8*((G193/F193)^1.8)*(1-H193)^2.7,247.8*(1-H193)^0.32)))</f>
        <v>322.74221460356836</v>
      </c>
      <c r="K193" s="694">
        <f>MIN(0.9*Es*J193/(input!BQ45/input!N45)^2,H70*input!BI45,input!BK45/0.7)</f>
        <v>379.75377174476682</v>
      </c>
      <c r="L193" s="694">
        <f t="shared" si="7"/>
        <v>-218.86396699294551</v>
      </c>
      <c r="M193" s="696" t="str">
        <f t="shared" si="8"/>
        <v>OK</v>
      </c>
      <c r="O193" s="113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</row>
    <row r="194" spans="1:30" s="143" customFormat="1" ht="15" customHeight="1">
      <c r="A194" s="1102" t="str">
        <f>+input!B46</f>
        <v>122j</v>
      </c>
      <c r="B194" s="488">
        <f>Stress!J875</f>
        <v>207.69278050936867</v>
      </c>
      <c r="C194" s="488">
        <f>Stress!K875</f>
        <v>-160.07714027226467</v>
      </c>
      <c r="D194" s="488">
        <f>input!M46+input!K46+input!H46</f>
        <v>2994</v>
      </c>
      <c r="E194" s="488">
        <f>IF(B71="Positive",input!H46,input!K46)</f>
        <v>30</v>
      </c>
      <c r="F194" s="488">
        <f t="shared" si="5"/>
        <v>1273.1815025996425</v>
      </c>
      <c r="G194" s="694">
        <f>Cons!G947</f>
        <v>731</v>
      </c>
      <c r="H194" s="694">
        <f t="shared" si="6"/>
        <v>-1.2974543408016765</v>
      </c>
      <c r="I194" s="488">
        <f>input!M46</f>
        <v>2924</v>
      </c>
      <c r="J194" s="21">
        <f>IF(input!AJ46=0,9/(F194/I194)^2,IF(input!AJ46=1,IF(AND(B194&lt;=0,C194&lt;=0),7.2,IF(G194/F194&gt;=0.4,MAX(5.17/(G194/I194)^2,9/(F194/I194)^2),11.64/((F194-G194)/I194)^2)),IF(H194&gt;=-1,247.8*((G194/F194)^1.8)*(1-H194)^2.7,247.8*(1-H194)^0.32)))</f>
        <v>323.37043178100458</v>
      </c>
      <c r="K194" s="694">
        <f>MIN(0.9*Es*J194/(input!BQ46/input!N46)^2,H71*input!BI46,input!BK46/0.7)</f>
        <v>379.75377174476682</v>
      </c>
      <c r="L194" s="694">
        <f t="shared" si="7"/>
        <v>-160.07714027226467</v>
      </c>
      <c r="M194" s="696" t="str">
        <f t="shared" si="8"/>
        <v>OK</v>
      </c>
      <c r="O194" s="113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</row>
    <row r="195" spans="1:30" s="143" customFormat="1" ht="15" customHeight="1">
      <c r="A195" s="1102" t="str">
        <f>+input!B47</f>
        <v>123i</v>
      </c>
      <c r="B195" s="488">
        <f>Stress!J876</f>
        <v>269.34248946555658</v>
      </c>
      <c r="C195" s="488">
        <f>Stress!K876</f>
        <v>-241.5446476035425</v>
      </c>
      <c r="D195" s="488">
        <f>input!M47+input!K47+input!H47</f>
        <v>2884</v>
      </c>
      <c r="E195" s="488">
        <f>IF(B72="Positive",input!H47,input!K47)</f>
        <v>30</v>
      </c>
      <c r="F195" s="488">
        <f t="shared" si="5"/>
        <v>1333.5394456885635</v>
      </c>
      <c r="G195" s="694">
        <f>Cons!G948</f>
        <v>703.5</v>
      </c>
      <c r="H195" s="694">
        <f t="shared" si="6"/>
        <v>-1.115083659016282</v>
      </c>
      <c r="I195" s="488">
        <f>input!M47</f>
        <v>2814</v>
      </c>
      <c r="J195" s="21">
        <f>IF(input!AJ47=0,9/(F195/I195)^2,IF(input!AJ47=1,IF(AND(B195&lt;=0,C195&lt;=0),7.2,IF(G195/F195&gt;=0.4,MAX(5.17/(G195/I195)^2,9/(F195/I195)^2),11.64/((F195-G195)/I195)^2)),IF(H195&gt;=-1,247.8*((G195/F195)^1.8)*(1-H195)^2.7,247.8*(1-H195)^0.32)))</f>
        <v>314.92426034745637</v>
      </c>
      <c r="K195" s="694">
        <f>MIN(0.9*Es*J195/(input!BQ47/input!N47)^2,H72*input!BI47,input!BK47/0.7)</f>
        <v>379.74637596701001</v>
      </c>
      <c r="L195" s="694">
        <f t="shared" si="7"/>
        <v>-241.5446476035425</v>
      </c>
      <c r="M195" s="696" t="str">
        <f t="shared" si="8"/>
        <v>OK</v>
      </c>
      <c r="O195" s="113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</row>
    <row r="196" spans="1:30" s="143" customFormat="1" ht="15" customHeight="1">
      <c r="A196" s="1103" t="str">
        <f>+input!B48</f>
        <v>123j</v>
      </c>
      <c r="B196" s="488">
        <f>Stress!J877</f>
        <v>194.81446401199821</v>
      </c>
      <c r="C196" s="488">
        <f>Stress!K877</f>
        <v>-176.23542235659244</v>
      </c>
      <c r="D196" s="903">
        <f>input!M48+input!K48+input!H48</f>
        <v>2884</v>
      </c>
      <c r="E196" s="488">
        <f>IF(B73="Positive",input!H48,input!K48)</f>
        <v>30</v>
      </c>
      <c r="F196" s="488">
        <f t="shared" si="5"/>
        <v>1339.796829883727</v>
      </c>
      <c r="G196" s="694">
        <f>Cons!G949</f>
        <v>703.5</v>
      </c>
      <c r="H196" s="694">
        <f t="shared" si="6"/>
        <v>-1.1054217217343127</v>
      </c>
      <c r="I196" s="488">
        <f>input!M48</f>
        <v>2814</v>
      </c>
      <c r="J196" s="21">
        <f>IF(input!AJ48=0,9/(F196/I196)^2,IF(input!AJ48=1,IF(AND(B196&lt;=0,C196&lt;=0),7.2,IF(G196/F196&gt;=0.4,MAX(5.17/(G196/I196)^2,9/(F196/I196)^2),11.64/((F196-G196)/I196)^2)),IF(H196&gt;=-1,247.8*((G196/F196)^1.8)*(1-H196)^2.7,247.8*(1-H196)^0.32)))</f>
        <v>314.46318861922316</v>
      </c>
      <c r="K196" s="694">
        <f>MIN(0.9*Es*J196/(input!BQ48/input!N48)^2,H73*input!BI48,input!BK48/0.7)</f>
        <v>379.74637596701001</v>
      </c>
      <c r="L196" s="694">
        <f t="shared" si="7"/>
        <v>-176.23542235659244</v>
      </c>
      <c r="M196" s="1086" t="str">
        <f t="shared" si="8"/>
        <v>OK</v>
      </c>
      <c r="O196" s="113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</row>
    <row r="197" spans="1:30" s="143" customFormat="1" ht="15" customHeight="1">
      <c r="A197" s="1104" t="str">
        <f>+input!B49</f>
        <v>124i</v>
      </c>
      <c r="B197" s="488">
        <f>Stress!J878</f>
        <v>283.82065404120863</v>
      </c>
      <c r="C197" s="488">
        <f>Stress!K878</f>
        <v>-218.75318888655647</v>
      </c>
      <c r="D197" s="1084">
        <f>input!M49+input!K49+input!H49</f>
        <v>2850</v>
      </c>
      <c r="E197" s="488">
        <f>IF(B74="Positive",input!H49,input!K49)</f>
        <v>24</v>
      </c>
      <c r="F197" s="488">
        <f t="shared" si="5"/>
        <v>1216.5074340812716</v>
      </c>
      <c r="G197" s="694">
        <f>Cons!G950</f>
        <v>700</v>
      </c>
      <c r="H197" s="694">
        <f t="shared" si="6"/>
        <v>-1.297446933166289</v>
      </c>
      <c r="I197" s="488">
        <f>input!M49</f>
        <v>2800</v>
      </c>
      <c r="J197" s="21">
        <f>IF(input!AJ49=0,9/(F197/I197)^2,IF(input!AJ49=1,IF(AND(B197&lt;=0,C197&lt;=0),7.2,IF(G197/F197&gt;=0.4,MAX(5.17/(G197/I197)^2,9/(F197/I197)^2),11.64/((F197-G197)/I197)^2)),IF(H197&gt;=-1,247.8*((G197/F197)^1.8)*(1-H197)^2.7,247.8*(1-H197)^0.32)))</f>
        <v>323.37009813688906</v>
      </c>
      <c r="K197" s="694">
        <f>MIN(0.9*Es*J197/(input!BQ49/input!N49)^2,H74*input!BI49,input!BK49/0.7)</f>
        <v>379.54826982241889</v>
      </c>
      <c r="L197" s="694">
        <f t="shared" si="7"/>
        <v>-218.75318888655647</v>
      </c>
      <c r="M197" s="1088" t="str">
        <f t="shared" si="8"/>
        <v>OK</v>
      </c>
      <c r="O197" s="113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</row>
    <row r="198" spans="1:30" s="143" customFormat="1" ht="15" customHeight="1">
      <c r="A198" s="1102" t="str">
        <f>+input!B50</f>
        <v>124j</v>
      </c>
      <c r="B198" s="488">
        <f>Stress!J879</f>
        <v>189.84515350706562</v>
      </c>
      <c r="C198" s="488">
        <f>Stress!K879</f>
        <v>-149.0754723087523</v>
      </c>
      <c r="D198" s="488">
        <f>input!M50+input!K50+input!H50</f>
        <v>2850</v>
      </c>
      <c r="E198" s="488">
        <f>IF(B75="Positive",input!H50,input!K50)</f>
        <v>24</v>
      </c>
      <c r="F198" s="488">
        <f t="shared" si="5"/>
        <v>1229.5828855421491</v>
      </c>
      <c r="G198" s="694">
        <f>Cons!G951</f>
        <v>700</v>
      </c>
      <c r="H198" s="694">
        <f t="shared" si="6"/>
        <v>-1.2734834950841187</v>
      </c>
      <c r="I198" s="488">
        <f>input!M50</f>
        <v>2800</v>
      </c>
      <c r="J198" s="21">
        <f>IF(input!AJ50=0,9/(F198/I198)^2,IF(input!AJ50=1,IF(AND(B198&lt;=0,C198&lt;=0),7.2,IF(G198/F198&gt;=0.4,MAX(5.17/(G198/I198)^2,9/(F198/I198)^2),11.64/((F198-G198)/I198)^2)),IF(H198&gt;=-1,247.8*((G198/F198)^1.8)*(1-H198)^2.7,247.8*(1-H198)^0.32)))</f>
        <v>322.28691985962968</v>
      </c>
      <c r="K198" s="694">
        <f>MIN(0.9*Es*J198/(input!BQ50/input!N50)^2,H75*input!BI50,input!BK50/0.7)</f>
        <v>379.54826982241889</v>
      </c>
      <c r="L198" s="694">
        <f t="shared" si="7"/>
        <v>-149.0754723087523</v>
      </c>
      <c r="M198" s="696" t="str">
        <f t="shared" si="8"/>
        <v>OK</v>
      </c>
      <c r="O198" s="113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</row>
    <row r="199" spans="1:30" s="143" customFormat="1" ht="15" customHeight="1">
      <c r="A199" s="1102" t="str">
        <f>+input!B51</f>
        <v>125i</v>
      </c>
      <c r="B199" s="488">
        <f>Stress!J880</f>
        <v>211.79533268210758</v>
      </c>
      <c r="C199" s="488">
        <f>Stress!K880</f>
        <v>-180.50892344890909</v>
      </c>
      <c r="D199" s="488">
        <f>input!M51+input!K51+input!H51</f>
        <v>2840</v>
      </c>
      <c r="E199" s="488">
        <f>IF(B76="Positive",input!H51,input!K51)</f>
        <v>18</v>
      </c>
      <c r="F199" s="488">
        <f t="shared" si="5"/>
        <v>1288.7544758517613</v>
      </c>
      <c r="G199" s="694">
        <f>Cons!G952</f>
        <v>700</v>
      </c>
      <c r="H199" s="694">
        <f t="shared" si="6"/>
        <v>-1.1733233384556401</v>
      </c>
      <c r="I199" s="488">
        <f>input!M51</f>
        <v>2800</v>
      </c>
      <c r="J199" s="21">
        <f>IF(input!AJ51=0,9/(F199/I199)^2,IF(input!AJ51=1,IF(AND(B199&lt;=0,C199&lt;=0),7.2,IF(G199/F199&gt;=0.4,MAX(5.17/(G199/I199)^2,9/(F199/I199)^2),11.64/((F199-G199)/I199)^2)),IF(H199&gt;=-1,247.8*((G199/F199)^1.8)*(1-H199)^2.7,247.8*(1-H199)^0.32)))</f>
        <v>317.67357614863346</v>
      </c>
      <c r="K199" s="694">
        <f>MIN(0.9*Es*J199/(input!BQ51/input!N51)^2,H76*input!BI51,input!BK51/0.7)</f>
        <v>379.50157350579502</v>
      </c>
      <c r="L199" s="694">
        <f t="shared" si="7"/>
        <v>-180.50892344890909</v>
      </c>
      <c r="M199" s="696" t="str">
        <f t="shared" si="8"/>
        <v>OK</v>
      </c>
      <c r="O199" s="113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</row>
    <row r="200" spans="1:30" s="143" customFormat="1" ht="15" customHeight="1">
      <c r="A200" s="1102" t="str">
        <f>+input!B52</f>
        <v>125j</v>
      </c>
      <c r="B200" s="488">
        <f>Stress!J881</f>
        <v>130.28318885838365</v>
      </c>
      <c r="C200" s="488">
        <f>Stress!K881</f>
        <v>-114.571955943489</v>
      </c>
      <c r="D200" s="488">
        <f>input!M52+input!K52+input!H52</f>
        <v>2840</v>
      </c>
      <c r="E200" s="488">
        <f>IF(B77="Positive",input!H52,input!K52)</f>
        <v>18</v>
      </c>
      <c r="F200" s="488">
        <f t="shared" si="5"/>
        <v>1310.8851052845846</v>
      </c>
      <c r="G200" s="694">
        <f>Cons!G953</f>
        <v>700</v>
      </c>
      <c r="H200" s="694">
        <f t="shared" si="6"/>
        <v>-1.1371298306423607</v>
      </c>
      <c r="I200" s="488">
        <f>input!M52</f>
        <v>2800</v>
      </c>
      <c r="J200" s="21">
        <f>IF(input!AJ52=0,9/(F200/I200)^2,IF(input!AJ52=1,IF(AND(B200&lt;=0,C200&lt;=0),7.2,IF(G200/F200&gt;=0.4,MAX(5.17/(G200/I200)^2,9/(F200/I200)^2),11.64/((F200-G200)/I200)^2)),IF(H200&gt;=-1,247.8*((G200/F200)^1.8)*(1-H200)^2.7,247.8*(1-H200)^0.32)))</f>
        <v>315.97097629916743</v>
      </c>
      <c r="K200" s="694">
        <f>MIN(0.9*Es*J200/(input!BQ52/input!N52)^2,H77*input!BI52,input!BK52/0.7)</f>
        <v>379.50157350579502</v>
      </c>
      <c r="L200" s="694">
        <f t="shared" si="7"/>
        <v>-114.571955943489</v>
      </c>
      <c r="M200" s="696" t="str">
        <f t="shared" si="8"/>
        <v>OK</v>
      </c>
      <c r="O200" s="113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</row>
    <row r="201" spans="1:30" s="143" customFormat="1" ht="15" customHeight="1">
      <c r="A201" s="1102" t="str">
        <f>+input!B53</f>
        <v>126i</v>
      </c>
      <c r="B201" s="488">
        <f>Stress!J882</f>
        <v>130.28318885838365</v>
      </c>
      <c r="C201" s="488">
        <f>Stress!K882</f>
        <v>-114.571955943489</v>
      </c>
      <c r="D201" s="488">
        <f>input!M53+input!K53+input!H53</f>
        <v>2840</v>
      </c>
      <c r="E201" s="488">
        <f>IF(B78="Positive",input!H53,input!K53)</f>
        <v>18</v>
      </c>
      <c r="F201" s="488">
        <f t="shared" si="5"/>
        <v>1310.8851052845846</v>
      </c>
      <c r="G201" s="694">
        <f>Cons!G954</f>
        <v>700</v>
      </c>
      <c r="H201" s="694">
        <f t="shared" si="6"/>
        <v>-1.1371298306423607</v>
      </c>
      <c r="I201" s="488">
        <f>input!M53</f>
        <v>2800</v>
      </c>
      <c r="J201" s="21">
        <f>IF(input!AJ53=0,9/(F201/I201)^2,IF(input!AJ53=1,IF(AND(B201&lt;=0,C201&lt;=0),7.2,IF(G201/F201&gt;=0.4,MAX(5.17/(G201/I201)^2,9/(F201/I201)^2),11.64/((F201-G201)/I201)^2)),IF(H201&gt;=-1,247.8*((G201/F201)^1.8)*(1-H201)^2.7,247.8*(1-H201)^0.32)))</f>
        <v>315.97097629916743</v>
      </c>
      <c r="K201" s="694">
        <f>MIN(0.9*Es*J201/(input!BQ53/input!N53)^2,H78*input!BI53,input!BK53/0.7)</f>
        <v>379.50157350579502</v>
      </c>
      <c r="L201" s="694">
        <f t="shared" si="7"/>
        <v>-114.571955943489</v>
      </c>
      <c r="M201" s="696" t="str">
        <f t="shared" si="8"/>
        <v>OK</v>
      </c>
      <c r="O201" s="113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</row>
    <row r="202" spans="1:30" s="143" customFormat="1" ht="15" customHeight="1">
      <c r="A202" s="1102" t="str">
        <f>+input!B54</f>
        <v>126j</v>
      </c>
      <c r="B202" s="488">
        <f>Stress!J883</f>
        <v>64.901673908539863</v>
      </c>
      <c r="C202" s="488">
        <f>Stress!K883</f>
        <v>-61.120820776983564</v>
      </c>
      <c r="D202" s="488">
        <f>input!M54+input!K54+input!H54</f>
        <v>2840</v>
      </c>
      <c r="E202" s="488">
        <f>IF(B79="Positive",input!H54,input!K54)</f>
        <v>18</v>
      </c>
      <c r="F202" s="488">
        <f t="shared" si="5"/>
        <v>1359.397991047493</v>
      </c>
      <c r="G202" s="694">
        <f>Cons!G955</f>
        <v>700</v>
      </c>
      <c r="H202" s="694">
        <f t="shared" si="6"/>
        <v>-1.0618586773458394</v>
      </c>
      <c r="I202" s="488">
        <f>input!M54</f>
        <v>2800</v>
      </c>
      <c r="J202" s="21">
        <f>IF(input!AJ54=0,9/(F202/I202)^2,IF(input!AJ54=1,IF(AND(B202&lt;=0,C202&lt;=0),7.2,IF(G202/F202&gt;=0.4,MAX(5.17/(G202/I202)^2,9/(F202/I202)^2),11.64/((F202-G202)/I202)^2)),IF(H202&gt;=-1,247.8*((G202/F202)^1.8)*(1-H202)^2.7,247.8*(1-H202)^0.32)))</f>
        <v>312.36628202839756</v>
      </c>
      <c r="K202" s="694">
        <f>MIN(0.9*Es*J202/(input!BQ54/input!N54)^2,H79*input!BI54,input!BK54/0.7)</f>
        <v>379.50157350579502</v>
      </c>
      <c r="L202" s="694">
        <f t="shared" si="7"/>
        <v>-61.120820776983564</v>
      </c>
      <c r="M202" s="696" t="str">
        <f t="shared" si="8"/>
        <v>OK</v>
      </c>
      <c r="O202" s="113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</row>
    <row r="203" spans="1:30" s="143" customFormat="1" ht="15" customHeight="1">
      <c r="A203" s="1102" t="str">
        <f>+input!B55</f>
        <v>127i</v>
      </c>
      <c r="B203" s="488">
        <f>Stress!J884</f>
        <v>69.003390895663784</v>
      </c>
      <c r="C203" s="488">
        <f>Stress!K884</f>
        <v>-81.9892343002156</v>
      </c>
      <c r="D203" s="488">
        <f>input!M55+input!K55+input!H55</f>
        <v>2832</v>
      </c>
      <c r="E203" s="488">
        <f>IF(B80="Positive",input!H55,input!K55)</f>
        <v>10</v>
      </c>
      <c r="F203" s="488">
        <f t="shared" si="5"/>
        <v>1527.7804792584477</v>
      </c>
      <c r="G203" s="694">
        <f>Cons!G956</f>
        <v>700</v>
      </c>
      <c r="H203" s="694">
        <f t="shared" si="6"/>
        <v>-0.84161526186471936</v>
      </c>
      <c r="I203" s="488">
        <f>input!M55</f>
        <v>2800</v>
      </c>
      <c r="J203" s="21">
        <f>IF(input!AJ55=0,9/(F203/I203)^2,IF(input!AJ55=1,IF(AND(B203&lt;=0,C203&lt;=0),7.2,IF(G203/F203&gt;=0.4,MAX(5.17/(G203/I203)^2,9/(F203/I203)^2),11.64/((F203-G203)/I203)^2)),IF(H203&gt;=-1,247.8*((G203/F203)^1.8)*(1-H203)^2.7,247.8*(1-H203)^0.32)))</f>
        <v>316.23147710702142</v>
      </c>
      <c r="K203" s="694">
        <f>MIN(0.9*Es*J203/(input!BQ55/input!N55)^2,H80*input!BI55,input!BK55/0.7)</f>
        <v>379.4194249219583</v>
      </c>
      <c r="L203" s="694">
        <f t="shared" si="7"/>
        <v>-81.9892343002156</v>
      </c>
      <c r="M203" s="696" t="str">
        <f t="shared" si="8"/>
        <v>OK</v>
      </c>
      <c r="O203" s="113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</row>
    <row r="204" spans="1:30" s="143" customFormat="1" ht="15" customHeight="1">
      <c r="A204" s="1102" t="str">
        <f>+input!B56</f>
        <v>127j</v>
      </c>
      <c r="B204" s="488">
        <f>Stress!J885</f>
        <v>-32.387423705175699</v>
      </c>
      <c r="C204" s="488">
        <f>Stress!K885</f>
        <v>104.10168836806361</v>
      </c>
      <c r="D204" s="488">
        <f>input!M56+input!K56+input!H56</f>
        <v>2832</v>
      </c>
      <c r="E204" s="488">
        <f>IF(B81="Positive",input!H56,input!K56)</f>
        <v>22</v>
      </c>
      <c r="F204" s="488">
        <f t="shared" si="5"/>
        <v>650.00366783718607</v>
      </c>
      <c r="G204" s="694">
        <f>Cons!G957</f>
        <v>700</v>
      </c>
      <c r="H204" s="694">
        <f t="shared" si="6"/>
        <v>-3.2142627124561174</v>
      </c>
      <c r="I204" s="488">
        <f>input!M56</f>
        <v>2800</v>
      </c>
      <c r="J204" s="21">
        <f>IF(input!AJ56=0,9/(F204/I204)^2,IF(input!AJ56=1,IF(AND(B204&lt;=0,C204&lt;=0),7.2,IF(G204/F204&gt;=0.4,MAX(5.17/(G204/I204)^2,9/(F204/I204)^2),11.64/((F204-G204)/I204)^2)),IF(H204&gt;=-1,247.8*((G204/F204)^1.8)*(1-H204)^2.7,247.8*(1-H204)^0.32)))</f>
        <v>392.65597985481287</v>
      </c>
      <c r="K204" s="694">
        <f>MIN(0.9*Es*J204/(input!BQ56/input!N56)^2,H81*input!BI56,input!BK56/0.7)</f>
        <v>379.19028554281539</v>
      </c>
      <c r="L204" s="694">
        <f t="shared" si="7"/>
        <v>-32.387423705175699</v>
      </c>
      <c r="M204" s="696" t="str">
        <f t="shared" si="8"/>
        <v>OK</v>
      </c>
      <c r="O204" s="113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</row>
    <row r="205" spans="1:30" s="143" customFormat="1" ht="15" customHeight="1">
      <c r="A205" s="1102" t="str">
        <f>+input!B57</f>
        <v>128i</v>
      </c>
      <c r="B205" s="488">
        <f>Stress!J886</f>
        <v>-32.387423705175699</v>
      </c>
      <c r="C205" s="488">
        <f>Stress!K886</f>
        <v>104.51381637231903</v>
      </c>
      <c r="D205" s="488">
        <f>input!M57+input!K57+input!H57</f>
        <v>2832</v>
      </c>
      <c r="E205" s="488">
        <f>IF(B82="Positive",input!H57,input!K57)</f>
        <v>22</v>
      </c>
      <c r="F205" s="488">
        <f t="shared" si="5"/>
        <v>647.9806654865771</v>
      </c>
      <c r="G205" s="694">
        <f>Cons!G958</f>
        <v>700</v>
      </c>
      <c r="H205" s="694">
        <f t="shared" si="6"/>
        <v>-3.2269876518649152</v>
      </c>
      <c r="I205" s="488">
        <f>input!M57</f>
        <v>2800</v>
      </c>
      <c r="J205" s="21">
        <f>IF(input!AJ57=0,9/(F205/I205)^2,IF(input!AJ57=1,IF(AND(B205&lt;=0,C205&lt;=0),7.2,IF(G205/F205&gt;=0.4,MAX(5.17/(G205/I205)^2,9/(F205/I205)^2),11.64/((F205-G205)/I205)^2)),IF(H205&gt;=-1,247.8*((G205/F205)^1.8)*(1-H205)^2.7,247.8*(1-H205)^0.32)))</f>
        <v>393.03499012379632</v>
      </c>
      <c r="K205" s="694">
        <f>MIN(0.9*Es*J205/(input!BQ57/input!N57)^2,H82*input!BI57,input!BK57/0.7)</f>
        <v>379.19028554281539</v>
      </c>
      <c r="L205" s="694">
        <f t="shared" si="7"/>
        <v>-32.387423705175699</v>
      </c>
      <c r="M205" s="696" t="str">
        <f t="shared" si="8"/>
        <v>OK</v>
      </c>
      <c r="O205" s="113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</row>
    <row r="206" spans="1:30" s="143" customFormat="1" ht="15" customHeight="1">
      <c r="A206" s="1102" t="str">
        <f>+input!B58</f>
        <v>128j</v>
      </c>
      <c r="B206" s="488">
        <f>Stress!J887</f>
        <v>-40.640166668244198</v>
      </c>
      <c r="C206" s="488">
        <f>Stress!K887</f>
        <v>98.851041554692955</v>
      </c>
      <c r="D206" s="488">
        <f>input!M58+input!K58+input!H58</f>
        <v>2832</v>
      </c>
      <c r="E206" s="488">
        <f>IF(B83="Positive",input!H58,input!K58)</f>
        <v>22</v>
      </c>
      <c r="F206" s="488">
        <f t="shared" si="5"/>
        <v>803.09108259012362</v>
      </c>
      <c r="G206" s="694">
        <f>Cons!G959</f>
        <v>700</v>
      </c>
      <c r="H206" s="694">
        <f t="shared" si="6"/>
        <v>-2.432348330695556</v>
      </c>
      <c r="I206" s="488">
        <f>input!M58</f>
        <v>2800</v>
      </c>
      <c r="J206" s="21">
        <f>IF(input!AJ58=0,9/(F206/I206)^2,IF(input!AJ58=1,IF(AND(B206&lt;=0,C206&lt;=0),7.2,IF(G206/F206&gt;=0.4,MAX(5.17/(G206/I206)^2,9/(F206/I206)^2),11.64/((F206-G206)/I206)^2)),IF(H206&gt;=-1,247.8*((G206/F206)^1.8)*(1-H206)^2.7,247.8*(1-H206)^0.32)))</f>
        <v>367.6973804213165</v>
      </c>
      <c r="K206" s="694">
        <f>MIN(0.9*Es*J206/(input!BQ58/input!N58)^2,H83*input!BI58,input!BK58/0.7)</f>
        <v>379.19028554281539</v>
      </c>
      <c r="L206" s="694">
        <f t="shared" si="7"/>
        <v>-40.640166668244198</v>
      </c>
      <c r="M206" s="696" t="str">
        <f t="shared" si="8"/>
        <v>OK</v>
      </c>
      <c r="O206" s="113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</row>
    <row r="207" spans="1:30" s="143" customFormat="1" ht="15" customHeight="1">
      <c r="A207" s="1102" t="str">
        <f>+input!B59</f>
        <v>129i</v>
      </c>
      <c r="B207" s="488">
        <f>Stress!J888</f>
        <v>-40.640273772663001</v>
      </c>
      <c r="C207" s="488">
        <f>Stress!K888</f>
        <v>98.851143921311007</v>
      </c>
      <c r="D207" s="488">
        <f>input!M59+input!K59+input!H59</f>
        <v>2832</v>
      </c>
      <c r="E207" s="488">
        <f>IF(B84="Positive",input!H59,input!K59)</f>
        <v>22</v>
      </c>
      <c r="F207" s="488">
        <f t="shared" si="5"/>
        <v>803.09201803856649</v>
      </c>
      <c r="G207" s="694">
        <f>Cons!G960</f>
        <v>700</v>
      </c>
      <c r="H207" s="694">
        <f t="shared" si="6"/>
        <v>-2.4323444392691078</v>
      </c>
      <c r="I207" s="488">
        <f>input!M59</f>
        <v>2800</v>
      </c>
      <c r="J207" s="21">
        <f>IF(input!AJ59=0,9/(F207/I207)^2,IF(input!AJ59=1,IF(AND(B207&lt;=0,C207&lt;=0),7.2,IF(G207/F207&gt;=0.4,MAX(5.17/(G207/I207)^2,9/(F207/I207)^2),11.64/((F207-G207)/I207)^2)),IF(H207&gt;=-1,247.8*((G207/F207)^1.8)*(1-H207)^2.7,247.8*(1-H207)^0.32)))</f>
        <v>367.69724702060302</v>
      </c>
      <c r="K207" s="694">
        <f>MIN(0.9*Es*J207/(input!BQ59/input!N59)^2,H84*input!BI59,input!BK59/0.7)</f>
        <v>379.19028554281539</v>
      </c>
      <c r="L207" s="694">
        <f t="shared" si="7"/>
        <v>-40.640273772663001</v>
      </c>
      <c r="M207" s="696" t="str">
        <f t="shared" si="8"/>
        <v>OK</v>
      </c>
      <c r="O207" s="113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</row>
    <row r="208" spans="1:30" s="143" customFormat="1" ht="15" customHeight="1">
      <c r="A208" s="1102" t="str">
        <f>+input!B60</f>
        <v>129j</v>
      </c>
      <c r="B208" s="488">
        <f>Stress!J889</f>
        <v>-19.135976955403198</v>
      </c>
      <c r="C208" s="488">
        <f>Stress!K889</f>
        <v>41.049651304115358</v>
      </c>
      <c r="D208" s="488">
        <f>input!M60+input!K60+input!H60</f>
        <v>2832</v>
      </c>
      <c r="E208" s="488">
        <f>IF(B85="Positive",input!H60,input!K60)</f>
        <v>22</v>
      </c>
      <c r="F208" s="488">
        <f t="shared" si="5"/>
        <v>878.43235079349768</v>
      </c>
      <c r="G208" s="694">
        <f>Cons!G961</f>
        <v>700</v>
      </c>
      <c r="H208" s="694">
        <f t="shared" si="6"/>
        <v>-2.1451557660098799</v>
      </c>
      <c r="I208" s="488">
        <f>input!M60</f>
        <v>2800</v>
      </c>
      <c r="J208" s="21">
        <f>IF(input!AJ60=0,9/(F208/I208)^2,IF(input!AJ60=1,IF(AND(B208&lt;=0,C208&lt;=0),7.2,IF(G208/F208&gt;=0.4,MAX(5.17/(G208/I208)^2,9/(F208/I208)^2),11.64/((F208-G208)/I208)^2)),IF(H208&gt;=-1,247.8*((G208/F208)^1.8)*(1-H208)^2.7,247.8*(1-H208)^0.32)))</f>
        <v>357.55824168066198</v>
      </c>
      <c r="K208" s="694">
        <f>MIN(0.9*Es*J208/(input!BQ60/input!N60)^2,H85*input!BI60,input!BK60/0.7)</f>
        <v>379.19028554281539</v>
      </c>
      <c r="L208" s="694">
        <f t="shared" si="7"/>
        <v>-19.135976955403198</v>
      </c>
      <c r="M208" s="696" t="str">
        <f t="shared" si="8"/>
        <v>OK</v>
      </c>
      <c r="O208" s="113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</row>
    <row r="209" spans="1:52" s="143" customFormat="1" ht="15" customHeight="1">
      <c r="A209" s="1102" t="str">
        <f>+input!B61</f>
        <v>130i</v>
      </c>
      <c r="B209" s="488">
        <f>Stress!J890</f>
        <v>-20.883228992184055</v>
      </c>
      <c r="C209" s="488">
        <f>Stress!K890</f>
        <v>45.364783274106934</v>
      </c>
      <c r="D209" s="488">
        <f>input!M61+input!K61+input!H61</f>
        <v>2632</v>
      </c>
      <c r="E209" s="488">
        <f>IF(B86="Positive",input!H61,input!K61)</f>
        <v>22</v>
      </c>
      <c r="F209" s="488">
        <f t="shared" si="5"/>
        <v>807.68011910292637</v>
      </c>
      <c r="G209" s="694">
        <f>Cons!G962</f>
        <v>650</v>
      </c>
      <c r="H209" s="694">
        <f t="shared" si="6"/>
        <v>-2.1723069402287147</v>
      </c>
      <c r="I209" s="488">
        <f>input!M61</f>
        <v>2600</v>
      </c>
      <c r="J209" s="21">
        <f>IF(input!AJ61=0,9/(F209/I209)^2,IF(input!AJ61=1,IF(AND(B209&lt;=0,C209&lt;=0),7.2,IF(G209/F209&gt;=0.4,MAX(5.17/(G209/I209)^2,9/(F209/I209)^2),11.64/((F209-G209)/I209)^2)),IF(H209&gt;=-1,247.8*((G209/F209)^1.8)*(1-H209)^2.7,247.8*(1-H209)^0.32)))</f>
        <v>358.54309781469925</v>
      </c>
      <c r="K209" s="694">
        <f>MIN(0.9*Es*J209/(input!BQ61/input!N61)^2,H86*input!BI61,input!BK61/0.7)</f>
        <v>379.22560275387258</v>
      </c>
      <c r="L209" s="694">
        <f t="shared" si="7"/>
        <v>-20.883228992184055</v>
      </c>
      <c r="M209" s="696" t="str">
        <f t="shared" si="8"/>
        <v>OK</v>
      </c>
      <c r="O209" s="113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</row>
    <row r="210" spans="1:52" s="143" customFormat="1" ht="15" customHeight="1">
      <c r="A210" s="1102" t="str">
        <f>+input!B62</f>
        <v>130j</v>
      </c>
      <c r="B210" s="488">
        <f>Stress!J891</f>
        <v>1.7368375264845035</v>
      </c>
      <c r="C210" s="488">
        <f>Stress!K891</f>
        <v>-2.0720062237502197</v>
      </c>
      <c r="D210" s="488">
        <f>input!M62+input!K62+input!H62</f>
        <v>2632</v>
      </c>
      <c r="E210" s="488">
        <f>IF(B87="Positive",input!H62,input!K62)</f>
        <v>10</v>
      </c>
      <c r="F210" s="488">
        <f t="shared" si="5"/>
        <v>1421.8046994115996</v>
      </c>
      <c r="G210" s="694">
        <f>Cons!G963</f>
        <v>650</v>
      </c>
      <c r="H210" s="694">
        <f t="shared" si="6"/>
        <v>-0.83823953160764209</v>
      </c>
      <c r="I210" s="488">
        <f>input!M62</f>
        <v>2600</v>
      </c>
      <c r="J210" s="21">
        <f>IF(input!AJ62=0,9/(F210/I210)^2,IF(input!AJ62=1,IF(AND(B210&lt;=0,C210&lt;=0),7.2,IF(G210/F210&gt;=0.4,MAX(5.17/(G210/I210)^2,9/(F210/I210)^2),11.64/((F210-G210)/I210)^2)),IF(H210&gt;=-1,247.8*((G210/F210)^1.8)*(1-H210)^2.7,247.8*(1-H210)^0.32)))</f>
        <v>313.41452250661473</v>
      </c>
      <c r="K210" s="694">
        <f>MIN(0.9*Es*J210/(input!BQ62/input!N62)^2,H87*input!BI62,input!BK62/0.7)</f>
        <v>379.44952920818679</v>
      </c>
      <c r="L210" s="694">
        <f t="shared" si="7"/>
        <v>-2.0720062237502197</v>
      </c>
      <c r="M210" s="696" t="str">
        <f t="shared" si="8"/>
        <v>OK</v>
      </c>
      <c r="O210" s="113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</row>
    <row r="211" spans="1:52" s="143" customFormat="1" ht="15" customHeight="1">
      <c r="A211" s="1102" t="str">
        <f>+input!B63</f>
        <v>131i</v>
      </c>
      <c r="B211" s="488">
        <f>Stress!J892</f>
        <v>1.7372990617578352</v>
      </c>
      <c r="C211" s="488">
        <f>Stress!K892</f>
        <v>-2.0724070390995681</v>
      </c>
      <c r="D211" s="488">
        <f>input!M63+input!K63+input!H63</f>
        <v>2632</v>
      </c>
      <c r="E211" s="488">
        <f>IF(B88="Positive",input!H63,input!K63)</f>
        <v>10</v>
      </c>
      <c r="F211" s="488">
        <f t="shared" si="5"/>
        <v>1421.7575116050209</v>
      </c>
      <c r="G211" s="694">
        <f>Cons!G964</f>
        <v>650</v>
      </c>
      <c r="H211" s="694">
        <f t="shared" si="6"/>
        <v>-0.83830011623231471</v>
      </c>
      <c r="I211" s="488">
        <f>input!M63</f>
        <v>2600</v>
      </c>
      <c r="J211" s="21">
        <f>IF(input!AJ63=0,9/(F211/I211)^2,IF(input!AJ63=1,IF(AND(B211&lt;=0,C211&lt;=0),7.2,IF(G211/F211&gt;=0.4,MAX(5.17/(G211/I211)^2,9/(F211/I211)^2),11.64/((F211-G211)/I211)^2)),IF(H211&gt;=-1,247.8*((G211/F211)^1.8)*(1-H211)^2.7,247.8*(1-H211)^0.32)))</f>
        <v>313.46113874287022</v>
      </c>
      <c r="K211" s="694">
        <f>MIN(0.9*Es*J211/(input!BQ63/input!N63)^2,H88*input!BI63,input!BK63/0.7)</f>
        <v>379.44952920818679</v>
      </c>
      <c r="L211" s="694">
        <f t="shared" si="7"/>
        <v>-2.0724070390995681</v>
      </c>
      <c r="M211" s="696" t="str">
        <f t="shared" si="8"/>
        <v>OK</v>
      </c>
      <c r="O211" s="113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</row>
    <row r="212" spans="1:52" s="143" customFormat="1" ht="15" customHeight="1">
      <c r="A212" s="1102" t="str">
        <f>+input!B64</f>
        <v>131j</v>
      </c>
      <c r="B212" s="488">
        <f>Stress!J893</f>
        <v>0</v>
      </c>
      <c r="C212" s="488">
        <f>Stress!K893</f>
        <v>0</v>
      </c>
      <c r="D212" s="488">
        <f>input!M64+input!K64+input!H64</f>
        <v>2632</v>
      </c>
      <c r="E212" s="488">
        <f>IF(B89="Positive",input!H64,input!K64)</f>
        <v>22</v>
      </c>
      <c r="F212" s="488">
        <f t="shared" si="5"/>
        <v>0</v>
      </c>
      <c r="G212" s="694">
        <f>Cons!G965</f>
        <v>650</v>
      </c>
      <c r="H212" s="694">
        <f t="shared" si="6"/>
        <v>0</v>
      </c>
      <c r="I212" s="488">
        <f>input!M64</f>
        <v>2600</v>
      </c>
      <c r="J212" s="21" t="e">
        <f>IF(input!AJ64=0,9/(F212/I212)^2,IF(input!AJ64=1,IF(AND(B212&lt;=0,C212&lt;=0),7.2,IF(G212/F212&gt;=0.4,MAX(5.17/(G212/I212)^2,9/(F212/I212)^2),11.64/((F212-G212)/I212)^2)),IF(H212&gt;=-1,247.8*((G212/F212)^1.8)*(1-H212)^2.7,247.8*(1-H212)^0.32)))</f>
        <v>#DIV/0!</v>
      </c>
      <c r="K212" s="694" t="e">
        <f>MIN(0.9*Es*J212/(input!BQ64/input!N64)^2,H89*input!BI64,input!BK64/0.7)</f>
        <v>#DIV/0!</v>
      </c>
      <c r="L212" s="694">
        <f t="shared" si="7"/>
        <v>0</v>
      </c>
      <c r="M212" s="696" t="e">
        <f t="shared" si="8"/>
        <v>#DIV/0!</v>
      </c>
      <c r="O212" s="113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</row>
    <row r="213" spans="1:52" s="143" customFormat="1" ht="15" customHeight="1">
      <c r="A213" s="288"/>
      <c r="B213" s="288"/>
      <c r="C213" s="288"/>
      <c r="D213" s="288"/>
      <c r="E213" s="288"/>
      <c r="F213" s="293"/>
      <c r="G213" s="288"/>
      <c r="H213" s="293"/>
      <c r="I213" s="288"/>
      <c r="J213" s="293"/>
      <c r="K213" s="293"/>
      <c r="L213" s="294"/>
      <c r="M213" s="294"/>
      <c r="N213" s="294"/>
      <c r="O213" s="294"/>
      <c r="P213" s="293"/>
      <c r="Q213" s="293"/>
      <c r="R213" s="293"/>
      <c r="S213" s="293"/>
      <c r="T213" s="291"/>
      <c r="U213" s="291"/>
      <c r="V213" s="295"/>
      <c r="W213" s="295"/>
      <c r="X213" s="295"/>
      <c r="Y213" s="295"/>
      <c r="Z213" s="288"/>
      <c r="AA213" s="170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</row>
    <row r="214" spans="1:52" s="143" customFormat="1" ht="15" customHeight="1">
      <c r="B214" s="330"/>
      <c r="C214" s="330"/>
      <c r="D214" s="331"/>
      <c r="E214" s="331"/>
      <c r="F214" s="338"/>
      <c r="G214" s="338"/>
      <c r="H214" s="338"/>
      <c r="I214" s="338"/>
      <c r="J214" s="331"/>
      <c r="K214" s="331"/>
      <c r="L214" s="332"/>
      <c r="M214" s="332"/>
      <c r="N214" s="332"/>
      <c r="O214" s="332"/>
      <c r="P214" s="331"/>
      <c r="Q214" s="331"/>
      <c r="R214" s="331"/>
      <c r="S214" s="331"/>
      <c r="T214" s="295"/>
      <c r="U214" s="295"/>
      <c r="V214" s="295"/>
      <c r="W214" s="295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</row>
    <row r="215" spans="1:52" s="143" customFormat="1" ht="15" customHeight="1">
      <c r="B215" s="330"/>
      <c r="C215" s="330"/>
      <c r="D215" s="331"/>
      <c r="E215" s="331"/>
      <c r="F215" s="338"/>
      <c r="G215" s="338"/>
      <c r="H215" s="338"/>
      <c r="I215" s="338"/>
      <c r="J215" s="331"/>
      <c r="K215" s="331"/>
      <c r="L215" s="332"/>
      <c r="M215" s="332"/>
      <c r="N215" s="332"/>
      <c r="O215" s="332"/>
      <c r="P215" s="331"/>
      <c r="Q215" s="331"/>
      <c r="R215" s="331"/>
      <c r="S215" s="331"/>
      <c r="T215" s="295"/>
      <c r="U215" s="295"/>
      <c r="V215" s="295"/>
      <c r="W215" s="295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</row>
    <row r="216" spans="1:52" s="143" customFormat="1" ht="15" customHeight="1">
      <c r="A216" s="296" t="s">
        <v>669</v>
      </c>
      <c r="K216" s="170"/>
      <c r="L216" s="288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288"/>
      <c r="Y216" s="170"/>
      <c r="Z216" s="288"/>
      <c r="AA216" s="170"/>
      <c r="AB216" s="170"/>
      <c r="AC216" s="288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269"/>
      <c r="AO216" s="122"/>
      <c r="AP216" s="122"/>
      <c r="AQ216" s="74"/>
      <c r="AR216" s="122"/>
      <c r="AS216" s="122"/>
      <c r="AT216" s="170"/>
      <c r="AU216" s="170"/>
      <c r="AV216" s="170"/>
      <c r="AW216" s="170"/>
      <c r="AX216" s="170"/>
      <c r="AY216" s="170"/>
      <c r="AZ216" s="170"/>
    </row>
    <row r="217" spans="1:52" s="143" customFormat="1" ht="15" customHeight="1">
      <c r="A217" s="296"/>
      <c r="K217" s="170"/>
      <c r="L217" s="288"/>
      <c r="M217" s="170"/>
      <c r="N217" s="170"/>
      <c r="O217" s="170"/>
      <c r="P217" s="170"/>
      <c r="Q217" s="170"/>
      <c r="R217" s="170"/>
      <c r="S217" s="170"/>
      <c r="T217" s="170"/>
      <c r="U217" s="170"/>
      <c r="V217" s="170"/>
      <c r="W217" s="170"/>
      <c r="X217" s="288"/>
      <c r="Y217" s="170"/>
      <c r="Z217" s="288"/>
      <c r="AA217" s="170"/>
      <c r="AB217" s="170"/>
      <c r="AC217" s="288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269"/>
      <c r="AO217" s="122"/>
      <c r="AP217" s="122"/>
      <c r="AQ217" s="74"/>
      <c r="AR217" s="122"/>
      <c r="AS217" s="122"/>
      <c r="AT217" s="170"/>
      <c r="AU217" s="170"/>
      <c r="AV217" s="170"/>
      <c r="AW217" s="170"/>
      <c r="AX217" s="170"/>
      <c r="AY217" s="170"/>
      <c r="AZ217" s="170"/>
    </row>
    <row r="218" spans="1:52" s="143" customFormat="1" ht="15" customHeight="1">
      <c r="A218" s="296"/>
      <c r="D218" s="147" t="s">
        <v>670</v>
      </c>
      <c r="K218" s="170"/>
      <c r="L218" s="288"/>
      <c r="M218" s="170"/>
      <c r="N218" s="170"/>
      <c r="O218" s="170"/>
      <c r="P218" s="170"/>
      <c r="Q218" s="170"/>
      <c r="R218" s="170"/>
      <c r="S218" s="170"/>
      <c r="T218" s="170"/>
      <c r="U218" s="170"/>
      <c r="V218" s="170"/>
      <c r="W218" s="170"/>
      <c r="X218" s="288"/>
      <c r="Y218" s="170"/>
      <c r="Z218" s="288"/>
      <c r="AA218" s="170"/>
      <c r="AB218" s="170"/>
      <c r="AC218" s="288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269"/>
      <c r="AO218" s="122"/>
      <c r="AP218" s="122"/>
      <c r="AQ218" s="74"/>
      <c r="AR218" s="122"/>
      <c r="AS218" s="122"/>
      <c r="AT218" s="170"/>
      <c r="AU218" s="170"/>
      <c r="AV218" s="170"/>
      <c r="AW218" s="170"/>
      <c r="AX218" s="170"/>
      <c r="AY218" s="170"/>
      <c r="AZ218" s="170"/>
    </row>
    <row r="219" spans="1:52" s="143" customFormat="1" ht="15" customHeight="1">
      <c r="B219" s="143" t="s">
        <v>668</v>
      </c>
      <c r="K219" s="170"/>
      <c r="L219" s="288"/>
      <c r="M219" s="170"/>
      <c r="N219" s="170"/>
      <c r="O219" s="170"/>
      <c r="P219" s="170"/>
      <c r="Q219" s="170"/>
      <c r="R219" s="170"/>
      <c r="S219" s="170"/>
      <c r="T219" s="170"/>
      <c r="U219" s="170"/>
      <c r="V219" s="170"/>
      <c r="W219" s="170"/>
      <c r="X219" s="288"/>
      <c r="Y219" s="170"/>
      <c r="Z219" s="288"/>
      <c r="AA219" s="170"/>
      <c r="AB219" s="170"/>
      <c r="AC219" s="288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269"/>
      <c r="AO219" s="122"/>
      <c r="AP219" s="122"/>
      <c r="AQ219" s="74"/>
      <c r="AR219" s="122"/>
      <c r="AS219" s="122"/>
      <c r="AT219" s="170"/>
      <c r="AU219" s="170"/>
      <c r="AV219" s="170"/>
      <c r="AW219" s="170"/>
      <c r="AX219" s="170"/>
      <c r="AY219" s="170"/>
      <c r="AZ219" s="170"/>
    </row>
    <row r="220" spans="1:52" s="143" customFormat="1" ht="15" customHeight="1">
      <c r="B220" s="139"/>
      <c r="C220" s="170"/>
      <c r="E220" s="138"/>
      <c r="G220" s="170"/>
      <c r="K220" s="170"/>
      <c r="L220" s="288"/>
      <c r="M220" s="170"/>
      <c r="N220" s="170"/>
      <c r="O220" s="170"/>
      <c r="P220" s="170"/>
      <c r="Q220" s="170"/>
      <c r="R220" s="170"/>
      <c r="S220" s="170"/>
      <c r="T220" s="170"/>
      <c r="U220" s="170"/>
      <c r="V220" s="170"/>
      <c r="W220" s="170"/>
      <c r="X220" s="288"/>
      <c r="Y220" s="170"/>
      <c r="Z220" s="288"/>
      <c r="AA220" s="170"/>
      <c r="AB220" s="170"/>
      <c r="AC220" s="288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269"/>
      <c r="AO220" s="122"/>
      <c r="AP220" s="122"/>
      <c r="AQ220" s="74"/>
      <c r="AR220" s="122"/>
      <c r="AS220" s="122"/>
      <c r="AT220" s="170"/>
      <c r="AU220" s="170"/>
      <c r="AV220" s="170"/>
      <c r="AW220" s="170"/>
      <c r="AX220" s="170"/>
      <c r="AY220" s="170"/>
      <c r="AZ220" s="170"/>
    </row>
    <row r="221" spans="1:52" s="143" customFormat="1" ht="15" customHeight="1">
      <c r="B221" s="139"/>
      <c r="C221" s="170"/>
      <c r="E221" s="138"/>
      <c r="G221" s="170"/>
      <c r="I221" s="124" t="s">
        <v>873</v>
      </c>
      <c r="L221" s="288"/>
      <c r="M221" s="170"/>
      <c r="N221" s="170"/>
      <c r="O221" s="170"/>
      <c r="P221" s="170"/>
      <c r="Q221" s="170"/>
      <c r="R221" s="170"/>
      <c r="S221" s="170"/>
      <c r="T221" s="170"/>
      <c r="U221" s="170"/>
      <c r="V221" s="170"/>
      <c r="W221" s="170"/>
      <c r="X221" s="288"/>
      <c r="Y221" s="170"/>
      <c r="Z221" s="288"/>
      <c r="AA221" s="170"/>
      <c r="AB221" s="170"/>
      <c r="AC221" s="288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269"/>
      <c r="AO221" s="122"/>
      <c r="AP221" s="122"/>
      <c r="AQ221" s="74"/>
      <c r="AR221" s="122"/>
      <c r="AS221" s="122"/>
      <c r="AT221" s="170"/>
      <c r="AU221" s="170"/>
      <c r="AV221" s="170"/>
      <c r="AW221" s="170"/>
      <c r="AX221" s="170"/>
      <c r="AY221" s="170"/>
      <c r="AZ221" s="170"/>
    </row>
    <row r="222" spans="1:52" s="143" customFormat="1" ht="15" customHeight="1">
      <c r="B222" s="139"/>
      <c r="C222" s="170"/>
      <c r="E222" s="138"/>
      <c r="G222" s="170"/>
      <c r="H222" s="170"/>
      <c r="I222" s="170"/>
      <c r="J222" s="170"/>
      <c r="K222" s="170"/>
      <c r="L222" s="288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288"/>
      <c r="Y222" s="170"/>
      <c r="Z222" s="288"/>
      <c r="AA222" s="170"/>
      <c r="AC222" s="289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505"/>
      <c r="AO222" s="73"/>
      <c r="AP222" s="73"/>
      <c r="AQ222" s="76"/>
      <c r="AR222" s="73"/>
      <c r="AS222" s="73"/>
    </row>
    <row r="223" spans="1:52" s="143" customFormat="1" ht="15" customHeight="1">
      <c r="A223" s="288"/>
      <c r="B223" s="288"/>
      <c r="D223" s="290" t="s">
        <v>671</v>
      </c>
      <c r="E223" s="697">
        <f>0.8*Fys</f>
        <v>320</v>
      </c>
      <c r="F223" s="288"/>
      <c r="H223" s="697"/>
      <c r="I223" s="288"/>
      <c r="J223" s="293"/>
      <c r="K223" s="293"/>
      <c r="Q223" s="293"/>
      <c r="R223" s="293"/>
      <c r="S223" s="293"/>
      <c r="T223" s="291"/>
      <c r="U223" s="291"/>
      <c r="V223" s="295"/>
      <c r="W223" s="295"/>
      <c r="X223" s="295"/>
      <c r="Y223" s="295"/>
      <c r="Z223" s="288"/>
      <c r="AA223" s="170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505"/>
      <c r="AO223" s="73"/>
      <c r="AP223" s="73"/>
      <c r="AQ223" s="76"/>
      <c r="AR223" s="73"/>
      <c r="AS223" s="73"/>
    </row>
    <row r="224" spans="1:52" s="143" customFormat="1" ht="15" customHeight="1">
      <c r="A224" s="247"/>
      <c r="B224" s="247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170"/>
      <c r="N224" s="170"/>
      <c r="O224" s="170"/>
      <c r="P224" s="170"/>
      <c r="Q224" s="170"/>
      <c r="R224" s="170"/>
      <c r="S224" s="170"/>
      <c r="T224" s="170"/>
      <c r="U224" s="170"/>
      <c r="V224" s="170"/>
      <c r="W224" s="170"/>
      <c r="X224" s="247"/>
      <c r="Y224" s="170"/>
      <c r="Z224" s="247"/>
      <c r="AA224" s="170"/>
      <c r="AC224" s="248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505"/>
      <c r="AO224" s="73"/>
      <c r="AP224" s="73"/>
      <c r="AQ224" s="76"/>
      <c r="AR224" s="73"/>
      <c r="AS224" s="73"/>
    </row>
    <row r="225" spans="1:37" ht="15" customHeight="1" thickBot="1">
      <c r="A225" s="468" t="s">
        <v>2282</v>
      </c>
      <c r="G225" s="30"/>
    </row>
    <row r="226" spans="1:37" s="143" customFormat="1" ht="15" customHeight="1">
      <c r="A226" s="615" t="s">
        <v>16</v>
      </c>
      <c r="B226" s="623" t="s">
        <v>816</v>
      </c>
      <c r="C226" s="624"/>
      <c r="D226" s="1918" t="s">
        <v>664</v>
      </c>
      <c r="E226" s="1911"/>
      <c r="F226" s="1911"/>
      <c r="G226" s="1919"/>
      <c r="H226" s="623" t="s">
        <v>665</v>
      </c>
      <c r="I226" s="623" t="s">
        <v>666</v>
      </c>
      <c r="J226" s="628" t="s">
        <v>672</v>
      </c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</row>
    <row r="227" spans="1:37" s="143" customFormat="1" ht="15" customHeight="1">
      <c r="A227" s="616"/>
      <c r="B227" s="625" t="s">
        <v>694</v>
      </c>
      <c r="C227" s="626"/>
      <c r="D227" s="625" t="s">
        <v>871</v>
      </c>
      <c r="E227" s="625" t="s">
        <v>712</v>
      </c>
      <c r="F227" s="625" t="s">
        <v>711</v>
      </c>
      <c r="G227" s="625" t="s">
        <v>872</v>
      </c>
      <c r="H227" s="625" t="s">
        <v>1618</v>
      </c>
      <c r="I227" s="625" t="s">
        <v>667</v>
      </c>
      <c r="J227" s="608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</row>
    <row r="228" spans="1:37" s="143" customFormat="1" ht="15" customHeight="1">
      <c r="A228" s="579" t="str">
        <f>+input!B3</f>
        <v>101i</v>
      </c>
      <c r="B228" s="538" t="str">
        <f t="shared" ref="B228:B259" si="9">B28</f>
        <v>Negative</v>
      </c>
      <c r="C228" s="674"/>
      <c r="D228" s="538">
        <f>1*Stress!H49</f>
        <v>0</v>
      </c>
      <c r="E228" s="538">
        <f>1*Stress!I49</f>
        <v>0.01</v>
      </c>
      <c r="F228" s="642">
        <f>1*Stress!K49</f>
        <v>0</v>
      </c>
      <c r="G228" s="642">
        <f>1*Stress!J49</f>
        <v>0</v>
      </c>
      <c r="H228" s="852">
        <f>IF(B228="Positive",input!DI3/(input!BR3-input!DK3-input!Y3),input!DY3/(input!BR3-input!EA3-input!Y3))</f>
        <v>101643665.32058792</v>
      </c>
      <c r="I228" s="538">
        <f t="shared" ref="I228:I259" si="10">IF(B228="Positive","-",-(D228+E228+F228)/H228*10^6)</f>
        <v>-9.8382914158591457E-5</v>
      </c>
      <c r="J228" s="692" t="str">
        <f t="shared" ref="J228:J259" si="11">IF(B228="Positive","-",IF(I228&lt;=$E$223,"OK","NG"))</f>
        <v>OK</v>
      </c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</row>
    <row r="229" spans="1:37" s="143" customFormat="1" ht="15" customHeight="1">
      <c r="A229" s="579" t="str">
        <f>+input!B4</f>
        <v>101j</v>
      </c>
      <c r="B229" s="538" t="str">
        <f t="shared" si="9"/>
        <v>Negative</v>
      </c>
      <c r="C229" s="674"/>
      <c r="D229" s="538">
        <f>1*Stress!H50</f>
        <v>-1.22</v>
      </c>
      <c r="E229" s="538">
        <f>1*Stress!I50</f>
        <v>-1.2</v>
      </c>
      <c r="F229" s="642">
        <f>1*Stress!K50</f>
        <v>-143.27000000000001</v>
      </c>
      <c r="G229" s="642">
        <f>1*Stress!J50</f>
        <v>0</v>
      </c>
      <c r="H229" s="852">
        <f>IF(Stress!F833&lt;=0,input!DI4/(input!BR4-input!DK4-input!Y4),input!DY4/(input!BR4-input!EA4-input!Y4))</f>
        <v>101643665.32058792</v>
      </c>
      <c r="I229" s="538">
        <f t="shared" si="10"/>
        <v>1.4333406763765189</v>
      </c>
      <c r="J229" s="692" t="str">
        <f t="shared" si="11"/>
        <v>OK</v>
      </c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</row>
    <row r="230" spans="1:37" s="143" customFormat="1" ht="15" customHeight="1">
      <c r="A230" s="579" t="str">
        <f>+input!B5</f>
        <v>102i</v>
      </c>
      <c r="B230" s="538" t="str">
        <f t="shared" si="9"/>
        <v>Negative</v>
      </c>
      <c r="C230" s="674"/>
      <c r="D230" s="538">
        <f>1*Stress!H51</f>
        <v>-1.21</v>
      </c>
      <c r="E230" s="538">
        <f>1*Stress!I51</f>
        <v>-1.1599999999999999</v>
      </c>
      <c r="F230" s="642">
        <f>1*Stress!K51</f>
        <v>-143.28</v>
      </c>
      <c r="G230" s="642">
        <f>1*Stress!J51</f>
        <v>-2</v>
      </c>
      <c r="H230" s="852">
        <f>IF(Stress!F834&lt;=0,input!DI5/(input!BR5-input!DK5-input!Y5),input!DY5/(input!BR5-input!EA5-input!Y5))</f>
        <v>101643665.32058792</v>
      </c>
      <c r="I230" s="538">
        <f t="shared" si="10"/>
        <v>1.4329471447198847</v>
      </c>
      <c r="J230" s="692" t="str">
        <f t="shared" si="11"/>
        <v>OK</v>
      </c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</row>
    <row r="231" spans="1:37" s="143" customFormat="1" ht="15" customHeight="1">
      <c r="A231" s="579" t="str">
        <f>+input!B6</f>
        <v>102j</v>
      </c>
      <c r="B231" s="538" t="str">
        <f t="shared" si="9"/>
        <v>Positive</v>
      </c>
      <c r="C231" s="674"/>
      <c r="D231" s="538">
        <f>1*Stress!H52</f>
        <v>839.05</v>
      </c>
      <c r="E231" s="538">
        <f>1*Stress!I52</f>
        <v>737.07</v>
      </c>
      <c r="F231" s="642">
        <f>1*Stress!K52</f>
        <v>-232.68</v>
      </c>
      <c r="G231" s="642">
        <f>1*Stress!J52</f>
        <v>3052.93</v>
      </c>
      <c r="H231" s="852">
        <f>IF(Stress!F835&lt;=0,input!DI6/(input!BR6-input!DK6-input!Y6),input!DY6/(input!BR6-input!EA6-input!Y6))</f>
        <v>522795226.96049523</v>
      </c>
      <c r="I231" s="538" t="str">
        <f t="shared" si="10"/>
        <v>-</v>
      </c>
      <c r="J231" s="692" t="str">
        <f t="shared" si="11"/>
        <v>-</v>
      </c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</row>
    <row r="232" spans="1:37" s="143" customFormat="1" ht="15" customHeight="1">
      <c r="A232" s="579" t="str">
        <f>+input!B7</f>
        <v>103i</v>
      </c>
      <c r="B232" s="538" t="str">
        <f t="shared" si="9"/>
        <v>Positive</v>
      </c>
      <c r="C232" s="674"/>
      <c r="D232" s="538">
        <f>1*Stress!H53</f>
        <v>839.05</v>
      </c>
      <c r="E232" s="538">
        <f>1*Stress!I53</f>
        <v>737.07</v>
      </c>
      <c r="F232" s="642">
        <f>1*Stress!K53</f>
        <v>-232.68</v>
      </c>
      <c r="G232" s="642">
        <f>1*Stress!J53</f>
        <v>3052.93</v>
      </c>
      <c r="H232" s="852">
        <f>IF(Stress!F836&lt;=0,input!DI7/(input!BR7-input!DK7-input!Y7),input!DY7/(input!BR7-input!EA7-input!Y7))</f>
        <v>618933704.37708032</v>
      </c>
      <c r="I232" s="538" t="str">
        <f t="shared" si="10"/>
        <v>-</v>
      </c>
      <c r="J232" s="692" t="str">
        <f t="shared" si="11"/>
        <v>-</v>
      </c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</row>
    <row r="233" spans="1:37" s="143" customFormat="1" ht="15" customHeight="1">
      <c r="A233" s="579" t="str">
        <f>+input!B8</f>
        <v>103j</v>
      </c>
      <c r="B233" s="538" t="str">
        <f t="shared" si="9"/>
        <v>Positive</v>
      </c>
      <c r="C233" s="674"/>
      <c r="D233" s="643">
        <f>1*Stress!H54</f>
        <v>1917.72</v>
      </c>
      <c r="E233" s="643">
        <f>1*Stress!I54</f>
        <v>1677.12</v>
      </c>
      <c r="F233" s="642">
        <f>1*Stress!K54</f>
        <v>-426.71</v>
      </c>
      <c r="G233" s="642">
        <f>1*Stress!J54</f>
        <v>6811.78</v>
      </c>
      <c r="H233" s="852">
        <f>IF(Stress!F837&lt;=0,input!DI8/(input!BR8-input!DK8-input!Y8),input!DY8/(input!BR8-input!EA8-input!Y8))</f>
        <v>618933704.37708032</v>
      </c>
      <c r="I233" s="538" t="str">
        <f t="shared" si="10"/>
        <v>-</v>
      </c>
      <c r="J233" s="692" t="str">
        <f t="shared" si="11"/>
        <v>-</v>
      </c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</row>
    <row r="234" spans="1:37" s="143" customFormat="1" ht="15" customHeight="1">
      <c r="A234" s="579" t="str">
        <f>+input!B9</f>
        <v>104i</v>
      </c>
      <c r="B234" s="538" t="str">
        <f t="shared" si="9"/>
        <v>Positive</v>
      </c>
      <c r="C234" s="674"/>
      <c r="D234" s="643">
        <f>1*Stress!H55</f>
        <v>1917.7</v>
      </c>
      <c r="E234" s="643">
        <f>1*Stress!I55</f>
        <v>1677.12</v>
      </c>
      <c r="F234" s="642">
        <f>1*Stress!K55</f>
        <v>-426.71</v>
      </c>
      <c r="G234" s="642">
        <f>1*Stress!J55</f>
        <v>6811.79</v>
      </c>
      <c r="H234" s="852">
        <f>IF(Stress!F838&lt;=0,input!DI9/(input!BR9-input!DK9-input!Y9),input!DY9/(input!BR9-input!EA9-input!Y9))</f>
        <v>618933704.37708032</v>
      </c>
      <c r="I234" s="538" t="str">
        <f t="shared" si="10"/>
        <v>-</v>
      </c>
      <c r="J234" s="692" t="str">
        <f t="shared" si="11"/>
        <v>-</v>
      </c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</row>
    <row r="235" spans="1:37" s="143" customFormat="1" ht="15" customHeight="1">
      <c r="A235" s="579" t="str">
        <f>+input!B10</f>
        <v>104j</v>
      </c>
      <c r="B235" s="538" t="str">
        <f t="shared" si="9"/>
        <v>Positive</v>
      </c>
      <c r="C235" s="674"/>
      <c r="D235" s="643">
        <f>1*Stress!H56</f>
        <v>3093.97</v>
      </c>
      <c r="E235" s="643">
        <f>1*Stress!I56</f>
        <v>2716.56</v>
      </c>
      <c r="F235" s="642">
        <f>1*Stress!K56</f>
        <v>-759.3</v>
      </c>
      <c r="G235" s="642">
        <f>1*Stress!J56</f>
        <v>10915.31</v>
      </c>
      <c r="H235" s="852">
        <f>IF(Stress!F839&lt;=0,input!DI10/(input!BR10-input!DK10-input!Y10),input!DY10/(input!BR10-input!EA10-input!Y10))</f>
        <v>618933704.37708032</v>
      </c>
      <c r="I235" s="538" t="str">
        <f t="shared" si="10"/>
        <v>-</v>
      </c>
      <c r="J235" s="692" t="str">
        <f t="shared" si="11"/>
        <v>-</v>
      </c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</row>
    <row r="236" spans="1:37" s="143" customFormat="1" ht="15" customHeight="1">
      <c r="A236" s="579" t="str">
        <f>+input!B11</f>
        <v>105i</v>
      </c>
      <c r="B236" s="538" t="str">
        <f t="shared" si="9"/>
        <v>Positive</v>
      </c>
      <c r="C236" s="674"/>
      <c r="D236" s="643">
        <f>1*Stress!H57</f>
        <v>3094</v>
      </c>
      <c r="E236" s="643">
        <f>1*Stress!I57</f>
        <v>2716.57</v>
      </c>
      <c r="F236" s="642">
        <f>1*Stress!K57</f>
        <v>-759.3</v>
      </c>
      <c r="G236" s="642">
        <f>1*Stress!J57</f>
        <v>10915.31</v>
      </c>
      <c r="H236" s="852">
        <f>IF(Stress!F840&lt;=0,input!DI11/(input!BR11-input!DK11-input!Y11),input!DY11/(input!BR11-input!EA11-input!Y11))</f>
        <v>694885329.70049632</v>
      </c>
      <c r="I236" s="538" t="str">
        <f t="shared" si="10"/>
        <v>-</v>
      </c>
      <c r="J236" s="692" t="str">
        <f t="shared" si="11"/>
        <v>-</v>
      </c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</row>
    <row r="237" spans="1:37" s="143" customFormat="1" ht="15" customHeight="1">
      <c r="A237" s="579" t="str">
        <f>+input!B12</f>
        <v>105j</v>
      </c>
      <c r="B237" s="538" t="str">
        <f t="shared" si="9"/>
        <v>Positive</v>
      </c>
      <c r="C237" s="674"/>
      <c r="D237" s="643">
        <f>1*Stress!H58</f>
        <v>4068.96</v>
      </c>
      <c r="E237" s="643">
        <f>1*Stress!I58</f>
        <v>3563</v>
      </c>
      <c r="F237" s="642">
        <f>1*Stress!K58</f>
        <v>-1091.99</v>
      </c>
      <c r="G237" s="642">
        <f>1*Stress!J58</f>
        <v>14208.06</v>
      </c>
      <c r="H237" s="852">
        <f>IF(Stress!F841&lt;=0,input!DI12/(input!BR12-input!DK12-input!Y12),input!DY12/(input!BR12-input!EA12-input!Y12))</f>
        <v>694885329.70049632</v>
      </c>
      <c r="I237" s="538" t="str">
        <f t="shared" si="10"/>
        <v>-</v>
      </c>
      <c r="J237" s="692" t="str">
        <f t="shared" si="11"/>
        <v>-</v>
      </c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</row>
    <row r="238" spans="1:37" s="143" customFormat="1" ht="15" customHeight="1">
      <c r="A238" s="579" t="str">
        <f>+input!B13</f>
        <v>106i</v>
      </c>
      <c r="B238" s="538" t="str">
        <f t="shared" si="9"/>
        <v>Positive</v>
      </c>
      <c r="C238" s="674"/>
      <c r="D238" s="643">
        <f>1*Stress!H59</f>
        <v>4068.95</v>
      </c>
      <c r="E238" s="643">
        <f>1*Stress!I59</f>
        <v>3563.02</v>
      </c>
      <c r="F238" s="642">
        <f>1*Stress!K59</f>
        <v>-1091.99</v>
      </c>
      <c r="G238" s="642">
        <f>1*Stress!J59</f>
        <v>14208.06</v>
      </c>
      <c r="H238" s="852">
        <f>IF(Stress!F842&lt;=0,input!DI13/(input!BR13-input!DK13-input!Y13),input!DY13/(input!BR13-input!EA13-input!Y13))</f>
        <v>694885329.70049632</v>
      </c>
      <c r="I238" s="538" t="str">
        <f t="shared" si="10"/>
        <v>-</v>
      </c>
      <c r="J238" s="692" t="str">
        <f t="shared" si="11"/>
        <v>-</v>
      </c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</row>
    <row r="239" spans="1:37" s="143" customFormat="1" ht="15" customHeight="1">
      <c r="A239" s="579" t="str">
        <f>+input!B14</f>
        <v>106j</v>
      </c>
      <c r="B239" s="538" t="str">
        <f t="shared" si="9"/>
        <v>Positive</v>
      </c>
      <c r="C239" s="674"/>
      <c r="D239" s="643">
        <f>1*Stress!H60</f>
        <v>4719.8999999999996</v>
      </c>
      <c r="E239" s="643">
        <f>1*Stress!I60</f>
        <v>4141.9799999999996</v>
      </c>
      <c r="F239" s="642">
        <f>1*Stress!K60</f>
        <v>-1424.83</v>
      </c>
      <c r="G239" s="642">
        <f>1*Stress!J60</f>
        <v>16441.72</v>
      </c>
      <c r="H239" s="852">
        <f>IF(Stress!F843&lt;=0,input!DI14/(input!BR14-input!DK14-input!Y14),input!DY14/(input!BR14-input!EA14-input!Y14))</f>
        <v>694885329.70049632</v>
      </c>
      <c r="I239" s="538" t="str">
        <f t="shared" si="10"/>
        <v>-</v>
      </c>
      <c r="J239" s="692" t="str">
        <f t="shared" si="11"/>
        <v>-</v>
      </c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</row>
    <row r="240" spans="1:37" s="143" customFormat="1" ht="15" customHeight="1">
      <c r="A240" s="579" t="str">
        <f>+input!B15</f>
        <v>107i</v>
      </c>
      <c r="B240" s="538" t="str">
        <f t="shared" si="9"/>
        <v>Positive</v>
      </c>
      <c r="C240" s="674"/>
      <c r="D240" s="643">
        <f>1*Stress!H61</f>
        <v>4719.87</v>
      </c>
      <c r="E240" s="643">
        <f>1*Stress!I61</f>
        <v>4141.9799999999996</v>
      </c>
      <c r="F240" s="642">
        <f>1*Stress!K61</f>
        <v>-1424.83</v>
      </c>
      <c r="G240" s="642">
        <f>1*Stress!J61</f>
        <v>16441.72</v>
      </c>
      <c r="H240" s="852">
        <f>IF(Stress!F844&lt;=0,input!DI15/(input!BR15-input!DK15-input!Y15),input!DY15/(input!BR15-input!EA15-input!Y15))</f>
        <v>729007845.61443067</v>
      </c>
      <c r="I240" s="538" t="str">
        <f t="shared" si="10"/>
        <v>-</v>
      </c>
      <c r="J240" s="692" t="str">
        <f t="shared" si="11"/>
        <v>-</v>
      </c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</row>
    <row r="241" spans="1:37" s="143" customFormat="1" ht="15" customHeight="1">
      <c r="A241" s="579" t="str">
        <f>+input!B16</f>
        <v>107j</v>
      </c>
      <c r="B241" s="538" t="str">
        <f t="shared" si="9"/>
        <v>Positive</v>
      </c>
      <c r="C241" s="674"/>
      <c r="D241" s="643">
        <f>1*Stress!H62</f>
        <v>5169.4799999999996</v>
      </c>
      <c r="E241" s="643">
        <f>1*Stress!I62</f>
        <v>4528.01</v>
      </c>
      <c r="F241" s="642">
        <f>1*Stress!K62</f>
        <v>-1759.08</v>
      </c>
      <c r="G241" s="642">
        <f>1*Stress!J62</f>
        <v>18066.830000000002</v>
      </c>
      <c r="H241" s="852">
        <f>IF(Stress!F845&lt;=0,input!DI16/(input!BR16-input!DK16-input!Y16),input!DY16/(input!BR16-input!EA16-input!Y16))</f>
        <v>729007845.61443067</v>
      </c>
      <c r="I241" s="538" t="str">
        <f t="shared" si="10"/>
        <v>-</v>
      </c>
      <c r="J241" s="692" t="str">
        <f t="shared" si="11"/>
        <v>-</v>
      </c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</row>
    <row r="242" spans="1:37" s="143" customFormat="1" ht="15" customHeight="1">
      <c r="A242" s="579" t="str">
        <f>+input!B17</f>
        <v>108i</v>
      </c>
      <c r="B242" s="538" t="str">
        <f t="shared" si="9"/>
        <v>Positive</v>
      </c>
      <c r="C242" s="674"/>
      <c r="D242" s="643">
        <f>1*Stress!H63</f>
        <v>5169.4799999999996</v>
      </c>
      <c r="E242" s="643">
        <f>1*Stress!I63</f>
        <v>4527.96</v>
      </c>
      <c r="F242" s="642">
        <f>1*Stress!K63</f>
        <v>-1759.08</v>
      </c>
      <c r="G242" s="642">
        <f>1*Stress!J63</f>
        <v>18066.830000000002</v>
      </c>
      <c r="H242" s="852">
        <f>IF(Stress!F846&lt;=0,input!DI17/(input!BR17-input!DK17-input!Y17),input!DY17/(input!BR17-input!EA17-input!Y17))</f>
        <v>729007845.61443067</v>
      </c>
      <c r="I242" s="538" t="str">
        <f t="shared" si="10"/>
        <v>-</v>
      </c>
      <c r="J242" s="692" t="str">
        <f t="shared" si="11"/>
        <v>-</v>
      </c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</row>
    <row r="243" spans="1:37" s="143" customFormat="1" ht="15" customHeight="1">
      <c r="A243" s="579" t="str">
        <f>+input!B18</f>
        <v>108j</v>
      </c>
      <c r="B243" s="538" t="str">
        <f t="shared" si="9"/>
        <v>Positive</v>
      </c>
      <c r="C243" s="674"/>
      <c r="D243" s="643">
        <f>1*Stress!H64</f>
        <v>5291.55</v>
      </c>
      <c r="E243" s="643">
        <f>1*Stress!I64</f>
        <v>4644.6099999999997</v>
      </c>
      <c r="F243" s="642">
        <f>1*Stress!K64</f>
        <v>-2093.64</v>
      </c>
      <c r="G243" s="642">
        <f>1*Stress!J64</f>
        <v>18634.91</v>
      </c>
      <c r="H243" s="852">
        <f>IF(Stress!F847&lt;=0,input!DI18/(input!BR18-input!DK18-input!Y18),input!DY18/(input!BR18-input!EA18-input!Y18))</f>
        <v>729007845.61443067</v>
      </c>
      <c r="I243" s="538" t="str">
        <f t="shared" si="10"/>
        <v>-</v>
      </c>
      <c r="J243" s="692" t="str">
        <f t="shared" si="11"/>
        <v>-</v>
      </c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</row>
    <row r="244" spans="1:37" s="143" customFormat="1" ht="15" customHeight="1">
      <c r="A244" s="579" t="str">
        <f>+input!B19</f>
        <v>109i</v>
      </c>
      <c r="B244" s="538" t="str">
        <f t="shared" si="9"/>
        <v>Positive</v>
      </c>
      <c r="C244" s="674"/>
      <c r="D244" s="643">
        <f>1*Stress!H65</f>
        <v>5291.58</v>
      </c>
      <c r="E244" s="643">
        <f>1*Stress!I65</f>
        <v>4644.62</v>
      </c>
      <c r="F244" s="642">
        <f>1*Stress!K65</f>
        <v>-2093.64</v>
      </c>
      <c r="G244" s="642">
        <f>1*Stress!J65</f>
        <v>18634.91</v>
      </c>
      <c r="H244" s="852">
        <f>IF(Stress!F848&lt;=0,input!DI19/(input!BR19-input!DK19-input!Y19),input!DY19/(input!BR19-input!EA19-input!Y19))</f>
        <v>729007845.61443067</v>
      </c>
      <c r="I244" s="538" t="str">
        <f t="shared" si="10"/>
        <v>-</v>
      </c>
      <c r="J244" s="692" t="str">
        <f t="shared" si="11"/>
        <v>-</v>
      </c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</row>
    <row r="245" spans="1:37" s="143" customFormat="1" ht="15" customHeight="1">
      <c r="A245" s="579" t="str">
        <f>+input!B20</f>
        <v>109j</v>
      </c>
      <c r="B245" s="538" t="str">
        <f t="shared" si="9"/>
        <v>Positive</v>
      </c>
      <c r="C245" s="674"/>
      <c r="D245" s="643">
        <f>1*Stress!H66</f>
        <v>5212.3</v>
      </c>
      <c r="E245" s="643">
        <f>1*Stress!I66</f>
        <v>4568.1499999999996</v>
      </c>
      <c r="F245" s="642">
        <f>1*Stress!K66</f>
        <v>-2428.21</v>
      </c>
      <c r="G245" s="642">
        <f>1*Stress!J66</f>
        <v>18650.66</v>
      </c>
      <c r="H245" s="852">
        <f>IF(Stress!F849&lt;=0,input!DI20/(input!BR20-input!DK20-input!Y20),input!DY20/(input!BR20-input!EA20-input!Y20))</f>
        <v>729007845.61443067</v>
      </c>
      <c r="I245" s="538" t="str">
        <f t="shared" si="10"/>
        <v>-</v>
      </c>
      <c r="J245" s="692" t="str">
        <f t="shared" si="11"/>
        <v>-</v>
      </c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</row>
    <row r="246" spans="1:37" s="143" customFormat="1" ht="15" customHeight="1">
      <c r="A246" s="579" t="str">
        <f>+input!B21</f>
        <v>110i</v>
      </c>
      <c r="B246" s="538" t="str">
        <f t="shared" si="9"/>
        <v>Positive</v>
      </c>
      <c r="C246" s="674"/>
      <c r="D246" s="643">
        <f>1*Stress!H67</f>
        <v>5212.29</v>
      </c>
      <c r="E246" s="643">
        <f>1*Stress!I67</f>
        <v>4568.1899999999996</v>
      </c>
      <c r="F246" s="642">
        <f>1*Stress!K67</f>
        <v>-2428.21</v>
      </c>
      <c r="G246" s="642">
        <f>1*Stress!J67</f>
        <v>18650.650000000001</v>
      </c>
      <c r="H246" s="852">
        <f>IF(Stress!F850&lt;=0,input!DI21/(input!BR21-input!DK21-input!Y21),input!DY21/(input!BR21-input!EA21-input!Y21))</f>
        <v>729007845.61443067</v>
      </c>
      <c r="I246" s="538" t="str">
        <f t="shared" si="10"/>
        <v>-</v>
      </c>
      <c r="J246" s="692" t="str">
        <f t="shared" si="11"/>
        <v>-</v>
      </c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</row>
    <row r="247" spans="1:37" s="143" customFormat="1" ht="15" customHeight="1">
      <c r="A247" s="579" t="str">
        <f>+input!B22</f>
        <v>110j</v>
      </c>
      <c r="B247" s="538" t="str">
        <f t="shared" si="9"/>
        <v>Positive</v>
      </c>
      <c r="C247" s="674"/>
      <c r="D247" s="643">
        <f>1*Stress!H68</f>
        <v>4845.6899999999996</v>
      </c>
      <c r="E247" s="643">
        <f>1*Stress!I68</f>
        <v>4246.6000000000004</v>
      </c>
      <c r="F247" s="642">
        <f>1*Stress!K68</f>
        <v>-2762.12</v>
      </c>
      <c r="G247" s="642">
        <f>1*Stress!J68</f>
        <v>17828.849999999999</v>
      </c>
      <c r="H247" s="852">
        <f>IF(Stress!F851&lt;=0,input!DI22/(input!BR22-input!DK22-input!Y22),input!DY22/(input!BR22-input!EA22-input!Y22))</f>
        <v>729007845.61443067</v>
      </c>
      <c r="I247" s="538" t="str">
        <f t="shared" si="10"/>
        <v>-</v>
      </c>
      <c r="J247" s="692" t="str">
        <f t="shared" si="11"/>
        <v>-</v>
      </c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</row>
    <row r="248" spans="1:37" s="143" customFormat="1" ht="15" customHeight="1">
      <c r="A248" s="579" t="str">
        <f>+input!B23</f>
        <v>111i</v>
      </c>
      <c r="B248" s="538" t="str">
        <f t="shared" si="9"/>
        <v>Positive</v>
      </c>
      <c r="C248" s="674"/>
      <c r="D248" s="643">
        <f>1*Stress!H69</f>
        <v>4845.68</v>
      </c>
      <c r="E248" s="643">
        <f>1*Stress!I69</f>
        <v>4246.5600000000004</v>
      </c>
      <c r="F248" s="642">
        <f>1*Stress!K69</f>
        <v>-2762.12</v>
      </c>
      <c r="G248" s="642">
        <f>1*Stress!J69</f>
        <v>17828.849999999999</v>
      </c>
      <c r="H248" s="852">
        <f>IF(Stress!F852&lt;=0,input!DI23/(input!BR23-input!DK23-input!Y23),input!DY23/(input!BR23-input!EA23-input!Y23))</f>
        <v>729007845.61443067</v>
      </c>
      <c r="I248" s="538" t="str">
        <f t="shared" si="10"/>
        <v>-</v>
      </c>
      <c r="J248" s="692" t="str">
        <f t="shared" si="11"/>
        <v>-</v>
      </c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</row>
    <row r="249" spans="1:37" s="143" customFormat="1" ht="15" customHeight="1">
      <c r="A249" s="579" t="str">
        <f>+input!B24</f>
        <v>111j</v>
      </c>
      <c r="B249" s="538" t="str">
        <f t="shared" si="9"/>
        <v>Positive</v>
      </c>
      <c r="C249" s="674"/>
      <c r="D249" s="643">
        <f>1*Stress!H70</f>
        <v>4190.54</v>
      </c>
      <c r="E249" s="643">
        <f>1*Stress!I70</f>
        <v>3679.05</v>
      </c>
      <c r="F249" s="642">
        <f>1*Stress!K70</f>
        <v>-3094.24</v>
      </c>
      <c r="G249" s="642">
        <f>1*Stress!J70</f>
        <v>16156.45</v>
      </c>
      <c r="H249" s="852">
        <f>IF(Stress!F853&lt;=0,input!DI24/(input!BR24-input!DK24-input!Y24),input!DY24/(input!BR24-input!EA24-input!Y24))</f>
        <v>729007845.61443067</v>
      </c>
      <c r="I249" s="538" t="str">
        <f t="shared" si="10"/>
        <v>-</v>
      </c>
      <c r="J249" s="692" t="str">
        <f t="shared" si="11"/>
        <v>-</v>
      </c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</row>
    <row r="250" spans="1:37" s="143" customFormat="1" ht="15" customHeight="1">
      <c r="A250" s="579" t="str">
        <f>+input!B25</f>
        <v>112i</v>
      </c>
      <c r="B250" s="538" t="str">
        <f t="shared" si="9"/>
        <v>Positive</v>
      </c>
      <c r="C250" s="674"/>
      <c r="D250" s="643">
        <f>1*Stress!H71</f>
        <v>4190.55</v>
      </c>
      <c r="E250" s="643">
        <f>1*Stress!I71</f>
        <v>3679.04</v>
      </c>
      <c r="F250" s="642">
        <f>1*Stress!K71</f>
        <v>-3094.24</v>
      </c>
      <c r="G250" s="642">
        <f>1*Stress!J71</f>
        <v>16156.45</v>
      </c>
      <c r="H250" s="852">
        <f>IF(Stress!F854&lt;=0,input!DI25/(input!BR25-input!DK25-input!Y25),input!DY25/(input!BR25-input!EA25-input!Y25))</f>
        <v>685253761.46527779</v>
      </c>
      <c r="I250" s="538" t="str">
        <f t="shared" si="10"/>
        <v>-</v>
      </c>
      <c r="J250" s="692" t="str">
        <f t="shared" si="11"/>
        <v>-</v>
      </c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</row>
    <row r="251" spans="1:37" s="143" customFormat="1" ht="15" customHeight="1">
      <c r="A251" s="579" t="str">
        <f>+input!B26</f>
        <v>112j</v>
      </c>
      <c r="B251" s="538" t="str">
        <f t="shared" si="9"/>
        <v>Positive</v>
      </c>
      <c r="C251" s="674"/>
      <c r="D251" s="643">
        <f>1*Stress!H72</f>
        <v>3334.3</v>
      </c>
      <c r="E251" s="643">
        <f>1*Stress!I72</f>
        <v>2918.38</v>
      </c>
      <c r="F251" s="642">
        <f>1*Stress!K72</f>
        <v>-3426.36</v>
      </c>
      <c r="G251" s="642">
        <f>1*Stress!J72</f>
        <v>13989.12</v>
      </c>
      <c r="H251" s="852">
        <f>IF(Stress!F855&lt;=0,input!DI26/(input!BR26-input!DK26-input!Y26),input!DY26/(input!BR26-input!EA26-input!Y26))</f>
        <v>685253761.46527779</v>
      </c>
      <c r="I251" s="538" t="str">
        <f t="shared" si="10"/>
        <v>-</v>
      </c>
      <c r="J251" s="692" t="str">
        <f t="shared" si="11"/>
        <v>-</v>
      </c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</row>
    <row r="252" spans="1:37" s="143" customFormat="1" ht="15" customHeight="1">
      <c r="A252" s="579" t="str">
        <f>+input!B27</f>
        <v>113i</v>
      </c>
      <c r="B252" s="538" t="str">
        <f t="shared" si="9"/>
        <v>Positive</v>
      </c>
      <c r="C252" s="674"/>
      <c r="D252" s="643">
        <f>1*Stress!H73</f>
        <v>3334.27</v>
      </c>
      <c r="E252" s="643">
        <f>1*Stress!I73</f>
        <v>2918.4</v>
      </c>
      <c r="F252" s="642">
        <f>1*Stress!K73</f>
        <v>-3426.36</v>
      </c>
      <c r="G252" s="642">
        <f>1*Stress!J73</f>
        <v>13989.12</v>
      </c>
      <c r="H252" s="852">
        <f>IF(Stress!F856&lt;=0,input!DI27/(input!BR27-input!DK27-input!Y27),input!DY27/(input!BR27-input!EA27-input!Y27))</f>
        <v>675046266.35586429</v>
      </c>
      <c r="I252" s="538" t="str">
        <f t="shared" si="10"/>
        <v>-</v>
      </c>
      <c r="J252" s="692" t="str">
        <f t="shared" si="11"/>
        <v>-</v>
      </c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</row>
    <row r="253" spans="1:37" s="143" customFormat="1" ht="15" customHeight="1">
      <c r="A253" s="579" t="str">
        <f>+input!B28</f>
        <v>113j</v>
      </c>
      <c r="B253" s="538" t="str">
        <f t="shared" si="9"/>
        <v>Positive</v>
      </c>
      <c r="C253" s="674"/>
      <c r="D253" s="643">
        <f>1*Stress!H74</f>
        <v>2151.7600000000002</v>
      </c>
      <c r="E253" s="643">
        <f>1*Stress!I74</f>
        <v>1889.88</v>
      </c>
      <c r="F253" s="642">
        <f>1*Stress!K74</f>
        <v>-3757.43</v>
      </c>
      <c r="G253" s="642">
        <f>1*Stress!J74</f>
        <v>10897.17</v>
      </c>
      <c r="H253" s="852">
        <f>IF(Stress!F857&lt;=0,input!DI28/(input!BR28-input!DK28-input!Y28),input!DY28/(input!BR28-input!EA28-input!Y28))</f>
        <v>675046266.35586429</v>
      </c>
      <c r="I253" s="538" t="str">
        <f t="shared" si="10"/>
        <v>-</v>
      </c>
      <c r="J253" s="692" t="str">
        <f t="shared" si="11"/>
        <v>-</v>
      </c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</row>
    <row r="254" spans="1:37" s="143" customFormat="1" ht="15" customHeight="1">
      <c r="A254" s="579" t="str">
        <f>+input!B29</f>
        <v>114i</v>
      </c>
      <c r="B254" s="538" t="str">
        <f t="shared" si="9"/>
        <v>Positive</v>
      </c>
      <c r="C254" s="674"/>
      <c r="D254" s="643">
        <f>1*Stress!H75</f>
        <v>2151.7800000000002</v>
      </c>
      <c r="E254" s="643">
        <f>1*Stress!I75</f>
        <v>1889.87</v>
      </c>
      <c r="F254" s="642">
        <f>1*Stress!K75</f>
        <v>-3757.43</v>
      </c>
      <c r="G254" s="642">
        <f>1*Stress!J75</f>
        <v>10897.17</v>
      </c>
      <c r="H254" s="852">
        <f>IF(Stress!F858&lt;=0,input!DI29/(input!BR29-input!DK29-input!Y29),input!DY29/(input!BR29-input!EA29-input!Y29))</f>
        <v>675046266.35586429</v>
      </c>
      <c r="I254" s="538" t="str">
        <f t="shared" si="10"/>
        <v>-</v>
      </c>
      <c r="J254" s="692" t="str">
        <f t="shared" si="11"/>
        <v>-</v>
      </c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</row>
    <row r="255" spans="1:37" s="143" customFormat="1" ht="15" customHeight="1">
      <c r="A255" s="579" t="str">
        <f>+input!B30</f>
        <v>114j</v>
      </c>
      <c r="B255" s="538" t="str">
        <f t="shared" si="9"/>
        <v>Positive</v>
      </c>
      <c r="C255" s="674"/>
      <c r="D255" s="538">
        <f>1*Stress!H76</f>
        <v>767.98</v>
      </c>
      <c r="E255" s="538">
        <f>1*Stress!I76</f>
        <v>668.33</v>
      </c>
      <c r="F255" s="642">
        <f>1*Stress!K76</f>
        <v>-4121.78</v>
      </c>
      <c r="G255" s="642">
        <f>1*Stress!J76</f>
        <v>7461.16</v>
      </c>
      <c r="H255" s="852">
        <f>IF(Stress!F859&lt;=0,input!DI30/(input!BR30-input!DK30-input!Y30),input!DY30/(input!BR30-input!EA30-input!Y30))</f>
        <v>675046266.35586429</v>
      </c>
      <c r="I255" s="538" t="str">
        <f t="shared" si="10"/>
        <v>-</v>
      </c>
      <c r="J255" s="692" t="str">
        <f t="shared" si="11"/>
        <v>-</v>
      </c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</row>
    <row r="256" spans="1:37" s="143" customFormat="1" ht="15" customHeight="1">
      <c r="A256" s="579" t="str">
        <f>+input!B31</f>
        <v>115i</v>
      </c>
      <c r="B256" s="538" t="str">
        <f t="shared" si="9"/>
        <v>Positive</v>
      </c>
      <c r="C256" s="674"/>
      <c r="D256" s="538">
        <f>1*Stress!H77</f>
        <v>767.99</v>
      </c>
      <c r="E256" s="538">
        <f>1*Stress!I77</f>
        <v>668.33</v>
      </c>
      <c r="F256" s="642">
        <f>1*Stress!K77</f>
        <v>-4121.78</v>
      </c>
      <c r="G256" s="642">
        <f>1*Stress!J77</f>
        <v>7461.16</v>
      </c>
      <c r="H256" s="852">
        <f>IF(Stress!F860&lt;=0,input!DI31/(input!BR31-input!DK31-input!Y31),input!DY31/(input!BR31-input!EA31-input!Y31))</f>
        <v>607481166.63705289</v>
      </c>
      <c r="I256" s="538" t="str">
        <f t="shared" si="10"/>
        <v>-</v>
      </c>
      <c r="J256" s="692" t="str">
        <f t="shared" si="11"/>
        <v>-</v>
      </c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</row>
    <row r="257" spans="1:37" s="143" customFormat="1" ht="15" customHeight="1">
      <c r="A257" s="579" t="str">
        <f>+input!B32</f>
        <v>115j</v>
      </c>
      <c r="B257" s="538" t="str">
        <f t="shared" si="9"/>
        <v>Negative</v>
      </c>
      <c r="C257" s="674"/>
      <c r="D257" s="538">
        <f>1*Stress!H78</f>
        <v>-936.79</v>
      </c>
      <c r="E257" s="538">
        <f>1*Stress!I78</f>
        <v>-818.91</v>
      </c>
      <c r="F257" s="642">
        <f>1*Stress!K78</f>
        <v>-5438.6</v>
      </c>
      <c r="G257" s="642">
        <f>1*Stress!J78</f>
        <v>4169.05</v>
      </c>
      <c r="H257" s="852">
        <f>IF(Stress!F861&lt;=0,input!DI32/(input!BR32-input!DK32-input!Y32),input!DY32/(input!BR32-input!EA32-input!Y32))</f>
        <v>118437828.03280923</v>
      </c>
      <c r="I257" s="538">
        <f t="shared" si="10"/>
        <v>60.743261840356112</v>
      </c>
      <c r="J257" s="692" t="str">
        <f t="shared" si="11"/>
        <v>OK</v>
      </c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</row>
    <row r="258" spans="1:37" s="143" customFormat="1" ht="15" customHeight="1">
      <c r="A258" s="579" t="str">
        <f>+input!B33</f>
        <v>116i</v>
      </c>
      <c r="B258" s="538" t="str">
        <f t="shared" si="9"/>
        <v>Negative</v>
      </c>
      <c r="C258" s="674"/>
      <c r="D258" s="538">
        <f>1*Stress!H79</f>
        <v>-936.79</v>
      </c>
      <c r="E258" s="538">
        <f>1*Stress!I79</f>
        <v>-818.91</v>
      </c>
      <c r="F258" s="642">
        <f>1*Stress!K79</f>
        <v>-5438.6</v>
      </c>
      <c r="G258" s="642">
        <f>1*Stress!J79</f>
        <v>4169.05</v>
      </c>
      <c r="H258" s="852">
        <f>IF(Stress!F862&lt;=0,input!DI33/(input!BR33-input!DK33-input!Y33),input!DY33/(input!BR33-input!EA33-input!Y33))</f>
        <v>142829826.50413141</v>
      </c>
      <c r="I258" s="538">
        <f t="shared" si="10"/>
        <v>50.369731421552224</v>
      </c>
      <c r="J258" s="692" t="str">
        <f t="shared" si="11"/>
        <v>OK</v>
      </c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</row>
    <row r="259" spans="1:37" s="143" customFormat="1" ht="15" customHeight="1">
      <c r="A259" s="579" t="str">
        <f>+input!B34</f>
        <v>116j</v>
      </c>
      <c r="B259" s="538" t="str">
        <f t="shared" si="9"/>
        <v>Negative</v>
      </c>
      <c r="C259" s="674"/>
      <c r="D259" s="643">
        <f>1*Stress!H80</f>
        <v>-2842.86</v>
      </c>
      <c r="E259" s="643">
        <f>1*Stress!I80</f>
        <v>-2499.17</v>
      </c>
      <c r="F259" s="642">
        <f>1*Stress!K80</f>
        <v>-8137.54</v>
      </c>
      <c r="G259" s="642">
        <f>1*Stress!J80</f>
        <v>2079.2399999999998</v>
      </c>
      <c r="H259" s="852">
        <f>IF(Stress!F863&lt;=0,input!DI34/(input!BR34-input!DK34-input!Y34),input!DY34/(input!BR34-input!EA34-input!Y34))</f>
        <v>142829826.50413141</v>
      </c>
      <c r="I259" s="538">
        <f t="shared" si="10"/>
        <v>94.375035872567551</v>
      </c>
      <c r="J259" s="692" t="str">
        <f t="shared" si="11"/>
        <v>OK</v>
      </c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</row>
    <row r="260" spans="1:37" s="143" customFormat="1" ht="15" customHeight="1">
      <c r="A260" s="579" t="str">
        <f>+input!B35</f>
        <v>117i</v>
      </c>
      <c r="B260" s="538" t="str">
        <f t="shared" ref="B260:B289" si="12">B60</f>
        <v>Negative</v>
      </c>
      <c r="C260" s="674"/>
      <c r="D260" s="643">
        <f>1*Stress!H81</f>
        <v>-2842.86</v>
      </c>
      <c r="E260" s="643">
        <f>1*Stress!I81</f>
        <v>-2499.16</v>
      </c>
      <c r="F260" s="642">
        <f>1*Stress!K81</f>
        <v>-8137.55</v>
      </c>
      <c r="G260" s="642">
        <f>1*Stress!J81</f>
        <v>2079.2399999999998</v>
      </c>
      <c r="H260" s="852">
        <f>IF(Stress!F864&lt;=0,input!DI35/(input!BR35-input!DK35-input!Y35),input!DY35/(input!BR35-input!EA35-input!Y35))</f>
        <v>225752497.72015536</v>
      </c>
      <c r="I260" s="538">
        <f t="shared" ref="I260:I289" si="13">IF(B260="Positive","-",-(D260+E260+F260)/H260*10^6)</f>
        <v>59.709505481128204</v>
      </c>
      <c r="J260" s="692" t="str">
        <f t="shared" ref="J260:J289" si="14">IF(B260="Positive","-",IF(I260&lt;=$E$223,"OK","NG"))</f>
        <v>OK</v>
      </c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</row>
    <row r="261" spans="1:37" s="143" customFormat="1" ht="15" customHeight="1">
      <c r="A261" s="579" t="str">
        <f>+input!B36</f>
        <v>117j</v>
      </c>
      <c r="B261" s="538" t="str">
        <f t="shared" si="12"/>
        <v>Negative</v>
      </c>
      <c r="C261" s="674"/>
      <c r="D261" s="643">
        <f>1*Stress!H82</f>
        <v>-5077.75</v>
      </c>
      <c r="E261" s="643">
        <f>1*Stress!I82</f>
        <v>-4450.6499999999996</v>
      </c>
      <c r="F261" s="642">
        <f>1*Stress!K82</f>
        <v>-13419.43</v>
      </c>
      <c r="G261" s="642">
        <f>1*Stress!J82</f>
        <v>646.76</v>
      </c>
      <c r="H261" s="852">
        <f>IF(Stress!F865&lt;=0,input!DI36/(input!BR36-input!DK36-input!Y36),input!DY36/(input!BR36-input!EA36-input!Y36))</f>
        <v>225752497.72015536</v>
      </c>
      <c r="I261" s="538">
        <f t="shared" si="13"/>
        <v>101.65039249508689</v>
      </c>
      <c r="J261" s="692" t="str">
        <f t="shared" si="14"/>
        <v>OK</v>
      </c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</row>
    <row r="262" spans="1:37" s="143" customFormat="1" ht="15" customHeight="1">
      <c r="A262" s="579" t="str">
        <f>+input!B37</f>
        <v>118i</v>
      </c>
      <c r="B262" s="538" t="str">
        <f t="shared" si="12"/>
        <v>Negative</v>
      </c>
      <c r="C262" s="674"/>
      <c r="D262" s="643">
        <f>1*Stress!H83</f>
        <v>-5077.78</v>
      </c>
      <c r="E262" s="643">
        <f>1*Stress!I83</f>
        <v>-4450.66</v>
      </c>
      <c r="F262" s="642">
        <f>1*Stress!K83</f>
        <v>-13419.43</v>
      </c>
      <c r="G262" s="642">
        <f>1*Stress!J83</f>
        <v>646.76</v>
      </c>
      <c r="H262" s="852">
        <f>IF(Stress!F866&lt;=0,input!DI37/(input!BR37-input!DK37-input!Y37),input!DY37/(input!BR37-input!EA37-input!Y37))</f>
        <v>392971361.83615655</v>
      </c>
      <c r="I262" s="538">
        <f t="shared" si="13"/>
        <v>58.395782055914211</v>
      </c>
      <c r="J262" s="692" t="str">
        <f t="shared" si="14"/>
        <v>OK</v>
      </c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</row>
    <row r="263" spans="1:37" s="143" customFormat="1" ht="15" customHeight="1">
      <c r="A263" s="579" t="str">
        <f>+input!B38</f>
        <v>118j</v>
      </c>
      <c r="B263" s="538" t="str">
        <f t="shared" si="12"/>
        <v>Negative</v>
      </c>
      <c r="C263" s="674"/>
      <c r="D263" s="643">
        <f>1*Stress!H84</f>
        <v>-6761.92</v>
      </c>
      <c r="E263" s="643">
        <f>1*Stress!I84</f>
        <v>-5931.48</v>
      </c>
      <c r="F263" s="642">
        <f>1*Stress!K84</f>
        <v>-17772.48</v>
      </c>
      <c r="G263" s="642">
        <f>1*Stress!J84</f>
        <v>186.16</v>
      </c>
      <c r="H263" s="852">
        <f>IF(Stress!F867&lt;=0,input!DI38/(input!BR38-input!DK38-input!Y38),input!DY38/(input!BR38-input!EA38-input!Y38))</f>
        <v>392971361.83615655</v>
      </c>
      <c r="I263" s="538">
        <f t="shared" si="13"/>
        <v>77.52697259578494</v>
      </c>
      <c r="J263" s="692" t="str">
        <f t="shared" si="14"/>
        <v>OK</v>
      </c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</row>
    <row r="264" spans="1:37" s="143" customFormat="1" ht="15" customHeight="1">
      <c r="A264" s="1023" t="str">
        <f>+input!B39</f>
        <v>119i</v>
      </c>
      <c r="B264" s="968" t="str">
        <f t="shared" si="12"/>
        <v>Negative</v>
      </c>
      <c r="C264" s="1078"/>
      <c r="D264" s="1024">
        <f>1*Stress!H85</f>
        <v>-6761.96</v>
      </c>
      <c r="E264" s="1024">
        <f>1*Stress!I85</f>
        <v>-5931.51</v>
      </c>
      <c r="F264" s="646">
        <f>1*Stress!K85</f>
        <v>-17772.48</v>
      </c>
      <c r="G264" s="646">
        <f>1*Stress!J85</f>
        <v>186.16</v>
      </c>
      <c r="H264" s="1089">
        <f>IF(Stress!F868&lt;=0,input!DI39/(input!BR39-input!DK39-input!Y39),input!DY39/(input!BR39-input!EA39-input!Y39))</f>
        <v>407112505.30092019</v>
      </c>
      <c r="I264" s="968">
        <f t="shared" si="13"/>
        <v>74.834227893542277</v>
      </c>
      <c r="J264" s="1090" t="str">
        <f t="shared" si="14"/>
        <v>OK</v>
      </c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</row>
    <row r="265" spans="1:37" s="143" customFormat="1" ht="15" customHeight="1">
      <c r="A265" s="1026" t="str">
        <f>+input!B40</f>
        <v>119j</v>
      </c>
      <c r="B265" s="970" t="str">
        <f t="shared" si="12"/>
        <v>Negative</v>
      </c>
      <c r="C265" s="1081"/>
      <c r="D265" s="1028">
        <f>1*Stress!H86</f>
        <v>-7513.9</v>
      </c>
      <c r="E265" s="1028">
        <f>1*Stress!I86</f>
        <v>-6595.1</v>
      </c>
      <c r="F265" s="1027">
        <f>1*Stress!K86</f>
        <v>-19772.95</v>
      </c>
      <c r="G265" s="1027">
        <f>1*Stress!J86</f>
        <v>96.52</v>
      </c>
      <c r="H265" s="1091">
        <f>IF(Stress!F869&lt;=0,input!DI40/(input!BR40-input!DK40-input!Y40),input!DY40/(input!BR40-input!EA40-input!Y40))</f>
        <v>407112505.30092019</v>
      </c>
      <c r="I265" s="970">
        <f t="shared" si="13"/>
        <v>83.225028852788256</v>
      </c>
      <c r="J265" s="1092" t="str">
        <f t="shared" si="14"/>
        <v>OK</v>
      </c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</row>
    <row r="266" spans="1:37" s="143" customFormat="1" ht="15" customHeight="1">
      <c r="A266" s="579" t="str">
        <f>+input!B41</f>
        <v>120i</v>
      </c>
      <c r="B266" s="538" t="str">
        <f t="shared" si="12"/>
        <v>Negative</v>
      </c>
      <c r="C266" s="674"/>
      <c r="D266" s="643">
        <f>1*Stress!H87</f>
        <v>-7514.01</v>
      </c>
      <c r="E266" s="643">
        <f>1*Stress!I87</f>
        <v>-6595.07</v>
      </c>
      <c r="F266" s="642">
        <f>1*Stress!K87</f>
        <v>-19771.39</v>
      </c>
      <c r="G266" s="642">
        <f>1*Stress!J87</f>
        <v>102.46</v>
      </c>
      <c r="H266" s="852">
        <f>IF(Stress!F870&lt;=0,input!DI41/(input!BR41-input!DK41-input!Y41),input!DY41/(input!BR41-input!EA41-input!Y41))</f>
        <v>407112505.30092019</v>
      </c>
      <c r="I266" s="538">
        <f t="shared" si="13"/>
        <v>83.221393494058844</v>
      </c>
      <c r="J266" s="692" t="str">
        <f t="shared" si="14"/>
        <v>OK</v>
      </c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</row>
    <row r="267" spans="1:37" s="143" customFormat="1" ht="15" customHeight="1">
      <c r="A267" s="579" t="str">
        <f>+input!B42</f>
        <v>120j</v>
      </c>
      <c r="B267" s="538" t="str">
        <f t="shared" si="12"/>
        <v>Negative</v>
      </c>
      <c r="C267" s="674"/>
      <c r="D267" s="643">
        <f>1*Stress!H88</f>
        <v>-6923.42</v>
      </c>
      <c r="E267" s="643">
        <f>1*Stress!I88</f>
        <v>-6073.09</v>
      </c>
      <c r="F267" s="642">
        <f>1*Stress!K88</f>
        <v>-18524.96</v>
      </c>
      <c r="G267" s="642">
        <f>1*Stress!J88</f>
        <v>335.08</v>
      </c>
      <c r="H267" s="852">
        <f>IF(Stress!F871&lt;=0,input!DI42/(input!BR42-input!DK42-input!Y42),input!DY42/(input!BR42-input!EA42-input!Y42))</f>
        <v>407112505.30092019</v>
      </c>
      <c r="I267" s="538">
        <f t="shared" si="13"/>
        <v>77.426926438186115</v>
      </c>
      <c r="J267" s="692" t="str">
        <f t="shared" si="14"/>
        <v>OK</v>
      </c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</row>
    <row r="268" spans="1:37" s="143" customFormat="1" ht="15" customHeight="1">
      <c r="A268" s="579" t="str">
        <f>+input!B43</f>
        <v>121i</v>
      </c>
      <c r="B268" s="538" t="str">
        <f t="shared" si="12"/>
        <v>Negative</v>
      </c>
      <c r="C268" s="674"/>
      <c r="D268" s="643">
        <f>1*Stress!H89</f>
        <v>-6923.43</v>
      </c>
      <c r="E268" s="643">
        <f>1*Stress!I89</f>
        <v>-6073.06</v>
      </c>
      <c r="F268" s="642">
        <f>1*Stress!K89</f>
        <v>-18524.96</v>
      </c>
      <c r="G268" s="642">
        <f>1*Stress!J89</f>
        <v>335.08</v>
      </c>
      <c r="H268" s="852">
        <f>IF(Stress!F872&lt;=0,input!DI43/(input!BR43-input!DK43-input!Y43),input!DY43/(input!BR43-input!EA43-input!Y43))</f>
        <v>392971361.83615655</v>
      </c>
      <c r="I268" s="538">
        <f t="shared" si="13"/>
        <v>80.213097088592406</v>
      </c>
      <c r="J268" s="692" t="str">
        <f t="shared" si="14"/>
        <v>OK</v>
      </c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</row>
    <row r="269" spans="1:37" s="143" customFormat="1" ht="15" customHeight="1">
      <c r="A269" s="579" t="str">
        <f>+input!B44</f>
        <v>121j</v>
      </c>
      <c r="B269" s="538" t="str">
        <f t="shared" si="12"/>
        <v>Negative</v>
      </c>
      <c r="C269" s="674"/>
      <c r="D269" s="643">
        <f>1*Stress!H90</f>
        <v>-5615.86</v>
      </c>
      <c r="E269" s="643">
        <f>1*Stress!I90</f>
        <v>-4922.5200000000004</v>
      </c>
      <c r="F269" s="642">
        <f>1*Stress!K90</f>
        <v>-16035.12</v>
      </c>
      <c r="G269" s="642">
        <f>1*Stress!J90</f>
        <v>1418.58</v>
      </c>
      <c r="H269" s="852">
        <f>IF(Stress!F873&lt;=0,input!DI44/(input!BR44-input!DK44-input!Y44),input!DY44/(input!BR44-input!EA44-input!Y44))</f>
        <v>392971361.83615655</v>
      </c>
      <c r="I269" s="538">
        <f t="shared" si="13"/>
        <v>67.621976003125184</v>
      </c>
      <c r="J269" s="692" t="str">
        <f t="shared" si="14"/>
        <v>OK</v>
      </c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</row>
    <row r="270" spans="1:37" s="143" customFormat="1" ht="15" customHeight="1">
      <c r="A270" s="579" t="str">
        <f>+input!B45</f>
        <v>122i</v>
      </c>
      <c r="B270" s="538" t="str">
        <f t="shared" si="12"/>
        <v>Negative</v>
      </c>
      <c r="C270" s="674"/>
      <c r="D270" s="643">
        <f>1*Stress!H91</f>
        <v>-5615.86</v>
      </c>
      <c r="E270" s="643">
        <f>1*Stress!I91</f>
        <v>-4922.5200000000004</v>
      </c>
      <c r="F270" s="642">
        <f>1*Stress!K91</f>
        <v>-16035.12</v>
      </c>
      <c r="G270" s="642">
        <f>1*Stress!J91</f>
        <v>1418.58</v>
      </c>
      <c r="H270" s="852">
        <f>IF(Stress!F874&lt;=0,input!DI45/(input!BR45-input!DK45-input!Y45),input!DY45/(input!BR45-input!EA45-input!Y45))</f>
        <v>241642176.56895632</v>
      </c>
      <c r="I270" s="538">
        <f t="shared" si="13"/>
        <v>109.97045456763151</v>
      </c>
      <c r="J270" s="692" t="str">
        <f t="shared" si="14"/>
        <v>OK</v>
      </c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</row>
    <row r="271" spans="1:37" s="143" customFormat="1" ht="15" customHeight="1">
      <c r="A271" s="579" t="str">
        <f>+input!B46</f>
        <v>122j</v>
      </c>
      <c r="B271" s="538" t="str">
        <f t="shared" si="12"/>
        <v>Negative</v>
      </c>
      <c r="C271" s="674"/>
      <c r="D271" s="643">
        <f>1*Stress!H92</f>
        <v>-3918.95</v>
      </c>
      <c r="E271" s="643">
        <f>1*Stress!I92</f>
        <v>-3442.96</v>
      </c>
      <c r="F271" s="642">
        <f>1*Stress!K92</f>
        <v>-13409.34</v>
      </c>
      <c r="G271" s="642">
        <f>1*Stress!J92</f>
        <v>4031.51</v>
      </c>
      <c r="H271" s="852">
        <f>IF(Stress!F875&lt;=0,input!DI46/(input!BR46-input!DK46-input!Y46),input!DY46/(input!BR46-input!EA46-input!Y46))</f>
        <v>241642176.56895632</v>
      </c>
      <c r="I271" s="538">
        <f t="shared" si="13"/>
        <v>85.958710912672998</v>
      </c>
      <c r="J271" s="692" t="str">
        <f t="shared" si="14"/>
        <v>OK</v>
      </c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</row>
    <row r="272" spans="1:37" s="143" customFormat="1" ht="15" customHeight="1">
      <c r="A272" s="579" t="str">
        <f>+input!B47</f>
        <v>123i</v>
      </c>
      <c r="B272" s="538" t="str">
        <f t="shared" si="12"/>
        <v>Negative</v>
      </c>
      <c r="C272" s="674"/>
      <c r="D272" s="643">
        <f>1*Stress!H93</f>
        <v>-3918.95</v>
      </c>
      <c r="E272" s="643">
        <f>1*Stress!I93</f>
        <v>-3442.95</v>
      </c>
      <c r="F272" s="642">
        <f>1*Stress!K93</f>
        <v>-13409.34</v>
      </c>
      <c r="G272" s="642">
        <f>1*Stress!J93</f>
        <v>4031.51</v>
      </c>
      <c r="H272" s="852">
        <f>IF(Stress!F876&lt;=0,input!DI47/(input!BR47-input!DK47-input!Y47),input!DY47/(input!BR47-input!EA47-input!Y47))</f>
        <v>182686588.06397906</v>
      </c>
      <c r="I272" s="538">
        <f t="shared" si="13"/>
        <v>113.69876803832834</v>
      </c>
      <c r="J272" s="692" t="str">
        <f t="shared" si="14"/>
        <v>OK</v>
      </c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</row>
    <row r="273" spans="1:37" s="143" customFormat="1" ht="15" customHeight="1">
      <c r="A273" s="579" t="str">
        <f>+input!B48</f>
        <v>123j</v>
      </c>
      <c r="B273" s="538" t="str">
        <f t="shared" si="12"/>
        <v>Negative</v>
      </c>
      <c r="C273" s="674"/>
      <c r="D273" s="643">
        <f>1*Stress!H94</f>
        <v>-2548.35</v>
      </c>
      <c r="E273" s="643">
        <f>1*Stress!I94</f>
        <v>-2232.4699999999998</v>
      </c>
      <c r="F273" s="642">
        <f>1*Stress!K94</f>
        <v>-11535.72</v>
      </c>
      <c r="G273" s="642">
        <f>1*Stress!J94</f>
        <v>6352.81</v>
      </c>
      <c r="H273" s="852">
        <f>IF(Stress!F877&lt;=0,input!DI48/(input!BR48-input!DK48-input!Y48),input!DY48/(input!BR48-input!EA48-input!Y48))</f>
        <v>182686588.06397906</v>
      </c>
      <c r="I273" s="538">
        <f t="shared" si="13"/>
        <v>89.314383573060923</v>
      </c>
      <c r="J273" s="692" t="str">
        <f t="shared" si="14"/>
        <v>OK</v>
      </c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</row>
    <row r="274" spans="1:37" s="143" customFormat="1" ht="15" customHeight="1">
      <c r="A274" s="579" t="str">
        <f>+input!B49</f>
        <v>124i</v>
      </c>
      <c r="B274" s="538" t="str">
        <f t="shared" si="12"/>
        <v>Negative</v>
      </c>
      <c r="C274" s="674"/>
      <c r="D274" s="643">
        <f>1*Stress!H95</f>
        <v>-2548.35</v>
      </c>
      <c r="E274" s="643">
        <f>1*Stress!I95</f>
        <v>-2232.48</v>
      </c>
      <c r="F274" s="642">
        <f>1*Stress!K95</f>
        <v>-11535.72</v>
      </c>
      <c r="G274" s="642">
        <f>1*Stress!J95</f>
        <v>6352.81</v>
      </c>
      <c r="H274" s="852">
        <f>IF(Stress!F878&lt;=0,input!DI49/(input!BR49-input!DK49-input!Y49),input!DY49/(input!BR49-input!EA49-input!Y49))</f>
        <v>131409389.43610387</v>
      </c>
      <c r="I274" s="538">
        <f t="shared" si="13"/>
        <v>124.16578503268759</v>
      </c>
      <c r="J274" s="692" t="str">
        <f t="shared" si="14"/>
        <v>OK</v>
      </c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</row>
    <row r="275" spans="1:37" s="143" customFormat="1" ht="15" customHeight="1">
      <c r="A275" s="579" t="str">
        <f>+input!B50</f>
        <v>124j</v>
      </c>
      <c r="B275" s="538" t="str">
        <f t="shared" si="12"/>
        <v>Negative</v>
      </c>
      <c r="C275" s="674"/>
      <c r="D275" s="643">
        <f>1*Stress!H96</f>
        <v>-1378.99</v>
      </c>
      <c r="E275" s="643">
        <f>1*Stress!I96</f>
        <v>-1214.99</v>
      </c>
      <c r="F275" s="642">
        <f>1*Stress!K96</f>
        <v>-9806.02</v>
      </c>
      <c r="G275" s="642">
        <f>1*Stress!J96</f>
        <v>8258.86</v>
      </c>
      <c r="H275" s="852">
        <f>IF(Stress!F879&lt;=0,input!DI50/(input!BR50-input!DK50-input!Y50),input!DY50/(input!BR50-input!EA50-input!Y50))</f>
        <v>131409389.43610387</v>
      </c>
      <c r="I275" s="538">
        <f t="shared" si="13"/>
        <v>94.36159815679946</v>
      </c>
      <c r="J275" s="692" t="str">
        <f t="shared" si="14"/>
        <v>OK</v>
      </c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</row>
    <row r="276" spans="1:37" s="143" customFormat="1" ht="15" customHeight="1">
      <c r="A276" s="579" t="str">
        <f>+input!B51</f>
        <v>125i</v>
      </c>
      <c r="B276" s="538" t="str">
        <f t="shared" si="12"/>
        <v>Negative</v>
      </c>
      <c r="C276" s="674"/>
      <c r="D276" s="643">
        <f>1*Stress!H97</f>
        <v>-1378.99</v>
      </c>
      <c r="E276" s="643">
        <f>1*Stress!I97</f>
        <v>-1214.99</v>
      </c>
      <c r="F276" s="642">
        <f>1*Stress!K97</f>
        <v>-9806.02</v>
      </c>
      <c r="G276" s="642">
        <f>1*Stress!J97</f>
        <v>8258.86</v>
      </c>
      <c r="H276" s="852">
        <f>IF(Stress!F880&lt;=0,input!DI51/(input!BR51-input!DK51-input!Y51),input!DY51/(input!BR51-input!EA51-input!Y51))</f>
        <v>118437828.03280923</v>
      </c>
      <c r="I276" s="538">
        <f t="shared" si="13"/>
        <v>104.6962799466822</v>
      </c>
      <c r="J276" s="692" t="str">
        <f t="shared" si="14"/>
        <v>OK</v>
      </c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</row>
    <row r="277" spans="1:37" s="143" customFormat="1" ht="15" customHeight="1">
      <c r="A277" s="579" t="str">
        <f>+input!B52</f>
        <v>125j</v>
      </c>
      <c r="B277" s="538" t="str">
        <f t="shared" si="12"/>
        <v>Negative</v>
      </c>
      <c r="C277" s="674"/>
      <c r="D277" s="538">
        <f>1*Stress!H98</f>
        <v>-534.80999999999995</v>
      </c>
      <c r="E277" s="538">
        <f>1*Stress!I98</f>
        <v>-466.31</v>
      </c>
      <c r="F277" s="642">
        <f>1*Stress!K98</f>
        <v>-8125.96</v>
      </c>
      <c r="G277" s="642">
        <f>1*Stress!J98</f>
        <v>9072.0499999999993</v>
      </c>
      <c r="H277" s="852">
        <f>IF(Stress!F881&lt;=0,input!DI52/(input!BR52-input!DK52-input!Y52),input!DY52/(input!BR52-input!EA52-input!Y52))</f>
        <v>118437828.03280923</v>
      </c>
      <c r="I277" s="538">
        <f t="shared" si="13"/>
        <v>77.062203449658412</v>
      </c>
      <c r="J277" s="692" t="str">
        <f t="shared" si="14"/>
        <v>OK</v>
      </c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</row>
    <row r="278" spans="1:37" s="143" customFormat="1" ht="15" customHeight="1">
      <c r="A278" s="579" t="str">
        <f>+input!B53</f>
        <v>126i</v>
      </c>
      <c r="B278" s="538" t="str">
        <f t="shared" si="12"/>
        <v>Negative</v>
      </c>
      <c r="C278" s="674"/>
      <c r="D278" s="538">
        <f>1*Stress!H99</f>
        <v>-534.80999999999995</v>
      </c>
      <c r="E278" s="538">
        <f>1*Stress!I99</f>
        <v>-466.31</v>
      </c>
      <c r="F278" s="642">
        <f>1*Stress!K99</f>
        <v>-8125.96</v>
      </c>
      <c r="G278" s="642">
        <f>1*Stress!J99</f>
        <v>9072.0499999999993</v>
      </c>
      <c r="H278" s="852">
        <f>IF(Stress!F882&lt;=0,input!DI53/(input!BR53-input!DK53-input!Y53),input!DY53/(input!BR53-input!EA53-input!Y53))</f>
        <v>118437828.03280923</v>
      </c>
      <c r="I278" s="538">
        <f t="shared" si="13"/>
        <v>77.062203449658412</v>
      </c>
      <c r="J278" s="692" t="str">
        <f t="shared" si="14"/>
        <v>OK</v>
      </c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</row>
    <row r="279" spans="1:37" s="143" customFormat="1" ht="15" customHeight="1">
      <c r="A279" s="579" t="str">
        <f>+input!B54</f>
        <v>126j</v>
      </c>
      <c r="B279" s="538" t="str">
        <f t="shared" si="12"/>
        <v>Negative</v>
      </c>
      <c r="C279" s="674"/>
      <c r="D279" s="538">
        <f>1*Stress!H100</f>
        <v>108.11</v>
      </c>
      <c r="E279" s="538">
        <f>1*Stress!I100</f>
        <v>89.38</v>
      </c>
      <c r="F279" s="642">
        <f>1*Stress!K100</f>
        <v>-6449.89</v>
      </c>
      <c r="G279" s="642">
        <f>1*Stress!J100</f>
        <v>9290.6299999999992</v>
      </c>
      <c r="H279" s="852">
        <f>IF(Stress!F883&lt;=0,input!DI54/(input!BR54-input!DK54-input!Y54),input!DY54/(input!BR54-input!EA54-input!Y54))</f>
        <v>118437828.03280923</v>
      </c>
      <c r="I279" s="538">
        <f t="shared" si="13"/>
        <v>52.790566188599669</v>
      </c>
      <c r="J279" s="692" t="str">
        <f t="shared" si="14"/>
        <v>OK</v>
      </c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</row>
    <row r="280" spans="1:37" s="143" customFormat="1" ht="15" customHeight="1">
      <c r="A280" s="579" t="str">
        <f>+input!B55</f>
        <v>127i</v>
      </c>
      <c r="B280" s="538" t="str">
        <f t="shared" si="12"/>
        <v>Negative</v>
      </c>
      <c r="C280" s="674"/>
      <c r="D280" s="538">
        <f>1*Stress!H101</f>
        <v>108.11</v>
      </c>
      <c r="E280" s="538">
        <f>1*Stress!I101</f>
        <v>89.38</v>
      </c>
      <c r="F280" s="642">
        <f>1*Stress!K101</f>
        <v>-6449.89</v>
      </c>
      <c r="G280" s="642">
        <f>1*Stress!J101</f>
        <v>9290.6200000000008</v>
      </c>
      <c r="H280" s="852">
        <f>IF(Stress!F884&lt;=0,input!DI55/(input!BR55-input!DK55-input!Y55),input!DY55/(input!BR55-input!EA55-input!Y55))</f>
        <v>109584499.10589211</v>
      </c>
      <c r="I280" s="538">
        <f t="shared" si="13"/>
        <v>57.055514703391324</v>
      </c>
      <c r="J280" s="692" t="str">
        <f t="shared" si="14"/>
        <v>OK</v>
      </c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</row>
    <row r="281" spans="1:37" s="143" customFormat="1" ht="15" customHeight="1">
      <c r="A281" s="579" t="str">
        <f>+input!B56</f>
        <v>127j</v>
      </c>
      <c r="B281" s="538" t="str">
        <f t="shared" si="12"/>
        <v>Positive</v>
      </c>
      <c r="C281" s="674"/>
      <c r="D281" s="538">
        <f>1*Stress!H102</f>
        <v>432.01</v>
      </c>
      <c r="E281" s="538">
        <f>1*Stress!I102</f>
        <v>381.07</v>
      </c>
      <c r="F281" s="642">
        <f>1*Stress!K102</f>
        <v>-4784.82</v>
      </c>
      <c r="G281" s="642">
        <f>1*Stress!J102</f>
        <v>8328.8700000000008</v>
      </c>
      <c r="H281" s="852">
        <f>IF(Stress!F885&lt;=0,input!DI56/(input!BR56-input!DK56-input!Y56),input!DY56/(input!BR56-input!EA56-input!Y56))</f>
        <v>558689101.13637531</v>
      </c>
      <c r="I281" s="538" t="str">
        <f t="shared" si="13"/>
        <v>-</v>
      </c>
      <c r="J281" s="692" t="str">
        <f t="shared" si="14"/>
        <v>-</v>
      </c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</row>
    <row r="282" spans="1:37" s="143" customFormat="1" ht="15" customHeight="1">
      <c r="A282" s="579" t="str">
        <f>+input!B57</f>
        <v>128i</v>
      </c>
      <c r="B282" s="538" t="str">
        <f t="shared" si="12"/>
        <v>Positive</v>
      </c>
      <c r="C282" s="674"/>
      <c r="D282" s="538">
        <f>1*Stress!H103</f>
        <v>432.01</v>
      </c>
      <c r="E282" s="538">
        <f>1*Stress!I103</f>
        <v>381.07</v>
      </c>
      <c r="F282" s="642">
        <f>1*Stress!K103</f>
        <v>-4784.82</v>
      </c>
      <c r="G282" s="642">
        <f>1*Stress!J103</f>
        <v>8328.8700000000008</v>
      </c>
      <c r="H282" s="852">
        <f>IF(Stress!F886&lt;=0,input!DI57/(input!BR57-input!DK57-input!Y57),input!DY57/(input!BR57-input!EA57-input!Y57))</f>
        <v>558689101.13637531</v>
      </c>
      <c r="I282" s="538" t="str">
        <f t="shared" si="13"/>
        <v>-</v>
      </c>
      <c r="J282" s="692" t="str">
        <f t="shared" si="14"/>
        <v>-</v>
      </c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</row>
    <row r="283" spans="1:37" s="143" customFormat="1" ht="15" customHeight="1">
      <c r="A283" s="579" t="str">
        <f>+input!B58</f>
        <v>128j</v>
      </c>
      <c r="B283" s="538" t="str">
        <f t="shared" si="12"/>
        <v>Positive</v>
      </c>
      <c r="C283" s="674"/>
      <c r="D283" s="538">
        <f>1*Stress!H104</f>
        <v>554.65</v>
      </c>
      <c r="E283" s="538">
        <f>1*Stress!I104</f>
        <v>479.76</v>
      </c>
      <c r="F283" s="642">
        <f>1*Stress!K104</f>
        <v>-3119.75</v>
      </c>
      <c r="G283" s="642">
        <f>1*Stress!J104</f>
        <v>6607.9</v>
      </c>
      <c r="H283" s="852">
        <f>IF(Stress!F887&lt;=0,input!DI58/(input!BR58-input!DK58-input!Y58),input!DY58/(input!BR58-input!EA58-input!Y58))</f>
        <v>558689101.13637531</v>
      </c>
      <c r="I283" s="538" t="str">
        <f t="shared" si="13"/>
        <v>-</v>
      </c>
      <c r="J283" s="692" t="str">
        <f t="shared" si="14"/>
        <v>-</v>
      </c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</row>
    <row r="284" spans="1:37" s="143" customFormat="1" ht="15" customHeight="1">
      <c r="A284" s="579" t="str">
        <f>+input!B59</f>
        <v>129i</v>
      </c>
      <c r="B284" s="538" t="str">
        <f t="shared" si="12"/>
        <v>Positive</v>
      </c>
      <c r="C284" s="674"/>
      <c r="D284" s="538">
        <f>1*Stress!H105</f>
        <v>554.65</v>
      </c>
      <c r="E284" s="538">
        <f>1*Stress!I105</f>
        <v>479.76</v>
      </c>
      <c r="F284" s="642">
        <f>1*Stress!K105</f>
        <v>-3119.75</v>
      </c>
      <c r="G284" s="642">
        <f>1*Stress!J105</f>
        <v>6607.9</v>
      </c>
      <c r="H284" s="852">
        <f>IF(Stress!F888&lt;=0,input!DI59/(input!BR59-input!DK59-input!Y59),input!DY59/(input!BR59-input!EA59-input!Y59))</f>
        <v>558689101.13637531</v>
      </c>
      <c r="I284" s="538" t="str">
        <f t="shared" si="13"/>
        <v>-</v>
      </c>
      <c r="J284" s="692" t="str">
        <f t="shared" si="14"/>
        <v>-</v>
      </c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</row>
    <row r="285" spans="1:37" s="143" customFormat="1" ht="15" customHeight="1">
      <c r="A285" s="579" t="str">
        <f>+input!B60</f>
        <v>129j</v>
      </c>
      <c r="B285" s="538" t="str">
        <f t="shared" si="12"/>
        <v>Positive</v>
      </c>
      <c r="C285" s="674"/>
      <c r="D285" s="538">
        <f>1*Stress!H106</f>
        <v>246.35</v>
      </c>
      <c r="E285" s="538">
        <f>1*Stress!I106</f>
        <v>220.11</v>
      </c>
      <c r="F285" s="642">
        <f>1*Stress!K106</f>
        <v>-967.1</v>
      </c>
      <c r="G285" s="642">
        <f>1*Stress!J106</f>
        <v>2460.86</v>
      </c>
      <c r="H285" s="852">
        <f>IF(Stress!F889&lt;=0,input!DI60/(input!BR60-input!DK60-input!Y60),input!DY60/(input!BR60-input!EA60-input!Y60))</f>
        <v>558689101.13637531</v>
      </c>
      <c r="I285" s="538" t="str">
        <f t="shared" si="13"/>
        <v>-</v>
      </c>
      <c r="J285" s="692" t="str">
        <f t="shared" si="14"/>
        <v>-</v>
      </c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</row>
    <row r="286" spans="1:37" s="143" customFormat="1" ht="15" customHeight="1">
      <c r="A286" s="579" t="str">
        <f>+input!B61</f>
        <v>130i</v>
      </c>
      <c r="B286" s="538" t="str">
        <f t="shared" si="12"/>
        <v>Positive</v>
      </c>
      <c r="C286" s="674"/>
      <c r="D286" s="538">
        <f>1*Stress!H107</f>
        <v>246.35</v>
      </c>
      <c r="E286" s="538">
        <f>1*Stress!I107</f>
        <v>220.11</v>
      </c>
      <c r="F286" s="642">
        <f>1*Stress!K107</f>
        <v>-967.1</v>
      </c>
      <c r="G286" s="642">
        <f>1*Stress!J107</f>
        <v>2460.86</v>
      </c>
      <c r="H286" s="852">
        <f>IF(Stress!F890&lt;=0,input!DI61/(input!BR61-input!DK61-input!Y61),input!DY61/(input!BR61-input!EA61-input!Y61))</f>
        <v>509393830.01249045</v>
      </c>
      <c r="I286" s="538" t="str">
        <f t="shared" si="13"/>
        <v>-</v>
      </c>
      <c r="J286" s="692" t="str">
        <f t="shared" si="14"/>
        <v>-</v>
      </c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</row>
    <row r="287" spans="1:37" s="143" customFormat="1" ht="15" customHeight="1">
      <c r="A287" s="579" t="str">
        <f>+input!B62</f>
        <v>130j</v>
      </c>
      <c r="B287" s="538" t="str">
        <f t="shared" si="12"/>
        <v>Negative</v>
      </c>
      <c r="C287" s="674"/>
      <c r="D287" s="538">
        <f>1*Stress!H108</f>
        <v>-1.21</v>
      </c>
      <c r="E287" s="538">
        <f>1*Stress!I108</f>
        <v>-1.1599999999999999</v>
      </c>
      <c r="F287" s="642">
        <f>1*Stress!K108</f>
        <v>-143.29</v>
      </c>
      <c r="G287" s="642">
        <f>1*Stress!J108</f>
        <v>-2</v>
      </c>
      <c r="H287" s="852">
        <f>IF(Stress!F891&lt;=0,input!DI62/(input!BR62-input!DK62-input!Y62),input!DY62/(input!BR62-input!EA62-input!Y62))</f>
        <v>99270055.866012052</v>
      </c>
      <c r="I287" s="538">
        <f t="shared" si="13"/>
        <v>1.467310547267163</v>
      </c>
      <c r="J287" s="692" t="str">
        <f t="shared" si="14"/>
        <v>OK</v>
      </c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</row>
    <row r="288" spans="1:37" s="143" customFormat="1" ht="15" customHeight="1">
      <c r="A288" s="579" t="str">
        <f>+input!B63</f>
        <v>131i</v>
      </c>
      <c r="B288" s="538" t="str">
        <f t="shared" si="12"/>
        <v>Negative</v>
      </c>
      <c r="C288" s="674"/>
      <c r="D288" s="538">
        <f>1*Stress!H109</f>
        <v>-1.22</v>
      </c>
      <c r="E288" s="538">
        <f>1*Stress!I109</f>
        <v>-1.17</v>
      </c>
      <c r="F288" s="642">
        <f>1*Stress!K109</f>
        <v>-143.27000000000001</v>
      </c>
      <c r="G288" s="642">
        <f>1*Stress!J109</f>
        <v>0</v>
      </c>
      <c r="H288" s="852">
        <f>IF(Stress!F892&lt;=0,input!DI63/(input!BR63-input!DK63-input!Y63),input!DY63/(input!BR63-input!EA63-input!Y63))</f>
        <v>99270055.866012052</v>
      </c>
      <c r="I288" s="538">
        <f t="shared" si="13"/>
        <v>1.467310547267163</v>
      </c>
      <c r="J288" s="692" t="str">
        <f t="shared" si="14"/>
        <v>OK</v>
      </c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</row>
    <row r="289" spans="1:37" s="143" customFormat="1" ht="15" customHeight="1">
      <c r="A289" s="579" t="str">
        <f>+input!B64</f>
        <v>131j</v>
      </c>
      <c r="B289" s="538" t="str">
        <f t="shared" si="12"/>
        <v>Positive</v>
      </c>
      <c r="C289" s="674"/>
      <c r="D289" s="538">
        <f>1*Stress!H110</f>
        <v>0</v>
      </c>
      <c r="E289" s="538">
        <f>1*Stress!I110</f>
        <v>0</v>
      </c>
      <c r="F289" s="642">
        <f>1*Stress!K110</f>
        <v>0</v>
      </c>
      <c r="G289" s="642">
        <f>1*Stress!J110</f>
        <v>0</v>
      </c>
      <c r="H289" s="852">
        <f>IF(Stress!F893&lt;=0,input!DI64/(input!BR64-input!DK64-input!Y64),input!DY64/(input!BR64-input!EA64-input!Y64))</f>
        <v>509393830.01249045</v>
      </c>
      <c r="I289" s="538" t="str">
        <f t="shared" si="13"/>
        <v>-</v>
      </c>
      <c r="J289" s="692" t="str">
        <f t="shared" si="14"/>
        <v>-</v>
      </c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</row>
    <row r="405" spans="2:2" ht="15" customHeight="1">
      <c r="B405" s="5"/>
    </row>
    <row r="523" spans="2:2" ht="15" customHeight="1">
      <c r="B523" s="5"/>
    </row>
  </sheetData>
  <mergeCells count="7">
    <mergeCell ref="D226:G226"/>
    <mergeCell ref="F97:I98"/>
    <mergeCell ref="B149:C149"/>
    <mergeCell ref="H104:I104"/>
    <mergeCell ref="F26:G26"/>
    <mergeCell ref="C97:C98"/>
    <mergeCell ref="D97:D98"/>
  </mergeCells>
  <phoneticPr fontId="34" type="noConversion"/>
  <conditionalFormatting sqref="L213:M213 R214:W215 J28:K89 L90:O90 L91 M92 K151:M212">
    <cfRule type="cellIs" dxfId="111" priority="45" operator="equal">
      <formula>"NG"</formula>
    </cfRule>
  </conditionalFormatting>
  <conditionalFormatting sqref="V90:W91 V223:W223 V213:W213">
    <cfRule type="cellIs" dxfId="110" priority="44" operator="equal">
      <formula>"NG"</formula>
    </cfRule>
  </conditionalFormatting>
  <conditionalFormatting sqref="N213:O213">
    <cfRule type="cellIs" dxfId="109" priority="43" operator="equal">
      <formula>"NG"</formula>
    </cfRule>
  </conditionalFormatting>
  <conditionalFormatting sqref="X90:Y91 X223:Y223 X213:Y213">
    <cfRule type="cellIs" dxfId="108" priority="42" operator="equal">
      <formula>"NG"</formula>
    </cfRule>
  </conditionalFormatting>
  <conditionalFormatting sqref="F228:F289">
    <cfRule type="cellIs" dxfId="107" priority="41" operator="equal">
      <formula>"NG"</formula>
    </cfRule>
  </conditionalFormatting>
  <conditionalFormatting sqref="J228:J289">
    <cfRule type="cellIs" dxfId="106" priority="40" operator="equal">
      <formula>"NG"</formula>
    </cfRule>
  </conditionalFormatting>
  <conditionalFormatting sqref="G228:G289">
    <cfRule type="cellIs" dxfId="105" priority="39" operator="equal">
      <formula>"NG"</formula>
    </cfRule>
  </conditionalFormatting>
  <conditionalFormatting sqref="P214:Q215">
    <cfRule type="cellIs" dxfId="104" priority="33" operator="equal">
      <formula>"NG"</formula>
    </cfRule>
  </conditionalFormatting>
  <conditionalFormatting sqref="E151:E212">
    <cfRule type="cellIs" dxfId="103" priority="26" operator="equal">
      <formula>"NG"</formula>
    </cfRule>
  </conditionalFormatting>
  <conditionalFormatting sqref="D151:D212">
    <cfRule type="cellIs" dxfId="102" priority="27" operator="equal">
      <formula>"NG"</formula>
    </cfRule>
  </conditionalFormatting>
  <conditionalFormatting sqref="F151:F212">
    <cfRule type="cellIs" dxfId="101" priority="24" operator="equal">
      <formula>"NG"</formula>
    </cfRule>
  </conditionalFormatting>
  <conditionalFormatting sqref="D214:E215">
    <cfRule type="cellIs" dxfId="100" priority="18" operator="equal">
      <formula>"NG"</formula>
    </cfRule>
  </conditionalFormatting>
  <conditionalFormatting sqref="H151:H212">
    <cfRule type="cellIs" dxfId="99" priority="1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9" orientation="portrait" r:id="rId1"/>
  <rowBreaks count="5" manualBreakCount="5">
    <brk id="17" max="12" man="1"/>
    <brk id="91" max="12" man="1"/>
    <brk id="147" max="12" man="1"/>
    <brk id="196" max="12" man="1"/>
    <brk id="215" max="12" man="1"/>
  </row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Y438"/>
  <sheetViews>
    <sheetView showGridLines="0" view="pageBreakPreview" topLeftCell="A113" zoomScaleNormal="100" zoomScaleSheetLayoutView="100" workbookViewId="0">
      <selection activeCell="O123" sqref="O123"/>
    </sheetView>
  </sheetViews>
  <sheetFormatPr defaultColWidth="9.77734375" defaultRowHeight="15" customHeight="1"/>
  <cols>
    <col min="1" max="11" width="5.88671875" style="143" customWidth="1"/>
    <col min="12" max="12" width="5.88671875" style="173" customWidth="1"/>
    <col min="13" max="13" width="5.88671875" style="143" customWidth="1"/>
    <col min="14" max="14" width="6.5546875" style="143" customWidth="1"/>
    <col min="15" max="16" width="5.88671875" style="143" customWidth="1"/>
    <col min="17" max="23" width="4.77734375" style="143" customWidth="1"/>
    <col min="24" max="24" width="4.77734375" style="173" customWidth="1"/>
    <col min="25" max="25" width="4.77734375" style="143" customWidth="1"/>
    <col min="26" max="26" width="4.77734375" style="173" customWidth="1"/>
    <col min="27" max="27" width="4.77734375" style="143" customWidth="1"/>
    <col min="28" max="29" width="5.33203125" style="143" customWidth="1"/>
    <col min="30" max="30" width="6.77734375" style="73" customWidth="1"/>
    <col min="31" max="43" width="5.33203125" style="73" customWidth="1"/>
    <col min="44" max="44" width="7" style="73" customWidth="1"/>
    <col min="45" max="47" width="5.33203125" style="73" customWidth="1"/>
    <col min="48" max="63" width="5.33203125" style="143" customWidth="1"/>
    <col min="64" max="78" width="2.77734375" style="143" customWidth="1"/>
    <col min="79" max="16384" width="9.77734375" style="143"/>
  </cols>
  <sheetData>
    <row r="1" spans="1:51" ht="15" customHeight="1">
      <c r="A1" s="133" t="s">
        <v>321</v>
      </c>
      <c r="M1" s="137" t="s">
        <v>209</v>
      </c>
      <c r="AP1" s="76"/>
    </row>
    <row r="2" spans="1:51" ht="15" customHeight="1" thickBot="1">
      <c r="A2" s="133"/>
      <c r="B2" s="168" t="s">
        <v>121</v>
      </c>
      <c r="L2" s="188"/>
      <c r="X2" s="188"/>
      <c r="Z2" s="188"/>
      <c r="AC2" s="188"/>
      <c r="AN2" s="505"/>
      <c r="AQ2" s="76"/>
    </row>
    <row r="3" spans="1:51" ht="15" customHeight="1">
      <c r="A3" s="133"/>
      <c r="C3" s="35" t="s">
        <v>907</v>
      </c>
      <c r="D3" s="36"/>
      <c r="E3" s="36"/>
      <c r="F3" s="36"/>
      <c r="G3" s="702" t="s">
        <v>1778</v>
      </c>
      <c r="H3" s="36"/>
      <c r="I3" s="36"/>
      <c r="J3" s="36"/>
      <c r="K3" s="36"/>
      <c r="L3" s="351" t="s">
        <v>213</v>
      </c>
      <c r="O3" s="170"/>
      <c r="U3" s="170"/>
      <c r="V3" s="170"/>
      <c r="W3" s="187"/>
      <c r="X3" s="170"/>
      <c r="Y3" s="187"/>
      <c r="Z3" s="143"/>
      <c r="AA3" s="170"/>
      <c r="AB3" s="187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269"/>
      <c r="AN3" s="122"/>
      <c r="AO3" s="122"/>
      <c r="AP3" s="74"/>
      <c r="AQ3" s="122"/>
      <c r="AR3" s="122"/>
      <c r="AS3" s="122"/>
      <c r="AT3" s="122"/>
      <c r="AU3" s="170"/>
      <c r="AV3" s="170"/>
      <c r="AW3" s="170"/>
      <c r="AX3" s="170"/>
      <c r="AY3" s="170"/>
    </row>
    <row r="4" spans="1:51" ht="15" customHeight="1">
      <c r="C4" s="37"/>
      <c r="D4" s="9"/>
      <c r="E4" s="9"/>
      <c r="F4" s="9"/>
      <c r="G4" s="9"/>
      <c r="H4" s="18"/>
      <c r="I4" s="9"/>
      <c r="J4" s="9"/>
      <c r="K4" s="9"/>
      <c r="L4" s="44"/>
      <c r="O4" s="170"/>
      <c r="U4" s="170"/>
      <c r="V4" s="170"/>
      <c r="W4" s="187"/>
      <c r="X4" s="170"/>
      <c r="Y4" s="187"/>
      <c r="Z4" s="143"/>
      <c r="AA4" s="170"/>
      <c r="AB4" s="187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269"/>
      <c r="AN4" s="122"/>
      <c r="AO4" s="122"/>
      <c r="AP4" s="74"/>
      <c r="AQ4" s="122"/>
      <c r="AR4" s="122"/>
      <c r="AS4" s="122"/>
      <c r="AT4" s="122"/>
      <c r="AU4" s="170"/>
      <c r="AV4" s="170"/>
      <c r="AW4" s="170"/>
      <c r="AX4" s="170"/>
      <c r="AY4" s="170"/>
    </row>
    <row r="5" spans="1:51" ht="15" customHeight="1">
      <c r="C5" s="230"/>
      <c r="D5" s="9"/>
      <c r="E5" s="9"/>
      <c r="F5" s="9"/>
      <c r="G5" s="9"/>
      <c r="H5" s="18"/>
      <c r="I5" s="9"/>
      <c r="J5" s="9"/>
      <c r="K5" s="9"/>
      <c r="L5" s="44"/>
      <c r="O5" s="170"/>
      <c r="U5" s="170"/>
      <c r="V5" s="170"/>
      <c r="W5" s="345"/>
      <c r="X5" s="170"/>
      <c r="Y5" s="345"/>
      <c r="Z5" s="143"/>
      <c r="AA5" s="170"/>
      <c r="AB5" s="345"/>
      <c r="AC5" s="122"/>
      <c r="AD5" s="122"/>
      <c r="AE5" s="175"/>
      <c r="AF5" s="175"/>
      <c r="AG5" s="175"/>
      <c r="AH5" s="175"/>
      <c r="AI5" s="175"/>
      <c r="AJ5" s="175"/>
      <c r="AK5" s="175"/>
      <c r="AL5" s="175"/>
      <c r="AM5" s="269"/>
      <c r="AN5" s="122"/>
      <c r="AO5" s="122"/>
      <c r="AP5" s="74"/>
      <c r="AQ5" s="122"/>
      <c r="AR5" s="122"/>
      <c r="AS5" s="122"/>
      <c r="AT5" s="122"/>
      <c r="AU5" s="170"/>
      <c r="AV5" s="170"/>
      <c r="AW5" s="170"/>
      <c r="AX5" s="170"/>
      <c r="AY5" s="170"/>
    </row>
    <row r="6" spans="1:51" ht="15" customHeight="1">
      <c r="C6" s="39" t="s">
        <v>908</v>
      </c>
      <c r="D6" s="9"/>
      <c r="E6" s="9"/>
      <c r="F6" s="9"/>
      <c r="G6" s="33" t="s">
        <v>212</v>
      </c>
      <c r="H6" s="18"/>
      <c r="I6" s="33"/>
      <c r="J6" s="9"/>
      <c r="K6" s="9"/>
      <c r="L6" s="38" t="s">
        <v>211</v>
      </c>
      <c r="O6" s="170"/>
      <c r="U6" s="170"/>
      <c r="V6" s="170"/>
      <c r="W6" s="187"/>
      <c r="X6" s="170"/>
      <c r="Y6" s="187"/>
      <c r="Z6" s="143"/>
      <c r="AA6" s="187"/>
      <c r="AB6" s="170"/>
      <c r="AC6" s="122"/>
      <c r="AD6" s="122"/>
      <c r="AE6" s="269"/>
      <c r="AF6" s="122"/>
      <c r="AG6" s="122"/>
      <c r="AH6" s="74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70"/>
      <c r="AV6" s="170"/>
      <c r="AW6" s="170"/>
      <c r="AX6" s="170"/>
      <c r="AY6" s="170"/>
    </row>
    <row r="7" spans="1:51" ht="15" customHeight="1" thickBot="1">
      <c r="C7" s="357"/>
      <c r="D7" s="41"/>
      <c r="E7" s="41"/>
      <c r="F7" s="41"/>
      <c r="G7" s="358"/>
      <c r="H7" s="42"/>
      <c r="I7" s="41"/>
      <c r="J7" s="41"/>
      <c r="K7" s="41"/>
      <c r="L7" s="45"/>
      <c r="W7" s="188"/>
      <c r="X7" s="143"/>
      <c r="Y7" s="188"/>
      <c r="Z7" s="143"/>
      <c r="AA7" s="188"/>
      <c r="AC7" s="73"/>
      <c r="AE7" s="505"/>
      <c r="AH7" s="76"/>
      <c r="AU7" s="143"/>
    </row>
    <row r="8" spans="1:51" ht="15" customHeight="1">
      <c r="C8" s="122"/>
      <c r="D8" s="122"/>
      <c r="E8" s="122"/>
      <c r="F8" s="122"/>
      <c r="G8" s="122"/>
      <c r="H8" s="122"/>
      <c r="I8" s="122"/>
      <c r="J8" s="122"/>
      <c r="K8" s="87"/>
      <c r="L8" s="122"/>
      <c r="M8" s="122"/>
      <c r="X8" s="188"/>
      <c r="Z8" s="188"/>
      <c r="AB8" s="188"/>
      <c r="AF8" s="505"/>
      <c r="AI8" s="76"/>
    </row>
    <row r="9" spans="1:51" ht="15" customHeight="1">
      <c r="A9" s="133" t="s">
        <v>854</v>
      </c>
      <c r="M9" s="178" t="s">
        <v>894</v>
      </c>
      <c r="AP9" s="76"/>
    </row>
    <row r="10" spans="1:51" ht="15" customHeight="1">
      <c r="A10" s="133"/>
      <c r="B10" s="168"/>
      <c r="AM10" s="505"/>
      <c r="AP10" s="76"/>
    </row>
    <row r="11" spans="1:51" ht="15" customHeight="1">
      <c r="A11" s="122"/>
      <c r="B11" s="175"/>
      <c r="C11" s="176" t="s">
        <v>210</v>
      </c>
      <c r="D11" s="74"/>
      <c r="E11" s="122"/>
      <c r="F11" s="122"/>
      <c r="G11" s="87"/>
      <c r="H11" s="122"/>
      <c r="I11" s="122"/>
      <c r="J11" s="122"/>
      <c r="K11" s="122"/>
      <c r="L11" s="177"/>
      <c r="M11" s="122"/>
      <c r="N11" s="122"/>
      <c r="O11" s="122"/>
      <c r="P11" s="178"/>
      <c r="Q11" s="122"/>
      <c r="R11" s="122"/>
      <c r="S11" s="122"/>
      <c r="T11" s="122"/>
      <c r="U11" s="122"/>
      <c r="V11" s="122"/>
      <c r="W11" s="122"/>
      <c r="X11" s="177"/>
      <c r="Y11" s="122"/>
      <c r="Z11" s="177"/>
      <c r="AB11" s="122"/>
      <c r="AC11" s="170"/>
      <c r="AD11" s="122"/>
      <c r="AE11" s="122"/>
      <c r="AF11" s="122"/>
      <c r="AG11" s="122"/>
      <c r="AH11" s="122"/>
      <c r="AI11" s="122"/>
      <c r="AJ11" s="122"/>
      <c r="AK11" s="122"/>
      <c r="AL11" s="122"/>
      <c r="AM11" s="269"/>
      <c r="AN11" s="122"/>
      <c r="AO11" s="122"/>
      <c r="AP11" s="74"/>
      <c r="AQ11" s="122"/>
      <c r="AR11" s="122"/>
      <c r="AS11" s="122"/>
      <c r="AT11" s="122"/>
      <c r="AU11" s="122"/>
      <c r="AV11" s="170"/>
      <c r="AW11" s="170"/>
      <c r="AX11" s="170"/>
      <c r="AY11" s="170"/>
    </row>
    <row r="12" spans="1:51" ht="15" customHeight="1">
      <c r="A12" s="122"/>
      <c r="B12" s="175"/>
      <c r="C12" s="176"/>
      <c r="D12" s="74"/>
      <c r="E12" s="122"/>
      <c r="F12" s="122"/>
      <c r="G12" s="87"/>
      <c r="H12" s="122"/>
      <c r="I12" s="122"/>
      <c r="J12" s="122"/>
      <c r="K12" s="122"/>
      <c r="L12" s="177"/>
      <c r="M12" s="122"/>
      <c r="N12" s="122"/>
      <c r="O12" s="122"/>
      <c r="P12" s="178"/>
      <c r="Q12" s="122"/>
      <c r="R12" s="122"/>
      <c r="S12" s="122"/>
      <c r="T12" s="122"/>
      <c r="U12" s="122"/>
      <c r="V12" s="122"/>
      <c r="W12" s="122"/>
      <c r="X12" s="177"/>
      <c r="Y12" s="122"/>
      <c r="Z12" s="177"/>
      <c r="AB12" s="122"/>
      <c r="AC12" s="170"/>
      <c r="AD12" s="122"/>
      <c r="AE12" s="122"/>
      <c r="AF12" s="122"/>
      <c r="AG12" s="122"/>
      <c r="AH12" s="122"/>
      <c r="AI12" s="122"/>
      <c r="AJ12" s="122"/>
      <c r="AK12" s="122"/>
      <c r="AL12" s="122"/>
      <c r="AM12" s="269"/>
      <c r="AN12" s="122"/>
      <c r="AO12" s="122"/>
      <c r="AP12" s="74"/>
      <c r="AQ12" s="122"/>
      <c r="AR12" s="122"/>
      <c r="AS12" s="122"/>
      <c r="AT12" s="122"/>
      <c r="AU12" s="122"/>
      <c r="AV12" s="170"/>
      <c r="AW12" s="170"/>
      <c r="AX12" s="170"/>
      <c r="AY12" s="170"/>
    </row>
    <row r="13" spans="1:51" ht="15" customHeight="1">
      <c r="A13" s="122"/>
      <c r="B13" s="180" t="s">
        <v>323</v>
      </c>
      <c r="C13" s="147"/>
      <c r="D13" s="74"/>
      <c r="E13" s="122"/>
      <c r="F13" s="122"/>
      <c r="G13" s="87"/>
      <c r="H13" s="122"/>
      <c r="I13" s="122"/>
      <c r="J13" s="122"/>
      <c r="K13" s="122"/>
      <c r="L13" s="177"/>
      <c r="M13" s="122"/>
      <c r="N13" s="122"/>
      <c r="O13" s="122"/>
      <c r="P13" s="178"/>
      <c r="Q13" s="122"/>
      <c r="R13" s="122"/>
      <c r="S13" s="122"/>
      <c r="T13" s="122"/>
      <c r="U13" s="122"/>
      <c r="V13" s="122"/>
      <c r="W13" s="122"/>
      <c r="X13" s="177"/>
      <c r="Y13" s="122"/>
      <c r="Z13" s="177"/>
      <c r="AB13" s="122"/>
      <c r="AC13" s="170"/>
      <c r="AD13" s="122"/>
      <c r="AE13" s="122"/>
      <c r="AF13" s="122"/>
      <c r="AG13" s="122"/>
      <c r="AH13" s="122"/>
      <c r="AI13" s="122"/>
      <c r="AJ13" s="122"/>
      <c r="AK13" s="122"/>
      <c r="AL13" s="122"/>
      <c r="AM13" s="269"/>
      <c r="AN13" s="122"/>
      <c r="AO13" s="122"/>
      <c r="AP13" s="74"/>
      <c r="AQ13" s="122"/>
      <c r="AR13" s="122"/>
      <c r="AS13" s="122"/>
      <c r="AT13" s="122"/>
      <c r="AU13" s="122"/>
      <c r="AV13" s="170"/>
      <c r="AW13" s="170"/>
      <c r="AX13" s="170"/>
      <c r="AY13" s="170"/>
    </row>
    <row r="14" spans="1:51" ht="15" customHeight="1">
      <c r="A14" s="122"/>
      <c r="B14" s="179"/>
      <c r="C14" s="703" t="s">
        <v>1779</v>
      </c>
      <c r="D14" s="74" t="s">
        <v>324</v>
      </c>
      <c r="E14" s="635">
        <v>0.75</v>
      </c>
      <c r="H14" s="87" t="s">
        <v>325</v>
      </c>
      <c r="J14" s="122"/>
      <c r="K14" s="122"/>
      <c r="L14" s="122"/>
      <c r="M14" s="122"/>
      <c r="N14" s="122"/>
      <c r="O14" s="122"/>
      <c r="P14" s="178"/>
      <c r="Q14" s="122"/>
      <c r="R14" s="122"/>
      <c r="S14" s="122"/>
      <c r="T14" s="122"/>
      <c r="U14" s="122"/>
      <c r="V14" s="122"/>
      <c r="W14" s="122"/>
      <c r="X14" s="177"/>
      <c r="Y14" s="122"/>
      <c r="Z14" s="177"/>
      <c r="AB14" s="122"/>
      <c r="AC14" s="170"/>
      <c r="AD14" s="122"/>
      <c r="AE14" s="122"/>
      <c r="AF14" s="122"/>
      <c r="AG14" s="122"/>
      <c r="AH14" s="122"/>
      <c r="AI14" s="122"/>
      <c r="AJ14" s="122"/>
      <c r="AK14" s="122"/>
      <c r="AL14" s="122"/>
      <c r="AM14" s="269"/>
      <c r="AN14" s="122"/>
      <c r="AO14" s="122"/>
      <c r="AP14" s="74"/>
      <c r="AQ14" s="122"/>
      <c r="AR14" s="122"/>
      <c r="AS14" s="122"/>
      <c r="AT14" s="122"/>
      <c r="AU14" s="122"/>
      <c r="AV14" s="170"/>
      <c r="AW14" s="170"/>
      <c r="AX14" s="170"/>
      <c r="AY14" s="170"/>
    </row>
    <row r="15" spans="1:51" ht="15" customHeight="1">
      <c r="A15" s="122"/>
      <c r="B15" s="179"/>
      <c r="C15" s="182" t="s">
        <v>1780</v>
      </c>
      <c r="D15" s="74" t="s">
        <v>324</v>
      </c>
      <c r="E15" s="87" t="s">
        <v>326</v>
      </c>
      <c r="F15" s="122"/>
      <c r="H15" s="122"/>
      <c r="I15" s="122"/>
      <c r="J15" s="122"/>
      <c r="K15" s="122"/>
      <c r="L15" s="177"/>
      <c r="M15" s="122"/>
      <c r="N15" s="122"/>
      <c r="O15" s="122"/>
      <c r="P15" s="178"/>
      <c r="Q15" s="122"/>
      <c r="R15" s="122"/>
      <c r="S15" s="122"/>
      <c r="T15" s="122"/>
      <c r="U15" s="122"/>
      <c r="V15" s="122"/>
      <c r="W15" s="122"/>
      <c r="X15" s="177"/>
      <c r="Y15" s="122"/>
      <c r="Z15" s="177"/>
      <c r="AB15" s="122"/>
      <c r="AC15" s="170"/>
      <c r="AD15" s="122"/>
      <c r="AE15" s="122"/>
      <c r="AF15" s="122"/>
      <c r="AG15" s="122"/>
      <c r="AH15" s="122"/>
      <c r="AI15" s="122"/>
      <c r="AJ15" s="122"/>
      <c r="AK15" s="122"/>
      <c r="AL15" s="122"/>
      <c r="AM15" s="269"/>
      <c r="AN15" s="122"/>
      <c r="AO15" s="122"/>
      <c r="AP15" s="74"/>
      <c r="AQ15" s="122"/>
      <c r="AR15" s="122"/>
      <c r="AS15" s="122"/>
      <c r="AT15" s="122"/>
      <c r="AU15" s="122"/>
      <c r="AV15" s="170"/>
      <c r="AW15" s="170"/>
      <c r="AX15" s="170"/>
      <c r="AY15" s="170"/>
    </row>
    <row r="16" spans="1:51" ht="15" customHeight="1">
      <c r="A16" s="122"/>
      <c r="B16" s="179"/>
      <c r="C16" s="182" t="s">
        <v>1781</v>
      </c>
      <c r="D16" s="74" t="s">
        <v>324</v>
      </c>
      <c r="E16" s="87" t="s">
        <v>1256</v>
      </c>
      <c r="F16" s="122"/>
      <c r="H16" s="122"/>
      <c r="I16" s="122"/>
      <c r="J16" s="122"/>
      <c r="K16" s="122"/>
      <c r="L16" s="177"/>
      <c r="M16" s="122"/>
      <c r="N16" s="122"/>
      <c r="O16" s="122"/>
      <c r="P16" s="178"/>
      <c r="Q16" s="122"/>
      <c r="R16" s="122"/>
      <c r="S16" s="122"/>
      <c r="T16" s="122"/>
      <c r="U16" s="122"/>
      <c r="V16" s="122"/>
      <c r="W16" s="122"/>
      <c r="X16" s="177"/>
      <c r="Y16" s="122"/>
      <c r="Z16" s="177"/>
      <c r="AB16" s="122"/>
      <c r="AC16" s="170"/>
      <c r="AD16" s="122"/>
      <c r="AE16" s="122"/>
      <c r="AF16" s="122"/>
      <c r="AG16" s="122"/>
      <c r="AH16" s="122"/>
      <c r="AI16" s="122"/>
      <c r="AJ16" s="122"/>
      <c r="AK16" s="122"/>
      <c r="AL16" s="122"/>
      <c r="AM16" s="269"/>
      <c r="AN16" s="122"/>
      <c r="AO16" s="122"/>
      <c r="AP16" s="74"/>
      <c r="AQ16" s="122"/>
      <c r="AR16" s="122"/>
      <c r="AS16" s="122"/>
      <c r="AT16" s="122"/>
      <c r="AU16" s="122"/>
      <c r="AV16" s="170"/>
      <c r="AW16" s="170"/>
      <c r="AX16" s="170"/>
      <c r="AY16" s="170"/>
    </row>
    <row r="17" spans="1:51" ht="15" customHeight="1">
      <c r="A17" s="122"/>
      <c r="B17" s="179"/>
      <c r="C17" s="182"/>
      <c r="D17" s="74"/>
      <c r="E17" s="74"/>
      <c r="F17" s="122"/>
      <c r="G17" s="87"/>
      <c r="H17" s="122"/>
      <c r="I17" s="122"/>
      <c r="J17" s="122"/>
      <c r="K17" s="122"/>
      <c r="L17" s="177"/>
      <c r="M17" s="122"/>
      <c r="N17" s="122"/>
      <c r="O17" s="122"/>
      <c r="P17" s="178"/>
      <c r="Q17" s="122"/>
      <c r="R17" s="122"/>
      <c r="S17" s="122"/>
      <c r="T17" s="122"/>
      <c r="U17" s="122"/>
      <c r="V17" s="122"/>
      <c r="W17" s="122"/>
      <c r="X17" s="177"/>
      <c r="Y17" s="122"/>
      <c r="Z17" s="177"/>
      <c r="AB17" s="122"/>
      <c r="AC17" s="170"/>
      <c r="AD17" s="122"/>
      <c r="AE17" s="122"/>
      <c r="AF17" s="122"/>
      <c r="AG17" s="122"/>
      <c r="AH17" s="122"/>
      <c r="AI17" s="122"/>
      <c r="AJ17" s="122"/>
      <c r="AK17" s="122"/>
      <c r="AL17" s="122"/>
      <c r="AM17" s="269"/>
      <c r="AN17" s="122"/>
      <c r="AO17" s="122"/>
      <c r="AP17" s="74"/>
      <c r="AQ17" s="122"/>
      <c r="AR17" s="122"/>
      <c r="AS17" s="122"/>
      <c r="AT17" s="122"/>
      <c r="AU17" s="122"/>
      <c r="AV17" s="170"/>
      <c r="AW17" s="170"/>
      <c r="AX17" s="170"/>
      <c r="AY17" s="170"/>
    </row>
    <row r="18" spans="1:51" ht="15" customHeight="1">
      <c r="A18" s="122"/>
      <c r="B18" s="180" t="s">
        <v>333</v>
      </c>
      <c r="C18" s="182"/>
      <c r="D18" s="74"/>
      <c r="E18" s="74"/>
      <c r="F18" s="122"/>
      <c r="G18" s="87"/>
      <c r="H18" s="122"/>
      <c r="I18" s="122"/>
      <c r="J18" s="122"/>
      <c r="K18" s="122"/>
      <c r="L18" s="177"/>
      <c r="M18" s="178" t="s">
        <v>334</v>
      </c>
      <c r="N18" s="122"/>
      <c r="O18" s="122"/>
      <c r="Q18" s="122"/>
      <c r="R18" s="122"/>
      <c r="S18" s="122"/>
      <c r="T18" s="122"/>
      <c r="U18" s="122"/>
      <c r="V18" s="122"/>
      <c r="W18" s="122"/>
      <c r="X18" s="177"/>
      <c r="Y18" s="122"/>
      <c r="Z18" s="177"/>
      <c r="AB18" s="122"/>
      <c r="AC18" s="170"/>
      <c r="AD18" s="122"/>
      <c r="AE18" s="122"/>
      <c r="AF18" s="122"/>
      <c r="AG18" s="122"/>
      <c r="AH18" s="122"/>
      <c r="AI18" s="122"/>
      <c r="AJ18" s="122"/>
      <c r="AK18" s="122"/>
      <c r="AL18" s="122"/>
      <c r="AM18" s="269"/>
      <c r="AN18" s="122"/>
      <c r="AO18" s="122"/>
      <c r="AP18" s="74"/>
      <c r="AQ18" s="122"/>
      <c r="AR18" s="122"/>
      <c r="AS18" s="122"/>
      <c r="AT18" s="122"/>
      <c r="AU18" s="122"/>
      <c r="AV18" s="170"/>
      <c r="AW18" s="170"/>
      <c r="AX18" s="170"/>
      <c r="AY18" s="170"/>
    </row>
    <row r="19" spans="1:51" ht="15" customHeight="1">
      <c r="A19" s="122"/>
      <c r="B19" s="179"/>
      <c r="C19" s="182"/>
      <c r="D19" s="74"/>
      <c r="E19" s="74"/>
      <c r="F19" s="122"/>
      <c r="G19" s="87"/>
      <c r="H19" s="122"/>
      <c r="I19" s="122"/>
      <c r="J19" s="122"/>
      <c r="K19" s="122"/>
      <c r="L19" s="177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77"/>
      <c r="Y19" s="122"/>
      <c r="Z19" s="177"/>
      <c r="AA19" s="178"/>
      <c r="AB19" s="122"/>
      <c r="AC19" s="170"/>
      <c r="AD19" s="122"/>
      <c r="AE19" s="122"/>
      <c r="AF19" s="122"/>
      <c r="AG19" s="122"/>
      <c r="AH19" s="122"/>
      <c r="AI19" s="122"/>
      <c r="AJ19" s="122"/>
      <c r="AK19" s="122"/>
      <c r="AL19" s="122"/>
      <c r="AM19" s="269"/>
      <c r="AN19" s="122"/>
      <c r="AO19" s="122"/>
      <c r="AP19" s="74"/>
      <c r="AQ19" s="122"/>
      <c r="AR19" s="122"/>
      <c r="AS19" s="122"/>
      <c r="AT19" s="122"/>
      <c r="AU19" s="122"/>
      <c r="AV19" s="170"/>
      <c r="AW19" s="170"/>
      <c r="AX19" s="170"/>
      <c r="AY19" s="170"/>
    </row>
    <row r="20" spans="1:51" ht="15" customHeight="1">
      <c r="A20" s="122"/>
      <c r="B20" s="179"/>
      <c r="C20" s="182" t="s">
        <v>1781</v>
      </c>
      <c r="D20" s="74" t="s">
        <v>324</v>
      </c>
      <c r="E20" s="87" t="s">
        <v>1782</v>
      </c>
      <c r="F20" s="122"/>
      <c r="H20" s="177" t="s">
        <v>335</v>
      </c>
      <c r="I20" s="122"/>
      <c r="J20" s="122" t="s">
        <v>336</v>
      </c>
      <c r="K20" s="122"/>
      <c r="P20" s="122"/>
      <c r="Q20" s="122"/>
      <c r="R20" s="122"/>
      <c r="S20" s="122"/>
      <c r="T20" s="122"/>
      <c r="U20" s="122"/>
      <c r="V20" s="122"/>
      <c r="W20" s="122"/>
      <c r="X20" s="177"/>
      <c r="Y20" s="122"/>
      <c r="Z20" s="177"/>
      <c r="AA20" s="178"/>
      <c r="AB20" s="122"/>
      <c r="AC20" s="170"/>
      <c r="AD20" s="122"/>
      <c r="AE20" s="122"/>
      <c r="AF20" s="122"/>
      <c r="AG20" s="122"/>
      <c r="AH20" s="122"/>
      <c r="AI20" s="122"/>
      <c r="AJ20" s="122"/>
      <c r="AK20" s="122"/>
      <c r="AL20" s="122"/>
      <c r="AM20" s="269"/>
      <c r="AN20" s="122"/>
      <c r="AO20" s="122"/>
      <c r="AP20" s="74"/>
      <c r="AQ20" s="122"/>
      <c r="AR20" s="122"/>
      <c r="AS20" s="122"/>
      <c r="AT20" s="122"/>
      <c r="AU20" s="122"/>
      <c r="AV20" s="170"/>
      <c r="AW20" s="170"/>
      <c r="AX20" s="170"/>
      <c r="AY20" s="170"/>
    </row>
    <row r="21" spans="1:51" ht="15" customHeight="1">
      <c r="A21" s="122"/>
      <c r="B21" s="179"/>
      <c r="C21" s="182"/>
      <c r="D21" s="74" t="s">
        <v>324</v>
      </c>
      <c r="E21" s="87" t="s">
        <v>1783</v>
      </c>
      <c r="F21" s="122"/>
      <c r="H21" s="177" t="s">
        <v>335</v>
      </c>
      <c r="I21" s="122"/>
      <c r="J21" s="122" t="s">
        <v>337</v>
      </c>
      <c r="K21" s="122"/>
      <c r="P21" s="122"/>
      <c r="Q21" s="122"/>
      <c r="R21" s="122"/>
      <c r="S21" s="122"/>
      <c r="T21" s="122"/>
      <c r="U21" s="122"/>
      <c r="V21" s="122"/>
      <c r="W21" s="122"/>
      <c r="X21" s="177"/>
      <c r="Y21" s="122"/>
      <c r="Z21" s="177"/>
      <c r="AA21" s="178"/>
      <c r="AB21" s="122"/>
      <c r="AC21" s="170"/>
      <c r="AD21" s="122"/>
      <c r="AE21" s="122"/>
      <c r="AF21" s="122"/>
      <c r="AG21" s="122"/>
      <c r="AH21" s="122"/>
      <c r="AI21" s="122"/>
      <c r="AJ21" s="122"/>
      <c r="AK21" s="122"/>
      <c r="AL21" s="122"/>
      <c r="AM21" s="269"/>
      <c r="AN21" s="122"/>
      <c r="AO21" s="122"/>
      <c r="AP21" s="74"/>
      <c r="AQ21" s="122"/>
      <c r="AR21" s="122"/>
      <c r="AS21" s="122"/>
      <c r="AT21" s="122"/>
      <c r="AU21" s="122"/>
      <c r="AV21" s="170"/>
      <c r="AW21" s="170"/>
      <c r="AX21" s="170"/>
      <c r="AY21" s="170"/>
    </row>
    <row r="22" spans="1:51" ht="15" customHeight="1">
      <c r="A22" s="122"/>
      <c r="B22" s="179"/>
      <c r="C22" s="182"/>
      <c r="D22" s="74" t="s">
        <v>324</v>
      </c>
      <c r="E22" s="182" t="s">
        <v>1784</v>
      </c>
      <c r="F22" s="122"/>
      <c r="H22" s="177" t="s">
        <v>335</v>
      </c>
      <c r="I22" s="122"/>
      <c r="J22" s="122" t="s">
        <v>344</v>
      </c>
      <c r="K22" s="122"/>
      <c r="P22" s="122"/>
      <c r="Q22" s="122"/>
      <c r="R22" s="122"/>
      <c r="S22" s="122"/>
      <c r="T22" s="122"/>
      <c r="U22" s="122"/>
      <c r="V22" s="122"/>
      <c r="W22" s="122"/>
      <c r="X22" s="177"/>
      <c r="Y22" s="122"/>
      <c r="Z22" s="177"/>
      <c r="AA22" s="178"/>
      <c r="AB22" s="122"/>
      <c r="AC22" s="170"/>
      <c r="AD22" s="122"/>
      <c r="AE22" s="122"/>
      <c r="AF22" s="122"/>
      <c r="AG22" s="122"/>
      <c r="AH22" s="122"/>
      <c r="AI22" s="122"/>
      <c r="AJ22" s="122"/>
      <c r="AK22" s="122"/>
      <c r="AL22" s="122"/>
      <c r="AM22" s="269"/>
      <c r="AN22" s="122"/>
      <c r="AO22" s="122"/>
      <c r="AP22" s="74"/>
      <c r="AQ22" s="122"/>
      <c r="AR22" s="122"/>
      <c r="AS22" s="122"/>
      <c r="AT22" s="122"/>
      <c r="AU22" s="122"/>
      <c r="AV22" s="170"/>
      <c r="AW22" s="170"/>
      <c r="AX22" s="170"/>
      <c r="AY22" s="170"/>
    </row>
    <row r="23" spans="1:51" ht="15" customHeight="1">
      <c r="A23" s="122"/>
      <c r="B23" s="179"/>
      <c r="C23" s="182"/>
      <c r="D23" s="74"/>
      <c r="E23" s="74"/>
      <c r="F23" s="122"/>
      <c r="G23" s="87"/>
      <c r="H23" s="122"/>
      <c r="I23" s="122"/>
      <c r="J23" s="122"/>
      <c r="K23" s="122"/>
      <c r="L23" s="177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77"/>
      <c r="Y23" s="122"/>
      <c r="Z23" s="177"/>
      <c r="AA23" s="178"/>
      <c r="AB23" s="122"/>
      <c r="AC23" s="170"/>
      <c r="AD23" s="122"/>
      <c r="AE23" s="122"/>
      <c r="AF23" s="122"/>
      <c r="AG23" s="122"/>
      <c r="AH23" s="122"/>
      <c r="AI23" s="122"/>
      <c r="AJ23" s="122"/>
      <c r="AK23" s="122"/>
      <c r="AL23" s="122"/>
      <c r="AM23" s="269"/>
      <c r="AN23" s="122"/>
      <c r="AO23" s="122"/>
      <c r="AP23" s="74"/>
      <c r="AQ23" s="122"/>
      <c r="AR23" s="122"/>
      <c r="AS23" s="122"/>
      <c r="AT23" s="122"/>
      <c r="AU23" s="122"/>
      <c r="AV23" s="170"/>
      <c r="AW23" s="170"/>
      <c r="AX23" s="170"/>
      <c r="AY23" s="170"/>
    </row>
    <row r="24" spans="1:51" ht="15" customHeight="1">
      <c r="A24" s="122"/>
      <c r="C24" s="180" t="s">
        <v>323</v>
      </c>
      <c r="D24" s="74"/>
      <c r="E24" s="74"/>
      <c r="F24" s="122"/>
      <c r="G24" s="87"/>
      <c r="H24" s="122"/>
      <c r="I24" s="122"/>
      <c r="J24" s="122"/>
      <c r="K24" s="122"/>
      <c r="L24" s="177"/>
      <c r="M24" s="122"/>
      <c r="N24" s="122"/>
      <c r="O24" s="122"/>
      <c r="P24" s="122"/>
      <c r="Q24" s="122"/>
      <c r="R24" s="122"/>
      <c r="AA24" s="178"/>
      <c r="AB24" s="122"/>
      <c r="AC24" s="170"/>
      <c r="AD24" s="122"/>
      <c r="AE24" s="122"/>
      <c r="AF24" s="122"/>
      <c r="AG24" s="122"/>
      <c r="AH24" s="122"/>
      <c r="AI24" s="122"/>
      <c r="AJ24" s="122"/>
      <c r="AK24" s="122"/>
      <c r="AL24" s="122"/>
      <c r="AM24" s="269"/>
      <c r="AN24" s="122"/>
      <c r="AO24" s="122"/>
      <c r="AP24" s="74"/>
      <c r="AQ24" s="122"/>
      <c r="AR24" s="122"/>
      <c r="AS24" s="122"/>
      <c r="AT24" s="122"/>
      <c r="AU24" s="122"/>
      <c r="AV24" s="170"/>
      <c r="AW24" s="170"/>
      <c r="AX24" s="170"/>
      <c r="AY24" s="170"/>
    </row>
    <row r="25" spans="1:51" ht="15" customHeight="1">
      <c r="A25" s="122"/>
      <c r="B25" s="180"/>
      <c r="D25" s="74"/>
      <c r="E25" s="122" t="s">
        <v>327</v>
      </c>
      <c r="G25" s="74" t="s">
        <v>324</v>
      </c>
      <c r="H25" s="87" t="s">
        <v>328</v>
      </c>
      <c r="I25" s="122"/>
      <c r="L25" s="122"/>
      <c r="M25" s="122"/>
      <c r="N25" s="122"/>
      <c r="O25" s="177"/>
      <c r="P25" s="122"/>
      <c r="Q25" s="122"/>
      <c r="R25" s="122"/>
      <c r="AA25" s="178"/>
      <c r="AB25" s="122"/>
      <c r="AC25" s="170"/>
      <c r="AD25" s="122"/>
      <c r="AE25" s="122"/>
      <c r="AF25" s="122"/>
      <c r="AG25" s="122"/>
      <c r="AH25" s="122"/>
      <c r="AI25" s="122"/>
      <c r="AJ25" s="122"/>
      <c r="AK25" s="122"/>
      <c r="AL25" s="122"/>
      <c r="AM25" s="269"/>
      <c r="AN25" s="122"/>
      <c r="AO25" s="122"/>
      <c r="AP25" s="74"/>
      <c r="AQ25" s="122"/>
      <c r="AR25" s="122"/>
      <c r="AS25" s="122"/>
      <c r="AT25" s="122"/>
      <c r="AU25" s="122"/>
      <c r="AV25" s="170"/>
      <c r="AW25" s="170"/>
      <c r="AX25" s="170"/>
      <c r="AY25" s="170"/>
    </row>
    <row r="26" spans="1:51" ht="15" customHeight="1">
      <c r="A26" s="122"/>
      <c r="B26" s="180"/>
      <c r="C26" s="182"/>
      <c r="D26" s="74"/>
      <c r="G26" s="74" t="s">
        <v>330</v>
      </c>
      <c r="H26" s="2040">
        <f>365*100*H27*H28</f>
        <v>54750000</v>
      </c>
      <c r="I26" s="2040"/>
      <c r="L26" s="704"/>
      <c r="M26" s="122"/>
      <c r="N26" s="122"/>
      <c r="O26" s="177"/>
      <c r="P26" s="122"/>
      <c r="Q26" s="122"/>
      <c r="R26" s="122"/>
      <c r="S26" s="122"/>
      <c r="T26" s="122"/>
      <c r="U26" s="122"/>
      <c r="V26" s="122"/>
      <c r="W26" s="122"/>
      <c r="X26" s="177"/>
      <c r="Y26" s="122"/>
      <c r="Z26" s="177"/>
      <c r="AA26" s="178"/>
      <c r="AB26" s="122"/>
      <c r="AC26" s="170"/>
      <c r="AD26" s="122"/>
      <c r="AE26" s="122"/>
      <c r="AF26" s="122"/>
      <c r="AG26" s="122"/>
      <c r="AH26" s="122"/>
      <c r="AI26" s="122"/>
      <c r="AJ26" s="122"/>
      <c r="AK26" s="122"/>
      <c r="AL26" s="122"/>
      <c r="AM26" s="269"/>
      <c r="AN26" s="122"/>
      <c r="AO26" s="122"/>
      <c r="AP26" s="74"/>
      <c r="AQ26" s="122"/>
      <c r="AR26" s="122"/>
      <c r="AS26" s="122"/>
      <c r="AT26" s="122"/>
      <c r="AU26" s="122"/>
      <c r="AV26" s="170"/>
      <c r="AW26" s="170"/>
      <c r="AX26" s="170"/>
      <c r="AY26" s="170"/>
    </row>
    <row r="27" spans="1:51" ht="15" customHeight="1">
      <c r="A27" s="122"/>
      <c r="B27" s="180"/>
      <c r="C27" s="182"/>
      <c r="D27" s="74"/>
      <c r="E27" s="87" t="s">
        <v>332</v>
      </c>
      <c r="F27" s="122"/>
      <c r="G27" s="74" t="s">
        <v>330</v>
      </c>
      <c r="H27" s="142">
        <v>1</v>
      </c>
      <c r="I27" s="122"/>
      <c r="L27" s="122"/>
      <c r="M27" s="122"/>
      <c r="N27" s="122"/>
      <c r="O27" s="122"/>
      <c r="R27" s="122"/>
      <c r="S27" s="122"/>
      <c r="T27" s="122"/>
      <c r="U27" s="122"/>
      <c r="V27" s="122"/>
      <c r="W27" s="122"/>
      <c r="X27" s="177"/>
      <c r="Y27" s="122"/>
      <c r="Z27" s="177"/>
      <c r="AA27" s="178"/>
      <c r="AB27" s="122"/>
      <c r="AC27" s="170"/>
      <c r="AD27" s="122"/>
      <c r="AE27" s="122"/>
      <c r="AF27" s="122"/>
      <c r="AG27" s="122"/>
      <c r="AH27" s="122"/>
      <c r="AI27" s="122"/>
      <c r="AJ27" s="122"/>
      <c r="AK27" s="122"/>
      <c r="AL27" s="122"/>
      <c r="AM27" s="269"/>
      <c r="AN27" s="122"/>
      <c r="AO27" s="122"/>
      <c r="AP27" s="74"/>
      <c r="AQ27" s="122"/>
      <c r="AR27" s="122"/>
      <c r="AS27" s="122"/>
      <c r="AT27" s="122"/>
      <c r="AU27" s="122"/>
      <c r="AV27" s="170"/>
      <c r="AW27" s="170"/>
      <c r="AX27" s="170"/>
      <c r="AY27" s="170"/>
    </row>
    <row r="28" spans="1:51" ht="15" customHeight="1">
      <c r="A28" s="122"/>
      <c r="B28" s="180"/>
      <c r="C28" s="182"/>
      <c r="D28" s="74"/>
      <c r="E28" s="87" t="s">
        <v>329</v>
      </c>
      <c r="F28" s="122"/>
      <c r="G28" s="74" t="s">
        <v>330</v>
      </c>
      <c r="H28" s="636">
        <v>1500</v>
      </c>
      <c r="I28" s="143" t="s">
        <v>331</v>
      </c>
      <c r="N28" s="122"/>
      <c r="O28" s="122"/>
      <c r="R28" s="122"/>
      <c r="S28" s="122"/>
      <c r="T28" s="122"/>
      <c r="U28" s="122"/>
      <c r="V28" s="122"/>
      <c r="W28" s="122"/>
      <c r="X28" s="177"/>
      <c r="Y28" s="122"/>
      <c r="Z28" s="177"/>
      <c r="AA28" s="178"/>
      <c r="AB28" s="122"/>
      <c r="AC28" s="170"/>
      <c r="AD28" s="122"/>
      <c r="AE28" s="122"/>
      <c r="AF28" s="122"/>
      <c r="AG28" s="122"/>
      <c r="AH28" s="122"/>
      <c r="AI28" s="122"/>
      <c r="AJ28" s="122"/>
      <c r="AK28" s="122"/>
      <c r="AL28" s="122"/>
      <c r="AM28" s="269"/>
      <c r="AN28" s="122"/>
      <c r="AO28" s="122"/>
      <c r="AP28" s="74"/>
      <c r="AQ28" s="122"/>
      <c r="AR28" s="122"/>
      <c r="AS28" s="122"/>
      <c r="AT28" s="122"/>
      <c r="AU28" s="122"/>
      <c r="AV28" s="170"/>
      <c r="AW28" s="170"/>
      <c r="AX28" s="170"/>
      <c r="AY28" s="170"/>
    </row>
    <row r="29" spans="1:51" ht="15" customHeight="1">
      <c r="A29" s="122"/>
      <c r="B29" s="336"/>
      <c r="C29" s="182"/>
      <c r="D29" s="74"/>
      <c r="E29" s="87" t="s">
        <v>1257</v>
      </c>
      <c r="F29" s="122"/>
      <c r="G29" s="74" t="s">
        <v>330</v>
      </c>
      <c r="H29" s="344" t="s">
        <v>1259</v>
      </c>
      <c r="I29" s="87"/>
      <c r="K29" s="335"/>
      <c r="L29" s="143"/>
      <c r="N29" s="122"/>
      <c r="O29" s="122"/>
      <c r="R29" s="122"/>
      <c r="S29" s="122"/>
      <c r="T29" s="122"/>
      <c r="U29" s="122"/>
      <c r="V29" s="122"/>
      <c r="W29" s="122"/>
      <c r="X29" s="337"/>
      <c r="Y29" s="122"/>
      <c r="Z29" s="337"/>
      <c r="AA29" s="178"/>
      <c r="AB29" s="122"/>
      <c r="AC29" s="170"/>
      <c r="AD29" s="122"/>
      <c r="AE29" s="122"/>
      <c r="AF29" s="122"/>
      <c r="AG29" s="122"/>
      <c r="AH29" s="122"/>
      <c r="AI29" s="122"/>
      <c r="AJ29" s="122"/>
      <c r="AK29" s="122"/>
      <c r="AL29" s="122"/>
      <c r="AM29" s="269"/>
      <c r="AN29" s="122"/>
      <c r="AO29" s="122"/>
      <c r="AP29" s="74"/>
      <c r="AQ29" s="122"/>
      <c r="AR29" s="122"/>
      <c r="AS29" s="122"/>
      <c r="AT29" s="122"/>
      <c r="AU29" s="122"/>
      <c r="AV29" s="170"/>
      <c r="AW29" s="170"/>
      <c r="AX29" s="170"/>
      <c r="AY29" s="170"/>
    </row>
    <row r="30" spans="1:51" ht="15" customHeight="1">
      <c r="A30" s="122"/>
      <c r="B30" s="336"/>
      <c r="C30" s="182"/>
      <c r="D30" s="74"/>
      <c r="E30" s="87" t="s">
        <v>1260</v>
      </c>
      <c r="F30" s="122"/>
      <c r="G30" s="74" t="s">
        <v>330</v>
      </c>
      <c r="H30" s="344" t="s">
        <v>1262</v>
      </c>
      <c r="I30" s="87"/>
      <c r="K30" s="335"/>
      <c r="L30" s="143"/>
      <c r="N30" s="122"/>
      <c r="O30" s="122"/>
      <c r="R30" s="122"/>
      <c r="S30" s="122"/>
      <c r="T30" s="122"/>
      <c r="U30" s="122"/>
      <c r="V30" s="122"/>
      <c r="W30" s="122"/>
      <c r="X30" s="337"/>
      <c r="Y30" s="122"/>
      <c r="Z30" s="337"/>
      <c r="AA30" s="178"/>
      <c r="AB30" s="122"/>
      <c r="AC30" s="170"/>
      <c r="AD30" s="122"/>
      <c r="AE30" s="122"/>
      <c r="AF30" s="122"/>
      <c r="AG30" s="122"/>
      <c r="AH30" s="122"/>
      <c r="AI30" s="122"/>
      <c r="AJ30" s="122"/>
      <c r="AK30" s="122"/>
      <c r="AL30" s="122"/>
      <c r="AM30" s="269"/>
      <c r="AN30" s="122"/>
      <c r="AO30" s="122"/>
      <c r="AP30" s="74"/>
      <c r="AQ30" s="122"/>
      <c r="AR30" s="122"/>
      <c r="AS30" s="122"/>
      <c r="AT30" s="122"/>
      <c r="AU30" s="122"/>
      <c r="AV30" s="170"/>
      <c r="AW30" s="170"/>
      <c r="AX30" s="170"/>
      <c r="AY30" s="170"/>
    </row>
    <row r="31" spans="1:51" ht="15" customHeight="1">
      <c r="A31" s="122"/>
      <c r="B31" s="336"/>
      <c r="C31" s="182"/>
      <c r="D31" s="74"/>
      <c r="E31" s="87" t="s">
        <v>1264</v>
      </c>
      <c r="F31" s="122"/>
      <c r="G31" s="74" t="s">
        <v>330</v>
      </c>
      <c r="H31" s="344" t="s">
        <v>1266</v>
      </c>
      <c r="I31" s="87"/>
      <c r="K31" s="335"/>
      <c r="L31" s="143"/>
      <c r="N31" s="122"/>
      <c r="O31" s="122"/>
      <c r="R31" s="122"/>
      <c r="S31" s="122"/>
      <c r="T31" s="122"/>
      <c r="U31" s="122"/>
      <c r="V31" s="122"/>
      <c r="W31" s="122"/>
      <c r="X31" s="337"/>
      <c r="Y31" s="122"/>
      <c r="Z31" s="337"/>
      <c r="AA31" s="178"/>
      <c r="AB31" s="122"/>
      <c r="AC31" s="170"/>
      <c r="AD31" s="122"/>
      <c r="AE31" s="122"/>
      <c r="AF31" s="122"/>
      <c r="AG31" s="122"/>
      <c r="AH31" s="122"/>
      <c r="AI31" s="122"/>
      <c r="AJ31" s="122"/>
      <c r="AK31" s="122"/>
      <c r="AL31" s="122"/>
      <c r="AM31" s="269"/>
      <c r="AN31" s="122"/>
      <c r="AO31" s="122"/>
      <c r="AP31" s="74"/>
      <c r="AQ31" s="122"/>
      <c r="AR31" s="122"/>
      <c r="AS31" s="122"/>
      <c r="AT31" s="122"/>
      <c r="AU31" s="122"/>
      <c r="AV31" s="170"/>
      <c r="AW31" s="170"/>
      <c r="AX31" s="170"/>
      <c r="AY31" s="170"/>
    </row>
    <row r="32" spans="1:51" ht="15" customHeight="1">
      <c r="A32" s="122"/>
      <c r="B32" s="336"/>
      <c r="C32" s="182"/>
      <c r="D32" s="74"/>
      <c r="E32" s="87" t="s">
        <v>1268</v>
      </c>
      <c r="F32" s="122"/>
      <c r="G32" s="74" t="s">
        <v>330</v>
      </c>
      <c r="H32" s="344" t="s">
        <v>1270</v>
      </c>
      <c r="I32" s="87"/>
      <c r="K32" s="335"/>
      <c r="L32" s="143"/>
      <c r="N32" s="122"/>
      <c r="O32" s="122"/>
      <c r="R32" s="122"/>
      <c r="S32" s="122"/>
      <c r="T32" s="122"/>
      <c r="U32" s="122"/>
      <c r="V32" s="122"/>
      <c r="W32" s="122"/>
      <c r="X32" s="337"/>
      <c r="Y32" s="122"/>
      <c r="Z32" s="337"/>
      <c r="AA32" s="178"/>
      <c r="AB32" s="122"/>
      <c r="AC32" s="170"/>
      <c r="AD32" s="122"/>
      <c r="AE32" s="122"/>
      <c r="AF32" s="122"/>
      <c r="AG32" s="122"/>
      <c r="AH32" s="122"/>
      <c r="AI32" s="122"/>
      <c r="AJ32" s="122"/>
      <c r="AK32" s="122"/>
      <c r="AL32" s="122"/>
      <c r="AM32" s="269"/>
      <c r="AN32" s="122"/>
      <c r="AO32" s="122"/>
      <c r="AP32" s="74"/>
      <c r="AQ32" s="122"/>
      <c r="AR32" s="122"/>
      <c r="AS32" s="122"/>
      <c r="AT32" s="122"/>
      <c r="AU32" s="122"/>
      <c r="AV32" s="170"/>
      <c r="AW32" s="170"/>
      <c r="AX32" s="170"/>
      <c r="AY32" s="170"/>
    </row>
    <row r="33" spans="1:51" ht="15" customHeight="1" thickBot="1">
      <c r="A33" s="122"/>
      <c r="B33" s="180"/>
      <c r="C33" s="182"/>
      <c r="D33" s="74"/>
      <c r="E33" s="74"/>
      <c r="F33" s="122"/>
      <c r="G33" s="87"/>
      <c r="H33" s="74"/>
      <c r="I33" s="122"/>
      <c r="J33" s="74"/>
      <c r="K33" s="87"/>
      <c r="L33" s="183"/>
      <c r="M33" s="184"/>
      <c r="P33" s="122"/>
      <c r="Q33" s="122"/>
      <c r="R33" s="122"/>
      <c r="S33" s="122"/>
      <c r="T33" s="122"/>
      <c r="U33" s="122"/>
      <c r="V33" s="122"/>
      <c r="W33" s="122"/>
      <c r="X33" s="177"/>
      <c r="Y33" s="122"/>
      <c r="Z33" s="177"/>
      <c r="AA33" s="178"/>
      <c r="AB33" s="122"/>
      <c r="AC33" s="170"/>
      <c r="AD33" s="122"/>
      <c r="AE33" s="122"/>
      <c r="AF33" s="122"/>
      <c r="AG33" s="122"/>
      <c r="AH33" s="122"/>
      <c r="AI33" s="122"/>
      <c r="AJ33" s="122"/>
      <c r="AK33" s="122"/>
      <c r="AL33" s="122"/>
      <c r="AM33" s="269"/>
      <c r="AN33" s="122"/>
      <c r="AO33" s="122"/>
      <c r="AP33" s="74"/>
      <c r="AQ33" s="122"/>
      <c r="AR33" s="122"/>
      <c r="AS33" s="122"/>
      <c r="AT33" s="122"/>
      <c r="AU33" s="122"/>
      <c r="AV33" s="170"/>
      <c r="AW33" s="170"/>
      <c r="AX33" s="170"/>
      <c r="AY33" s="170"/>
    </row>
    <row r="34" spans="1:51" ht="15" customHeight="1">
      <c r="A34" s="2077" t="s">
        <v>348</v>
      </c>
      <c r="B34" s="2071" t="s">
        <v>341</v>
      </c>
      <c r="C34" s="2072"/>
      <c r="D34" s="2072"/>
      <c r="E34" s="2073"/>
      <c r="F34" s="714" t="s">
        <v>342</v>
      </c>
      <c r="G34" s="715" t="s">
        <v>338</v>
      </c>
      <c r="H34" s="716"/>
      <c r="I34" s="715" t="s">
        <v>339</v>
      </c>
      <c r="J34" s="716"/>
      <c r="K34" s="714" t="s">
        <v>1785</v>
      </c>
      <c r="L34" s="714" t="s">
        <v>1784</v>
      </c>
      <c r="M34" s="717" t="s">
        <v>1781</v>
      </c>
      <c r="N34" s="122"/>
      <c r="O34" s="122"/>
      <c r="P34" s="122"/>
      <c r="V34" s="173"/>
      <c r="Z34" s="143"/>
      <c r="AB34" s="73"/>
      <c r="AC34" s="73"/>
      <c r="AT34" s="143"/>
      <c r="AU34" s="143"/>
    </row>
    <row r="35" spans="1:51" ht="15" customHeight="1">
      <c r="A35" s="2078"/>
      <c r="B35" s="2074"/>
      <c r="C35" s="2075"/>
      <c r="D35" s="2075"/>
      <c r="E35" s="2076"/>
      <c r="F35" s="712"/>
      <c r="G35" s="718"/>
      <c r="H35" s="719"/>
      <c r="I35" s="718"/>
      <c r="J35" s="719"/>
      <c r="K35" s="712"/>
      <c r="L35" s="712"/>
      <c r="M35" s="720"/>
      <c r="N35" s="122"/>
      <c r="O35" s="122"/>
      <c r="P35" s="122"/>
      <c r="V35" s="173"/>
      <c r="Z35" s="143"/>
      <c r="AB35" s="73"/>
      <c r="AC35" s="73"/>
      <c r="AT35" s="143"/>
      <c r="AU35" s="143"/>
    </row>
    <row r="36" spans="1:51" ht="15" customHeight="1">
      <c r="A36" s="2079">
        <v>1</v>
      </c>
      <c r="B36" s="2061" t="s">
        <v>346</v>
      </c>
      <c r="C36" s="2062"/>
      <c r="D36" s="2062"/>
      <c r="E36" s="711"/>
      <c r="F36" s="2028" t="s">
        <v>343</v>
      </c>
      <c r="G36" s="2032">
        <v>2550000</v>
      </c>
      <c r="H36" s="2033"/>
      <c r="I36" s="2054">
        <v>81470000</v>
      </c>
      <c r="J36" s="2055"/>
      <c r="K36" s="2058">
        <v>82.7</v>
      </c>
      <c r="L36" s="2058">
        <v>41.4</v>
      </c>
      <c r="M36" s="2049">
        <f>+IF($H$26&lt;=G36,(G36/$H$26)^(1/3)*K36,IF($H$26&lt;=I36,(G36/$H$26)^(1/5)*K36,L36))</f>
        <v>44.785427170200244</v>
      </c>
      <c r="N36" s="122"/>
      <c r="O36" s="122"/>
      <c r="P36" s="122"/>
      <c r="V36" s="173"/>
      <c r="Z36" s="143"/>
      <c r="AB36" s="73"/>
      <c r="AC36" s="73"/>
      <c r="AT36" s="143"/>
      <c r="AU36" s="143"/>
    </row>
    <row r="37" spans="1:51" ht="15" customHeight="1">
      <c r="A37" s="2080"/>
      <c r="B37" s="2063"/>
      <c r="C37" s="2064"/>
      <c r="D37" s="2064"/>
      <c r="E37" s="706"/>
      <c r="F37" s="2029"/>
      <c r="G37" s="2034"/>
      <c r="H37" s="2035"/>
      <c r="I37" s="2056"/>
      <c r="J37" s="2057"/>
      <c r="K37" s="2048"/>
      <c r="L37" s="2048"/>
      <c r="M37" s="2050"/>
      <c r="N37" s="122"/>
      <c r="O37" s="122"/>
      <c r="P37" s="122"/>
      <c r="V37" s="173"/>
      <c r="Z37" s="143"/>
      <c r="AB37" s="73"/>
      <c r="AC37" s="73"/>
      <c r="AT37" s="143"/>
      <c r="AU37" s="143"/>
    </row>
    <row r="38" spans="1:51" ht="15" customHeight="1">
      <c r="A38" s="2059">
        <v>2</v>
      </c>
      <c r="B38" s="2065" t="s">
        <v>349</v>
      </c>
      <c r="C38" s="2066"/>
      <c r="D38" s="2066"/>
      <c r="E38" s="705"/>
      <c r="F38" s="2030" t="str">
        <f>+IF(E39&gt;=600,"B",IF(E39&gt;=150,"C",IF(E39&gt;=50,"D","E")))</f>
        <v>C</v>
      </c>
      <c r="G38" s="2036">
        <f>+IF(E39&gt;=600,2950000,IF(E39&gt;=150,4380000,IF(E39&gt;=50,6400000,12120000)))</f>
        <v>4380000</v>
      </c>
      <c r="H38" s="2037"/>
      <c r="I38" s="2036">
        <f>+IF(E39&gt;=600,94490000,IF(E39&gt;=150,140270000,IF(E39&gt;=50,204760000,387770000)))</f>
        <v>140270000</v>
      </c>
      <c r="J38" s="2037"/>
      <c r="K38" s="2047">
        <f>+IF(E39&gt;=600,110,IF(E39&gt;=150,69,IF(E39&gt;=50,48.3,31)))</f>
        <v>69</v>
      </c>
      <c r="L38" s="2047">
        <f>+IF(E39&gt;=600,55,IF(E39&gt;=150,34.5,IF(E39&gt;=50,24.2,15.5)))</f>
        <v>34.5</v>
      </c>
      <c r="M38" s="2051">
        <f>+IF($H$26&lt;=G38,(G38/$H$26)^(1/3)*K38,IF($H$26&lt;=I38,(G38/$H$26)^(1/5)*K38,L38))</f>
        <v>41.635816722161621</v>
      </c>
      <c r="N38" s="122"/>
      <c r="O38" s="122"/>
      <c r="P38" s="122"/>
      <c r="V38" s="173"/>
      <c r="Z38" s="143"/>
      <c r="AB38" s="73"/>
      <c r="AC38" s="73"/>
      <c r="AT38" s="143"/>
      <c r="AU38" s="143"/>
    </row>
    <row r="39" spans="1:51" ht="15" customHeight="1">
      <c r="A39" s="2080"/>
      <c r="B39" s="2063"/>
      <c r="C39" s="2064"/>
      <c r="D39" s="2064"/>
      <c r="E39" s="634">
        <v>150</v>
      </c>
      <c r="F39" s="2029"/>
      <c r="G39" s="2034"/>
      <c r="H39" s="2035"/>
      <c r="I39" s="2034"/>
      <c r="J39" s="2035"/>
      <c r="K39" s="2048"/>
      <c r="L39" s="2048"/>
      <c r="M39" s="2050"/>
      <c r="N39" s="122"/>
      <c r="O39" s="122"/>
      <c r="P39" s="122"/>
      <c r="V39" s="173"/>
      <c r="Z39" s="143"/>
      <c r="AB39" s="73"/>
      <c r="AC39" s="73"/>
      <c r="AT39" s="143"/>
      <c r="AU39" s="143"/>
    </row>
    <row r="40" spans="1:51" ht="15" customHeight="1">
      <c r="A40" s="2059">
        <v>3</v>
      </c>
      <c r="B40" s="2067" t="s">
        <v>356</v>
      </c>
      <c r="C40" s="2068"/>
      <c r="D40" s="2068"/>
      <c r="E40" s="186"/>
      <c r="F40" s="2030" t="s">
        <v>345</v>
      </c>
      <c r="G40" s="2036">
        <v>4380000</v>
      </c>
      <c r="H40" s="2037"/>
      <c r="I40" s="2036">
        <v>140270000</v>
      </c>
      <c r="J40" s="2037"/>
      <c r="K40" s="2047">
        <v>69</v>
      </c>
      <c r="L40" s="2047">
        <v>34.5</v>
      </c>
      <c r="M40" s="2051">
        <f>+IF($H$26&lt;=G40,(G40/$H$26)^(1/3)*K40,IF($H$26&lt;=I40,(G40/$H$26)^(1/5)*K40,L40))</f>
        <v>41.635816722161621</v>
      </c>
      <c r="N40" s="122"/>
      <c r="O40" s="122"/>
      <c r="P40" s="122"/>
      <c r="R40" s="135"/>
      <c r="S40" s="135"/>
      <c r="V40" s="173"/>
      <c r="Z40" s="143"/>
      <c r="AB40" s="73"/>
      <c r="AC40" s="73"/>
      <c r="AT40" s="143"/>
      <c r="AU40" s="143"/>
    </row>
    <row r="41" spans="1:51" ht="15" customHeight="1" thickBot="1">
      <c r="A41" s="2060"/>
      <c r="B41" s="2069"/>
      <c r="C41" s="2070"/>
      <c r="D41" s="2070"/>
      <c r="E41" s="713"/>
      <c r="F41" s="2031"/>
      <c r="G41" s="2038"/>
      <c r="H41" s="2039"/>
      <c r="I41" s="2038"/>
      <c r="J41" s="2039"/>
      <c r="K41" s="2053"/>
      <c r="L41" s="2053"/>
      <c r="M41" s="2052"/>
      <c r="N41" s="122"/>
      <c r="O41" s="122"/>
      <c r="P41" s="122"/>
      <c r="R41" s="135"/>
      <c r="S41" s="135"/>
      <c r="V41" s="173"/>
      <c r="Z41" s="143"/>
      <c r="AB41" s="73"/>
      <c r="AC41" s="73"/>
      <c r="AT41" s="143"/>
      <c r="AU41" s="143"/>
    </row>
    <row r="42" spans="1:51" ht="15" hidden="1" customHeight="1">
      <c r="A42" s="2011">
        <v>4</v>
      </c>
      <c r="B42" s="2012"/>
      <c r="C42" s="2015" t="s">
        <v>361</v>
      </c>
      <c r="D42" s="2016"/>
      <c r="E42" s="2016"/>
      <c r="F42" s="2016"/>
      <c r="G42" s="2016"/>
      <c r="H42" s="2016"/>
      <c r="I42" s="2016"/>
      <c r="J42" s="2017"/>
      <c r="K42" s="2021" t="s">
        <v>362</v>
      </c>
      <c r="L42" s="2017"/>
      <c r="M42" s="2022">
        <v>12120000</v>
      </c>
      <c r="N42" s="2023"/>
      <c r="O42" s="2024"/>
      <c r="P42" s="122"/>
      <c r="Q42" s="122"/>
      <c r="R42" s="122"/>
      <c r="T42" s="707"/>
      <c r="U42" s="708"/>
      <c r="V42" s="2041">
        <v>15.5</v>
      </c>
      <c r="W42" s="2042"/>
      <c r="X42" s="2043"/>
      <c r="Y42" s="2005">
        <f>+IF($H$26&lt;=M42,(M42/$H$26)^(1/3)*S42,IF($H$26&lt;=P42,(M42/$H$26)^(1/5)*S42,V42))</f>
        <v>15.5</v>
      </c>
      <c r="Z42" s="2006"/>
      <c r="AA42" s="2007"/>
    </row>
    <row r="43" spans="1:51" ht="15" hidden="1" customHeight="1">
      <c r="A43" s="2013"/>
      <c r="B43" s="2014"/>
      <c r="C43" s="2018"/>
      <c r="D43" s="2019"/>
      <c r="E43" s="2019"/>
      <c r="F43" s="2019"/>
      <c r="G43" s="2019"/>
      <c r="H43" s="2019"/>
      <c r="I43" s="2019"/>
      <c r="J43" s="2020"/>
      <c r="K43" s="2018"/>
      <c r="L43" s="2020"/>
      <c r="M43" s="2025"/>
      <c r="N43" s="2026"/>
      <c r="O43" s="2027"/>
      <c r="P43" s="122"/>
      <c r="Q43" s="122"/>
      <c r="R43" s="122"/>
      <c r="T43" s="709"/>
      <c r="U43" s="710"/>
      <c r="V43" s="2044"/>
      <c r="W43" s="2045"/>
      <c r="X43" s="2046"/>
      <c r="Y43" s="2008"/>
      <c r="Z43" s="2009"/>
      <c r="AA43" s="2010"/>
    </row>
    <row r="44" spans="1:51" ht="15" customHeight="1">
      <c r="A44" s="122"/>
      <c r="B44" s="180"/>
      <c r="C44" s="182"/>
      <c r="D44" s="74"/>
      <c r="E44" s="74"/>
      <c r="F44" s="122"/>
      <c r="G44" s="87"/>
      <c r="H44" s="74"/>
      <c r="I44" s="122"/>
      <c r="J44" s="74"/>
      <c r="K44" s="87"/>
      <c r="L44" s="183"/>
      <c r="M44" s="184"/>
      <c r="P44" s="122"/>
      <c r="Q44" s="122"/>
      <c r="R44" s="122"/>
      <c r="T44" s="122"/>
      <c r="U44" s="122"/>
      <c r="V44" s="122"/>
      <c r="W44" s="122"/>
      <c r="X44" s="177"/>
      <c r="Y44" s="122"/>
      <c r="Z44" s="177"/>
      <c r="AA44" s="178"/>
      <c r="AB44" s="122"/>
      <c r="AC44" s="170"/>
      <c r="AD44" s="122"/>
      <c r="AE44" s="122"/>
      <c r="AF44" s="122"/>
      <c r="AG44" s="122"/>
      <c r="AH44" s="122"/>
      <c r="AI44" s="122"/>
      <c r="AJ44" s="122"/>
      <c r="AK44" s="122"/>
      <c r="AL44" s="122"/>
      <c r="AM44" s="269"/>
      <c r="AN44" s="122"/>
      <c r="AO44" s="122"/>
      <c r="AP44" s="74"/>
      <c r="AQ44" s="122"/>
      <c r="AR44" s="122"/>
      <c r="AS44" s="122"/>
      <c r="AT44" s="122"/>
      <c r="AU44" s="122"/>
      <c r="AV44" s="170"/>
      <c r="AW44" s="170"/>
      <c r="AX44" s="170"/>
      <c r="AY44" s="170"/>
    </row>
    <row r="45" spans="1:51" ht="15" customHeight="1">
      <c r="A45" s="87" t="s">
        <v>879</v>
      </c>
      <c r="D45" s="74"/>
      <c r="E45" s="74"/>
      <c r="F45" s="122"/>
      <c r="G45" s="87"/>
      <c r="H45" s="74"/>
      <c r="I45" s="122"/>
      <c r="J45" s="74"/>
      <c r="K45" s="87"/>
      <c r="L45" s="183"/>
      <c r="M45" s="184"/>
      <c r="P45" s="122"/>
      <c r="Q45" s="122"/>
      <c r="R45" s="122"/>
      <c r="S45" s="122"/>
      <c r="T45" s="122"/>
      <c r="U45" s="122"/>
      <c r="V45" s="122"/>
      <c r="W45" s="122"/>
      <c r="X45" s="341"/>
      <c r="Y45" s="122"/>
      <c r="Z45" s="341"/>
      <c r="AA45" s="178"/>
      <c r="AB45" s="122"/>
      <c r="AC45" s="170"/>
      <c r="AD45" s="122"/>
      <c r="AE45" s="122"/>
      <c r="AF45" s="122"/>
      <c r="AG45" s="122"/>
      <c r="AH45" s="122"/>
      <c r="AI45" s="122"/>
      <c r="AJ45" s="122"/>
      <c r="AK45" s="122"/>
      <c r="AL45" s="122"/>
      <c r="AM45" s="269"/>
      <c r="AN45" s="122"/>
      <c r="AO45" s="122"/>
      <c r="AP45" s="74"/>
      <c r="AQ45" s="122"/>
      <c r="AR45" s="122"/>
      <c r="AS45" s="122"/>
      <c r="AT45" s="122"/>
      <c r="AU45" s="122"/>
      <c r="AV45" s="170"/>
      <c r="AW45" s="170"/>
      <c r="AX45" s="170"/>
      <c r="AY45" s="170"/>
    </row>
    <row r="46" spans="1:51" ht="15" customHeight="1">
      <c r="A46" s="87" t="s">
        <v>878</v>
      </c>
      <c r="D46" s="74"/>
      <c r="E46" s="74"/>
      <c r="F46" s="122"/>
      <c r="G46" s="87"/>
      <c r="H46" s="74"/>
      <c r="I46" s="122"/>
      <c r="J46" s="74"/>
      <c r="K46" s="87"/>
      <c r="L46" s="183"/>
      <c r="M46" s="184"/>
      <c r="P46" s="122"/>
      <c r="Q46" s="122"/>
      <c r="R46" s="122"/>
      <c r="S46" s="122"/>
      <c r="T46" s="122"/>
      <c r="U46" s="122"/>
      <c r="V46" s="122"/>
      <c r="W46" s="122"/>
      <c r="X46" s="341"/>
      <c r="Y46" s="122"/>
      <c r="Z46" s="341"/>
      <c r="AA46" s="178"/>
      <c r="AB46" s="122"/>
      <c r="AC46" s="170"/>
      <c r="AD46" s="122"/>
      <c r="AE46" s="122"/>
      <c r="AF46" s="122"/>
      <c r="AG46" s="122"/>
      <c r="AH46" s="122"/>
      <c r="AI46" s="122"/>
      <c r="AJ46" s="122"/>
      <c r="AK46" s="122"/>
      <c r="AL46" s="122"/>
      <c r="AM46" s="269"/>
      <c r="AN46" s="122"/>
      <c r="AO46" s="122"/>
      <c r="AP46" s="74"/>
      <c r="AQ46" s="122"/>
      <c r="AR46" s="122"/>
      <c r="AS46" s="122"/>
      <c r="AT46" s="122"/>
      <c r="AU46" s="122"/>
      <c r="AV46" s="170"/>
      <c r="AW46" s="170"/>
      <c r="AX46" s="170"/>
      <c r="AY46" s="170"/>
    </row>
    <row r="47" spans="1:51" ht="15" customHeight="1">
      <c r="A47" s="342" t="s">
        <v>880</v>
      </c>
      <c r="C47" s="87"/>
      <c r="D47" s="74"/>
      <c r="E47" s="74"/>
      <c r="F47" s="122"/>
      <c r="G47" s="87"/>
      <c r="H47" s="74"/>
      <c r="I47" s="122"/>
      <c r="J47" s="74"/>
      <c r="K47" s="87"/>
      <c r="L47" s="183"/>
      <c r="M47" s="184"/>
      <c r="P47" s="122"/>
      <c r="Q47" s="122"/>
      <c r="R47" s="122"/>
      <c r="S47" s="122"/>
      <c r="T47" s="122"/>
      <c r="U47" s="122"/>
      <c r="V47" s="122"/>
      <c r="W47" s="122"/>
      <c r="X47" s="341"/>
      <c r="Y47" s="122"/>
      <c r="Z47" s="341"/>
      <c r="AA47" s="178"/>
      <c r="AB47" s="122"/>
      <c r="AC47" s="170"/>
      <c r="AD47" s="122"/>
      <c r="AE47" s="122"/>
      <c r="AF47" s="122"/>
      <c r="AG47" s="122"/>
      <c r="AH47" s="122"/>
      <c r="AI47" s="122"/>
      <c r="AJ47" s="122"/>
      <c r="AK47" s="122"/>
      <c r="AL47" s="122"/>
      <c r="AM47" s="269"/>
      <c r="AN47" s="122"/>
      <c r="AO47" s="122"/>
      <c r="AP47" s="74"/>
      <c r="AQ47" s="122"/>
      <c r="AR47" s="122"/>
      <c r="AS47" s="122"/>
      <c r="AT47" s="122"/>
      <c r="AU47" s="122"/>
      <c r="AV47" s="170"/>
      <c r="AW47" s="170"/>
      <c r="AX47" s="170"/>
      <c r="AY47" s="170"/>
    </row>
    <row r="48" spans="1:51" ht="15" customHeight="1">
      <c r="A48" s="122"/>
      <c r="B48" s="342"/>
      <c r="C48" s="87"/>
      <c r="D48" s="74"/>
      <c r="E48" s="74"/>
      <c r="F48" s="122"/>
      <c r="G48" s="87"/>
      <c r="H48" s="74"/>
      <c r="I48" s="122"/>
      <c r="J48" s="74"/>
      <c r="K48" s="87"/>
      <c r="L48" s="183"/>
      <c r="M48" s="184"/>
      <c r="P48" s="122"/>
      <c r="Q48" s="122"/>
      <c r="R48" s="122"/>
      <c r="S48" s="122"/>
      <c r="T48" s="122"/>
      <c r="U48" s="122"/>
      <c r="V48" s="122"/>
      <c r="W48" s="122"/>
      <c r="X48" s="341"/>
      <c r="Y48" s="122"/>
      <c r="Z48" s="341"/>
      <c r="AA48" s="178"/>
      <c r="AB48" s="122"/>
      <c r="AC48" s="170"/>
      <c r="AD48" s="122"/>
      <c r="AE48" s="122"/>
      <c r="AF48" s="122"/>
      <c r="AG48" s="122"/>
      <c r="AH48" s="122"/>
      <c r="AI48" s="122"/>
      <c r="AJ48" s="122"/>
      <c r="AK48" s="122"/>
      <c r="AL48" s="122"/>
      <c r="AM48" s="269"/>
      <c r="AN48" s="122"/>
      <c r="AO48" s="122"/>
      <c r="AP48" s="74"/>
      <c r="AQ48" s="122"/>
      <c r="AR48" s="122"/>
      <c r="AS48" s="122"/>
      <c r="AT48" s="122"/>
      <c r="AU48" s="122"/>
      <c r="AV48" s="170"/>
      <c r="AW48" s="170"/>
      <c r="AX48" s="170"/>
      <c r="AY48" s="170"/>
    </row>
    <row r="49" spans="1:47" ht="15" customHeight="1" thickBot="1">
      <c r="A49" s="471" t="s">
        <v>1645</v>
      </c>
      <c r="B49" s="181"/>
      <c r="C49" s="170"/>
      <c r="D49" s="170"/>
      <c r="E49" s="170"/>
      <c r="F49" s="170"/>
      <c r="G49" s="170"/>
      <c r="H49" s="170"/>
      <c r="I49" s="170"/>
      <c r="J49" s="170"/>
      <c r="K49" s="170"/>
      <c r="L49" s="174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4"/>
      <c r="Y49" s="170"/>
      <c r="Z49" s="174"/>
      <c r="AA49" s="170"/>
      <c r="AM49" s="505"/>
      <c r="AP49" s="76"/>
    </row>
    <row r="50" spans="1:47" ht="15" customHeight="1">
      <c r="A50" s="476" t="s">
        <v>340</v>
      </c>
      <c r="B50" s="536" t="s">
        <v>816</v>
      </c>
      <c r="C50" s="672"/>
      <c r="D50" s="670" t="s">
        <v>877</v>
      </c>
      <c r="E50" s="671"/>
      <c r="F50" s="670" t="s">
        <v>874</v>
      </c>
      <c r="G50" s="671"/>
      <c r="H50" s="670" t="s">
        <v>432</v>
      </c>
      <c r="I50" s="671"/>
      <c r="J50" s="671"/>
      <c r="K50" s="671"/>
      <c r="L50" s="671"/>
      <c r="M50" s="695"/>
      <c r="N50" s="853" t="s">
        <v>350</v>
      </c>
      <c r="T50" s="73"/>
      <c r="U50" s="73"/>
      <c r="V50" s="73"/>
      <c r="W50" s="73"/>
      <c r="X50" s="73"/>
      <c r="Y50" s="73"/>
      <c r="Z50" s="73"/>
      <c r="AA50" s="73"/>
      <c r="AB50" s="73"/>
      <c r="AC50" s="7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</row>
    <row r="51" spans="1:47" ht="15" customHeight="1">
      <c r="A51" s="479"/>
      <c r="B51" s="262" t="s">
        <v>694</v>
      </c>
      <c r="C51" s="162"/>
      <c r="D51" s="262" t="s">
        <v>875</v>
      </c>
      <c r="E51" s="489" t="s">
        <v>876</v>
      </c>
      <c r="F51" s="262" t="s">
        <v>875</v>
      </c>
      <c r="G51" s="489" t="s">
        <v>876</v>
      </c>
      <c r="H51" s="532" t="s">
        <v>881</v>
      </c>
      <c r="I51" s="682"/>
      <c r="J51" s="532" t="s">
        <v>883</v>
      </c>
      <c r="K51" s="682"/>
      <c r="L51" s="532" t="s">
        <v>884</v>
      </c>
      <c r="M51" s="722"/>
      <c r="N51" s="854" t="s">
        <v>882</v>
      </c>
      <c r="T51" s="73"/>
      <c r="U51" s="73"/>
      <c r="V51" s="73"/>
      <c r="W51" s="73"/>
      <c r="X51" s="73"/>
      <c r="Y51" s="73"/>
      <c r="Z51" s="73"/>
      <c r="AA51" s="73"/>
      <c r="AB51" s="73"/>
      <c r="AC51" s="7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</row>
    <row r="52" spans="1:47" ht="15" customHeight="1">
      <c r="A52" s="482" t="str">
        <f>input!B3</f>
        <v>101i</v>
      </c>
      <c r="B52" s="538" t="str">
        <f>Stress!C832</f>
        <v>Negative</v>
      </c>
      <c r="C52" s="674"/>
      <c r="D52" s="527">
        <f>IF(B52="Positive",Stress!B567+Stress!D567+Stress!F567+Stress!H567,Stress!B567+Stress!D567+Stress!D697+Stress!F697)</f>
        <v>3.4761751346613288E-4</v>
      </c>
      <c r="E52" s="694">
        <f>IF(B52="Positive",Stress!C567+Stress!E567+Stress!G567+Stress!I567,Stress!C567+Stress!E567+Stress!E697+Stress!G697)</f>
        <v>-3.1066764924466252E-4</v>
      </c>
      <c r="F52" s="527">
        <f>ABS(Stress!N832-Stress!L832)</f>
        <v>1.8810237271067151E-4</v>
      </c>
      <c r="G52" s="694">
        <f>ABS(Stress!O832-Stress!M832)</f>
        <v>2.1375400821127121E-4</v>
      </c>
      <c r="H52" s="723" t="str">
        <f>IF(MAX(F52,G52)&lt;=$M$36,"OK","NG")</f>
        <v>OK</v>
      </c>
      <c r="I52" s="724"/>
      <c r="J52" s="723" t="str">
        <f>IF(ISTEXT(N52),IF(AND(D52&lt;0,ABS(D52)&gt;=2*F52),"검토 필요없음",IF(F52&lt;=$M$38,"OK","NG")),"-")</f>
        <v>-</v>
      </c>
      <c r="K52" s="724"/>
      <c r="L52" s="723" t="str">
        <f t="shared" ref="L52:L83" si="0">IF(AND(D52&lt;0,ABS(D52)&gt;=2*F52),"검토 필요없음",IF(F52&lt;=$M$40,"OK","NG"))</f>
        <v>OK</v>
      </c>
      <c r="M52" s="725"/>
      <c r="N52" s="855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</row>
    <row r="53" spans="1:47" ht="15" customHeight="1">
      <c r="A53" s="482" t="str">
        <f>input!B4</f>
        <v>101j</v>
      </c>
      <c r="B53" s="538" t="str">
        <f>Stress!C833</f>
        <v>Negative</v>
      </c>
      <c r="C53" s="674"/>
      <c r="D53" s="527">
        <f>IF(B53="Positive",Stress!B568+Stress!D568+Stress!F568+Stress!H568,Stress!B568+Stress!D568+Stress!D698+Stress!F698)</f>
        <v>0.1368670659650667</v>
      </c>
      <c r="E53" s="694">
        <f>IF(B53="Positive",Stress!C568+Stress!E568+Stress!G568+Stress!I568,Stress!C568+Stress!E568+Stress!E698+Stress!G698)</f>
        <v>-0.12332523521999508</v>
      </c>
      <c r="F53" s="527">
        <f>ABS(Stress!N833-Stress!L833)</f>
        <v>0.6561637768057258</v>
      </c>
      <c r="G53" s="694">
        <f>ABS(Stress!O833-Stress!M833)</f>
        <v>0.74564523197698451</v>
      </c>
      <c r="H53" s="688" t="str">
        <f t="shared" ref="H53:H83" si="1">IF(MAX(F53,G53)&lt;=$M$36,"OK","NG")</f>
        <v>OK</v>
      </c>
      <c r="I53" s="721"/>
      <c r="J53" s="688" t="str">
        <f t="shared" ref="J53:J83" si="2">IF(ISTEXT(N53),IF(AND(D53&lt;0,ABS(D53)&gt;=2*F53),"검토 필요없음",IF(F53&lt;=$M$38,"OK","NG")),"-")</f>
        <v>OK</v>
      </c>
      <c r="K53" s="721"/>
      <c r="L53" s="688" t="str">
        <f t="shared" si="0"/>
        <v>OK</v>
      </c>
      <c r="M53" s="689"/>
      <c r="N53" s="855" t="s">
        <v>885</v>
      </c>
      <c r="T53" s="73"/>
      <c r="U53" s="73"/>
      <c r="V53" s="73"/>
      <c r="W53" s="73"/>
      <c r="X53" s="73"/>
      <c r="Y53" s="73"/>
      <c r="Z53" s="73"/>
      <c r="AA53" s="73"/>
      <c r="AB53" s="73"/>
      <c r="AC53" s="73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</row>
    <row r="54" spans="1:47" ht="15" customHeight="1">
      <c r="A54" s="482" t="str">
        <f>input!B5</f>
        <v>102i</v>
      </c>
      <c r="B54" s="538" t="str">
        <f>Stress!C834</f>
        <v>Negative</v>
      </c>
      <c r="C54" s="674"/>
      <c r="D54" s="527">
        <f>IF(B54="Positive",Stress!B569+Stress!D569+Stress!F569+Stress!H569,Stress!B569+Stress!D569+Stress!D699+Stress!F699)</f>
        <v>0.13722780296131101</v>
      </c>
      <c r="E54" s="694">
        <f>IF(B54="Positive",Stress!C569+Stress!E569+Stress!G569+Stress!I569,Stress!C569+Stress!E569+Stress!E699+Stress!G699)</f>
        <v>-0.12363937864844025</v>
      </c>
      <c r="F54" s="527">
        <f>ABS(Stress!N834-Stress!L834)</f>
        <v>0.65616377680572568</v>
      </c>
      <c r="G54" s="694">
        <f>ABS(Stress!O834-Stress!M834)</f>
        <v>0.74564523197698451</v>
      </c>
      <c r="H54" s="688" t="str">
        <f t="shared" si="1"/>
        <v>OK</v>
      </c>
      <c r="I54" s="721"/>
      <c r="J54" s="688" t="str">
        <f t="shared" si="2"/>
        <v>OK</v>
      </c>
      <c r="K54" s="721"/>
      <c r="L54" s="688" t="str">
        <f t="shared" si="0"/>
        <v>OK</v>
      </c>
      <c r="M54" s="689"/>
      <c r="N54" s="855" t="s">
        <v>885</v>
      </c>
      <c r="T54" s="73"/>
      <c r="U54" s="73"/>
      <c r="V54" s="73"/>
      <c r="W54" s="73"/>
      <c r="X54" s="73"/>
      <c r="Y54" s="73"/>
      <c r="Z54" s="73"/>
      <c r="AA54" s="73"/>
      <c r="AB54" s="73"/>
      <c r="AC54" s="7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</row>
    <row r="55" spans="1:47" ht="15" customHeight="1">
      <c r="A55" s="482" t="str">
        <f>input!B6</f>
        <v>102j</v>
      </c>
      <c r="B55" s="538" t="str">
        <f>Stress!C835</f>
        <v>Positive</v>
      </c>
      <c r="C55" s="674"/>
      <c r="D55" s="527">
        <f>IF(B55="Positive",Stress!B570+Stress!D570+Stress!F570+Stress!H570,Stress!B570+Stress!D570+Stress!D700+Stress!F700)</f>
        <v>-64.20598563890708</v>
      </c>
      <c r="E55" s="694">
        <f>IF(B55="Positive",Stress!C570+Stress!E570+Stress!G570+Stress!I570,Stress!C570+Stress!E570+Stress!E700+Stress!G700)</f>
        <v>61.777863817179544</v>
      </c>
      <c r="F55" s="527">
        <f>ABS(Stress!N835-Stress!L835)</f>
        <v>0.93787077773253902</v>
      </c>
      <c r="G55" s="694">
        <f>ABS(Stress!O835-Stress!M835)</f>
        <v>6.0246490461918345</v>
      </c>
      <c r="H55" s="688" t="str">
        <f t="shared" si="1"/>
        <v>OK</v>
      </c>
      <c r="I55" s="721"/>
      <c r="J55" s="688" t="str">
        <f t="shared" si="2"/>
        <v>-</v>
      </c>
      <c r="K55" s="721"/>
      <c r="L55" s="688" t="str">
        <f t="shared" si="0"/>
        <v>검토 필요없음</v>
      </c>
      <c r="M55" s="689"/>
      <c r="N55" s="855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</row>
    <row r="56" spans="1:47" ht="15" customHeight="1">
      <c r="A56" s="482" t="str">
        <f>input!B7</f>
        <v>103i</v>
      </c>
      <c r="B56" s="538" t="str">
        <f>Stress!C836</f>
        <v>Positive</v>
      </c>
      <c r="C56" s="674"/>
      <c r="D56" s="527">
        <f>IF(B56="Positive",Stress!B571+Stress!D571+Stress!F571+Stress!H571,Stress!B571+Stress!D571+Stress!D701+Stress!F701)</f>
        <v>-47.087626582697922</v>
      </c>
      <c r="E56" s="694">
        <f>IF(B56="Positive",Stress!C571+Stress!E571+Stress!G571+Stress!I571,Stress!C571+Stress!E571+Stress!E701+Stress!G701)</f>
        <v>43.672324203301777</v>
      </c>
      <c r="F56" s="527">
        <f>ABS(Stress!N836-Stress!L836)</f>
        <v>0.88506940310443849</v>
      </c>
      <c r="G56" s="694">
        <f>ABS(Stress!O836-Stress!M836)</f>
        <v>4.4564221193714344</v>
      </c>
      <c r="H56" s="688" t="str">
        <f t="shared" si="1"/>
        <v>OK</v>
      </c>
      <c r="I56" s="721"/>
      <c r="J56" s="688" t="str">
        <f t="shared" si="2"/>
        <v>-</v>
      </c>
      <c r="K56" s="721"/>
      <c r="L56" s="688" t="str">
        <f t="shared" si="0"/>
        <v>검토 필요없음</v>
      </c>
      <c r="M56" s="689"/>
      <c r="N56" s="855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</row>
    <row r="57" spans="1:47" ht="15" customHeight="1">
      <c r="A57" s="482" t="str">
        <f>input!B8</f>
        <v>103j</v>
      </c>
      <c r="B57" s="538" t="str">
        <f>Stress!C837</f>
        <v>Positive</v>
      </c>
      <c r="C57" s="674"/>
      <c r="D57" s="527">
        <f>IF(B57="Positive",Stress!B572+Stress!D572+Stress!F572+Stress!H572,Stress!B572+Stress!D572+Stress!D702+Stress!F702)</f>
        <v>-106.79678128160729</v>
      </c>
      <c r="E57" s="694">
        <f>IF(B57="Positive",Stress!C572+Stress!E572+Stress!G572+Stress!I572,Stress!C572+Stress!E572+Stress!E702+Stress!G702)</f>
        <v>99.103328190620573</v>
      </c>
      <c r="F57" s="527">
        <f>ABS(Stress!N837-Stress!L837)</f>
        <v>1.6919993114235559</v>
      </c>
      <c r="G57" s="694">
        <f>ABS(Stress!O837-Stress!M837)</f>
        <v>8.5194032591582154</v>
      </c>
      <c r="H57" s="688" t="str">
        <f t="shared" si="1"/>
        <v>OK</v>
      </c>
      <c r="I57" s="721"/>
      <c r="J57" s="688" t="str">
        <f t="shared" si="2"/>
        <v>검토 필요없음</v>
      </c>
      <c r="K57" s="721"/>
      <c r="L57" s="688" t="str">
        <f t="shared" si="0"/>
        <v>검토 필요없음</v>
      </c>
      <c r="M57" s="689"/>
      <c r="N57" s="855" t="s">
        <v>885</v>
      </c>
      <c r="T57" s="73"/>
      <c r="U57" s="73"/>
      <c r="V57" s="73"/>
      <c r="W57" s="73"/>
      <c r="X57" s="73"/>
      <c r="Y57" s="73"/>
      <c r="Z57" s="73"/>
      <c r="AA57" s="73"/>
      <c r="AB57" s="73"/>
      <c r="AC57" s="7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</row>
    <row r="58" spans="1:47" ht="15" customHeight="1">
      <c r="A58" s="482" t="str">
        <f>input!B9</f>
        <v>104i</v>
      </c>
      <c r="B58" s="538" t="str">
        <f>Stress!C838</f>
        <v>Positive</v>
      </c>
      <c r="C58" s="674"/>
      <c r="D58" s="527">
        <f>IF(B58="Positive",Stress!B573+Stress!D573+Stress!F573+Stress!H573,Stress!B573+Stress!D573+Stress!D703+Stress!F703)</f>
        <v>-106.79647158263059</v>
      </c>
      <c r="E58" s="694">
        <f>IF(B58="Positive",Stress!C573+Stress!E573+Stress!G573+Stress!I573,Stress!C573+Stress!E573+Stress!E703+Stress!G703)</f>
        <v>99.102989199216594</v>
      </c>
      <c r="F58" s="527">
        <f>ABS(Stress!N838-Stress!L838)</f>
        <v>1.6919909255580499</v>
      </c>
      <c r="G58" s="694">
        <f>ABS(Stress!O838-Stress!M838)</f>
        <v>8.5193610353999443</v>
      </c>
      <c r="H58" s="688" t="str">
        <f t="shared" si="1"/>
        <v>OK</v>
      </c>
      <c r="I58" s="721"/>
      <c r="J58" s="688" t="str">
        <f t="shared" si="2"/>
        <v>검토 필요없음</v>
      </c>
      <c r="K58" s="721"/>
      <c r="L58" s="688" t="str">
        <f t="shared" si="0"/>
        <v>검토 필요없음</v>
      </c>
      <c r="M58" s="689"/>
      <c r="N58" s="855" t="s">
        <v>885</v>
      </c>
      <c r="T58" s="73"/>
      <c r="U58" s="73"/>
      <c r="V58" s="73"/>
      <c r="W58" s="73"/>
      <c r="X58" s="73"/>
      <c r="Y58" s="73"/>
      <c r="Z58" s="73"/>
      <c r="AA58" s="73"/>
      <c r="AB58" s="73"/>
      <c r="AC58" s="7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</row>
    <row r="59" spans="1:47" ht="15" customHeight="1">
      <c r="A59" s="482" t="str">
        <f>input!B10</f>
        <v>104j</v>
      </c>
      <c r="B59" s="538" t="str">
        <f>Stress!C839</f>
        <v>Positive</v>
      </c>
      <c r="C59" s="674"/>
      <c r="D59" s="527">
        <f>IF(B59="Positive",Stress!B574+Stress!D574+Stress!F574+Stress!H574,Stress!B574+Stress!D574+Stress!D704+Stress!F704)</f>
        <v>-173.73346527462951</v>
      </c>
      <c r="E59" s="694">
        <f>IF(B59="Positive",Stress!C574+Stress!E574+Stress!G574+Stress!I574,Stress!C574+Stress!E574+Stress!E704+Stress!G704)</f>
        <v>161.12611427767149</v>
      </c>
      <c r="F59" s="527">
        <f>ABS(Stress!N839-Stress!L839)</f>
        <v>2.68519606436293</v>
      </c>
      <c r="G59" s="694">
        <f>ABS(Stress!O839-Stress!M839)</f>
        <v>13.520258517697338</v>
      </c>
      <c r="H59" s="688" t="str">
        <f t="shared" si="1"/>
        <v>OK</v>
      </c>
      <c r="I59" s="721"/>
      <c r="J59" s="688" t="str">
        <f t="shared" si="2"/>
        <v>-</v>
      </c>
      <c r="K59" s="721"/>
      <c r="L59" s="688" t="str">
        <f t="shared" si="0"/>
        <v>검토 필요없음</v>
      </c>
      <c r="M59" s="689"/>
      <c r="N59" s="855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</row>
    <row r="60" spans="1:47" ht="15" customHeight="1">
      <c r="A60" s="482" t="str">
        <f>input!B11</f>
        <v>105i</v>
      </c>
      <c r="B60" s="538" t="str">
        <f>Stress!C840</f>
        <v>Positive</v>
      </c>
      <c r="C60" s="674"/>
      <c r="D60" s="527">
        <f>IF(B60="Positive",Stress!B575+Stress!D575+Stress!F575+Stress!H575,Stress!B575+Stress!D575+Stress!D705+Stress!F705)</f>
        <v>-141.03097947589748</v>
      </c>
      <c r="E60" s="694">
        <f>IF(B60="Positive",Stress!C575+Stress!E575+Stress!G575+Stress!I575,Stress!C575+Stress!E575+Stress!E705+Stress!G705)</f>
        <v>104.16957664194811</v>
      </c>
      <c r="F60" s="527">
        <f>ABS(Stress!N840-Stress!L840)</f>
        <v>2.6319740034496197</v>
      </c>
      <c r="G60" s="694">
        <f>ABS(Stress!O840-Stress!M840)</f>
        <v>9.0841631280358275</v>
      </c>
      <c r="H60" s="688" t="str">
        <f t="shared" si="1"/>
        <v>OK</v>
      </c>
      <c r="I60" s="721"/>
      <c r="J60" s="688" t="str">
        <f t="shared" si="2"/>
        <v>-</v>
      </c>
      <c r="K60" s="721"/>
      <c r="L60" s="688" t="str">
        <f t="shared" si="0"/>
        <v>검토 필요없음</v>
      </c>
      <c r="M60" s="689"/>
      <c r="N60" s="855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</row>
    <row r="61" spans="1:47" ht="15" customHeight="1">
      <c r="A61" s="482" t="str">
        <f>input!B12</f>
        <v>105j</v>
      </c>
      <c r="B61" s="538" t="str">
        <f>Stress!C841</f>
        <v>Positive</v>
      </c>
      <c r="C61" s="674"/>
      <c r="D61" s="527">
        <f>IF(B61="Positive",Stress!B576+Stress!D576+Stress!F576+Stress!H576,Stress!B576+Stress!D576+Stress!D706+Stress!F706)</f>
        <v>-185.76416983863533</v>
      </c>
      <c r="E61" s="694">
        <f>IF(B61="Positive",Stress!C576+Stress!E576+Stress!G576+Stress!I576,Stress!C576+Stress!E576+Stress!E706+Stress!G706)</f>
        <v>137.19644897530247</v>
      </c>
      <c r="F61" s="527">
        <f>ABS(Stress!N841-Stress!L841)</f>
        <v>3.1571276365296663</v>
      </c>
      <c r="G61" s="694">
        <f>ABS(Stress!O841-Stress!M841)</f>
        <v>10.896711908505241</v>
      </c>
      <c r="H61" s="688" t="str">
        <f t="shared" si="1"/>
        <v>OK</v>
      </c>
      <c r="I61" s="721"/>
      <c r="J61" s="688" t="str">
        <f t="shared" si="2"/>
        <v>검토 필요없음</v>
      </c>
      <c r="K61" s="721"/>
      <c r="L61" s="688" t="str">
        <f t="shared" si="0"/>
        <v>검토 필요없음</v>
      </c>
      <c r="M61" s="689"/>
      <c r="N61" s="855" t="s">
        <v>885</v>
      </c>
      <c r="T61" s="73"/>
      <c r="U61" s="73"/>
      <c r="V61" s="73"/>
      <c r="W61" s="73"/>
      <c r="X61" s="73"/>
      <c r="Y61" s="73"/>
      <c r="Z61" s="73"/>
      <c r="AA61" s="73"/>
      <c r="AB61" s="73"/>
      <c r="AC61" s="7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</row>
    <row r="62" spans="1:47" ht="15" customHeight="1">
      <c r="A62" s="482" t="str">
        <f>input!B13</f>
        <v>106i</v>
      </c>
      <c r="B62" s="538" t="str">
        <f>Stress!C842</f>
        <v>Positive</v>
      </c>
      <c r="C62" s="674"/>
      <c r="D62" s="527">
        <f>IF(B62="Positive",Stress!B577+Stress!D577+Stress!F577+Stress!H577,Stress!B577+Stress!D577+Stress!D707+Stress!F707)</f>
        <v>-185.76366802742572</v>
      </c>
      <c r="E62" s="694">
        <f>IF(B62="Positive",Stress!C577+Stress!E577+Stress!G577+Stress!I577,Stress!C577+Stress!E577+Stress!E707+Stress!G707)</f>
        <v>137.19608058115017</v>
      </c>
      <c r="F62" s="527">
        <f>ABS(Stress!N842-Stress!L842)</f>
        <v>3.1571194168766206</v>
      </c>
      <c r="G62" s="694">
        <f>ABS(Stress!O842-Stress!M842)</f>
        <v>10.896683538669894</v>
      </c>
      <c r="H62" s="688" t="str">
        <f t="shared" si="1"/>
        <v>OK</v>
      </c>
      <c r="I62" s="721"/>
      <c r="J62" s="688" t="str">
        <f t="shared" si="2"/>
        <v>검토 필요없음</v>
      </c>
      <c r="K62" s="721"/>
      <c r="L62" s="688" t="str">
        <f t="shared" si="0"/>
        <v>검토 필요없음</v>
      </c>
      <c r="M62" s="689"/>
      <c r="N62" s="855" t="s">
        <v>886</v>
      </c>
      <c r="T62" s="73"/>
      <c r="U62" s="73"/>
      <c r="V62" s="73"/>
      <c r="W62" s="73"/>
      <c r="X62" s="73"/>
      <c r="Y62" s="73"/>
      <c r="Z62" s="73"/>
      <c r="AA62" s="73"/>
      <c r="AB62" s="73"/>
      <c r="AC62" s="7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</row>
    <row r="63" spans="1:47" ht="15" customHeight="1">
      <c r="A63" s="482" t="str">
        <f>input!B14</f>
        <v>106j</v>
      </c>
      <c r="B63" s="538" t="str">
        <f>Stress!C843</f>
        <v>Positive</v>
      </c>
      <c r="C63" s="674"/>
      <c r="D63" s="527">
        <f>IF(B63="Positive",Stress!B578+Stress!D578+Stress!F578+Stress!H578,Stress!B578+Stress!D578+Stress!D708+Stress!F708)</f>
        <v>-216.79465094595631</v>
      </c>
      <c r="E63" s="694">
        <f>IF(B63="Positive",Stress!C578+Stress!E578+Stress!G578+Stress!I578,Stress!C578+Stress!E578+Stress!E708+Stress!G708)</f>
        <v>160.04972130254833</v>
      </c>
      <c r="F63" s="527">
        <f>ABS(Stress!N843-Stress!L843)</f>
        <v>3.6757630847445926</v>
      </c>
      <c r="G63" s="694">
        <f>ABS(Stress!O843-Stress!M843)</f>
        <v>12.686763409542628</v>
      </c>
      <c r="H63" s="688" t="str">
        <f t="shared" si="1"/>
        <v>OK</v>
      </c>
      <c r="I63" s="721"/>
      <c r="J63" s="688" t="str">
        <f t="shared" si="2"/>
        <v>-</v>
      </c>
      <c r="K63" s="721"/>
      <c r="L63" s="688" t="str">
        <f t="shared" si="0"/>
        <v>검토 필요없음</v>
      </c>
      <c r="M63" s="689"/>
      <c r="N63" s="855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</row>
    <row r="64" spans="1:47" ht="15" customHeight="1">
      <c r="A64" s="482" t="str">
        <f>input!B15</f>
        <v>107i</v>
      </c>
      <c r="B64" s="538" t="str">
        <f>Stress!C844</f>
        <v>Positive</v>
      </c>
      <c r="C64" s="674"/>
      <c r="D64" s="527">
        <f>IF(B64="Positive",Stress!B579+Stress!D579+Stress!F579+Stress!H579,Stress!B579+Stress!D579+Stress!D709+Stress!F709)</f>
        <v>-183.62118884884902</v>
      </c>
      <c r="E64" s="694">
        <f>IF(B64="Positive",Stress!C579+Stress!E579+Stress!G579+Stress!I579,Stress!C579+Stress!E579+Stress!E709+Stress!G709)</f>
        <v>138.86758477973106</v>
      </c>
      <c r="F64" s="527">
        <f>ABS(Stress!N844-Stress!L844)</f>
        <v>3.5682128779036302</v>
      </c>
      <c r="G64" s="694">
        <f>ABS(Stress!O844-Stress!M844)</f>
        <v>11.299475354368358</v>
      </c>
      <c r="H64" s="688" t="str">
        <f t="shared" si="1"/>
        <v>OK</v>
      </c>
      <c r="I64" s="721"/>
      <c r="J64" s="688" t="str">
        <f t="shared" si="2"/>
        <v>-</v>
      </c>
      <c r="K64" s="721"/>
      <c r="L64" s="688" t="str">
        <f t="shared" si="0"/>
        <v>검토 필요없음</v>
      </c>
      <c r="M64" s="689"/>
      <c r="N64" s="855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</row>
    <row r="65" spans="1:47" ht="15" customHeight="1">
      <c r="A65" s="482" t="str">
        <f>input!B16</f>
        <v>107j</v>
      </c>
      <c r="B65" s="538" t="str">
        <f>Stress!C845</f>
        <v>Positive</v>
      </c>
      <c r="C65" s="674"/>
      <c r="D65" s="527">
        <f>IF(B65="Positive",Stress!B580+Stress!D580+Stress!F580+Stress!H580,Stress!B580+Stress!D580+Stress!D710+Stress!F710)</f>
        <v>-201.28302769760796</v>
      </c>
      <c r="E65" s="694">
        <f>IF(B65="Positive",Stress!C580+Stress!E580+Stress!G580+Stress!I580,Stress!C580+Stress!E580+Stress!E710+Stress!G710)</f>
        <v>152.21657622443104</v>
      </c>
      <c r="F65" s="527">
        <f>ABS(Stress!N845-Stress!L845)</f>
        <v>3.7348016104052659</v>
      </c>
      <c r="G65" s="694">
        <f>ABS(Stress!O845-Stress!M845)</f>
        <v>11.827012623479844</v>
      </c>
      <c r="H65" s="688" t="str">
        <f t="shared" si="1"/>
        <v>OK</v>
      </c>
      <c r="I65" s="721"/>
      <c r="J65" s="688" t="str">
        <f t="shared" si="2"/>
        <v>검토 필요없음</v>
      </c>
      <c r="K65" s="721"/>
      <c r="L65" s="688" t="str">
        <f t="shared" si="0"/>
        <v>검토 필요없음</v>
      </c>
      <c r="M65" s="689"/>
      <c r="N65" s="855" t="s">
        <v>887</v>
      </c>
      <c r="T65" s="73"/>
      <c r="U65" s="73"/>
      <c r="V65" s="73"/>
      <c r="W65" s="73"/>
      <c r="X65" s="73"/>
      <c r="Y65" s="73"/>
      <c r="Z65" s="73"/>
      <c r="AA65" s="73"/>
      <c r="AB65" s="73"/>
      <c r="AC65" s="7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</row>
    <row r="66" spans="1:47" ht="15" customHeight="1">
      <c r="A66" s="482" t="str">
        <f>input!B17</f>
        <v>108i</v>
      </c>
      <c r="B66" s="538" t="str">
        <f>Stress!C846</f>
        <v>Positive</v>
      </c>
      <c r="C66" s="674"/>
      <c r="D66" s="527">
        <f>IF(B66="Positive",Stress!B581+Stress!D581+Stress!F581+Stress!H581,Stress!B581+Stress!D581+Stress!D711+Stress!F711)</f>
        <v>-201.28279868511203</v>
      </c>
      <c r="E66" s="694">
        <f>IF(B66="Positive",Stress!C581+Stress!E581+Stress!G581+Stress!I581,Stress!C581+Stress!E581+Stress!E711+Stress!G711)</f>
        <v>152.21641401013611</v>
      </c>
      <c r="F66" s="527">
        <f>ABS(Stress!N846-Stress!L846)</f>
        <v>3.7348016104052659</v>
      </c>
      <c r="G66" s="694">
        <f>ABS(Stress!O846-Stress!M846)</f>
        <v>11.827012623479844</v>
      </c>
      <c r="H66" s="688" t="str">
        <f t="shared" si="1"/>
        <v>OK</v>
      </c>
      <c r="I66" s="721"/>
      <c r="J66" s="688" t="str">
        <f t="shared" si="2"/>
        <v>검토 필요없음</v>
      </c>
      <c r="K66" s="721"/>
      <c r="L66" s="688" t="str">
        <f t="shared" si="0"/>
        <v>검토 필요없음</v>
      </c>
      <c r="M66" s="689"/>
      <c r="N66" s="855" t="s">
        <v>885</v>
      </c>
      <c r="T66" s="73"/>
      <c r="U66" s="73"/>
      <c r="V66" s="73"/>
      <c r="W66" s="73"/>
      <c r="X66" s="73"/>
      <c r="Y66" s="73"/>
      <c r="Z66" s="73"/>
      <c r="AA66" s="73"/>
      <c r="AB66" s="73"/>
      <c r="AC66" s="7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</row>
    <row r="67" spans="1:47" ht="15" customHeight="1">
      <c r="A67" s="482" t="str">
        <f>input!B18</f>
        <v>108j</v>
      </c>
      <c r="B67" s="538" t="str">
        <f>Stress!C847</f>
        <v>Positive</v>
      </c>
      <c r="C67" s="674"/>
      <c r="D67" s="527">
        <f>IF(B67="Positive",Stress!B582+Stress!D582+Stress!F582+Stress!H582,Stress!B582+Stress!D582+Stress!D712+Stress!F712)</f>
        <v>-206.8054204288778</v>
      </c>
      <c r="E67" s="694">
        <f>IF(B67="Positive",Stress!C582+Stress!E582+Stress!G582+Stress!I582,Stress!C582+Stress!E582+Stress!E712+Stress!G712)</f>
        <v>156.3559223444893</v>
      </c>
      <c r="F67" s="527">
        <f>ABS(Stress!N847-Stress!L847)</f>
        <v>3.9574758013202573</v>
      </c>
      <c r="G67" s="694">
        <f>ABS(Stress!O847-Stress!M847)</f>
        <v>12.532155959483973</v>
      </c>
      <c r="H67" s="688" t="str">
        <f t="shared" si="1"/>
        <v>OK</v>
      </c>
      <c r="I67" s="721"/>
      <c r="J67" s="688" t="str">
        <f t="shared" si="2"/>
        <v>-</v>
      </c>
      <c r="K67" s="721"/>
      <c r="L67" s="688" t="str">
        <f t="shared" si="0"/>
        <v>검토 필요없음</v>
      </c>
      <c r="M67" s="689"/>
      <c r="N67" s="855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</row>
    <row r="68" spans="1:47" ht="15" customHeight="1">
      <c r="A68" s="482" t="str">
        <f>input!B19</f>
        <v>109i</v>
      </c>
      <c r="B68" s="538" t="str">
        <f>Stress!C848</f>
        <v>Positive</v>
      </c>
      <c r="C68" s="674"/>
      <c r="D68" s="527">
        <f>IF(B68="Positive",Stress!B583+Stress!D583+Stress!F583+Stress!H583,Stress!B583+Stress!D583+Stress!D713+Stress!F713)</f>
        <v>-206.80572157756714</v>
      </c>
      <c r="E68" s="694">
        <f>IF(B68="Positive",Stress!C583+Stress!E583+Stress!G583+Stress!I583,Stress!C583+Stress!E583+Stress!E713+Stress!G713)</f>
        <v>156.35619161918839</v>
      </c>
      <c r="F68" s="527">
        <f>ABS(Stress!N848-Stress!L848)</f>
        <v>3.9574758013202573</v>
      </c>
      <c r="G68" s="694">
        <f>ABS(Stress!O848-Stress!M848)</f>
        <v>12.532155959483973</v>
      </c>
      <c r="H68" s="688" t="str">
        <f t="shared" si="1"/>
        <v>OK</v>
      </c>
      <c r="I68" s="721"/>
      <c r="J68" s="688" t="str">
        <f t="shared" si="2"/>
        <v>-</v>
      </c>
      <c r="K68" s="721"/>
      <c r="L68" s="688" t="str">
        <f t="shared" si="0"/>
        <v>검토 필요없음</v>
      </c>
      <c r="M68" s="689"/>
      <c r="N68" s="855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</row>
    <row r="69" spans="1:47" ht="15" customHeight="1">
      <c r="A69" s="482" t="str">
        <f>input!B20</f>
        <v>109j</v>
      </c>
      <c r="B69" s="538" t="str">
        <f>Stress!C849</f>
        <v>Positive</v>
      </c>
      <c r="C69" s="674"/>
      <c r="D69" s="527">
        <f>IF(B69="Positive",Stress!B584+Stress!D584+Stress!F584+Stress!H584,Stress!B584+Stress!D584+Stress!D714+Stress!F714)</f>
        <v>-203.53865029965323</v>
      </c>
      <c r="E69" s="694">
        <f>IF(B69="Positive",Stress!C584+Stress!E584+Stress!G584+Stress!I584,Stress!C584+Stress!E584+Stress!E714+Stress!G714)</f>
        <v>153.8941609267894</v>
      </c>
      <c r="F69" s="527">
        <f>ABS(Stress!N849-Stress!L849)</f>
        <v>3.8640718496647266</v>
      </c>
      <c r="G69" s="694">
        <f>ABS(Stress!O849-Stress!M849)</f>
        <v>12.236373256532586</v>
      </c>
      <c r="H69" s="688" t="str">
        <f t="shared" si="1"/>
        <v>OK</v>
      </c>
      <c r="I69" s="721"/>
      <c r="J69" s="688" t="str">
        <f t="shared" si="2"/>
        <v>검토 필요없음</v>
      </c>
      <c r="K69" s="721"/>
      <c r="L69" s="688" t="str">
        <f t="shared" si="0"/>
        <v>검토 필요없음</v>
      </c>
      <c r="M69" s="689"/>
      <c r="N69" s="855" t="s">
        <v>885</v>
      </c>
      <c r="T69" s="73"/>
      <c r="U69" s="73"/>
      <c r="V69" s="73"/>
      <c r="W69" s="73"/>
      <c r="X69" s="73"/>
      <c r="Y69" s="73"/>
      <c r="Z69" s="73"/>
      <c r="AA69" s="73"/>
      <c r="AB69" s="73"/>
      <c r="AC69" s="7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</row>
    <row r="70" spans="1:47" ht="15" customHeight="1">
      <c r="A70" s="482" t="str">
        <f>input!B21</f>
        <v>110i</v>
      </c>
      <c r="B70" s="538" t="str">
        <f>Stress!C850</f>
        <v>Positive</v>
      </c>
      <c r="C70" s="674"/>
      <c r="D70" s="527">
        <f>IF(B70="Positive",Stress!B585+Stress!D585+Stress!F585+Stress!H585,Stress!B585+Stress!D585+Stress!D715+Stress!F715)</f>
        <v>-203.53891251987531</v>
      </c>
      <c r="E70" s="694">
        <f>IF(B70="Positive",Stress!C585+Stress!E585+Stress!G585+Stress!I585,Stress!C585+Stress!E585+Stress!E715+Stress!G715)</f>
        <v>153.8943280078567</v>
      </c>
      <c r="F70" s="527">
        <f>ABS(Stress!N850-Stress!L850)</f>
        <v>3.8640878079684438</v>
      </c>
      <c r="G70" s="694">
        <f>ABS(Stress!O850-Stress!M850)</f>
        <v>12.236423791762887</v>
      </c>
      <c r="H70" s="688" t="str">
        <f t="shared" si="1"/>
        <v>OK</v>
      </c>
      <c r="I70" s="721"/>
      <c r="J70" s="688" t="str">
        <f t="shared" si="2"/>
        <v>검토 필요없음</v>
      </c>
      <c r="K70" s="721"/>
      <c r="L70" s="688" t="str">
        <f t="shared" si="0"/>
        <v>검토 필요없음</v>
      </c>
      <c r="M70" s="689"/>
      <c r="N70" s="855" t="s">
        <v>888</v>
      </c>
      <c r="T70" s="73"/>
      <c r="U70" s="73"/>
      <c r="V70" s="73"/>
      <c r="W70" s="73"/>
      <c r="X70" s="73"/>
      <c r="Y70" s="73"/>
      <c r="Z70" s="73"/>
      <c r="AA70" s="73"/>
      <c r="AB70" s="73"/>
      <c r="AC70" s="7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</row>
    <row r="71" spans="1:47" ht="15" customHeight="1">
      <c r="A71" s="482" t="str">
        <f>input!B22</f>
        <v>110j</v>
      </c>
      <c r="B71" s="538" t="str">
        <f>Stress!C851</f>
        <v>Positive</v>
      </c>
      <c r="C71" s="674"/>
      <c r="D71" s="527">
        <f>IF(B71="Positive",Stress!B586+Stress!D586+Stress!F586+Stress!H586,Stress!B586+Stress!D586+Stress!D716+Stress!F716)</f>
        <v>-189.19593921915148</v>
      </c>
      <c r="E71" s="694">
        <f>IF(B71="Positive",Stress!C586+Stress!E586+Stress!G586+Stress!I586,Stress!C586+Stress!E586+Stress!E716+Stress!G716)</f>
        <v>143.05101250562404</v>
      </c>
      <c r="F71" s="527">
        <f>ABS(Stress!N851-Stress!L851)</f>
        <v>3.7787587579937085</v>
      </c>
      <c r="G71" s="694">
        <f>ABS(Stress!O851-Stress!M851)</f>
        <v>11.966211915343774</v>
      </c>
      <c r="H71" s="688" t="str">
        <f t="shared" si="1"/>
        <v>OK</v>
      </c>
      <c r="I71" s="721"/>
      <c r="J71" s="688" t="str">
        <f t="shared" si="2"/>
        <v>검토 필요없음</v>
      </c>
      <c r="K71" s="721"/>
      <c r="L71" s="688" t="str">
        <f t="shared" si="0"/>
        <v>검토 필요없음</v>
      </c>
      <c r="M71" s="689"/>
      <c r="N71" s="855" t="s">
        <v>885</v>
      </c>
      <c r="T71" s="73"/>
      <c r="U71" s="73"/>
      <c r="V71" s="73"/>
      <c r="W71" s="73"/>
      <c r="X71" s="73"/>
      <c r="Y71" s="73"/>
      <c r="Z71" s="73"/>
      <c r="AA71" s="73"/>
      <c r="AB71" s="73"/>
      <c r="AC71" s="7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</row>
    <row r="72" spans="1:47" ht="15" customHeight="1">
      <c r="A72" s="482" t="str">
        <f>input!B23</f>
        <v>111i</v>
      </c>
      <c r="B72" s="538" t="str">
        <f>Stress!C852</f>
        <v>Positive</v>
      </c>
      <c r="C72" s="674"/>
      <c r="D72" s="527">
        <f>IF(B72="Positive",Stress!B587+Stress!D587+Stress!F587+Stress!H587,Stress!B587+Stress!D587+Stress!D717+Stress!F717)</f>
        <v>-189.1962014393736</v>
      </c>
      <c r="E72" s="694">
        <f>IF(B72="Positive",Stress!C587+Stress!E587+Stress!G587+Stress!I587,Stress!C587+Stress!E587+Stress!E717+Stress!G717)</f>
        <v>143.05117958669132</v>
      </c>
      <c r="F72" s="527">
        <f>ABS(Stress!N852-Stress!L852)</f>
        <v>3.7787667371455678</v>
      </c>
      <c r="G72" s="694">
        <f>ABS(Stress!O852-Stress!M852)</f>
        <v>11.966237182958924</v>
      </c>
      <c r="H72" s="688" t="str">
        <f t="shared" si="1"/>
        <v>OK</v>
      </c>
      <c r="I72" s="721"/>
      <c r="J72" s="688" t="str">
        <f t="shared" si="2"/>
        <v>검토 필요없음</v>
      </c>
      <c r="K72" s="721"/>
      <c r="L72" s="688" t="str">
        <f t="shared" si="0"/>
        <v>검토 필요없음</v>
      </c>
      <c r="M72" s="689"/>
      <c r="N72" s="855" t="s">
        <v>885</v>
      </c>
      <c r="T72" s="73"/>
      <c r="U72" s="73"/>
      <c r="V72" s="73"/>
      <c r="W72" s="73"/>
      <c r="X72" s="73"/>
      <c r="Y72" s="73"/>
      <c r="Z72" s="73"/>
      <c r="AA72" s="73"/>
      <c r="AB72" s="73"/>
      <c r="AC72" s="7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</row>
    <row r="73" spans="1:47" ht="15" customHeight="1">
      <c r="A73" s="482" t="str">
        <f>input!B24</f>
        <v>111j</v>
      </c>
      <c r="B73" s="538" t="str">
        <f>Stress!C853</f>
        <v>Positive</v>
      </c>
      <c r="C73" s="674"/>
      <c r="D73" s="527">
        <f>IF(B73="Positive",Stress!B588+Stress!D588+Stress!F588+Stress!H588,Stress!B588+Stress!D588+Stress!D718+Stress!F718)</f>
        <v>-163.59089631494189</v>
      </c>
      <c r="E73" s="694">
        <f>IF(B73="Positive",Stress!C588+Stress!E588+Stress!G588+Stress!I588,Stress!C588+Stress!E588+Stress!E718+Stress!G718)</f>
        <v>123.69225128103719</v>
      </c>
      <c r="F73" s="527">
        <f>ABS(Stress!N853-Stress!L853)</f>
        <v>3.7038983552573193</v>
      </c>
      <c r="G73" s="694">
        <f>ABS(Stress!O853-Stress!M853)</f>
        <v>11.72915115000208</v>
      </c>
      <c r="H73" s="688" t="str">
        <f t="shared" si="1"/>
        <v>OK</v>
      </c>
      <c r="I73" s="721"/>
      <c r="J73" s="688" t="str">
        <f t="shared" si="2"/>
        <v>-</v>
      </c>
      <c r="K73" s="721"/>
      <c r="L73" s="688" t="str">
        <f t="shared" si="0"/>
        <v>검토 필요없음</v>
      </c>
      <c r="M73" s="689"/>
      <c r="N73" s="855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</row>
    <row r="74" spans="1:47" ht="15" customHeight="1">
      <c r="A74" s="482" t="str">
        <f>input!B25</f>
        <v>112i</v>
      </c>
      <c r="B74" s="538" t="str">
        <f>Stress!C854</f>
        <v>Positive</v>
      </c>
      <c r="C74" s="674"/>
      <c r="D74" s="527">
        <f>IF(B74="Positive",Stress!B589+Stress!D589+Stress!F589+Stress!H589,Stress!B589+Stress!D589+Stress!D719+Stress!F719)</f>
        <v>-200.81855644467012</v>
      </c>
      <c r="E74" s="694">
        <f>IF(B74="Positive",Stress!C589+Stress!E589+Stress!G589+Stress!I589,Stress!C589+Stress!E589+Stress!E719+Stress!G719)</f>
        <v>149.6682823973735</v>
      </c>
      <c r="F74" s="527">
        <f>ABS(Stress!N854-Stress!L854)</f>
        <v>3.8312788637294997</v>
      </c>
      <c r="G74" s="694">
        <f>ABS(Stress!O854-Stress!M854)</f>
        <v>13.73177794784012</v>
      </c>
      <c r="H74" s="688" t="str">
        <f t="shared" si="1"/>
        <v>OK</v>
      </c>
      <c r="I74" s="721"/>
      <c r="J74" s="688" t="str">
        <f t="shared" si="2"/>
        <v>-</v>
      </c>
      <c r="K74" s="721"/>
      <c r="L74" s="688" t="str">
        <f t="shared" si="0"/>
        <v>검토 필요없음</v>
      </c>
      <c r="M74" s="689"/>
      <c r="N74" s="855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</row>
    <row r="75" spans="1:47" ht="15" customHeight="1">
      <c r="A75" s="482" t="str">
        <f>input!B26</f>
        <v>112j</v>
      </c>
      <c r="B75" s="538" t="str">
        <f>Stress!C855</f>
        <v>Positive</v>
      </c>
      <c r="C75" s="674"/>
      <c r="D75" s="527">
        <f>IF(B75="Positive",Stress!B590+Stress!D590+Stress!F590+Stress!H590,Stress!B590+Stress!D590+Stress!D720+Stress!F720)</f>
        <v>-158.8607332112164</v>
      </c>
      <c r="E75" s="694">
        <f>IF(B75="Positive",Stress!C590+Stress!E590+Stress!G590+Stress!I590,Stress!C590+Stress!E590+Stress!E720+Stress!G720)</f>
        <v>118.44320475506487</v>
      </c>
      <c r="F75" s="527">
        <f>ABS(Stress!N855-Stress!L855)</f>
        <v>3.4609721439095811</v>
      </c>
      <c r="G75" s="694">
        <f>ABS(Stress!O855-Stress!M855)</f>
        <v>12.404552801871422</v>
      </c>
      <c r="H75" s="688" t="str">
        <f t="shared" si="1"/>
        <v>OK</v>
      </c>
      <c r="I75" s="721"/>
      <c r="J75" s="688" t="str">
        <f t="shared" si="2"/>
        <v>검토 필요없음</v>
      </c>
      <c r="K75" s="721"/>
      <c r="L75" s="688" t="str">
        <f t="shared" si="0"/>
        <v>검토 필요없음</v>
      </c>
      <c r="M75" s="689"/>
      <c r="N75" s="855" t="s">
        <v>889</v>
      </c>
      <c r="T75" s="73"/>
      <c r="U75" s="73"/>
      <c r="V75" s="73"/>
      <c r="W75" s="73"/>
      <c r="X75" s="73"/>
      <c r="Y75" s="73"/>
      <c r="Z75" s="73"/>
      <c r="AA75" s="73"/>
      <c r="AB75" s="73"/>
      <c r="AC75" s="7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</row>
    <row r="76" spans="1:47" ht="15" customHeight="1">
      <c r="A76" s="482" t="str">
        <f>input!B27</f>
        <v>113i</v>
      </c>
      <c r="B76" s="538" t="str">
        <f>Stress!C856</f>
        <v>Positive</v>
      </c>
      <c r="C76" s="674"/>
      <c r="D76" s="527">
        <f>IF(B76="Positive",Stress!B591+Stress!D591+Stress!F591+Stress!H591,Stress!B591+Stress!D591+Stress!D721+Stress!F721)</f>
        <v>-176.52505024905344</v>
      </c>
      <c r="E76" s="694">
        <f>IF(B76="Positive",Stress!C591+Stress!E591+Stress!G591+Stress!I591,Stress!C591+Stress!E591+Stress!E721+Stress!G721)</f>
        <v>120.96142988235735</v>
      </c>
      <c r="F76" s="527">
        <f>ABS(Stress!N856-Stress!L856)</f>
        <v>3.492336736566338</v>
      </c>
      <c r="G76" s="694">
        <f>ABS(Stress!O856-Stress!M856)</f>
        <v>12.405990550862972</v>
      </c>
      <c r="H76" s="688" t="str">
        <f t="shared" si="1"/>
        <v>OK</v>
      </c>
      <c r="I76" s="721"/>
      <c r="J76" s="688" t="str">
        <f t="shared" si="2"/>
        <v>검토 필요없음</v>
      </c>
      <c r="K76" s="721"/>
      <c r="L76" s="688" t="str">
        <f t="shared" si="0"/>
        <v>검토 필요없음</v>
      </c>
      <c r="M76" s="689"/>
      <c r="N76" s="855" t="s">
        <v>885</v>
      </c>
      <c r="T76" s="73"/>
      <c r="U76" s="73"/>
      <c r="V76" s="73"/>
      <c r="W76" s="73"/>
      <c r="X76" s="73"/>
      <c r="Y76" s="73"/>
      <c r="Z76" s="73"/>
      <c r="AA76" s="73"/>
      <c r="AB76" s="73"/>
      <c r="AC76" s="73"/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</row>
    <row r="77" spans="1:47" ht="15" customHeight="1">
      <c r="A77" s="482" t="str">
        <f>input!B28</f>
        <v>113j</v>
      </c>
      <c r="B77" s="538" t="str">
        <f>Stress!C857</f>
        <v>Positive</v>
      </c>
      <c r="C77" s="674"/>
      <c r="D77" s="527">
        <f>IF(B77="Positive",Stress!B592+Stress!D592+Stress!F592+Stress!H592,Stress!B592+Stress!D592+Stress!D722+Stress!F722)</f>
        <v>-114.40682867985808</v>
      </c>
      <c r="E77" s="694">
        <f>IF(B77="Positive",Stress!C592+Stress!E592+Stress!G592+Stress!I592,Stress!C592+Stress!E592+Stress!E722+Stress!G722)</f>
        <v>78.373046816993721</v>
      </c>
      <c r="F77" s="527">
        <f>ABS(Stress!N857-Stress!L857)</f>
        <v>3.2288757219798105</v>
      </c>
      <c r="G77" s="694">
        <f>ABS(Stress!O857-Stress!M857)</f>
        <v>11.470085710055777</v>
      </c>
      <c r="H77" s="688" t="str">
        <f t="shared" si="1"/>
        <v>OK</v>
      </c>
      <c r="I77" s="721"/>
      <c r="J77" s="688" t="str">
        <f t="shared" si="2"/>
        <v>-</v>
      </c>
      <c r="K77" s="721"/>
      <c r="L77" s="688" t="str">
        <f t="shared" si="0"/>
        <v>검토 필요없음</v>
      </c>
      <c r="M77" s="689"/>
      <c r="N77" s="855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</row>
    <row r="78" spans="1:47" ht="15" customHeight="1">
      <c r="A78" s="482" t="str">
        <f>input!B29</f>
        <v>114i</v>
      </c>
      <c r="B78" s="538" t="str">
        <f>Stress!C858</f>
        <v>Positive</v>
      </c>
      <c r="C78" s="674"/>
      <c r="D78" s="527">
        <f>IF(B78="Positive",Stress!B593+Stress!D593+Stress!F593+Stress!H593,Stress!B593+Stress!D593+Stress!D723+Stress!F723)</f>
        <v>-114.40719907271617</v>
      </c>
      <c r="E78" s="694">
        <f>IF(B78="Positive",Stress!C593+Stress!E593+Stress!G593+Stress!I593,Stress!C593+Stress!E593+Stress!E723+Stress!G723)</f>
        <v>78.373332719176176</v>
      </c>
      <c r="F78" s="527">
        <f>ABS(Stress!N858-Stress!L858)</f>
        <v>3.2288590651539533</v>
      </c>
      <c r="G78" s="694">
        <f>ABS(Stress!O858-Stress!M858)</f>
        <v>11.470026539236986</v>
      </c>
      <c r="H78" s="688" t="str">
        <f t="shared" si="1"/>
        <v>OK</v>
      </c>
      <c r="I78" s="721"/>
      <c r="J78" s="688" t="str">
        <f t="shared" si="2"/>
        <v>-</v>
      </c>
      <c r="K78" s="721"/>
      <c r="L78" s="688" t="str">
        <f t="shared" si="0"/>
        <v>검토 필요없음</v>
      </c>
      <c r="M78" s="689"/>
      <c r="N78" s="855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</row>
    <row r="79" spans="1:47" ht="15" customHeight="1">
      <c r="A79" s="482" t="str">
        <f>input!B30</f>
        <v>114j</v>
      </c>
      <c r="B79" s="538" t="str">
        <f>Stress!C859</f>
        <v>Positive</v>
      </c>
      <c r="C79" s="674"/>
      <c r="D79" s="527">
        <f>IF(B79="Positive",Stress!B594+Stress!D594+Stress!F594+Stress!H594,Stress!B594+Stress!D594+Stress!D724+Stress!F724)</f>
        <v>-41.028139158943546</v>
      </c>
      <c r="E79" s="694">
        <f>IF(B79="Positive",Stress!C594+Stress!E594+Stress!G594+Stress!I594,Stress!C594+Stress!E594+Stress!E724+Stress!G724)</f>
        <v>28.096769442390706</v>
      </c>
      <c r="F79" s="527">
        <f>ABS(Stress!N859-Stress!L859)</f>
        <v>2.7431959936296821</v>
      </c>
      <c r="G79" s="694">
        <f>ABS(Stress!O859-Stress!M859)</f>
        <v>9.7447829757663307</v>
      </c>
      <c r="H79" s="688" t="str">
        <f t="shared" si="1"/>
        <v>OK</v>
      </c>
      <c r="I79" s="721"/>
      <c r="J79" s="688" t="str">
        <f t="shared" si="2"/>
        <v>검토 필요없음</v>
      </c>
      <c r="K79" s="721"/>
      <c r="L79" s="688" t="str">
        <f t="shared" si="0"/>
        <v>검토 필요없음</v>
      </c>
      <c r="M79" s="689"/>
      <c r="N79" s="855" t="s">
        <v>885</v>
      </c>
      <c r="T79" s="73"/>
      <c r="U79" s="73"/>
      <c r="V79" s="73"/>
      <c r="W79" s="73"/>
      <c r="X79" s="73"/>
      <c r="Y79" s="73"/>
      <c r="Z79" s="73"/>
      <c r="AA79" s="73"/>
      <c r="AB79" s="73"/>
      <c r="AC79" s="7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</row>
    <row r="80" spans="1:47" ht="15" customHeight="1">
      <c r="A80" s="482" t="str">
        <f>input!B31</f>
        <v>115i</v>
      </c>
      <c r="B80" s="538" t="str">
        <f>Stress!C860</f>
        <v>Positive</v>
      </c>
      <c r="C80" s="674"/>
      <c r="D80" s="527">
        <f>IF(B80="Positive",Stress!B595+Stress!D595+Stress!F595+Stress!H595,Stress!B595+Stress!D595+Stress!D725+Stress!F725)</f>
        <v>-51.561946312635207</v>
      </c>
      <c r="E80" s="694">
        <f>IF(B80="Positive",Stress!C595+Stress!E595+Stress!G595+Stress!I595,Stress!C595+Stress!E595+Stress!E725+Stress!G725)</f>
        <v>42.069280962900933</v>
      </c>
      <c r="F80" s="527">
        <f>ABS(Stress!N860-Stress!L860)</f>
        <v>2.7851011793435752</v>
      </c>
      <c r="G80" s="694">
        <f>ABS(Stress!O860-Stress!M860)</f>
        <v>13.908465775164984</v>
      </c>
      <c r="H80" s="688" t="str">
        <f t="shared" si="1"/>
        <v>OK</v>
      </c>
      <c r="I80" s="721"/>
      <c r="J80" s="688" t="str">
        <f t="shared" si="2"/>
        <v>검토 필요없음</v>
      </c>
      <c r="K80" s="721"/>
      <c r="L80" s="688" t="str">
        <f t="shared" si="0"/>
        <v>검토 필요없음</v>
      </c>
      <c r="M80" s="689"/>
      <c r="N80" s="855" t="s">
        <v>885</v>
      </c>
      <c r="T80" s="73"/>
      <c r="U80" s="73"/>
      <c r="V80" s="73"/>
      <c r="W80" s="73"/>
      <c r="X80" s="73"/>
      <c r="Y80" s="73"/>
      <c r="Z80" s="73"/>
      <c r="AA80" s="73"/>
      <c r="AB80" s="73"/>
      <c r="AC80" s="73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</row>
    <row r="81" spans="1:47" ht="15" customHeight="1">
      <c r="A81" s="482" t="str">
        <f>input!B32</f>
        <v>115j</v>
      </c>
      <c r="B81" s="538" t="str">
        <f>Stress!C861</f>
        <v>Negative</v>
      </c>
      <c r="C81" s="674"/>
      <c r="D81" s="527">
        <f>IF(B81="Positive",Stress!B596+Stress!D596+Stress!F596+Stress!H596,Stress!B596+Stress!D596+Stress!D726+Stress!F726)</f>
        <v>65.209228285042499</v>
      </c>
      <c r="E81" s="694">
        <f>IF(B81="Positive",Stress!C596+Stress!E596+Stress!G596+Stress!I596,Stress!C596+Stress!E596+Stress!E726+Stress!G726)</f>
        <v>-50.068185080672478</v>
      </c>
      <c r="F81" s="527">
        <f>ABS(Stress!N861-Stress!L861)</f>
        <v>16.40498900564311</v>
      </c>
      <c r="G81" s="694">
        <f>ABS(Stress!O861-Stress!M861)</f>
        <v>15.641526868662231</v>
      </c>
      <c r="H81" s="688" t="str">
        <f t="shared" si="1"/>
        <v>OK</v>
      </c>
      <c r="I81" s="721"/>
      <c r="J81" s="688" t="str">
        <f t="shared" si="2"/>
        <v>-</v>
      </c>
      <c r="K81" s="721"/>
      <c r="L81" s="688" t="str">
        <f t="shared" si="0"/>
        <v>OK</v>
      </c>
      <c r="M81" s="689"/>
      <c r="N81" s="855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</row>
    <row r="82" spans="1:47" ht="15" customHeight="1">
      <c r="A82" s="482" t="str">
        <f>input!B33</f>
        <v>116i</v>
      </c>
      <c r="B82" s="538" t="str">
        <f>Stress!C862</f>
        <v>Negative</v>
      </c>
      <c r="C82" s="674"/>
      <c r="D82" s="527">
        <f>IF(B82="Positive",Stress!B597+Stress!D597+Stress!F597+Stress!H597,Stress!B597+Stress!D597+Stress!D727+Stress!F727)</f>
        <v>51.733160219158613</v>
      </c>
      <c r="E82" s="694">
        <f>IF(B82="Positive",Stress!C597+Stress!E597+Stress!G597+Stress!I597,Stress!C597+Stress!E597+Stress!E727+Stress!G727)</f>
        <v>-40.008101796552424</v>
      </c>
      <c r="F82" s="527">
        <f>ABS(Stress!N862-Stress!L862)</f>
        <v>13.669077259625645</v>
      </c>
      <c r="G82" s="694">
        <f>ABS(Stress!O862-Stress!M862)</f>
        <v>12.751141387741342</v>
      </c>
      <c r="H82" s="688" t="str">
        <f t="shared" si="1"/>
        <v>OK</v>
      </c>
      <c r="I82" s="721"/>
      <c r="J82" s="688" t="str">
        <f t="shared" si="2"/>
        <v>-</v>
      </c>
      <c r="K82" s="721"/>
      <c r="L82" s="688" t="str">
        <f t="shared" si="0"/>
        <v>OK</v>
      </c>
      <c r="M82" s="689"/>
      <c r="N82" s="855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</row>
    <row r="83" spans="1:47" ht="15" customHeight="1">
      <c r="A83" s="482" t="str">
        <f>input!B34</f>
        <v>116j</v>
      </c>
      <c r="B83" s="538" t="str">
        <f>Stress!C863</f>
        <v>Negative</v>
      </c>
      <c r="C83" s="674"/>
      <c r="D83" s="527">
        <f>IF(B83="Positive",Stress!B598+Stress!D598+Stress!F598+Stress!H598,Stress!B598+Stress!D598+Stress!D728+Stress!F728)</f>
        <v>159.62168721807916</v>
      </c>
      <c r="E83" s="694">
        <f>IF(B83="Positive",Stress!C598+Stress!E598+Stress!G598+Stress!I598,Stress!C598+Stress!E598+Stress!E728+Stress!G728)</f>
        <v>-123.42527047766097</v>
      </c>
      <c r="F83" s="527">
        <f>ABS(Stress!N863-Stress!L863)</f>
        <v>11.387800586979543</v>
      </c>
      <c r="G83" s="694">
        <f>ABS(Stress!O863-Stress!M863)</f>
        <v>10.623062012304173</v>
      </c>
      <c r="H83" s="688" t="str">
        <f t="shared" si="1"/>
        <v>OK</v>
      </c>
      <c r="I83" s="721"/>
      <c r="J83" s="688" t="str">
        <f t="shared" si="2"/>
        <v>OK</v>
      </c>
      <c r="K83" s="721"/>
      <c r="L83" s="688" t="str">
        <f t="shared" si="0"/>
        <v>OK</v>
      </c>
      <c r="M83" s="689"/>
      <c r="N83" s="855" t="s">
        <v>885</v>
      </c>
      <c r="T83" s="73"/>
      <c r="U83" s="73"/>
      <c r="V83" s="73"/>
      <c r="W83" s="73"/>
      <c r="X83" s="73"/>
      <c r="Y83" s="73"/>
      <c r="Z83" s="73"/>
      <c r="AA83" s="73"/>
      <c r="AB83" s="73"/>
      <c r="AC83" s="73"/>
      <c r="AL83" s="143"/>
      <c r="AM83" s="143"/>
      <c r="AN83" s="143"/>
      <c r="AO83" s="143"/>
      <c r="AP83" s="143"/>
      <c r="AQ83" s="143"/>
      <c r="AR83" s="143"/>
      <c r="AS83" s="143"/>
      <c r="AT83" s="143"/>
      <c r="AU83" s="143"/>
    </row>
    <row r="84" spans="1:47" ht="15" customHeight="1">
      <c r="A84" s="482" t="str">
        <f>input!B35</f>
        <v>117i</v>
      </c>
      <c r="B84" s="538" t="str">
        <f>Stress!C864</f>
        <v>Negative</v>
      </c>
      <c r="C84" s="674"/>
      <c r="D84" s="527">
        <f>IF(B84="Positive",Stress!B599+Stress!D599+Stress!F599+Stress!H599,Stress!B599+Stress!D599+Stress!D729+Stress!F729)</f>
        <v>98.807992778694612</v>
      </c>
      <c r="E84" s="694">
        <f>IF(B84="Positive",Stress!C599+Stress!E599+Stress!G599+Stress!I599,Stress!C599+Stress!E599+Stress!E729+Stress!G729)</f>
        <v>-80.569562934177611</v>
      </c>
      <c r="F84" s="527">
        <f>ABS(Stress!N864-Stress!L864)</f>
        <v>7.4378546700260966</v>
      </c>
      <c r="G84" s="694">
        <f>ABS(Stress!O864-Stress!M864)</f>
        <v>4.3911433460001383</v>
      </c>
      <c r="H84" s="688" t="str">
        <f t="shared" ref="H84:H113" si="3">IF(MAX(F84,G84)&lt;=$M$36,"OK","NG")</f>
        <v>OK</v>
      </c>
      <c r="I84" s="721"/>
      <c r="J84" s="688" t="str">
        <f t="shared" ref="J84:J113" si="4">IF(ISTEXT(N84),IF(AND(D84&lt;0,ABS(D84)&gt;=2*F84),"검토 필요없음",IF(F84&lt;=$M$38,"OK","NG")),"-")</f>
        <v>OK</v>
      </c>
      <c r="K84" s="721"/>
      <c r="L84" s="688" t="str">
        <f t="shared" ref="L84:L113" si="5">IF(AND(D84&lt;0,ABS(D84)&gt;=2*F84),"검토 필요없음",IF(F84&lt;=$M$40,"OK","NG"))</f>
        <v>OK</v>
      </c>
      <c r="M84" s="689"/>
      <c r="N84" s="855" t="s">
        <v>890</v>
      </c>
      <c r="T84" s="73"/>
      <c r="U84" s="73"/>
      <c r="V84" s="73"/>
      <c r="W84" s="73"/>
      <c r="X84" s="73"/>
      <c r="Y84" s="73"/>
      <c r="Z84" s="73"/>
      <c r="AA84" s="73"/>
      <c r="AB84" s="73"/>
      <c r="AC84" s="73"/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</row>
    <row r="85" spans="1:47" ht="15" customHeight="1">
      <c r="A85" s="482" t="str">
        <f>input!B36</f>
        <v>117j</v>
      </c>
      <c r="B85" s="538" t="str">
        <f>Stress!C865</f>
        <v>Negative</v>
      </c>
      <c r="C85" s="674"/>
      <c r="D85" s="527">
        <f>IF(B85="Positive",Stress!B600+Stress!D600+Stress!F600+Stress!H600,Stress!B600+Stress!D600+Stress!D730+Stress!F730)</f>
        <v>177.65045765136836</v>
      </c>
      <c r="E85" s="694">
        <f>IF(B85="Positive",Stress!C600+Stress!E600+Stress!G600+Stress!I600,Stress!C600+Stress!E600+Stress!E730+Stress!G730)</f>
        <v>-145.59443283289693</v>
      </c>
      <c r="F85" s="527">
        <f>ABS(Stress!N865-Stress!L865)</f>
        <v>8.233542182239928</v>
      </c>
      <c r="G85" s="694">
        <f>ABS(Stress!O865-Stress!M865)</f>
        <v>4.8608994893721764</v>
      </c>
      <c r="H85" s="688" t="str">
        <f t="shared" si="3"/>
        <v>OK</v>
      </c>
      <c r="I85" s="721"/>
      <c r="J85" s="688" t="str">
        <f t="shared" si="4"/>
        <v>-</v>
      </c>
      <c r="K85" s="721"/>
      <c r="L85" s="688" t="str">
        <f t="shared" si="5"/>
        <v>OK</v>
      </c>
      <c r="M85" s="689"/>
      <c r="N85" s="855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</row>
    <row r="86" spans="1:47" ht="15" customHeight="1">
      <c r="A86" s="482" t="str">
        <f>input!B37</f>
        <v>118i</v>
      </c>
      <c r="B86" s="538" t="str">
        <f>Stress!C866</f>
        <v>Negative</v>
      </c>
      <c r="C86" s="674"/>
      <c r="D86" s="527">
        <f>IF(B86="Positive",Stress!B601+Stress!D601+Stress!F601+Stress!H601,Stress!B601+Stress!D601+Stress!D731+Stress!F731)</f>
        <v>95.076680873861363</v>
      </c>
      <c r="E86" s="694">
        <f>IF(B86="Positive",Stress!C601+Stress!E601+Stress!G601+Stress!I601,Stress!C601+Stress!E601+Stress!E731+Stress!G731)</f>
        <v>-114.42914630852584</v>
      </c>
      <c r="F86" s="527">
        <f>ABS(Stress!N866-Stress!L866)</f>
        <v>4.7175720973964221</v>
      </c>
      <c r="G86" s="694">
        <f>ABS(Stress!O866-Stress!M866)</f>
        <v>3.627370748228202</v>
      </c>
      <c r="H86" s="688" t="str">
        <f t="shared" si="3"/>
        <v>OK</v>
      </c>
      <c r="I86" s="721"/>
      <c r="J86" s="688" t="str">
        <f t="shared" si="4"/>
        <v>-</v>
      </c>
      <c r="K86" s="721"/>
      <c r="L86" s="688" t="str">
        <f t="shared" si="5"/>
        <v>OK</v>
      </c>
      <c r="M86" s="689"/>
      <c r="N86" s="855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</row>
    <row r="87" spans="1:47" ht="15" customHeight="1">
      <c r="A87" s="482" t="str">
        <f>input!B38</f>
        <v>118j</v>
      </c>
      <c r="B87" s="538" t="str">
        <f>Stress!C867</f>
        <v>Negative</v>
      </c>
      <c r="C87" s="674"/>
      <c r="D87" s="527">
        <f>IF(B87="Positive",Stress!B602+Stress!D602+Stress!F602+Stress!H602,Stress!B602+Stress!D602+Stress!D732+Stress!F732)</f>
        <v>127.98004926324776</v>
      </c>
      <c r="E87" s="694">
        <f>IF(B87="Positive",Stress!C602+Stress!E602+Stress!G602+Stress!I602,Stress!C602+Stress!E602+Stress!E732+Stress!G732)</f>
        <v>-154.64046520925118</v>
      </c>
      <c r="F87" s="527">
        <f>ABS(Stress!N867-Stress!L867)</f>
        <v>5.4797691609479227</v>
      </c>
      <c r="G87" s="694">
        <f>ABS(Stress!O867-Stress!M867)</f>
        <v>4.2134288466805785</v>
      </c>
      <c r="H87" s="688" t="str">
        <f t="shared" si="3"/>
        <v>OK</v>
      </c>
      <c r="I87" s="721"/>
      <c r="J87" s="688" t="str">
        <f t="shared" si="4"/>
        <v>-</v>
      </c>
      <c r="K87" s="721"/>
      <c r="L87" s="688" t="str">
        <f t="shared" si="5"/>
        <v>OK</v>
      </c>
      <c r="M87" s="689"/>
      <c r="N87" s="855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</row>
    <row r="88" spans="1:47" ht="15" customHeight="1">
      <c r="A88" s="482" t="str">
        <f>input!B39</f>
        <v>119i</v>
      </c>
      <c r="B88" s="538" t="str">
        <f>Stress!C868</f>
        <v>Negative</v>
      </c>
      <c r="C88" s="674"/>
      <c r="D88" s="527">
        <f>IF(B88="Positive",Stress!B603+Stress!D603+Stress!F603+Stress!H603,Stress!B603+Stress!D603+Stress!D733+Stress!F733)</f>
        <v>123.93227255836814</v>
      </c>
      <c r="E88" s="694">
        <f>IF(B88="Positive",Stress!C603+Stress!E603+Stress!G603+Stress!I603,Stress!C603+Stress!E603+Stress!E733+Stress!G733)</f>
        <v>-146.82877152295617</v>
      </c>
      <c r="F88" s="527">
        <f>ABS(Stress!N868-Stress!L868)</f>
        <v>5.3173043956134265</v>
      </c>
      <c r="G88" s="694">
        <f>ABS(Stress!O868-Stress!M868)</f>
        <v>3.8703577697179594</v>
      </c>
      <c r="H88" s="688" t="str">
        <f t="shared" si="3"/>
        <v>OK</v>
      </c>
      <c r="I88" s="721"/>
      <c r="J88" s="688" t="str">
        <f t="shared" si="4"/>
        <v>-</v>
      </c>
      <c r="K88" s="721"/>
      <c r="L88" s="688" t="str">
        <f t="shared" si="5"/>
        <v>OK</v>
      </c>
      <c r="M88" s="689"/>
      <c r="N88" s="855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</row>
    <row r="89" spans="1:47" ht="15" customHeight="1">
      <c r="A89" s="482" t="str">
        <f>input!B40</f>
        <v>119j</v>
      </c>
      <c r="B89" s="538" t="str">
        <f>Stress!C869</f>
        <v>Negative</v>
      </c>
      <c r="C89" s="674"/>
      <c r="D89" s="527">
        <f>IF(B89="Positive",Stress!B604+Stress!D604+Stress!F604+Stress!H604,Stress!B604+Stress!D604+Stress!D734+Stress!F734)</f>
        <v>138.50860582238607</v>
      </c>
      <c r="E89" s="694">
        <f>IF(B89="Positive",Stress!C604+Stress!E604+Stress!G604+Stress!I604,Stress!C604+Stress!E604+Stress!E734+Stress!G734)</f>
        <v>-164.42105741915259</v>
      </c>
      <c r="F89" s="527">
        <f>ABS(Stress!N869-Stress!L869)</f>
        <v>6.0179252922106174</v>
      </c>
      <c r="G89" s="694">
        <f>ABS(Stress!O869-Stress!M869)</f>
        <v>4.3803254768533098</v>
      </c>
      <c r="H89" s="688" t="str">
        <f t="shared" si="3"/>
        <v>OK</v>
      </c>
      <c r="I89" s="721"/>
      <c r="J89" s="688" t="str">
        <f t="shared" si="4"/>
        <v>OK</v>
      </c>
      <c r="K89" s="721"/>
      <c r="L89" s="688" t="str">
        <f t="shared" si="5"/>
        <v>OK</v>
      </c>
      <c r="M89" s="689"/>
      <c r="N89" s="855" t="s">
        <v>885</v>
      </c>
      <c r="T89" s="73"/>
      <c r="U89" s="73"/>
      <c r="V89" s="73"/>
      <c r="W89" s="73"/>
      <c r="X89" s="73"/>
      <c r="Y89" s="73"/>
      <c r="Z89" s="73"/>
      <c r="AA89" s="73"/>
      <c r="AB89" s="73"/>
      <c r="AC89" s="73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</row>
    <row r="90" spans="1:47" ht="15" customHeight="1">
      <c r="A90" s="482" t="str">
        <f>input!B41</f>
        <v>120i</v>
      </c>
      <c r="B90" s="538" t="str">
        <f>Stress!C870</f>
        <v>Negative</v>
      </c>
      <c r="C90" s="674"/>
      <c r="D90" s="527">
        <f>IF(B90="Positive",Stress!B605+Stress!D605+Stress!F605+Stress!H605,Stress!B605+Stress!D605+Stress!D735+Stress!F735)</f>
        <v>138.50897182792903</v>
      </c>
      <c r="E90" s="694">
        <f>IF(B90="Positive",Stress!C605+Stress!E605+Stress!G605+Stress!I605,Stress!C605+Stress!E605+Stress!E735+Stress!G735)</f>
        <v>-164.42144960964401</v>
      </c>
      <c r="F90" s="527">
        <f>ABS(Stress!N870-Stress!L870)</f>
        <v>6.0142930602139906</v>
      </c>
      <c r="G90" s="694">
        <f>ABS(Stress!O870-Stress!M870)</f>
        <v>4.3776816490255932</v>
      </c>
      <c r="H90" s="688" t="str">
        <f t="shared" si="3"/>
        <v>OK</v>
      </c>
      <c r="I90" s="721"/>
      <c r="J90" s="688" t="str">
        <f t="shared" si="4"/>
        <v>OK</v>
      </c>
      <c r="K90" s="721"/>
      <c r="L90" s="688" t="str">
        <f t="shared" si="5"/>
        <v>OK</v>
      </c>
      <c r="M90" s="689"/>
      <c r="N90" s="855" t="s">
        <v>890</v>
      </c>
      <c r="T90" s="73"/>
      <c r="U90" s="73"/>
      <c r="V90" s="73"/>
      <c r="W90" s="73"/>
      <c r="X90" s="73"/>
      <c r="Y90" s="73"/>
      <c r="Z90" s="73"/>
      <c r="AA90" s="73"/>
      <c r="AB90" s="73"/>
      <c r="AC90" s="73"/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</row>
    <row r="91" spans="1:47" ht="15" customHeight="1">
      <c r="A91" s="482" t="str">
        <f>input!B42</f>
        <v>120j</v>
      </c>
      <c r="B91" s="538" t="str">
        <f>Stress!C871</f>
        <v>Negative</v>
      </c>
      <c r="C91" s="674"/>
      <c r="D91" s="527">
        <f>IF(B91="Positive",Stress!B606+Stress!D606+Stress!F606+Stress!H606,Stress!B606+Stress!D606+Stress!D736+Stress!F736)</f>
        <v>127.03972960886527</v>
      </c>
      <c r="E91" s="694">
        <f>IF(B91="Positive",Stress!C606+Stress!E606+Stress!G606+Stress!I606,Stress!C606+Stress!E606+Stress!E736+Stress!G736)</f>
        <v>-150.59280404599969</v>
      </c>
      <c r="F91" s="527">
        <f>ABS(Stress!N871-Stress!L871)</f>
        <v>5.8169862193696646</v>
      </c>
      <c r="G91" s="694">
        <f>ABS(Stress!O871-Stress!M871)</f>
        <v>4.2340660107878563</v>
      </c>
      <c r="H91" s="688" t="str">
        <f t="shared" si="3"/>
        <v>OK</v>
      </c>
      <c r="I91" s="721"/>
      <c r="J91" s="688" t="str">
        <f t="shared" si="4"/>
        <v>-</v>
      </c>
      <c r="K91" s="721"/>
      <c r="L91" s="688" t="str">
        <f t="shared" si="5"/>
        <v>OK</v>
      </c>
      <c r="M91" s="689"/>
      <c r="N91" s="855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</row>
    <row r="92" spans="1:47" ht="15" customHeight="1">
      <c r="A92" s="482" t="str">
        <f>input!B43</f>
        <v>121i</v>
      </c>
      <c r="B92" s="538" t="str">
        <f>Stress!C872</f>
        <v>Negative</v>
      </c>
      <c r="C92" s="674"/>
      <c r="D92" s="527">
        <f>IF(B92="Positive",Stress!B607+Stress!D607+Stress!F607+Stress!H607,Stress!B607+Stress!D607+Stress!D737+Stress!F737)</f>
        <v>131.18897626804704</v>
      </c>
      <c r="E92" s="694">
        <f>IF(B92="Positive",Stress!C607+Stress!E607+Stress!G607+Stress!I607,Stress!C607+Stress!E607+Stress!E737+Stress!G737)</f>
        <v>-158.59610394989267</v>
      </c>
      <c r="F92" s="527">
        <f>ABS(Stress!N872-Stress!L872)</f>
        <v>5.9947746020955082</v>
      </c>
      <c r="G92" s="694">
        <f>ABS(Stress!O872-Stress!M872)</f>
        <v>4.609419757646859</v>
      </c>
      <c r="H92" s="688" t="str">
        <f t="shared" si="3"/>
        <v>OK</v>
      </c>
      <c r="I92" s="721"/>
      <c r="J92" s="688" t="str">
        <f t="shared" si="4"/>
        <v>-</v>
      </c>
      <c r="K92" s="721"/>
      <c r="L92" s="688" t="str">
        <f t="shared" si="5"/>
        <v>OK</v>
      </c>
      <c r="M92" s="689"/>
      <c r="N92" s="855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</row>
    <row r="93" spans="1:47" ht="15" customHeight="1">
      <c r="A93" s="482" t="str">
        <f>input!B44</f>
        <v>121j</v>
      </c>
      <c r="B93" s="538" t="str">
        <f>Stress!C873</f>
        <v>Negative</v>
      </c>
      <c r="C93" s="674"/>
      <c r="D93" s="527">
        <f>IF(B93="Positive",Stress!B608+Stress!D608+Stress!F608+Stress!H608,Stress!B608+Stress!D608+Stress!D738+Stress!F738)</f>
        <v>105.77166820852592</v>
      </c>
      <c r="E93" s="694">
        <f>IF(B93="Positive",Stress!C608+Stress!E608+Stress!G608+Stress!I608,Stress!C608+Stress!E608+Stress!E738+Stress!G738)</f>
        <v>-127.61219046136937</v>
      </c>
      <c r="F93" s="527">
        <f>ABS(Stress!N873-Stress!L873)</f>
        <v>6.228796179043476</v>
      </c>
      <c r="G93" s="694">
        <f>ABS(Stress!O873-Stress!M873)</f>
        <v>4.7893604146521405</v>
      </c>
      <c r="H93" s="688" t="str">
        <f t="shared" si="3"/>
        <v>OK</v>
      </c>
      <c r="I93" s="721"/>
      <c r="J93" s="688" t="str">
        <f t="shared" si="4"/>
        <v>-</v>
      </c>
      <c r="K93" s="721"/>
      <c r="L93" s="688" t="str">
        <f t="shared" si="5"/>
        <v>OK</v>
      </c>
      <c r="M93" s="689"/>
      <c r="N93" s="855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</row>
    <row r="94" spans="1:47" ht="15" customHeight="1">
      <c r="A94" s="482" t="str">
        <f>input!B45</f>
        <v>122i</v>
      </c>
      <c r="B94" s="538" t="str">
        <f>Stress!C874</f>
        <v>Negative</v>
      </c>
      <c r="C94" s="674"/>
      <c r="D94" s="527">
        <f>IF(B94="Positive",Stress!B609+Stress!D609+Stress!F609+Stress!H609,Stress!B609+Stress!D609+Stress!D739+Stress!F739)</f>
        <v>182.23950810202081</v>
      </c>
      <c r="E94" s="694">
        <f>IF(B94="Positive",Stress!C609+Stress!E609+Stress!G609+Stress!I609,Stress!C609+Stress!E609+Stress!E739+Stress!G739)</f>
        <v>-154.36223620530694</v>
      </c>
      <c r="F94" s="527">
        <f>ABS(Stress!N874-Stress!L874)</f>
        <v>10.164964518349779</v>
      </c>
      <c r="G94" s="694">
        <f>ABS(Stress!O874-Stress!M874)</f>
        <v>6.2131018702206084</v>
      </c>
      <c r="H94" s="688" t="str">
        <f t="shared" si="3"/>
        <v>OK</v>
      </c>
      <c r="I94" s="721"/>
      <c r="J94" s="688" t="str">
        <f t="shared" si="4"/>
        <v>-</v>
      </c>
      <c r="K94" s="721"/>
      <c r="L94" s="688" t="str">
        <f t="shared" si="5"/>
        <v>OK</v>
      </c>
      <c r="M94" s="689"/>
      <c r="N94" s="855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</row>
    <row r="95" spans="1:47" ht="15" customHeight="1">
      <c r="A95" s="482" t="str">
        <f>input!B46</f>
        <v>122j</v>
      </c>
      <c r="B95" s="538" t="str">
        <f>Stress!C875</f>
        <v>Negative</v>
      </c>
      <c r="C95" s="674"/>
      <c r="D95" s="527">
        <f>IF(B95="Positive",Stress!B610+Stress!D610+Stress!F610+Stress!H610,Stress!B610+Stress!D610+Stress!D740+Stress!F740)</f>
        <v>128.01699824480835</v>
      </c>
      <c r="E95" s="694">
        <f>IF(B95="Positive",Stress!C610+Stress!E610+Stress!G610+Stress!I610,Stress!C610+Stress!E610+Stress!E740+Stress!G740)</f>
        <v>-108.44948871795758</v>
      </c>
      <c r="F95" s="527">
        <f>ABS(Stress!N875-Stress!L875)</f>
        <v>10.953073338868883</v>
      </c>
      <c r="G95" s="694">
        <f>ABS(Stress!O875-Stress!M875)</f>
        <v>6.69481534574384</v>
      </c>
      <c r="H95" s="688" t="str">
        <f t="shared" si="3"/>
        <v>OK</v>
      </c>
      <c r="I95" s="721"/>
      <c r="J95" s="688" t="str">
        <f t="shared" si="4"/>
        <v>OK</v>
      </c>
      <c r="K95" s="721"/>
      <c r="L95" s="688" t="str">
        <f t="shared" si="5"/>
        <v>OK</v>
      </c>
      <c r="M95" s="689"/>
      <c r="N95" s="855" t="s">
        <v>885</v>
      </c>
      <c r="T95" s="73"/>
      <c r="U95" s="73"/>
      <c r="V95" s="73"/>
      <c r="W95" s="73"/>
      <c r="X95" s="73"/>
      <c r="Y95" s="73"/>
      <c r="Z95" s="73"/>
      <c r="AA95" s="73"/>
      <c r="AB95" s="73"/>
      <c r="AC95" s="73"/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</row>
    <row r="96" spans="1:47" ht="15" customHeight="1">
      <c r="A96" s="482" t="str">
        <f>input!B47</f>
        <v>123i</v>
      </c>
      <c r="B96" s="538" t="str">
        <f>Stress!C876</f>
        <v>Negative</v>
      </c>
      <c r="C96" s="674"/>
      <c r="D96" s="527">
        <f>IF(B96="Positive",Stress!B611+Stress!D611+Stress!F611+Stress!H611,Stress!B611+Stress!D611+Stress!D741+Stress!F741)</f>
        <v>166.67525368882809</v>
      </c>
      <c r="E96" s="694">
        <f>IF(B96="Positive",Stress!C611+Stress!E611+Stress!G611+Stress!I611,Stress!C611+Stress!E611+Stress!E741+Stress!G741)</f>
        <v>-141.75769834011035</v>
      </c>
      <c r="F96" s="527">
        <f>ABS(Stress!N876-Stress!L876)</f>
        <v>14.101334994771051</v>
      </c>
      <c r="G96" s="694">
        <f>ABS(Stress!O876-Stress!M876)</f>
        <v>13.956797871197802</v>
      </c>
      <c r="H96" s="688" t="str">
        <f t="shared" si="3"/>
        <v>OK</v>
      </c>
      <c r="I96" s="721"/>
      <c r="J96" s="688" t="str">
        <f t="shared" si="4"/>
        <v>OK</v>
      </c>
      <c r="K96" s="721"/>
      <c r="L96" s="688" t="str">
        <f t="shared" si="5"/>
        <v>OK</v>
      </c>
      <c r="M96" s="689"/>
      <c r="N96" s="855" t="s">
        <v>885</v>
      </c>
      <c r="T96" s="73"/>
      <c r="U96" s="73"/>
      <c r="V96" s="73"/>
      <c r="W96" s="73"/>
      <c r="X96" s="73"/>
      <c r="Y96" s="73"/>
      <c r="Z96" s="73"/>
      <c r="AA96" s="73"/>
      <c r="AB96" s="73"/>
      <c r="AC96" s="7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</row>
    <row r="97" spans="1:47" ht="15" customHeight="1">
      <c r="A97" s="971" t="str">
        <f>input!B48</f>
        <v>123j</v>
      </c>
      <c r="B97" s="968" t="str">
        <f>Stress!C877</f>
        <v>Negative</v>
      </c>
      <c r="C97" s="1078"/>
      <c r="D97" s="955">
        <f>IF(B97="Positive",Stress!B612+Stress!D612+Stress!F612+Stress!H612,Stress!B612+Stress!D612+Stress!D742+Stress!F742)</f>
        <v>110.47879825273982</v>
      </c>
      <c r="E97" s="1085">
        <f>IF(B97="Positive",Stress!C612+Stress!E612+Stress!G612+Stress!I612,Stress!C612+Stress!E612+Stress!E742+Stress!G742)</f>
        <v>-93.949468768712379</v>
      </c>
      <c r="F97" s="955">
        <f>ABS(Stress!N877-Stress!L877)</f>
        <v>15.236789745794832</v>
      </c>
      <c r="G97" s="1085">
        <f>ABS(Stress!O877-Stress!M877)</f>
        <v>15.080614336646393</v>
      </c>
      <c r="H97" s="1093" t="str">
        <f t="shared" si="3"/>
        <v>OK</v>
      </c>
      <c r="I97" s="1094"/>
      <c r="J97" s="1093" t="str">
        <f t="shared" si="4"/>
        <v>-</v>
      </c>
      <c r="K97" s="1094"/>
      <c r="L97" s="1093" t="str">
        <f t="shared" si="5"/>
        <v>OK</v>
      </c>
      <c r="M97" s="1095"/>
      <c r="N97" s="855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L97" s="143"/>
      <c r="AM97" s="143"/>
      <c r="AN97" s="143"/>
      <c r="AO97" s="143"/>
      <c r="AP97" s="143"/>
      <c r="AQ97" s="143"/>
      <c r="AR97" s="143"/>
      <c r="AS97" s="143"/>
      <c r="AT97" s="143"/>
      <c r="AU97" s="143"/>
    </row>
    <row r="98" spans="1:47" ht="15" customHeight="1">
      <c r="A98" s="979" t="str">
        <f>input!B49</f>
        <v>124i</v>
      </c>
      <c r="B98" s="970" t="str">
        <f>Stress!C878</f>
        <v>Negative</v>
      </c>
      <c r="C98" s="1081"/>
      <c r="D98" s="961">
        <f>IF(B98="Positive",Stress!B613+Stress!D613+Stress!F613+Stress!H613,Stress!B613+Stress!D613+Stress!D743+Stress!F743)</f>
        <v>165.94360808058141</v>
      </c>
      <c r="E98" s="1087">
        <f>IF(B98="Positive",Stress!C613+Stress!E613+Stress!G613+Stress!I613,Stress!C613+Stress!E613+Stress!E743+Stress!G743)</f>
        <v>-118.04570758706005</v>
      </c>
      <c r="F98" s="961">
        <f>ABS(Stress!N878-Stress!L878)</f>
        <v>21.135596667448695</v>
      </c>
      <c r="G98" s="1087">
        <f>ABS(Stress!O878-Stress!M878)</f>
        <v>18.412644661284304</v>
      </c>
      <c r="H98" s="723" t="str">
        <f t="shared" si="3"/>
        <v>OK</v>
      </c>
      <c r="I98" s="724"/>
      <c r="J98" s="723" t="str">
        <f t="shared" si="4"/>
        <v>-</v>
      </c>
      <c r="K98" s="724"/>
      <c r="L98" s="723" t="str">
        <f t="shared" si="5"/>
        <v>OK</v>
      </c>
      <c r="M98" s="725"/>
      <c r="N98" s="855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</row>
    <row r="99" spans="1:47" ht="15" customHeight="1">
      <c r="A99" s="482" t="str">
        <f>input!B50</f>
        <v>124j</v>
      </c>
      <c r="B99" s="538" t="str">
        <f>Stress!C879</f>
        <v>Negative</v>
      </c>
      <c r="C99" s="674"/>
      <c r="D99" s="527">
        <f>IF(B99="Positive",Stress!B614+Stress!D614+Stress!F614+Stress!H614,Stress!B614+Stress!D614+Stress!D744+Stress!F744)</f>
        <v>95.091447788433769</v>
      </c>
      <c r="E99" s="694">
        <f>IF(B99="Positive",Stress!C614+Stress!E614+Stress!G614+Stress!I614,Stress!C614+Stress!E614+Stress!E744+Stress!G744)</f>
        <v>-67.608431007935934</v>
      </c>
      <c r="F99" s="527">
        <f>ABS(Stress!N879-Stress!L879)</f>
        <v>20.876176388383424</v>
      </c>
      <c r="G99" s="694">
        <f>ABS(Stress!O879-Stress!M879)</f>
        <v>18.186646148371885</v>
      </c>
      <c r="H99" s="688" t="str">
        <f t="shared" si="3"/>
        <v>OK</v>
      </c>
      <c r="I99" s="721"/>
      <c r="J99" s="688" t="str">
        <f t="shared" si="4"/>
        <v>OK</v>
      </c>
      <c r="K99" s="721"/>
      <c r="L99" s="688" t="str">
        <f t="shared" si="5"/>
        <v>OK</v>
      </c>
      <c r="M99" s="689"/>
      <c r="N99" s="855" t="s">
        <v>885</v>
      </c>
      <c r="T99" s="73"/>
      <c r="U99" s="73"/>
      <c r="V99" s="73"/>
      <c r="W99" s="73"/>
      <c r="X99" s="73"/>
      <c r="Y99" s="73"/>
      <c r="Z99" s="73"/>
      <c r="AA99" s="73"/>
      <c r="AB99" s="73"/>
      <c r="AC99" s="73"/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</row>
    <row r="100" spans="1:47" ht="15" customHeight="1">
      <c r="A100" s="482" t="str">
        <f>input!B51</f>
        <v>125i</v>
      </c>
      <c r="B100" s="538" t="str">
        <f>Stress!C880</f>
        <v>Negative</v>
      </c>
      <c r="C100" s="674"/>
      <c r="D100" s="527">
        <f>IF(B100="Positive",Stress!B615+Stress!D615+Stress!F615+Stress!H615,Stress!B615+Stress!D615+Stress!D745+Stress!F745)</f>
        <v>107.35339490175556</v>
      </c>
      <c r="E100" s="694">
        <f>IF(B100="Positive",Stress!C615+Stress!E615+Stress!G615+Stress!I615,Stress!C615+Stress!E615+Stress!E745+Stress!G745)</f>
        <v>-82.333193959747462</v>
      </c>
      <c r="F100" s="527">
        <f>ABS(Stress!N880-Stress!L880)</f>
        <v>22.972293077735586</v>
      </c>
      <c r="G100" s="694">
        <f>ABS(Stress!O880-Stress!M880)</f>
        <v>21.903199038206147</v>
      </c>
      <c r="H100" s="688" t="str">
        <f t="shared" si="3"/>
        <v>OK</v>
      </c>
      <c r="I100" s="721"/>
      <c r="J100" s="688" t="str">
        <f>IF(ISTEXT(N100),IF(AND(D100&lt;0,ABS(D100)&gt;=2*F100),"검토 필요없음",IF(F100&lt;=$M$38,"OK","NG")),"-")</f>
        <v>OK</v>
      </c>
      <c r="K100" s="721"/>
      <c r="L100" s="688" t="str">
        <f>IF(AND(D100&lt;0,ABS(D100)&gt;=2*F100),"검토 필요없음",IF(F100&lt;=$M$40,"OK","NG"))</f>
        <v>OK</v>
      </c>
      <c r="M100" s="689"/>
      <c r="N100" s="855" t="s">
        <v>891</v>
      </c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</row>
    <row r="101" spans="1:47" ht="15" customHeight="1">
      <c r="A101" s="482" t="str">
        <f>input!B52</f>
        <v>125j</v>
      </c>
      <c r="B101" s="538" t="str">
        <f>Stress!C881</f>
        <v>Negative</v>
      </c>
      <c r="C101" s="674"/>
      <c r="D101" s="527">
        <f>IF(B101="Positive",Stress!B616+Stress!D616+Stress!F616+Stress!H616,Stress!B616+Stress!D616+Stress!D746+Stress!F746)</f>
        <v>48.559348555305668</v>
      </c>
      <c r="E101" s="694">
        <f>IF(B101="Positive",Stress!C616+Stress!E616+Stress!G616+Stress!I616,Stress!C616+Stress!E616+Stress!E746+Stress!G746)</f>
        <v>-37.190896805152896</v>
      </c>
      <c r="F101" s="527">
        <f>ABS(Stress!N881-Stress!L881)</f>
        <v>23.384195093996286</v>
      </c>
      <c r="G101" s="694">
        <f>ABS(Stress!O881-Stress!M881)</f>
        <v>22.295931788735981</v>
      </c>
      <c r="H101" s="688" t="str">
        <f t="shared" si="3"/>
        <v>OK</v>
      </c>
      <c r="I101" s="721"/>
      <c r="J101" s="688" t="str">
        <f t="shared" si="4"/>
        <v>-</v>
      </c>
      <c r="K101" s="721"/>
      <c r="L101" s="688" t="str">
        <f>IF(AND(D101&lt;0,ABS(D101)&gt;=2*F101),"검토 필요없음",IF(F101&lt;=$M$40,"OK","NG"))</f>
        <v>OK</v>
      </c>
      <c r="M101" s="689"/>
      <c r="N101" s="855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</row>
    <row r="102" spans="1:47" ht="15" customHeight="1">
      <c r="A102" s="482" t="str">
        <f>input!B53</f>
        <v>126i</v>
      </c>
      <c r="B102" s="538" t="str">
        <f>Stress!C882</f>
        <v>Negative</v>
      </c>
      <c r="C102" s="674"/>
      <c r="D102" s="527">
        <f>IF(B102="Positive",Stress!B617+Stress!D617+Stress!F617+Stress!H617,Stress!B617+Stress!D617+Stress!D747+Stress!F747)</f>
        <v>48.559348555305668</v>
      </c>
      <c r="E102" s="694">
        <f>IF(B102="Positive",Stress!C617+Stress!E617+Stress!G617+Stress!I617,Stress!C617+Stress!E617+Stress!E747+Stress!G747)</f>
        <v>-37.190896805152896</v>
      </c>
      <c r="F102" s="527">
        <f>ABS(Stress!N882-Stress!L882)</f>
        <v>23.38425016111076</v>
      </c>
      <c r="G102" s="694">
        <f>ABS(Stress!O882-Stress!M882)</f>
        <v>22.295984293114394</v>
      </c>
      <c r="H102" s="688" t="str">
        <f t="shared" si="3"/>
        <v>OK</v>
      </c>
      <c r="I102" s="721"/>
      <c r="J102" s="688" t="str">
        <f t="shared" si="4"/>
        <v>-</v>
      </c>
      <c r="K102" s="721"/>
      <c r="L102" s="688" t="str">
        <f>IF(AND(D102&lt;0,ABS(D102)&gt;=2*F102),"검토 필요없음",IF(F102&lt;=$M$40,"OK","NG"))</f>
        <v>OK</v>
      </c>
      <c r="M102" s="689"/>
      <c r="N102" s="855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</row>
    <row r="103" spans="1:47" ht="15" customHeight="1">
      <c r="A103" s="482" t="str">
        <f>input!B54</f>
        <v>126j</v>
      </c>
      <c r="B103" s="538" t="str">
        <f>Stress!C883</f>
        <v>Negative</v>
      </c>
      <c r="C103" s="674"/>
      <c r="D103" s="527">
        <f>IF(B103="Positive",Stress!B618+Stress!D618+Stress!F618+Stress!H618,Stress!B618+Stress!D618+Stress!D748+Stress!F748)</f>
        <v>4.1354078115743551</v>
      </c>
      <c r="E103" s="694">
        <f>IF(B103="Positive",Stress!C618+Stress!E618+Stress!G618+Stress!I618,Stress!C618+Stress!E618+Stress!E748+Stress!G748)</f>
        <v>-3.0791146872703359</v>
      </c>
      <c r="F103" s="527">
        <f>ABS(Stress!N883-Stress!L883)</f>
        <v>21.331017730857194</v>
      </c>
      <c r="G103" s="694">
        <f>ABS(Stress!O883-Stress!M883)</f>
        <v>20.338306039604294</v>
      </c>
      <c r="H103" s="688" t="str">
        <f t="shared" si="3"/>
        <v>OK</v>
      </c>
      <c r="I103" s="721"/>
      <c r="J103" s="688" t="str">
        <f t="shared" si="4"/>
        <v>OK</v>
      </c>
      <c r="K103" s="721"/>
      <c r="L103" s="688" t="str">
        <f t="shared" si="5"/>
        <v>OK</v>
      </c>
      <c r="M103" s="689"/>
      <c r="N103" s="855" t="s">
        <v>892</v>
      </c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</row>
    <row r="104" spans="1:47" ht="15" customHeight="1">
      <c r="A104" s="482" t="str">
        <f>input!B55</f>
        <v>127i</v>
      </c>
      <c r="B104" s="538" t="str">
        <f>Stress!C884</f>
        <v>Negative</v>
      </c>
      <c r="C104" s="674"/>
      <c r="D104" s="527">
        <f>IF(B104="Positive",Stress!B619+Stress!D619+Stress!F619+Stress!H619,Stress!B619+Stress!D619+Stress!D749+Stress!F749)</f>
        <v>4.4359477490534687</v>
      </c>
      <c r="E104" s="694">
        <f>IF(B104="Positive",Stress!C619+Stress!E619+Stress!G619+Stress!I619,Stress!C619+Stress!E619+Stress!E749+Stress!G749)</f>
        <v>-4.1552853836117416</v>
      </c>
      <c r="F104" s="527">
        <f>ABS(Stress!N884-Stress!L884)</f>
        <v>22.666943170699863</v>
      </c>
      <c r="G104" s="694">
        <f>ABS(Stress!O884-Stress!M884)</f>
        <v>27.274718954742532</v>
      </c>
      <c r="H104" s="688" t="str">
        <f>IF(MAX(F104,G104)&lt;=$M$36,"OK","NG")</f>
        <v>OK</v>
      </c>
      <c r="I104" s="721"/>
      <c r="J104" s="688" t="str">
        <f t="shared" si="4"/>
        <v>OK</v>
      </c>
      <c r="K104" s="721"/>
      <c r="L104" s="688" t="str">
        <f t="shared" si="5"/>
        <v>OK</v>
      </c>
      <c r="M104" s="689"/>
      <c r="N104" s="855" t="s">
        <v>885</v>
      </c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</row>
    <row r="105" spans="1:47" ht="15" customHeight="1">
      <c r="A105" s="482" t="str">
        <f>input!B56</f>
        <v>127j</v>
      </c>
      <c r="B105" s="538" t="str">
        <f>Stress!C885</f>
        <v>Positive</v>
      </c>
      <c r="C105" s="674"/>
      <c r="D105" s="527">
        <f>IF(B105="Positive",Stress!B620+Stress!D620+Stress!F620+Stress!H620,Stress!B620+Stress!D620+Stress!D750+Stress!F750)</f>
        <v>-18.978364992690185</v>
      </c>
      <c r="E105" s="694">
        <f>IF(B105="Positive",Stress!C620+Stress!E620+Stress!G620+Stress!I620,Stress!C620+Stress!E620+Stress!E750+Stress!G750)</f>
        <v>20.33123232331743</v>
      </c>
      <c r="F105" s="527">
        <f>ABS(Stress!N885-Stress!L885)</f>
        <v>3.0078491887572909</v>
      </c>
      <c r="G105" s="694">
        <f>ABS(Stress!O885-Stress!M885)</f>
        <v>19.854600101639917</v>
      </c>
      <c r="H105" s="688" t="str">
        <f t="shared" si="3"/>
        <v>OK</v>
      </c>
      <c r="I105" s="721"/>
      <c r="J105" s="688" t="str">
        <f t="shared" si="4"/>
        <v>-</v>
      </c>
      <c r="K105" s="721"/>
      <c r="L105" s="688" t="str">
        <f t="shared" si="5"/>
        <v>검토 필요없음</v>
      </c>
      <c r="M105" s="689"/>
      <c r="N105" s="855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</row>
    <row r="106" spans="1:47" ht="15" customHeight="1">
      <c r="A106" s="482" t="str">
        <f>input!B57</f>
        <v>128i</v>
      </c>
      <c r="B106" s="538" t="str">
        <f>Stress!C886</f>
        <v>Positive</v>
      </c>
      <c r="C106" s="674"/>
      <c r="D106" s="527">
        <f>IF(B106="Positive",Stress!B621+Stress!D621+Stress!F621+Stress!H621,Stress!B621+Stress!D621+Stress!D751+Stress!F751)</f>
        <v>-18.978364992690185</v>
      </c>
      <c r="E106" s="694">
        <f>IF(B106="Positive",Stress!C621+Stress!E621+Stress!G621+Stress!I621,Stress!C621+Stress!E621+Stress!E751+Stress!G751)</f>
        <v>20.743360327572852</v>
      </c>
      <c r="F106" s="527">
        <f>ABS(Stress!N886-Stress!L886)</f>
        <v>3.0078491887572909</v>
      </c>
      <c r="G106" s="694">
        <f>ABS(Stress!O886-Stress!M886)</f>
        <v>19.854600101639917</v>
      </c>
      <c r="H106" s="688" t="str">
        <f t="shared" si="3"/>
        <v>OK</v>
      </c>
      <c r="I106" s="721"/>
      <c r="J106" s="688" t="str">
        <f t="shared" si="4"/>
        <v>-</v>
      </c>
      <c r="K106" s="721"/>
      <c r="L106" s="688" t="str">
        <f t="shared" si="5"/>
        <v>검토 필요없음</v>
      </c>
      <c r="M106" s="689"/>
      <c r="N106" s="855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</row>
    <row r="107" spans="1:47" ht="15" customHeight="1">
      <c r="A107" s="482" t="str">
        <f>input!B58</f>
        <v>128j</v>
      </c>
      <c r="B107" s="538" t="str">
        <f>Stress!C887</f>
        <v>Positive</v>
      </c>
      <c r="C107" s="674"/>
      <c r="D107" s="527">
        <f>IF(B107="Positive",Stress!B622+Stress!D622+Stress!F622+Stress!H622,Stress!B622+Stress!D622+Stress!D752+Stress!F752)</f>
        <v>-29.451179477370598</v>
      </c>
      <c r="E107" s="694">
        <f>IF(B107="Positive",Stress!C622+Stress!E622+Stress!G622+Stress!I622,Stress!C622+Stress!E622+Stress!E752+Stress!G752)</f>
        <v>30.963156695408763</v>
      </c>
      <c r="F107" s="527">
        <f>ABS(Stress!N887-Stress!L887)</f>
        <v>2.3233978861342708</v>
      </c>
      <c r="G107" s="694">
        <f>ABS(Stress!O887-Stress!M887)</f>
        <v>15.336585384206167</v>
      </c>
      <c r="H107" s="688" t="str">
        <f t="shared" si="3"/>
        <v>OK</v>
      </c>
      <c r="I107" s="721"/>
      <c r="J107" s="688" t="str">
        <f t="shared" si="4"/>
        <v>검토 필요없음</v>
      </c>
      <c r="K107" s="721"/>
      <c r="L107" s="688" t="str">
        <f t="shared" si="5"/>
        <v>검토 필요없음</v>
      </c>
      <c r="M107" s="689"/>
      <c r="N107" s="855" t="s">
        <v>885</v>
      </c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</row>
    <row r="108" spans="1:47" ht="15" customHeight="1">
      <c r="A108" s="482" t="str">
        <f>input!B59</f>
        <v>129i</v>
      </c>
      <c r="B108" s="538" t="str">
        <f>Stress!C888</f>
        <v>Positive</v>
      </c>
      <c r="C108" s="674"/>
      <c r="D108" s="527">
        <f>IF(B108="Positive",Stress!B623+Stress!D623+Stress!F623+Stress!H623,Stress!B623+Stress!D623+Stress!D753+Stress!F753)</f>
        <v>-29.4512865817894</v>
      </c>
      <c r="E108" s="694">
        <f>IF(B108="Positive",Stress!C623+Stress!E623+Stress!G623+Stress!I623,Stress!C623+Stress!E623+Stress!E753+Stress!G753)</f>
        <v>30.963259062026815</v>
      </c>
      <c r="F108" s="527">
        <f>ABS(Stress!N888-Stress!L888)</f>
        <v>2.3234063551795652</v>
      </c>
      <c r="G108" s="694">
        <f>ABS(Stress!O888-Stress!M888)</f>
        <v>15.336641287776132</v>
      </c>
      <c r="H108" s="688" t="str">
        <f t="shared" si="3"/>
        <v>OK</v>
      </c>
      <c r="I108" s="721"/>
      <c r="J108" s="688" t="str">
        <f t="shared" si="4"/>
        <v>검토 필요없음</v>
      </c>
      <c r="K108" s="721"/>
      <c r="L108" s="688" t="str">
        <f t="shared" si="5"/>
        <v>검토 필요없음</v>
      </c>
      <c r="M108" s="689"/>
      <c r="N108" s="855" t="s">
        <v>885</v>
      </c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</row>
    <row r="109" spans="1:47" ht="15" customHeight="1">
      <c r="A109" s="482" t="str">
        <f>input!B60</f>
        <v>129j</v>
      </c>
      <c r="B109" s="538" t="str">
        <f>Stress!C889</f>
        <v>Positive</v>
      </c>
      <c r="C109" s="674"/>
      <c r="D109" s="527">
        <f>IF(B109="Positive",Stress!B624+Stress!D624+Stress!F624+Stress!H624,Stress!B624+Stress!D624+Stress!D754+Stress!F754)</f>
        <v>-14.840463100883722</v>
      </c>
      <c r="E109" s="694">
        <f>IF(B109="Positive",Stress!C624+Stress!E624+Stress!G624+Stress!I624,Stress!C624+Stress!E624+Stress!E754+Stress!G754)</f>
        <v>15.434177064189097</v>
      </c>
      <c r="F109" s="527">
        <f>ABS(Stress!N889-Stress!L889)</f>
        <v>1.0185127942704884</v>
      </c>
      <c r="G109" s="694">
        <f>ABS(Stress!O889-Stress!M889)</f>
        <v>6.7231310347043314</v>
      </c>
      <c r="H109" s="688" t="str">
        <f t="shared" si="3"/>
        <v>OK</v>
      </c>
      <c r="I109" s="721"/>
      <c r="J109" s="688" t="str">
        <f t="shared" si="4"/>
        <v>-</v>
      </c>
      <c r="K109" s="721"/>
      <c r="L109" s="688" t="str">
        <f t="shared" si="5"/>
        <v>검토 필요없음</v>
      </c>
      <c r="M109" s="689"/>
      <c r="N109" s="855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</row>
    <row r="110" spans="1:47" ht="15" customHeight="1">
      <c r="A110" s="482" t="str">
        <f>input!B61</f>
        <v>130i</v>
      </c>
      <c r="B110" s="538" t="str">
        <f>Stress!C890</f>
        <v>Positive</v>
      </c>
      <c r="C110" s="674"/>
      <c r="D110" s="527">
        <f>IF(B110="Positive",Stress!B625+Stress!D625+Stress!F625+Stress!H625,Stress!B625+Stress!D625+Stress!D755+Stress!F755)</f>
        <v>-16.369049807188208</v>
      </c>
      <c r="E110" s="694">
        <f>IF(B110="Positive",Stress!C625+Stress!E625+Stress!G625+Stress!I625,Stress!C625+Stress!E625+Stress!E755+Stress!G755)</f>
        <v>17.02353447394383</v>
      </c>
      <c r="F110" s="527">
        <f>ABS(Stress!N890-Stress!L890)</f>
        <v>1.0661709902521017</v>
      </c>
      <c r="G110" s="694">
        <f>ABS(Stress!O890-Stress!M890)</f>
        <v>7.4396212924044862</v>
      </c>
      <c r="H110" s="688" t="str">
        <f t="shared" si="3"/>
        <v>OK</v>
      </c>
      <c r="I110" s="721"/>
      <c r="J110" s="688" t="str">
        <f t="shared" si="4"/>
        <v>-</v>
      </c>
      <c r="K110" s="721"/>
      <c r="L110" s="688" t="str">
        <f t="shared" si="5"/>
        <v>검토 필요없음</v>
      </c>
      <c r="M110" s="689"/>
      <c r="N110" s="855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</row>
    <row r="111" spans="1:47" ht="15" customHeight="1">
      <c r="A111" s="482" t="str">
        <f>input!B62</f>
        <v>130j</v>
      </c>
      <c r="B111" s="538" t="str">
        <f>Stress!C891</f>
        <v>Negative</v>
      </c>
      <c r="C111" s="674"/>
      <c r="D111" s="527">
        <f>IF(B111="Positive",Stress!B626+Stress!D626+Stress!F626+Stress!H626,Stress!B626+Stress!D626+Stress!D756+Stress!F756)</f>
        <v>0.13903832854463732</v>
      </c>
      <c r="E111" s="694">
        <f>IF(B111="Positive",Stress!C626+Stress!E626+Stress!G626+Stress!I626,Stress!C626+Stress!E626+Stress!E756+Stress!G756)</f>
        <v>-0.13375523092699204</v>
      </c>
      <c r="F111" s="527">
        <f>ABS(Stress!N891-Stress!L891)</f>
        <v>0.66836295020294656</v>
      </c>
      <c r="G111" s="694">
        <f>ABS(Stress!O891-Stress!M891)</f>
        <v>0.81166053518722059</v>
      </c>
      <c r="H111" s="688" t="str">
        <f t="shared" si="3"/>
        <v>OK</v>
      </c>
      <c r="I111" s="721"/>
      <c r="J111" s="688" t="str">
        <f t="shared" si="4"/>
        <v>OK</v>
      </c>
      <c r="K111" s="721"/>
      <c r="L111" s="688" t="str">
        <f t="shared" si="5"/>
        <v>OK</v>
      </c>
      <c r="M111" s="689"/>
      <c r="N111" s="855" t="s">
        <v>885</v>
      </c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L111" s="143"/>
      <c r="AM111" s="143"/>
      <c r="AN111" s="143"/>
      <c r="AO111" s="143"/>
      <c r="AP111" s="143"/>
      <c r="AQ111" s="143"/>
      <c r="AR111" s="143"/>
      <c r="AS111" s="143"/>
      <c r="AT111" s="143"/>
      <c r="AU111" s="143"/>
    </row>
    <row r="112" spans="1:47" ht="15" customHeight="1">
      <c r="A112" s="482" t="str">
        <f>input!B63</f>
        <v>131i</v>
      </c>
      <c r="B112" s="538" t="str">
        <f>Stress!C892</f>
        <v>Negative</v>
      </c>
      <c r="C112" s="674"/>
      <c r="D112" s="527">
        <f>IF(B112="Positive",Stress!B627+Stress!D627+Stress!F627+Stress!H627,Stress!B627+Stress!D627+Stress!D757+Stress!F757)</f>
        <v>0.13961637961869885</v>
      </c>
      <c r="E112" s="694">
        <f>IF(B112="Positive",Stress!C627+Stress!E627+Stress!G627+Stress!I627,Stress!C627+Stress!E627+Stress!E757+Stress!G757)</f>
        <v>-0.13431579930286636</v>
      </c>
      <c r="F112" s="527">
        <f>ABS(Stress!N892-Stress!L892)</f>
        <v>0.66804373970041397</v>
      </c>
      <c r="G112" s="694">
        <f>ABS(Stress!O892-Stress!M892)</f>
        <v>0.81127288568144773</v>
      </c>
      <c r="H112" s="688" t="str">
        <f t="shared" si="3"/>
        <v>OK</v>
      </c>
      <c r="I112" s="721"/>
      <c r="J112" s="688" t="str">
        <f t="shared" si="4"/>
        <v>OK</v>
      </c>
      <c r="K112" s="721"/>
      <c r="L112" s="688" t="str">
        <f t="shared" si="5"/>
        <v>OK</v>
      </c>
      <c r="M112" s="689"/>
      <c r="N112" s="855" t="s">
        <v>885</v>
      </c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L112" s="143"/>
      <c r="AM112" s="143"/>
      <c r="AN112" s="143"/>
      <c r="AO112" s="143"/>
      <c r="AP112" s="143"/>
      <c r="AQ112" s="143"/>
      <c r="AR112" s="143"/>
      <c r="AS112" s="143"/>
      <c r="AT112" s="143"/>
      <c r="AU112" s="143"/>
    </row>
    <row r="113" spans="1:47" ht="15" customHeight="1">
      <c r="A113" s="482" t="str">
        <f>input!B64</f>
        <v>131j</v>
      </c>
      <c r="B113" s="538" t="str">
        <f>Stress!C893</f>
        <v>Positive</v>
      </c>
      <c r="C113" s="674"/>
      <c r="D113" s="527">
        <f>IF(B113="Positive",Stress!B628+Stress!D628+Stress!F628+Stress!H628,Stress!B628+Stress!D628+Stress!D758+Stress!F758)</f>
        <v>0</v>
      </c>
      <c r="E113" s="694">
        <f>IF(B113="Positive",Stress!C628+Stress!E628+Stress!G628+Stress!I628,Stress!C628+Stress!E628+Stress!E758+Stress!G758)</f>
        <v>0</v>
      </c>
      <c r="F113" s="527">
        <f>ABS(Stress!N893-Stress!L893)</f>
        <v>1.7730656814682847E-5</v>
      </c>
      <c r="G113" s="694">
        <f>ABS(Stress!O893-Stress!M893)</f>
        <v>1.2372252966256432E-4</v>
      </c>
      <c r="H113" s="688" t="str">
        <f t="shared" si="3"/>
        <v>OK</v>
      </c>
      <c r="I113" s="721"/>
      <c r="J113" s="688" t="str">
        <f t="shared" si="4"/>
        <v>-</v>
      </c>
      <c r="K113" s="721"/>
      <c r="L113" s="688" t="str">
        <f t="shared" si="5"/>
        <v>OK</v>
      </c>
      <c r="M113" s="689"/>
      <c r="N113" s="855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L113" s="143"/>
      <c r="AM113" s="143"/>
      <c r="AN113" s="143"/>
      <c r="AO113" s="143"/>
      <c r="AP113" s="143"/>
      <c r="AQ113" s="143"/>
      <c r="AR113" s="143"/>
      <c r="AS113" s="143"/>
      <c r="AT113" s="143"/>
      <c r="AU113" s="143"/>
    </row>
    <row r="114" spans="1:47" ht="15" customHeight="1">
      <c r="A114" s="181"/>
      <c r="B114" s="181"/>
      <c r="E114" s="170"/>
      <c r="F114" s="170"/>
      <c r="G114" s="170"/>
      <c r="H114" s="170"/>
      <c r="I114" s="170"/>
      <c r="J114" s="170"/>
      <c r="K114" s="170"/>
      <c r="L114" s="170"/>
      <c r="M114" s="170"/>
      <c r="N114" s="174"/>
      <c r="O114" s="170"/>
      <c r="P114" s="170"/>
      <c r="Q114" s="170"/>
      <c r="R114" s="170"/>
      <c r="S114" s="170"/>
      <c r="T114" s="170"/>
      <c r="U114" s="170"/>
      <c r="V114" s="170"/>
      <c r="W114" s="170"/>
      <c r="X114" s="170"/>
      <c r="Y114" s="170"/>
      <c r="Z114" s="143"/>
      <c r="AB114" s="340"/>
    </row>
    <row r="115" spans="1:47" ht="15" customHeight="1">
      <c r="A115" s="348"/>
      <c r="B115" s="348"/>
      <c r="E115" s="170"/>
      <c r="F115" s="170"/>
      <c r="G115" s="170"/>
      <c r="H115" s="170"/>
      <c r="I115" s="170"/>
      <c r="J115" s="170"/>
      <c r="K115" s="170"/>
      <c r="L115" s="170"/>
      <c r="M115" s="170"/>
      <c r="N115" s="345"/>
      <c r="O115" s="170"/>
      <c r="P115" s="170"/>
      <c r="Q115" s="170"/>
      <c r="R115" s="170"/>
      <c r="S115" s="170"/>
      <c r="T115" s="170"/>
      <c r="U115" s="170"/>
      <c r="V115" s="170"/>
      <c r="W115" s="170"/>
      <c r="X115" s="170"/>
      <c r="Y115" s="170"/>
      <c r="Z115" s="143"/>
      <c r="AB115" s="349"/>
    </row>
    <row r="116" spans="1:47" ht="15" customHeight="1">
      <c r="A116" s="348"/>
      <c r="B116" s="348"/>
      <c r="E116" s="170"/>
      <c r="F116" s="170"/>
      <c r="G116" s="170"/>
      <c r="H116" s="170"/>
      <c r="I116" s="170"/>
      <c r="J116" s="170"/>
      <c r="K116" s="170"/>
      <c r="L116" s="170"/>
      <c r="M116" s="170"/>
      <c r="N116" s="345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70"/>
      <c r="Z116" s="143"/>
      <c r="AB116" s="349"/>
    </row>
    <row r="117" spans="1:47" ht="15" customHeight="1">
      <c r="A117" s="133" t="s">
        <v>914</v>
      </c>
      <c r="L117" s="346"/>
      <c r="M117" s="137" t="s">
        <v>895</v>
      </c>
      <c r="N117" s="137"/>
      <c r="X117" s="346"/>
      <c r="Z117" s="346"/>
      <c r="AP117" s="76"/>
    </row>
    <row r="118" spans="1:47" ht="15" customHeight="1">
      <c r="A118" s="348"/>
      <c r="B118" s="348"/>
      <c r="C118" s="147" t="s">
        <v>212</v>
      </c>
      <c r="E118" s="170"/>
      <c r="F118" s="170"/>
      <c r="G118" s="170"/>
      <c r="H118" s="170"/>
      <c r="I118" s="170"/>
      <c r="J118" s="170"/>
      <c r="K118" s="170"/>
      <c r="L118" s="170"/>
      <c r="M118" s="170"/>
      <c r="N118" s="345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43"/>
      <c r="AB118" s="349"/>
    </row>
    <row r="119" spans="1:47" ht="15" customHeight="1">
      <c r="A119" s="347" t="s">
        <v>893</v>
      </c>
      <c r="B119" s="143" t="s">
        <v>903</v>
      </c>
      <c r="C119" s="138" t="s">
        <v>896</v>
      </c>
      <c r="D119" s="170" t="s">
        <v>1786</v>
      </c>
      <c r="F119" s="170"/>
      <c r="G119" s="170"/>
      <c r="H119" s="170"/>
      <c r="I119" s="170"/>
      <c r="J119" s="170"/>
      <c r="K119" s="170"/>
      <c r="L119" s="170"/>
      <c r="M119" s="170"/>
      <c r="N119" s="345"/>
      <c r="O119" s="170"/>
      <c r="P119" s="170"/>
      <c r="Q119" s="170"/>
      <c r="R119" s="170"/>
      <c r="S119" s="170"/>
      <c r="T119" s="170"/>
      <c r="U119" s="170"/>
      <c r="V119" s="170"/>
      <c r="W119" s="170"/>
      <c r="X119" s="170"/>
      <c r="Y119" s="170"/>
      <c r="Z119" s="143"/>
      <c r="AB119" s="349"/>
    </row>
    <row r="120" spans="1:47" ht="15" customHeight="1">
      <c r="A120" s="348"/>
      <c r="B120" s="727" t="s">
        <v>715</v>
      </c>
      <c r="C120" s="138" t="s">
        <v>896</v>
      </c>
      <c r="D120" s="170" t="s">
        <v>1274</v>
      </c>
      <c r="F120" s="170"/>
      <c r="G120" s="170"/>
      <c r="H120" s="170"/>
      <c r="I120" s="170"/>
      <c r="J120" s="170"/>
      <c r="K120" s="170"/>
      <c r="L120" s="170"/>
      <c r="M120" s="170"/>
      <c r="N120" s="345"/>
      <c r="O120" s="170"/>
      <c r="P120" s="170"/>
      <c r="Q120" s="170"/>
      <c r="R120" s="170"/>
      <c r="S120" s="170"/>
      <c r="T120" s="170"/>
      <c r="U120" s="170"/>
      <c r="V120" s="170"/>
      <c r="W120" s="170"/>
      <c r="X120" s="170"/>
      <c r="Y120" s="170"/>
      <c r="Z120" s="143"/>
      <c r="AB120" s="349"/>
    </row>
    <row r="121" spans="1:47" ht="15" customHeight="1">
      <c r="A121" s="348"/>
      <c r="B121" s="143" t="s">
        <v>897</v>
      </c>
      <c r="C121" s="138" t="s">
        <v>896</v>
      </c>
      <c r="D121" s="170" t="s">
        <v>902</v>
      </c>
      <c r="F121" s="170"/>
      <c r="G121" s="170"/>
      <c r="H121" s="170"/>
      <c r="I121" s="170"/>
      <c r="J121" s="170"/>
      <c r="K121" s="170"/>
      <c r="L121" s="170"/>
      <c r="M121" s="170"/>
      <c r="N121" s="345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Y121" s="170"/>
      <c r="Z121" s="143"/>
      <c r="AB121" s="349"/>
    </row>
    <row r="122" spans="1:47" ht="15" customHeight="1">
      <c r="A122" s="348"/>
      <c r="B122" s="143" t="s">
        <v>898</v>
      </c>
      <c r="C122" s="138" t="s">
        <v>896</v>
      </c>
      <c r="D122" s="170" t="s">
        <v>1272</v>
      </c>
      <c r="F122" s="170"/>
      <c r="G122" s="170"/>
      <c r="H122" s="170"/>
      <c r="I122" s="170"/>
      <c r="J122" s="170"/>
      <c r="K122" s="170"/>
      <c r="L122" s="170"/>
      <c r="M122" s="170"/>
      <c r="N122" s="345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43"/>
      <c r="AB122" s="349"/>
    </row>
    <row r="123" spans="1:47" ht="15" customHeight="1">
      <c r="A123" s="348"/>
      <c r="B123" s="143" t="s">
        <v>899</v>
      </c>
      <c r="D123" s="170"/>
      <c r="F123" s="170"/>
      <c r="G123" s="170"/>
      <c r="H123" s="170"/>
      <c r="I123" s="170"/>
      <c r="J123" s="170"/>
      <c r="K123" s="170"/>
      <c r="L123" s="170"/>
      <c r="M123" s="170"/>
      <c r="N123" s="345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  <c r="Y123" s="170"/>
      <c r="Z123" s="143"/>
      <c r="AB123" s="349"/>
    </row>
    <row r="124" spans="1:47" ht="15" customHeight="1">
      <c r="A124" s="348"/>
      <c r="B124" s="348"/>
      <c r="H124" s="170"/>
      <c r="I124" s="170"/>
      <c r="J124" s="170"/>
      <c r="K124" s="170"/>
      <c r="L124" s="170"/>
      <c r="M124" s="170"/>
      <c r="N124" s="345"/>
      <c r="O124" s="170"/>
      <c r="P124" s="170"/>
      <c r="Q124" s="170"/>
      <c r="R124" s="170"/>
      <c r="S124" s="170"/>
      <c r="T124" s="170"/>
      <c r="U124" s="170"/>
      <c r="V124" s="170"/>
      <c r="W124" s="170"/>
      <c r="X124" s="170"/>
      <c r="Y124" s="170"/>
      <c r="Z124" s="143"/>
      <c r="AB124" s="349"/>
    </row>
    <row r="125" spans="1:47" ht="15" customHeight="1">
      <c r="A125" s="348"/>
      <c r="B125" s="348"/>
      <c r="C125" s="143" t="s">
        <v>267</v>
      </c>
      <c r="D125" s="136"/>
      <c r="E125" s="147"/>
      <c r="F125" s="136"/>
      <c r="G125" s="136"/>
      <c r="H125" s="136"/>
      <c r="I125" s="170"/>
      <c r="J125" s="170"/>
      <c r="K125" s="170"/>
      <c r="L125" s="143"/>
      <c r="M125" s="137" t="s">
        <v>805</v>
      </c>
      <c r="X125" s="346"/>
    </row>
    <row r="126" spans="1:47" ht="15" customHeight="1">
      <c r="A126" s="348"/>
      <c r="B126" s="348"/>
      <c r="C126" s="148" t="s">
        <v>134</v>
      </c>
      <c r="D126" s="141"/>
      <c r="E126" s="148"/>
      <c r="F126" s="148"/>
      <c r="G126" s="148"/>
      <c r="H126" s="141"/>
      <c r="I126" s="148" t="s">
        <v>128</v>
      </c>
      <c r="J126" s="141"/>
      <c r="K126" s="141"/>
      <c r="L126" s="141"/>
      <c r="X126" s="346"/>
      <c r="Z126" s="143"/>
    </row>
    <row r="127" spans="1:47" ht="15" customHeight="1">
      <c r="A127" s="348"/>
      <c r="B127" s="348"/>
      <c r="C127" s="170" t="s">
        <v>1707</v>
      </c>
      <c r="D127" s="170"/>
      <c r="E127" s="170"/>
      <c r="F127" s="170"/>
      <c r="G127" s="170"/>
      <c r="H127" s="170"/>
      <c r="I127" s="142">
        <v>1</v>
      </c>
      <c r="J127" s="170"/>
      <c r="K127" s="170"/>
      <c r="L127" s="170"/>
      <c r="X127" s="346"/>
      <c r="Z127" s="143"/>
    </row>
    <row r="128" spans="1:47" ht="15" customHeight="1">
      <c r="A128" s="348"/>
      <c r="B128" s="348"/>
      <c r="C128" s="170" t="s">
        <v>1789</v>
      </c>
      <c r="D128" s="170"/>
      <c r="E128" s="147"/>
      <c r="F128" s="170"/>
      <c r="G128" s="170"/>
      <c r="H128" s="170"/>
      <c r="I128" s="170" t="s">
        <v>1788</v>
      </c>
      <c r="J128" s="170"/>
      <c r="K128" s="170"/>
      <c r="L128" s="170"/>
      <c r="X128" s="346"/>
      <c r="Z128" s="143"/>
    </row>
    <row r="129" spans="1:47" ht="15" customHeight="1">
      <c r="A129" s="348"/>
      <c r="B129" s="348"/>
      <c r="C129" s="145" t="s">
        <v>1787</v>
      </c>
      <c r="D129" s="145"/>
      <c r="E129" s="149"/>
      <c r="F129" s="145"/>
      <c r="G129" s="145"/>
      <c r="H129" s="145"/>
      <c r="I129" s="145" t="s">
        <v>268</v>
      </c>
      <c r="J129" s="145"/>
      <c r="K129" s="145"/>
      <c r="L129" s="145"/>
      <c r="X129" s="346"/>
      <c r="Z129" s="143"/>
    </row>
    <row r="130" spans="1:47" ht="15" customHeight="1" thickBot="1">
      <c r="A130" s="348"/>
      <c r="B130" s="348"/>
      <c r="C130" s="170"/>
      <c r="D130" s="170"/>
      <c r="E130" s="122"/>
      <c r="F130" s="170"/>
      <c r="G130" s="170"/>
      <c r="H130" s="170"/>
      <c r="I130" s="170"/>
      <c r="J130" s="170"/>
      <c r="K130" s="170"/>
      <c r="L130" s="170"/>
      <c r="M130" s="170"/>
      <c r="N130" s="170"/>
      <c r="O130" s="170"/>
      <c r="P130" s="170"/>
      <c r="X130" s="362"/>
      <c r="Z130" s="143"/>
    </row>
    <row r="131" spans="1:47" ht="15" customHeight="1">
      <c r="B131" s="134"/>
      <c r="C131" s="143" t="s">
        <v>991</v>
      </c>
      <c r="D131" s="136"/>
      <c r="E131" s="147"/>
      <c r="F131" s="136"/>
      <c r="G131" s="136"/>
      <c r="H131" s="136"/>
      <c r="I131" s="170"/>
      <c r="J131" s="170"/>
      <c r="K131" s="170"/>
      <c r="L131" s="143"/>
      <c r="Q131" s="353" t="s">
        <v>909</v>
      </c>
      <c r="R131" s="352"/>
      <c r="S131" s="698"/>
      <c r="T131" s="698"/>
      <c r="U131" s="698"/>
      <c r="V131" s="698"/>
      <c r="W131" s="698"/>
      <c r="X131" s="698"/>
      <c r="Y131" s="698"/>
      <c r="Z131" s="698"/>
      <c r="AA131" s="698"/>
      <c r="AB131" s="698"/>
      <c r="AC131" s="698"/>
      <c r="AD131" s="699"/>
    </row>
    <row r="132" spans="1:47" ht="15" customHeight="1">
      <c r="B132" s="170"/>
      <c r="C132" s="148" t="s">
        <v>134</v>
      </c>
      <c r="D132" s="141"/>
      <c r="E132" s="148"/>
      <c r="F132" s="148"/>
      <c r="G132" s="148"/>
      <c r="H132" s="141"/>
      <c r="I132" s="148" t="s">
        <v>994</v>
      </c>
      <c r="J132" s="141"/>
      <c r="K132" s="141"/>
      <c r="L132" s="141"/>
      <c r="O132" s="170"/>
      <c r="P132" s="170"/>
      <c r="Q132" s="354" t="s">
        <v>910</v>
      </c>
      <c r="R132" s="170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700"/>
    </row>
    <row r="133" spans="1:47" ht="15" customHeight="1">
      <c r="B133" s="170"/>
      <c r="C133" s="170" t="s">
        <v>992</v>
      </c>
      <c r="D133" s="170"/>
      <c r="E133" s="170"/>
      <c r="F133" s="170"/>
      <c r="G133" s="170"/>
      <c r="H133" s="170"/>
      <c r="I133" s="142">
        <v>5</v>
      </c>
      <c r="J133" s="170"/>
      <c r="K133" s="170"/>
      <c r="L133" s="170"/>
      <c r="Q133" s="354" t="s">
        <v>911</v>
      </c>
      <c r="R133" s="170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700"/>
    </row>
    <row r="134" spans="1:47" ht="15" customHeight="1">
      <c r="B134" s="170"/>
      <c r="C134" s="145" t="s">
        <v>993</v>
      </c>
      <c r="D134" s="145"/>
      <c r="E134" s="98"/>
      <c r="F134" s="145"/>
      <c r="G134" s="145"/>
      <c r="H134" s="145"/>
      <c r="I134" s="145" t="s">
        <v>1777</v>
      </c>
      <c r="J134" s="145"/>
      <c r="K134" s="145"/>
      <c r="L134" s="145"/>
      <c r="O134" s="170"/>
      <c r="P134" s="170"/>
      <c r="Q134" s="355" t="s">
        <v>912</v>
      </c>
      <c r="R134" s="170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700"/>
    </row>
    <row r="135" spans="1:47" ht="15" customHeight="1" thickBot="1">
      <c r="A135" s="348"/>
      <c r="B135" s="348"/>
      <c r="C135" s="170" t="s">
        <v>429</v>
      </c>
      <c r="D135" s="170"/>
      <c r="E135" s="122"/>
      <c r="F135" s="170"/>
      <c r="G135" s="170"/>
      <c r="H135" s="170"/>
      <c r="I135" s="170"/>
      <c r="J135" s="170"/>
      <c r="K135" s="170"/>
      <c r="L135" s="170"/>
      <c r="M135" s="170"/>
      <c r="N135" s="170"/>
      <c r="Q135" s="356" t="s">
        <v>913</v>
      </c>
      <c r="R135" s="321"/>
      <c r="S135" s="369"/>
      <c r="T135" s="369"/>
      <c r="U135" s="369"/>
      <c r="V135" s="369"/>
      <c r="W135" s="369"/>
      <c r="X135" s="369"/>
      <c r="Y135" s="369"/>
      <c r="Z135" s="369"/>
      <c r="AA135" s="369"/>
      <c r="AB135" s="369"/>
      <c r="AC135" s="369"/>
      <c r="AD135" s="701"/>
    </row>
    <row r="136" spans="1:47" ht="15" customHeight="1">
      <c r="A136" s="348"/>
      <c r="B136" s="348"/>
      <c r="C136" s="170"/>
      <c r="D136" s="170"/>
      <c r="E136" s="122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170"/>
      <c r="R136" s="170"/>
      <c r="S136" s="170"/>
      <c r="T136" s="170"/>
      <c r="U136" s="170"/>
      <c r="V136" s="170"/>
      <c r="X136" s="466"/>
      <c r="Z136" s="143"/>
    </row>
    <row r="137" spans="1:47" ht="15" customHeight="1" thickBot="1">
      <c r="A137" s="470" t="s">
        <v>1646</v>
      </c>
      <c r="B137" s="348"/>
      <c r="C137" s="170"/>
      <c r="D137" s="170"/>
      <c r="E137" s="170"/>
      <c r="F137" s="170"/>
      <c r="G137" s="170"/>
      <c r="H137" s="100"/>
      <c r="I137" s="170"/>
      <c r="J137" s="170"/>
      <c r="K137" s="170"/>
      <c r="L137" s="143"/>
      <c r="M137" s="346"/>
      <c r="X137" s="346"/>
      <c r="Z137" s="143"/>
    </row>
    <row r="138" spans="1:47" ht="15" customHeight="1">
      <c r="A138" s="659" t="s">
        <v>340</v>
      </c>
      <c r="B138" s="658" t="s">
        <v>898</v>
      </c>
      <c r="C138" s="1918" t="s">
        <v>2159</v>
      </c>
      <c r="D138" s="1911"/>
      <c r="E138" s="1911"/>
      <c r="F138" s="1911"/>
      <c r="G138" s="1919"/>
      <c r="H138" s="1918" t="s">
        <v>901</v>
      </c>
      <c r="I138" s="1919"/>
      <c r="J138" s="660" t="s">
        <v>905</v>
      </c>
      <c r="K138" s="660" t="s">
        <v>906</v>
      </c>
      <c r="L138" s="665" t="s">
        <v>904</v>
      </c>
      <c r="N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143"/>
      <c r="AE138" s="143"/>
      <c r="AF138" s="143"/>
      <c r="AG138" s="14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</row>
    <row r="139" spans="1:47" ht="15" customHeight="1">
      <c r="A139" s="661"/>
      <c r="B139" s="663"/>
      <c r="C139" s="663" t="s">
        <v>707</v>
      </c>
      <c r="D139" s="1105" t="s">
        <v>708</v>
      </c>
      <c r="E139" s="1105" t="s">
        <v>709</v>
      </c>
      <c r="F139" s="1105" t="s">
        <v>710</v>
      </c>
      <c r="G139" s="1105" t="s">
        <v>712</v>
      </c>
      <c r="H139" s="663" t="s">
        <v>713</v>
      </c>
      <c r="I139" s="663" t="s">
        <v>900</v>
      </c>
      <c r="J139" s="662"/>
      <c r="K139" s="662"/>
      <c r="L139" s="664"/>
      <c r="N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143"/>
      <c r="AE139" s="143"/>
      <c r="AF139" s="143"/>
      <c r="AG139" s="14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</row>
    <row r="140" spans="1:47" ht="15" customHeight="1">
      <c r="A140" s="482" t="str">
        <f>input!B3</f>
        <v>101i</v>
      </c>
      <c r="B140" s="643">
        <f>Cons!M1002</f>
        <v>1312.556246380452</v>
      </c>
      <c r="C140" s="488">
        <f>Stress!E178</f>
        <v>0.25</v>
      </c>
      <c r="D140" s="488">
        <f>Stress!F178</f>
        <v>0</v>
      </c>
      <c r="E140" s="488">
        <f>Stress!G178</f>
        <v>0.12</v>
      </c>
      <c r="F140" s="488">
        <f>Stress!H178</f>
        <v>-0.22</v>
      </c>
      <c r="G140" s="488">
        <f>Stress!I178</f>
        <v>-0.11</v>
      </c>
      <c r="H140" s="694">
        <f>0.75*MST!AF4</f>
        <v>2.52</v>
      </c>
      <c r="I140" s="694">
        <f>0.75*MST!AG4</f>
        <v>-142.69499999999999</v>
      </c>
      <c r="J140" s="488">
        <f>(IF(C140&gt;=0,H140,I140)*2+SUM(C140:G140))/2</f>
        <v>2.54</v>
      </c>
      <c r="K140" s="488">
        <f>J140/COS(ATAN(input!BP3))</f>
        <v>2.5597668350847895</v>
      </c>
      <c r="L140" s="692" t="str">
        <f t="shared" ref="L140:L171" si="6">IF(ABS(K140)&lt;=B140,"OK","NG")</f>
        <v>OK</v>
      </c>
      <c r="N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143"/>
      <c r="AE140" s="143"/>
      <c r="AF140" s="143"/>
      <c r="AG140" s="14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</row>
    <row r="141" spans="1:47" ht="15" customHeight="1">
      <c r="A141" s="482" t="str">
        <f>input!B4</f>
        <v>101j</v>
      </c>
      <c r="B141" s="643">
        <f>Cons!M1003</f>
        <v>1312.556246380452</v>
      </c>
      <c r="C141" s="488">
        <f>Stress!E179</f>
        <v>-6.73</v>
      </c>
      <c r="D141" s="488">
        <f>Stress!F179</f>
        <v>0</v>
      </c>
      <c r="E141" s="488">
        <f>Stress!G179</f>
        <v>-32.06</v>
      </c>
      <c r="F141" s="488">
        <f>Stress!H179</f>
        <v>-4.6399999999999997</v>
      </c>
      <c r="G141" s="488">
        <f>Stress!I179</f>
        <v>-4.3499999999999996</v>
      </c>
      <c r="H141" s="694">
        <f>0.75*MST!AF5</f>
        <v>2.7374999999999998</v>
      </c>
      <c r="I141" s="694">
        <f>0.75*MST!AG5</f>
        <v>-155.22</v>
      </c>
      <c r="J141" s="488">
        <f t="shared" ref="J141:J201" si="7">(IF(C141&gt;=0,H141,I141)*2+SUM(C141:G141))/2</f>
        <v>-179.11</v>
      </c>
      <c r="K141" s="488">
        <f>J141/COS(ATAN(input!BP4))</f>
        <v>-180.50387316221918</v>
      </c>
      <c r="L141" s="692" t="str">
        <f t="shared" si="6"/>
        <v>OK</v>
      </c>
      <c r="N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</row>
    <row r="142" spans="1:47" ht="15" customHeight="1">
      <c r="A142" s="482" t="str">
        <f>input!B5</f>
        <v>102i</v>
      </c>
      <c r="B142" s="643">
        <f>Cons!M1004</f>
        <v>1312.556246380452</v>
      </c>
      <c r="C142" s="488">
        <f>Stress!E180</f>
        <v>670.91</v>
      </c>
      <c r="D142" s="488">
        <f>Stress!F180</f>
        <v>0.8</v>
      </c>
      <c r="E142" s="488">
        <f>Stress!G180</f>
        <v>1427.75</v>
      </c>
      <c r="F142" s="488">
        <f>Stress!H180</f>
        <v>327.74</v>
      </c>
      <c r="G142" s="488">
        <f>Stress!I180</f>
        <v>288.8</v>
      </c>
      <c r="H142" s="694">
        <f>0.75*MST!AF6</f>
        <v>310.26749999999998</v>
      </c>
      <c r="I142" s="694">
        <f>0.75*MST!AG6</f>
        <v>-10.807500000000001</v>
      </c>
      <c r="J142" s="488">
        <f t="shared" si="7"/>
        <v>1668.2674999999999</v>
      </c>
      <c r="K142" s="488">
        <f>J142/COS(ATAN(input!BP5))</f>
        <v>1681.2503222637063</v>
      </c>
      <c r="L142" s="692" t="str">
        <f t="shared" si="6"/>
        <v>NG</v>
      </c>
      <c r="N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143"/>
      <c r="AE142" s="143"/>
      <c r="AF142" s="143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</row>
    <row r="143" spans="1:47" ht="15" customHeight="1">
      <c r="A143" s="482" t="str">
        <f>input!B6</f>
        <v>102j</v>
      </c>
      <c r="B143" s="643">
        <f>Cons!M1005</f>
        <v>1312.556246380452</v>
      </c>
      <c r="C143" s="488">
        <f>Stress!E181</f>
        <v>637.29</v>
      </c>
      <c r="D143" s="488">
        <f>Stress!F181</f>
        <v>0.8</v>
      </c>
      <c r="E143" s="488">
        <f>Stress!G181</f>
        <v>1272.67</v>
      </c>
      <c r="F143" s="488">
        <f>Stress!H181</f>
        <v>306.41000000000003</v>
      </c>
      <c r="G143" s="488">
        <f>Stress!I181</f>
        <v>268.33999999999997</v>
      </c>
      <c r="H143" s="694">
        <f>0.75*MST!AF7</f>
        <v>273.435</v>
      </c>
      <c r="I143" s="694">
        <f>0.75*MST!AG7</f>
        <v>-19.2075</v>
      </c>
      <c r="J143" s="488">
        <f t="shared" si="7"/>
        <v>1516.19</v>
      </c>
      <c r="K143" s="488">
        <f>J143/COS(ATAN(input!BP6))</f>
        <v>1527.9893219240973</v>
      </c>
      <c r="L143" s="692" t="str">
        <f t="shared" si="6"/>
        <v>NG</v>
      </c>
      <c r="N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143"/>
      <c r="AE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</row>
    <row r="144" spans="1:47" ht="15" customHeight="1">
      <c r="A144" s="482" t="str">
        <f>input!B7</f>
        <v>103i</v>
      </c>
      <c r="B144" s="643">
        <f>Cons!M1006</f>
        <v>1319.9787397030161</v>
      </c>
      <c r="C144" s="488">
        <f>Stress!E182</f>
        <v>637.28</v>
      </c>
      <c r="D144" s="488">
        <f>Stress!F182</f>
        <v>0.8</v>
      </c>
      <c r="E144" s="488">
        <f>Stress!G182</f>
        <v>1272.6400000000001</v>
      </c>
      <c r="F144" s="488">
        <f>Stress!H182</f>
        <v>306.43</v>
      </c>
      <c r="G144" s="488">
        <f>Stress!I182</f>
        <v>268.35000000000002</v>
      </c>
      <c r="H144" s="694">
        <f>0.75*MST!AF8</f>
        <v>273.435</v>
      </c>
      <c r="I144" s="694">
        <f>0.75*MST!AG8</f>
        <v>-19.2075</v>
      </c>
      <c r="J144" s="488">
        <f t="shared" si="7"/>
        <v>1516.1849999999999</v>
      </c>
      <c r="K144" s="488">
        <f>J144/COS(ATAN(input!BP7))</f>
        <v>1527.9842830130046</v>
      </c>
      <c r="L144" s="692" t="str">
        <f t="shared" si="6"/>
        <v>NG</v>
      </c>
      <c r="N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143"/>
      <c r="AE144" s="143"/>
      <c r="AF144" s="143"/>
      <c r="AG144" s="14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</row>
    <row r="145" spans="1:47" ht="15" customHeight="1">
      <c r="A145" s="482" t="str">
        <f>input!B8</f>
        <v>103j</v>
      </c>
      <c r="B145" s="643">
        <f>Cons!M1007</f>
        <v>1319.9787397030161</v>
      </c>
      <c r="C145" s="488">
        <f>Stress!E183</f>
        <v>580.19000000000005</v>
      </c>
      <c r="D145" s="488">
        <f>Stress!F183</f>
        <v>0.8</v>
      </c>
      <c r="E145" s="488">
        <f>Stress!G183</f>
        <v>1140.18</v>
      </c>
      <c r="F145" s="488">
        <f>Stress!H183</f>
        <v>276.64</v>
      </c>
      <c r="G145" s="488">
        <f>Stress!I183</f>
        <v>239.79</v>
      </c>
      <c r="H145" s="694">
        <f>0.75*MST!AF9</f>
        <v>229.33499999999998</v>
      </c>
      <c r="I145" s="694">
        <f>0.75*MST!AG9</f>
        <v>-50.527500000000003</v>
      </c>
      <c r="J145" s="488">
        <f t="shared" si="7"/>
        <v>1348.135</v>
      </c>
      <c r="K145" s="488">
        <f>J145/COS(ATAN(input!BP8))</f>
        <v>1358.6264811878082</v>
      </c>
      <c r="L145" s="692" t="str">
        <f t="shared" si="6"/>
        <v>NG</v>
      </c>
      <c r="N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143"/>
      <c r="AE145" s="143"/>
      <c r="AF145" s="143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</row>
    <row r="146" spans="1:47" ht="15" customHeight="1">
      <c r="A146" s="482" t="str">
        <f>input!B9</f>
        <v>104i</v>
      </c>
      <c r="B146" s="643">
        <f>Cons!M1008</f>
        <v>1319.9787397030161</v>
      </c>
      <c r="C146" s="488">
        <f>Stress!E184</f>
        <v>565.29</v>
      </c>
      <c r="D146" s="488">
        <f>Stress!F184</f>
        <v>0.8</v>
      </c>
      <c r="E146" s="488">
        <f>Stress!G184</f>
        <v>1070.69</v>
      </c>
      <c r="F146" s="488">
        <f>Stress!H184</f>
        <v>255.38</v>
      </c>
      <c r="G146" s="488">
        <f>Stress!I184</f>
        <v>227.19</v>
      </c>
      <c r="H146" s="694">
        <f>0.75*MST!AF10</f>
        <v>255.80250000000001</v>
      </c>
      <c r="I146" s="694">
        <f>0.75*MST!AG10</f>
        <v>-34.3125</v>
      </c>
      <c r="J146" s="488">
        <f t="shared" si="7"/>
        <v>1315.4775</v>
      </c>
      <c r="K146" s="488">
        <f>J146/COS(ATAN(input!BP9))</f>
        <v>1325.7148333859257</v>
      </c>
      <c r="L146" s="692" t="str">
        <f t="shared" si="6"/>
        <v>NG</v>
      </c>
      <c r="N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</row>
    <row r="147" spans="1:47" ht="15" customHeight="1">
      <c r="A147" s="482" t="str">
        <f>input!B10</f>
        <v>104j</v>
      </c>
      <c r="B147" s="643">
        <f>Cons!M1009</f>
        <v>1319.9787397030161</v>
      </c>
      <c r="C147" s="488">
        <f>Stress!E185</f>
        <v>488.14</v>
      </c>
      <c r="D147" s="488">
        <f>Stress!F185</f>
        <v>0.8</v>
      </c>
      <c r="E147" s="488">
        <f>Stress!G185</f>
        <v>891.69</v>
      </c>
      <c r="F147" s="488">
        <f>Stress!H185</f>
        <v>215.13</v>
      </c>
      <c r="G147" s="488">
        <f>Stress!I185</f>
        <v>188.59</v>
      </c>
      <c r="H147" s="694">
        <f>0.75*MST!AF11</f>
        <v>202.42499999999998</v>
      </c>
      <c r="I147" s="694">
        <f>0.75*MST!AG11</f>
        <v>-79.335000000000008</v>
      </c>
      <c r="J147" s="488">
        <f t="shared" si="7"/>
        <v>1094.6000000000001</v>
      </c>
      <c r="K147" s="488">
        <f>J147/COS(ATAN(input!BP10))</f>
        <v>1103.1184164109493</v>
      </c>
      <c r="L147" s="692" t="str">
        <f t="shared" si="6"/>
        <v>OK</v>
      </c>
      <c r="N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143"/>
      <c r="AE147" s="143"/>
      <c r="AF147" s="143"/>
      <c r="AG147" s="14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</row>
    <row r="148" spans="1:47" ht="15" customHeight="1">
      <c r="A148" s="482" t="str">
        <f>input!B11</f>
        <v>105i</v>
      </c>
      <c r="B148" s="643">
        <f>Cons!M1010</f>
        <v>1319.9787397030161</v>
      </c>
      <c r="C148" s="488">
        <f>Stress!E186</f>
        <v>488.14</v>
      </c>
      <c r="D148" s="488">
        <f>Stress!F186</f>
        <v>0.8</v>
      </c>
      <c r="E148" s="488">
        <f>Stress!G186</f>
        <v>891.71</v>
      </c>
      <c r="F148" s="488">
        <f>Stress!H186</f>
        <v>215.12</v>
      </c>
      <c r="G148" s="488">
        <f>Stress!I186</f>
        <v>188.59</v>
      </c>
      <c r="H148" s="694">
        <f>0.75*MST!AF12</f>
        <v>202.41749999999999</v>
      </c>
      <c r="I148" s="694">
        <f>0.75*MST!AG12</f>
        <v>-79.335000000000008</v>
      </c>
      <c r="J148" s="488">
        <f t="shared" si="7"/>
        <v>1094.5974999999999</v>
      </c>
      <c r="K148" s="488">
        <f>J148/COS(ATAN(input!BP11))</f>
        <v>1103.1158969554026</v>
      </c>
      <c r="L148" s="692" t="str">
        <f t="shared" si="6"/>
        <v>OK</v>
      </c>
      <c r="N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143"/>
      <c r="AE148" s="143"/>
      <c r="AF148" s="143"/>
      <c r="AG148" s="14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</row>
    <row r="149" spans="1:47" ht="15" customHeight="1">
      <c r="A149" s="482" t="str">
        <f>input!B12</f>
        <v>105j</v>
      </c>
      <c r="B149" s="643">
        <f>Cons!M1011</f>
        <v>1319.9787397030161</v>
      </c>
      <c r="C149" s="488">
        <f>Stress!E187</f>
        <v>389.13</v>
      </c>
      <c r="D149" s="488">
        <f>Stress!F187</f>
        <v>0.8</v>
      </c>
      <c r="E149" s="488">
        <f>Stress!G187</f>
        <v>712.71</v>
      </c>
      <c r="F149" s="488">
        <f>Stress!H187</f>
        <v>174.87</v>
      </c>
      <c r="G149" s="488">
        <f>Stress!I187</f>
        <v>149.99</v>
      </c>
      <c r="H149" s="694">
        <f>0.75*MST!AF13</f>
        <v>157.42500000000001</v>
      </c>
      <c r="I149" s="694">
        <f>0.75*MST!AG13</f>
        <v>-132.51749999999998</v>
      </c>
      <c r="J149" s="488">
        <f t="shared" si="7"/>
        <v>871.17500000000018</v>
      </c>
      <c r="K149" s="488">
        <f>J149/COS(ATAN(input!BP12))</f>
        <v>877.95467423424884</v>
      </c>
      <c r="L149" s="692" t="str">
        <f t="shared" si="6"/>
        <v>OK</v>
      </c>
      <c r="N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143"/>
      <c r="AE149" s="143"/>
      <c r="AF149" s="143"/>
      <c r="AG149" s="14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  <c r="AU149" s="143"/>
    </row>
    <row r="150" spans="1:47" ht="15" customHeight="1">
      <c r="A150" s="482" t="str">
        <f>input!B13</f>
        <v>106i</v>
      </c>
      <c r="B150" s="643">
        <f>Cons!M1012</f>
        <v>1319.9787397030161</v>
      </c>
      <c r="C150" s="488">
        <f>Stress!E188</f>
        <v>370.15</v>
      </c>
      <c r="D150" s="488">
        <f>Stress!F188</f>
        <v>0.81</v>
      </c>
      <c r="E150" s="488">
        <f>Stress!G188</f>
        <v>631.29</v>
      </c>
      <c r="F150" s="488">
        <f>Stress!H188</f>
        <v>150.32</v>
      </c>
      <c r="G150" s="488">
        <f>Stress!I188</f>
        <v>135.09</v>
      </c>
      <c r="H150" s="694">
        <f>0.75*MST!AF14</f>
        <v>215.4975</v>
      </c>
      <c r="I150" s="694">
        <f>0.75*MST!AG14</f>
        <v>-81.734999999999999</v>
      </c>
      <c r="J150" s="488">
        <f t="shared" si="7"/>
        <v>859.32749999999987</v>
      </c>
      <c r="K150" s="488">
        <f>J150/COS(ATAN(input!BP13))</f>
        <v>866.01497440012758</v>
      </c>
      <c r="L150" s="692" t="str">
        <f t="shared" si="6"/>
        <v>OK</v>
      </c>
      <c r="N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</row>
    <row r="151" spans="1:47" ht="15" customHeight="1">
      <c r="A151" s="482" t="str">
        <f>input!B14</f>
        <v>106j</v>
      </c>
      <c r="B151" s="643">
        <f>Cons!M1013</f>
        <v>1319.9787397030161</v>
      </c>
      <c r="C151" s="488">
        <f>Stress!E189</f>
        <v>271.14999999999998</v>
      </c>
      <c r="D151" s="488">
        <f>Stress!F189</f>
        <v>0.81</v>
      </c>
      <c r="E151" s="488">
        <f>Stress!G189</f>
        <v>452.29</v>
      </c>
      <c r="F151" s="488">
        <f>Stress!H189</f>
        <v>110.07</v>
      </c>
      <c r="G151" s="488">
        <f>Stress!I189</f>
        <v>96.49</v>
      </c>
      <c r="H151" s="694">
        <f>0.75*MST!AF15</f>
        <v>169.26749999999998</v>
      </c>
      <c r="I151" s="694">
        <f>0.75*MST!AG15</f>
        <v>-123.6075</v>
      </c>
      <c r="J151" s="488">
        <f t="shared" si="7"/>
        <v>634.6724999999999</v>
      </c>
      <c r="K151" s="488">
        <f>J151/COS(ATAN(input!BP14))</f>
        <v>639.61166009462636</v>
      </c>
      <c r="L151" s="692" t="str">
        <f t="shared" si="6"/>
        <v>OK</v>
      </c>
      <c r="N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143"/>
      <c r="AE151" s="143"/>
      <c r="AF151" s="143"/>
      <c r="AG151" s="14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</row>
    <row r="152" spans="1:47" ht="15" customHeight="1">
      <c r="A152" s="482" t="str">
        <f>input!B15</f>
        <v>107i</v>
      </c>
      <c r="B152" s="643">
        <f>Cons!M1014</f>
        <v>1319.9787397030161</v>
      </c>
      <c r="C152" s="488">
        <f>Stress!E190</f>
        <v>271.2</v>
      </c>
      <c r="D152" s="488">
        <f>Stress!F190</f>
        <v>0.81</v>
      </c>
      <c r="E152" s="488">
        <f>Stress!G190</f>
        <v>452.28</v>
      </c>
      <c r="F152" s="488">
        <f>Stress!H190</f>
        <v>110.05</v>
      </c>
      <c r="G152" s="488">
        <f>Stress!I190</f>
        <v>96.5</v>
      </c>
      <c r="H152" s="694">
        <f>0.75*MST!AF16</f>
        <v>169.2525</v>
      </c>
      <c r="I152" s="694">
        <f>0.75*MST!AG16</f>
        <v>-123.6225</v>
      </c>
      <c r="J152" s="488">
        <f t="shared" si="7"/>
        <v>634.6724999999999</v>
      </c>
      <c r="K152" s="488">
        <f>J152/COS(ATAN(input!BP15))</f>
        <v>639.61166009462636</v>
      </c>
      <c r="L152" s="692" t="str">
        <f t="shared" si="6"/>
        <v>OK</v>
      </c>
      <c r="N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143"/>
      <c r="AE152" s="143"/>
      <c r="AF152" s="143"/>
      <c r="AG152" s="14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</row>
    <row r="153" spans="1:47" ht="15" customHeight="1">
      <c r="A153" s="482" t="str">
        <f>input!B16</f>
        <v>107j</v>
      </c>
      <c r="B153" s="643">
        <f>Cons!M1015</f>
        <v>1319.9787397030161</v>
      </c>
      <c r="C153" s="488">
        <f>Stress!E191</f>
        <v>160.07</v>
      </c>
      <c r="D153" s="488">
        <f>Stress!F191</f>
        <v>0.81</v>
      </c>
      <c r="E153" s="488">
        <f>Stress!G191</f>
        <v>273.27999999999997</v>
      </c>
      <c r="F153" s="488">
        <f>Stress!H191</f>
        <v>69.8</v>
      </c>
      <c r="G153" s="488">
        <f>Stress!I191</f>
        <v>57.9</v>
      </c>
      <c r="H153" s="694">
        <f>0.75*MST!AF17</f>
        <v>128.85000000000002</v>
      </c>
      <c r="I153" s="694">
        <f>0.75*MST!AG17</f>
        <v>-168.66749999999999</v>
      </c>
      <c r="J153" s="488">
        <f t="shared" si="7"/>
        <v>409.78000000000003</v>
      </c>
      <c r="K153" s="488">
        <f>J153/COS(ATAN(input!BP16))</f>
        <v>412.96899751222247</v>
      </c>
      <c r="L153" s="692" t="str">
        <f t="shared" si="6"/>
        <v>OK</v>
      </c>
      <c r="N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143"/>
      <c r="AE153" s="143"/>
      <c r="AF153" s="143"/>
      <c r="AG153" s="14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</row>
    <row r="154" spans="1:47" ht="15" customHeight="1">
      <c r="A154" s="482" t="str">
        <f>input!B17</f>
        <v>108i</v>
      </c>
      <c r="B154" s="643">
        <f>Cons!M1016</f>
        <v>1319.9787397030161</v>
      </c>
      <c r="C154" s="488">
        <f>Stress!E192</f>
        <v>139.71</v>
      </c>
      <c r="D154" s="488">
        <f>Stress!F192</f>
        <v>0.8</v>
      </c>
      <c r="E154" s="488">
        <f>Stress!G192</f>
        <v>187.21</v>
      </c>
      <c r="F154" s="488">
        <f>Stress!H192</f>
        <v>44.54</v>
      </c>
      <c r="G154" s="488">
        <f>Stress!I192</f>
        <v>42.63</v>
      </c>
      <c r="H154" s="694">
        <f>0.75*MST!AF18</f>
        <v>190.26</v>
      </c>
      <c r="I154" s="694">
        <f>0.75*MST!AG18</f>
        <v>-109.85999999999999</v>
      </c>
      <c r="J154" s="488">
        <f t="shared" si="7"/>
        <v>397.70500000000004</v>
      </c>
      <c r="K154" s="488">
        <f>J154/COS(ATAN(input!BP17))</f>
        <v>400.8000272233844</v>
      </c>
      <c r="L154" s="692" t="str">
        <f t="shared" si="6"/>
        <v>OK</v>
      </c>
      <c r="N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143"/>
      <c r="AE154" s="143"/>
      <c r="AF154" s="143"/>
      <c r="AG154" s="14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</row>
    <row r="155" spans="1:47" ht="15" customHeight="1">
      <c r="A155" s="482" t="str">
        <f>input!B18</f>
        <v>108j</v>
      </c>
      <c r="B155" s="643">
        <f>Cons!M1017</f>
        <v>1319.9787397030161</v>
      </c>
      <c r="C155" s="488">
        <f>Stress!E193</f>
        <v>28.58</v>
      </c>
      <c r="D155" s="488">
        <f>Stress!F193</f>
        <v>0.8</v>
      </c>
      <c r="E155" s="488">
        <f>Stress!G193</f>
        <v>8.2100000000000009</v>
      </c>
      <c r="F155" s="488">
        <f>Stress!H193</f>
        <v>4.29</v>
      </c>
      <c r="G155" s="488">
        <f>Stress!I193</f>
        <v>4.03</v>
      </c>
      <c r="H155" s="694">
        <f>0.75*MST!AF19</f>
        <v>144.89999999999998</v>
      </c>
      <c r="I155" s="694">
        <f>0.75*MST!AG19</f>
        <v>-150.05250000000001</v>
      </c>
      <c r="J155" s="488">
        <f t="shared" si="7"/>
        <v>167.85499999999999</v>
      </c>
      <c r="K155" s="488">
        <f>J155/COS(ATAN(input!BP18))</f>
        <v>169.16128429258163</v>
      </c>
      <c r="L155" s="692" t="str">
        <f t="shared" si="6"/>
        <v>OK</v>
      </c>
      <c r="N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143"/>
      <c r="AE155" s="143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</row>
    <row r="156" spans="1:47" ht="15" customHeight="1">
      <c r="A156" s="482" t="str">
        <f>input!B19</f>
        <v>109i</v>
      </c>
      <c r="B156" s="643">
        <f>Cons!M1018</f>
        <v>1319.9787397030161</v>
      </c>
      <c r="C156" s="488">
        <f>Stress!E194</f>
        <v>28.62</v>
      </c>
      <c r="D156" s="488">
        <f>Stress!F194</f>
        <v>0.8</v>
      </c>
      <c r="E156" s="488">
        <f>Stress!G194</f>
        <v>8.17</v>
      </c>
      <c r="F156" s="488">
        <f>Stress!H194</f>
        <v>4.2699999999999996</v>
      </c>
      <c r="G156" s="488">
        <f>Stress!I194</f>
        <v>4.01</v>
      </c>
      <c r="H156" s="694">
        <f>0.75*MST!AF20</f>
        <v>144.9075</v>
      </c>
      <c r="I156" s="694">
        <f>0.75*MST!AG20</f>
        <v>-150.05250000000001</v>
      </c>
      <c r="J156" s="488">
        <f t="shared" si="7"/>
        <v>167.8425</v>
      </c>
      <c r="K156" s="488">
        <f>J156/COS(ATAN(input!BP19))</f>
        <v>169.14868701484991</v>
      </c>
      <c r="L156" s="692" t="str">
        <f t="shared" si="6"/>
        <v>OK</v>
      </c>
      <c r="N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</row>
    <row r="157" spans="1:47" ht="15" customHeight="1">
      <c r="A157" s="482" t="str">
        <f>input!B20</f>
        <v>109j</v>
      </c>
      <c r="B157" s="643">
        <f>Cons!M1019</f>
        <v>1319.9787397030161</v>
      </c>
      <c r="C157" s="488">
        <f>Stress!E195</f>
        <v>-82.51</v>
      </c>
      <c r="D157" s="488">
        <f>Stress!F195</f>
        <v>0.8</v>
      </c>
      <c r="E157" s="488">
        <f>Stress!G195</f>
        <v>-170.83</v>
      </c>
      <c r="F157" s="488">
        <f>Stress!H195</f>
        <v>-35.979999999999997</v>
      </c>
      <c r="G157" s="488">
        <f>Stress!I195</f>
        <v>-34.590000000000003</v>
      </c>
      <c r="H157" s="694">
        <f>0.75*MST!AF21</f>
        <v>106.01249999999999</v>
      </c>
      <c r="I157" s="694">
        <f>0.75*MST!AG21</f>
        <v>-193.86750000000001</v>
      </c>
      <c r="J157" s="488">
        <f t="shared" si="7"/>
        <v>-355.42250000000001</v>
      </c>
      <c r="K157" s="488">
        <f>J157/COS(ATAN(input!BP20))</f>
        <v>-358.18847556808021</v>
      </c>
      <c r="L157" s="692" t="str">
        <f t="shared" si="6"/>
        <v>OK</v>
      </c>
      <c r="N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143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</row>
    <row r="158" spans="1:47" ht="15" customHeight="1">
      <c r="A158" s="482" t="str">
        <f>input!B21</f>
        <v>110i</v>
      </c>
      <c r="B158" s="643">
        <f>Cons!M1020</f>
        <v>1319.9787397030161</v>
      </c>
      <c r="C158" s="488">
        <f>Stress!E196</f>
        <v>-98.11</v>
      </c>
      <c r="D158" s="488">
        <f>Stress!F196</f>
        <v>0.81</v>
      </c>
      <c r="E158" s="488">
        <f>Stress!G196</f>
        <v>-227.87</v>
      </c>
      <c r="F158" s="488">
        <f>Stress!H196</f>
        <v>-53.2</v>
      </c>
      <c r="G158" s="488">
        <f>Stress!I196</f>
        <v>-45.02</v>
      </c>
      <c r="H158" s="694">
        <f>0.75*MST!AF22</f>
        <v>155.63249999999999</v>
      </c>
      <c r="I158" s="694">
        <f>0.75*MST!AG22</f>
        <v>-141.61500000000001</v>
      </c>
      <c r="J158" s="488">
        <f t="shared" si="7"/>
        <v>-353.31</v>
      </c>
      <c r="K158" s="488">
        <f>J158/COS(ATAN(input!BP21))</f>
        <v>-356.05953563142009</v>
      </c>
      <c r="L158" s="692" t="str">
        <f t="shared" si="6"/>
        <v>OK</v>
      </c>
      <c r="N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143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</row>
    <row r="159" spans="1:47" ht="15" customHeight="1">
      <c r="A159" s="482" t="str">
        <f>input!B22</f>
        <v>110j</v>
      </c>
      <c r="B159" s="643">
        <f>Cons!M1021</f>
        <v>1319.9787397030161</v>
      </c>
      <c r="C159" s="488">
        <f>Stress!E197</f>
        <v>-209.24</v>
      </c>
      <c r="D159" s="488">
        <f>Stress!F197</f>
        <v>0.81</v>
      </c>
      <c r="E159" s="488">
        <f>Stress!G197</f>
        <v>-406.87</v>
      </c>
      <c r="F159" s="488">
        <f>Stress!H197</f>
        <v>-93.45</v>
      </c>
      <c r="G159" s="488">
        <f>Stress!I197</f>
        <v>-83.62</v>
      </c>
      <c r="H159" s="694">
        <f>0.75*MST!AF23</f>
        <v>110.16749999999999</v>
      </c>
      <c r="I159" s="694">
        <f>0.75*MST!AG23</f>
        <v>-185.23499999999999</v>
      </c>
      <c r="J159" s="488">
        <f t="shared" si="7"/>
        <v>-581.41999999999996</v>
      </c>
      <c r="K159" s="488">
        <f>J159/COS(ATAN(input!BP22))</f>
        <v>-585.94473750196778</v>
      </c>
      <c r="L159" s="692" t="str">
        <f t="shared" si="6"/>
        <v>OK</v>
      </c>
      <c r="N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</row>
    <row r="160" spans="1:47" ht="15" customHeight="1">
      <c r="A160" s="482" t="str">
        <f>input!B23</f>
        <v>111i</v>
      </c>
      <c r="B160" s="643">
        <f>Cons!M1022</f>
        <v>1319.9787397030161</v>
      </c>
      <c r="C160" s="488">
        <f>Stress!E198</f>
        <v>-226.95</v>
      </c>
      <c r="D160" s="488">
        <f>Stress!F198</f>
        <v>0.8</v>
      </c>
      <c r="E160" s="488">
        <f>Stress!G198</f>
        <v>-468.2</v>
      </c>
      <c r="F160" s="488">
        <f>Stress!H198</f>
        <v>-110.9</v>
      </c>
      <c r="G160" s="488">
        <f>Stress!I198</f>
        <v>-94.2</v>
      </c>
      <c r="H160" s="694">
        <f>0.75*MST!AF24</f>
        <v>164.64000000000001</v>
      </c>
      <c r="I160" s="694">
        <f>0.75*MST!AG24</f>
        <v>-138.97500000000002</v>
      </c>
      <c r="J160" s="488">
        <f t="shared" si="7"/>
        <v>-588.70000000000005</v>
      </c>
      <c r="K160" s="488">
        <f>J160/COS(ATAN(input!BP23))</f>
        <v>-593.28139205291961</v>
      </c>
      <c r="L160" s="692" t="str">
        <f t="shared" si="6"/>
        <v>OK</v>
      </c>
      <c r="N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</row>
    <row r="161" spans="1:47" ht="15" customHeight="1">
      <c r="A161" s="482" t="str">
        <f>input!B24</f>
        <v>111j</v>
      </c>
      <c r="B161" s="643">
        <f>Cons!M1023</f>
        <v>1319.9787397030161</v>
      </c>
      <c r="C161" s="488">
        <f>Stress!E199</f>
        <v>-338.08</v>
      </c>
      <c r="D161" s="488">
        <f>Stress!F199</f>
        <v>0.8</v>
      </c>
      <c r="E161" s="488">
        <f>Stress!G199</f>
        <v>-647.20000000000005</v>
      </c>
      <c r="F161" s="488">
        <f>Stress!H199</f>
        <v>-151.15</v>
      </c>
      <c r="G161" s="488">
        <f>Stress!I199</f>
        <v>-132.80000000000001</v>
      </c>
      <c r="H161" s="694">
        <f>0.75*MST!AF25</f>
        <v>120.0975</v>
      </c>
      <c r="I161" s="694">
        <f>0.75*MST!AG25</f>
        <v>-177.24</v>
      </c>
      <c r="J161" s="488">
        <f t="shared" si="7"/>
        <v>-811.45500000000004</v>
      </c>
      <c r="K161" s="488">
        <f>J161/COS(ATAN(input!BP24))</f>
        <v>-817.76992014320001</v>
      </c>
      <c r="L161" s="692" t="str">
        <f t="shared" si="6"/>
        <v>OK</v>
      </c>
      <c r="N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143"/>
      <c r="AE161" s="143"/>
      <c r="AF161" s="14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</row>
    <row r="162" spans="1:47" ht="15" customHeight="1">
      <c r="A162" s="482" t="str">
        <f>input!B25</f>
        <v>112i</v>
      </c>
      <c r="B162" s="643">
        <f>Cons!M1024</f>
        <v>1319.9787397030161</v>
      </c>
      <c r="C162" s="488">
        <f>Stress!E200</f>
        <v>-338.14</v>
      </c>
      <c r="D162" s="488">
        <f>Stress!F200</f>
        <v>0.8</v>
      </c>
      <c r="E162" s="488">
        <f>Stress!G200</f>
        <v>-647.17999999999995</v>
      </c>
      <c r="F162" s="488">
        <f>Stress!H200</f>
        <v>-151.13</v>
      </c>
      <c r="G162" s="488">
        <f>Stress!I200</f>
        <v>-132.83000000000001</v>
      </c>
      <c r="H162" s="694">
        <f>0.75*MST!AF26</f>
        <v>120.10499999999999</v>
      </c>
      <c r="I162" s="694">
        <f>0.75*MST!AG26</f>
        <v>-177.23250000000002</v>
      </c>
      <c r="J162" s="488">
        <f t="shared" si="7"/>
        <v>-811.47250000000008</v>
      </c>
      <c r="K162" s="488">
        <f>J162/COS(ATAN(input!BP25))</f>
        <v>-817.78755633202445</v>
      </c>
      <c r="L162" s="692" t="str">
        <f t="shared" si="6"/>
        <v>OK</v>
      </c>
      <c r="N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</row>
    <row r="163" spans="1:47" ht="15" customHeight="1">
      <c r="A163" s="482" t="str">
        <f>input!B26</f>
        <v>112j</v>
      </c>
      <c r="B163" s="643">
        <f>Cons!M1025</f>
        <v>1319.9787397030161</v>
      </c>
      <c r="C163" s="488">
        <f>Stress!E201</f>
        <v>-433.86</v>
      </c>
      <c r="D163" s="488">
        <f>Stress!F201</f>
        <v>0.8</v>
      </c>
      <c r="E163" s="488">
        <f>Stress!G201</f>
        <v>-826.18</v>
      </c>
      <c r="F163" s="488">
        <f>Stress!H201</f>
        <v>-191.38</v>
      </c>
      <c r="G163" s="488">
        <f>Stress!I201</f>
        <v>-171.43</v>
      </c>
      <c r="H163" s="694">
        <f>0.75*MST!AF27</f>
        <v>80.61</v>
      </c>
      <c r="I163" s="694">
        <f>0.75*MST!AG27</f>
        <v>-219.93</v>
      </c>
      <c r="J163" s="488">
        <f t="shared" si="7"/>
        <v>-1030.9549999999999</v>
      </c>
      <c r="K163" s="488">
        <f>J163/COS(ATAN(input!BP26))</f>
        <v>-1038.9781171121413</v>
      </c>
      <c r="L163" s="692" t="str">
        <f t="shared" si="6"/>
        <v>OK</v>
      </c>
      <c r="N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143"/>
      <c r="AE163" s="143"/>
      <c r="AF163" s="14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</row>
    <row r="164" spans="1:47" ht="15" customHeight="1">
      <c r="A164" s="482" t="str">
        <f>input!B27</f>
        <v>113i</v>
      </c>
      <c r="B164" s="643">
        <f>Cons!M1026</f>
        <v>1319.9787397030161</v>
      </c>
      <c r="C164" s="488">
        <f>Stress!E202</f>
        <v>-451.11</v>
      </c>
      <c r="D164" s="488">
        <f>Stress!F202</f>
        <v>0.79</v>
      </c>
      <c r="E164" s="488">
        <f>Stress!G202</f>
        <v>-905.7</v>
      </c>
      <c r="F164" s="488">
        <f>Stress!H202</f>
        <v>-216.38</v>
      </c>
      <c r="G164" s="488">
        <f>Stress!I202</f>
        <v>-186.41</v>
      </c>
      <c r="H164" s="694">
        <f>0.75*MST!AF28</f>
        <v>136.7775</v>
      </c>
      <c r="I164" s="694">
        <f>0.75*MST!AG28</f>
        <v>-168.02250000000001</v>
      </c>
      <c r="J164" s="488">
        <f t="shared" si="7"/>
        <v>-1047.4275</v>
      </c>
      <c r="K164" s="488">
        <f>J164/COS(ATAN(input!BP27))</f>
        <v>-1055.5788097069974</v>
      </c>
      <c r="L164" s="692" t="str">
        <f t="shared" si="6"/>
        <v>OK</v>
      </c>
      <c r="N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143"/>
      <c r="AE164" s="143"/>
      <c r="AF164" s="14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</row>
    <row r="165" spans="1:47" ht="15" customHeight="1">
      <c r="A165" s="971" t="str">
        <f>input!B28</f>
        <v>113j</v>
      </c>
      <c r="B165" s="643">
        <f>Cons!M1027</f>
        <v>1319.9787397030161</v>
      </c>
      <c r="C165" s="488">
        <f>Stress!E203</f>
        <v>-543.46</v>
      </c>
      <c r="D165" s="488">
        <f>Stress!F203</f>
        <v>0.79</v>
      </c>
      <c r="E165" s="488">
        <f>Stress!G203</f>
        <v>-1084.7</v>
      </c>
      <c r="F165" s="488">
        <f>Stress!H203</f>
        <v>-256.63</v>
      </c>
      <c r="G165" s="488">
        <f>Stress!I203</f>
        <v>-225.01</v>
      </c>
      <c r="H165" s="1085">
        <f>0.75*MST!AF29</f>
        <v>93.36</v>
      </c>
      <c r="I165" s="1085">
        <f>0.75*MST!AG29</f>
        <v>-205.71750000000003</v>
      </c>
      <c r="J165" s="488">
        <f t="shared" si="7"/>
        <v>-1260.2225000000001</v>
      </c>
      <c r="K165" s="488">
        <f>J165/COS(ATAN(input!BP28))</f>
        <v>-1270.0298269006462</v>
      </c>
      <c r="L165" s="1090" t="str">
        <f t="shared" si="6"/>
        <v>OK</v>
      </c>
      <c r="N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143"/>
      <c r="AE165" s="143"/>
      <c r="AF165" s="14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  <c r="AU165" s="143"/>
    </row>
    <row r="166" spans="1:47" ht="15" customHeight="1">
      <c r="A166" s="979" t="str">
        <f>input!B29</f>
        <v>114i</v>
      </c>
      <c r="B166" s="643">
        <f>Cons!M1028</f>
        <v>1319.9787397030161</v>
      </c>
      <c r="C166" s="488">
        <f>Stress!E204</f>
        <v>-543.46</v>
      </c>
      <c r="D166" s="488">
        <f>Stress!F204</f>
        <v>0.79</v>
      </c>
      <c r="E166" s="488">
        <f>Stress!G204</f>
        <v>-1084.6600000000001</v>
      </c>
      <c r="F166" s="488">
        <f>Stress!H204</f>
        <v>-256.64</v>
      </c>
      <c r="G166" s="488">
        <f>Stress!I204</f>
        <v>-225.01</v>
      </c>
      <c r="H166" s="1087">
        <f>0.75*MST!AF30</f>
        <v>93.352499999999992</v>
      </c>
      <c r="I166" s="1087">
        <f>0.75*MST!AG30</f>
        <v>-205.71750000000003</v>
      </c>
      <c r="J166" s="488">
        <f t="shared" si="7"/>
        <v>-1260.2075000000002</v>
      </c>
      <c r="K166" s="488">
        <f>J166/COS(ATAN(input!BP29))</f>
        <v>-1270.0147101673683</v>
      </c>
      <c r="L166" s="1092" t="str">
        <f t="shared" si="6"/>
        <v>OK</v>
      </c>
      <c r="N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143"/>
      <c r="AE166" s="143"/>
      <c r="AF166" s="14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</row>
    <row r="167" spans="1:47" ht="15" customHeight="1">
      <c r="A167" s="482" t="str">
        <f>input!B30</f>
        <v>114j</v>
      </c>
      <c r="B167" s="643">
        <f>Cons!M1029</f>
        <v>1319.9787397030161</v>
      </c>
      <c r="C167" s="488">
        <f>Stress!E205</f>
        <v>-635.82000000000005</v>
      </c>
      <c r="D167" s="488">
        <f>Stress!F205</f>
        <v>0.79</v>
      </c>
      <c r="E167" s="488">
        <f>Stress!G205</f>
        <v>-1263.6600000000001</v>
      </c>
      <c r="F167" s="488">
        <f>Stress!H205</f>
        <v>-296.89</v>
      </c>
      <c r="G167" s="488">
        <f>Stress!I205</f>
        <v>-263.61</v>
      </c>
      <c r="H167" s="694">
        <f>0.75*MST!AF31</f>
        <v>56.474999999999994</v>
      </c>
      <c r="I167" s="694">
        <f>0.75*MST!AG31</f>
        <v>-247.50749999999999</v>
      </c>
      <c r="J167" s="488">
        <f t="shared" si="7"/>
        <v>-1477.1025</v>
      </c>
      <c r="K167" s="488">
        <f>J167/COS(ATAN(input!BP30))</f>
        <v>-1488.5976344570197</v>
      </c>
      <c r="L167" s="692" t="str">
        <f t="shared" si="6"/>
        <v>NG</v>
      </c>
      <c r="N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143"/>
      <c r="AE167" s="143"/>
      <c r="AF167" s="14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</row>
    <row r="168" spans="1:47" ht="15" customHeight="1">
      <c r="A168" s="482" t="str">
        <f>input!B31</f>
        <v>115i</v>
      </c>
      <c r="B168" s="643">
        <f>Cons!M1030</f>
        <v>1319.9787397030161</v>
      </c>
      <c r="C168" s="488">
        <f>Stress!E206</f>
        <v>-654.26</v>
      </c>
      <c r="D168" s="488">
        <f>Stress!F206</f>
        <v>0.79</v>
      </c>
      <c r="E168" s="488">
        <f>Stress!G206</f>
        <v>-1344.62</v>
      </c>
      <c r="F168" s="488">
        <f>Stress!H206</f>
        <v>-320.83</v>
      </c>
      <c r="G168" s="488">
        <f>Stress!I206</f>
        <v>-278.14999999999998</v>
      </c>
      <c r="H168" s="694">
        <f>0.75*MST!AF32</f>
        <v>104.67</v>
      </c>
      <c r="I168" s="694">
        <f>0.75*MST!AG32</f>
        <v>-202.6875</v>
      </c>
      <c r="J168" s="488">
        <f t="shared" si="7"/>
        <v>-1501.2225000000001</v>
      </c>
      <c r="K168" s="488">
        <f>J168/COS(ATAN(input!BP31))</f>
        <v>-1512.9053415681401</v>
      </c>
      <c r="L168" s="692" t="str">
        <f t="shared" si="6"/>
        <v>NG</v>
      </c>
      <c r="N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143"/>
      <c r="AE168" s="143"/>
      <c r="AF168" s="14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</row>
    <row r="169" spans="1:47" ht="15" customHeight="1">
      <c r="A169" s="482" t="str">
        <f>input!B32</f>
        <v>115j</v>
      </c>
      <c r="B169" s="643">
        <f>Cons!M1031</f>
        <v>1319.9787397030161</v>
      </c>
      <c r="C169" s="488">
        <f>Stress!E207</f>
        <v>-726.93</v>
      </c>
      <c r="D169" s="488">
        <f>Stress!F207</f>
        <v>0.79</v>
      </c>
      <c r="E169" s="488">
        <f>Stress!G207</f>
        <v>-1523.62</v>
      </c>
      <c r="F169" s="488">
        <f>Stress!H207</f>
        <v>-361.08</v>
      </c>
      <c r="G169" s="488">
        <f>Stress!I207</f>
        <v>-316.75</v>
      </c>
      <c r="H169" s="694">
        <f>0.75*MST!AF33</f>
        <v>65.099999999999994</v>
      </c>
      <c r="I169" s="694">
        <f>0.75*MST!AG33</f>
        <v>-238.91250000000002</v>
      </c>
      <c r="J169" s="488">
        <f t="shared" si="7"/>
        <v>-1702.7075</v>
      </c>
      <c r="K169" s="488">
        <f>J169/COS(ATAN(input!BP32))</f>
        <v>-1715.9583418701316</v>
      </c>
      <c r="L169" s="692" t="str">
        <f t="shared" si="6"/>
        <v>NG</v>
      </c>
      <c r="N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143"/>
      <c r="AE169" s="143"/>
      <c r="AF169" s="14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</row>
    <row r="170" spans="1:47" ht="15" customHeight="1">
      <c r="A170" s="482" t="str">
        <f>input!B33</f>
        <v>116i</v>
      </c>
      <c r="B170" s="643">
        <f>Cons!M1032</f>
        <v>1320.7525127251954</v>
      </c>
      <c r="C170" s="488">
        <f>Stress!E208</f>
        <v>-726.94</v>
      </c>
      <c r="D170" s="488">
        <f>Stress!F208</f>
        <v>0.79</v>
      </c>
      <c r="E170" s="488">
        <f>Stress!G208</f>
        <v>-1523.63</v>
      </c>
      <c r="F170" s="488">
        <f>Stress!H208</f>
        <v>-361.09</v>
      </c>
      <c r="G170" s="488">
        <f>Stress!I208</f>
        <v>-316.75</v>
      </c>
      <c r="H170" s="694">
        <f>0.75*MST!AF34</f>
        <v>65.099999999999994</v>
      </c>
      <c r="I170" s="694">
        <f>0.75*MST!AG34</f>
        <v>-238.92000000000002</v>
      </c>
      <c r="J170" s="488">
        <f t="shared" si="7"/>
        <v>-1702.7300000000002</v>
      </c>
      <c r="K170" s="488">
        <f>J170/COS(ATAN(input!BP33))</f>
        <v>-1715.9622604166555</v>
      </c>
      <c r="L170" s="692" t="str">
        <f t="shared" si="6"/>
        <v>NG</v>
      </c>
      <c r="N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143"/>
      <c r="AE170" s="143"/>
      <c r="AF170" s="14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</row>
    <row r="171" spans="1:47" ht="15" customHeight="1">
      <c r="A171" s="482" t="str">
        <f>input!B34</f>
        <v>116j</v>
      </c>
      <c r="B171" s="643">
        <f>Cons!M1033</f>
        <v>1320.7525127251954</v>
      </c>
      <c r="C171" s="488">
        <f>Stress!E209</f>
        <v>-811.43</v>
      </c>
      <c r="D171" s="488">
        <f>Stress!F209</f>
        <v>0.79</v>
      </c>
      <c r="E171" s="488">
        <f>Stress!G209</f>
        <v>-1702.63</v>
      </c>
      <c r="F171" s="488">
        <f>Stress!H209</f>
        <v>-401.34</v>
      </c>
      <c r="G171" s="488">
        <f>Stress!I209</f>
        <v>-355.35</v>
      </c>
      <c r="H171" s="694">
        <f>0.75*MST!AF35</f>
        <v>32.692500000000003</v>
      </c>
      <c r="I171" s="694">
        <f>0.75*MST!AG35</f>
        <v>-277.73250000000002</v>
      </c>
      <c r="J171" s="488">
        <f t="shared" si="7"/>
        <v>-1912.7125000000001</v>
      </c>
      <c r="K171" s="488">
        <f>J171/COS(ATAN(input!BP34))</f>
        <v>-1927.5765770422743</v>
      </c>
      <c r="L171" s="692" t="str">
        <f t="shared" si="6"/>
        <v>NG</v>
      </c>
      <c r="N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143"/>
      <c r="AE171" s="143"/>
      <c r="AF171" s="14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</row>
    <row r="172" spans="1:47" ht="15" customHeight="1">
      <c r="A172" s="482" t="str">
        <f>input!B35</f>
        <v>117i</v>
      </c>
      <c r="B172" s="643">
        <f>Cons!M1034</f>
        <v>1327.6749109114714</v>
      </c>
      <c r="C172" s="488">
        <f>Stress!E210</f>
        <v>-836.11</v>
      </c>
      <c r="D172" s="488">
        <f>Stress!F210</f>
        <v>1.05</v>
      </c>
      <c r="E172" s="488">
        <f>Stress!G210</f>
        <v>-1797.59</v>
      </c>
      <c r="F172" s="488">
        <f>Stress!H210</f>
        <v>-426.86</v>
      </c>
      <c r="G172" s="488">
        <f>Stress!I210</f>
        <v>-371</v>
      </c>
      <c r="H172" s="694">
        <f>0.75*MST!AF36</f>
        <v>58.71</v>
      </c>
      <c r="I172" s="694">
        <f>0.75*MST!AG36</f>
        <v>-250.9725</v>
      </c>
      <c r="J172" s="488">
        <f t="shared" si="7"/>
        <v>-1966.2275000000002</v>
      </c>
      <c r="K172" s="488">
        <f>J172/COS(ATAN(input!BP35))</f>
        <v>-1981.529112099086</v>
      </c>
      <c r="L172" s="692" t="str">
        <f t="shared" ref="L172:L201" si="8">IF(ABS(K172)&lt;=B172,"OK","NG")</f>
        <v>NG</v>
      </c>
      <c r="N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143"/>
      <c r="AE172" s="143"/>
      <c r="AF172" s="14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</row>
    <row r="173" spans="1:47" ht="15" customHeight="1">
      <c r="A173" s="482" t="str">
        <f>input!B36</f>
        <v>117j</v>
      </c>
      <c r="B173" s="643">
        <f>Cons!M1035</f>
        <v>1327.6749109114714</v>
      </c>
      <c r="C173" s="488">
        <f>Stress!E211</f>
        <v>-940.77</v>
      </c>
      <c r="D173" s="488">
        <f>Stress!F211</f>
        <v>-77.819999999999993</v>
      </c>
      <c r="E173" s="488">
        <f>Stress!G211</f>
        <v>-1976.59</v>
      </c>
      <c r="F173" s="488">
        <f>Stress!H211</f>
        <v>-467.11</v>
      </c>
      <c r="G173" s="488">
        <f>Stress!I211</f>
        <v>-409.6</v>
      </c>
      <c r="H173" s="694">
        <f>0.75*MST!AF37</f>
        <v>36.765000000000001</v>
      </c>
      <c r="I173" s="694">
        <f>0.75*MST!AG37</f>
        <v>-284.39249999999998</v>
      </c>
      <c r="J173" s="488">
        <f t="shared" si="7"/>
        <v>-2220.3375000000001</v>
      </c>
      <c r="K173" s="488">
        <f>J173/COS(ATAN(input!BP36))</f>
        <v>-2237.6166516516041</v>
      </c>
      <c r="L173" s="692" t="str">
        <f t="shared" si="8"/>
        <v>NG</v>
      </c>
      <c r="N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143"/>
      <c r="AE173" s="143"/>
      <c r="AF173" s="14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</row>
    <row r="174" spans="1:47" ht="15" customHeight="1">
      <c r="A174" s="482" t="str">
        <f>input!B37</f>
        <v>118i</v>
      </c>
      <c r="B174" s="643">
        <f>Cons!M1036</f>
        <v>2131.4878867507468</v>
      </c>
      <c r="C174" s="488">
        <f>Stress!E212</f>
        <v>-940.8</v>
      </c>
      <c r="D174" s="488">
        <f>Stress!F212</f>
        <v>-77.819999999999993</v>
      </c>
      <c r="E174" s="488">
        <f>Stress!G212</f>
        <v>-1976.64</v>
      </c>
      <c r="F174" s="488">
        <f>Stress!H212</f>
        <v>-467.1</v>
      </c>
      <c r="G174" s="488">
        <f>Stress!I212</f>
        <v>-409.59</v>
      </c>
      <c r="H174" s="694">
        <f>0.75*MST!AF38</f>
        <v>36.765000000000001</v>
      </c>
      <c r="I174" s="694">
        <f>0.75*MST!AG38</f>
        <v>-284.39249999999998</v>
      </c>
      <c r="J174" s="488">
        <f t="shared" si="7"/>
        <v>-2220.3675000000003</v>
      </c>
      <c r="K174" s="488">
        <f>J174/COS(ATAN(input!BP37))</f>
        <v>-2237.6579810892954</v>
      </c>
      <c r="L174" s="692" t="str">
        <f t="shared" si="8"/>
        <v>NG</v>
      </c>
      <c r="N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143"/>
      <c r="AE174" s="143"/>
      <c r="AF174" s="14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</row>
    <row r="175" spans="1:47" ht="15" customHeight="1">
      <c r="A175" s="482" t="str">
        <f>input!B38</f>
        <v>118j</v>
      </c>
      <c r="B175" s="643">
        <f>Cons!M1037</f>
        <v>2131.4878867507468</v>
      </c>
      <c r="C175" s="488">
        <f>Stress!E213</f>
        <v>-1044.52</v>
      </c>
      <c r="D175" s="488">
        <f>Stress!F213</f>
        <v>-154.38999999999999</v>
      </c>
      <c r="E175" s="488">
        <f>Stress!G213</f>
        <v>-2101.94</v>
      </c>
      <c r="F175" s="488">
        <f>Stress!H213</f>
        <v>-495.28</v>
      </c>
      <c r="G175" s="488">
        <f>Stress!I213</f>
        <v>-436.61</v>
      </c>
      <c r="H175" s="694">
        <f>0.75*MST!AF39</f>
        <v>36.765000000000001</v>
      </c>
      <c r="I175" s="694">
        <f>0.75*MST!AG39</f>
        <v>-312.36750000000001</v>
      </c>
      <c r="J175" s="488">
        <f t="shared" si="7"/>
        <v>-2428.7374999999997</v>
      </c>
      <c r="K175" s="488">
        <f>J175/COS(ATAN(input!BP38))</f>
        <v>-2447.6506032653879</v>
      </c>
      <c r="L175" s="692" t="str">
        <f t="shared" si="8"/>
        <v>NG</v>
      </c>
      <c r="N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143"/>
      <c r="AE175" s="143"/>
      <c r="AF175" s="14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</row>
    <row r="176" spans="1:47" ht="15" customHeight="1">
      <c r="A176" s="482" t="str">
        <f>input!B39</f>
        <v>119i</v>
      </c>
      <c r="B176" s="643">
        <f>Cons!M1038</f>
        <v>2146.4709774097842</v>
      </c>
      <c r="C176" s="488">
        <f>Stress!E214</f>
        <v>-1044.56</v>
      </c>
      <c r="D176" s="488">
        <f>Stress!F214</f>
        <v>-154.38999999999999</v>
      </c>
      <c r="E176" s="488">
        <f>Stress!G214</f>
        <v>-2101.65</v>
      </c>
      <c r="F176" s="488">
        <f>Stress!H214</f>
        <v>-495.27</v>
      </c>
      <c r="G176" s="488">
        <f>Stress!I214</f>
        <v>-436.62</v>
      </c>
      <c r="H176" s="694">
        <f>0.75*MST!AF40</f>
        <v>36.7575</v>
      </c>
      <c r="I176" s="694">
        <f>0.75*MST!AG40</f>
        <v>-312.36750000000001</v>
      </c>
      <c r="J176" s="488">
        <f t="shared" si="7"/>
        <v>-2428.6124999999997</v>
      </c>
      <c r="K176" s="488">
        <f>J176/COS(ATAN(input!BP39))</f>
        <v>-2447.5124932174635</v>
      </c>
      <c r="L176" s="692" t="str">
        <f t="shared" si="8"/>
        <v>NG</v>
      </c>
      <c r="N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143"/>
      <c r="AE176" s="143"/>
      <c r="AF176" s="14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  <c r="AU176" s="143"/>
    </row>
    <row r="177" spans="1:47" ht="15" customHeight="1">
      <c r="A177" s="482" t="str">
        <f>input!B40</f>
        <v>119j</v>
      </c>
      <c r="B177" s="643">
        <f>Cons!M1039</f>
        <v>2146.4709774097842</v>
      </c>
      <c r="C177" s="488">
        <f>Stress!E215</f>
        <v>-1089.3499999999999</v>
      </c>
      <c r="D177" s="488">
        <f>Stress!F215</f>
        <v>-192.08</v>
      </c>
      <c r="E177" s="488">
        <f>Stress!G215</f>
        <v>-2155.35</v>
      </c>
      <c r="F177" s="488">
        <f>Stress!H215</f>
        <v>-507.34</v>
      </c>
      <c r="G177" s="488">
        <f>Stress!I215</f>
        <v>-448.2</v>
      </c>
      <c r="H177" s="694">
        <f>0.75*MST!AF41</f>
        <v>142.14000000000001</v>
      </c>
      <c r="I177" s="694">
        <f>0.75*MST!AG41</f>
        <v>-312.36750000000001</v>
      </c>
      <c r="J177" s="488">
        <f t="shared" si="7"/>
        <v>-2508.5274999999997</v>
      </c>
      <c r="K177" s="488">
        <f>J177/COS(ATAN(input!BP40))</f>
        <v>-2528.0494092118734</v>
      </c>
      <c r="L177" s="692" t="str">
        <f t="shared" si="8"/>
        <v>NG</v>
      </c>
      <c r="N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143"/>
      <c r="AE177" s="143"/>
      <c r="AF177" s="14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</row>
    <row r="178" spans="1:47" ht="15" customHeight="1">
      <c r="A178" s="482" t="str">
        <f>input!B41</f>
        <v>120i</v>
      </c>
      <c r="B178" s="643">
        <f>Cons!M1040</f>
        <v>2146.4709774097842</v>
      </c>
      <c r="C178" s="488">
        <f>Stress!E216</f>
        <v>818.61</v>
      </c>
      <c r="D178" s="488">
        <f>Stress!F216</f>
        <v>190.84</v>
      </c>
      <c r="E178" s="488">
        <f>Stress!G216</f>
        <v>1710.25</v>
      </c>
      <c r="F178" s="488">
        <f>Stress!H216</f>
        <v>399.79</v>
      </c>
      <c r="G178" s="488">
        <f>Stress!I216</f>
        <v>353.79</v>
      </c>
      <c r="H178" s="694">
        <f>0.75*MST!AF42</f>
        <v>328.48500000000001</v>
      </c>
      <c r="I178" s="694">
        <f>0.75*MST!AG42</f>
        <v>-21.78</v>
      </c>
      <c r="J178" s="488">
        <f t="shared" si="7"/>
        <v>2065.125</v>
      </c>
      <c r="K178" s="488">
        <f>J178/COS(ATAN(input!BP41))</f>
        <v>2081.1962540568802</v>
      </c>
      <c r="L178" s="692" t="str">
        <f t="shared" si="8"/>
        <v>OK</v>
      </c>
      <c r="N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143"/>
      <c r="AE178" s="143"/>
      <c r="AF178" s="14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</row>
    <row r="179" spans="1:47" ht="15" customHeight="1">
      <c r="A179" s="482" t="str">
        <f>input!B42</f>
        <v>120j</v>
      </c>
      <c r="B179" s="643">
        <f>Cons!M1041</f>
        <v>2146.4709774097842</v>
      </c>
      <c r="C179" s="488">
        <f>Stress!E217</f>
        <v>773.82</v>
      </c>
      <c r="D179" s="488">
        <f>Stress!F217</f>
        <v>153.15</v>
      </c>
      <c r="E179" s="488">
        <f>Stress!G217</f>
        <v>1656.55</v>
      </c>
      <c r="F179" s="488">
        <f>Stress!H217</f>
        <v>387.71</v>
      </c>
      <c r="G179" s="488">
        <f>Stress!I217</f>
        <v>342.21</v>
      </c>
      <c r="H179" s="694">
        <f>0.75*MST!AF43</f>
        <v>314.15999999999997</v>
      </c>
      <c r="I179" s="694">
        <f>0.75*MST!AG43</f>
        <v>-21.78</v>
      </c>
      <c r="J179" s="488">
        <f t="shared" si="7"/>
        <v>1970.88</v>
      </c>
      <c r="K179" s="488">
        <f>J179/COS(ATAN(input!BP42))</f>
        <v>1986.2178188708308</v>
      </c>
      <c r="L179" s="692" t="str">
        <f t="shared" si="8"/>
        <v>OK</v>
      </c>
      <c r="N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143"/>
      <c r="AE179" s="143"/>
      <c r="AF179" s="14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</row>
    <row r="180" spans="1:47" ht="15" customHeight="1">
      <c r="A180" s="482" t="str">
        <f>input!B43</f>
        <v>121i</v>
      </c>
      <c r="B180" s="643">
        <f>Cons!M1042</f>
        <v>2131.4878867507468</v>
      </c>
      <c r="C180" s="488">
        <f>Stress!E218</f>
        <v>773.82</v>
      </c>
      <c r="D180" s="488">
        <f>Stress!F218</f>
        <v>153.15</v>
      </c>
      <c r="E180" s="488">
        <f>Stress!G218</f>
        <v>1656.49</v>
      </c>
      <c r="F180" s="488">
        <f>Stress!H218</f>
        <v>387.68</v>
      </c>
      <c r="G180" s="488">
        <f>Stress!I218</f>
        <v>342.23</v>
      </c>
      <c r="H180" s="694">
        <f>0.75*MST!AF44</f>
        <v>314.15999999999997</v>
      </c>
      <c r="I180" s="694">
        <f>0.75*MST!AG44</f>
        <v>-21.78</v>
      </c>
      <c r="J180" s="488">
        <f t="shared" si="7"/>
        <v>1970.8449999999998</v>
      </c>
      <c r="K180" s="488">
        <f>J180/COS(ATAN(input!BP43))</f>
        <v>1986.1923955110726</v>
      </c>
      <c r="L180" s="692" t="str">
        <f t="shared" si="8"/>
        <v>OK</v>
      </c>
      <c r="N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143"/>
      <c r="AE180" s="143"/>
      <c r="AF180" s="14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</row>
    <row r="181" spans="1:47" ht="15" customHeight="1">
      <c r="A181" s="482" t="str">
        <f>input!B44</f>
        <v>121j</v>
      </c>
      <c r="B181" s="643">
        <f>Cons!M1043</f>
        <v>2131.4878867507468</v>
      </c>
      <c r="C181" s="488">
        <f>Stress!E219</f>
        <v>670.1</v>
      </c>
      <c r="D181" s="488">
        <f>Stress!F219</f>
        <v>77.37</v>
      </c>
      <c r="E181" s="488">
        <f>Stress!G219</f>
        <v>1531.19</v>
      </c>
      <c r="F181" s="488">
        <f>Stress!H219</f>
        <v>359.51</v>
      </c>
      <c r="G181" s="488">
        <f>Stress!I219</f>
        <v>315.20999999999998</v>
      </c>
      <c r="H181" s="694">
        <f>0.75*MST!AF45</f>
        <v>278.685</v>
      </c>
      <c r="I181" s="694">
        <f>0.75*MST!AG45</f>
        <v>-23.475000000000001</v>
      </c>
      <c r="J181" s="488">
        <f t="shared" si="7"/>
        <v>1755.375</v>
      </c>
      <c r="K181" s="488">
        <f>J181/COS(ATAN(input!BP44))</f>
        <v>1769.0444841021233</v>
      </c>
      <c r="L181" s="692" t="str">
        <f t="shared" si="8"/>
        <v>OK</v>
      </c>
      <c r="N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</row>
    <row r="182" spans="1:47" ht="15" customHeight="1">
      <c r="A182" s="482" t="str">
        <f>input!B45</f>
        <v>122i</v>
      </c>
      <c r="B182" s="643">
        <f>Cons!M1044</f>
        <v>1327.6749109114714</v>
      </c>
      <c r="C182" s="488">
        <f>Stress!E220</f>
        <v>670.09</v>
      </c>
      <c r="D182" s="488">
        <f>Stress!F220</f>
        <v>77.37</v>
      </c>
      <c r="E182" s="488">
        <f>Stress!G220</f>
        <v>1531.21</v>
      </c>
      <c r="F182" s="488">
        <f>Stress!H220</f>
        <v>359.51</v>
      </c>
      <c r="G182" s="488">
        <f>Stress!I220</f>
        <v>315.20999999999998</v>
      </c>
      <c r="H182" s="694">
        <f>0.75*MST!AF46</f>
        <v>278.685</v>
      </c>
      <c r="I182" s="694">
        <f>0.75*MST!AG46</f>
        <v>-23.475000000000001</v>
      </c>
      <c r="J182" s="488">
        <f t="shared" si="7"/>
        <v>1755.38</v>
      </c>
      <c r="K182" s="488">
        <f>J182/COS(ATAN(input!BP45))</f>
        <v>1769.0407507760387</v>
      </c>
      <c r="L182" s="692" t="str">
        <f t="shared" si="8"/>
        <v>NG</v>
      </c>
      <c r="N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143"/>
      <c r="AE182" s="143"/>
      <c r="AF182" s="14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</row>
    <row r="183" spans="1:47" ht="15" customHeight="1">
      <c r="A183" s="482" t="str">
        <f>input!B46</f>
        <v>122j</v>
      </c>
      <c r="B183" s="643">
        <f>Cons!M1045</f>
        <v>1327.6749109114714</v>
      </c>
      <c r="C183" s="488">
        <f>Stress!E221</f>
        <v>559.71</v>
      </c>
      <c r="D183" s="488">
        <f>Stress!F221</f>
        <v>-1.5</v>
      </c>
      <c r="E183" s="488">
        <f>Stress!G221</f>
        <v>1352.21</v>
      </c>
      <c r="F183" s="488">
        <f>Stress!H221</f>
        <v>319.26</v>
      </c>
      <c r="G183" s="488">
        <f>Stress!I221</f>
        <v>276.61</v>
      </c>
      <c r="H183" s="694">
        <f>0.75*MST!AF47</f>
        <v>230.92499999999998</v>
      </c>
      <c r="I183" s="694">
        <f>0.75*MST!AG47</f>
        <v>-58.147500000000001</v>
      </c>
      <c r="J183" s="488">
        <f t="shared" si="7"/>
        <v>1484.0700000000002</v>
      </c>
      <c r="K183" s="488">
        <f>J183/COS(ATAN(input!BP46))</f>
        <v>1495.6193570646788</v>
      </c>
      <c r="L183" s="692" t="str">
        <f t="shared" si="8"/>
        <v>NG</v>
      </c>
      <c r="N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143"/>
      <c r="AE183" s="143"/>
      <c r="AF183" s="14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</row>
    <row r="184" spans="1:47" ht="15" customHeight="1">
      <c r="A184" s="482" t="str">
        <f>input!B47</f>
        <v>123i</v>
      </c>
      <c r="B184" s="643">
        <f>Cons!M1046</f>
        <v>1320.7525127251954</v>
      </c>
      <c r="C184" s="488">
        <f>Stress!E222</f>
        <v>538.45000000000005</v>
      </c>
      <c r="D184" s="488">
        <f>Stress!F222</f>
        <v>-1.26</v>
      </c>
      <c r="E184" s="488">
        <f>Stress!G222</f>
        <v>1264.22</v>
      </c>
      <c r="F184" s="488">
        <f>Stress!H222</f>
        <v>294.25</v>
      </c>
      <c r="G184" s="488">
        <f>Stress!I222</f>
        <v>261.39999999999998</v>
      </c>
      <c r="H184" s="694">
        <f>0.75*MST!AF48</f>
        <v>262.35000000000002</v>
      </c>
      <c r="I184" s="694">
        <f>0.75*MST!AG48</f>
        <v>-36.734999999999999</v>
      </c>
      <c r="J184" s="488">
        <f t="shared" si="7"/>
        <v>1440.88</v>
      </c>
      <c r="K184" s="488">
        <f>J184/COS(ATAN(input!BP47))</f>
        <v>1452.0773709214909</v>
      </c>
      <c r="L184" s="692" t="str">
        <f t="shared" si="8"/>
        <v>NG</v>
      </c>
      <c r="N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143"/>
      <c r="AE184" s="143"/>
      <c r="AF184" s="14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</row>
    <row r="185" spans="1:47" ht="15" customHeight="1">
      <c r="A185" s="482" t="str">
        <f>input!B48</f>
        <v>123j</v>
      </c>
      <c r="B185" s="643">
        <f>Cons!M1047</f>
        <v>1320.7525127251954</v>
      </c>
      <c r="C185" s="488">
        <f>Stress!E223</f>
        <v>438.05</v>
      </c>
      <c r="D185" s="488">
        <f>Stress!F223</f>
        <v>-1.26</v>
      </c>
      <c r="E185" s="488">
        <f>Stress!G223</f>
        <v>1085.22</v>
      </c>
      <c r="F185" s="488">
        <f>Stress!H223</f>
        <v>254</v>
      </c>
      <c r="G185" s="488">
        <f>Stress!I223</f>
        <v>222.8</v>
      </c>
      <c r="H185" s="694">
        <f>0.75*MST!AF49</f>
        <v>213.54750000000001</v>
      </c>
      <c r="I185" s="694">
        <f>0.75*MST!AG49</f>
        <v>-76.515000000000001</v>
      </c>
      <c r="J185" s="488">
        <f t="shared" si="7"/>
        <v>1212.9524999999999</v>
      </c>
      <c r="K185" s="488">
        <f>J185/COS(ATAN(input!BP48))</f>
        <v>1222.3786000587484</v>
      </c>
      <c r="L185" s="692" t="str">
        <f t="shared" si="8"/>
        <v>OK</v>
      </c>
      <c r="N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143"/>
      <c r="AE185" s="143"/>
      <c r="AF185" s="14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</row>
    <row r="186" spans="1:47" ht="15" customHeight="1">
      <c r="A186" s="482" t="str">
        <f>input!B49</f>
        <v>124i</v>
      </c>
      <c r="B186" s="643">
        <f>Cons!M1048</f>
        <v>1319.9787397030161</v>
      </c>
      <c r="C186" s="488">
        <f>Stress!E224</f>
        <v>438.05</v>
      </c>
      <c r="D186" s="488">
        <f>Stress!F224</f>
        <v>-1.26</v>
      </c>
      <c r="E186" s="488">
        <f>Stress!G224</f>
        <v>1085.21</v>
      </c>
      <c r="F186" s="488">
        <f>Stress!H224</f>
        <v>254</v>
      </c>
      <c r="G186" s="488">
        <f>Stress!I224</f>
        <v>222.8</v>
      </c>
      <c r="H186" s="694">
        <f>0.75*MST!AF50</f>
        <v>213.54750000000001</v>
      </c>
      <c r="I186" s="694">
        <f>0.75*MST!AG50</f>
        <v>-76.515000000000001</v>
      </c>
      <c r="J186" s="488">
        <f t="shared" si="7"/>
        <v>1212.9475</v>
      </c>
      <c r="K186" s="488">
        <f>J186/COS(ATAN(input!BP49))</f>
        <v>1222.3869225192943</v>
      </c>
      <c r="L186" s="692" t="str">
        <f t="shared" si="8"/>
        <v>OK</v>
      </c>
      <c r="N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143"/>
      <c r="AE186" s="143"/>
      <c r="AF186" s="14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</row>
    <row r="187" spans="1:47" ht="15" customHeight="1">
      <c r="A187" s="482" t="str">
        <f>input!B50</f>
        <v>124j</v>
      </c>
      <c r="B187" s="643">
        <f>Cons!M1049</f>
        <v>1319.9787397030161</v>
      </c>
      <c r="C187" s="488">
        <f>Stress!E225</f>
        <v>356.62</v>
      </c>
      <c r="D187" s="488">
        <f>Stress!F225</f>
        <v>-1.26</v>
      </c>
      <c r="E187" s="488">
        <f>Stress!G225</f>
        <v>906.21</v>
      </c>
      <c r="F187" s="488">
        <f>Stress!H225</f>
        <v>213.75</v>
      </c>
      <c r="G187" s="488">
        <f>Stress!I225</f>
        <v>184.2</v>
      </c>
      <c r="H187" s="694">
        <f>0.75*MST!AF51</f>
        <v>166.53</v>
      </c>
      <c r="I187" s="694">
        <f>0.75*MST!AG51</f>
        <v>-123.35249999999999</v>
      </c>
      <c r="J187" s="488">
        <f t="shared" si="7"/>
        <v>996.29000000000008</v>
      </c>
      <c r="K187" s="488">
        <f>J187/COS(ATAN(input!BP50))</f>
        <v>1004.0433465065454</v>
      </c>
      <c r="L187" s="692" t="str">
        <f t="shared" si="8"/>
        <v>OK</v>
      </c>
      <c r="N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143"/>
      <c r="AE187" s="143"/>
      <c r="AF187" s="14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</row>
    <row r="188" spans="1:47" ht="15" customHeight="1">
      <c r="A188" s="482" t="str">
        <f>input!B51</f>
        <v>125i</v>
      </c>
      <c r="B188" s="643">
        <f>Cons!M1050</f>
        <v>1319.9787397030161</v>
      </c>
      <c r="C188" s="488">
        <f>Stress!E226</f>
        <v>335.09</v>
      </c>
      <c r="D188" s="488">
        <f>Stress!F226</f>
        <v>-1.27</v>
      </c>
      <c r="E188" s="488">
        <f>Stress!G226</f>
        <v>817.95</v>
      </c>
      <c r="F188" s="488">
        <f>Stress!H226</f>
        <v>188.96</v>
      </c>
      <c r="G188" s="488">
        <f>Stress!I226</f>
        <v>169.04</v>
      </c>
      <c r="H188" s="694">
        <f>0.75*MST!AF52</f>
        <v>221.5275</v>
      </c>
      <c r="I188" s="694">
        <f>0.75*MST!AG52</f>
        <v>-75.510000000000005</v>
      </c>
      <c r="J188" s="488">
        <f t="shared" si="7"/>
        <v>976.41250000000002</v>
      </c>
      <c r="K188" s="488">
        <f>J188/COS(ATAN(input!BP51))</f>
        <v>984.01115545756977</v>
      </c>
      <c r="L188" s="692" t="str">
        <f t="shared" si="8"/>
        <v>OK</v>
      </c>
      <c r="N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143"/>
      <c r="AE188" s="143"/>
      <c r="AF188" s="14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</row>
    <row r="189" spans="1:47" ht="15" customHeight="1">
      <c r="A189" s="482" t="str">
        <f>input!B52</f>
        <v>125j</v>
      </c>
      <c r="B189" s="643">
        <f>Cons!M1051</f>
        <v>1319.9787397030161</v>
      </c>
      <c r="C189" s="488">
        <f>Stress!E227</f>
        <v>262.42</v>
      </c>
      <c r="D189" s="488">
        <f>Stress!F227</f>
        <v>-1.27</v>
      </c>
      <c r="E189" s="488">
        <f>Stress!G227</f>
        <v>638.95000000000005</v>
      </c>
      <c r="F189" s="488">
        <f>Stress!H227</f>
        <v>148.71</v>
      </c>
      <c r="G189" s="488">
        <f>Stress!I227</f>
        <v>130.44</v>
      </c>
      <c r="H189" s="694">
        <f>0.75*MST!AF53</f>
        <v>168.66749999999999</v>
      </c>
      <c r="I189" s="694">
        <f>0.75*MST!AG53</f>
        <v>-117.9975</v>
      </c>
      <c r="J189" s="488">
        <f t="shared" si="7"/>
        <v>758.29250000000013</v>
      </c>
      <c r="K189" s="488">
        <f>J189/COS(ATAN(input!BP52))</f>
        <v>764.19369795020987</v>
      </c>
      <c r="L189" s="692" t="str">
        <f t="shared" si="8"/>
        <v>OK</v>
      </c>
      <c r="N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143"/>
      <c r="AE189" s="143"/>
      <c r="AF189" s="14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</row>
    <row r="190" spans="1:47" ht="15" customHeight="1">
      <c r="A190" s="482" t="str">
        <f>input!B53</f>
        <v>126i</v>
      </c>
      <c r="B190" s="643">
        <f>Cons!M1052</f>
        <v>1319.9787397030161</v>
      </c>
      <c r="C190" s="488">
        <f>Stress!E228</f>
        <v>262.42</v>
      </c>
      <c r="D190" s="488">
        <f>Stress!F228</f>
        <v>-1.27</v>
      </c>
      <c r="E190" s="488">
        <f>Stress!G228</f>
        <v>638.96</v>
      </c>
      <c r="F190" s="488">
        <f>Stress!H228</f>
        <v>148.71</v>
      </c>
      <c r="G190" s="488">
        <f>Stress!I228</f>
        <v>130.44</v>
      </c>
      <c r="H190" s="694">
        <f>0.75*MST!AF54</f>
        <v>168.66749999999999</v>
      </c>
      <c r="I190" s="694">
        <f>0.75*MST!AG54</f>
        <v>-117.9975</v>
      </c>
      <c r="J190" s="488">
        <f t="shared" si="7"/>
        <v>758.29750000000013</v>
      </c>
      <c r="K190" s="488">
        <f>J190/COS(ATAN(input!BP53))</f>
        <v>764.19873686130256</v>
      </c>
      <c r="L190" s="692" t="str">
        <f t="shared" si="8"/>
        <v>OK</v>
      </c>
      <c r="N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143"/>
      <c r="AE190" s="143"/>
      <c r="AF190" s="14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  <c r="AU190" s="143"/>
    </row>
    <row r="191" spans="1:47" ht="15" customHeight="1">
      <c r="A191" s="482" t="str">
        <f>input!B54</f>
        <v>126j</v>
      </c>
      <c r="B191" s="643">
        <f>Cons!M1053</f>
        <v>1319.9787397030161</v>
      </c>
      <c r="C191" s="488">
        <f>Stress!E229</f>
        <v>189.75</v>
      </c>
      <c r="D191" s="488">
        <f>Stress!F229</f>
        <v>-1.27</v>
      </c>
      <c r="E191" s="488">
        <f>Stress!G229</f>
        <v>459.96</v>
      </c>
      <c r="F191" s="488">
        <f>Stress!H229</f>
        <v>108.46</v>
      </c>
      <c r="G191" s="488">
        <f>Stress!I229</f>
        <v>91.84</v>
      </c>
      <c r="H191" s="694">
        <f>0.75*MST!AF55</f>
        <v>118.83</v>
      </c>
      <c r="I191" s="694">
        <f>0.75*MST!AG55</f>
        <v>-168.495</v>
      </c>
      <c r="J191" s="488">
        <f t="shared" si="7"/>
        <v>543.20000000000005</v>
      </c>
      <c r="K191" s="488">
        <f>J191/COS(ATAN(input!BP54))</f>
        <v>547.42730110947161</v>
      </c>
      <c r="L191" s="692" t="str">
        <f t="shared" si="8"/>
        <v>OK</v>
      </c>
      <c r="N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143"/>
      <c r="AE191" s="143"/>
      <c r="AF191" s="14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</row>
    <row r="192" spans="1:47" ht="15" customHeight="1">
      <c r="A192" s="482" t="str">
        <f>input!B55</f>
        <v>127i</v>
      </c>
      <c r="B192" s="643">
        <f>Cons!M1054</f>
        <v>1319.9787397030161</v>
      </c>
      <c r="C192" s="488">
        <f>Stress!E230</f>
        <v>171.04</v>
      </c>
      <c r="D192" s="488">
        <f>Stress!F230</f>
        <v>-1.26</v>
      </c>
      <c r="E192" s="488">
        <f>Stress!G230</f>
        <v>383.14</v>
      </c>
      <c r="F192" s="488">
        <f>Stress!H230</f>
        <v>84.9</v>
      </c>
      <c r="G192" s="488">
        <f>Stress!I230</f>
        <v>77.64</v>
      </c>
      <c r="H192" s="694">
        <f>0.75*MST!AF56</f>
        <v>184.30500000000001</v>
      </c>
      <c r="I192" s="694">
        <f>0.75*MST!AG56</f>
        <v>-108.38249999999999</v>
      </c>
      <c r="J192" s="488">
        <f t="shared" si="7"/>
        <v>542.03499999999997</v>
      </c>
      <c r="K192" s="488">
        <f>J192/COS(ATAN(input!BP55))</f>
        <v>546.25323482487556</v>
      </c>
      <c r="L192" s="692" t="str">
        <f t="shared" si="8"/>
        <v>OK</v>
      </c>
      <c r="N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143"/>
      <c r="AE192" s="143"/>
      <c r="AF192" s="14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  <c r="AT192" s="143"/>
      <c r="AU192" s="143"/>
    </row>
    <row r="193" spans="1:47" ht="15" customHeight="1">
      <c r="A193" s="482" t="str">
        <f>input!B56</f>
        <v>127j</v>
      </c>
      <c r="B193" s="643">
        <f>Cons!M1055</f>
        <v>1319.9787397030161</v>
      </c>
      <c r="C193" s="488">
        <f>Stress!E231</f>
        <v>107.07</v>
      </c>
      <c r="D193" s="488">
        <f>Stress!F231</f>
        <v>-1.26</v>
      </c>
      <c r="E193" s="488">
        <f>Stress!G231</f>
        <v>204.14</v>
      </c>
      <c r="F193" s="488">
        <f>Stress!H231</f>
        <v>44.65</v>
      </c>
      <c r="G193" s="488">
        <f>Stress!I231</f>
        <v>39.04</v>
      </c>
      <c r="H193" s="694">
        <f>0.75*MST!AF57</f>
        <v>125.97749999999999</v>
      </c>
      <c r="I193" s="694">
        <f>0.75*MST!AG57</f>
        <v>-155.4375</v>
      </c>
      <c r="J193" s="488">
        <f t="shared" si="7"/>
        <v>322.79750000000001</v>
      </c>
      <c r="K193" s="488">
        <f>J193/COS(ATAN(input!BP56))</f>
        <v>325.30958068830017</v>
      </c>
      <c r="L193" s="692" t="str">
        <f t="shared" si="8"/>
        <v>OK</v>
      </c>
      <c r="N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143"/>
      <c r="AE193" s="143"/>
      <c r="AF193" s="14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  <c r="AU193" s="143"/>
    </row>
    <row r="194" spans="1:47" ht="15" customHeight="1">
      <c r="A194" s="482" t="str">
        <f>input!B57</f>
        <v>128i</v>
      </c>
      <c r="B194" s="643">
        <f>Cons!M1056</f>
        <v>1319.9787397030161</v>
      </c>
      <c r="C194" s="488">
        <f>Stress!E232</f>
        <v>107.07</v>
      </c>
      <c r="D194" s="488">
        <f>Stress!F232</f>
        <v>-1.26</v>
      </c>
      <c r="E194" s="488">
        <f>Stress!G232</f>
        <v>204.14</v>
      </c>
      <c r="F194" s="488">
        <f>Stress!H232</f>
        <v>44.65</v>
      </c>
      <c r="G194" s="488">
        <f>Stress!I232</f>
        <v>39.04</v>
      </c>
      <c r="H194" s="694">
        <f>0.75*MST!AF58</f>
        <v>125.97749999999999</v>
      </c>
      <c r="I194" s="694">
        <f>0.75*MST!AG58</f>
        <v>-155.4375</v>
      </c>
      <c r="J194" s="488">
        <f t="shared" si="7"/>
        <v>322.79750000000001</v>
      </c>
      <c r="K194" s="488">
        <f>J194/COS(ATAN(input!BP57))</f>
        <v>325.30958068830017</v>
      </c>
      <c r="L194" s="692" t="str">
        <f t="shared" si="8"/>
        <v>OK</v>
      </c>
      <c r="N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143"/>
      <c r="AE194" s="143"/>
      <c r="AF194" s="14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  <c r="AU194" s="143"/>
    </row>
    <row r="195" spans="1:47" ht="15" customHeight="1">
      <c r="A195" s="482" t="str">
        <f>input!B58</f>
        <v>128j</v>
      </c>
      <c r="B195" s="643">
        <f>Cons!M1057</f>
        <v>1319.9787397030161</v>
      </c>
      <c r="C195" s="488">
        <f>Stress!E233</f>
        <v>43.09</v>
      </c>
      <c r="D195" s="488">
        <f>Stress!F233</f>
        <v>-1.26</v>
      </c>
      <c r="E195" s="488">
        <f>Stress!G233</f>
        <v>25.14</v>
      </c>
      <c r="F195" s="488">
        <f>Stress!H233</f>
        <v>4.4000000000000004</v>
      </c>
      <c r="G195" s="488">
        <f>Stress!I233</f>
        <v>0.44</v>
      </c>
      <c r="H195" s="694">
        <f>0.75*MST!AF59</f>
        <v>71.820000000000007</v>
      </c>
      <c r="I195" s="694">
        <f>0.75*MST!AG59</f>
        <v>-215.66250000000002</v>
      </c>
      <c r="J195" s="488">
        <f t="shared" si="7"/>
        <v>107.72500000000001</v>
      </c>
      <c r="K195" s="488">
        <f>J195/COS(ATAN(input!BP58))</f>
        <v>108.56333949193267</v>
      </c>
      <c r="L195" s="692" t="str">
        <f t="shared" si="8"/>
        <v>OK</v>
      </c>
      <c r="N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143"/>
      <c r="AE195" s="143"/>
      <c r="AF195" s="14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  <c r="AU195" s="143"/>
    </row>
    <row r="196" spans="1:47" ht="15" customHeight="1">
      <c r="A196" s="482" t="str">
        <f>input!B59</f>
        <v>129i</v>
      </c>
      <c r="B196" s="643">
        <f>Cons!M1058</f>
        <v>1319.9787397030161</v>
      </c>
      <c r="C196" s="488">
        <f>Stress!E234</f>
        <v>23.74</v>
      </c>
      <c r="D196" s="488">
        <f>Stress!F234</f>
        <v>-1.26</v>
      </c>
      <c r="E196" s="488">
        <f>Stress!G234</f>
        <v>-62.32</v>
      </c>
      <c r="F196" s="488">
        <f>Stress!H234</f>
        <v>-21.61</v>
      </c>
      <c r="G196" s="488">
        <f>Stress!I234</f>
        <v>-15.16</v>
      </c>
      <c r="H196" s="694">
        <f>0.75*MST!AF60</f>
        <v>112.47749999999999</v>
      </c>
      <c r="I196" s="694">
        <f>0.75*MST!AG60</f>
        <v>-170.43</v>
      </c>
      <c r="J196" s="488">
        <f t="shared" si="7"/>
        <v>74.172499999999985</v>
      </c>
      <c r="K196" s="488">
        <f>J196/COS(ATAN(input!BP59))</f>
        <v>74.749726604459255</v>
      </c>
      <c r="L196" s="692" t="str">
        <f t="shared" si="8"/>
        <v>OK</v>
      </c>
      <c r="N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143"/>
      <c r="AE196" s="143"/>
      <c r="AF196" s="14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  <c r="AT196" s="143"/>
      <c r="AU196" s="143"/>
    </row>
    <row r="197" spans="1:47" ht="15" customHeight="1">
      <c r="A197" s="482" t="str">
        <f>input!B60</f>
        <v>129j</v>
      </c>
      <c r="B197" s="643">
        <f>Cons!M1059</f>
        <v>1319.9787397030161</v>
      </c>
      <c r="C197" s="488">
        <f>Stress!E235</f>
        <v>-59.05</v>
      </c>
      <c r="D197" s="488">
        <f>Stress!F235</f>
        <v>-1.26</v>
      </c>
      <c r="E197" s="488">
        <f>Stress!G235</f>
        <v>-293.94</v>
      </c>
      <c r="F197" s="488">
        <f>Stress!H235</f>
        <v>-73.69</v>
      </c>
      <c r="G197" s="488">
        <f>Stress!I235</f>
        <v>-65.11</v>
      </c>
      <c r="H197" s="694">
        <f>0.75*MST!AF61</f>
        <v>38.032499999999999</v>
      </c>
      <c r="I197" s="694">
        <f>0.75*MST!AG61</f>
        <v>-240.99</v>
      </c>
      <c r="J197" s="488">
        <f t="shared" si="7"/>
        <v>-487.51499999999999</v>
      </c>
      <c r="K197" s="488">
        <f>J197/COS(ATAN(input!BP60))</f>
        <v>-491.30894827022092</v>
      </c>
      <c r="L197" s="692" t="str">
        <f t="shared" si="8"/>
        <v>OK</v>
      </c>
      <c r="N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143"/>
      <c r="AE197" s="143"/>
      <c r="AF197" s="14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  <c r="AU197" s="143"/>
    </row>
    <row r="198" spans="1:47" ht="15" customHeight="1">
      <c r="A198" s="482" t="str">
        <f>input!B61</f>
        <v>130i</v>
      </c>
      <c r="B198" s="643">
        <f>Cons!M1060</f>
        <v>1312.556246380452</v>
      </c>
      <c r="C198" s="488">
        <f>Stress!E236</f>
        <v>-59.05</v>
      </c>
      <c r="D198" s="488">
        <f>Stress!F236</f>
        <v>-1.26</v>
      </c>
      <c r="E198" s="488">
        <f>Stress!G236</f>
        <v>-293.94</v>
      </c>
      <c r="F198" s="488">
        <f>Stress!H236</f>
        <v>-73.69</v>
      </c>
      <c r="G198" s="488">
        <f>Stress!I236</f>
        <v>-65.11</v>
      </c>
      <c r="H198" s="694">
        <f>0.75*MST!AF62</f>
        <v>38.032499999999999</v>
      </c>
      <c r="I198" s="694">
        <f>0.75*MST!AG62</f>
        <v>-240.99</v>
      </c>
      <c r="J198" s="488">
        <f t="shared" si="7"/>
        <v>-487.51499999999999</v>
      </c>
      <c r="K198" s="488">
        <f>J198/COS(ATAN(input!BP61))</f>
        <v>-491.30894827022092</v>
      </c>
      <c r="L198" s="692" t="str">
        <f t="shared" si="8"/>
        <v>OK</v>
      </c>
      <c r="N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143"/>
      <c r="AE198" s="143"/>
      <c r="AF198" s="14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  <c r="AU198" s="143"/>
    </row>
    <row r="199" spans="1:47" ht="15" customHeight="1">
      <c r="A199" s="482" t="str">
        <f>input!B62</f>
        <v>130j</v>
      </c>
      <c r="B199" s="643">
        <f>Cons!M1061</f>
        <v>1312.556246380452</v>
      </c>
      <c r="C199" s="488">
        <f>Stress!E237</f>
        <v>-94.58</v>
      </c>
      <c r="D199" s="488">
        <f>Stress!F237</f>
        <v>-1.26</v>
      </c>
      <c r="E199" s="488">
        <f>Stress!G237</f>
        <v>-463.65</v>
      </c>
      <c r="F199" s="488">
        <f>Stress!H237</f>
        <v>-97.04</v>
      </c>
      <c r="G199" s="488">
        <f>Stress!I237</f>
        <v>-87.49</v>
      </c>
      <c r="H199" s="694">
        <f>0.75*MST!AF63</f>
        <v>158.70750000000001</v>
      </c>
      <c r="I199" s="694">
        <f>0.75*MST!AG63</f>
        <v>-240.99</v>
      </c>
      <c r="J199" s="488">
        <f t="shared" si="7"/>
        <v>-613</v>
      </c>
      <c r="K199" s="488">
        <f>J199/COS(ATAN(input!BP62))</f>
        <v>-617.77049996337632</v>
      </c>
      <c r="L199" s="692" t="str">
        <f t="shared" si="8"/>
        <v>OK</v>
      </c>
      <c r="N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143"/>
      <c r="AE199" s="143"/>
      <c r="AF199" s="14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  <c r="AU199" s="143"/>
    </row>
    <row r="200" spans="1:47" ht="15" customHeight="1">
      <c r="A200" s="482" t="str">
        <f>input!B63</f>
        <v>131i</v>
      </c>
      <c r="B200" s="643">
        <f>Cons!M1062</f>
        <v>1312.556246380452</v>
      </c>
      <c r="C200" s="488">
        <f>Stress!E238</f>
        <v>6.74</v>
      </c>
      <c r="D200" s="488">
        <f>Stress!F238</f>
        <v>0</v>
      </c>
      <c r="E200" s="488">
        <f>Stress!G238</f>
        <v>32.200000000000003</v>
      </c>
      <c r="F200" s="488">
        <f>Stress!H238</f>
        <v>4.43</v>
      </c>
      <c r="G200" s="488">
        <f>Stress!I238</f>
        <v>4.25</v>
      </c>
      <c r="H200" s="694">
        <f>0.75*MST!AF64</f>
        <v>159.14249999999998</v>
      </c>
      <c r="I200" s="694">
        <f>0.75*MST!AG64</f>
        <v>-0.03</v>
      </c>
      <c r="J200" s="488">
        <f t="shared" si="7"/>
        <v>182.95249999999999</v>
      </c>
      <c r="K200" s="488">
        <f>J200/COS(ATAN(input!BP63))</f>
        <v>184.37627633694879</v>
      </c>
      <c r="L200" s="692" t="str">
        <f t="shared" si="8"/>
        <v>OK</v>
      </c>
      <c r="N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143"/>
      <c r="AE200" s="143"/>
      <c r="AF200" s="14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  <c r="AU200" s="143"/>
    </row>
    <row r="201" spans="1:47" ht="15" customHeight="1">
      <c r="A201" s="482" t="str">
        <f>input!B64</f>
        <v>131j</v>
      </c>
      <c r="B201" s="643">
        <f>Cons!M1063</f>
        <v>1312.556246380452</v>
      </c>
      <c r="C201" s="488">
        <f>Stress!E239</f>
        <v>0</v>
      </c>
      <c r="D201" s="488">
        <f>Stress!F239</f>
        <v>0</v>
      </c>
      <c r="E201" s="488">
        <f>Stress!G239</f>
        <v>0.01</v>
      </c>
      <c r="F201" s="488">
        <f>Stress!H239</f>
        <v>0</v>
      </c>
      <c r="G201" s="488">
        <f>Stress!I239</f>
        <v>0.01</v>
      </c>
      <c r="H201" s="694">
        <f>0.75*MST!AF65</f>
        <v>142.6875</v>
      </c>
      <c r="I201" s="694">
        <f>0.75*MST!AG65</f>
        <v>-19.8675</v>
      </c>
      <c r="J201" s="488">
        <f t="shared" si="7"/>
        <v>142.69749999999999</v>
      </c>
      <c r="K201" s="488">
        <f>J201/COS(ATAN(input!BP64))</f>
        <v>143.80800312972903</v>
      </c>
      <c r="L201" s="692" t="str">
        <f t="shared" si="8"/>
        <v>OK</v>
      </c>
      <c r="N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143"/>
      <c r="AE201" s="143"/>
      <c r="AF201" s="14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  <c r="AU201" s="143"/>
    </row>
    <row r="202" spans="1:47" ht="15" customHeight="1">
      <c r="A202" s="348"/>
      <c r="B202" s="348"/>
      <c r="E202" s="170"/>
      <c r="F202" s="170"/>
      <c r="G202" s="170"/>
      <c r="H202" s="170"/>
      <c r="I202" s="170"/>
      <c r="J202" s="170"/>
      <c r="K202" s="170"/>
      <c r="L202" s="170"/>
      <c r="M202" s="170"/>
      <c r="N202" s="345"/>
      <c r="O202" s="170"/>
      <c r="P202" s="170"/>
      <c r="Q202" s="170"/>
      <c r="R202" s="170"/>
      <c r="S202" s="170"/>
      <c r="T202" s="170"/>
      <c r="U202" s="170"/>
      <c r="V202" s="170"/>
      <c r="W202" s="170"/>
      <c r="X202" s="170"/>
      <c r="Y202" s="170"/>
      <c r="Z202" s="143"/>
      <c r="AB202" s="349"/>
    </row>
    <row r="203" spans="1:47" ht="15" customHeight="1">
      <c r="A203" s="348"/>
      <c r="B203" s="348"/>
      <c r="E203" s="170"/>
      <c r="F203" s="170"/>
      <c r="G203" s="170"/>
      <c r="H203" s="170"/>
      <c r="I203" s="170"/>
      <c r="J203" s="170"/>
      <c r="K203" s="170"/>
      <c r="L203" s="170"/>
      <c r="M203" s="170"/>
      <c r="N203" s="345"/>
      <c r="O203" s="170"/>
      <c r="P203" s="170"/>
      <c r="Q203" s="170"/>
      <c r="R203" s="170"/>
      <c r="S203" s="170"/>
      <c r="T203" s="170"/>
      <c r="U203" s="170"/>
      <c r="V203" s="170"/>
      <c r="W203" s="170"/>
      <c r="X203" s="170"/>
      <c r="Y203" s="170"/>
      <c r="Z203" s="143"/>
      <c r="AB203" s="349"/>
    </row>
    <row r="320" spans="2:2" ht="15" customHeight="1">
      <c r="B320" s="170"/>
    </row>
    <row r="438" spans="2:2" ht="15" customHeight="1">
      <c r="B438" s="170"/>
    </row>
  </sheetData>
  <mergeCells count="35">
    <mergeCell ref="A40:A41"/>
    <mergeCell ref="B36:D37"/>
    <mergeCell ref="B38:D39"/>
    <mergeCell ref="B40:D41"/>
    <mergeCell ref="B34:E35"/>
    <mergeCell ref="A34:A35"/>
    <mergeCell ref="A36:A37"/>
    <mergeCell ref="A38:A39"/>
    <mergeCell ref="H26:I26"/>
    <mergeCell ref="V42:X43"/>
    <mergeCell ref="L38:L39"/>
    <mergeCell ref="M36:M37"/>
    <mergeCell ref="M38:M39"/>
    <mergeCell ref="M40:M41"/>
    <mergeCell ref="L40:L41"/>
    <mergeCell ref="I36:J37"/>
    <mergeCell ref="I38:J39"/>
    <mergeCell ref="I40:J41"/>
    <mergeCell ref="K36:K37"/>
    <mergeCell ref="K38:K39"/>
    <mergeCell ref="K40:K41"/>
    <mergeCell ref="L36:L37"/>
    <mergeCell ref="F36:F37"/>
    <mergeCell ref="F38:F39"/>
    <mergeCell ref="F40:F41"/>
    <mergeCell ref="G36:H37"/>
    <mergeCell ref="G38:H39"/>
    <mergeCell ref="G40:H41"/>
    <mergeCell ref="H138:I138"/>
    <mergeCell ref="Y42:AA43"/>
    <mergeCell ref="A42:B43"/>
    <mergeCell ref="C42:J43"/>
    <mergeCell ref="K42:L43"/>
    <mergeCell ref="M42:O43"/>
    <mergeCell ref="C138:G138"/>
  </mergeCells>
  <phoneticPr fontId="34" type="noConversion"/>
  <conditionalFormatting sqref="H50 F50 A49:XFD49 D45:XFD48 AH50:XFD113 T50 E202:Y203 AT202:XFD203 A202:B203 AB202:AB203 A204:XFD1048576 K4 K3:L3 I6 K7 K5:L6 C3:D8 G3:G8 A3:A8 AT114:XFD116 E114:Y116 AT135:XFD137 A135:B137 Q131:Q135 H3:H4 G5:H7 Q1:Z2 Q10:Z18 U3:Y7 T8:Z9 J14:O14 H15:O16 A14:F16 H14 A19:XFD19 A20:F22 P20:XFD22 H20:K22 A23:XFD24 A25:G32 H25:I25 H26 K29:XFD32 L25:XFD27 M28:XFD28 H27:I32 A33:XFD33 Z34:XFD41 F34:L35 M34:P36 T42:XFD44 E39 I36 I38 K36:L36 I40 K40:M40 K38:P38 N37:P37 AB114:AB116 N50:N113 T52 T54 T56 T58 T60 T62 A36:B36 A38:B38 A40:B40 A34:B34 A42:R44 N39:P41 F36:G36 F38:G38 F40:G40 A17:O18 A1:O2 Q9:S9 P10:P17 A9:O13 AB1:XFD2 AB8:XFD18 AA3:XFD7 P2 I8:S8 M3:R7 A48:C48 C47 A47 D51:G113 H124:Y124 B121:D121 Q117:Z117 A117:O117 D119 F119:Y123 D122:D123 A50:B116 E118:Y118 A118:B130 AT118:XFD130 AB118:AB124">
    <cfRule type="cellIs" dxfId="98" priority="134" operator="equal">
      <formula>"NG"</formula>
    </cfRule>
  </conditionalFormatting>
  <conditionalFormatting sqref="H51 J51">
    <cfRule type="cellIs" dxfId="97" priority="94" operator="equal">
      <formula>"NG"</formula>
    </cfRule>
  </conditionalFormatting>
  <conditionalFormatting sqref="D50">
    <cfRule type="cellIs" dxfId="96" priority="84" operator="equal">
      <formula>"NG"</formula>
    </cfRule>
  </conditionalFormatting>
  <conditionalFormatting sqref="A45:A46">
    <cfRule type="cellIs" dxfId="95" priority="83" operator="equal">
      <formula>"NG"</formula>
    </cfRule>
  </conditionalFormatting>
  <conditionalFormatting sqref="H53:H113">
    <cfRule type="cellIs" dxfId="94" priority="76" operator="equal">
      <formula>"NG"</formula>
    </cfRule>
  </conditionalFormatting>
  <conditionalFormatting sqref="J52:J113">
    <cfRule type="cellIs" dxfId="93" priority="79" operator="equal">
      <formula>"NG"</formula>
    </cfRule>
  </conditionalFormatting>
  <conditionalFormatting sqref="H52">
    <cfRule type="cellIs" dxfId="92" priority="77" operator="equal">
      <formula>"NG"</formula>
    </cfRule>
  </conditionalFormatting>
  <conditionalFormatting sqref="L51">
    <cfRule type="cellIs" dxfId="91" priority="75" operator="equal">
      <formula>"NG"</formula>
    </cfRule>
  </conditionalFormatting>
  <conditionalFormatting sqref="L52:L113">
    <cfRule type="cellIs" dxfId="90" priority="74" operator="equal">
      <formula>"NG"</formula>
    </cfRule>
  </conditionalFormatting>
  <conditionalFormatting sqref="J140:J201">
    <cfRule type="cellIs" dxfId="89" priority="31" operator="equal">
      <formula>"NG"</formula>
    </cfRule>
  </conditionalFormatting>
  <conditionalFormatting sqref="M117">
    <cfRule type="cellIs" dxfId="88" priority="37" operator="equal">
      <formula>"NG"</formula>
    </cfRule>
  </conditionalFormatting>
  <conditionalFormatting sqref="AB117:XFD117">
    <cfRule type="cellIs" dxfId="87" priority="38" operator="equal">
      <formula>"NG"</formula>
    </cfRule>
  </conditionalFormatting>
  <conditionalFormatting sqref="C118">
    <cfRule type="cellIs" dxfId="86" priority="36" operator="equal">
      <formula>"NG"</formula>
    </cfRule>
  </conditionalFormatting>
  <conditionalFormatting sqref="C140:C201">
    <cfRule type="cellIs" dxfId="85" priority="34" operator="equal">
      <formula>"NG"</formula>
    </cfRule>
  </conditionalFormatting>
  <conditionalFormatting sqref="H140:H201">
    <cfRule type="cellIs" dxfId="84" priority="33" operator="equal">
      <formula>"NG"</formula>
    </cfRule>
  </conditionalFormatting>
  <conditionalFormatting sqref="A138:A201 AH138:XFD201">
    <cfRule type="cellIs" dxfId="83" priority="35" operator="equal">
      <formula>"NG"</formula>
    </cfRule>
  </conditionalFormatting>
  <conditionalFormatting sqref="I140:I201">
    <cfRule type="cellIs" dxfId="82" priority="32" operator="equal">
      <formula>"NG"</formula>
    </cfRule>
  </conditionalFormatting>
  <conditionalFormatting sqref="K140:K201">
    <cfRule type="cellIs" dxfId="81" priority="30" operator="equal">
      <formula>"NG"</formula>
    </cfRule>
  </conditionalFormatting>
  <conditionalFormatting sqref="L140:L201">
    <cfRule type="cellIs" dxfId="80" priority="28" operator="equal">
      <formula>"NG"</formula>
    </cfRule>
  </conditionalFormatting>
  <conditionalFormatting sqref="E140:E201">
    <cfRule type="cellIs" dxfId="79" priority="3" operator="equal">
      <formula>"NG"</formula>
    </cfRule>
  </conditionalFormatting>
  <conditionalFormatting sqref="D140:D201">
    <cfRule type="cellIs" dxfId="78" priority="4" operator="equal">
      <formula>"NG"</formula>
    </cfRule>
  </conditionalFormatting>
  <conditionalFormatting sqref="F140:F201">
    <cfRule type="cellIs" dxfId="77" priority="2" operator="equal">
      <formula>"NG"</formula>
    </cfRule>
  </conditionalFormatting>
  <conditionalFormatting sqref="G140:G201">
    <cfRule type="cellIs" dxfId="76" priority="1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8" orientation="portrait" r:id="rId1"/>
  <rowBreaks count="2" manualBreakCount="2">
    <brk id="48" max="12" man="1"/>
    <brk id="116" max="12" man="1"/>
  </rowBreaks>
  <colBreaks count="1" manualBreakCount="1">
    <brk id="13" max="204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V251"/>
  <sheetViews>
    <sheetView view="pageBreakPreview" topLeftCell="A139" zoomScaleNormal="100" zoomScaleSheetLayoutView="100" workbookViewId="0">
      <selection activeCell="P167" sqref="P167"/>
    </sheetView>
  </sheetViews>
  <sheetFormatPr defaultColWidth="9.77734375" defaultRowHeight="15" customHeight="1"/>
  <cols>
    <col min="1" max="17" width="4.77734375" style="263" customWidth="1"/>
    <col min="18" max="18" width="5.6640625" style="263" customWidth="1"/>
    <col min="19" max="31" width="4.77734375" style="263" customWidth="1"/>
    <col min="32" max="32" width="5.77734375" style="263" customWidth="1"/>
    <col min="33" max="33" width="5.88671875" style="263" customWidth="1"/>
    <col min="34" max="34" width="6.21875" style="263" customWidth="1"/>
    <col min="35" max="35" width="6.33203125" style="263" customWidth="1"/>
    <col min="36" max="36" width="5.88671875" style="263" customWidth="1"/>
    <col min="37" max="38" width="4.77734375" style="263" customWidth="1"/>
    <col min="39" max="48" width="6.21875" style="263" customWidth="1"/>
    <col min="49" max="49" width="4.77734375" style="263" customWidth="1"/>
    <col min="50" max="16384" width="9.77734375" style="263"/>
  </cols>
  <sheetData>
    <row r="1" spans="1:48" ht="15" customHeight="1">
      <c r="A1" s="264" t="s">
        <v>529</v>
      </c>
    </row>
    <row r="2" spans="1:48" ht="15" customHeight="1">
      <c r="A2" s="264"/>
      <c r="C2" s="263" t="s">
        <v>531</v>
      </c>
      <c r="R2" s="263" t="s">
        <v>558</v>
      </c>
      <c r="AF2" s="263" t="s">
        <v>567</v>
      </c>
      <c r="AM2" s="263" t="s">
        <v>574</v>
      </c>
    </row>
    <row r="3" spans="1:48" ht="15" customHeight="1">
      <c r="A3" s="263" t="s">
        <v>340</v>
      </c>
      <c r="B3" s="263" t="s">
        <v>530</v>
      </c>
      <c r="C3" s="263" t="s">
        <v>533</v>
      </c>
      <c r="D3" s="263" t="s">
        <v>532</v>
      </c>
      <c r="E3" s="263" t="s">
        <v>534</v>
      </c>
      <c r="G3" s="263" t="s">
        <v>536</v>
      </c>
      <c r="H3" s="143" t="s">
        <v>541</v>
      </c>
      <c r="I3" s="263" t="s">
        <v>537</v>
      </c>
      <c r="J3" s="263" t="s">
        <v>535</v>
      </c>
      <c r="K3" s="263" t="s">
        <v>536</v>
      </c>
      <c r="L3" s="143" t="s">
        <v>543</v>
      </c>
      <c r="M3" s="263" t="s">
        <v>563</v>
      </c>
      <c r="N3" s="263" t="s">
        <v>560</v>
      </c>
      <c r="O3" s="263" t="s">
        <v>561</v>
      </c>
      <c r="P3" s="263" t="s">
        <v>561</v>
      </c>
      <c r="R3" s="263" t="s">
        <v>546</v>
      </c>
      <c r="S3" s="263" t="s">
        <v>547</v>
      </c>
      <c r="T3" s="263" t="s">
        <v>548</v>
      </c>
      <c r="U3" s="263" t="s">
        <v>548</v>
      </c>
      <c r="V3" s="263" t="s">
        <v>556</v>
      </c>
      <c r="W3" s="263" t="s">
        <v>557</v>
      </c>
      <c r="X3" s="263" t="s">
        <v>550</v>
      </c>
      <c r="Y3" s="263" t="s">
        <v>551</v>
      </c>
      <c r="Z3" s="263" t="s">
        <v>554</v>
      </c>
      <c r="AA3" s="263" t="s">
        <v>555</v>
      </c>
      <c r="AB3" s="263" t="s">
        <v>560</v>
      </c>
      <c r="AC3" s="263" t="s">
        <v>561</v>
      </c>
      <c r="AD3" s="263" t="s">
        <v>561</v>
      </c>
      <c r="AF3" s="263" t="s">
        <v>556</v>
      </c>
      <c r="AG3" s="263" t="s">
        <v>557</v>
      </c>
      <c r="AH3" s="263" t="s">
        <v>568</v>
      </c>
      <c r="AI3" s="263" t="s">
        <v>568</v>
      </c>
      <c r="AJ3" s="263" t="s">
        <v>569</v>
      </c>
      <c r="AK3" s="263" t="s">
        <v>570</v>
      </c>
    </row>
    <row r="4" spans="1:48" ht="15" customHeight="1">
      <c r="E4" s="263" t="s">
        <v>418</v>
      </c>
      <c r="F4" s="263" t="s">
        <v>445</v>
      </c>
      <c r="G4" s="263" t="s">
        <v>418</v>
      </c>
      <c r="I4" s="263" t="s">
        <v>418</v>
      </c>
      <c r="K4" s="263" t="s">
        <v>445</v>
      </c>
      <c r="V4" s="263" t="s">
        <v>418</v>
      </c>
      <c r="W4" s="263" t="s">
        <v>445</v>
      </c>
      <c r="AF4" s="263" t="s">
        <v>418</v>
      </c>
      <c r="AG4" s="263" t="s">
        <v>445</v>
      </c>
      <c r="AM4" s="143" t="s">
        <v>575</v>
      </c>
      <c r="AN4" s="143" t="s">
        <v>497</v>
      </c>
      <c r="AO4" s="143" t="s">
        <v>1449</v>
      </c>
      <c r="AP4" s="143" t="s">
        <v>1450</v>
      </c>
      <c r="AQ4" s="143" t="s">
        <v>1450</v>
      </c>
      <c r="AR4" s="143"/>
      <c r="AS4" s="143"/>
      <c r="AT4" s="143"/>
      <c r="AU4" s="143"/>
      <c r="AV4" s="143"/>
    </row>
    <row r="5" spans="1:48" ht="15" customHeight="1">
      <c r="A5" s="263" t="str">
        <f>input!B3</f>
        <v>101i</v>
      </c>
      <c r="B5" s="263">
        <f>input!C3</f>
        <v>0</v>
      </c>
      <c r="C5" s="265">
        <f>ABS(Cons!K161)</f>
        <v>18.525943310897638</v>
      </c>
      <c r="D5" s="263">
        <f>Cons!L161</f>
        <v>228</v>
      </c>
      <c r="E5" s="265" t="e">
        <f>Cons!#REF!</f>
        <v>#REF!</v>
      </c>
      <c r="F5" s="265" t="e">
        <f>Cons!#REF!</f>
        <v>#REF!</v>
      </c>
      <c r="G5" s="265" t="e">
        <f>E5+C5</f>
        <v>#REF!</v>
      </c>
      <c r="H5" s="265" t="e">
        <f>Cons!#REF!</f>
        <v>#REF!</v>
      </c>
      <c r="I5" s="265" t="e">
        <f>E5+1/3*C5</f>
        <v>#REF!</v>
      </c>
      <c r="J5" s="265" t="e">
        <f>Cons!#REF!</f>
        <v>#REF!</v>
      </c>
      <c r="K5" s="265" t="e">
        <f>F5+C5</f>
        <v>#REF!</v>
      </c>
      <c r="L5" s="265" t="e">
        <f>Cons!#REF!</f>
        <v>#REF!</v>
      </c>
      <c r="M5" s="265">
        <f>Cons!K904</f>
        <v>379.51910719072885</v>
      </c>
      <c r="N5" s="263">
        <f>Cons!B1002</f>
        <v>0.23125000000000001</v>
      </c>
      <c r="O5" s="271">
        <f>Cons!M1002</f>
        <v>1312.556246380452</v>
      </c>
      <c r="P5" s="270">
        <f>-O5</f>
        <v>-1312.556246380452</v>
      </c>
      <c r="R5" s="263" t="str">
        <f>ULS!J517</f>
        <v>-</v>
      </c>
      <c r="S5" s="265" t="str">
        <f>ULS!K517</f>
        <v>-</v>
      </c>
      <c r="T5" s="265">
        <f>ULS!$H$511</f>
        <v>21</v>
      </c>
      <c r="U5" s="270">
        <f>ULS!$H$512</f>
        <v>30</v>
      </c>
      <c r="V5" s="263" t="e">
        <f>MIN(ULS!#REF!,ULS!#REF!)</f>
        <v>#REF!</v>
      </c>
      <c r="W5" s="266" t="e">
        <f>MAX(ULS!#REF!,ULS!#REF!)</f>
        <v>#REF!</v>
      </c>
      <c r="X5" s="263" t="e">
        <f>-ULS!#REF!</f>
        <v>#REF!</v>
      </c>
      <c r="Y5" s="263" t="e">
        <f>ULS!#REF!</f>
        <v>#REF!</v>
      </c>
      <c r="Z5" s="270">
        <f>ULS!B1241</f>
        <v>-2.2499999999999999E-2</v>
      </c>
      <c r="AA5" s="270">
        <f>ULS!C1241</f>
        <v>31874.789538587065</v>
      </c>
      <c r="AB5" s="263">
        <f>ULS!K1417</f>
        <v>1.1337549958544833E-2</v>
      </c>
      <c r="AC5" s="263">
        <f>ULS!L1417</f>
        <v>4549.4716078986594</v>
      </c>
      <c r="AD5" s="263">
        <f>-AC5</f>
        <v>-4549.4716078986594</v>
      </c>
      <c r="AF5" s="265">
        <f>MIN(SLS!F28,SLS!G28)</f>
        <v>-2.1058754536361785E-4</v>
      </c>
      <c r="AG5" s="265">
        <f>MAX(SLS!F28,SLS!G28)</f>
        <v>2.4486449175564252E-4</v>
      </c>
      <c r="AH5" s="265">
        <f>SLS!I28</f>
        <v>360.55830178006357</v>
      </c>
      <c r="AI5" s="266">
        <f>-AH5</f>
        <v>-360.55830178006357</v>
      </c>
      <c r="AJ5" s="265">
        <f>-SLS!L151</f>
        <v>2.1058754536361785E-4</v>
      </c>
      <c r="AK5" s="265">
        <f>SLS!K151</f>
        <v>379.53505450533009</v>
      </c>
      <c r="AM5" s="265">
        <f>MAX(FLS!F52,FLS!G52)</f>
        <v>2.1375400821127121E-4</v>
      </c>
      <c r="AN5" s="265">
        <f>FLS!$M$36</f>
        <v>44.785427170200244</v>
      </c>
      <c r="AO5" s="265">
        <f>FLS!K140</f>
        <v>2.5597668350847895</v>
      </c>
      <c r="AP5" s="265">
        <f>FLS!B140</f>
        <v>1312.556246380452</v>
      </c>
      <c r="AQ5" s="265">
        <f>-AP5</f>
        <v>-1312.556246380452</v>
      </c>
      <c r="AS5" s="265"/>
      <c r="AT5" s="265"/>
      <c r="AU5" s="265"/>
      <c r="AV5" s="265"/>
    </row>
    <row r="6" spans="1:48" ht="15" customHeight="1">
      <c r="A6" s="263" t="str">
        <f>input!B4</f>
        <v>101j</v>
      </c>
      <c r="B6" s="263">
        <f>input!C4</f>
        <v>0.55000000000000004</v>
      </c>
      <c r="C6" s="265">
        <f>ABS(Cons!K162)</f>
        <v>18.525943310897638</v>
      </c>
      <c r="D6" s="263">
        <f>Cons!L162</f>
        <v>228</v>
      </c>
      <c r="E6" s="265" t="e">
        <f>Cons!#REF!</f>
        <v>#REF!</v>
      </c>
      <c r="F6" s="265" t="e">
        <f>Cons!#REF!</f>
        <v>#REF!</v>
      </c>
      <c r="G6" s="265" t="e">
        <f t="shared" ref="G6:G66" si="0">E6+C6</f>
        <v>#REF!</v>
      </c>
      <c r="H6" s="265" t="e">
        <f>Cons!#REF!</f>
        <v>#REF!</v>
      </c>
      <c r="I6" s="265" t="e">
        <f t="shared" ref="I6:I66" si="1">E6+1/3*C6</f>
        <v>#REF!</v>
      </c>
      <c r="J6" s="265" t="e">
        <f>Cons!#REF!</f>
        <v>#REF!</v>
      </c>
      <c r="K6" s="265" t="e">
        <f t="shared" ref="K6:K66" si="2">F6+C6</f>
        <v>#REF!</v>
      </c>
      <c r="L6" s="265" t="e">
        <f>Cons!#REF!</f>
        <v>#REF!</v>
      </c>
      <c r="M6" s="265">
        <f>Cons!K905</f>
        <v>379.51910719072885</v>
      </c>
      <c r="N6" s="263">
        <f>Cons!B1003</f>
        <v>-24.243750000000006</v>
      </c>
      <c r="O6" s="271">
        <f>Cons!M1003</f>
        <v>1312.556246380452</v>
      </c>
      <c r="P6" s="270">
        <f t="shared" ref="P6:P66" si="3">-O6</f>
        <v>-1312.556246380452</v>
      </c>
      <c r="R6" s="263" t="str">
        <f>ULS!J518</f>
        <v>-</v>
      </c>
      <c r="S6" s="265" t="str">
        <f>ULS!K518</f>
        <v>-</v>
      </c>
      <c r="T6" s="265">
        <f>ULS!$H$511</f>
        <v>21</v>
      </c>
      <c r="U6" s="270">
        <f>ULS!$H$512</f>
        <v>30</v>
      </c>
      <c r="V6" s="263" t="e">
        <f>MIN(ULS!#REF!,ULS!#REF!)</f>
        <v>#REF!</v>
      </c>
      <c r="W6" s="266" t="e">
        <f>MAX(ULS!#REF!,ULS!#REF!)</f>
        <v>#REF!</v>
      </c>
      <c r="X6" s="263" t="e">
        <f>-ULS!#REF!</f>
        <v>#REF!</v>
      </c>
      <c r="Y6" s="263" t="e">
        <f>ULS!#REF!</f>
        <v>#REF!</v>
      </c>
      <c r="Z6" s="270">
        <f>ULS!B1242</f>
        <v>-274.62350000000004</v>
      </c>
      <c r="AA6" s="270">
        <f>ULS!C1242</f>
        <v>31874.789538587065</v>
      </c>
      <c r="AB6" s="263">
        <f>ULS!K1418</f>
        <v>-266.91741921847478</v>
      </c>
      <c r="AC6" s="263">
        <f>ULS!L1418</f>
        <v>4549.4716078986594</v>
      </c>
      <c r="AD6" s="263">
        <f t="shared" ref="AD6:AD66" si="4">-AC6</f>
        <v>-4549.4716078986594</v>
      </c>
      <c r="AF6" s="265">
        <f>MIN(SLS!F29,SLS!G29)</f>
        <v>-1.904752526946053</v>
      </c>
      <c r="AG6" s="265">
        <f>MAX(SLS!F29,SLS!G29)</f>
        <v>1.7062754294474489</v>
      </c>
      <c r="AH6" s="265">
        <f>SLS!I29</f>
        <v>360.55830178006357</v>
      </c>
      <c r="AI6" s="266">
        <f t="shared" ref="AI6:AI66" si="5">-AH6</f>
        <v>-360.55830178006357</v>
      </c>
      <c r="AJ6" s="265">
        <f>-SLS!L152</f>
        <v>1.904752526946053</v>
      </c>
      <c r="AK6" s="265">
        <f>SLS!K152</f>
        <v>379.53505450533009</v>
      </c>
      <c r="AM6" s="265">
        <f>MAX(FLS!F53,FLS!G53)</f>
        <v>0.74564523197698451</v>
      </c>
      <c r="AN6" s="265">
        <f>FLS!$M$36</f>
        <v>44.785427170200244</v>
      </c>
      <c r="AO6" s="265">
        <f>FLS!K141</f>
        <v>-180.50387316221918</v>
      </c>
      <c r="AP6" s="265">
        <f>FLS!B141</f>
        <v>1312.556246380452</v>
      </c>
      <c r="AQ6" s="265">
        <f t="shared" ref="AQ6:AQ66" si="6">-AP6</f>
        <v>-1312.556246380452</v>
      </c>
      <c r="AS6" s="265"/>
      <c r="AT6" s="265"/>
      <c r="AU6" s="265"/>
      <c r="AV6" s="265"/>
    </row>
    <row r="7" spans="1:48" ht="15" customHeight="1">
      <c r="A7" s="263" t="str">
        <f>input!B5</f>
        <v>102i</v>
      </c>
      <c r="B7" s="263">
        <f>input!C5</f>
        <v>0.55000000000000004</v>
      </c>
      <c r="C7" s="265">
        <f>ABS(Cons!K163)</f>
        <v>18.525943310897638</v>
      </c>
      <c r="D7" s="263">
        <f>Cons!L163</f>
        <v>228</v>
      </c>
      <c r="E7" s="265" t="e">
        <f>Cons!#REF!</f>
        <v>#REF!</v>
      </c>
      <c r="F7" s="265" t="e">
        <f>Cons!#REF!</f>
        <v>#REF!</v>
      </c>
      <c r="G7" s="265" t="e">
        <f t="shared" si="0"/>
        <v>#REF!</v>
      </c>
      <c r="H7" s="265" t="e">
        <f>Cons!#REF!</f>
        <v>#REF!</v>
      </c>
      <c r="I7" s="265" t="e">
        <f t="shared" si="1"/>
        <v>#REF!</v>
      </c>
      <c r="J7" s="265" t="e">
        <f>Cons!#REF!</f>
        <v>#REF!</v>
      </c>
      <c r="K7" s="265" t="e">
        <f t="shared" si="2"/>
        <v>#REF!</v>
      </c>
      <c r="L7" s="265" t="e">
        <f>Cons!#REF!</f>
        <v>#REF!</v>
      </c>
      <c r="M7" s="265">
        <f>Cons!K906</f>
        <v>379.51910719072885</v>
      </c>
      <c r="N7" s="263">
        <f>Cons!B1004</f>
        <v>1312.1624999999999</v>
      </c>
      <c r="O7" s="271">
        <f>Cons!M1004</f>
        <v>1312.556246380452</v>
      </c>
      <c r="P7" s="270">
        <f t="shared" si="3"/>
        <v>-1312.556246380452</v>
      </c>
      <c r="R7" s="263" t="str">
        <f>ULS!J519</f>
        <v>-</v>
      </c>
      <c r="S7" s="265" t="str">
        <f>ULS!K519</f>
        <v>-</v>
      </c>
      <c r="T7" s="265">
        <f>ULS!$H$511</f>
        <v>21</v>
      </c>
      <c r="U7" s="270">
        <f>ULS!$H$512</f>
        <v>30</v>
      </c>
      <c r="V7" s="263" t="e">
        <f>MIN(ULS!#REF!,ULS!#REF!)</f>
        <v>#REF!</v>
      </c>
      <c r="W7" s="266" t="e">
        <f>MAX(ULS!#REF!,ULS!#REF!)</f>
        <v>#REF!</v>
      </c>
      <c r="X7" s="263" t="e">
        <f>-ULS!#REF!</f>
        <v>#REF!</v>
      </c>
      <c r="Y7" s="263" t="e">
        <f>ULS!#REF!</f>
        <v>#REF!</v>
      </c>
      <c r="Z7" s="270">
        <f>ULS!B1243</f>
        <v>-274.61899999999997</v>
      </c>
      <c r="AA7" s="270">
        <f>ULS!C1243</f>
        <v>31874.789538587065</v>
      </c>
      <c r="AB7" s="263">
        <f>ULS!K1419</f>
        <v>2849.6271723449299</v>
      </c>
      <c r="AC7" s="263">
        <f>ULS!L1419</f>
        <v>4549.4716078986594</v>
      </c>
      <c r="AD7" s="263">
        <f t="shared" si="4"/>
        <v>-4549.4716078986594</v>
      </c>
      <c r="AF7" s="265">
        <f>MIN(SLS!F30,SLS!G30)</f>
        <v>-1.9047898522748292</v>
      </c>
      <c r="AG7" s="265">
        <f>MAX(SLS!F30,SLS!G30)</f>
        <v>1.7063338357277509</v>
      </c>
      <c r="AH7" s="265">
        <f>SLS!I30</f>
        <v>360.55830178006357</v>
      </c>
      <c r="AI7" s="266">
        <f t="shared" si="5"/>
        <v>-360.55830178006357</v>
      </c>
      <c r="AJ7" s="265">
        <f>-SLS!L153</f>
        <v>1.9047898522748292</v>
      </c>
      <c r="AK7" s="265">
        <f>SLS!K153</f>
        <v>379.53505450533009</v>
      </c>
      <c r="AM7" s="265">
        <f>MAX(FLS!F54,FLS!G54)</f>
        <v>0.74564523197698451</v>
      </c>
      <c r="AN7" s="265">
        <f>FLS!$M$36</f>
        <v>44.785427170200244</v>
      </c>
      <c r="AO7" s="265">
        <f>FLS!K142</f>
        <v>1681.2503222637063</v>
      </c>
      <c r="AP7" s="265">
        <f>FLS!B142</f>
        <v>1312.556246380452</v>
      </c>
      <c r="AQ7" s="265">
        <f t="shared" si="6"/>
        <v>-1312.556246380452</v>
      </c>
      <c r="AS7" s="265"/>
      <c r="AT7" s="265"/>
      <c r="AU7" s="265"/>
      <c r="AV7" s="265"/>
    </row>
    <row r="8" spans="1:48" ht="15" customHeight="1">
      <c r="A8" s="263" t="str">
        <f>input!B6</f>
        <v>102j</v>
      </c>
      <c r="B8" s="263">
        <f>input!C6</f>
        <v>3.2</v>
      </c>
      <c r="C8" s="265">
        <f>ABS(Cons!K164)</f>
        <v>18.525943310897638</v>
      </c>
      <c r="D8" s="263">
        <f>Cons!L164</f>
        <v>228</v>
      </c>
      <c r="E8" s="265" t="e">
        <f>Cons!#REF!</f>
        <v>#REF!</v>
      </c>
      <c r="F8" s="265" t="e">
        <f>Cons!#REF!</f>
        <v>#REF!</v>
      </c>
      <c r="G8" s="265" t="e">
        <f t="shared" si="0"/>
        <v>#REF!</v>
      </c>
      <c r="H8" s="265" t="e">
        <f>Cons!#REF!</f>
        <v>#REF!</v>
      </c>
      <c r="I8" s="265" t="e">
        <f t="shared" si="1"/>
        <v>#REF!</v>
      </c>
      <c r="J8" s="265" t="e">
        <f>Cons!#REF!</f>
        <v>#REF!</v>
      </c>
      <c r="K8" s="265" t="e">
        <f t="shared" si="2"/>
        <v>#REF!</v>
      </c>
      <c r="L8" s="265" t="e">
        <f>Cons!#REF!</f>
        <v>#REF!</v>
      </c>
      <c r="M8" s="265">
        <f>Cons!K907</f>
        <v>379.51910719072885</v>
      </c>
      <c r="N8" s="263">
        <f>Cons!B1005</f>
        <v>1194.2249999999999</v>
      </c>
      <c r="O8" s="271">
        <f>Cons!M1005</f>
        <v>1312.556246380452</v>
      </c>
      <c r="P8" s="270">
        <f t="shared" si="3"/>
        <v>-1312.556246380452</v>
      </c>
      <c r="R8" s="263">
        <f>ULS!J520</f>
        <v>2.4728272657858699</v>
      </c>
      <c r="S8" s="265" t="str">
        <f>ULS!K520</f>
        <v>-</v>
      </c>
      <c r="T8" s="265">
        <f>ULS!$H$511</f>
        <v>21</v>
      </c>
      <c r="U8" s="270">
        <f>ULS!$H$512</f>
        <v>30</v>
      </c>
      <c r="V8" s="263" t="e">
        <f>MIN(ULS!#REF!,ULS!#REF!)</f>
        <v>#REF!</v>
      </c>
      <c r="W8" s="266" t="e">
        <f>MAX(ULS!#REF!,ULS!#REF!)</f>
        <v>#REF!</v>
      </c>
      <c r="X8" s="263" t="e">
        <f>-ULS!#REF!</f>
        <v>#REF!</v>
      </c>
      <c r="Y8" s="263" t="e">
        <f>ULS!#REF!</f>
        <v>#REF!</v>
      </c>
      <c r="Z8" s="270">
        <f>ULS!B1244</f>
        <v>14278.054</v>
      </c>
      <c r="AA8" s="270">
        <f>ULS!C1244</f>
        <v>61478.937612745642</v>
      </c>
      <c r="AB8" s="263">
        <f>ULS!K1420</f>
        <v>2627.1625228950275</v>
      </c>
      <c r="AC8" s="263">
        <f>ULS!L1420</f>
        <v>4549.4716078986594</v>
      </c>
      <c r="AD8" s="263">
        <f t="shared" si="4"/>
        <v>-4549.4716078986594</v>
      </c>
      <c r="AF8" s="265">
        <f>MIN(SLS!F31,SLS!G31)</f>
        <v>-71.334950875146163</v>
      </c>
      <c r="AG8" s="265">
        <f>MAX(SLS!F31,SLS!G31)</f>
        <v>98.015377329802618</v>
      </c>
      <c r="AH8" s="265">
        <f>SLS!I31</f>
        <v>360.35735376352159</v>
      </c>
      <c r="AI8" s="266">
        <f t="shared" si="5"/>
        <v>-360.35735376352159</v>
      </c>
      <c r="AJ8" s="265">
        <f>-SLS!L154</f>
        <v>71.334950875146163</v>
      </c>
      <c r="AK8" s="265">
        <f>SLS!K154</f>
        <v>379.32353027739117</v>
      </c>
      <c r="AM8" s="265">
        <f>MAX(FLS!F55,FLS!G55)</f>
        <v>6.0246490461918345</v>
      </c>
      <c r="AN8" s="265">
        <f>FLS!$M$36</f>
        <v>44.785427170200244</v>
      </c>
      <c r="AO8" s="265">
        <f>FLS!K143</f>
        <v>1527.9893219240973</v>
      </c>
      <c r="AP8" s="265">
        <f>FLS!B143</f>
        <v>1312.556246380452</v>
      </c>
      <c r="AQ8" s="265">
        <f t="shared" si="6"/>
        <v>-1312.556246380452</v>
      </c>
      <c r="AS8" s="265"/>
      <c r="AT8" s="265"/>
      <c r="AU8" s="265"/>
      <c r="AV8" s="265"/>
    </row>
    <row r="9" spans="1:48" ht="15" customHeight="1">
      <c r="A9" s="263" t="str">
        <f>input!B7</f>
        <v>103i</v>
      </c>
      <c r="B9" s="263">
        <f>input!C7</f>
        <v>3.2</v>
      </c>
      <c r="C9" s="265">
        <f>ABS(Cons!K165)</f>
        <v>13.692815277429251</v>
      </c>
      <c r="D9" s="263">
        <f>Cons!L165</f>
        <v>228</v>
      </c>
      <c r="E9" s="265" t="e">
        <f>Cons!#REF!</f>
        <v>#REF!</v>
      </c>
      <c r="F9" s="265" t="e">
        <f>Cons!#REF!</f>
        <v>#REF!</v>
      </c>
      <c r="G9" s="265" t="e">
        <f t="shared" si="0"/>
        <v>#REF!</v>
      </c>
      <c r="H9" s="265" t="e">
        <f>Cons!#REF!</f>
        <v>#REF!</v>
      </c>
      <c r="I9" s="265" t="e">
        <f t="shared" si="1"/>
        <v>#REF!</v>
      </c>
      <c r="J9" s="265" t="e">
        <f>Cons!#REF!</f>
        <v>#REF!</v>
      </c>
      <c r="K9" s="265" t="e">
        <f t="shared" si="2"/>
        <v>#REF!</v>
      </c>
      <c r="L9" s="265" t="e">
        <f>Cons!#REF!</f>
        <v>#REF!</v>
      </c>
      <c r="M9" s="265">
        <f>Cons!K908</f>
        <v>379.5982638603615</v>
      </c>
      <c r="N9" s="263">
        <f>Cons!B1006</f>
        <v>1194.2</v>
      </c>
      <c r="O9" s="271">
        <f>Cons!M1006</f>
        <v>1319.9787397030161</v>
      </c>
      <c r="P9" s="270">
        <f t="shared" si="3"/>
        <v>-1319.9787397030161</v>
      </c>
      <c r="R9" s="263">
        <f>ULS!J521</f>
        <v>2.0618968286431296</v>
      </c>
      <c r="S9" s="265" t="str">
        <f>ULS!K521</f>
        <v>-</v>
      </c>
      <c r="T9" s="265">
        <f>ULS!$H$511</f>
        <v>21</v>
      </c>
      <c r="U9" s="270">
        <f>ULS!$H$512</f>
        <v>30</v>
      </c>
      <c r="V9" s="263" t="e">
        <f>MIN(ULS!#REF!,ULS!#REF!)</f>
        <v>#REF!</v>
      </c>
      <c r="W9" s="266" t="e">
        <f>MAX(ULS!#REF!,ULS!#REF!)</f>
        <v>#REF!</v>
      </c>
      <c r="X9" s="263" t="e">
        <f>-ULS!#REF!</f>
        <v>#REF!</v>
      </c>
      <c r="Y9" s="263" t="e">
        <f>ULS!#REF!</f>
        <v>#REF!</v>
      </c>
      <c r="Z9" s="270">
        <f>ULS!B1245</f>
        <v>14278.029</v>
      </c>
      <c r="AA9" s="270">
        <f>ULS!C1245</f>
        <v>83743.281114864061</v>
      </c>
      <c r="AB9" s="263">
        <f>ULS!K1421</f>
        <v>2627.1574839839345</v>
      </c>
      <c r="AC9" s="263">
        <f>ULS!L1421</f>
        <v>4987.9984783153504</v>
      </c>
      <c r="AD9" s="263">
        <f t="shared" si="4"/>
        <v>-4987.9984783153504</v>
      </c>
      <c r="AF9" s="265">
        <f>MIN(SLS!F32,SLS!G32)</f>
        <v>-53.617563055074484</v>
      </c>
      <c r="AG9" s="265">
        <f>MAX(SLS!F32,SLS!G32)</f>
        <v>70.457604527347627</v>
      </c>
      <c r="AH9" s="265">
        <f>SLS!I32</f>
        <v>360.51248764060472</v>
      </c>
      <c r="AI9" s="266">
        <f t="shared" si="5"/>
        <v>-360.51248764060472</v>
      </c>
      <c r="AJ9" s="265">
        <f>-SLS!L155</f>
        <v>53.617563055074484</v>
      </c>
      <c r="AK9" s="265">
        <f>SLS!K155</f>
        <v>379.48682909537342</v>
      </c>
      <c r="AM9" s="265">
        <f>MAX(FLS!F56,FLS!G56)</f>
        <v>4.4564221193714344</v>
      </c>
      <c r="AN9" s="265">
        <f>FLS!$M$36</f>
        <v>44.785427170200244</v>
      </c>
      <c r="AO9" s="265">
        <f>FLS!K144</f>
        <v>1527.9842830130046</v>
      </c>
      <c r="AP9" s="265">
        <f>FLS!B144</f>
        <v>1319.9787397030161</v>
      </c>
      <c r="AQ9" s="265">
        <f t="shared" si="6"/>
        <v>-1319.9787397030161</v>
      </c>
      <c r="AS9" s="265"/>
      <c r="AT9" s="265"/>
      <c r="AU9" s="265"/>
      <c r="AV9" s="265"/>
    </row>
    <row r="10" spans="1:48" ht="15" customHeight="1">
      <c r="A10" s="263" t="str">
        <f>input!B8</f>
        <v>103j</v>
      </c>
      <c r="B10" s="263">
        <f>input!C8</f>
        <v>6.9</v>
      </c>
      <c r="C10" s="265">
        <f>ABS(Cons!K166)</f>
        <v>13.692815277429251</v>
      </c>
      <c r="D10" s="263">
        <f>Cons!L166</f>
        <v>228</v>
      </c>
      <c r="E10" s="265" t="e">
        <f>Cons!#REF!</f>
        <v>#REF!</v>
      </c>
      <c r="F10" s="265" t="e">
        <f>Cons!#REF!</f>
        <v>#REF!</v>
      </c>
      <c r="G10" s="265" t="e">
        <f t="shared" si="0"/>
        <v>#REF!</v>
      </c>
      <c r="H10" s="265" t="e">
        <f>Cons!#REF!</f>
        <v>#REF!</v>
      </c>
      <c r="I10" s="265" t="e">
        <f t="shared" si="1"/>
        <v>#REF!</v>
      </c>
      <c r="J10" s="265" t="e">
        <f>Cons!#REF!</f>
        <v>#REF!</v>
      </c>
      <c r="K10" s="265" t="e">
        <f t="shared" si="2"/>
        <v>#REF!</v>
      </c>
      <c r="L10" s="265" t="e">
        <f>Cons!#REF!</f>
        <v>#REF!</v>
      </c>
      <c r="M10" s="265">
        <f>Cons!K909</f>
        <v>379.5982638603615</v>
      </c>
      <c r="N10" s="263">
        <f>Cons!B1007</f>
        <v>1075.73125</v>
      </c>
      <c r="O10" s="271">
        <f>Cons!M1007</f>
        <v>1319.9787397030161</v>
      </c>
      <c r="P10" s="270">
        <f t="shared" si="3"/>
        <v>-1319.9787397030161</v>
      </c>
      <c r="R10" s="263">
        <f>ULS!J522</f>
        <v>4.6290868382874386</v>
      </c>
      <c r="S10" s="265" t="str">
        <f>ULS!K522</f>
        <v>-</v>
      </c>
      <c r="T10" s="265">
        <f>ULS!$H$511</f>
        <v>21</v>
      </c>
      <c r="U10" s="270">
        <f>ULS!$H$512</f>
        <v>30</v>
      </c>
      <c r="V10" s="263" t="e">
        <f>MIN(ULS!#REF!,ULS!#REF!)</f>
        <v>#REF!</v>
      </c>
      <c r="W10" s="266" t="e">
        <f>MAX(ULS!#REF!,ULS!#REF!)</f>
        <v>#REF!</v>
      </c>
      <c r="X10" s="263" t="e">
        <f>-ULS!#REF!</f>
        <v>#REF!</v>
      </c>
      <c r="Y10" s="263" t="e">
        <f>ULS!#REF!</f>
        <v>#REF!</v>
      </c>
      <c r="Z10" s="270">
        <f>ULS!B1246</f>
        <v>32201.196499999998</v>
      </c>
      <c r="AA10" s="270">
        <f>ULS!C1246</f>
        <v>81452.900663436361</v>
      </c>
      <c r="AB10" s="263">
        <f>ULS!K1422</f>
        <v>2376.362312752065</v>
      </c>
      <c r="AC10" s="263">
        <f>ULS!L1422</f>
        <v>4987.9984783153504</v>
      </c>
      <c r="AD10" s="263">
        <f t="shared" si="4"/>
        <v>-4987.9984783153504</v>
      </c>
      <c r="AF10" s="265">
        <f>MIN(SLS!F33,SLS!G33)</f>
        <v>-121.45895167896074</v>
      </c>
      <c r="AG10" s="265">
        <f>MAX(SLS!F33,SLS!G33)</f>
        <v>159.06351154993905</v>
      </c>
      <c r="AH10" s="265">
        <f>SLS!I33</f>
        <v>360.51248764060472</v>
      </c>
      <c r="AI10" s="266">
        <f t="shared" si="5"/>
        <v>-360.51248764060472</v>
      </c>
      <c r="AJ10" s="265">
        <f>-SLS!L156</f>
        <v>121.45895167896074</v>
      </c>
      <c r="AK10" s="265">
        <f>SLS!K156</f>
        <v>379.48682909537342</v>
      </c>
      <c r="AM10" s="265">
        <f>MAX(FLS!F57,FLS!G57)</f>
        <v>8.5194032591582154</v>
      </c>
      <c r="AN10" s="265">
        <f>FLS!$M$36</f>
        <v>44.785427170200244</v>
      </c>
      <c r="AO10" s="265">
        <f>FLS!K145</f>
        <v>1358.6264811878082</v>
      </c>
      <c r="AP10" s="265">
        <f>FLS!B145</f>
        <v>1319.9787397030161</v>
      </c>
      <c r="AQ10" s="265">
        <f t="shared" si="6"/>
        <v>-1319.9787397030161</v>
      </c>
      <c r="AS10" s="265"/>
      <c r="AT10" s="265"/>
      <c r="AU10" s="265"/>
      <c r="AV10" s="265"/>
    </row>
    <row r="11" spans="1:48" ht="15" customHeight="1">
      <c r="A11" s="263" t="str">
        <f>input!B9</f>
        <v>104i</v>
      </c>
      <c r="B11" s="263">
        <f>input!C9</f>
        <v>6.9</v>
      </c>
      <c r="C11" s="265">
        <f>ABS(Cons!K167)</f>
        <v>13.692815277429251</v>
      </c>
      <c r="D11" s="263">
        <f>Cons!L167</f>
        <v>228</v>
      </c>
      <c r="E11" s="265" t="e">
        <f>Cons!#REF!</f>
        <v>#REF!</v>
      </c>
      <c r="F11" s="265" t="e">
        <f>Cons!#REF!</f>
        <v>#REF!</v>
      </c>
      <c r="G11" s="265" t="e">
        <f t="shared" si="0"/>
        <v>#REF!</v>
      </c>
      <c r="H11" s="265" t="e">
        <f>Cons!#REF!</f>
        <v>#REF!</v>
      </c>
      <c r="I11" s="265" t="e">
        <f t="shared" si="1"/>
        <v>#REF!</v>
      </c>
      <c r="J11" s="265" t="e">
        <f>Cons!#REF!</f>
        <v>#REF!</v>
      </c>
      <c r="K11" s="265" t="e">
        <f t="shared" si="2"/>
        <v>#REF!</v>
      </c>
      <c r="L11" s="265" t="e">
        <f>Cons!#REF!</f>
        <v>#REF!</v>
      </c>
      <c r="M11" s="265">
        <f>Cons!K910</f>
        <v>379.5982638603615</v>
      </c>
      <c r="N11" s="263">
        <f>Cons!B1008</f>
        <v>1022.9875</v>
      </c>
      <c r="O11" s="271">
        <f>Cons!M1008</f>
        <v>1319.9787397030161</v>
      </c>
      <c r="P11" s="270">
        <f t="shared" si="3"/>
        <v>-1319.9787397030161</v>
      </c>
      <c r="R11" s="263">
        <f>ULS!J523</f>
        <v>4.6290849515083714</v>
      </c>
      <c r="S11" s="265" t="str">
        <f>ULS!K523</f>
        <v>-</v>
      </c>
      <c r="T11" s="265">
        <f>ULS!$H$511</f>
        <v>21</v>
      </c>
      <c r="U11" s="270">
        <f>ULS!$H$512</f>
        <v>30</v>
      </c>
      <c r="V11" s="263" t="e">
        <f>MIN(ULS!#REF!,ULS!#REF!)</f>
        <v>#REF!</v>
      </c>
      <c r="W11" s="266" t="e">
        <f>MAX(ULS!#REF!,ULS!#REF!)</f>
        <v>#REF!</v>
      </c>
      <c r="X11" s="263" t="e">
        <f>-ULS!#REF!</f>
        <v>#REF!</v>
      </c>
      <c r="Y11" s="263" t="e">
        <f>ULS!#REF!</f>
        <v>#REF!</v>
      </c>
      <c r="Z11" s="270">
        <f>ULS!B1247</f>
        <v>32201.152000000002</v>
      </c>
      <c r="AA11" s="270">
        <f>ULS!C1247</f>
        <v>81452.917237778398</v>
      </c>
      <c r="AB11" s="263">
        <f>ULS!K1423</f>
        <v>2278.5618354085568</v>
      </c>
      <c r="AC11" s="263">
        <f>ULS!L1423</f>
        <v>4987.9984783153504</v>
      </c>
      <c r="AD11" s="263">
        <f t="shared" si="4"/>
        <v>-4987.9984783153504</v>
      </c>
      <c r="AF11" s="265">
        <f>MIN(SLS!F34,SLS!G34)</f>
        <v>-121.45865651548422</v>
      </c>
      <c r="AG11" s="265">
        <f>MAX(SLS!F34,SLS!G34)</f>
        <v>159.06324574638279</v>
      </c>
      <c r="AH11" s="265">
        <f>SLS!I34</f>
        <v>360.51248764060472</v>
      </c>
      <c r="AI11" s="266">
        <f t="shared" si="5"/>
        <v>-360.51248764060472</v>
      </c>
      <c r="AJ11" s="265">
        <f>-SLS!L157</f>
        <v>121.45865651548422</v>
      </c>
      <c r="AK11" s="265">
        <f>SLS!K157</f>
        <v>379.48682909537342</v>
      </c>
      <c r="AM11" s="265">
        <f>MAX(FLS!F58,FLS!G58)</f>
        <v>8.5193610353999443</v>
      </c>
      <c r="AN11" s="265">
        <f>FLS!$M$36</f>
        <v>44.785427170200244</v>
      </c>
      <c r="AO11" s="265">
        <f>FLS!K146</f>
        <v>1325.7148333859257</v>
      </c>
      <c r="AP11" s="265">
        <f>FLS!B146</f>
        <v>1319.9787397030161</v>
      </c>
      <c r="AQ11" s="265">
        <f t="shared" si="6"/>
        <v>-1319.9787397030161</v>
      </c>
      <c r="AS11" s="265"/>
      <c r="AT11" s="265"/>
      <c r="AU11" s="265"/>
      <c r="AV11" s="265"/>
    </row>
    <row r="12" spans="1:48" ht="15" customHeight="1">
      <c r="A12" s="263" t="str">
        <f>input!B10</f>
        <v>104j</v>
      </c>
      <c r="B12" s="263">
        <f>input!C10</f>
        <v>11.9</v>
      </c>
      <c r="C12" s="265">
        <f>ABS(Cons!K168)</f>
        <v>13.979637026628728</v>
      </c>
      <c r="D12" s="263">
        <f>Cons!L168</f>
        <v>228</v>
      </c>
      <c r="E12" s="265" t="e">
        <f>Cons!#REF!</f>
        <v>#REF!</v>
      </c>
      <c r="F12" s="265" t="e">
        <f>Cons!#REF!</f>
        <v>#REF!</v>
      </c>
      <c r="G12" s="265" t="e">
        <f t="shared" si="0"/>
        <v>#REF!</v>
      </c>
      <c r="H12" s="265" t="e">
        <f>Cons!#REF!</f>
        <v>#REF!</v>
      </c>
      <c r="I12" s="265" t="e">
        <f t="shared" si="1"/>
        <v>#REF!</v>
      </c>
      <c r="J12" s="265" t="e">
        <f>Cons!#REF!</f>
        <v>#REF!</v>
      </c>
      <c r="K12" s="265" t="e">
        <f t="shared" si="2"/>
        <v>#REF!</v>
      </c>
      <c r="L12" s="265" t="e">
        <f>Cons!#REF!</f>
        <v>#REF!</v>
      </c>
      <c r="M12" s="265">
        <f>Cons!K911</f>
        <v>379.5982638603615</v>
      </c>
      <c r="N12" s="263">
        <f>Cons!B1009</f>
        <v>862.89375000000007</v>
      </c>
      <c r="O12" s="271">
        <f>Cons!M1009</f>
        <v>1319.9787397030161</v>
      </c>
      <c r="P12" s="270">
        <f t="shared" si="3"/>
        <v>-1319.9787397030161</v>
      </c>
      <c r="R12" s="263">
        <f>ULS!J524</f>
        <v>7.4365673266243979</v>
      </c>
      <c r="S12" s="265" t="str">
        <f>ULS!K524</f>
        <v>-</v>
      </c>
      <c r="T12" s="265">
        <f>ULS!$H$511</f>
        <v>21</v>
      </c>
      <c r="U12" s="270">
        <f>ULS!$H$512</f>
        <v>30</v>
      </c>
      <c r="V12" s="263" t="e">
        <f>MIN(ULS!#REF!,ULS!#REF!)</f>
        <v>#REF!</v>
      </c>
      <c r="W12" s="266" t="e">
        <f>MAX(ULS!#REF!,ULS!#REF!)</f>
        <v>#REF!</v>
      </c>
      <c r="X12" s="263" t="e">
        <f>-ULS!#REF!</f>
        <v>#REF!</v>
      </c>
      <c r="Y12" s="263" t="e">
        <f>ULS!#REF!</f>
        <v>#REF!</v>
      </c>
      <c r="Z12" s="270">
        <f>ULS!B1248</f>
        <v>52046.373</v>
      </c>
      <c r="AA12" s="270">
        <f>ULS!C1248</f>
        <v>77582.776531478579</v>
      </c>
      <c r="AB12" s="263">
        <f>ULS!K1424</f>
        <v>1950.8431513268429</v>
      </c>
      <c r="AC12" s="263">
        <f>ULS!L1424</f>
        <v>4987.9984783153504</v>
      </c>
      <c r="AD12" s="263">
        <f t="shared" si="4"/>
        <v>-4987.9984783153504</v>
      </c>
      <c r="AF12" s="265">
        <f>MIN(SLS!F35,SLS!G35)</f>
        <v>-197.31102157532837</v>
      </c>
      <c r="AG12" s="265">
        <f>MAX(SLS!F35,SLS!G35)</f>
        <v>257.38275800703201</v>
      </c>
      <c r="AH12" s="265">
        <f>SLS!I35</f>
        <v>360.51248764060472</v>
      </c>
      <c r="AI12" s="266">
        <f t="shared" si="5"/>
        <v>-360.51248764060472</v>
      </c>
      <c r="AJ12" s="265">
        <f>-SLS!L158</f>
        <v>197.31102157532837</v>
      </c>
      <c r="AK12" s="265">
        <f>SLS!K158</f>
        <v>379.48682909537342</v>
      </c>
      <c r="AM12" s="265">
        <f>MAX(FLS!F59,FLS!G59)</f>
        <v>13.520258517697338</v>
      </c>
      <c r="AN12" s="265">
        <f>FLS!$M$36</f>
        <v>44.785427170200244</v>
      </c>
      <c r="AO12" s="265">
        <f>FLS!K147</f>
        <v>1103.1184164109493</v>
      </c>
      <c r="AP12" s="265">
        <f>FLS!B147</f>
        <v>1319.9787397030161</v>
      </c>
      <c r="AQ12" s="265">
        <f t="shared" si="6"/>
        <v>-1319.9787397030161</v>
      </c>
      <c r="AS12" s="265"/>
      <c r="AT12" s="265"/>
      <c r="AU12" s="265"/>
      <c r="AV12" s="265"/>
    </row>
    <row r="13" spans="1:48" ht="15" customHeight="1">
      <c r="A13" s="263" t="str">
        <f>input!B11</f>
        <v>105i</v>
      </c>
      <c r="B13" s="263">
        <f>input!C11</f>
        <v>11.9</v>
      </c>
      <c r="C13" s="265">
        <f>ABS(Cons!K169)</f>
        <v>11.125150219023094</v>
      </c>
      <c r="D13" s="263">
        <f>Cons!L169</f>
        <v>228</v>
      </c>
      <c r="E13" s="265" t="e">
        <f>Cons!#REF!</f>
        <v>#REF!</v>
      </c>
      <c r="F13" s="265" t="e">
        <f>Cons!#REF!</f>
        <v>#REF!</v>
      </c>
      <c r="G13" s="265" t="e">
        <f t="shared" si="0"/>
        <v>#REF!</v>
      </c>
      <c r="H13" s="265" t="e">
        <f>Cons!#REF!</f>
        <v>#REF!</v>
      </c>
      <c r="I13" s="265" t="e">
        <f t="shared" si="1"/>
        <v>#REF!</v>
      </c>
      <c r="J13" s="265" t="e">
        <f>Cons!#REF!</f>
        <v>#REF!</v>
      </c>
      <c r="K13" s="265" t="e">
        <f t="shared" si="2"/>
        <v>#REF!</v>
      </c>
      <c r="L13" s="265" t="e">
        <f>Cons!#REF!</f>
        <v>#REF!</v>
      </c>
      <c r="M13" s="265">
        <f>Cons!K912</f>
        <v>379.64073020030537</v>
      </c>
      <c r="N13" s="263">
        <f>Cons!B1010</f>
        <v>862.90625</v>
      </c>
      <c r="O13" s="271">
        <f>Cons!M1010</f>
        <v>1319.9787397030161</v>
      </c>
      <c r="P13" s="270">
        <f t="shared" si="3"/>
        <v>-1319.9787397030161</v>
      </c>
      <c r="R13" s="263">
        <f>ULS!J525</f>
        <v>6.5354780503787424</v>
      </c>
      <c r="S13" s="265" t="str">
        <f>ULS!K525</f>
        <v>-</v>
      </c>
      <c r="T13" s="265">
        <f>ULS!$H$511</f>
        <v>21</v>
      </c>
      <c r="U13" s="270">
        <f>ULS!$H$512</f>
        <v>30</v>
      </c>
      <c r="V13" s="263" t="e">
        <f>MIN(ULS!#REF!,ULS!#REF!)</f>
        <v>#REF!</v>
      </c>
      <c r="W13" s="266" t="e">
        <f>MAX(ULS!#REF!,ULS!#REF!)</f>
        <v>#REF!</v>
      </c>
      <c r="X13" s="263" t="e">
        <f>-ULS!#REF!</f>
        <v>#REF!</v>
      </c>
      <c r="Y13" s="263" t="e">
        <f>ULS!#REF!</f>
        <v>#REF!</v>
      </c>
      <c r="Z13" s="270">
        <f>ULS!B1249</f>
        <v>52046.338000000003</v>
      </c>
      <c r="AA13" s="270">
        <f>ULS!C1249</f>
        <v>117364.48706155812</v>
      </c>
      <c r="AB13" s="263">
        <f>ULS!K1425</f>
        <v>1950.8494499657088</v>
      </c>
      <c r="AC13" s="263">
        <f>ULS!L1425</f>
        <v>4987.9984783153504</v>
      </c>
      <c r="AD13" s="263">
        <f t="shared" si="4"/>
        <v>-4987.9984783153504</v>
      </c>
      <c r="AF13" s="265">
        <f>MIN(SLS!F36,SLS!G36)</f>
        <v>-163.61278114435103</v>
      </c>
      <c r="AG13" s="265">
        <f>MAX(SLS!F36,SLS!G36)</f>
        <v>168.77258855260271</v>
      </c>
      <c r="AH13" s="265">
        <f>SLS!I36</f>
        <v>360.73094462262759</v>
      </c>
      <c r="AI13" s="266">
        <f t="shared" si="5"/>
        <v>-360.73094462262759</v>
      </c>
      <c r="AJ13" s="265">
        <f>-SLS!L159</f>
        <v>163.61278114435103</v>
      </c>
      <c r="AK13" s="265">
        <f>SLS!K159</f>
        <v>379.71678381329224</v>
      </c>
      <c r="AM13" s="265">
        <f>MAX(FLS!F60,FLS!G60)</f>
        <v>9.0841631280358275</v>
      </c>
      <c r="AN13" s="265">
        <f>FLS!$M$36</f>
        <v>44.785427170200244</v>
      </c>
      <c r="AO13" s="265">
        <f>FLS!K148</f>
        <v>1103.1158969554026</v>
      </c>
      <c r="AP13" s="265">
        <f>FLS!B148</f>
        <v>1319.9787397030161</v>
      </c>
      <c r="AQ13" s="265">
        <f t="shared" si="6"/>
        <v>-1319.9787397030161</v>
      </c>
      <c r="AS13" s="265"/>
      <c r="AT13" s="265"/>
      <c r="AU13" s="265"/>
      <c r="AV13" s="265"/>
    </row>
    <row r="14" spans="1:48" ht="15" customHeight="1">
      <c r="A14" s="263" t="str">
        <f>input!B12</f>
        <v>105j</v>
      </c>
      <c r="B14" s="263">
        <f>input!C12</f>
        <v>16.899999999999999</v>
      </c>
      <c r="C14" s="265">
        <f>ABS(Cons!K170)</f>
        <v>11.414361899612091</v>
      </c>
      <c r="D14" s="263">
        <f>Cons!L170</f>
        <v>228</v>
      </c>
      <c r="E14" s="265" t="e">
        <f>Cons!#REF!</f>
        <v>#REF!</v>
      </c>
      <c r="F14" s="265" t="e">
        <f>Cons!#REF!</f>
        <v>#REF!</v>
      </c>
      <c r="G14" s="265" t="e">
        <f t="shared" si="0"/>
        <v>#REF!</v>
      </c>
      <c r="H14" s="265" t="e">
        <f>Cons!#REF!</f>
        <v>#REF!</v>
      </c>
      <c r="I14" s="265" t="e">
        <f t="shared" si="1"/>
        <v>#REF!</v>
      </c>
      <c r="J14" s="265" t="e">
        <f>Cons!#REF!</f>
        <v>#REF!</v>
      </c>
      <c r="K14" s="265" t="e">
        <f t="shared" si="2"/>
        <v>#REF!</v>
      </c>
      <c r="L14" s="265" t="e">
        <f>Cons!#REF!</f>
        <v>#REF!</v>
      </c>
      <c r="M14" s="265">
        <f>Cons!K913</f>
        <v>379.64073020030537</v>
      </c>
      <c r="N14" s="263">
        <f>Cons!B1011</f>
        <v>689.15000000000009</v>
      </c>
      <c r="O14" s="271">
        <f>Cons!M1011</f>
        <v>1319.9787397030161</v>
      </c>
      <c r="P14" s="270">
        <f t="shared" si="3"/>
        <v>-1319.9787397030161</v>
      </c>
      <c r="R14" s="263">
        <f>ULS!J526</f>
        <v>8.5288868646784461</v>
      </c>
      <c r="S14" s="265" t="str">
        <f>ULS!K526</f>
        <v>-</v>
      </c>
      <c r="T14" s="265">
        <f>ULS!$H$511</f>
        <v>21</v>
      </c>
      <c r="U14" s="270">
        <f>ULS!$H$512</f>
        <v>30</v>
      </c>
      <c r="V14" s="263" t="e">
        <f>MIN(ULS!#REF!,ULS!#REF!)</f>
        <v>#REF!</v>
      </c>
      <c r="W14" s="266" t="e">
        <f>MAX(ULS!#REF!,ULS!#REF!)</f>
        <v>#REF!</v>
      </c>
      <c r="X14" s="263" t="e">
        <f>-ULS!#REF!</f>
        <v>#REF!</v>
      </c>
      <c r="Y14" s="263" t="e">
        <f>ULS!#REF!</f>
        <v>#REF!</v>
      </c>
      <c r="Z14" s="270">
        <f>ULS!B1250</f>
        <v>68221.945500000002</v>
      </c>
      <c r="AA14" s="270">
        <f>ULS!C1250</f>
        <v>117364.48706155812</v>
      </c>
      <c r="AB14" s="263">
        <f>ULS!K1426</f>
        <v>1628.5722859729876</v>
      </c>
      <c r="AC14" s="263">
        <f>ULS!L1426</f>
        <v>4987.9984783153504</v>
      </c>
      <c r="AD14" s="263">
        <f t="shared" si="4"/>
        <v>-4987.9984783153504</v>
      </c>
      <c r="AF14" s="265">
        <f>MIN(SLS!F37,SLS!G37)</f>
        <v>-215.22779506293875</v>
      </c>
      <c r="AG14" s="265">
        <f>MAX(SLS!F37,SLS!G37)</f>
        <v>221.39619707712728</v>
      </c>
      <c r="AH14" s="265">
        <f>SLS!I37</f>
        <v>360.73094462262759</v>
      </c>
      <c r="AI14" s="266">
        <f t="shared" si="5"/>
        <v>-360.73094462262759</v>
      </c>
      <c r="AJ14" s="265">
        <f>-SLS!L160</f>
        <v>215.22779506293875</v>
      </c>
      <c r="AK14" s="265">
        <f>SLS!K160</f>
        <v>379.71678381329224</v>
      </c>
      <c r="AM14" s="265">
        <f>MAX(FLS!F61,FLS!G61)</f>
        <v>10.896711908505241</v>
      </c>
      <c r="AN14" s="265">
        <f>FLS!$M$36</f>
        <v>44.785427170200244</v>
      </c>
      <c r="AO14" s="265">
        <f>FLS!K149</f>
        <v>877.95467423424884</v>
      </c>
      <c r="AP14" s="265">
        <f>FLS!B149</f>
        <v>1319.9787397030161</v>
      </c>
      <c r="AQ14" s="265">
        <f t="shared" si="6"/>
        <v>-1319.9787397030161</v>
      </c>
      <c r="AS14" s="265"/>
      <c r="AT14" s="265"/>
      <c r="AU14" s="265"/>
      <c r="AV14" s="265"/>
    </row>
    <row r="15" spans="1:48" ht="15" customHeight="1">
      <c r="A15" s="263" t="str">
        <f>input!B13</f>
        <v>106i</v>
      </c>
      <c r="B15" s="263">
        <f>input!C13</f>
        <v>16.899999999999999</v>
      </c>
      <c r="C15" s="265">
        <f>ABS(Cons!K171)</f>
        <v>11.414355480687631</v>
      </c>
      <c r="D15" s="263">
        <f>Cons!L171</f>
        <v>228</v>
      </c>
      <c r="E15" s="265" t="e">
        <f>Cons!#REF!</f>
        <v>#REF!</v>
      </c>
      <c r="F15" s="265" t="e">
        <f>Cons!#REF!</f>
        <v>#REF!</v>
      </c>
      <c r="G15" s="265" t="e">
        <f t="shared" si="0"/>
        <v>#REF!</v>
      </c>
      <c r="H15" s="265" t="e">
        <f>Cons!#REF!</f>
        <v>#REF!</v>
      </c>
      <c r="I15" s="265" t="e">
        <f t="shared" si="1"/>
        <v>#REF!</v>
      </c>
      <c r="J15" s="265" t="e">
        <f>Cons!#REF!</f>
        <v>#REF!</v>
      </c>
      <c r="K15" s="265" t="e">
        <f t="shared" si="2"/>
        <v>#REF!</v>
      </c>
      <c r="L15" s="265" t="e">
        <f>Cons!#REF!</f>
        <v>#REF!</v>
      </c>
      <c r="M15" s="265">
        <f>Cons!K914</f>
        <v>379.64073020030537</v>
      </c>
      <c r="N15" s="263">
        <f>Cons!B1012</f>
        <v>626.40625</v>
      </c>
      <c r="O15" s="271">
        <f>Cons!M1012</f>
        <v>1319.9787397030161</v>
      </c>
      <c r="P15" s="270">
        <f t="shared" si="3"/>
        <v>-1319.9787397030161</v>
      </c>
      <c r="R15" s="263">
        <f>ULS!J527</f>
        <v>8.5288910100654167</v>
      </c>
      <c r="S15" s="265" t="str">
        <f>ULS!K527</f>
        <v>-</v>
      </c>
      <c r="T15" s="265">
        <f>ULS!$H$511</f>
        <v>21</v>
      </c>
      <c r="U15" s="270">
        <f>ULS!$H$512</f>
        <v>30</v>
      </c>
      <c r="V15" s="263" t="e">
        <f>MIN(ULS!#REF!,ULS!#REF!)</f>
        <v>#REF!</v>
      </c>
      <c r="W15" s="266" t="e">
        <f>MAX(ULS!#REF!,ULS!#REF!)</f>
        <v>#REF!</v>
      </c>
      <c r="X15" s="263" t="e">
        <f>-ULS!#REF!</f>
        <v>#REF!</v>
      </c>
      <c r="Y15" s="263" t="e">
        <f>ULS!#REF!</f>
        <v>#REF!</v>
      </c>
      <c r="Z15" s="270">
        <f>ULS!B1251</f>
        <v>68221.875499999995</v>
      </c>
      <c r="AA15" s="270">
        <f>ULS!C1251</f>
        <v>117364.48706155812</v>
      </c>
      <c r="AB15" s="263">
        <f>ULS!K1427</f>
        <v>1515.8856055339095</v>
      </c>
      <c r="AC15" s="263">
        <f>ULS!L1427</f>
        <v>4987.9984783153504</v>
      </c>
      <c r="AD15" s="263">
        <f t="shared" si="4"/>
        <v>-4987.9984783153504</v>
      </c>
      <c r="AF15" s="265">
        <f>MIN(SLS!F38,SLS!G38)</f>
        <v>-215.22734501056041</v>
      </c>
      <c r="AG15" s="265">
        <f>MAX(SLS!F38,SLS!G38)</f>
        <v>221.39590913479728</v>
      </c>
      <c r="AH15" s="265">
        <f>SLS!I38</f>
        <v>360.73094462262759</v>
      </c>
      <c r="AI15" s="266">
        <f t="shared" si="5"/>
        <v>-360.73094462262759</v>
      </c>
      <c r="AJ15" s="265">
        <f>-SLS!L161</f>
        <v>215.22734501056041</v>
      </c>
      <c r="AK15" s="265">
        <f>SLS!K161</f>
        <v>379.71678381329224</v>
      </c>
      <c r="AM15" s="265">
        <f>MAX(FLS!F62,FLS!G62)</f>
        <v>10.896683538669894</v>
      </c>
      <c r="AN15" s="265">
        <f>FLS!$M$36</f>
        <v>44.785427170200244</v>
      </c>
      <c r="AO15" s="265">
        <f>FLS!K150</f>
        <v>866.01497440012758</v>
      </c>
      <c r="AP15" s="265">
        <f>FLS!B150</f>
        <v>1319.9787397030161</v>
      </c>
      <c r="AQ15" s="265">
        <f t="shared" si="6"/>
        <v>-1319.9787397030161</v>
      </c>
      <c r="AS15" s="265"/>
      <c r="AT15" s="265"/>
      <c r="AU15" s="265"/>
      <c r="AV15" s="265"/>
    </row>
    <row r="16" spans="1:48" ht="15" customHeight="1">
      <c r="A16" s="263" t="str">
        <f>input!B14</f>
        <v>106j</v>
      </c>
      <c r="B16" s="263">
        <f>input!C14</f>
        <v>21.9</v>
      </c>
      <c r="C16" s="265">
        <f>ABS(Cons!K172)</f>
        <v>11.82436898189669</v>
      </c>
      <c r="D16" s="263">
        <f>Cons!L172</f>
        <v>228</v>
      </c>
      <c r="E16" s="265" t="e">
        <f>Cons!#REF!</f>
        <v>#REF!</v>
      </c>
      <c r="F16" s="265" t="e">
        <f>Cons!#REF!</f>
        <v>#REF!</v>
      </c>
      <c r="G16" s="265" t="e">
        <f t="shared" si="0"/>
        <v>#REF!</v>
      </c>
      <c r="H16" s="265" t="e">
        <f>Cons!#REF!</f>
        <v>#REF!</v>
      </c>
      <c r="I16" s="265" t="e">
        <f t="shared" si="1"/>
        <v>#REF!</v>
      </c>
      <c r="J16" s="265" t="e">
        <f>Cons!#REF!</f>
        <v>#REF!</v>
      </c>
      <c r="K16" s="265" t="e">
        <f t="shared" si="2"/>
        <v>#REF!</v>
      </c>
      <c r="L16" s="265" t="e">
        <f>Cons!#REF!</f>
        <v>#REF!</v>
      </c>
      <c r="M16" s="265">
        <f>Cons!K915</f>
        <v>379.64073020030537</v>
      </c>
      <c r="N16" s="263">
        <f>Cons!B1013</f>
        <v>452.65625</v>
      </c>
      <c r="O16" s="271">
        <f>Cons!M1013</f>
        <v>1319.9787397030161</v>
      </c>
      <c r="P16" s="270">
        <f t="shared" si="3"/>
        <v>-1319.9787397030161</v>
      </c>
      <c r="R16" s="263">
        <f>ULS!J528</f>
        <v>9.8797460119570353</v>
      </c>
      <c r="S16" s="265" t="str">
        <f>ULS!K528</f>
        <v>-</v>
      </c>
      <c r="T16" s="265">
        <f>ULS!$H$511</f>
        <v>21</v>
      </c>
      <c r="U16" s="270">
        <f>ULS!$H$512</f>
        <v>30</v>
      </c>
      <c r="V16" s="263" t="e">
        <f>MIN(ULS!#REF!,ULS!#REF!)</f>
        <v>#REF!</v>
      </c>
      <c r="W16" s="266" t="e">
        <f>MAX(ULS!#REF!,ULS!#REF!)</f>
        <v>#REF!</v>
      </c>
      <c r="X16" s="263" t="e">
        <f>-ULS!#REF!</f>
        <v>#REF!</v>
      </c>
      <c r="Y16" s="263" t="e">
        <f>ULS!#REF!</f>
        <v>#REF!</v>
      </c>
      <c r="Z16" s="270">
        <f>ULS!B1252</f>
        <v>79319.916000000012</v>
      </c>
      <c r="AA16" s="270">
        <f>ULS!C1252</f>
        <v>117364.48706155812</v>
      </c>
      <c r="AB16" s="263">
        <f>ULS!K1428</f>
        <v>1190.5309265913297</v>
      </c>
      <c r="AC16" s="263">
        <f>ULS!L1428</f>
        <v>4987.9984783153504</v>
      </c>
      <c r="AD16" s="263">
        <f t="shared" si="4"/>
        <v>-4987.9984783153504</v>
      </c>
      <c r="AF16" s="265">
        <f>MIN(SLS!F39,SLS!G39)</f>
        <v>-250.93902701526093</v>
      </c>
      <c r="AG16" s="265">
        <f>MAX(SLS!F39,SLS!G39)</f>
        <v>257.56235405558527</v>
      </c>
      <c r="AH16" s="265">
        <f>SLS!I39</f>
        <v>360.73094462262759</v>
      </c>
      <c r="AI16" s="266">
        <f t="shared" si="5"/>
        <v>-360.73094462262759</v>
      </c>
      <c r="AJ16" s="265">
        <f>-SLS!L162</f>
        <v>250.93902701526093</v>
      </c>
      <c r="AK16" s="265">
        <f>SLS!K162</f>
        <v>379.71678381329224</v>
      </c>
      <c r="AM16" s="265">
        <f>MAX(FLS!F63,FLS!G63)</f>
        <v>12.686763409542628</v>
      </c>
      <c r="AN16" s="265">
        <f>FLS!$M$36</f>
        <v>44.785427170200244</v>
      </c>
      <c r="AO16" s="265">
        <f>FLS!K151</f>
        <v>639.61166009462636</v>
      </c>
      <c r="AP16" s="265">
        <f>FLS!B151</f>
        <v>1319.9787397030161</v>
      </c>
      <c r="AQ16" s="265">
        <f t="shared" si="6"/>
        <v>-1319.9787397030161</v>
      </c>
      <c r="AS16" s="265"/>
      <c r="AT16" s="265"/>
      <c r="AU16" s="265"/>
      <c r="AV16" s="265"/>
    </row>
    <row r="17" spans="1:48" ht="15" customHeight="1">
      <c r="A17" s="263" t="str">
        <f>input!B15</f>
        <v>107i</v>
      </c>
      <c r="B17" s="263">
        <f>input!C15</f>
        <v>21.9</v>
      </c>
      <c r="C17" s="265">
        <f>ABS(Cons!K173)</f>
        <v>7.4547120043034294</v>
      </c>
      <c r="D17" s="263">
        <f>Cons!L173</f>
        <v>228</v>
      </c>
      <c r="E17" s="265" t="e">
        <f>Cons!#REF!</f>
        <v>#REF!</v>
      </c>
      <c r="F17" s="265" t="e">
        <f>Cons!#REF!</f>
        <v>#REF!</v>
      </c>
      <c r="G17" s="265" t="e">
        <f t="shared" si="0"/>
        <v>#REF!</v>
      </c>
      <c r="H17" s="265" t="e">
        <f>Cons!#REF!</f>
        <v>#REF!</v>
      </c>
      <c r="I17" s="265" t="e">
        <f t="shared" si="1"/>
        <v>#REF!</v>
      </c>
      <c r="J17" s="265" t="e">
        <f>Cons!#REF!</f>
        <v>#REF!</v>
      </c>
      <c r="K17" s="265" t="e">
        <f t="shared" si="2"/>
        <v>#REF!</v>
      </c>
      <c r="L17" s="265" t="e">
        <f>Cons!#REF!</f>
        <v>#REF!</v>
      </c>
      <c r="M17" s="265">
        <f>Cons!K916</f>
        <v>379.70896106468712</v>
      </c>
      <c r="N17" s="263">
        <f>Cons!B1014</f>
        <v>452.68124999999998</v>
      </c>
      <c r="O17" s="271">
        <f>Cons!M1014</f>
        <v>1319.9787397030161</v>
      </c>
      <c r="P17" s="270">
        <f t="shared" si="3"/>
        <v>-1319.9787397030161</v>
      </c>
      <c r="R17" s="263">
        <f>ULS!J529</f>
        <v>9.3913791197090148</v>
      </c>
      <c r="S17" s="265" t="str">
        <f>ULS!K529</f>
        <v>-</v>
      </c>
      <c r="T17" s="265">
        <f>ULS!$H$511</f>
        <v>21</v>
      </c>
      <c r="U17" s="270">
        <f>ULS!$H$512</f>
        <v>30</v>
      </c>
      <c r="V17" s="263" t="e">
        <f>MIN(ULS!#REF!,ULS!#REF!)</f>
        <v>#REF!</v>
      </c>
      <c r="W17" s="266" t="e">
        <f>MAX(ULS!#REF!,ULS!#REF!)</f>
        <v>#REF!</v>
      </c>
      <c r="X17" s="263" t="e">
        <f>-ULS!#REF!</f>
        <v>#REF!</v>
      </c>
      <c r="Y17" s="263" t="e">
        <f>ULS!#REF!</f>
        <v>#REF!</v>
      </c>
      <c r="Z17" s="270">
        <f>ULS!B1253</f>
        <v>79319.841</v>
      </c>
      <c r="AA17" s="270">
        <f>ULS!C1253</f>
        <v>130042.64171156453</v>
      </c>
      <c r="AB17" s="263">
        <f>ULS!K1429</f>
        <v>1190.5510822357005</v>
      </c>
      <c r="AC17" s="263">
        <f>ULS!L1429</f>
        <v>4987.9984783153504</v>
      </c>
      <c r="AD17" s="263">
        <f t="shared" si="4"/>
        <v>-4987.9984783153504</v>
      </c>
      <c r="AF17" s="265">
        <f>MIN(SLS!F40,SLS!G40)</f>
        <v>-216.32051451662332</v>
      </c>
      <c r="AG17" s="265">
        <f>MAX(SLS!F40,SLS!G40)</f>
        <v>225.65911578894838</v>
      </c>
      <c r="AH17" s="265">
        <f>SLS!I40</f>
        <v>360.77141099120502</v>
      </c>
      <c r="AI17" s="266">
        <f t="shared" si="5"/>
        <v>-360.77141099120502</v>
      </c>
      <c r="AJ17" s="265">
        <f>-SLS!L163</f>
        <v>216.32051451662332</v>
      </c>
      <c r="AK17" s="265">
        <f>SLS!K163</f>
        <v>379.75937999074216</v>
      </c>
      <c r="AM17" s="265">
        <f>MAX(FLS!F64,FLS!G64)</f>
        <v>11.299475354368358</v>
      </c>
      <c r="AN17" s="265">
        <f>FLS!$M$36</f>
        <v>44.785427170200244</v>
      </c>
      <c r="AO17" s="265">
        <f>FLS!K152</f>
        <v>639.61166009462636</v>
      </c>
      <c r="AP17" s="265">
        <f>FLS!B152</f>
        <v>1319.9787397030161</v>
      </c>
      <c r="AQ17" s="265">
        <f t="shared" si="6"/>
        <v>-1319.9787397030161</v>
      </c>
      <c r="AS17" s="265"/>
      <c r="AT17" s="265"/>
      <c r="AU17" s="265"/>
      <c r="AV17" s="265"/>
    </row>
    <row r="18" spans="1:48" ht="15" customHeight="1">
      <c r="A18" s="263" t="str">
        <f>input!B16</f>
        <v>107j</v>
      </c>
      <c r="B18" s="263">
        <f>input!C16</f>
        <v>26.9</v>
      </c>
      <c r="C18" s="265">
        <f>ABS(Cons!K174)</f>
        <v>7.4547120043034294</v>
      </c>
      <c r="D18" s="263">
        <f>Cons!L174</f>
        <v>228</v>
      </c>
      <c r="E18" s="265" t="e">
        <f>Cons!#REF!</f>
        <v>#REF!</v>
      </c>
      <c r="F18" s="265" t="e">
        <f>Cons!#REF!</f>
        <v>#REF!</v>
      </c>
      <c r="G18" s="265" t="e">
        <f t="shared" si="0"/>
        <v>#REF!</v>
      </c>
      <c r="H18" s="265" t="e">
        <f>Cons!#REF!</f>
        <v>#REF!</v>
      </c>
      <c r="I18" s="265" t="e">
        <f t="shared" si="1"/>
        <v>#REF!</v>
      </c>
      <c r="J18" s="265" t="e">
        <f>Cons!#REF!</f>
        <v>#REF!</v>
      </c>
      <c r="K18" s="265" t="e">
        <f t="shared" si="2"/>
        <v>#REF!</v>
      </c>
      <c r="L18" s="265" t="e">
        <f>Cons!#REF!</f>
        <v>#REF!</v>
      </c>
      <c r="M18" s="265">
        <f>Cons!K917</f>
        <v>379.70896106468712</v>
      </c>
      <c r="N18" s="263">
        <f>Cons!B1015</f>
        <v>271.34999999999997</v>
      </c>
      <c r="O18" s="271">
        <f>Cons!M1015</f>
        <v>1319.9787397030161</v>
      </c>
      <c r="P18" s="270">
        <f t="shared" si="3"/>
        <v>-1319.9787397030161</v>
      </c>
      <c r="R18" s="263">
        <f>ULS!J530</f>
        <v>10.306978893217218</v>
      </c>
      <c r="S18" s="265" t="str">
        <f>ULS!K530</f>
        <v>-</v>
      </c>
      <c r="T18" s="265">
        <f>ULS!$H$511</f>
        <v>21</v>
      </c>
      <c r="U18" s="270">
        <f>ULS!$H$512</f>
        <v>30</v>
      </c>
      <c r="V18" s="263" t="e">
        <f>MIN(ULS!#REF!,ULS!#REF!)</f>
        <v>#REF!</v>
      </c>
      <c r="W18" s="266" t="e">
        <f>MAX(ULS!#REF!,ULS!#REF!)</f>
        <v>#REF!</v>
      </c>
      <c r="X18" s="263" t="e">
        <f>-ULS!#REF!</f>
        <v>#REF!</v>
      </c>
      <c r="Y18" s="263" t="e">
        <f>ULS!#REF!</f>
        <v>#REF!</v>
      </c>
      <c r="Z18" s="270">
        <f>ULS!B1254</f>
        <v>87006.146500000003</v>
      </c>
      <c r="AA18" s="270">
        <f>ULS!C1254</f>
        <v>130042.64171156453</v>
      </c>
      <c r="AB18" s="263">
        <f>ULS!K1430</f>
        <v>872.26775917504244</v>
      </c>
      <c r="AC18" s="263">
        <f>ULS!L1430</f>
        <v>4987.9984783153504</v>
      </c>
      <c r="AD18" s="263">
        <f t="shared" si="4"/>
        <v>-4987.9984783153504</v>
      </c>
      <c r="AF18" s="265">
        <f>MIN(SLS!F41,SLS!G41)</f>
        <v>-237.1581910995456</v>
      </c>
      <c r="AG18" s="265">
        <f>MAX(SLS!F41,SLS!G41)</f>
        <v>247.50325153057574</v>
      </c>
      <c r="AH18" s="265">
        <f>SLS!I41</f>
        <v>360.77141099120502</v>
      </c>
      <c r="AI18" s="266">
        <f t="shared" si="5"/>
        <v>-360.77141099120502</v>
      </c>
      <c r="AJ18" s="265">
        <f>-SLS!L164</f>
        <v>237.1581910995456</v>
      </c>
      <c r="AK18" s="265">
        <f>SLS!K164</f>
        <v>379.75937999074216</v>
      </c>
      <c r="AM18" s="265">
        <f>MAX(FLS!F65,FLS!G65)</f>
        <v>11.827012623479844</v>
      </c>
      <c r="AN18" s="265">
        <f>FLS!$M$36</f>
        <v>44.785427170200244</v>
      </c>
      <c r="AO18" s="265">
        <f>FLS!K153</f>
        <v>412.96899751222247</v>
      </c>
      <c r="AP18" s="265">
        <f>FLS!B153</f>
        <v>1319.9787397030161</v>
      </c>
      <c r="AQ18" s="265">
        <f t="shared" si="6"/>
        <v>-1319.9787397030161</v>
      </c>
      <c r="AS18" s="265"/>
      <c r="AT18" s="265"/>
      <c r="AU18" s="265"/>
      <c r="AV18" s="265"/>
    </row>
    <row r="19" spans="1:48" ht="15" customHeight="1">
      <c r="A19" s="263" t="str">
        <f>input!B17</f>
        <v>108i</v>
      </c>
      <c r="B19" s="263">
        <f>input!C17</f>
        <v>26.9</v>
      </c>
      <c r="C19" s="265">
        <f>ABS(Cons!K175)</f>
        <v>7.4547120043034294</v>
      </c>
      <c r="D19" s="263">
        <f>Cons!L175</f>
        <v>228</v>
      </c>
      <c r="E19" s="265" t="e">
        <f>Cons!#REF!</f>
        <v>#REF!</v>
      </c>
      <c r="F19" s="265" t="e">
        <f>Cons!#REF!</f>
        <v>#REF!</v>
      </c>
      <c r="G19" s="265" t="e">
        <f t="shared" si="0"/>
        <v>#REF!</v>
      </c>
      <c r="H19" s="265" t="e">
        <f>Cons!#REF!</f>
        <v>#REF!</v>
      </c>
      <c r="I19" s="265" t="e">
        <f t="shared" si="1"/>
        <v>#REF!</v>
      </c>
      <c r="J19" s="265" t="e">
        <f>Cons!#REF!</f>
        <v>#REF!</v>
      </c>
      <c r="K19" s="265" t="e">
        <f t="shared" si="2"/>
        <v>#REF!</v>
      </c>
      <c r="L19" s="265" t="e">
        <f>Cons!#REF!</f>
        <v>#REF!</v>
      </c>
      <c r="M19" s="265">
        <f>Cons!K918</f>
        <v>379.70896106468712</v>
      </c>
      <c r="N19" s="263">
        <f>Cons!B1016</f>
        <v>204.82500000000002</v>
      </c>
      <c r="O19" s="271">
        <f>Cons!M1016</f>
        <v>1319.9787397030161</v>
      </c>
      <c r="P19" s="270">
        <f t="shared" si="3"/>
        <v>-1319.9787397030161</v>
      </c>
      <c r="R19" s="263">
        <f>ULS!J531</f>
        <v>10.306962005448359</v>
      </c>
      <c r="S19" s="265" t="str">
        <f>ULS!K531</f>
        <v>-</v>
      </c>
      <c r="T19" s="265">
        <f>ULS!$H$511</f>
        <v>21</v>
      </c>
      <c r="U19" s="270">
        <f>ULS!$H$512</f>
        <v>30</v>
      </c>
      <c r="V19" s="263" t="e">
        <f>MIN(ULS!#REF!,ULS!#REF!)</f>
        <v>#REF!</v>
      </c>
      <c r="W19" s="266" t="e">
        <f>MAX(ULS!#REF!,ULS!#REF!)</f>
        <v>#REF!</v>
      </c>
      <c r="X19" s="263" t="e">
        <f>-ULS!#REF!</f>
        <v>#REF!</v>
      </c>
      <c r="Y19" s="263" t="e">
        <f>ULS!#REF!</f>
        <v>#REF!</v>
      </c>
      <c r="Z19" s="270">
        <f>ULS!B1255</f>
        <v>87006.021500000003</v>
      </c>
      <c r="AA19" s="270">
        <f>ULS!C1255</f>
        <v>130042.64171156453</v>
      </c>
      <c r="AB19" s="263">
        <f>ULS!K1431</f>
        <v>767.47856409153223</v>
      </c>
      <c r="AC19" s="263">
        <f>ULS!L1431</f>
        <v>4987.9984783153504</v>
      </c>
      <c r="AD19" s="263">
        <f t="shared" si="4"/>
        <v>-4987.9984783153504</v>
      </c>
      <c r="AF19" s="265">
        <f>MIN(SLS!F42,SLS!G42)</f>
        <v>-237.15784186006064</v>
      </c>
      <c r="AG19" s="265">
        <f>MAX(SLS!F42,SLS!G42)</f>
        <v>247.50291088227388</v>
      </c>
      <c r="AH19" s="265">
        <f>SLS!I42</f>
        <v>360.77141099120502</v>
      </c>
      <c r="AI19" s="266">
        <f t="shared" si="5"/>
        <v>-360.77141099120502</v>
      </c>
      <c r="AJ19" s="265">
        <f>-SLS!L165</f>
        <v>237.15784186006064</v>
      </c>
      <c r="AK19" s="265">
        <f>SLS!K165</f>
        <v>379.75937999074216</v>
      </c>
      <c r="AM19" s="265">
        <f>MAX(FLS!F66,FLS!G66)</f>
        <v>11.827012623479844</v>
      </c>
      <c r="AN19" s="265">
        <f>FLS!$M$36</f>
        <v>44.785427170200244</v>
      </c>
      <c r="AO19" s="265">
        <f>FLS!K154</f>
        <v>400.8000272233844</v>
      </c>
      <c r="AP19" s="265">
        <f>FLS!B154</f>
        <v>1319.9787397030161</v>
      </c>
      <c r="AQ19" s="265">
        <f t="shared" si="6"/>
        <v>-1319.9787397030161</v>
      </c>
      <c r="AS19" s="265"/>
      <c r="AT19" s="265"/>
      <c r="AU19" s="265"/>
      <c r="AV19" s="265"/>
    </row>
    <row r="20" spans="1:48" ht="15" customHeight="1">
      <c r="A20" s="263" t="str">
        <f>input!B18</f>
        <v>108j</v>
      </c>
      <c r="B20" s="263">
        <f>input!C18</f>
        <v>31.9</v>
      </c>
      <c r="C20" s="265">
        <f>ABS(Cons!K176)</f>
        <v>7.4547120043034294</v>
      </c>
      <c r="D20" s="263">
        <f>Cons!L176</f>
        <v>228</v>
      </c>
      <c r="E20" s="265" t="e">
        <f>Cons!#REF!</f>
        <v>#REF!</v>
      </c>
      <c r="F20" s="265" t="e">
        <f>Cons!#REF!</f>
        <v>#REF!</v>
      </c>
      <c r="G20" s="265" t="e">
        <f t="shared" si="0"/>
        <v>#REF!</v>
      </c>
      <c r="H20" s="265" t="e">
        <f>Cons!#REF!</f>
        <v>#REF!</v>
      </c>
      <c r="I20" s="265" t="e">
        <f t="shared" si="1"/>
        <v>#REF!</v>
      </c>
      <c r="J20" s="265" t="e">
        <f>Cons!#REF!</f>
        <v>#REF!</v>
      </c>
      <c r="K20" s="265" t="e">
        <f t="shared" si="2"/>
        <v>#REF!</v>
      </c>
      <c r="L20" s="265" t="e">
        <f>Cons!#REF!</f>
        <v>#REF!</v>
      </c>
      <c r="M20" s="265">
        <f>Cons!K919</f>
        <v>379.70896106468712</v>
      </c>
      <c r="N20" s="263">
        <f>Cons!B1017</f>
        <v>23.493750000000002</v>
      </c>
      <c r="O20" s="271">
        <f>Cons!M1017</f>
        <v>1319.9787397030161</v>
      </c>
      <c r="P20" s="270">
        <f t="shared" si="3"/>
        <v>-1319.9787397030161</v>
      </c>
      <c r="R20" s="263">
        <f>ULS!J532</f>
        <v>10.61096582557524</v>
      </c>
      <c r="S20" s="265" t="str">
        <f>ULS!K532</f>
        <v>-</v>
      </c>
      <c r="T20" s="265">
        <f>ULS!$H$511</f>
        <v>21</v>
      </c>
      <c r="U20" s="270">
        <f>ULS!$H$512</f>
        <v>30</v>
      </c>
      <c r="V20" s="263" t="e">
        <f>MIN(ULS!#REF!,ULS!#REF!)</f>
        <v>#REF!</v>
      </c>
      <c r="W20" s="266" t="e">
        <f>MAX(ULS!#REF!,ULS!#REF!)</f>
        <v>#REF!</v>
      </c>
      <c r="X20" s="263" t="e">
        <f>-ULS!#REF!</f>
        <v>#REF!</v>
      </c>
      <c r="Y20" s="263" t="e">
        <f>ULS!#REF!</f>
        <v>#REF!</v>
      </c>
      <c r="Z20" s="270">
        <f>ULS!B1256</f>
        <v>89497.790500000003</v>
      </c>
      <c r="AA20" s="270">
        <f>ULS!C1256</f>
        <v>130042.64171156453</v>
      </c>
      <c r="AB20" s="263">
        <f>ULS!K1432</f>
        <v>441.21360586005858</v>
      </c>
      <c r="AC20" s="263">
        <f>ULS!L1432</f>
        <v>4987.9984783153504</v>
      </c>
      <c r="AD20" s="263">
        <f t="shared" si="4"/>
        <v>-4987.9984783153504</v>
      </c>
      <c r="AF20" s="265">
        <f>MIN(SLS!F43,SLS!G43)</f>
        <v>-243.74663791112033</v>
      </c>
      <c r="AG20" s="265">
        <f>MAX(SLS!F43,SLS!G43)</f>
        <v>254.54673706927233</v>
      </c>
      <c r="AH20" s="265">
        <f>SLS!I43</f>
        <v>360.77141099120502</v>
      </c>
      <c r="AI20" s="266">
        <f t="shared" si="5"/>
        <v>-360.77141099120502</v>
      </c>
      <c r="AJ20" s="265">
        <f>-SLS!L166</f>
        <v>243.74663791112033</v>
      </c>
      <c r="AK20" s="265">
        <f>SLS!K166</f>
        <v>379.75937999074216</v>
      </c>
      <c r="AM20" s="265">
        <f>MAX(FLS!F67,FLS!G67)</f>
        <v>12.532155959483973</v>
      </c>
      <c r="AN20" s="265">
        <f>FLS!$M$36</f>
        <v>44.785427170200244</v>
      </c>
      <c r="AO20" s="265">
        <f>FLS!K155</f>
        <v>169.16128429258163</v>
      </c>
      <c r="AP20" s="265">
        <f>FLS!B155</f>
        <v>1319.9787397030161</v>
      </c>
      <c r="AQ20" s="265">
        <f t="shared" si="6"/>
        <v>-1319.9787397030161</v>
      </c>
      <c r="AS20" s="265"/>
      <c r="AT20" s="265"/>
      <c r="AU20" s="265"/>
      <c r="AV20" s="265"/>
    </row>
    <row r="21" spans="1:48" ht="15" customHeight="1">
      <c r="A21" s="263" t="str">
        <f>input!B19</f>
        <v>109i</v>
      </c>
      <c r="B21" s="263">
        <f>input!C19</f>
        <v>31.9</v>
      </c>
      <c r="C21" s="265">
        <f>ABS(Cons!K177)</f>
        <v>7.4547120043034294</v>
      </c>
      <c r="D21" s="263">
        <f>Cons!L177</f>
        <v>228</v>
      </c>
      <c r="E21" s="265" t="e">
        <f>Cons!#REF!</f>
        <v>#REF!</v>
      </c>
      <c r="F21" s="265" t="e">
        <f>Cons!#REF!</f>
        <v>#REF!</v>
      </c>
      <c r="G21" s="265" t="e">
        <f t="shared" si="0"/>
        <v>#REF!</v>
      </c>
      <c r="H21" s="265" t="e">
        <f>Cons!#REF!</f>
        <v>#REF!</v>
      </c>
      <c r="I21" s="265" t="e">
        <f t="shared" si="1"/>
        <v>#REF!</v>
      </c>
      <c r="J21" s="265" t="e">
        <f>Cons!#REF!</f>
        <v>#REF!</v>
      </c>
      <c r="K21" s="265" t="e">
        <f t="shared" si="2"/>
        <v>#REF!</v>
      </c>
      <c r="L21" s="265" t="e">
        <f>Cons!#REF!</f>
        <v>#REF!</v>
      </c>
      <c r="M21" s="265">
        <f>Cons!K920</f>
        <v>379.70896106468712</v>
      </c>
      <c r="N21" s="263">
        <f>Cons!B1018</f>
        <v>23.493750000000002</v>
      </c>
      <c r="O21" s="271">
        <f>Cons!M1018</f>
        <v>1319.9787397030161</v>
      </c>
      <c r="P21" s="270">
        <f t="shared" si="3"/>
        <v>-1319.9787397030161</v>
      </c>
      <c r="R21" s="263">
        <f>ULS!J533</f>
        <v>10.610977647013442</v>
      </c>
      <c r="S21" s="265" t="str">
        <f>ULS!K533</f>
        <v>-</v>
      </c>
      <c r="T21" s="265">
        <f>ULS!$H$511</f>
        <v>21</v>
      </c>
      <c r="U21" s="270">
        <f>ULS!$H$512</f>
        <v>30</v>
      </c>
      <c r="V21" s="263" t="e">
        <f>MIN(ULS!#REF!,ULS!#REF!)</f>
        <v>#REF!</v>
      </c>
      <c r="W21" s="266" t="e">
        <f>MAX(ULS!#REF!,ULS!#REF!)</f>
        <v>#REF!</v>
      </c>
      <c r="X21" s="263" t="e">
        <f>-ULS!#REF!</f>
        <v>#REF!</v>
      </c>
      <c r="Y21" s="263" t="e">
        <f>ULS!#REF!</f>
        <v>#REF!</v>
      </c>
      <c r="Z21" s="270">
        <f>ULS!B1257</f>
        <v>89497.893000000011</v>
      </c>
      <c r="AA21" s="270">
        <f>ULS!C1257</f>
        <v>130042.64171156453</v>
      </c>
      <c r="AB21" s="263">
        <f>ULS!K1433</f>
        <v>441.18589184904886</v>
      </c>
      <c r="AC21" s="263">
        <f>ULS!L1433</f>
        <v>4987.9984783153504</v>
      </c>
      <c r="AD21" s="263">
        <f t="shared" si="4"/>
        <v>-4987.9984783153504</v>
      </c>
      <c r="AF21" s="265">
        <f>MIN(SLS!F44,SLS!G44)</f>
        <v>-243.7469631052075</v>
      </c>
      <c r="AG21" s="265">
        <f>MAX(SLS!F44,SLS!G44)</f>
        <v>254.54704203077279</v>
      </c>
      <c r="AH21" s="265">
        <f>SLS!I44</f>
        <v>360.77141099120502</v>
      </c>
      <c r="AI21" s="266">
        <f t="shared" si="5"/>
        <v>-360.77141099120502</v>
      </c>
      <c r="AJ21" s="265">
        <f>-SLS!L167</f>
        <v>243.7469631052075</v>
      </c>
      <c r="AK21" s="265">
        <f>SLS!K167</f>
        <v>379.75937999074216</v>
      </c>
      <c r="AM21" s="265">
        <f>MAX(FLS!F68,FLS!G68)</f>
        <v>12.532155959483973</v>
      </c>
      <c r="AN21" s="265">
        <f>FLS!$M$36</f>
        <v>44.785427170200244</v>
      </c>
      <c r="AO21" s="265">
        <f>FLS!K156</f>
        <v>169.14868701484991</v>
      </c>
      <c r="AP21" s="265">
        <f>FLS!B156</f>
        <v>1319.9787397030161</v>
      </c>
      <c r="AQ21" s="265">
        <f t="shared" si="6"/>
        <v>-1319.9787397030161</v>
      </c>
      <c r="AS21" s="265"/>
      <c r="AT21" s="265"/>
      <c r="AU21" s="265"/>
      <c r="AV21" s="265"/>
    </row>
    <row r="22" spans="1:48" ht="15" customHeight="1">
      <c r="A22" s="263" t="str">
        <f>input!B20</f>
        <v>109j</v>
      </c>
      <c r="B22" s="263">
        <f>input!C20</f>
        <v>36.9</v>
      </c>
      <c r="C22" s="265">
        <f>ABS(Cons!K178)</f>
        <v>7.4547120043034294</v>
      </c>
      <c r="D22" s="263">
        <f>Cons!L178</f>
        <v>228</v>
      </c>
      <c r="E22" s="265" t="e">
        <f>Cons!#REF!</f>
        <v>#REF!</v>
      </c>
      <c r="F22" s="265" t="e">
        <f>Cons!#REF!</f>
        <v>#REF!</v>
      </c>
      <c r="G22" s="265" t="e">
        <f t="shared" si="0"/>
        <v>#REF!</v>
      </c>
      <c r="H22" s="265" t="e">
        <f>Cons!#REF!</f>
        <v>#REF!</v>
      </c>
      <c r="I22" s="265" t="e">
        <f t="shared" si="1"/>
        <v>#REF!</v>
      </c>
      <c r="J22" s="265" t="e">
        <f>Cons!#REF!</f>
        <v>#REF!</v>
      </c>
      <c r="K22" s="265" t="e">
        <f t="shared" si="2"/>
        <v>#REF!</v>
      </c>
      <c r="L22" s="265" t="e">
        <f>Cons!#REF!</f>
        <v>#REF!</v>
      </c>
      <c r="M22" s="265">
        <f>Cons!K921</f>
        <v>379.70896106468712</v>
      </c>
      <c r="N22" s="263">
        <f>Cons!B1019</f>
        <v>-157.83750000000001</v>
      </c>
      <c r="O22" s="271">
        <f>Cons!M1019</f>
        <v>1319.9787397030161</v>
      </c>
      <c r="P22" s="270">
        <f t="shared" si="3"/>
        <v>-1319.9787397030161</v>
      </c>
      <c r="R22" s="263">
        <f>ULS!J534</f>
        <v>10.569218698025617</v>
      </c>
      <c r="S22" s="265" t="str">
        <f>ULS!K534</f>
        <v>-</v>
      </c>
      <c r="T22" s="265">
        <f>ULS!$H$511</f>
        <v>21</v>
      </c>
      <c r="U22" s="270">
        <f>ULS!$H$512</f>
        <v>30</v>
      </c>
      <c r="V22" s="263" t="e">
        <f>MIN(ULS!#REF!,ULS!#REF!)</f>
        <v>#REF!</v>
      </c>
      <c r="W22" s="266" t="e">
        <f>MAX(ULS!#REF!,ULS!#REF!)</f>
        <v>#REF!</v>
      </c>
      <c r="X22" s="263" t="e">
        <f>-ULS!#REF!</f>
        <v>#REF!</v>
      </c>
      <c r="Y22" s="263" t="e">
        <f>ULS!#REF!</f>
        <v>#REF!</v>
      </c>
      <c r="Z22" s="270">
        <f>ULS!B1258</f>
        <v>88640.763000000006</v>
      </c>
      <c r="AA22" s="270">
        <f>ULS!C1258</f>
        <v>130042.64171156453</v>
      </c>
      <c r="AB22" s="263">
        <f>ULS!K1434</f>
        <v>-700.01308736266071</v>
      </c>
      <c r="AC22" s="263">
        <f>ULS!L1434</f>
        <v>4987.9984783153504</v>
      </c>
      <c r="AD22" s="263">
        <f t="shared" si="4"/>
        <v>-4987.9984783153504</v>
      </c>
      <c r="AF22" s="265">
        <f>MIN(SLS!F45,SLS!G45)</f>
        <v>-240.31779975484068</v>
      </c>
      <c r="AG22" s="265">
        <f>MAX(SLS!F45,SLS!G45)</f>
        <v>251.88109495757953</v>
      </c>
      <c r="AH22" s="265">
        <f>SLS!I45</f>
        <v>360.77141099120502</v>
      </c>
      <c r="AI22" s="266">
        <f t="shared" si="5"/>
        <v>-360.77141099120502</v>
      </c>
      <c r="AJ22" s="265">
        <f>-SLS!L168</f>
        <v>240.31779975484068</v>
      </c>
      <c r="AK22" s="265">
        <f>SLS!K168</f>
        <v>379.75937999074216</v>
      </c>
      <c r="AM22" s="265">
        <f>MAX(FLS!F69,FLS!G69)</f>
        <v>12.236373256532586</v>
      </c>
      <c r="AN22" s="265">
        <f>FLS!$M$36</f>
        <v>44.785427170200244</v>
      </c>
      <c r="AO22" s="265">
        <f>FLS!K157</f>
        <v>-358.18847556808021</v>
      </c>
      <c r="AP22" s="265">
        <f>FLS!B157</f>
        <v>1319.9787397030161</v>
      </c>
      <c r="AQ22" s="265">
        <f t="shared" si="6"/>
        <v>-1319.9787397030161</v>
      </c>
      <c r="AS22" s="265"/>
      <c r="AT22" s="265"/>
      <c r="AU22" s="265"/>
      <c r="AV22" s="265"/>
    </row>
    <row r="23" spans="1:48" ht="15" customHeight="1">
      <c r="A23" s="263" t="str">
        <f>input!B21</f>
        <v>110i</v>
      </c>
      <c r="B23" s="263">
        <f>input!C21</f>
        <v>36.9</v>
      </c>
      <c r="C23" s="265">
        <f>ABS(Cons!K179)</f>
        <v>7.4547120043034294</v>
      </c>
      <c r="D23" s="263">
        <f>Cons!L179</f>
        <v>228</v>
      </c>
      <c r="E23" s="265" t="e">
        <f>Cons!#REF!</f>
        <v>#REF!</v>
      </c>
      <c r="F23" s="265" t="e">
        <f>Cons!#REF!</f>
        <v>#REF!</v>
      </c>
      <c r="G23" s="265" t="e">
        <f t="shared" si="0"/>
        <v>#REF!</v>
      </c>
      <c r="H23" s="265" t="e">
        <f>Cons!#REF!</f>
        <v>#REF!</v>
      </c>
      <c r="I23" s="265" t="e">
        <f t="shared" si="1"/>
        <v>#REF!</v>
      </c>
      <c r="J23" s="265" t="e">
        <f>Cons!#REF!</f>
        <v>#REF!</v>
      </c>
      <c r="K23" s="265" t="e">
        <f t="shared" si="2"/>
        <v>#REF!</v>
      </c>
      <c r="L23" s="265" t="e">
        <f>Cons!#REF!</f>
        <v>#REF!</v>
      </c>
      <c r="M23" s="265">
        <f>Cons!K922</f>
        <v>379.70896106468712</v>
      </c>
      <c r="N23" s="263">
        <f>Cons!B1020</f>
        <v>-203.23125000000002</v>
      </c>
      <c r="O23" s="271">
        <f>Cons!M1020</f>
        <v>1319.9787397030161</v>
      </c>
      <c r="P23" s="270">
        <f t="shared" si="3"/>
        <v>-1319.9787397030161</v>
      </c>
      <c r="R23" s="263">
        <f>ULS!J535</f>
        <v>10.569225340548037</v>
      </c>
      <c r="S23" s="265" t="str">
        <f>ULS!K535</f>
        <v>-</v>
      </c>
      <c r="T23" s="265">
        <f>ULS!$H$511</f>
        <v>21</v>
      </c>
      <c r="U23" s="270">
        <f>ULS!$H$512</f>
        <v>30</v>
      </c>
      <c r="V23" s="263" t="e">
        <f>MIN(ULS!#REF!,ULS!#REF!)</f>
        <v>#REF!</v>
      </c>
      <c r="W23" s="266" t="e">
        <f>MAX(ULS!#REF!,ULS!#REF!)</f>
        <v>#REF!</v>
      </c>
      <c r="X23" s="263" t="e">
        <f>-ULS!#REF!</f>
        <v>#REF!</v>
      </c>
      <c r="Y23" s="263" t="e">
        <f>ULS!#REF!</f>
        <v>#REF!</v>
      </c>
      <c r="Z23" s="270">
        <f>ULS!B1259</f>
        <v>88640.85500000001</v>
      </c>
      <c r="AA23" s="270">
        <f>ULS!C1259</f>
        <v>130042.64171156453</v>
      </c>
      <c r="AB23" s="263">
        <f>ULS!K1435</f>
        <v>-766.43072252980801</v>
      </c>
      <c r="AC23" s="263">
        <f>ULS!L1435</f>
        <v>4987.9984783153504</v>
      </c>
      <c r="AD23" s="263">
        <f t="shared" si="4"/>
        <v>-4987.9984783153504</v>
      </c>
      <c r="AF23" s="265">
        <f>MIN(SLS!F46,SLS!G46)</f>
        <v>-240.31814432612413</v>
      </c>
      <c r="AG23" s="265">
        <f>MAX(SLS!F46,SLS!G46)</f>
        <v>251.88136098865277</v>
      </c>
      <c r="AH23" s="265">
        <f>SLS!I46</f>
        <v>360.77141099120502</v>
      </c>
      <c r="AI23" s="266">
        <f t="shared" si="5"/>
        <v>-360.77141099120502</v>
      </c>
      <c r="AJ23" s="265">
        <f>-SLS!L169</f>
        <v>240.31814432612413</v>
      </c>
      <c r="AK23" s="265">
        <f>SLS!K169</f>
        <v>379.75937999074216</v>
      </c>
      <c r="AM23" s="265">
        <f>MAX(FLS!F70,FLS!G70)</f>
        <v>12.236423791762887</v>
      </c>
      <c r="AN23" s="265">
        <f>FLS!$M$36</f>
        <v>44.785427170200244</v>
      </c>
      <c r="AO23" s="265">
        <f>FLS!K158</f>
        <v>-356.05953563142009</v>
      </c>
      <c r="AP23" s="265">
        <f>FLS!B158</f>
        <v>1319.9787397030161</v>
      </c>
      <c r="AQ23" s="265">
        <f t="shared" si="6"/>
        <v>-1319.9787397030161</v>
      </c>
      <c r="AS23" s="265"/>
      <c r="AT23" s="265"/>
      <c r="AU23" s="265"/>
      <c r="AV23" s="265"/>
    </row>
    <row r="24" spans="1:48" ht="15" customHeight="1">
      <c r="A24" s="263" t="str">
        <f>input!B22</f>
        <v>110j</v>
      </c>
      <c r="B24" s="263">
        <f>input!C22</f>
        <v>41.9</v>
      </c>
      <c r="C24" s="265">
        <f>ABS(Cons!K180)</f>
        <v>7.4547120043034294</v>
      </c>
      <c r="D24" s="263">
        <f>Cons!L180</f>
        <v>228</v>
      </c>
      <c r="E24" s="265" t="e">
        <f>Cons!#REF!</f>
        <v>#REF!</v>
      </c>
      <c r="F24" s="265" t="e">
        <f>Cons!#REF!</f>
        <v>#REF!</v>
      </c>
      <c r="G24" s="265" t="e">
        <f t="shared" si="0"/>
        <v>#REF!</v>
      </c>
      <c r="H24" s="265" t="e">
        <f>Cons!#REF!</f>
        <v>#REF!</v>
      </c>
      <c r="I24" s="265" t="e">
        <f t="shared" si="1"/>
        <v>#REF!</v>
      </c>
      <c r="J24" s="265" t="e">
        <f>Cons!#REF!</f>
        <v>#REF!</v>
      </c>
      <c r="K24" s="265" t="e">
        <f t="shared" si="2"/>
        <v>#REF!</v>
      </c>
      <c r="L24" s="265" t="e">
        <f>Cons!#REF!</f>
        <v>#REF!</v>
      </c>
      <c r="M24" s="265">
        <f>Cons!K923</f>
        <v>379.70896106468712</v>
      </c>
      <c r="N24" s="263">
        <f>Cons!B1021</f>
        <v>-384.5625</v>
      </c>
      <c r="O24" s="271">
        <f>Cons!M1021</f>
        <v>1319.9787397030161</v>
      </c>
      <c r="P24" s="270">
        <f t="shared" si="3"/>
        <v>-1319.9787397030161</v>
      </c>
      <c r="R24" s="263">
        <f>ULS!J536</f>
        <v>10.024341478253067</v>
      </c>
      <c r="S24" s="265" t="str">
        <f>ULS!K536</f>
        <v>-</v>
      </c>
      <c r="T24" s="265">
        <f>ULS!$H$511</f>
        <v>21</v>
      </c>
      <c r="U24" s="270">
        <f>ULS!$H$512</f>
        <v>30</v>
      </c>
      <c r="V24" s="263" t="e">
        <f>MIN(ULS!#REF!,ULS!#REF!)</f>
        <v>#REF!</v>
      </c>
      <c r="W24" s="266" t="e">
        <f>MAX(ULS!#REF!,ULS!#REF!)</f>
        <v>#REF!</v>
      </c>
      <c r="X24" s="263" t="e">
        <f>-ULS!#REF!</f>
        <v>#REF!</v>
      </c>
      <c r="Y24" s="263" t="e">
        <f>ULS!#REF!</f>
        <v>#REF!</v>
      </c>
      <c r="Z24" s="270">
        <f>ULS!B1260</f>
        <v>83281.955000000002</v>
      </c>
      <c r="AA24" s="270">
        <f>ULS!C1260</f>
        <v>130042.64171156453</v>
      </c>
      <c r="AB24" s="263">
        <f>ULS!K1436</f>
        <v>-1091.1991241667536</v>
      </c>
      <c r="AC24" s="263">
        <f>ULS!L1436</f>
        <v>4987.9984783153504</v>
      </c>
      <c r="AD24" s="263">
        <f t="shared" si="4"/>
        <v>-4987.9984783153504</v>
      </c>
      <c r="AF24" s="265">
        <f>MIN(SLS!F47,SLS!G47)</f>
        <v>-224.06530213113965</v>
      </c>
      <c r="AG24" s="265">
        <f>MAX(SLS!F47,SLS!G47)</f>
        <v>236.29113977818463</v>
      </c>
      <c r="AH24" s="265">
        <f>SLS!I47</f>
        <v>360.77141099120502</v>
      </c>
      <c r="AI24" s="266">
        <f t="shared" si="5"/>
        <v>-360.77141099120502</v>
      </c>
      <c r="AJ24" s="265">
        <f>-SLS!L170</f>
        <v>224.06530213113965</v>
      </c>
      <c r="AK24" s="265">
        <f>SLS!K170</f>
        <v>379.75937999074216</v>
      </c>
      <c r="AM24" s="265">
        <f>MAX(FLS!F71,FLS!G71)</f>
        <v>11.966211915343774</v>
      </c>
      <c r="AN24" s="265">
        <f>FLS!$M$36</f>
        <v>44.785427170200244</v>
      </c>
      <c r="AO24" s="265">
        <f>FLS!K159</f>
        <v>-585.94473750196778</v>
      </c>
      <c r="AP24" s="265">
        <f>FLS!B159</f>
        <v>1319.9787397030161</v>
      </c>
      <c r="AQ24" s="265">
        <f t="shared" si="6"/>
        <v>-1319.9787397030161</v>
      </c>
      <c r="AS24" s="265"/>
      <c r="AT24" s="265"/>
      <c r="AU24" s="265"/>
      <c r="AV24" s="265"/>
    </row>
    <row r="25" spans="1:48" ht="15" customHeight="1">
      <c r="A25" s="263" t="str">
        <f>input!B23</f>
        <v>111i</v>
      </c>
      <c r="B25" s="263">
        <f>input!C23</f>
        <v>41.9</v>
      </c>
      <c r="C25" s="265">
        <f>ABS(Cons!K181)</f>
        <v>7.4547120043034294</v>
      </c>
      <c r="D25" s="263">
        <f>Cons!L181</f>
        <v>228</v>
      </c>
      <c r="E25" s="265" t="e">
        <f>Cons!#REF!</f>
        <v>#REF!</v>
      </c>
      <c r="F25" s="265" t="e">
        <f>Cons!#REF!</f>
        <v>#REF!</v>
      </c>
      <c r="G25" s="265" t="e">
        <f t="shared" si="0"/>
        <v>#REF!</v>
      </c>
      <c r="H25" s="265" t="e">
        <f>Cons!#REF!</f>
        <v>#REF!</v>
      </c>
      <c r="I25" s="265" t="e">
        <f t="shared" si="1"/>
        <v>#REF!</v>
      </c>
      <c r="J25" s="265" t="e">
        <f>Cons!#REF!</f>
        <v>#REF!</v>
      </c>
      <c r="K25" s="265" t="e">
        <f t="shared" si="2"/>
        <v>#REF!</v>
      </c>
      <c r="L25" s="265" t="e">
        <f>Cons!#REF!</f>
        <v>#REF!</v>
      </c>
      <c r="M25" s="265">
        <f>Cons!K924</f>
        <v>379.70896106468712</v>
      </c>
      <c r="N25" s="263">
        <f>Cons!B1022</f>
        <v>-433.96874999999994</v>
      </c>
      <c r="O25" s="271">
        <f>Cons!M1022</f>
        <v>1319.9787397030161</v>
      </c>
      <c r="P25" s="270">
        <f t="shared" si="3"/>
        <v>-1319.9787397030161</v>
      </c>
      <c r="R25" s="263">
        <f>ULS!J537</f>
        <v>10.024325153409833</v>
      </c>
      <c r="S25" s="265" t="str">
        <f>ULS!K537</f>
        <v>-</v>
      </c>
      <c r="T25" s="265">
        <f>ULS!$H$511</f>
        <v>21</v>
      </c>
      <c r="U25" s="270">
        <f>ULS!$H$512</f>
        <v>30</v>
      </c>
      <c r="V25" s="263" t="e">
        <f>MIN(ULS!#REF!,ULS!#REF!)</f>
        <v>#REF!</v>
      </c>
      <c r="W25" s="266" t="e">
        <f>MAX(ULS!#REF!,ULS!#REF!)</f>
        <v>#REF!</v>
      </c>
      <c r="X25" s="263" t="e">
        <f>-ULS!#REF!</f>
        <v>#REF!</v>
      </c>
      <c r="Y25" s="263" t="e">
        <f>ULS!#REF!</f>
        <v>#REF!</v>
      </c>
      <c r="Z25" s="270">
        <f>ULS!B1261</f>
        <v>83281.944999999992</v>
      </c>
      <c r="AA25" s="270">
        <f>ULS!C1261</f>
        <v>130042.64171156453</v>
      </c>
      <c r="AB25" s="263">
        <f>ULS!K1437</f>
        <v>-1162.036640198851</v>
      </c>
      <c r="AC25" s="263">
        <f>ULS!L1437</f>
        <v>4987.9984783153504</v>
      </c>
      <c r="AD25" s="263">
        <f t="shared" si="4"/>
        <v>-4987.9984783153504</v>
      </c>
      <c r="AF25" s="265">
        <f>MIN(SLS!F48,SLS!G48)</f>
        <v>-224.0654681697705</v>
      </c>
      <c r="AG25" s="265">
        <f>MAX(SLS!F48,SLS!G48)</f>
        <v>236.29116411204635</v>
      </c>
      <c r="AH25" s="265">
        <f>SLS!I48</f>
        <v>360.77141099120502</v>
      </c>
      <c r="AI25" s="266">
        <f t="shared" si="5"/>
        <v>-360.77141099120502</v>
      </c>
      <c r="AJ25" s="265">
        <f>-SLS!L171</f>
        <v>224.0654681697705</v>
      </c>
      <c r="AK25" s="265">
        <f>SLS!K171</f>
        <v>379.75937999074216</v>
      </c>
      <c r="AM25" s="265">
        <f>MAX(FLS!F72,FLS!G72)</f>
        <v>11.966237182958924</v>
      </c>
      <c r="AN25" s="265">
        <f>FLS!$M$36</f>
        <v>44.785427170200244</v>
      </c>
      <c r="AO25" s="265">
        <f>FLS!K160</f>
        <v>-593.28139205291961</v>
      </c>
      <c r="AP25" s="265">
        <f>FLS!B160</f>
        <v>1319.9787397030161</v>
      </c>
      <c r="AQ25" s="265">
        <f t="shared" si="6"/>
        <v>-1319.9787397030161</v>
      </c>
      <c r="AS25" s="265"/>
      <c r="AT25" s="265"/>
      <c r="AU25" s="265"/>
      <c r="AV25" s="265"/>
    </row>
    <row r="26" spans="1:48" ht="15" customHeight="1">
      <c r="A26" s="263" t="str">
        <f>input!B24</f>
        <v>111j</v>
      </c>
      <c r="B26" s="263">
        <f>input!C24</f>
        <v>46.9</v>
      </c>
      <c r="C26" s="265">
        <f>ABS(Cons!K182)</f>
        <v>7.4547120043034294</v>
      </c>
      <c r="D26" s="263">
        <f>Cons!L182</f>
        <v>228</v>
      </c>
      <c r="E26" s="265" t="e">
        <f>Cons!#REF!</f>
        <v>#REF!</v>
      </c>
      <c r="F26" s="265" t="e">
        <f>Cons!#REF!</f>
        <v>#REF!</v>
      </c>
      <c r="G26" s="265" t="e">
        <f t="shared" si="0"/>
        <v>#REF!</v>
      </c>
      <c r="H26" s="265" t="e">
        <f>Cons!#REF!</f>
        <v>#REF!</v>
      </c>
      <c r="I26" s="265" t="e">
        <f t="shared" si="1"/>
        <v>#REF!</v>
      </c>
      <c r="J26" s="265" t="e">
        <f>Cons!#REF!</f>
        <v>#REF!</v>
      </c>
      <c r="K26" s="265" t="e">
        <f t="shared" si="2"/>
        <v>#REF!</v>
      </c>
      <c r="L26" s="265" t="e">
        <f>Cons!#REF!</f>
        <v>#REF!</v>
      </c>
      <c r="M26" s="265">
        <f>Cons!K925</f>
        <v>379.70896106468712</v>
      </c>
      <c r="N26" s="263">
        <f>Cons!B1023</f>
        <v>-615.29999999999995</v>
      </c>
      <c r="O26" s="271">
        <f>Cons!M1023</f>
        <v>1319.9787397030161</v>
      </c>
      <c r="P26" s="270">
        <f t="shared" si="3"/>
        <v>-1319.9787397030161</v>
      </c>
      <c r="R26" s="263">
        <f>ULS!J538</f>
        <v>8.9704135396652305</v>
      </c>
      <c r="S26" s="265" t="str">
        <f>ULS!K538</f>
        <v>-</v>
      </c>
      <c r="T26" s="265">
        <f>ULS!$H$511</f>
        <v>21</v>
      </c>
      <c r="U26" s="270">
        <f>ULS!$H$512</f>
        <v>30</v>
      </c>
      <c r="V26" s="263" t="e">
        <f>MIN(ULS!#REF!,ULS!#REF!)</f>
        <v>#REF!</v>
      </c>
      <c r="W26" s="266" t="e">
        <f>MAX(ULS!#REF!,ULS!#REF!)</f>
        <v>#REF!</v>
      </c>
      <c r="X26" s="263" t="e">
        <f>-ULS!#REF!</f>
        <v>#REF!</v>
      </c>
      <c r="Y26" s="263" t="e">
        <f>ULS!#REF!</f>
        <v>#REF!</v>
      </c>
      <c r="Z26" s="270">
        <f>ULS!B1262</f>
        <v>73354.997499999998</v>
      </c>
      <c r="AA26" s="270">
        <f>ULS!C1262</f>
        <v>130042.64171156453</v>
      </c>
      <c r="AB26" s="263">
        <f>ULS!K1438</f>
        <v>-1482.5058428915165</v>
      </c>
      <c r="AC26" s="263">
        <f>ULS!L1438</f>
        <v>4987.9984783153504</v>
      </c>
      <c r="AD26" s="263">
        <f t="shared" si="4"/>
        <v>-4987.9984783153504</v>
      </c>
      <c r="AF26" s="265">
        <f>MIN(SLS!F49,SLS!G49)</f>
        <v>-194.78254485594192</v>
      </c>
      <c r="AG26" s="265">
        <f>MAX(SLS!F49,SLS!G49)</f>
        <v>207.5823304811347</v>
      </c>
      <c r="AH26" s="265">
        <f>SLS!I49</f>
        <v>360.77141099120502</v>
      </c>
      <c r="AI26" s="266">
        <f t="shared" si="5"/>
        <v>-360.77141099120502</v>
      </c>
      <c r="AJ26" s="265">
        <f>-SLS!L172</f>
        <v>194.78254485594192</v>
      </c>
      <c r="AK26" s="265">
        <f>SLS!K172</f>
        <v>379.75937999074216</v>
      </c>
      <c r="AM26" s="265">
        <f>MAX(FLS!F73,FLS!G73)</f>
        <v>11.72915115000208</v>
      </c>
      <c r="AN26" s="265">
        <f>FLS!$M$36</f>
        <v>44.785427170200244</v>
      </c>
      <c r="AO26" s="265">
        <f>FLS!K161</f>
        <v>-817.76992014320001</v>
      </c>
      <c r="AP26" s="265">
        <f>FLS!B161</f>
        <v>1319.9787397030161</v>
      </c>
      <c r="AQ26" s="265">
        <f t="shared" si="6"/>
        <v>-1319.9787397030161</v>
      </c>
      <c r="AS26" s="265"/>
      <c r="AT26" s="265"/>
      <c r="AU26" s="265"/>
      <c r="AV26" s="265"/>
    </row>
    <row r="27" spans="1:48" ht="15" customHeight="1">
      <c r="A27" s="263" t="str">
        <f>input!B25</f>
        <v>112i</v>
      </c>
      <c r="B27" s="263">
        <f>input!C25</f>
        <v>46.9</v>
      </c>
      <c r="C27" s="265">
        <f>ABS(Cons!K183)</f>
        <v>12.24455320734682</v>
      </c>
      <c r="D27" s="263">
        <f>Cons!L183</f>
        <v>228</v>
      </c>
      <c r="E27" s="265" t="e">
        <f>Cons!#REF!</f>
        <v>#REF!</v>
      </c>
      <c r="F27" s="265" t="e">
        <f>Cons!#REF!</f>
        <v>#REF!</v>
      </c>
      <c r="G27" s="265" t="e">
        <f t="shared" si="0"/>
        <v>#REF!</v>
      </c>
      <c r="H27" s="265" t="e">
        <f>Cons!#REF!</f>
        <v>#REF!</v>
      </c>
      <c r="I27" s="265" t="e">
        <f t="shared" si="1"/>
        <v>#REF!</v>
      </c>
      <c r="J27" s="265" t="e">
        <f>Cons!#REF!</f>
        <v>#REF!</v>
      </c>
      <c r="K27" s="265" t="e">
        <f t="shared" si="2"/>
        <v>#REF!</v>
      </c>
      <c r="L27" s="265" t="e">
        <f>Cons!#REF!</f>
        <v>#REF!</v>
      </c>
      <c r="M27" s="265">
        <f>Cons!K926</f>
        <v>379.62516376960559</v>
      </c>
      <c r="N27" s="263">
        <f>Cons!B1024</f>
        <v>-615.32500000000005</v>
      </c>
      <c r="O27" s="271">
        <f>Cons!M1024</f>
        <v>1319.9787397030161</v>
      </c>
      <c r="P27" s="270">
        <f t="shared" si="3"/>
        <v>-1319.9787397030161</v>
      </c>
      <c r="R27" s="263">
        <f>ULS!J539</f>
        <v>9.5807976745566137</v>
      </c>
      <c r="S27" s="265" t="str">
        <f>ULS!K539</f>
        <v>-</v>
      </c>
      <c r="T27" s="265">
        <f>ULS!$H$511</f>
        <v>21</v>
      </c>
      <c r="U27" s="270">
        <f>ULS!$H$512</f>
        <v>30</v>
      </c>
      <c r="V27" s="263" t="e">
        <f>MIN(ULS!#REF!,ULS!#REF!)</f>
        <v>#REF!</v>
      </c>
      <c r="W27" s="266" t="e">
        <f>MAX(ULS!#REF!,ULS!#REF!)</f>
        <v>#REF!</v>
      </c>
      <c r="X27" s="263" t="e">
        <f>-ULS!#REF!</f>
        <v>#REF!</v>
      </c>
      <c r="Y27" s="263" t="e">
        <f>ULS!#REF!</f>
        <v>#REF!</v>
      </c>
      <c r="Z27" s="270">
        <f>ULS!B1263</f>
        <v>73355.107499999998</v>
      </c>
      <c r="AA27" s="270">
        <f>ULS!C1263</f>
        <v>113143.94768355771</v>
      </c>
      <c r="AB27" s="263">
        <f>ULS!K1439</f>
        <v>-1482.5411152691652</v>
      </c>
      <c r="AC27" s="263">
        <f>ULS!L1439</f>
        <v>4987.9984783153504</v>
      </c>
      <c r="AD27" s="263">
        <f t="shared" si="4"/>
        <v>-4987.9984783153504</v>
      </c>
      <c r="AF27" s="265">
        <f>MIN(SLS!F50,SLS!G50)</f>
        <v>-233.60690183278581</v>
      </c>
      <c r="AG27" s="265">
        <f>MAX(SLS!F50,SLS!G50)</f>
        <v>247.95829106992863</v>
      </c>
      <c r="AH27" s="265">
        <f>SLS!I50</f>
        <v>360.71422305972874</v>
      </c>
      <c r="AI27" s="266">
        <f t="shared" si="5"/>
        <v>-360.71422305972874</v>
      </c>
      <c r="AJ27" s="265">
        <f>-SLS!L173</f>
        <v>233.60690183278581</v>
      </c>
      <c r="AK27" s="265">
        <f>SLS!K173</f>
        <v>379.69918216813556</v>
      </c>
      <c r="AM27" s="265">
        <f>MAX(FLS!F74,FLS!G74)</f>
        <v>13.73177794784012</v>
      </c>
      <c r="AN27" s="265">
        <f>FLS!$M$36</f>
        <v>44.785427170200244</v>
      </c>
      <c r="AO27" s="265">
        <f>FLS!K162</f>
        <v>-817.78755633202445</v>
      </c>
      <c r="AP27" s="265">
        <f>FLS!B162</f>
        <v>1319.9787397030161</v>
      </c>
      <c r="AQ27" s="265">
        <f t="shared" si="6"/>
        <v>-1319.9787397030161</v>
      </c>
      <c r="AS27" s="265"/>
      <c r="AT27" s="265"/>
      <c r="AU27" s="265"/>
      <c r="AV27" s="265"/>
    </row>
    <row r="28" spans="1:48" ht="15" customHeight="1">
      <c r="A28" s="263" t="str">
        <f>input!B26</f>
        <v>112j</v>
      </c>
      <c r="B28" s="263">
        <f>input!C26</f>
        <v>51.9</v>
      </c>
      <c r="C28" s="265">
        <f>ABS(Cons!K184)</f>
        <v>11.693129484663265</v>
      </c>
      <c r="D28" s="263">
        <f>Cons!L184</f>
        <v>228</v>
      </c>
      <c r="E28" s="265" t="e">
        <f>Cons!#REF!</f>
        <v>#REF!</v>
      </c>
      <c r="F28" s="265" t="e">
        <f>Cons!#REF!</f>
        <v>#REF!</v>
      </c>
      <c r="G28" s="265" t="e">
        <f t="shared" si="0"/>
        <v>#REF!</v>
      </c>
      <c r="H28" s="265" t="e">
        <f>Cons!#REF!</f>
        <v>#REF!</v>
      </c>
      <c r="I28" s="265" t="e">
        <f t="shared" si="1"/>
        <v>#REF!</v>
      </c>
      <c r="J28" s="265" t="e">
        <f>Cons!#REF!</f>
        <v>#REF!</v>
      </c>
      <c r="K28" s="265" t="e">
        <f t="shared" si="2"/>
        <v>#REF!</v>
      </c>
      <c r="L28" s="265" t="e">
        <f>Cons!#REF!</f>
        <v>#REF!</v>
      </c>
      <c r="M28" s="265">
        <f>Cons!K927</f>
        <v>379.62516376960559</v>
      </c>
      <c r="N28" s="263">
        <f>Cons!B1025</f>
        <v>-787.02499999999998</v>
      </c>
      <c r="O28" s="271">
        <f>Cons!M1025</f>
        <v>1319.9787397030161</v>
      </c>
      <c r="P28" s="270">
        <f t="shared" si="3"/>
        <v>-1319.9787397030161</v>
      </c>
      <c r="R28" s="263">
        <f>ULS!J540</f>
        <v>8.1107924853884761</v>
      </c>
      <c r="S28" s="265" t="str">
        <f>ULS!K540</f>
        <v>-</v>
      </c>
      <c r="T28" s="265">
        <f>ULS!$H$511</f>
        <v>21</v>
      </c>
      <c r="U28" s="270">
        <f>ULS!$H$512</f>
        <v>30</v>
      </c>
      <c r="V28" s="263" t="e">
        <f>MIN(ULS!#REF!,ULS!#REF!)</f>
        <v>#REF!</v>
      </c>
      <c r="W28" s="266" t="e">
        <f>MAX(ULS!#REF!,ULS!#REF!)</f>
        <v>#REF!</v>
      </c>
      <c r="X28" s="263" t="e">
        <f>-ULS!#REF!</f>
        <v>#REF!</v>
      </c>
      <c r="Y28" s="263" t="e">
        <f>ULS!#REF!</f>
        <v>#REF!</v>
      </c>
      <c r="Z28" s="270">
        <f>ULS!B1264</f>
        <v>60230.861000000004</v>
      </c>
      <c r="AA28" s="270">
        <f>ULS!C1264</f>
        <v>113143.94768355771</v>
      </c>
      <c r="AB28" s="263">
        <f>ULS!K1440</f>
        <v>-1806.5826539809907</v>
      </c>
      <c r="AC28" s="263">
        <f>ULS!L1440</f>
        <v>4987.9984783153504</v>
      </c>
      <c r="AD28" s="263">
        <f t="shared" si="4"/>
        <v>-4987.9984783153504</v>
      </c>
      <c r="AF28" s="265">
        <f>MIN(SLS!F51,SLS!G51)</f>
        <v>-186.54818767280241</v>
      </c>
      <c r="AG28" s="265">
        <f>MAX(SLS!F51,SLS!G51)</f>
        <v>202.42636709133177</v>
      </c>
      <c r="AH28" s="265">
        <f>SLS!I51</f>
        <v>360.71422305972874</v>
      </c>
      <c r="AI28" s="266">
        <f t="shared" si="5"/>
        <v>-360.71422305972874</v>
      </c>
      <c r="AJ28" s="265">
        <f>-SLS!L174</f>
        <v>186.54818767280241</v>
      </c>
      <c r="AK28" s="265">
        <f>SLS!K174</f>
        <v>379.69918216813556</v>
      </c>
      <c r="AM28" s="265">
        <f>MAX(FLS!F75,FLS!G75)</f>
        <v>12.404552801871422</v>
      </c>
      <c r="AN28" s="265">
        <f>FLS!$M$36</f>
        <v>44.785427170200244</v>
      </c>
      <c r="AO28" s="265">
        <f>FLS!K163</f>
        <v>-1038.9781171121413</v>
      </c>
      <c r="AP28" s="265">
        <f>FLS!B163</f>
        <v>1319.9787397030161</v>
      </c>
      <c r="AQ28" s="265">
        <f t="shared" si="6"/>
        <v>-1319.9787397030161</v>
      </c>
      <c r="AS28" s="265"/>
      <c r="AT28" s="265"/>
      <c r="AU28" s="265"/>
      <c r="AV28" s="265"/>
    </row>
    <row r="29" spans="1:48" ht="15" customHeight="1">
      <c r="A29" s="263" t="str">
        <f>input!B27</f>
        <v>113i</v>
      </c>
      <c r="B29" s="263">
        <f>input!C27</f>
        <v>51.9</v>
      </c>
      <c r="C29" s="265">
        <f>ABS(Cons!K185)</f>
        <v>14.430050067984372</v>
      </c>
      <c r="D29" s="263">
        <f>Cons!L185</f>
        <v>228</v>
      </c>
      <c r="E29" s="265" t="e">
        <f>Cons!#REF!</f>
        <v>#REF!</v>
      </c>
      <c r="F29" s="265" t="e">
        <f>Cons!#REF!</f>
        <v>#REF!</v>
      </c>
      <c r="G29" s="265" t="e">
        <f t="shared" si="0"/>
        <v>#REF!</v>
      </c>
      <c r="H29" s="265" t="e">
        <f>Cons!#REF!</f>
        <v>#REF!</v>
      </c>
      <c r="I29" s="265" t="e">
        <f t="shared" si="1"/>
        <v>#REF!</v>
      </c>
      <c r="J29" s="265" t="e">
        <f>Cons!#REF!</f>
        <v>#REF!</v>
      </c>
      <c r="K29" s="265" t="e">
        <f t="shared" si="2"/>
        <v>#REF!</v>
      </c>
      <c r="L29" s="265" t="e">
        <f>Cons!#REF!</f>
        <v>#REF!</v>
      </c>
      <c r="M29" s="265">
        <f>Cons!K928</f>
        <v>379.55057740545942</v>
      </c>
      <c r="N29" s="263">
        <f>Cons!B1026</f>
        <v>-847.51250000000005</v>
      </c>
      <c r="O29" s="271">
        <f>Cons!M1026</f>
        <v>1319.9787397030161</v>
      </c>
      <c r="P29" s="270">
        <f t="shared" si="3"/>
        <v>-1319.9787397030161</v>
      </c>
      <c r="R29" s="263">
        <f>ULS!J541</f>
        <v>8.2283857842029633</v>
      </c>
      <c r="S29" s="265" t="str">
        <f>ULS!K541</f>
        <v>-</v>
      </c>
      <c r="T29" s="265">
        <f>ULS!$H$511</f>
        <v>21</v>
      </c>
      <c r="U29" s="270">
        <f>ULS!$H$512</f>
        <v>30</v>
      </c>
      <c r="V29" s="263" t="e">
        <f>MIN(ULS!#REF!,ULS!#REF!)</f>
        <v>#REF!</v>
      </c>
      <c r="W29" s="266" t="e">
        <f>MAX(ULS!#REF!,ULS!#REF!)</f>
        <v>#REF!</v>
      </c>
      <c r="X29" s="263" t="e">
        <f>-ULS!#REF!</f>
        <v>#REF!</v>
      </c>
      <c r="Y29" s="263" t="e">
        <f>ULS!#REF!</f>
        <v>#REF!</v>
      </c>
      <c r="Z29" s="270">
        <f>ULS!B1265</f>
        <v>60231.040999999997</v>
      </c>
      <c r="AA29" s="270">
        <f>ULS!C1265</f>
        <v>113115.6492133463</v>
      </c>
      <c r="AB29" s="263">
        <f>ULS!K1441</f>
        <v>-1920.758836539067</v>
      </c>
      <c r="AC29" s="263">
        <f>ULS!L1441</f>
        <v>4987.9984783153504</v>
      </c>
      <c r="AD29" s="263">
        <f t="shared" si="4"/>
        <v>-4987.9984783153504</v>
      </c>
      <c r="AF29" s="265">
        <f>MIN(SLS!F52,SLS!G52)</f>
        <v>-204.6790217876638</v>
      </c>
      <c r="AG29" s="265">
        <f>MAX(SLS!F52,SLS!G52)</f>
        <v>204.98559693046343</v>
      </c>
      <c r="AH29" s="265">
        <f>SLS!I52</f>
        <v>360.71524769644878</v>
      </c>
      <c r="AI29" s="266">
        <f t="shared" si="5"/>
        <v>-360.71524769644878</v>
      </c>
      <c r="AJ29" s="265">
        <f>-SLS!L175</f>
        <v>204.6790217876638</v>
      </c>
      <c r="AK29" s="265">
        <f>SLS!K175</f>
        <v>379.70026073310402</v>
      </c>
      <c r="AM29" s="265">
        <f>MAX(FLS!F76,FLS!G76)</f>
        <v>12.405990550862972</v>
      </c>
      <c r="AN29" s="265">
        <f>FLS!$M$36</f>
        <v>44.785427170200244</v>
      </c>
      <c r="AO29" s="265">
        <f>FLS!K164</f>
        <v>-1055.5788097069974</v>
      </c>
      <c r="AP29" s="265">
        <f>FLS!B164</f>
        <v>1319.9787397030161</v>
      </c>
      <c r="AQ29" s="265">
        <f t="shared" si="6"/>
        <v>-1319.9787397030161</v>
      </c>
      <c r="AS29" s="265"/>
      <c r="AT29" s="265"/>
      <c r="AU29" s="265"/>
      <c r="AV29" s="265"/>
    </row>
    <row r="30" spans="1:48" ht="15" customHeight="1">
      <c r="A30" s="263" t="str">
        <f>input!B28</f>
        <v>113j</v>
      </c>
      <c r="B30" s="263">
        <f>input!C28</f>
        <v>56.9</v>
      </c>
      <c r="C30" s="265">
        <f>ABS(Cons!K186)</f>
        <v>13.970427256595917</v>
      </c>
      <c r="D30" s="263">
        <f>Cons!L186</f>
        <v>228</v>
      </c>
      <c r="E30" s="265" t="e">
        <f>Cons!#REF!</f>
        <v>#REF!</v>
      </c>
      <c r="F30" s="265" t="e">
        <f>Cons!#REF!</f>
        <v>#REF!</v>
      </c>
      <c r="G30" s="265" t="e">
        <f t="shared" si="0"/>
        <v>#REF!</v>
      </c>
      <c r="H30" s="265" t="e">
        <f>Cons!#REF!</f>
        <v>#REF!</v>
      </c>
      <c r="I30" s="265" t="e">
        <f t="shared" si="1"/>
        <v>#REF!</v>
      </c>
      <c r="J30" s="265" t="e">
        <f>Cons!#REF!</f>
        <v>#REF!</v>
      </c>
      <c r="K30" s="265" t="e">
        <f t="shared" si="2"/>
        <v>#REF!</v>
      </c>
      <c r="L30" s="265" t="e">
        <f>Cons!#REF!</f>
        <v>#REF!</v>
      </c>
      <c r="M30" s="265">
        <f>Cons!K929</f>
        <v>379.55057740545942</v>
      </c>
      <c r="N30" s="263">
        <f>Cons!B1027</f>
        <v>-1017.10625</v>
      </c>
      <c r="O30" s="271">
        <f>Cons!M1027</f>
        <v>1319.9787397030161</v>
      </c>
      <c r="P30" s="270">
        <f t="shared" si="3"/>
        <v>-1319.9787397030161</v>
      </c>
      <c r="R30" s="263">
        <f>ULS!J542</f>
        <v>6.1334814112687281</v>
      </c>
      <c r="S30" s="265" t="str">
        <f>ULS!K542</f>
        <v>-</v>
      </c>
      <c r="T30" s="265">
        <f>ULS!$H$511</f>
        <v>21</v>
      </c>
      <c r="U30" s="270">
        <f>ULS!$H$512</f>
        <v>30</v>
      </c>
      <c r="V30" s="263" t="e">
        <f>MIN(ULS!#REF!,ULS!#REF!)</f>
        <v>#REF!</v>
      </c>
      <c r="W30" s="266" t="e">
        <f>MAX(ULS!#REF!,ULS!#REF!)</f>
        <v>#REF!</v>
      </c>
      <c r="X30" s="263" t="e">
        <f>-ULS!#REF!</f>
        <v>#REF!</v>
      </c>
      <c r="Y30" s="263" t="e">
        <f>ULS!#REF!</f>
        <v>#REF!</v>
      </c>
      <c r="Z30" s="270">
        <f>ULS!B1266</f>
        <v>42321.550999999999</v>
      </c>
      <c r="AA30" s="270">
        <f>ULS!C1266</f>
        <v>113115.6492133463</v>
      </c>
      <c r="AB30" s="263">
        <f>ULS!K1442</f>
        <v>-2234.5691182227474</v>
      </c>
      <c r="AC30" s="263">
        <f>ULS!L1442</f>
        <v>4987.9984783153504</v>
      </c>
      <c r="AD30" s="263">
        <f t="shared" si="4"/>
        <v>-4987.9984783153504</v>
      </c>
      <c r="AF30" s="265">
        <f>MIN(SLS!F53,SLS!G53)</f>
        <v>-135.29218933974741</v>
      </c>
      <c r="AG30" s="265">
        <f>MAX(SLS!F53,SLS!G53)</f>
        <v>142.21135093161624</v>
      </c>
      <c r="AH30" s="265">
        <f>SLS!I53</f>
        <v>360.71524769644878</v>
      </c>
      <c r="AI30" s="266">
        <f t="shared" si="5"/>
        <v>-360.71524769644878</v>
      </c>
      <c r="AJ30" s="265">
        <f>-SLS!L176</f>
        <v>135.29218933974741</v>
      </c>
      <c r="AK30" s="265">
        <f>SLS!K176</f>
        <v>379.70026073310402</v>
      </c>
      <c r="AM30" s="265">
        <f>MAX(FLS!F77,FLS!G77)</f>
        <v>11.470085710055777</v>
      </c>
      <c r="AN30" s="265">
        <f>FLS!$M$36</f>
        <v>44.785427170200244</v>
      </c>
      <c r="AO30" s="265">
        <f>FLS!K165</f>
        <v>-1270.0298269006462</v>
      </c>
      <c r="AP30" s="265">
        <f>FLS!B165</f>
        <v>1319.9787397030161</v>
      </c>
      <c r="AQ30" s="265">
        <f t="shared" si="6"/>
        <v>-1319.9787397030161</v>
      </c>
      <c r="AS30" s="265"/>
      <c r="AT30" s="265"/>
      <c r="AU30" s="265"/>
      <c r="AV30" s="265"/>
    </row>
    <row r="31" spans="1:48" ht="15" customHeight="1">
      <c r="A31" s="263" t="str">
        <f>input!B29</f>
        <v>114i</v>
      </c>
      <c r="B31" s="263">
        <f>input!C29</f>
        <v>56.9</v>
      </c>
      <c r="C31" s="265">
        <f>ABS(Cons!K187)</f>
        <v>13.970427256595917</v>
      </c>
      <c r="D31" s="263">
        <f>Cons!L187</f>
        <v>228</v>
      </c>
      <c r="E31" s="265" t="e">
        <f>Cons!#REF!</f>
        <v>#REF!</v>
      </c>
      <c r="F31" s="265" t="e">
        <f>Cons!#REF!</f>
        <v>#REF!</v>
      </c>
      <c r="G31" s="265" t="e">
        <f t="shared" si="0"/>
        <v>#REF!</v>
      </c>
      <c r="H31" s="265" t="e">
        <f>Cons!#REF!</f>
        <v>#REF!</v>
      </c>
      <c r="I31" s="265" t="e">
        <f t="shared" si="1"/>
        <v>#REF!</v>
      </c>
      <c r="J31" s="265" t="e">
        <f>Cons!#REF!</f>
        <v>#REF!</v>
      </c>
      <c r="K31" s="265" t="e">
        <f t="shared" si="2"/>
        <v>#REF!</v>
      </c>
      <c r="L31" s="265" t="e">
        <f>Cons!#REF!</f>
        <v>#REF!</v>
      </c>
      <c r="M31" s="265">
        <f>Cons!K930</f>
        <v>379.55057740545942</v>
      </c>
      <c r="N31" s="263">
        <f>Cons!B1028</f>
        <v>-1017.0812500000001</v>
      </c>
      <c r="O31" s="271">
        <f>Cons!M1028</f>
        <v>1319.9787397030161</v>
      </c>
      <c r="P31" s="270">
        <f t="shared" si="3"/>
        <v>-1319.9787397030161</v>
      </c>
      <c r="R31" s="263">
        <f>ULS!J543</f>
        <v>6.1334838510545096</v>
      </c>
      <c r="S31" s="265" t="str">
        <f>ULS!K543</f>
        <v>-</v>
      </c>
      <c r="T31" s="265">
        <f>ULS!$H$511</f>
        <v>21</v>
      </c>
      <c r="U31" s="270">
        <f>ULS!$H$512</f>
        <v>30</v>
      </c>
      <c r="V31" s="263" t="e">
        <f>MIN(ULS!#REF!,ULS!#REF!)</f>
        <v>#REF!</v>
      </c>
      <c r="W31" s="266" t="e">
        <f>MAX(ULS!#REF!,ULS!#REF!)</f>
        <v>#REF!</v>
      </c>
      <c r="X31" s="263" t="e">
        <f>-ULS!#REF!</f>
        <v>#REF!</v>
      </c>
      <c r="Y31" s="263" t="e">
        <f>ULS!#REF!</f>
        <v>#REF!</v>
      </c>
      <c r="Z31" s="270">
        <f>ULS!B1267</f>
        <v>42321.611000000004</v>
      </c>
      <c r="AA31" s="270">
        <f>ULS!C1267</f>
        <v>113115.6492133463</v>
      </c>
      <c r="AB31" s="263">
        <f>ULS!K1443</f>
        <v>-2234.5502223061494</v>
      </c>
      <c r="AC31" s="263">
        <f>ULS!L1443</f>
        <v>4987.9984783153504</v>
      </c>
      <c r="AD31" s="263">
        <f t="shared" si="4"/>
        <v>-4987.9984783153504</v>
      </c>
      <c r="AF31" s="265">
        <f>MIN(SLS!F54,SLS!G54)</f>
        <v>-135.2925324594566</v>
      </c>
      <c r="AG31" s="265">
        <f>MAX(SLS!F54,SLS!G54)</f>
        <v>142.21159473527078</v>
      </c>
      <c r="AH31" s="265">
        <f>SLS!I54</f>
        <v>360.71524769644878</v>
      </c>
      <c r="AI31" s="266">
        <f t="shared" si="5"/>
        <v>-360.71524769644878</v>
      </c>
      <c r="AJ31" s="265">
        <f>-SLS!L177</f>
        <v>135.2925324594566</v>
      </c>
      <c r="AK31" s="265">
        <f>SLS!K177</f>
        <v>379.70026073310402</v>
      </c>
      <c r="AM31" s="265">
        <f>MAX(FLS!F78,FLS!G78)</f>
        <v>11.470026539236986</v>
      </c>
      <c r="AN31" s="265">
        <f>FLS!$M$36</f>
        <v>44.785427170200244</v>
      </c>
      <c r="AO31" s="265">
        <f>FLS!K166</f>
        <v>-1270.0147101673683</v>
      </c>
      <c r="AP31" s="265">
        <f>FLS!B166</f>
        <v>1319.9787397030161</v>
      </c>
      <c r="AQ31" s="265">
        <f t="shared" si="6"/>
        <v>-1319.9787397030161</v>
      </c>
      <c r="AS31" s="265"/>
      <c r="AT31" s="265"/>
      <c r="AU31" s="265"/>
      <c r="AV31" s="265"/>
    </row>
    <row r="32" spans="1:48" ht="15" customHeight="1">
      <c r="A32" s="263" t="str">
        <f>input!B30</f>
        <v>114j</v>
      </c>
      <c r="B32" s="263">
        <f>input!C30</f>
        <v>61.9</v>
      </c>
      <c r="C32" s="265">
        <f>ABS(Cons!K188)</f>
        <v>13.970427256595917</v>
      </c>
      <c r="D32" s="263">
        <f>Cons!L188</f>
        <v>228</v>
      </c>
      <c r="E32" s="265" t="e">
        <f>Cons!#REF!</f>
        <v>#REF!</v>
      </c>
      <c r="F32" s="265" t="e">
        <f>Cons!#REF!</f>
        <v>#REF!</v>
      </c>
      <c r="G32" s="265" t="e">
        <f t="shared" si="0"/>
        <v>#REF!</v>
      </c>
      <c r="H32" s="265" t="e">
        <f>Cons!#REF!</f>
        <v>#REF!</v>
      </c>
      <c r="I32" s="265" t="e">
        <f t="shared" si="1"/>
        <v>#REF!</v>
      </c>
      <c r="J32" s="265" t="e">
        <f>Cons!#REF!</f>
        <v>#REF!</v>
      </c>
      <c r="K32" s="265" t="e">
        <f t="shared" si="2"/>
        <v>#REF!</v>
      </c>
      <c r="L32" s="265" t="e">
        <f>Cons!#REF!</f>
        <v>#REF!</v>
      </c>
      <c r="M32" s="265">
        <f>Cons!K931</f>
        <v>379.55057740545942</v>
      </c>
      <c r="N32" s="263">
        <f>Cons!B1029</f>
        <v>-1186.6812500000001</v>
      </c>
      <c r="O32" s="271">
        <f>Cons!M1029</f>
        <v>1319.9787397030161</v>
      </c>
      <c r="P32" s="270">
        <f t="shared" si="3"/>
        <v>-1319.9787397030161</v>
      </c>
      <c r="R32" s="263">
        <f>ULS!J544</f>
        <v>3.7554544151038192</v>
      </c>
      <c r="S32" s="265" t="str">
        <f>ULS!K544</f>
        <v>-</v>
      </c>
      <c r="T32" s="265">
        <f>ULS!$H$511</f>
        <v>21</v>
      </c>
      <c r="U32" s="270">
        <f>ULS!$H$512</f>
        <v>30</v>
      </c>
      <c r="V32" s="263" t="e">
        <f>MIN(ULS!#REF!,ULS!#REF!)</f>
        <v>#REF!</v>
      </c>
      <c r="W32" s="266" t="e">
        <f>MAX(ULS!#REF!,ULS!#REF!)</f>
        <v>#REF!</v>
      </c>
      <c r="X32" s="263" t="e">
        <f>-ULS!#REF!</f>
        <v>#REF!</v>
      </c>
      <c r="Y32" s="263" t="e">
        <f>ULS!#REF!</f>
        <v>#REF!</v>
      </c>
      <c r="Z32" s="270">
        <f>ULS!B1268</f>
        <v>21555.933000000001</v>
      </c>
      <c r="AA32" s="270">
        <f>ULS!C1268</f>
        <v>113115.6492133463</v>
      </c>
      <c r="AB32" s="263">
        <f>ULS!K1444</f>
        <v>-2560.6476367437908</v>
      </c>
      <c r="AC32" s="263">
        <f>ULS!L1444</f>
        <v>4987.9984783153504</v>
      </c>
      <c r="AD32" s="263">
        <f t="shared" si="4"/>
        <v>-4987.9984783153504</v>
      </c>
      <c r="AF32" s="265">
        <f>MIN(SLS!F55,SLS!G55)</f>
        <v>-53.621753229861916</v>
      </c>
      <c r="AG32" s="265">
        <f>MAX(SLS!F55,SLS!G55)</f>
        <v>69.172195706737554</v>
      </c>
      <c r="AH32" s="265">
        <f>SLS!I55</f>
        <v>360.71524769644878</v>
      </c>
      <c r="AI32" s="266">
        <f t="shared" si="5"/>
        <v>-360.71524769644878</v>
      </c>
      <c r="AJ32" s="265">
        <f>-SLS!L178</f>
        <v>53.621753229861916</v>
      </c>
      <c r="AK32" s="265">
        <f>SLS!K178</f>
        <v>379.70026073310402</v>
      </c>
      <c r="AM32" s="265">
        <f>MAX(FLS!F79,FLS!G79)</f>
        <v>9.7447829757663307</v>
      </c>
      <c r="AN32" s="265">
        <f>FLS!$M$36</f>
        <v>44.785427170200244</v>
      </c>
      <c r="AO32" s="265">
        <f>FLS!K167</f>
        <v>-1488.5976344570197</v>
      </c>
      <c r="AP32" s="265">
        <f>FLS!B167</f>
        <v>1319.9787397030161</v>
      </c>
      <c r="AQ32" s="265">
        <f t="shared" si="6"/>
        <v>-1319.9787397030161</v>
      </c>
      <c r="AS32" s="265"/>
      <c r="AT32" s="265"/>
      <c r="AU32" s="265"/>
      <c r="AV32" s="265"/>
    </row>
    <row r="33" spans="1:48" ht="15" customHeight="1">
      <c r="A33" s="263" t="str">
        <f>input!B31</f>
        <v>115i</v>
      </c>
      <c r="B33" s="263">
        <f>input!C31</f>
        <v>61.9</v>
      </c>
      <c r="C33" s="265">
        <f>ABS(Cons!K189)</f>
        <v>18.560515151039887</v>
      </c>
      <c r="D33" s="263">
        <f>Cons!L189</f>
        <v>228</v>
      </c>
      <c r="E33" s="265" t="e">
        <f>Cons!#REF!</f>
        <v>#REF!</v>
      </c>
      <c r="F33" s="265" t="e">
        <f>Cons!#REF!</f>
        <v>#REF!</v>
      </c>
      <c r="G33" s="265" t="e">
        <f t="shared" si="0"/>
        <v>#REF!</v>
      </c>
      <c r="H33" s="265" t="e">
        <f>Cons!#REF!</f>
        <v>#REF!</v>
      </c>
      <c r="I33" s="265" t="e">
        <f t="shared" si="1"/>
        <v>#REF!</v>
      </c>
      <c r="J33" s="265" t="e">
        <f>Cons!#REF!</f>
        <v>#REF!</v>
      </c>
      <c r="K33" s="265" t="e">
        <f t="shared" si="2"/>
        <v>#REF!</v>
      </c>
      <c r="L33" s="265" t="e">
        <f>Cons!#REF!</f>
        <v>#REF!</v>
      </c>
      <c r="M33" s="265">
        <f>Cons!K932</f>
        <v>379.4583249094602</v>
      </c>
      <c r="N33" s="263">
        <f>Cons!B1030</f>
        <v>-1248.8062499999999</v>
      </c>
      <c r="O33" s="271">
        <f>Cons!M1030</f>
        <v>1319.9787397030161</v>
      </c>
      <c r="P33" s="270">
        <f t="shared" si="3"/>
        <v>-1319.9787397030161</v>
      </c>
      <c r="R33" s="263">
        <f>ULS!J545</f>
        <v>4.2229916137169727</v>
      </c>
      <c r="S33" s="265" t="str">
        <f>ULS!K545</f>
        <v>-</v>
      </c>
      <c r="T33" s="265">
        <f>ULS!$H$511</f>
        <v>21</v>
      </c>
      <c r="U33" s="270">
        <f>ULS!$H$512</f>
        <v>30</v>
      </c>
      <c r="V33" s="263" t="e">
        <f>MIN(ULS!#REF!,ULS!#REF!)</f>
        <v>#REF!</v>
      </c>
      <c r="W33" s="266" t="e">
        <f>MAX(ULS!#REF!,ULS!#REF!)</f>
        <v>#REF!</v>
      </c>
      <c r="X33" s="263" t="e">
        <f>-ULS!#REF!</f>
        <v>#REF!</v>
      </c>
      <c r="Y33" s="263" t="e">
        <f>ULS!#REF!</f>
        <v>#REF!</v>
      </c>
      <c r="Z33" s="270">
        <f>ULS!B1269</f>
        <v>21555.845499999999</v>
      </c>
      <c r="AA33" s="270">
        <f>ULS!C1269</f>
        <v>83756.40301645358</v>
      </c>
      <c r="AB33" s="263">
        <f>ULS!K1445</f>
        <v>-2682.3852092875527</v>
      </c>
      <c r="AC33" s="263">
        <f>ULS!L1445</f>
        <v>4987.9984783153504</v>
      </c>
      <c r="AD33" s="263">
        <f t="shared" si="4"/>
        <v>-4987.9984783153504</v>
      </c>
      <c r="AF33" s="265">
        <f>MIN(SLS!F56,SLS!G56)</f>
        <v>-64.491585627609382</v>
      </c>
      <c r="AG33" s="265">
        <f>MAX(SLS!F56,SLS!G56)</f>
        <v>100.72185170403407</v>
      </c>
      <c r="AH33" s="265">
        <f>SLS!I56</f>
        <v>360.51410237124884</v>
      </c>
      <c r="AI33" s="266">
        <f t="shared" si="5"/>
        <v>-360.51410237124884</v>
      </c>
      <c r="AJ33" s="265">
        <f>-SLS!L179</f>
        <v>64.491585627609382</v>
      </c>
      <c r="AK33" s="265">
        <f>SLS!K179</f>
        <v>379.48852881184092</v>
      </c>
      <c r="AM33" s="265">
        <f>MAX(FLS!F80,FLS!G80)</f>
        <v>13.908465775164984</v>
      </c>
      <c r="AN33" s="265">
        <f>FLS!$M$36</f>
        <v>44.785427170200244</v>
      </c>
      <c r="AO33" s="265">
        <f>FLS!K168</f>
        <v>-1512.9053415681401</v>
      </c>
      <c r="AP33" s="265">
        <f>FLS!B168</f>
        <v>1319.9787397030161</v>
      </c>
      <c r="AQ33" s="265">
        <f t="shared" si="6"/>
        <v>-1319.9787397030161</v>
      </c>
      <c r="AS33" s="265"/>
      <c r="AT33" s="265"/>
      <c r="AU33" s="265"/>
      <c r="AV33" s="265"/>
    </row>
    <row r="34" spans="1:48" ht="15" customHeight="1">
      <c r="A34" s="263" t="str">
        <f>input!B32</f>
        <v>115j</v>
      </c>
      <c r="B34" s="263">
        <f>input!C32</f>
        <v>66.900000000000006</v>
      </c>
      <c r="C34" s="265">
        <f>ABS(Cons!K190)</f>
        <v>18.560515151039887</v>
      </c>
      <c r="D34" s="263">
        <f>Cons!L190</f>
        <v>228</v>
      </c>
      <c r="E34" s="265" t="e">
        <f>Cons!#REF!</f>
        <v>#REF!</v>
      </c>
      <c r="F34" s="265" t="e">
        <f>Cons!#REF!</f>
        <v>#REF!</v>
      </c>
      <c r="G34" s="265" t="e">
        <f t="shared" si="0"/>
        <v>#REF!</v>
      </c>
      <c r="H34" s="265" t="e">
        <f>Cons!#REF!</f>
        <v>#REF!</v>
      </c>
      <c r="I34" s="265" t="e">
        <f t="shared" si="1"/>
        <v>#REF!</v>
      </c>
      <c r="J34" s="265" t="e">
        <f>Cons!#REF!</f>
        <v>#REF!</v>
      </c>
      <c r="K34" s="265" t="e">
        <f t="shared" si="2"/>
        <v>#REF!</v>
      </c>
      <c r="L34" s="265" t="e">
        <f>Cons!#REF!</f>
        <v>#REF!</v>
      </c>
      <c r="M34" s="265">
        <f>Cons!K933</f>
        <v>379.4583249094602</v>
      </c>
      <c r="N34" s="263">
        <f>Cons!B1031</f>
        <v>-1406.1</v>
      </c>
      <c r="O34" s="271">
        <f>Cons!M1031</f>
        <v>1319.9787397030161</v>
      </c>
      <c r="P34" s="270">
        <f t="shared" si="3"/>
        <v>-1319.9787397030161</v>
      </c>
      <c r="R34" s="263" t="str">
        <f>ULS!J546</f>
        <v>-</v>
      </c>
      <c r="S34" s="265" t="str">
        <f>ULS!K546</f>
        <v>-</v>
      </c>
      <c r="T34" s="265">
        <f>ULS!$H$511</f>
        <v>21</v>
      </c>
      <c r="U34" s="270">
        <f>ULS!$H$512</f>
        <v>30</v>
      </c>
      <c r="V34" s="263" t="e">
        <f>MIN(ULS!#REF!,ULS!#REF!)</f>
        <v>#REF!</v>
      </c>
      <c r="W34" s="266" t="e">
        <f>MAX(ULS!#REF!,ULS!#REF!)</f>
        <v>#REF!</v>
      </c>
      <c r="X34" s="263" t="e">
        <f>-ULS!#REF!</f>
        <v>#REF!</v>
      </c>
      <c r="Y34" s="263" t="e">
        <f>ULS!#REF!</f>
        <v>#REF!</v>
      </c>
      <c r="Z34" s="270">
        <f>ULS!B1270</f>
        <v>-19300.044999999998</v>
      </c>
      <c r="AA34" s="270">
        <f>ULS!C1270</f>
        <v>43367.731940758145</v>
      </c>
      <c r="AB34" s="263">
        <f>ULS!K1446</f>
        <v>-2988.8245718248509</v>
      </c>
      <c r="AC34" s="263">
        <f>ULS!L1446</f>
        <v>4987.9984783153504</v>
      </c>
      <c r="AD34" s="263">
        <f t="shared" si="4"/>
        <v>-4987.9984783153504</v>
      </c>
      <c r="AF34" s="265">
        <f>MIN(SLS!F57,SLS!G57)</f>
        <v>-105.58480480468377</v>
      </c>
      <c r="AG34" s="265">
        <f>MAX(SLS!F57,SLS!G57)</f>
        <v>124.42926806383137</v>
      </c>
      <c r="AH34" s="265">
        <f>SLS!I57</f>
        <v>360.52649483050521</v>
      </c>
      <c r="AI34" s="266">
        <f t="shared" si="5"/>
        <v>-360.52649483050521</v>
      </c>
      <c r="AJ34" s="265">
        <f>-SLS!L180</f>
        <v>105.58480480468377</v>
      </c>
      <c r="AK34" s="265">
        <f>SLS!K180</f>
        <v>379.50157350579502</v>
      </c>
      <c r="AM34" s="265">
        <f>MAX(FLS!F81,FLS!G81)</f>
        <v>16.40498900564311</v>
      </c>
      <c r="AN34" s="265">
        <f>FLS!$M$36</f>
        <v>44.785427170200244</v>
      </c>
      <c r="AO34" s="265">
        <f>FLS!K169</f>
        <v>-1715.9583418701316</v>
      </c>
      <c r="AP34" s="265">
        <f>FLS!B169</f>
        <v>1319.9787397030161</v>
      </c>
      <c r="AQ34" s="265">
        <f t="shared" si="6"/>
        <v>-1319.9787397030161</v>
      </c>
      <c r="AS34" s="265"/>
      <c r="AT34" s="265"/>
      <c r="AU34" s="265"/>
      <c r="AV34" s="265"/>
    </row>
    <row r="35" spans="1:48" ht="15" customHeight="1">
      <c r="A35" s="263" t="str">
        <f>input!B33</f>
        <v>116i</v>
      </c>
      <c r="B35" s="263">
        <f>input!C33</f>
        <v>66.900000000000006</v>
      </c>
      <c r="C35" s="265">
        <f>ABS(Cons!K191)</f>
        <v>11.052509463353175</v>
      </c>
      <c r="D35" s="263">
        <f>Cons!L191</f>
        <v>228</v>
      </c>
      <c r="E35" s="265" t="e">
        <f>Cons!#REF!</f>
        <v>#REF!</v>
      </c>
      <c r="F35" s="265" t="e">
        <f>Cons!#REF!</f>
        <v>#REF!</v>
      </c>
      <c r="G35" s="265" t="e">
        <f t="shared" si="0"/>
        <v>#REF!</v>
      </c>
      <c r="H35" s="265" t="e">
        <f>Cons!#REF!</f>
        <v>#REF!</v>
      </c>
      <c r="I35" s="265" t="e">
        <f t="shared" si="1"/>
        <v>#REF!</v>
      </c>
      <c r="J35" s="265" t="e">
        <f>Cons!#REF!</f>
        <v>#REF!</v>
      </c>
      <c r="K35" s="265" t="e">
        <f t="shared" si="2"/>
        <v>#REF!</v>
      </c>
      <c r="L35" s="265" t="e">
        <f>Cons!#REF!</f>
        <v>#REF!</v>
      </c>
      <c r="M35" s="265">
        <f>Cons!K934</f>
        <v>379.59020989073042</v>
      </c>
      <c r="N35" s="263">
        <f>Cons!B1032</f>
        <v>-1406.1125000000002</v>
      </c>
      <c r="O35" s="271">
        <f>Cons!M1032</f>
        <v>1320.7525127251954</v>
      </c>
      <c r="P35" s="270">
        <f t="shared" si="3"/>
        <v>-1320.7525127251954</v>
      </c>
      <c r="R35" s="263" t="str">
        <f>ULS!J547</f>
        <v>-</v>
      </c>
      <c r="S35" s="265" t="str">
        <f>ULS!K547</f>
        <v>-</v>
      </c>
      <c r="T35" s="265">
        <f>ULS!$H$511</f>
        <v>21</v>
      </c>
      <c r="U35" s="270">
        <f>ULS!$H$512</f>
        <v>30</v>
      </c>
      <c r="V35" s="263" t="e">
        <f>MIN(ULS!#REF!,ULS!#REF!)</f>
        <v>#REF!</v>
      </c>
      <c r="W35" s="266" t="e">
        <f>MAX(ULS!#REF!,ULS!#REF!)</f>
        <v>#REF!</v>
      </c>
      <c r="X35" s="263" t="e">
        <f>-ULS!#REF!</f>
        <v>#REF!</v>
      </c>
      <c r="Y35" s="263" t="e">
        <f>ULS!#REF!</f>
        <v>#REF!</v>
      </c>
      <c r="Z35" s="270">
        <f>ULS!B1271</f>
        <v>-19300.057500000003</v>
      </c>
      <c r="AA35" s="270">
        <f>ULS!C1271</f>
        <v>52945.58194170786</v>
      </c>
      <c r="AB35" s="263">
        <f>ULS!K1447</f>
        <v>-2988.8107981480598</v>
      </c>
      <c r="AC35" s="263">
        <f>ULS!L1447</f>
        <v>5018.9937439250962</v>
      </c>
      <c r="AD35" s="263">
        <f t="shared" si="4"/>
        <v>-5018.9937439250962</v>
      </c>
      <c r="AF35" s="265">
        <f>MIN(SLS!F58,SLS!G58)</f>
        <v>-85.205733701368331</v>
      </c>
      <c r="AG35" s="265">
        <f>MAX(SLS!F58,SLS!G58)</f>
        <v>100.88935739940497</v>
      </c>
      <c r="AH35" s="265">
        <f>SLS!I58</f>
        <v>360.63945686625016</v>
      </c>
      <c r="AI35" s="266">
        <f t="shared" si="5"/>
        <v>-360.63945686625016</v>
      </c>
      <c r="AJ35" s="265">
        <f>-SLS!L181</f>
        <v>85.205733701368331</v>
      </c>
      <c r="AK35" s="265">
        <f>SLS!K181</f>
        <v>379.62048091184226</v>
      </c>
      <c r="AM35" s="265">
        <f>MAX(FLS!F82,FLS!G82)</f>
        <v>13.669077259625645</v>
      </c>
      <c r="AN35" s="265">
        <f>FLS!$M$36</f>
        <v>44.785427170200244</v>
      </c>
      <c r="AO35" s="265">
        <f>FLS!K170</f>
        <v>-1715.9622604166555</v>
      </c>
      <c r="AP35" s="265">
        <f>FLS!B170</f>
        <v>1320.7525127251954</v>
      </c>
      <c r="AQ35" s="265">
        <f t="shared" si="6"/>
        <v>-1320.7525127251954</v>
      </c>
      <c r="AS35" s="265"/>
      <c r="AT35" s="265"/>
      <c r="AU35" s="265"/>
      <c r="AV35" s="265"/>
    </row>
    <row r="36" spans="1:48" ht="15" customHeight="1">
      <c r="A36" s="263" t="str">
        <f>input!B34</f>
        <v>116j</v>
      </c>
      <c r="B36" s="263">
        <f>input!C34</f>
        <v>71.900000000000006</v>
      </c>
      <c r="C36" s="265">
        <f>ABS(Cons!K192)</f>
        <v>11.052509463353175</v>
      </c>
      <c r="D36" s="263">
        <f>Cons!L192</f>
        <v>228</v>
      </c>
      <c r="E36" s="265" t="e">
        <f>Cons!#REF!</f>
        <v>#REF!</v>
      </c>
      <c r="F36" s="265" t="e">
        <f>Cons!#REF!</f>
        <v>#REF!</v>
      </c>
      <c r="G36" s="265" t="e">
        <f t="shared" si="0"/>
        <v>#REF!</v>
      </c>
      <c r="H36" s="265" t="e">
        <f>Cons!#REF!</f>
        <v>#REF!</v>
      </c>
      <c r="I36" s="265" t="e">
        <f t="shared" si="1"/>
        <v>#REF!</v>
      </c>
      <c r="J36" s="265" t="e">
        <f>Cons!#REF!</f>
        <v>#REF!</v>
      </c>
      <c r="K36" s="265" t="e">
        <f t="shared" si="2"/>
        <v>#REF!</v>
      </c>
      <c r="L36" s="265" t="e">
        <f>Cons!#REF!</f>
        <v>#REF!</v>
      </c>
      <c r="M36" s="265">
        <f>Cons!K935</f>
        <v>379.59020989073042</v>
      </c>
      <c r="N36" s="263">
        <f>Cons!B1033</f>
        <v>-1570.79375</v>
      </c>
      <c r="O36" s="271">
        <f>Cons!M1033</f>
        <v>1320.7525127251954</v>
      </c>
      <c r="P36" s="270">
        <f t="shared" si="3"/>
        <v>-1320.7525127251954</v>
      </c>
      <c r="R36" s="263" t="str">
        <f>ULS!J548</f>
        <v>-</v>
      </c>
      <c r="S36" s="265" t="str">
        <f>ULS!K548</f>
        <v>-</v>
      </c>
      <c r="T36" s="265">
        <f>ULS!$H$511</f>
        <v>21</v>
      </c>
      <c r="U36" s="270">
        <f>ULS!$H$512</f>
        <v>30</v>
      </c>
      <c r="V36" s="263" t="e">
        <f>MIN(ULS!#REF!,ULS!#REF!)</f>
        <v>#REF!</v>
      </c>
      <c r="W36" s="266" t="e">
        <f>MAX(ULS!#REF!,ULS!#REF!)</f>
        <v>#REF!</v>
      </c>
      <c r="X36" s="263" t="e">
        <f>-ULS!#REF!</f>
        <v>#REF!</v>
      </c>
      <c r="Y36" s="263" t="e">
        <f>ULS!#REF!</f>
        <v>#REF!</v>
      </c>
      <c r="Z36" s="270">
        <f>ULS!B1272</f>
        <v>-43945.677000000011</v>
      </c>
      <c r="AA36" s="270">
        <f>ULS!C1272</f>
        <v>52945.58194170786</v>
      </c>
      <c r="AB36" s="263">
        <f>ULS!K1448</f>
        <v>-3312.695865639475</v>
      </c>
      <c r="AC36" s="263">
        <f>ULS!L1448</f>
        <v>5018.9937439250962</v>
      </c>
      <c r="AD36" s="263">
        <f t="shared" si="4"/>
        <v>-5018.9937439250962</v>
      </c>
      <c r="AF36" s="265">
        <f>MIN(SLS!F59,SLS!G59)</f>
        <v>-198.59462539890259</v>
      </c>
      <c r="AG36" s="265">
        <f>MAX(SLS!F59,SLS!G59)</f>
        <v>242.35346540405965</v>
      </c>
      <c r="AH36" s="265">
        <f>SLS!I59</f>
        <v>360.63945686625016</v>
      </c>
      <c r="AI36" s="266">
        <f t="shared" si="5"/>
        <v>-360.63945686625016</v>
      </c>
      <c r="AJ36" s="265">
        <f>-SLS!L182</f>
        <v>198.59462539890259</v>
      </c>
      <c r="AK36" s="265">
        <f>SLS!K182</f>
        <v>379.62048091184226</v>
      </c>
      <c r="AM36" s="265">
        <f>MAX(FLS!F83,FLS!G83)</f>
        <v>11.387800586979543</v>
      </c>
      <c r="AN36" s="265">
        <f>FLS!$M$36</f>
        <v>44.785427170200244</v>
      </c>
      <c r="AO36" s="265">
        <f>FLS!K171</f>
        <v>-1927.5765770422743</v>
      </c>
      <c r="AP36" s="265">
        <f>FLS!B171</f>
        <v>1320.7525127251954</v>
      </c>
      <c r="AQ36" s="265">
        <f t="shared" si="6"/>
        <v>-1320.7525127251954</v>
      </c>
      <c r="AS36" s="265"/>
      <c r="AT36" s="265"/>
      <c r="AU36" s="265"/>
      <c r="AV36" s="265"/>
    </row>
    <row r="37" spans="1:48" ht="15" customHeight="1">
      <c r="A37" s="263" t="str">
        <f>input!B35</f>
        <v>117i</v>
      </c>
      <c r="B37" s="263">
        <f>input!C35</f>
        <v>71.900000000000006</v>
      </c>
      <c r="C37" s="265">
        <f>ABS(Cons!K193)</f>
        <v>5.1913526639174741</v>
      </c>
      <c r="D37" s="263">
        <f>Cons!L193</f>
        <v>228</v>
      </c>
      <c r="E37" s="265" t="e">
        <f>Cons!#REF!</f>
        <v>#REF!</v>
      </c>
      <c r="F37" s="265" t="e">
        <f>Cons!#REF!</f>
        <v>#REF!</v>
      </c>
      <c r="G37" s="265" t="e">
        <f t="shared" si="0"/>
        <v>#REF!</v>
      </c>
      <c r="H37" s="265" t="e">
        <f>Cons!#REF!</f>
        <v>#REF!</v>
      </c>
      <c r="I37" s="265" t="e">
        <f t="shared" si="1"/>
        <v>#REF!</v>
      </c>
      <c r="J37" s="265" t="e">
        <f>Cons!#REF!</f>
        <v>#REF!</v>
      </c>
      <c r="K37" s="265" t="e">
        <f t="shared" si="2"/>
        <v>#REF!</v>
      </c>
      <c r="L37" s="265" t="e">
        <f>Cons!#REF!</f>
        <v>#REF!</v>
      </c>
      <c r="M37" s="265">
        <f>Cons!K936</f>
        <v>379.71457390181416</v>
      </c>
      <c r="N37" s="263">
        <f>Cons!B1034</f>
        <v>-1645.40625</v>
      </c>
      <c r="O37" s="271">
        <f>Cons!M1034</f>
        <v>1327.6749109114714</v>
      </c>
      <c r="P37" s="270">
        <f t="shared" si="3"/>
        <v>-1327.6749109114714</v>
      </c>
      <c r="R37" s="263" t="str">
        <f>ULS!J549</f>
        <v>-</v>
      </c>
      <c r="S37" s="265">
        <f>ULS!K549</f>
        <v>15.4399984659143</v>
      </c>
      <c r="T37" s="265">
        <f>ULS!$H$511</f>
        <v>21</v>
      </c>
      <c r="U37" s="270">
        <f>ULS!$H$512</f>
        <v>30</v>
      </c>
      <c r="V37" s="263" t="e">
        <f>MIN(ULS!#REF!,ULS!#REF!)</f>
        <v>#REF!</v>
      </c>
      <c r="W37" s="266" t="e">
        <f>MAX(ULS!#REF!,ULS!#REF!)</f>
        <v>#REF!</v>
      </c>
      <c r="X37" s="263" t="e">
        <f>-ULS!#REF!</f>
        <v>#REF!</v>
      </c>
      <c r="Y37" s="263" t="e">
        <f>ULS!#REF!</f>
        <v>#REF!</v>
      </c>
      <c r="Z37" s="270">
        <f>ULS!B1273</f>
        <v>-43945.630000000005</v>
      </c>
      <c r="AA37" s="270">
        <f>ULS!C1273</f>
        <v>111833.29968346468</v>
      </c>
      <c r="AB37" s="263">
        <f>ULS!K1449</f>
        <v>-3460.3983728550111</v>
      </c>
      <c r="AC37" s="263">
        <f>ULS!L1449</f>
        <v>5264.2376535428275</v>
      </c>
      <c r="AD37" s="263">
        <f t="shared" si="4"/>
        <v>-5264.2376535428275</v>
      </c>
      <c r="AF37" s="265">
        <f>MIN(SLS!F60,SLS!G60)</f>
        <v>-114.49809136942919</v>
      </c>
      <c r="AG37" s="265">
        <f>MAX(SLS!F60,SLS!G60)</f>
        <v>152.47612912340156</v>
      </c>
      <c r="AH37" s="265">
        <f>SLS!I60</f>
        <v>360.73992512351214</v>
      </c>
      <c r="AI37" s="266">
        <f t="shared" si="5"/>
        <v>-360.73992512351214</v>
      </c>
      <c r="AJ37" s="265">
        <f>-SLS!L183</f>
        <v>114.49809136942919</v>
      </c>
      <c r="AK37" s="265">
        <f>SLS!K183</f>
        <v>379.72623697211804</v>
      </c>
      <c r="AM37" s="265">
        <f>MAX(FLS!F84,FLS!G84)</f>
        <v>7.4378546700260966</v>
      </c>
      <c r="AN37" s="265">
        <f>FLS!$M$36</f>
        <v>44.785427170200244</v>
      </c>
      <c r="AO37" s="265">
        <f>FLS!K172</f>
        <v>-1981.529112099086</v>
      </c>
      <c r="AP37" s="265">
        <f>FLS!B172</f>
        <v>1327.6749109114714</v>
      </c>
      <c r="AQ37" s="265">
        <f t="shared" si="6"/>
        <v>-1327.6749109114714</v>
      </c>
      <c r="AS37" s="265"/>
      <c r="AT37" s="265"/>
      <c r="AU37" s="265"/>
      <c r="AV37" s="265"/>
    </row>
    <row r="38" spans="1:48" ht="15" customHeight="1">
      <c r="A38" s="263" t="str">
        <f>input!B36</f>
        <v>117j</v>
      </c>
      <c r="B38" s="263">
        <f>input!C36</f>
        <v>76.900000000000006</v>
      </c>
      <c r="C38" s="265">
        <f>ABS(Cons!K194)</f>
        <v>5.1913526639174741</v>
      </c>
      <c r="D38" s="263">
        <f>Cons!L194</f>
        <v>228</v>
      </c>
      <c r="E38" s="265" t="e">
        <f>Cons!#REF!</f>
        <v>#REF!</v>
      </c>
      <c r="F38" s="265" t="e">
        <f>Cons!#REF!</f>
        <v>#REF!</v>
      </c>
      <c r="G38" s="265" t="e">
        <f t="shared" si="0"/>
        <v>#REF!</v>
      </c>
      <c r="H38" s="265" t="e">
        <f>Cons!#REF!</f>
        <v>#REF!</v>
      </c>
      <c r="I38" s="265" t="e">
        <f t="shared" si="1"/>
        <v>#REF!</v>
      </c>
      <c r="J38" s="265" t="e">
        <f>Cons!#REF!</f>
        <v>#REF!</v>
      </c>
      <c r="K38" s="265" t="e">
        <f t="shared" si="2"/>
        <v>#REF!</v>
      </c>
      <c r="L38" s="265" t="e">
        <f>Cons!#REF!</f>
        <v>#REF!</v>
      </c>
      <c r="M38" s="265">
        <f>Cons!K937</f>
        <v>379.71457390181416</v>
      </c>
      <c r="N38" s="263">
        <f>Cons!B1035</f>
        <v>-1871.9875</v>
      </c>
      <c r="O38" s="271">
        <f>Cons!M1035</f>
        <v>1327.6749109114714</v>
      </c>
      <c r="P38" s="270">
        <f t="shared" si="3"/>
        <v>-1327.6749109114714</v>
      </c>
      <c r="R38" s="263" t="str">
        <f>ULS!J550</f>
        <v>-</v>
      </c>
      <c r="S38" s="265">
        <f>ULS!K550</f>
        <v>26.519805527609559</v>
      </c>
      <c r="T38" s="265">
        <f>ULS!$H$511</f>
        <v>21</v>
      </c>
      <c r="U38" s="270">
        <f>ULS!$H$512</f>
        <v>30</v>
      </c>
      <c r="V38" s="263" t="e">
        <f>MIN(ULS!#REF!,ULS!#REF!)</f>
        <v>#REF!</v>
      </c>
      <c r="W38" s="266" t="e">
        <f>MAX(ULS!#REF!,ULS!#REF!)</f>
        <v>#REF!</v>
      </c>
      <c r="X38" s="263" t="e">
        <f>-ULS!#REF!</f>
        <v>#REF!</v>
      </c>
      <c r="Y38" s="263" t="e">
        <f>ULS!#REF!</f>
        <v>#REF!</v>
      </c>
      <c r="Z38" s="270">
        <f>ULS!B1274</f>
        <v>-76746.111499999999</v>
      </c>
      <c r="AA38" s="270">
        <f>ULS!C1274</f>
        <v>109767.64951328484</v>
      </c>
      <c r="AB38" s="263">
        <f>ULS!K1450</f>
        <v>-3847.3670930200797</v>
      </c>
      <c r="AC38" s="263">
        <f>ULS!L1450</f>
        <v>5264.2376535428275</v>
      </c>
      <c r="AD38" s="263">
        <f t="shared" si="4"/>
        <v>-5264.2376535428275</v>
      </c>
      <c r="AF38" s="265">
        <f>MIN(SLS!F61,SLS!G61)</f>
        <v>-202.72760786275177</v>
      </c>
      <c r="AG38" s="265">
        <f>MAX(SLS!F61,SLS!G61)</f>
        <v>267.65525669140129</v>
      </c>
      <c r="AH38" s="265">
        <f>SLS!I61</f>
        <v>360.73992512351214</v>
      </c>
      <c r="AI38" s="266">
        <f t="shared" si="5"/>
        <v>-360.73992512351214</v>
      </c>
      <c r="AJ38" s="265">
        <f>-SLS!L184</f>
        <v>202.72760786275177</v>
      </c>
      <c r="AK38" s="265">
        <f>SLS!K184</f>
        <v>379.72623697211804</v>
      </c>
      <c r="AM38" s="265">
        <f>MAX(FLS!F85,FLS!G85)</f>
        <v>8.233542182239928</v>
      </c>
      <c r="AN38" s="265">
        <f>FLS!$M$36</f>
        <v>44.785427170200244</v>
      </c>
      <c r="AO38" s="265">
        <f>FLS!K173</f>
        <v>-2237.6166516516041</v>
      </c>
      <c r="AP38" s="265">
        <f>FLS!B173</f>
        <v>1327.6749109114714</v>
      </c>
      <c r="AQ38" s="265">
        <f t="shared" si="6"/>
        <v>-1327.6749109114714</v>
      </c>
      <c r="AS38" s="265"/>
      <c r="AT38" s="265"/>
      <c r="AU38" s="265"/>
      <c r="AV38" s="265"/>
    </row>
    <row r="39" spans="1:48" ht="15" customHeight="1">
      <c r="A39" s="263" t="str">
        <f>input!B37</f>
        <v>118i</v>
      </c>
      <c r="B39" s="263">
        <f>input!C37</f>
        <v>76.900000000000006</v>
      </c>
      <c r="C39" s="265">
        <f>ABS(Cons!K195)</f>
        <v>0</v>
      </c>
      <c r="D39" s="263">
        <f>Cons!L195</f>
        <v>228</v>
      </c>
      <c r="E39" s="265" t="e">
        <f>Cons!#REF!</f>
        <v>#REF!</v>
      </c>
      <c r="F39" s="265" t="e">
        <f>Cons!#REF!</f>
        <v>#REF!</v>
      </c>
      <c r="G39" s="265" t="e">
        <f t="shared" si="0"/>
        <v>#REF!</v>
      </c>
      <c r="H39" s="265" t="e">
        <f>Cons!#REF!</f>
        <v>#REF!</v>
      </c>
      <c r="I39" s="265" t="e">
        <f t="shared" si="1"/>
        <v>#REF!</v>
      </c>
      <c r="J39" s="265" t="e">
        <f>Cons!#REF!</f>
        <v>#REF!</v>
      </c>
      <c r="K39" s="265" t="e">
        <f t="shared" si="2"/>
        <v>#REF!</v>
      </c>
      <c r="L39" s="265" t="e">
        <f>Cons!#REF!</f>
        <v>#REF!</v>
      </c>
      <c r="M39" s="265">
        <f>Cons!K938</f>
        <v>379.83589662126923</v>
      </c>
      <c r="N39" s="263">
        <f>Cons!B1036</f>
        <v>-1872.0375000000001</v>
      </c>
      <c r="O39" s="271">
        <f>Cons!M1036</f>
        <v>2131.4878867507468</v>
      </c>
      <c r="P39" s="270">
        <f t="shared" si="3"/>
        <v>-2131.4878867507468</v>
      </c>
      <c r="R39" s="263" t="str">
        <f>ULS!J551</f>
        <v>-</v>
      </c>
      <c r="S39" s="265">
        <f>ULS!K551</f>
        <v>19.703781550591621</v>
      </c>
      <c r="T39" s="265">
        <f>ULS!$H$511</f>
        <v>21</v>
      </c>
      <c r="U39" s="270">
        <f>ULS!$H$512</f>
        <v>30</v>
      </c>
      <c r="V39" s="263" t="e">
        <f>MIN(ULS!#REF!,ULS!#REF!)</f>
        <v>#REF!</v>
      </c>
      <c r="W39" s="266" t="e">
        <f>MAX(ULS!#REF!,ULS!#REF!)</f>
        <v>#REF!</v>
      </c>
      <c r="X39" s="263" t="e">
        <f>-ULS!#REF!</f>
        <v>#REF!</v>
      </c>
      <c r="Y39" s="263" t="e">
        <f>ULS!#REF!</f>
        <v>#REF!</v>
      </c>
      <c r="Z39" s="270">
        <f>ULS!B1275</f>
        <v>-76746.051500000001</v>
      </c>
      <c r="AA39" s="270">
        <f>ULS!C1275</f>
        <v>161123.19717351606</v>
      </c>
      <c r="AB39" s="263">
        <f>ULS!K1451</f>
        <v>-3847.4227035063905</v>
      </c>
      <c r="AC39" s="263">
        <f>ULS!L1451</f>
        <v>6794.4795403845001</v>
      </c>
      <c r="AD39" s="263">
        <f t="shared" si="4"/>
        <v>-6794.4795403845001</v>
      </c>
      <c r="AF39" s="265">
        <f>MIN(SLS!F62,SLS!G62)</f>
        <v>-157.5256122471643</v>
      </c>
      <c r="AG39" s="265">
        <f>MAX(SLS!F62,SLS!G62)</f>
        <v>146.1250264133437</v>
      </c>
      <c r="AH39" s="265">
        <f>SLS!I62</f>
        <v>360.84892495666708</v>
      </c>
      <c r="AI39" s="266">
        <f t="shared" si="5"/>
        <v>-360.84892495666708</v>
      </c>
      <c r="AJ39" s="265">
        <f>-SLS!L185</f>
        <v>157.5256122471643</v>
      </c>
      <c r="AK39" s="265">
        <f>SLS!K185</f>
        <v>379.84097363859689</v>
      </c>
      <c r="AM39" s="265">
        <f>MAX(FLS!F86,FLS!G86)</f>
        <v>4.7175720973964221</v>
      </c>
      <c r="AN39" s="265">
        <f>FLS!$M$36</f>
        <v>44.785427170200244</v>
      </c>
      <c r="AO39" s="265">
        <f>FLS!K174</f>
        <v>-2237.6579810892954</v>
      </c>
      <c r="AP39" s="265">
        <f>FLS!B174</f>
        <v>2131.4878867507468</v>
      </c>
      <c r="AQ39" s="265">
        <f t="shared" si="6"/>
        <v>-2131.4878867507468</v>
      </c>
      <c r="AS39" s="265"/>
      <c r="AT39" s="265"/>
      <c r="AU39" s="265"/>
      <c r="AV39" s="265"/>
    </row>
    <row r="40" spans="1:48" ht="15" customHeight="1">
      <c r="A40" s="263" t="str">
        <f>input!B38</f>
        <v>118j</v>
      </c>
      <c r="B40" s="263">
        <f>input!C38</f>
        <v>80.400000000000006</v>
      </c>
      <c r="C40" s="265">
        <f>ABS(Cons!K196)</f>
        <v>0</v>
      </c>
      <c r="D40" s="263">
        <f>Cons!L196</f>
        <v>228</v>
      </c>
      <c r="E40" s="265" t="e">
        <f>Cons!#REF!</f>
        <v>#REF!</v>
      </c>
      <c r="F40" s="265" t="e">
        <f>Cons!#REF!</f>
        <v>#REF!</v>
      </c>
      <c r="G40" s="265" t="e">
        <f t="shared" si="0"/>
        <v>#REF!</v>
      </c>
      <c r="H40" s="265" t="e">
        <f>Cons!#REF!</f>
        <v>#REF!</v>
      </c>
      <c r="I40" s="265" t="e">
        <f t="shared" si="1"/>
        <v>#REF!</v>
      </c>
      <c r="J40" s="265" t="e">
        <f>Cons!#REF!</f>
        <v>#REF!</v>
      </c>
      <c r="K40" s="265" t="e">
        <f t="shared" si="2"/>
        <v>#REF!</v>
      </c>
      <c r="L40" s="265" t="e">
        <f>Cons!#REF!</f>
        <v>#REF!</v>
      </c>
      <c r="M40" s="265">
        <f>Cons!K939</f>
        <v>379.83589662126923</v>
      </c>
      <c r="N40" s="263">
        <f>Cons!B1037</f>
        <v>-2063.03125</v>
      </c>
      <c r="O40" s="271">
        <f>Cons!M1037</f>
        <v>2131.4878867507468</v>
      </c>
      <c r="P40" s="270">
        <f t="shared" si="3"/>
        <v>-2131.4878867507468</v>
      </c>
      <c r="R40" s="263" t="str">
        <f>ULS!J552</f>
        <v>-</v>
      </c>
      <c r="S40" s="265">
        <f>ULS!K552</f>
        <v>26.12367109807861</v>
      </c>
      <c r="T40" s="265">
        <f>ULS!$H$511</f>
        <v>21</v>
      </c>
      <c r="U40" s="270">
        <f>ULS!$H$512</f>
        <v>30</v>
      </c>
      <c r="V40" s="263" t="e">
        <f>MIN(ULS!#REF!,ULS!#REF!)</f>
        <v>#REF!</v>
      </c>
      <c r="W40" s="266" t="e">
        <f>MAX(ULS!#REF!,ULS!#REF!)</f>
        <v>#REF!</v>
      </c>
      <c r="X40" s="263" t="e">
        <f>-ULS!#REF!</f>
        <v>#REF!</v>
      </c>
      <c r="Y40" s="263" t="e">
        <f>ULS!#REF!</f>
        <v>#REF!</v>
      </c>
      <c r="Z40" s="270">
        <f>ULS!B1276</f>
        <v>-102672.22149999999</v>
      </c>
      <c r="AA40" s="270">
        <f>ULS!C1276</f>
        <v>161123.19717351606</v>
      </c>
      <c r="AB40" s="263">
        <f>ULS!K1452</f>
        <v>-4156.124304277364</v>
      </c>
      <c r="AC40" s="263">
        <f>ULS!L1452</f>
        <v>6794.4795403845001</v>
      </c>
      <c r="AD40" s="263">
        <f t="shared" si="4"/>
        <v>-6794.4795403845001</v>
      </c>
      <c r="AF40" s="265">
        <f>MIN(SLS!F63,SLS!G63)</f>
        <v>-211.81998146038285</v>
      </c>
      <c r="AG40" s="265">
        <f>MAX(SLS!F63,SLS!G63)</f>
        <v>195.68025632982938</v>
      </c>
      <c r="AH40" s="265">
        <f>SLS!I63</f>
        <v>360.84892495666708</v>
      </c>
      <c r="AI40" s="266">
        <f t="shared" si="5"/>
        <v>-360.84892495666708</v>
      </c>
      <c r="AJ40" s="265">
        <f>-SLS!L186</f>
        <v>211.81998146038285</v>
      </c>
      <c r="AK40" s="265">
        <f>SLS!K186</f>
        <v>379.84097363859689</v>
      </c>
      <c r="AM40" s="265">
        <f>MAX(FLS!F87,FLS!G87)</f>
        <v>5.4797691609479227</v>
      </c>
      <c r="AN40" s="265">
        <f>FLS!$M$36</f>
        <v>44.785427170200244</v>
      </c>
      <c r="AO40" s="265">
        <f>FLS!K175</f>
        <v>-2447.6506032653879</v>
      </c>
      <c r="AP40" s="265">
        <f>FLS!B175</f>
        <v>2131.4878867507468</v>
      </c>
      <c r="AQ40" s="265">
        <f t="shared" si="6"/>
        <v>-2131.4878867507468</v>
      </c>
      <c r="AS40" s="265"/>
      <c r="AT40" s="265"/>
      <c r="AU40" s="265"/>
      <c r="AV40" s="265"/>
    </row>
    <row r="41" spans="1:48" ht="15" customHeight="1">
      <c r="A41" s="263" t="str">
        <f>input!B39</f>
        <v>119i</v>
      </c>
      <c r="B41" s="263">
        <f>input!C39</f>
        <v>80.400000000000006</v>
      </c>
      <c r="C41" s="265">
        <f>ABS(Cons!K197)</f>
        <v>0</v>
      </c>
      <c r="D41" s="263">
        <f>Cons!L197</f>
        <v>228</v>
      </c>
      <c r="E41" s="265" t="e">
        <f>Cons!#REF!</f>
        <v>#REF!</v>
      </c>
      <c r="F41" s="265" t="e">
        <f>Cons!#REF!</f>
        <v>#REF!</v>
      </c>
      <c r="G41" s="265" t="e">
        <f t="shared" si="0"/>
        <v>#REF!</v>
      </c>
      <c r="H41" s="265" t="e">
        <f>Cons!#REF!</f>
        <v>#REF!</v>
      </c>
      <c r="I41" s="265" t="e">
        <f t="shared" si="1"/>
        <v>#REF!</v>
      </c>
      <c r="J41" s="265" t="e">
        <f>Cons!#REF!</f>
        <v>#REF!</v>
      </c>
      <c r="K41" s="265" t="e">
        <f t="shared" si="2"/>
        <v>#REF!</v>
      </c>
      <c r="L41" s="265" t="e">
        <f>Cons!#REF!</f>
        <v>#REF!</v>
      </c>
      <c r="M41" s="265">
        <f>Cons!K940</f>
        <v>379.82766143697751</v>
      </c>
      <c r="N41" s="263">
        <f>Cons!B1038</f>
        <v>-2062.875</v>
      </c>
      <c r="O41" s="271">
        <f>Cons!M1038</f>
        <v>2146.4709774097842</v>
      </c>
      <c r="P41" s="270">
        <f t="shared" si="3"/>
        <v>-2146.4709774097842</v>
      </c>
      <c r="R41" s="263" t="str">
        <f>ULS!J553</f>
        <v>-</v>
      </c>
      <c r="S41" s="265">
        <f>ULS!K553</f>
        <v>24.011271711642685</v>
      </c>
      <c r="T41" s="265">
        <f>ULS!$H$511</f>
        <v>21</v>
      </c>
      <c r="U41" s="270">
        <f>ULS!$H$512</f>
        <v>30</v>
      </c>
      <c r="V41" s="263" t="e">
        <f>MIN(ULS!#REF!,ULS!#REF!)</f>
        <v>#REF!</v>
      </c>
      <c r="W41" s="266" t="e">
        <f>MAX(ULS!#REF!,ULS!#REF!)</f>
        <v>#REF!</v>
      </c>
      <c r="X41" s="263" t="e">
        <f>-ULS!#REF!</f>
        <v>#REF!</v>
      </c>
      <c r="Y41" s="263" t="e">
        <f>ULS!#REF!</f>
        <v>#REF!</v>
      </c>
      <c r="Z41" s="270">
        <f>ULS!B1277</f>
        <v>-102672.35399999999</v>
      </c>
      <c r="AA41" s="270">
        <f>ULS!C1277</f>
        <v>179025.80399285004</v>
      </c>
      <c r="AB41" s="263">
        <f>ULS!K1453</f>
        <v>-4155.9474888806599</v>
      </c>
      <c r="AC41" s="263">
        <f>ULS!L1453</f>
        <v>7048.1261490788047</v>
      </c>
      <c r="AD41" s="263">
        <f t="shared" si="4"/>
        <v>-7048.1261490788047</v>
      </c>
      <c r="AF41" s="265">
        <f>MIN(SLS!F64,SLS!G64)</f>
        <v>-199.67153375924252</v>
      </c>
      <c r="AG41" s="265">
        <f>MAX(SLS!F64,SLS!G64)</f>
        <v>189.60045702891051</v>
      </c>
      <c r="AH41" s="265">
        <f>SLS!I64</f>
        <v>360.84100997166524</v>
      </c>
      <c r="AI41" s="266">
        <f t="shared" si="5"/>
        <v>-360.84100997166524</v>
      </c>
      <c r="AJ41" s="265">
        <f>-SLS!L187</f>
        <v>199.67153375924252</v>
      </c>
      <c r="AK41" s="265">
        <f>SLS!K187</f>
        <v>379.83264207543715</v>
      </c>
      <c r="AM41" s="265">
        <f>MAX(FLS!F88,FLS!G88)</f>
        <v>5.3173043956134265</v>
      </c>
      <c r="AN41" s="265">
        <f>FLS!$M$36</f>
        <v>44.785427170200244</v>
      </c>
      <c r="AO41" s="265">
        <f>FLS!K176</f>
        <v>-2447.5124932174635</v>
      </c>
      <c r="AP41" s="265">
        <f>FLS!B176</f>
        <v>2146.4709774097842</v>
      </c>
      <c r="AQ41" s="265">
        <f t="shared" si="6"/>
        <v>-2146.4709774097842</v>
      </c>
      <c r="AS41" s="265"/>
      <c r="AT41" s="265"/>
      <c r="AU41" s="265"/>
      <c r="AV41" s="265"/>
    </row>
    <row r="42" spans="1:48" ht="15" customHeight="1">
      <c r="A42" s="263" t="str">
        <f>input!B40</f>
        <v>119j</v>
      </c>
      <c r="B42" s="263">
        <f>input!C40</f>
        <v>81.900000000000006</v>
      </c>
      <c r="C42" s="265">
        <f>ABS(Cons!K198)</f>
        <v>0</v>
      </c>
      <c r="D42" s="263">
        <f>Cons!L198</f>
        <v>228</v>
      </c>
      <c r="E42" s="265" t="e">
        <f>Cons!#REF!</f>
        <v>#REF!</v>
      </c>
      <c r="F42" s="265" t="e">
        <f>Cons!#REF!</f>
        <v>#REF!</v>
      </c>
      <c r="G42" s="265" t="e">
        <f t="shared" si="0"/>
        <v>#REF!</v>
      </c>
      <c r="H42" s="265" t="e">
        <f>Cons!#REF!</f>
        <v>#REF!</v>
      </c>
      <c r="I42" s="265" t="e">
        <f t="shared" si="1"/>
        <v>#REF!</v>
      </c>
      <c r="J42" s="265" t="e">
        <f>Cons!#REF!</f>
        <v>#REF!</v>
      </c>
      <c r="K42" s="265" t="e">
        <f t="shared" si="2"/>
        <v>#REF!</v>
      </c>
      <c r="L42" s="265" t="e">
        <f>Cons!#REF!</f>
        <v>#REF!</v>
      </c>
      <c r="M42" s="265">
        <f>Cons!K941</f>
        <v>379.82766143697751</v>
      </c>
      <c r="N42" s="263">
        <f>Cons!B1039</f>
        <v>-2147.9874999999997</v>
      </c>
      <c r="O42" s="271">
        <f>Cons!M1039</f>
        <v>2146.4709774097842</v>
      </c>
      <c r="P42" s="270">
        <f t="shared" si="3"/>
        <v>-2146.4709774097842</v>
      </c>
      <c r="R42" s="263" t="str">
        <f>ULS!J554</f>
        <v>-</v>
      </c>
      <c r="S42" s="265">
        <f>ULS!K554</f>
        <v>26.67746480068778</v>
      </c>
      <c r="T42" s="265">
        <f>ULS!$H$511</f>
        <v>21</v>
      </c>
      <c r="U42" s="270">
        <f>ULS!$H$512</f>
        <v>30</v>
      </c>
      <c r="V42" s="263" t="e">
        <f>MIN(ULS!#REF!,ULS!#REF!)</f>
        <v>#REF!</v>
      </c>
      <c r="W42" s="266" t="e">
        <f>MAX(ULS!#REF!,ULS!#REF!)</f>
        <v>#REF!</v>
      </c>
      <c r="X42" s="263" t="e">
        <f>-ULS!#REF!</f>
        <v>#REF!</v>
      </c>
      <c r="Y42" s="263" t="e">
        <f>ULS!#REF!</f>
        <v>#REF!</v>
      </c>
      <c r="Z42" s="270">
        <f>ULS!B1278</f>
        <v>-114524.89750000002</v>
      </c>
      <c r="AA42" s="270">
        <f>ULS!C1278</f>
        <v>179025.80399285004</v>
      </c>
      <c r="AB42" s="263">
        <f>ULS!K1454</f>
        <v>-4292.5707606288815</v>
      </c>
      <c r="AC42" s="263">
        <f>ULS!L1454</f>
        <v>7048.1261490788047</v>
      </c>
      <c r="AD42" s="263">
        <f t="shared" si="4"/>
        <v>-7048.1261490788047</v>
      </c>
      <c r="AF42" s="265">
        <f>MIN(SLS!F65,SLS!G65)</f>
        <v>-223.20120059589294</v>
      </c>
      <c r="AG42" s="265">
        <f>MAX(SLS!F65,SLS!G65)</f>
        <v>211.5585821319703</v>
      </c>
      <c r="AH42" s="265">
        <f>SLS!I65</f>
        <v>360.84100997166524</v>
      </c>
      <c r="AI42" s="266">
        <f t="shared" si="5"/>
        <v>-360.84100997166524</v>
      </c>
      <c r="AJ42" s="265">
        <f>-SLS!L188</f>
        <v>223.20120059589294</v>
      </c>
      <c r="AK42" s="265">
        <f>SLS!K188</f>
        <v>379.83264207543715</v>
      </c>
      <c r="AM42" s="265">
        <f>MAX(FLS!F89,FLS!G89)</f>
        <v>6.0179252922106174</v>
      </c>
      <c r="AN42" s="265">
        <f>FLS!$M$36</f>
        <v>44.785427170200244</v>
      </c>
      <c r="AO42" s="265">
        <f>FLS!K177</f>
        <v>-2528.0494092118734</v>
      </c>
      <c r="AP42" s="265">
        <f>FLS!B177</f>
        <v>2146.4709774097842</v>
      </c>
      <c r="AQ42" s="265">
        <f t="shared" si="6"/>
        <v>-2146.4709774097842</v>
      </c>
      <c r="AS42" s="265"/>
      <c r="AT42" s="265"/>
      <c r="AU42" s="265"/>
      <c r="AV42" s="265"/>
    </row>
    <row r="43" spans="1:48" ht="15" customHeight="1">
      <c r="A43" s="263" t="str">
        <f>input!B41</f>
        <v>120i</v>
      </c>
      <c r="B43" s="263">
        <f>input!C41</f>
        <v>81.900000000000006</v>
      </c>
      <c r="C43" s="265">
        <f>ABS(Cons!K199)</f>
        <v>0</v>
      </c>
      <c r="D43" s="263">
        <f>Cons!L199</f>
        <v>228</v>
      </c>
      <c r="E43" s="265" t="e">
        <f>Cons!#REF!</f>
        <v>#REF!</v>
      </c>
      <c r="F43" s="265" t="e">
        <f>Cons!#REF!</f>
        <v>#REF!</v>
      </c>
      <c r="G43" s="265" t="e">
        <f t="shared" si="0"/>
        <v>#REF!</v>
      </c>
      <c r="H43" s="265" t="e">
        <f>Cons!#REF!</f>
        <v>#REF!</v>
      </c>
      <c r="I43" s="265" t="e">
        <f t="shared" si="1"/>
        <v>#REF!</v>
      </c>
      <c r="J43" s="265" t="e">
        <f>Cons!#REF!</f>
        <v>#REF!</v>
      </c>
      <c r="K43" s="265" t="e">
        <f t="shared" si="2"/>
        <v>#REF!</v>
      </c>
      <c r="L43" s="265" t="e">
        <f>Cons!#REF!</f>
        <v>#REF!</v>
      </c>
      <c r="M43" s="265">
        <f>Cons!K942</f>
        <v>379.82766143697751</v>
      </c>
      <c r="N43" s="263">
        <f>Cons!B1040</f>
        <v>1699.8125</v>
      </c>
      <c r="O43" s="271">
        <f>Cons!M1040</f>
        <v>2146.4709774097842</v>
      </c>
      <c r="P43" s="270">
        <f t="shared" si="3"/>
        <v>-2146.4709774097842</v>
      </c>
      <c r="R43" s="263" t="str">
        <f>ULS!J555</f>
        <v>-</v>
      </c>
      <c r="S43" s="265">
        <f>ULS!K555</f>
        <v>26.676725759762313</v>
      </c>
      <c r="T43" s="265">
        <f>ULS!$H$511</f>
        <v>21</v>
      </c>
      <c r="U43" s="270">
        <f>ULS!$H$512</f>
        <v>30</v>
      </c>
      <c r="V43" s="263" t="e">
        <f>MIN(ULS!#REF!,ULS!#REF!)</f>
        <v>#REF!</v>
      </c>
      <c r="W43" s="266" t="e">
        <f>MAX(ULS!#REF!,ULS!#REF!)</f>
        <v>#REF!</v>
      </c>
      <c r="X43" s="263" t="e">
        <f>-ULS!#REF!</f>
        <v>#REF!</v>
      </c>
      <c r="Y43" s="263" t="e">
        <f>ULS!#REF!</f>
        <v>#REF!</v>
      </c>
      <c r="Z43" s="270">
        <f>ULS!B1279</f>
        <v>-114522.23199999999</v>
      </c>
      <c r="AA43" s="270">
        <f>ULS!C1279</f>
        <v>179025.80399285004</v>
      </c>
      <c r="AB43" s="263">
        <f>ULS!K1455</f>
        <v>3444.2365694163273</v>
      </c>
      <c r="AC43" s="263">
        <f>ULS!L1455</f>
        <v>7048.1261490788047</v>
      </c>
      <c r="AD43" s="263">
        <f t="shared" si="4"/>
        <v>-7048.1261490788047</v>
      </c>
      <c r="AF43" s="265">
        <f>MIN(SLS!F66,SLS!G66)</f>
        <v>-223.19823516194259</v>
      </c>
      <c r="AG43" s="265">
        <f>MAX(SLS!F66,SLS!G66)</f>
        <v>211.55437030380548</v>
      </c>
      <c r="AH43" s="265">
        <f>SLS!I66</f>
        <v>360.84100997166524</v>
      </c>
      <c r="AI43" s="266">
        <f t="shared" si="5"/>
        <v>-360.84100997166524</v>
      </c>
      <c r="AJ43" s="265">
        <f>-SLS!L189</f>
        <v>223.19823516194259</v>
      </c>
      <c r="AK43" s="265">
        <f>SLS!K189</f>
        <v>379.83264207543715</v>
      </c>
      <c r="AM43" s="265">
        <f>MAX(FLS!F90,FLS!G90)</f>
        <v>6.0142930602139906</v>
      </c>
      <c r="AN43" s="265">
        <f>FLS!$M$36</f>
        <v>44.785427170200244</v>
      </c>
      <c r="AO43" s="265">
        <f>FLS!K178</f>
        <v>2081.1962540568802</v>
      </c>
      <c r="AP43" s="265">
        <f>FLS!B178</f>
        <v>2146.4709774097842</v>
      </c>
      <c r="AQ43" s="265">
        <f t="shared" si="6"/>
        <v>-2146.4709774097842</v>
      </c>
      <c r="AS43" s="265"/>
      <c r="AT43" s="265"/>
      <c r="AU43" s="265"/>
      <c r="AV43" s="265"/>
    </row>
    <row r="44" spans="1:48" ht="15" customHeight="1">
      <c r="A44" s="263" t="str">
        <f>input!B42</f>
        <v>120j</v>
      </c>
      <c r="B44" s="263">
        <f>input!C42</f>
        <v>83.4</v>
      </c>
      <c r="C44" s="265">
        <f>ABS(Cons!K200)</f>
        <v>0</v>
      </c>
      <c r="D44" s="263">
        <f>Cons!L200</f>
        <v>228</v>
      </c>
      <c r="E44" s="265" t="e">
        <f>Cons!#REF!</f>
        <v>#REF!</v>
      </c>
      <c r="F44" s="265" t="e">
        <f>Cons!#REF!</f>
        <v>#REF!</v>
      </c>
      <c r="G44" s="265" t="e">
        <f t="shared" si="0"/>
        <v>#REF!</v>
      </c>
      <c r="H44" s="265" t="e">
        <f>Cons!#REF!</f>
        <v>#REF!</v>
      </c>
      <c r="I44" s="265" t="e">
        <f t="shared" si="1"/>
        <v>#REF!</v>
      </c>
      <c r="J44" s="265" t="e">
        <f>Cons!#REF!</f>
        <v>#REF!</v>
      </c>
      <c r="K44" s="265" t="e">
        <f t="shared" si="2"/>
        <v>#REF!</v>
      </c>
      <c r="L44" s="265" t="e">
        <f>Cons!#REF!</f>
        <v>#REF!</v>
      </c>
      <c r="M44" s="265">
        <f>Cons!K943</f>
        <v>379.82766143697751</v>
      </c>
      <c r="N44" s="263">
        <f>Cons!B1041</f>
        <v>1614.7</v>
      </c>
      <c r="O44" s="271">
        <f>Cons!M1041</f>
        <v>2146.4709774097842</v>
      </c>
      <c r="P44" s="270">
        <f t="shared" si="3"/>
        <v>-2146.4709774097842</v>
      </c>
      <c r="R44" s="263" t="str">
        <f>ULS!J556</f>
        <v>-</v>
      </c>
      <c r="S44" s="265">
        <f>ULS!K556</f>
        <v>24.738386388171804</v>
      </c>
      <c r="T44" s="265">
        <f>ULS!$H$511</f>
        <v>21</v>
      </c>
      <c r="U44" s="270">
        <f>ULS!$H$512</f>
        <v>30</v>
      </c>
      <c r="V44" s="263" t="e">
        <f>MIN(ULS!#REF!,ULS!#REF!)</f>
        <v>#REF!</v>
      </c>
      <c r="W44" s="266" t="e">
        <f>MAX(ULS!#REF!,ULS!#REF!)</f>
        <v>#REF!</v>
      </c>
      <c r="X44" s="263" t="e">
        <f>-ULS!#REF!</f>
        <v>#REF!</v>
      </c>
      <c r="Y44" s="263" t="e">
        <f>ULS!#REF!</f>
        <v>#REF!</v>
      </c>
      <c r="Z44" s="270">
        <f>ULS!B1280</f>
        <v>-105785.81299999999</v>
      </c>
      <c r="AA44" s="270">
        <f>ULS!C1280</f>
        <v>179025.80399285004</v>
      </c>
      <c r="AB44" s="263">
        <f>ULS!K1456</f>
        <v>3304.3327146012116</v>
      </c>
      <c r="AC44" s="263">
        <f>ULS!L1456</f>
        <v>7048.1261490788047</v>
      </c>
      <c r="AD44" s="263">
        <f t="shared" si="4"/>
        <v>-7048.1261490788047</v>
      </c>
      <c r="AF44" s="265">
        <f>MIN(SLS!F67,SLS!G67)</f>
        <v>-205.38693438027693</v>
      </c>
      <c r="AG44" s="265">
        <f>MAX(SLS!F67,SLS!G67)</f>
        <v>195.22339414821215</v>
      </c>
      <c r="AH44" s="265">
        <f>SLS!I67</f>
        <v>360.84100997166524</v>
      </c>
      <c r="AI44" s="266">
        <f t="shared" si="5"/>
        <v>-360.84100997166524</v>
      </c>
      <c r="AJ44" s="265">
        <f>-SLS!L190</f>
        <v>205.38693438027693</v>
      </c>
      <c r="AK44" s="265">
        <f>SLS!K190</f>
        <v>379.83264207543715</v>
      </c>
      <c r="AM44" s="265">
        <f>MAX(FLS!F91,FLS!G91)</f>
        <v>5.8169862193696646</v>
      </c>
      <c r="AN44" s="265">
        <f>FLS!$M$36</f>
        <v>44.785427170200244</v>
      </c>
      <c r="AO44" s="265">
        <f>FLS!K179</f>
        <v>1986.2178188708308</v>
      </c>
      <c r="AP44" s="265">
        <f>FLS!B179</f>
        <v>2146.4709774097842</v>
      </c>
      <c r="AQ44" s="265">
        <f t="shared" si="6"/>
        <v>-2146.4709774097842</v>
      </c>
      <c r="AS44" s="265"/>
      <c r="AT44" s="265"/>
      <c r="AU44" s="265"/>
      <c r="AV44" s="265"/>
    </row>
    <row r="45" spans="1:48" ht="15" customHeight="1">
      <c r="A45" s="263" t="str">
        <f>input!B43</f>
        <v>121i</v>
      </c>
      <c r="B45" s="263">
        <f>input!C43</f>
        <v>83.4</v>
      </c>
      <c r="C45" s="265">
        <f>ABS(Cons!K201)</f>
        <v>0</v>
      </c>
      <c r="D45" s="263">
        <f>Cons!L201</f>
        <v>228</v>
      </c>
      <c r="E45" s="265" t="e">
        <f>Cons!#REF!</f>
        <v>#REF!</v>
      </c>
      <c r="F45" s="265" t="e">
        <f>Cons!#REF!</f>
        <v>#REF!</v>
      </c>
      <c r="G45" s="265" t="e">
        <f t="shared" si="0"/>
        <v>#REF!</v>
      </c>
      <c r="H45" s="265" t="e">
        <f>Cons!#REF!</f>
        <v>#REF!</v>
      </c>
      <c r="I45" s="265" t="e">
        <f t="shared" si="1"/>
        <v>#REF!</v>
      </c>
      <c r="J45" s="265" t="e">
        <f>Cons!#REF!</f>
        <v>#REF!</v>
      </c>
      <c r="K45" s="265" t="e">
        <f t="shared" si="2"/>
        <v>#REF!</v>
      </c>
      <c r="L45" s="265" t="e">
        <f>Cons!#REF!</f>
        <v>#REF!</v>
      </c>
      <c r="M45" s="265">
        <f>Cons!K944</f>
        <v>379.83589662126923</v>
      </c>
      <c r="N45" s="263">
        <f>Cons!B1042</f>
        <v>1614.6624999999999</v>
      </c>
      <c r="O45" s="271">
        <f>Cons!M1042</f>
        <v>2131.4878867507468</v>
      </c>
      <c r="P45" s="270">
        <f t="shared" si="3"/>
        <v>-2131.4878867507468</v>
      </c>
      <c r="R45" s="263" t="str">
        <f>ULS!J557</f>
        <v>-</v>
      </c>
      <c r="S45" s="265">
        <f>ULS!K557</f>
        <v>26.914875980235166</v>
      </c>
      <c r="T45" s="265">
        <f>ULS!$H$511</f>
        <v>21</v>
      </c>
      <c r="U45" s="270">
        <f>ULS!$H$512</f>
        <v>30</v>
      </c>
      <c r="V45" s="263" t="e">
        <f>MIN(ULS!#REF!,ULS!#REF!)</f>
        <v>#REF!</v>
      </c>
      <c r="W45" s="266" t="e">
        <f>MAX(ULS!#REF!,ULS!#REF!)</f>
        <v>#REF!</v>
      </c>
      <c r="X45" s="263" t="e">
        <f>-ULS!#REF!</f>
        <v>#REF!</v>
      </c>
      <c r="Y45" s="263" t="e">
        <f>ULS!#REF!</f>
        <v>#REF!</v>
      </c>
      <c r="Z45" s="270">
        <f>ULS!B1281</f>
        <v>-105785.65549999999</v>
      </c>
      <c r="AA45" s="270">
        <f>ULS!C1281</f>
        <v>161123.19717351606</v>
      </c>
      <c r="AB45" s="263">
        <f>ULS!K1457</f>
        <v>3304.3075287969459</v>
      </c>
      <c r="AC45" s="263">
        <f>ULS!L1457</f>
        <v>6794.4795403845001</v>
      </c>
      <c r="AD45" s="263">
        <f t="shared" si="4"/>
        <v>-6794.4795403845001</v>
      </c>
      <c r="AF45" s="265">
        <f>MIN(SLS!F68,SLS!G68)</f>
        <v>-217.89167903764434</v>
      </c>
      <c r="AG45" s="265">
        <f>MAX(SLS!F68,SLS!G68)</f>
        <v>201.48214330122192</v>
      </c>
      <c r="AH45" s="265">
        <f>SLS!I68</f>
        <v>360.84892495666708</v>
      </c>
      <c r="AI45" s="266">
        <f t="shared" si="5"/>
        <v>-360.84892495666708</v>
      </c>
      <c r="AJ45" s="265">
        <f>-SLS!L191</f>
        <v>217.89167903764434</v>
      </c>
      <c r="AK45" s="265">
        <f>SLS!K191</f>
        <v>379.84097363859689</v>
      </c>
      <c r="AM45" s="265">
        <f>MAX(FLS!F92,FLS!G92)</f>
        <v>5.9947746020955082</v>
      </c>
      <c r="AN45" s="265">
        <f>FLS!$M$36</f>
        <v>44.785427170200244</v>
      </c>
      <c r="AO45" s="265">
        <f>FLS!K180</f>
        <v>1986.1923955110726</v>
      </c>
      <c r="AP45" s="265">
        <f>FLS!B180</f>
        <v>2131.4878867507468</v>
      </c>
      <c r="AQ45" s="265">
        <f t="shared" si="6"/>
        <v>-2131.4878867507468</v>
      </c>
      <c r="AS45" s="265"/>
      <c r="AT45" s="265"/>
      <c r="AU45" s="265"/>
      <c r="AV45" s="265"/>
    </row>
    <row r="46" spans="1:48" ht="15" customHeight="1">
      <c r="A46" s="263" t="str">
        <f>input!B44</f>
        <v>121j</v>
      </c>
      <c r="B46" s="263">
        <f>input!C44</f>
        <v>86.9</v>
      </c>
      <c r="C46" s="265">
        <f>ABS(Cons!K202)</f>
        <v>0</v>
      </c>
      <c r="D46" s="263">
        <f>Cons!L202</f>
        <v>228</v>
      </c>
      <c r="E46" s="265" t="e">
        <f>Cons!#REF!</f>
        <v>#REF!</v>
      </c>
      <c r="F46" s="265" t="e">
        <f>Cons!#REF!</f>
        <v>#REF!</v>
      </c>
      <c r="G46" s="265" t="e">
        <f t="shared" si="0"/>
        <v>#REF!</v>
      </c>
      <c r="H46" s="265" t="e">
        <f>Cons!#REF!</f>
        <v>#REF!</v>
      </c>
      <c r="I46" s="265" t="e">
        <f t="shared" si="1"/>
        <v>#REF!</v>
      </c>
      <c r="J46" s="265" t="e">
        <f>Cons!#REF!</f>
        <v>#REF!</v>
      </c>
      <c r="K46" s="265" t="e">
        <f t="shared" si="2"/>
        <v>#REF!</v>
      </c>
      <c r="L46" s="265" t="e">
        <f>Cons!#REF!</f>
        <v>#REF!</v>
      </c>
      <c r="M46" s="265">
        <f>Cons!K945</f>
        <v>379.83589662126923</v>
      </c>
      <c r="N46" s="263">
        <f>Cons!B1043</f>
        <v>1424.1624999999999</v>
      </c>
      <c r="O46" s="271">
        <f>Cons!M1043</f>
        <v>2131.4878867507468</v>
      </c>
      <c r="P46" s="270">
        <f t="shared" si="3"/>
        <v>-2131.4878867507468</v>
      </c>
      <c r="R46" s="263" t="str">
        <f>ULS!J558</f>
        <v>-</v>
      </c>
      <c r="S46" s="265">
        <f>ULS!K558</f>
        <v>22.399562789479209</v>
      </c>
      <c r="T46" s="265">
        <f>ULS!$H$511</f>
        <v>21</v>
      </c>
      <c r="U46" s="270">
        <f>ULS!$H$512</f>
        <v>30</v>
      </c>
      <c r="V46" s="263" t="e">
        <f>MIN(ULS!#REF!,ULS!#REF!)</f>
        <v>#REF!</v>
      </c>
      <c r="W46" s="266" t="e">
        <f>MAX(ULS!#REF!,ULS!#REF!)</f>
        <v>#REF!</v>
      </c>
      <c r="X46" s="263" t="e">
        <f>-ULS!#REF!</f>
        <v>#REF!</v>
      </c>
      <c r="Y46" s="263" t="e">
        <f>ULS!#REF!</f>
        <v>#REF!</v>
      </c>
      <c r="Z46" s="270">
        <f>ULS!B1282</f>
        <v>-87316.733500000002</v>
      </c>
      <c r="AA46" s="270">
        <f>ULS!C1282</f>
        <v>161123.19717351606</v>
      </c>
      <c r="AB46" s="263">
        <f>ULS!K1458</f>
        <v>2988.6904921504997</v>
      </c>
      <c r="AC46" s="263">
        <f>ULS!L1458</f>
        <v>6794.4795403845001</v>
      </c>
      <c r="AD46" s="263">
        <f t="shared" si="4"/>
        <v>-6794.4795403845001</v>
      </c>
      <c r="AF46" s="265">
        <f>MIN(SLS!F69,SLS!G69)</f>
        <v>-178.00781807326427</v>
      </c>
      <c r="AG46" s="265">
        <f>MAX(SLS!F69,SLS!G69)</f>
        <v>165.78275268019314</v>
      </c>
      <c r="AH46" s="265">
        <f>SLS!I69</f>
        <v>360.84892495666708</v>
      </c>
      <c r="AI46" s="266">
        <f t="shared" si="5"/>
        <v>-360.84892495666708</v>
      </c>
      <c r="AJ46" s="265">
        <f>-SLS!L192</f>
        <v>178.00781807326427</v>
      </c>
      <c r="AK46" s="265">
        <f>SLS!K192</f>
        <v>379.84097363859689</v>
      </c>
      <c r="AM46" s="265">
        <f>MAX(FLS!F93,FLS!G93)</f>
        <v>6.228796179043476</v>
      </c>
      <c r="AN46" s="265">
        <f>FLS!$M$36</f>
        <v>44.785427170200244</v>
      </c>
      <c r="AO46" s="265">
        <f>FLS!K181</f>
        <v>1769.0444841021233</v>
      </c>
      <c r="AP46" s="265">
        <f>FLS!B181</f>
        <v>2131.4878867507468</v>
      </c>
      <c r="AQ46" s="265">
        <f t="shared" si="6"/>
        <v>-2131.4878867507468</v>
      </c>
      <c r="AS46" s="265"/>
      <c r="AT46" s="265"/>
      <c r="AU46" s="265"/>
      <c r="AV46" s="265"/>
    </row>
    <row r="47" spans="1:48" ht="15" customHeight="1">
      <c r="A47" s="263" t="str">
        <f>input!B45</f>
        <v>122i</v>
      </c>
      <c r="B47" s="263">
        <f>input!C45</f>
        <v>86.9</v>
      </c>
      <c r="C47" s="265">
        <f>ABS(Cons!K203)</f>
        <v>4.7028155802039491</v>
      </c>
      <c r="D47" s="263">
        <f>Cons!L203</f>
        <v>228</v>
      </c>
      <c r="E47" s="265" t="e">
        <f>Cons!#REF!</f>
        <v>#REF!</v>
      </c>
      <c r="F47" s="265" t="e">
        <f>Cons!#REF!</f>
        <v>#REF!</v>
      </c>
      <c r="G47" s="265" t="e">
        <f t="shared" si="0"/>
        <v>#REF!</v>
      </c>
      <c r="H47" s="265" t="e">
        <f>Cons!#REF!</f>
        <v>#REF!</v>
      </c>
      <c r="I47" s="265" t="e">
        <f t="shared" si="1"/>
        <v>#REF!</v>
      </c>
      <c r="J47" s="265" t="e">
        <f>Cons!#REF!</f>
        <v>#REF!</v>
      </c>
      <c r="K47" s="265" t="e">
        <f t="shared" si="2"/>
        <v>#REF!</v>
      </c>
      <c r="L47" s="265" t="e">
        <f>Cons!#REF!</f>
        <v>#REF!</v>
      </c>
      <c r="M47" s="265">
        <f>Cons!K946</f>
        <v>379.74348556207576</v>
      </c>
      <c r="N47" s="263">
        <f>Cons!B1044</f>
        <v>1424.16875</v>
      </c>
      <c r="O47" s="271">
        <f>Cons!M1044</f>
        <v>1327.6749109114714</v>
      </c>
      <c r="P47" s="270">
        <f t="shared" si="3"/>
        <v>-1327.6749109114714</v>
      </c>
      <c r="R47" s="263" t="str">
        <f>ULS!J559</f>
        <v>-</v>
      </c>
      <c r="S47" s="265">
        <f>ULS!K559</f>
        <v>29.08925227943876</v>
      </c>
      <c r="T47" s="265">
        <f>ULS!$H$511</f>
        <v>21</v>
      </c>
      <c r="U47" s="270">
        <f>ULS!$H$512</f>
        <v>30</v>
      </c>
      <c r="V47" s="263" t="e">
        <f>MIN(ULS!#REF!,ULS!#REF!)</f>
        <v>#REF!</v>
      </c>
      <c r="W47" s="266" t="e">
        <f>MAX(ULS!#REF!,ULS!#REF!)</f>
        <v>#REF!</v>
      </c>
      <c r="X47" s="263" t="e">
        <f>-ULS!#REF!</f>
        <v>#REF!</v>
      </c>
      <c r="Y47" s="263" t="e">
        <f>ULS!#REF!</f>
        <v>#REF!</v>
      </c>
      <c r="Z47" s="270">
        <f>ULS!B1283</f>
        <v>-87316.59599999999</v>
      </c>
      <c r="AA47" s="270">
        <f>ULS!C1283</f>
        <v>118016.46692503565</v>
      </c>
      <c r="AB47" s="263">
        <f>ULS!K1459</f>
        <v>2988.6819706409283</v>
      </c>
      <c r="AC47" s="263">
        <f>ULS!L1459</f>
        <v>5264.2376535428275</v>
      </c>
      <c r="AD47" s="263">
        <f t="shared" si="4"/>
        <v>-5264.2376535428275</v>
      </c>
      <c r="AF47" s="265">
        <f>MIN(SLS!F70,SLS!G70)</f>
        <v>-218.86396699294551</v>
      </c>
      <c r="AG47" s="265">
        <f>MAX(SLS!F70,SLS!G70)</f>
        <v>280.91962480998933</v>
      </c>
      <c r="AH47" s="265">
        <f>SLS!I70</f>
        <v>360.76608315752844</v>
      </c>
      <c r="AI47" s="266">
        <f t="shared" si="5"/>
        <v>-360.76608315752844</v>
      </c>
      <c r="AJ47" s="265">
        <f>-SLS!L193</f>
        <v>218.86396699294551</v>
      </c>
      <c r="AK47" s="265">
        <f>SLS!K193</f>
        <v>379.75377174476682</v>
      </c>
      <c r="AM47" s="265">
        <f>MAX(FLS!F94,FLS!G94)</f>
        <v>10.164964518349779</v>
      </c>
      <c r="AN47" s="265">
        <f>FLS!$M$36</f>
        <v>44.785427170200244</v>
      </c>
      <c r="AO47" s="265">
        <f>FLS!K182</f>
        <v>1769.0407507760387</v>
      </c>
      <c r="AP47" s="265">
        <f>FLS!B182</f>
        <v>1327.6749109114714</v>
      </c>
      <c r="AQ47" s="265">
        <f t="shared" si="6"/>
        <v>-1327.6749109114714</v>
      </c>
      <c r="AS47" s="265"/>
      <c r="AT47" s="265"/>
      <c r="AU47" s="265"/>
      <c r="AV47" s="265"/>
    </row>
    <row r="48" spans="1:48" ht="15" customHeight="1">
      <c r="A48" s="263" t="str">
        <f>input!B46</f>
        <v>122j</v>
      </c>
      <c r="B48" s="263">
        <f>input!C46</f>
        <v>91.9</v>
      </c>
      <c r="C48" s="265">
        <f>ABS(Cons!K204)</f>
        <v>4.7028155802039491</v>
      </c>
      <c r="D48" s="263">
        <f>Cons!L204</f>
        <v>228</v>
      </c>
      <c r="E48" s="265" t="e">
        <f>Cons!#REF!</f>
        <v>#REF!</v>
      </c>
      <c r="F48" s="265" t="e">
        <f>Cons!#REF!</f>
        <v>#REF!</v>
      </c>
      <c r="G48" s="265" t="e">
        <f t="shared" si="0"/>
        <v>#REF!</v>
      </c>
      <c r="H48" s="265" t="e">
        <f>Cons!#REF!</f>
        <v>#REF!</v>
      </c>
      <c r="I48" s="265" t="e">
        <f t="shared" si="1"/>
        <v>#REF!</v>
      </c>
      <c r="J48" s="265" t="e">
        <f>Cons!#REF!</f>
        <v>#REF!</v>
      </c>
      <c r="K48" s="265" t="e">
        <f t="shared" si="2"/>
        <v>#REF!</v>
      </c>
      <c r="L48" s="265" t="e">
        <f>Cons!#REF!</f>
        <v>#REF!</v>
      </c>
      <c r="M48" s="265">
        <f>Cons!K947</f>
        <v>379.74348556207576</v>
      </c>
      <c r="N48" s="263">
        <f>Cons!B1045</f>
        <v>1194.0125</v>
      </c>
      <c r="O48" s="271">
        <f>Cons!M1045</f>
        <v>1327.6749109114714</v>
      </c>
      <c r="P48" s="270">
        <f t="shared" si="3"/>
        <v>-1327.6749109114714</v>
      </c>
      <c r="R48" s="263" t="str">
        <f>ULS!J560</f>
        <v>-</v>
      </c>
      <c r="S48" s="265">
        <f>ULS!K560</f>
        <v>21.921516362988235</v>
      </c>
      <c r="T48" s="265">
        <f>ULS!$H$511</f>
        <v>21</v>
      </c>
      <c r="U48" s="270">
        <f>ULS!$H$512</f>
        <v>30</v>
      </c>
      <c r="V48" s="263" t="e">
        <f>MIN(ULS!#REF!,ULS!#REF!)</f>
        <v>#REF!</v>
      </c>
      <c r="W48" s="266" t="e">
        <f>MAX(ULS!#REF!,ULS!#REF!)</f>
        <v>#REF!</v>
      </c>
      <c r="X48" s="263" t="e">
        <f>-ULS!#REF!</f>
        <v>#REF!</v>
      </c>
      <c r="Y48" s="263" t="e">
        <f>ULS!#REF!</f>
        <v>#REF!</v>
      </c>
      <c r="Z48" s="270">
        <f>ULS!B1284</f>
        <v>-65173.652000000002</v>
      </c>
      <c r="AA48" s="270">
        <f>ULS!C1284</f>
        <v>118431.19390245817</v>
      </c>
      <c r="AB48" s="263">
        <f>ULS!K1460</f>
        <v>2588.1333850810688</v>
      </c>
      <c r="AC48" s="263">
        <f>ULS!L1460</f>
        <v>5264.2376535428275</v>
      </c>
      <c r="AD48" s="263">
        <f t="shared" si="4"/>
        <v>-5264.2376535428275</v>
      </c>
      <c r="AF48" s="265">
        <f>MIN(SLS!F71,SLS!G71)</f>
        <v>-160.07714027226467</v>
      </c>
      <c r="AG48" s="265">
        <f>MAX(SLS!F71,SLS!G71)</f>
        <v>207.69278050936867</v>
      </c>
      <c r="AH48" s="265">
        <f>SLS!I71</f>
        <v>360.76608315752844</v>
      </c>
      <c r="AI48" s="266">
        <f t="shared" si="5"/>
        <v>-360.76608315752844</v>
      </c>
      <c r="AJ48" s="265">
        <f>-SLS!L194</f>
        <v>160.07714027226467</v>
      </c>
      <c r="AK48" s="265">
        <f>SLS!K194</f>
        <v>379.75377174476682</v>
      </c>
      <c r="AM48" s="265">
        <f>MAX(FLS!F95,FLS!G95)</f>
        <v>10.953073338868883</v>
      </c>
      <c r="AN48" s="265">
        <f>FLS!$M$36</f>
        <v>44.785427170200244</v>
      </c>
      <c r="AO48" s="265">
        <f>FLS!K183</f>
        <v>1495.6193570646788</v>
      </c>
      <c r="AP48" s="265">
        <f>FLS!B183</f>
        <v>1327.6749109114714</v>
      </c>
      <c r="AQ48" s="265">
        <f t="shared" si="6"/>
        <v>-1327.6749109114714</v>
      </c>
      <c r="AS48" s="265"/>
      <c r="AT48" s="265"/>
      <c r="AU48" s="265"/>
      <c r="AV48" s="265"/>
    </row>
    <row r="49" spans="1:48" ht="15" customHeight="1">
      <c r="A49" s="263" t="str">
        <f>input!B47</f>
        <v>123i</v>
      </c>
      <c r="B49" s="263">
        <f>input!C47</f>
        <v>91.9</v>
      </c>
      <c r="C49" s="265">
        <f>ABS(Cons!K205)</f>
        <v>7.3353315951441704</v>
      </c>
      <c r="D49" s="263">
        <f>Cons!L205</f>
        <v>228</v>
      </c>
      <c r="E49" s="265" t="e">
        <f>Cons!#REF!</f>
        <v>#REF!</v>
      </c>
      <c r="F49" s="265" t="e">
        <f>Cons!#REF!</f>
        <v>#REF!</v>
      </c>
      <c r="G49" s="265" t="e">
        <f t="shared" si="0"/>
        <v>#REF!</v>
      </c>
      <c r="H49" s="265" t="e">
        <f>Cons!#REF!</f>
        <v>#REF!</v>
      </c>
      <c r="I49" s="265" t="e">
        <f t="shared" si="1"/>
        <v>#REF!</v>
      </c>
      <c r="J49" s="265" t="e">
        <f>Cons!#REF!</f>
        <v>#REF!</v>
      </c>
      <c r="K49" s="265" t="e">
        <f t="shared" si="2"/>
        <v>#REF!</v>
      </c>
      <c r="L49" s="265" t="e">
        <f>Cons!#REF!</f>
        <v>#REF!</v>
      </c>
      <c r="M49" s="265">
        <f>Cons!K948</f>
        <v>379.72812323033014</v>
      </c>
      <c r="N49" s="263">
        <f>Cons!B1046</f>
        <v>1125.8812500000001</v>
      </c>
      <c r="O49" s="271">
        <f>Cons!M1046</f>
        <v>1320.7525127251954</v>
      </c>
      <c r="P49" s="270">
        <f t="shared" si="3"/>
        <v>-1320.7525127251954</v>
      </c>
      <c r="R49" s="263" t="str">
        <f>ULS!J561</f>
        <v>-</v>
      </c>
      <c r="S49" s="265" t="str">
        <f>ULS!K561</f>
        <v>-</v>
      </c>
      <c r="T49" s="265">
        <f>ULS!$H$511</f>
        <v>21</v>
      </c>
      <c r="U49" s="270">
        <f>ULS!$H$512</f>
        <v>30</v>
      </c>
      <c r="V49" s="263" t="e">
        <f>MIN(ULS!#REF!,ULS!#REF!)</f>
        <v>#REF!</v>
      </c>
      <c r="W49" s="266" t="e">
        <f>MAX(ULS!#REF!,ULS!#REF!)</f>
        <v>#REF!</v>
      </c>
      <c r="X49" s="263" t="e">
        <f>-ULS!#REF!</f>
        <v>#REF!</v>
      </c>
      <c r="Y49" s="263" t="e">
        <f>ULS!#REF!</f>
        <v>#REF!</v>
      </c>
      <c r="Z49" s="270">
        <f>ULS!B1285</f>
        <v>-65173.6495</v>
      </c>
      <c r="AA49" s="270">
        <f>ULS!C1285</f>
        <v>62723.505499360166</v>
      </c>
      <c r="AB49" s="263">
        <f>ULS!K1461</f>
        <v>2442.7099129186827</v>
      </c>
      <c r="AC49" s="263">
        <f>ULS!L1461</f>
        <v>5018.9937439250962</v>
      </c>
      <c r="AD49" s="263">
        <f t="shared" si="4"/>
        <v>-5018.9937439250962</v>
      </c>
      <c r="AF49" s="265">
        <f>MIN(SLS!F72,SLS!G72)</f>
        <v>-241.5446476035425</v>
      </c>
      <c r="AG49" s="265">
        <f>MAX(SLS!F72,SLS!G72)</f>
        <v>269.34248946555658</v>
      </c>
      <c r="AH49" s="265">
        <f>SLS!I72</f>
        <v>360.75905716865952</v>
      </c>
      <c r="AI49" s="266">
        <f t="shared" si="5"/>
        <v>-360.75905716865952</v>
      </c>
      <c r="AJ49" s="265">
        <f>-SLS!L195</f>
        <v>241.5446476035425</v>
      </c>
      <c r="AK49" s="265">
        <f>SLS!K195</f>
        <v>379.74637596701001</v>
      </c>
      <c r="AM49" s="265">
        <f>MAX(FLS!F96,FLS!G96)</f>
        <v>14.101334994771051</v>
      </c>
      <c r="AN49" s="265">
        <f>FLS!$M$36</f>
        <v>44.785427170200244</v>
      </c>
      <c r="AO49" s="265">
        <f>FLS!K184</f>
        <v>1452.0773709214909</v>
      </c>
      <c r="AP49" s="265">
        <f>FLS!B184</f>
        <v>1320.7525127251954</v>
      </c>
      <c r="AQ49" s="265">
        <f t="shared" si="6"/>
        <v>-1320.7525127251954</v>
      </c>
      <c r="AS49" s="265"/>
      <c r="AT49" s="265"/>
      <c r="AU49" s="265"/>
      <c r="AV49" s="265"/>
    </row>
    <row r="50" spans="1:48" ht="15" customHeight="1">
      <c r="A50" s="263" t="str">
        <f>input!B48</f>
        <v>123j</v>
      </c>
      <c r="B50" s="263">
        <f>input!C48</f>
        <v>96.9</v>
      </c>
      <c r="C50" s="265">
        <f>ABS(Cons!K206)</f>
        <v>7.3353315951441704</v>
      </c>
      <c r="D50" s="263">
        <f>Cons!L206</f>
        <v>228</v>
      </c>
      <c r="E50" s="265" t="e">
        <f>Cons!#REF!</f>
        <v>#REF!</v>
      </c>
      <c r="F50" s="265" t="e">
        <f>Cons!#REF!</f>
        <v>#REF!</v>
      </c>
      <c r="G50" s="265" t="e">
        <f t="shared" si="0"/>
        <v>#REF!</v>
      </c>
      <c r="H50" s="265" t="e">
        <f>Cons!#REF!</f>
        <v>#REF!</v>
      </c>
      <c r="I50" s="265" t="e">
        <f t="shared" si="1"/>
        <v>#REF!</v>
      </c>
      <c r="J50" s="265" t="e">
        <f>Cons!#REF!</f>
        <v>#REF!</v>
      </c>
      <c r="K50" s="265" t="e">
        <f t="shared" si="2"/>
        <v>#REF!</v>
      </c>
      <c r="L50" s="265" t="e">
        <f>Cons!#REF!</f>
        <v>#REF!</v>
      </c>
      <c r="M50" s="265">
        <f>Cons!K949</f>
        <v>379.72812323033014</v>
      </c>
      <c r="N50" s="263">
        <f>Cons!B1047</f>
        <v>951.25625000000002</v>
      </c>
      <c r="O50" s="271">
        <f>Cons!M1047</f>
        <v>1320.7525127251954</v>
      </c>
      <c r="P50" s="270">
        <f t="shared" si="3"/>
        <v>-1320.7525127251954</v>
      </c>
      <c r="R50" s="263" t="str">
        <f>ULS!J562</f>
        <v>-</v>
      </c>
      <c r="S50" s="265" t="str">
        <f>ULS!K562</f>
        <v>-</v>
      </c>
      <c r="T50" s="265">
        <f>ULS!$H$511</f>
        <v>21</v>
      </c>
      <c r="U50" s="270">
        <f>ULS!$H$512</f>
        <v>30</v>
      </c>
      <c r="V50" s="263" t="e">
        <f>MIN(ULS!#REF!,ULS!#REF!)</f>
        <v>#REF!</v>
      </c>
      <c r="W50" s="266" t="e">
        <f>MAX(ULS!#REF!,ULS!#REF!)</f>
        <v>#REF!</v>
      </c>
      <c r="X50" s="263" t="e">
        <f>-ULS!#REF!</f>
        <v>#REF!</v>
      </c>
      <c r="Y50" s="263" t="e">
        <f>ULS!#REF!</f>
        <v>#REF!</v>
      </c>
      <c r="Z50" s="270">
        <f>ULS!B1286</f>
        <v>-47886.451000000001</v>
      </c>
      <c r="AA50" s="270">
        <f>ULS!C1286</f>
        <v>62723.505499360166</v>
      </c>
      <c r="AB50" s="263">
        <f>ULS!K1462</f>
        <v>2100.4776148489723</v>
      </c>
      <c r="AC50" s="263">
        <f>ULS!L1462</f>
        <v>5018.9937439250962</v>
      </c>
      <c r="AD50" s="263">
        <f t="shared" si="4"/>
        <v>-5018.9937439250962</v>
      </c>
      <c r="AF50" s="265">
        <f>MIN(SLS!F73,SLS!G73)</f>
        <v>-176.23542235659244</v>
      </c>
      <c r="AG50" s="265">
        <f>MAX(SLS!F73,SLS!G73)</f>
        <v>194.81446401199821</v>
      </c>
      <c r="AH50" s="265">
        <f>SLS!I73</f>
        <v>360.75905716865952</v>
      </c>
      <c r="AI50" s="266">
        <f t="shared" si="5"/>
        <v>-360.75905716865952</v>
      </c>
      <c r="AJ50" s="265">
        <f>-SLS!L196</f>
        <v>176.23542235659244</v>
      </c>
      <c r="AK50" s="265">
        <f>SLS!K196</f>
        <v>379.74637596701001</v>
      </c>
      <c r="AM50" s="265">
        <f>MAX(FLS!F97,FLS!G97)</f>
        <v>15.236789745794832</v>
      </c>
      <c r="AN50" s="265">
        <f>FLS!$M$36</f>
        <v>44.785427170200244</v>
      </c>
      <c r="AO50" s="265">
        <f>FLS!K185</f>
        <v>1222.3786000587484</v>
      </c>
      <c r="AP50" s="265">
        <f>FLS!B185</f>
        <v>1320.7525127251954</v>
      </c>
      <c r="AQ50" s="265">
        <f t="shared" si="6"/>
        <v>-1320.7525127251954</v>
      </c>
      <c r="AS50" s="265"/>
      <c r="AT50" s="265"/>
      <c r="AU50" s="265"/>
      <c r="AV50" s="265"/>
    </row>
    <row r="51" spans="1:48" ht="15" customHeight="1">
      <c r="A51" s="263" t="str">
        <f>input!B49</f>
        <v>124i</v>
      </c>
      <c r="B51" s="263">
        <f>input!C49</f>
        <v>96.9</v>
      </c>
      <c r="C51" s="265">
        <f>ABS(Cons!K207)</f>
        <v>15.889507411456828</v>
      </c>
      <c r="D51" s="263">
        <f>Cons!L207</f>
        <v>228</v>
      </c>
      <c r="E51" s="265" t="e">
        <f>Cons!#REF!</f>
        <v>#REF!</v>
      </c>
      <c r="F51" s="265" t="e">
        <f>Cons!#REF!</f>
        <v>#REF!</v>
      </c>
      <c r="G51" s="265" t="e">
        <f t="shared" si="0"/>
        <v>#REF!</v>
      </c>
      <c r="H51" s="265" t="e">
        <f>Cons!#REF!</f>
        <v>#REF!</v>
      </c>
      <c r="I51" s="265" t="e">
        <f t="shared" si="1"/>
        <v>#REF!</v>
      </c>
      <c r="J51" s="265" t="e">
        <f>Cons!#REF!</f>
        <v>#REF!</v>
      </c>
      <c r="K51" s="265" t="e">
        <f t="shared" si="2"/>
        <v>#REF!</v>
      </c>
      <c r="L51" s="265" t="e">
        <f>Cons!#REF!</f>
        <v>#REF!</v>
      </c>
      <c r="M51" s="265">
        <f>Cons!K950</f>
        <v>379.51243286979144</v>
      </c>
      <c r="N51" s="263">
        <f>Cons!B1048</f>
        <v>951.25</v>
      </c>
      <c r="O51" s="271">
        <f>Cons!M1048</f>
        <v>1319.9787397030161</v>
      </c>
      <c r="P51" s="270">
        <f t="shared" si="3"/>
        <v>-1319.9787397030161</v>
      </c>
      <c r="R51" s="263" t="str">
        <f>ULS!J563</f>
        <v>-</v>
      </c>
      <c r="S51" s="265" t="str">
        <f>ULS!K563</f>
        <v>-</v>
      </c>
      <c r="T51" s="265">
        <f>ULS!$H$511</f>
        <v>21</v>
      </c>
      <c r="U51" s="270">
        <f>ULS!$H$512</f>
        <v>30</v>
      </c>
      <c r="V51" s="263" t="e">
        <f>MIN(ULS!#REF!,ULS!#REF!)</f>
        <v>#REF!</v>
      </c>
      <c r="W51" s="266" t="e">
        <f>MAX(ULS!#REF!,ULS!#REF!)</f>
        <v>#REF!</v>
      </c>
      <c r="X51" s="263" t="e">
        <f>-ULS!#REF!</f>
        <v>#REF!</v>
      </c>
      <c r="Y51" s="263" t="e">
        <f>ULS!#REF!</f>
        <v>#REF!</v>
      </c>
      <c r="Z51" s="270">
        <f>ULS!B1287</f>
        <v>-47886.490999999995</v>
      </c>
      <c r="AA51" s="270">
        <f>ULS!C1287</f>
        <v>52111.705229174222</v>
      </c>
      <c r="AB51" s="263">
        <f>ULS!K1463</f>
        <v>2100.4942757596514</v>
      </c>
      <c r="AC51" s="263">
        <f>ULS!L1463</f>
        <v>4987.9984783153504</v>
      </c>
      <c r="AD51" s="263">
        <f t="shared" si="4"/>
        <v>-4987.9984783153504</v>
      </c>
      <c r="AF51" s="265">
        <f>MIN(SLS!F74,SLS!G74)</f>
        <v>-218.75318888655647</v>
      </c>
      <c r="AG51" s="265">
        <f>MAX(SLS!F74,SLS!G74)</f>
        <v>283.82065404120863</v>
      </c>
      <c r="AH51" s="265">
        <f>SLS!I74</f>
        <v>360.57085633129793</v>
      </c>
      <c r="AI51" s="266">
        <f t="shared" si="5"/>
        <v>-360.57085633129793</v>
      </c>
      <c r="AJ51" s="265">
        <f>-SLS!L197</f>
        <v>218.75318888655647</v>
      </c>
      <c r="AK51" s="265">
        <f>SLS!K197</f>
        <v>379.54826982241889</v>
      </c>
      <c r="AM51" s="265">
        <f>MAX(FLS!F98,FLS!G98)</f>
        <v>21.135596667448695</v>
      </c>
      <c r="AN51" s="265">
        <f>FLS!$M$36</f>
        <v>44.785427170200244</v>
      </c>
      <c r="AO51" s="265">
        <f>FLS!K186</f>
        <v>1222.3869225192943</v>
      </c>
      <c r="AP51" s="265">
        <f>FLS!B186</f>
        <v>1319.9787397030161</v>
      </c>
      <c r="AQ51" s="265">
        <f t="shared" si="6"/>
        <v>-1319.9787397030161</v>
      </c>
      <c r="AS51" s="265"/>
      <c r="AT51" s="265"/>
      <c r="AU51" s="265"/>
      <c r="AV51" s="265"/>
    </row>
    <row r="52" spans="1:48" ht="15" customHeight="1">
      <c r="A52" s="263" t="str">
        <f>input!B50</f>
        <v>124j</v>
      </c>
      <c r="B52" s="263">
        <f>input!C50</f>
        <v>101.9</v>
      </c>
      <c r="C52" s="265">
        <f>ABS(Cons!K208)</f>
        <v>15.889507411456828</v>
      </c>
      <c r="D52" s="263">
        <f>Cons!L208</f>
        <v>228</v>
      </c>
      <c r="E52" s="265" t="e">
        <f>Cons!#REF!</f>
        <v>#REF!</v>
      </c>
      <c r="F52" s="265" t="e">
        <f>Cons!#REF!</f>
        <v>#REF!</v>
      </c>
      <c r="G52" s="265" t="e">
        <f t="shared" si="0"/>
        <v>#REF!</v>
      </c>
      <c r="H52" s="265" t="e">
        <f>Cons!#REF!</f>
        <v>#REF!</v>
      </c>
      <c r="I52" s="265" t="e">
        <f t="shared" si="1"/>
        <v>#REF!</v>
      </c>
      <c r="J52" s="265" t="e">
        <f>Cons!#REF!</f>
        <v>#REF!</v>
      </c>
      <c r="K52" s="265" t="e">
        <f t="shared" si="2"/>
        <v>#REF!</v>
      </c>
      <c r="L52" s="265" t="e">
        <f>Cons!#REF!</f>
        <v>#REF!</v>
      </c>
      <c r="M52" s="265">
        <f>Cons!K951</f>
        <v>379.51243286979144</v>
      </c>
      <c r="N52" s="263">
        <f>Cons!B1049</f>
        <v>788.48125000000005</v>
      </c>
      <c r="O52" s="271">
        <f>Cons!M1049</f>
        <v>1319.9787397030161</v>
      </c>
      <c r="P52" s="270">
        <f t="shared" si="3"/>
        <v>-1319.9787397030161</v>
      </c>
      <c r="R52" s="263" t="str">
        <f>ULS!J564</f>
        <v>-</v>
      </c>
      <c r="S52" s="265" t="str">
        <f>ULS!K564</f>
        <v>-</v>
      </c>
      <c r="T52" s="265">
        <f>ULS!$H$511</f>
        <v>21</v>
      </c>
      <c r="U52" s="270">
        <f>ULS!$H$512</f>
        <v>30</v>
      </c>
      <c r="V52" s="263" t="e">
        <f>MIN(ULS!#REF!,ULS!#REF!)</f>
        <v>#REF!</v>
      </c>
      <c r="W52" s="266" t="e">
        <f>MAX(ULS!#REF!,ULS!#REF!)</f>
        <v>#REF!</v>
      </c>
      <c r="X52" s="263" t="e">
        <f>-ULS!#REF!</f>
        <v>#REF!</v>
      </c>
      <c r="Y52" s="263" t="e">
        <f>ULS!#REF!</f>
        <v>#REF!</v>
      </c>
      <c r="Z52" s="270">
        <f>ULS!B1288</f>
        <v>-33086.458500000008</v>
      </c>
      <c r="AA52" s="270">
        <f>ULS!C1288</f>
        <v>52111.705229174222</v>
      </c>
      <c r="AB52" s="263">
        <f>ULS!K1464</f>
        <v>1781.1633630828239</v>
      </c>
      <c r="AC52" s="263">
        <f>ULS!L1464</f>
        <v>4987.9984783153504</v>
      </c>
      <c r="AD52" s="263">
        <f t="shared" si="4"/>
        <v>-4987.9984783153504</v>
      </c>
      <c r="AF52" s="265">
        <f>MIN(SLS!F75,SLS!G75)</f>
        <v>-149.0754723087523</v>
      </c>
      <c r="AG52" s="265">
        <f>MAX(SLS!F75,SLS!G75)</f>
        <v>189.84515350706562</v>
      </c>
      <c r="AH52" s="265">
        <f>SLS!I75</f>
        <v>360.57085633129793</v>
      </c>
      <c r="AI52" s="266">
        <f t="shared" si="5"/>
        <v>-360.57085633129793</v>
      </c>
      <c r="AJ52" s="265">
        <f>-SLS!L198</f>
        <v>149.0754723087523</v>
      </c>
      <c r="AK52" s="265">
        <f>SLS!K198</f>
        <v>379.54826982241889</v>
      </c>
      <c r="AM52" s="265">
        <f>MAX(FLS!F99,FLS!G99)</f>
        <v>20.876176388383424</v>
      </c>
      <c r="AN52" s="265">
        <f>FLS!$M$36</f>
        <v>44.785427170200244</v>
      </c>
      <c r="AO52" s="265">
        <f>FLS!K187</f>
        <v>1004.0433465065454</v>
      </c>
      <c r="AP52" s="265">
        <f>FLS!B187</f>
        <v>1319.9787397030161</v>
      </c>
      <c r="AQ52" s="265">
        <f t="shared" si="6"/>
        <v>-1319.9787397030161</v>
      </c>
      <c r="AS52" s="265"/>
      <c r="AT52" s="265"/>
      <c r="AU52" s="265"/>
      <c r="AV52" s="265"/>
    </row>
    <row r="53" spans="1:48" ht="15" customHeight="1">
      <c r="A53" s="263" t="str">
        <f>input!B51</f>
        <v>125i</v>
      </c>
      <c r="B53" s="263">
        <f>input!C51</f>
        <v>101.9</v>
      </c>
      <c r="C53" s="265">
        <f>ABS(Cons!K209)</f>
        <v>18.560515151039887</v>
      </c>
      <c r="D53" s="263">
        <f>Cons!L209</f>
        <v>228</v>
      </c>
      <c r="E53" s="265" t="e">
        <f>Cons!#REF!</f>
        <v>#REF!</v>
      </c>
      <c r="F53" s="265" t="e">
        <f>Cons!#REF!</f>
        <v>#REF!</v>
      </c>
      <c r="G53" s="265" t="e">
        <f t="shared" si="0"/>
        <v>#REF!</v>
      </c>
      <c r="H53" s="265" t="e">
        <f>Cons!#REF!</f>
        <v>#REF!</v>
      </c>
      <c r="I53" s="265" t="e">
        <f t="shared" si="1"/>
        <v>#REF!</v>
      </c>
      <c r="J53" s="265" t="e">
        <f>Cons!#REF!</f>
        <v>#REF!</v>
      </c>
      <c r="K53" s="265" t="e">
        <f t="shared" si="2"/>
        <v>#REF!</v>
      </c>
      <c r="L53" s="265" t="e">
        <f>Cons!#REF!</f>
        <v>#REF!</v>
      </c>
      <c r="M53" s="265">
        <f>Cons!K952</f>
        <v>379.4583249094602</v>
      </c>
      <c r="N53" s="263">
        <f>Cons!B1050</f>
        <v>719.85625000000005</v>
      </c>
      <c r="O53" s="271">
        <f>Cons!M1050</f>
        <v>1319.9787397030161</v>
      </c>
      <c r="P53" s="270">
        <f t="shared" si="3"/>
        <v>-1319.9787397030161</v>
      </c>
      <c r="R53" s="263" t="str">
        <f>ULS!J565</f>
        <v>-</v>
      </c>
      <c r="S53" s="265" t="str">
        <f>ULS!K565</f>
        <v>-</v>
      </c>
      <c r="T53" s="265">
        <f>ULS!$H$511</f>
        <v>21</v>
      </c>
      <c r="U53" s="270">
        <f>ULS!$H$512</f>
        <v>30</v>
      </c>
      <c r="V53" s="263" t="e">
        <f>MIN(ULS!#REF!,ULS!#REF!)</f>
        <v>#REF!</v>
      </c>
      <c r="W53" s="266" t="e">
        <f>MAX(ULS!#REF!,ULS!#REF!)</f>
        <v>#REF!</v>
      </c>
      <c r="X53" s="263" t="e">
        <f>-ULS!#REF!</f>
        <v>#REF!</v>
      </c>
      <c r="Y53" s="263" t="e">
        <f>ULS!#REF!</f>
        <v>#REF!</v>
      </c>
      <c r="Z53" s="270">
        <f>ULS!B1289</f>
        <v>-33086.433499999999</v>
      </c>
      <c r="AA53" s="270">
        <f>ULS!C1289</f>
        <v>43367.731940758145</v>
      </c>
      <c r="AB53" s="263">
        <f>ULS!K1465</f>
        <v>1659.7530678145322</v>
      </c>
      <c r="AC53" s="263">
        <f>ULS!L1465</f>
        <v>4987.9984783153504</v>
      </c>
      <c r="AD53" s="263">
        <f t="shared" si="4"/>
        <v>-4987.9984783153504</v>
      </c>
      <c r="AF53" s="265">
        <f>MIN(SLS!F76,SLS!G76)</f>
        <v>-180.50892344890909</v>
      </c>
      <c r="AG53" s="265">
        <f>MAX(SLS!F76,SLS!G76)</f>
        <v>211.79533268210758</v>
      </c>
      <c r="AH53" s="265">
        <f>SLS!I76</f>
        <v>360.52649483050521</v>
      </c>
      <c r="AI53" s="266">
        <f t="shared" si="5"/>
        <v>-360.52649483050521</v>
      </c>
      <c r="AJ53" s="265">
        <f>-SLS!L199</f>
        <v>180.50892344890909</v>
      </c>
      <c r="AK53" s="265">
        <f>SLS!K199</f>
        <v>379.50157350579502</v>
      </c>
      <c r="AM53" s="265">
        <f>MAX(FLS!F100,FLS!G100)</f>
        <v>22.972293077735586</v>
      </c>
      <c r="AN53" s="265">
        <f>FLS!$M$36</f>
        <v>44.785427170200244</v>
      </c>
      <c r="AO53" s="265">
        <f>FLS!K188</f>
        <v>984.01115545756977</v>
      </c>
      <c r="AP53" s="265">
        <f>FLS!B188</f>
        <v>1319.9787397030161</v>
      </c>
      <c r="AQ53" s="265">
        <f t="shared" si="6"/>
        <v>-1319.9787397030161</v>
      </c>
      <c r="AS53" s="265"/>
      <c r="AT53" s="265"/>
      <c r="AU53" s="265"/>
      <c r="AV53" s="265"/>
    </row>
    <row r="54" spans="1:48" ht="15" customHeight="1">
      <c r="A54" s="263" t="str">
        <f>input!B52</f>
        <v>125j</v>
      </c>
      <c r="B54" s="263">
        <f>input!C52</f>
        <v>106.9</v>
      </c>
      <c r="C54" s="265">
        <f>ABS(Cons!K210)</f>
        <v>18.560515151039887</v>
      </c>
      <c r="D54" s="263">
        <f>Cons!L210</f>
        <v>228</v>
      </c>
      <c r="E54" s="265" t="e">
        <f>Cons!#REF!</f>
        <v>#REF!</v>
      </c>
      <c r="F54" s="265" t="e">
        <f>Cons!#REF!</f>
        <v>#REF!</v>
      </c>
      <c r="G54" s="265" t="e">
        <f t="shared" si="0"/>
        <v>#REF!</v>
      </c>
      <c r="H54" s="265" t="e">
        <f>Cons!#REF!</f>
        <v>#REF!</v>
      </c>
      <c r="I54" s="265" t="e">
        <f t="shared" si="1"/>
        <v>#REF!</v>
      </c>
      <c r="J54" s="265" t="e">
        <f>Cons!#REF!</f>
        <v>#REF!</v>
      </c>
      <c r="K54" s="265" t="e">
        <f t="shared" si="2"/>
        <v>#REF!</v>
      </c>
      <c r="L54" s="265" t="e">
        <f>Cons!#REF!</f>
        <v>#REF!</v>
      </c>
      <c r="M54" s="265">
        <f>Cons!K953</f>
        <v>379.4583249094602</v>
      </c>
      <c r="N54" s="263">
        <f>Cons!B1051</f>
        <v>562.56250000000011</v>
      </c>
      <c r="O54" s="271">
        <f>Cons!M1051</f>
        <v>1319.9787397030161</v>
      </c>
      <c r="P54" s="270">
        <f t="shared" si="3"/>
        <v>-1319.9787397030161</v>
      </c>
      <c r="R54" s="263" t="str">
        <f>ULS!J566</f>
        <v>-</v>
      </c>
      <c r="S54" s="265" t="str">
        <f>ULS!K566</f>
        <v>-</v>
      </c>
      <c r="T54" s="265">
        <f>ULS!$H$511</f>
        <v>21</v>
      </c>
      <c r="U54" s="270">
        <f>ULS!$H$512</f>
        <v>30</v>
      </c>
      <c r="V54" s="263" t="e">
        <f>MIN(ULS!#REF!,ULS!#REF!)</f>
        <v>#REF!</v>
      </c>
      <c r="W54" s="266" t="e">
        <f>MAX(ULS!#REF!,ULS!#REF!)</f>
        <v>#REF!</v>
      </c>
      <c r="X54" s="263" t="e">
        <f>-ULS!#REF!</f>
        <v>#REF!</v>
      </c>
      <c r="Y54" s="263" t="e">
        <f>ULS!#REF!</f>
        <v>#REF!</v>
      </c>
      <c r="Z54" s="270">
        <f>ULS!B1290</f>
        <v>-21471.9555</v>
      </c>
      <c r="AA54" s="270">
        <f>ULS!C1290</f>
        <v>43367.731940758145</v>
      </c>
      <c r="AB54" s="263">
        <f>ULS!K1466</f>
        <v>1339.3639838082408</v>
      </c>
      <c r="AC54" s="263">
        <f>ULS!L1466</f>
        <v>4987.9984783153504</v>
      </c>
      <c r="AD54" s="263">
        <f t="shared" si="4"/>
        <v>-4987.9984783153504</v>
      </c>
      <c r="AF54" s="265">
        <f>MIN(SLS!F77,SLS!G77)</f>
        <v>-114.571955943489</v>
      </c>
      <c r="AG54" s="265">
        <f>MAX(SLS!F77,SLS!G77)</f>
        <v>130.28318885838365</v>
      </c>
      <c r="AH54" s="265">
        <f>SLS!I77</f>
        <v>360.52649483050521</v>
      </c>
      <c r="AI54" s="266">
        <f t="shared" si="5"/>
        <v>-360.52649483050521</v>
      </c>
      <c r="AJ54" s="265">
        <f>-SLS!L200</f>
        <v>114.571955943489</v>
      </c>
      <c r="AK54" s="265">
        <f>SLS!K200</f>
        <v>379.50157350579502</v>
      </c>
      <c r="AM54" s="265">
        <f>MAX(FLS!F101,FLS!G101)</f>
        <v>23.384195093996286</v>
      </c>
      <c r="AN54" s="265">
        <f>FLS!$M$36</f>
        <v>44.785427170200244</v>
      </c>
      <c r="AO54" s="265">
        <f>FLS!K189</f>
        <v>764.19369795020987</v>
      </c>
      <c r="AP54" s="265">
        <f>FLS!B189</f>
        <v>1319.9787397030161</v>
      </c>
      <c r="AQ54" s="265">
        <f t="shared" si="6"/>
        <v>-1319.9787397030161</v>
      </c>
      <c r="AS54" s="265"/>
      <c r="AT54" s="265"/>
      <c r="AU54" s="265"/>
      <c r="AV54" s="265"/>
    </row>
    <row r="55" spans="1:48" ht="15" customHeight="1">
      <c r="A55" s="263" t="str">
        <f>input!B53</f>
        <v>126i</v>
      </c>
      <c r="B55" s="263">
        <f>input!C53</f>
        <v>106.9</v>
      </c>
      <c r="C55" s="265">
        <f>ABS(Cons!K211)</f>
        <v>18.560515151039887</v>
      </c>
      <c r="D55" s="263">
        <f>Cons!L211</f>
        <v>228</v>
      </c>
      <c r="E55" s="265" t="e">
        <f>Cons!#REF!</f>
        <v>#REF!</v>
      </c>
      <c r="F55" s="265" t="e">
        <f>Cons!#REF!</f>
        <v>#REF!</v>
      </c>
      <c r="G55" s="265" t="e">
        <f t="shared" si="0"/>
        <v>#REF!</v>
      </c>
      <c r="H55" s="265" t="e">
        <f>Cons!#REF!</f>
        <v>#REF!</v>
      </c>
      <c r="I55" s="265" t="e">
        <f t="shared" si="1"/>
        <v>#REF!</v>
      </c>
      <c r="J55" s="265" t="e">
        <f>Cons!#REF!</f>
        <v>#REF!</v>
      </c>
      <c r="K55" s="265" t="e">
        <f t="shared" si="2"/>
        <v>#REF!</v>
      </c>
      <c r="L55" s="265" t="e">
        <f>Cons!#REF!</f>
        <v>#REF!</v>
      </c>
      <c r="M55" s="265">
        <f>Cons!K954</f>
        <v>379.4583249094602</v>
      </c>
      <c r="N55" s="263">
        <f>Cons!B1052</f>
        <v>562.56875000000014</v>
      </c>
      <c r="O55" s="271">
        <f>Cons!M1052</f>
        <v>1319.9787397030161</v>
      </c>
      <c r="P55" s="270">
        <f t="shared" si="3"/>
        <v>-1319.9787397030161</v>
      </c>
      <c r="R55" s="263" t="str">
        <f>ULS!J567</f>
        <v>-</v>
      </c>
      <c r="S55" s="265" t="str">
        <f>ULS!K567</f>
        <v>-</v>
      </c>
      <c r="T55" s="265">
        <f>ULS!$H$511</f>
        <v>21</v>
      </c>
      <c r="U55" s="270">
        <f>ULS!$H$512</f>
        <v>30</v>
      </c>
      <c r="V55" s="263" t="e">
        <f>MIN(ULS!#REF!,ULS!#REF!)</f>
        <v>#REF!</v>
      </c>
      <c r="W55" s="266" t="e">
        <f>MAX(ULS!#REF!,ULS!#REF!)</f>
        <v>#REF!</v>
      </c>
      <c r="X55" s="263" t="e">
        <f>-ULS!#REF!</f>
        <v>#REF!</v>
      </c>
      <c r="Y55" s="263" t="e">
        <f>ULS!#REF!</f>
        <v>#REF!</v>
      </c>
      <c r="Z55" s="270">
        <f>ULS!B1291</f>
        <v>-21471.9555</v>
      </c>
      <c r="AA55" s="270">
        <f>ULS!C1291</f>
        <v>43367.731940758145</v>
      </c>
      <c r="AB55" s="263">
        <f>ULS!K1467</f>
        <v>1339.3702824471065</v>
      </c>
      <c r="AC55" s="263">
        <f>ULS!L1467</f>
        <v>4987.9984783153504</v>
      </c>
      <c r="AD55" s="263">
        <f t="shared" si="4"/>
        <v>-4987.9984783153504</v>
      </c>
      <c r="AF55" s="265">
        <f>MIN(SLS!F78,SLS!G78)</f>
        <v>-114.571955943489</v>
      </c>
      <c r="AG55" s="265">
        <f>MAX(SLS!F78,SLS!G78)</f>
        <v>130.28318885838365</v>
      </c>
      <c r="AH55" s="265">
        <f>SLS!I78</f>
        <v>360.52649483050521</v>
      </c>
      <c r="AI55" s="266">
        <f t="shared" si="5"/>
        <v>-360.52649483050521</v>
      </c>
      <c r="AJ55" s="265">
        <f>-SLS!L201</f>
        <v>114.571955943489</v>
      </c>
      <c r="AK55" s="265">
        <f>SLS!K201</f>
        <v>379.50157350579502</v>
      </c>
      <c r="AM55" s="265">
        <f>MAX(FLS!F102,FLS!G102)</f>
        <v>23.38425016111076</v>
      </c>
      <c r="AN55" s="265">
        <f>FLS!$M$36</f>
        <v>44.785427170200244</v>
      </c>
      <c r="AO55" s="265">
        <f>FLS!K190</f>
        <v>764.19873686130256</v>
      </c>
      <c r="AP55" s="265">
        <f>FLS!B190</f>
        <v>1319.9787397030161</v>
      </c>
      <c r="AQ55" s="265">
        <f t="shared" si="6"/>
        <v>-1319.9787397030161</v>
      </c>
      <c r="AS55" s="265"/>
      <c r="AT55" s="265"/>
      <c r="AU55" s="265"/>
      <c r="AV55" s="265"/>
    </row>
    <row r="56" spans="1:48" ht="15" customHeight="1">
      <c r="A56" s="263" t="str">
        <f>input!B54</f>
        <v>126j</v>
      </c>
      <c r="B56" s="263">
        <f>input!C54</f>
        <v>111.9</v>
      </c>
      <c r="C56" s="265">
        <f>ABS(Cons!K212)</f>
        <v>18.560515151039887</v>
      </c>
      <c r="D56" s="263">
        <f>Cons!L212</f>
        <v>228</v>
      </c>
      <c r="E56" s="265" t="e">
        <f>Cons!#REF!</f>
        <v>#REF!</v>
      </c>
      <c r="F56" s="265" t="e">
        <f>Cons!#REF!</f>
        <v>#REF!</v>
      </c>
      <c r="G56" s="265" t="e">
        <f t="shared" si="0"/>
        <v>#REF!</v>
      </c>
      <c r="H56" s="265" t="e">
        <f>Cons!#REF!</f>
        <v>#REF!</v>
      </c>
      <c r="I56" s="265" t="e">
        <f t="shared" si="1"/>
        <v>#REF!</v>
      </c>
      <c r="J56" s="265" t="e">
        <f>Cons!#REF!</f>
        <v>#REF!</v>
      </c>
      <c r="K56" s="265" t="e">
        <f t="shared" si="2"/>
        <v>#REF!</v>
      </c>
      <c r="L56" s="265" t="e">
        <f>Cons!#REF!</f>
        <v>#REF!</v>
      </c>
      <c r="M56" s="265">
        <f>Cons!K955</f>
        <v>379.4583249094602</v>
      </c>
      <c r="N56" s="263">
        <f>Cons!B1053</f>
        <v>405.27499999999998</v>
      </c>
      <c r="O56" s="271">
        <f>Cons!M1053</f>
        <v>1319.9787397030161</v>
      </c>
      <c r="P56" s="270">
        <f t="shared" si="3"/>
        <v>-1319.9787397030161</v>
      </c>
      <c r="R56" s="263" t="str">
        <f>ULS!J568</f>
        <v>-</v>
      </c>
      <c r="S56" s="265" t="str">
        <f>ULS!K568</f>
        <v>-</v>
      </c>
      <c r="T56" s="265">
        <f>ULS!$H$511</f>
        <v>21</v>
      </c>
      <c r="U56" s="270">
        <f>ULS!$H$512</f>
        <v>30</v>
      </c>
      <c r="V56" s="263" t="e">
        <f>MIN(ULS!#REF!,ULS!#REF!)</f>
        <v>#REF!</v>
      </c>
      <c r="W56" s="266" t="e">
        <f>MAX(ULS!#REF!,ULS!#REF!)</f>
        <v>#REF!</v>
      </c>
      <c r="X56" s="263" t="e">
        <f>-ULS!#REF!</f>
        <v>#REF!</v>
      </c>
      <c r="Y56" s="263" t="e">
        <f>ULS!#REF!</f>
        <v>#REF!</v>
      </c>
      <c r="Z56" s="270">
        <f>ULS!B1292</f>
        <v>-11978.594500000001</v>
      </c>
      <c r="AA56" s="270">
        <f>ULS!C1292</f>
        <v>43367.731940758145</v>
      </c>
      <c r="AB56" s="263">
        <f>ULS!K1468</f>
        <v>1033.819783826558</v>
      </c>
      <c r="AC56" s="263">
        <f>ULS!L1468</f>
        <v>4987.9984783153504</v>
      </c>
      <c r="AD56" s="263">
        <f t="shared" si="4"/>
        <v>-4987.9984783153504</v>
      </c>
      <c r="AF56" s="265">
        <f>MIN(SLS!F79,SLS!G79)</f>
        <v>-61.120820776983564</v>
      </c>
      <c r="AG56" s="265">
        <f>MAX(SLS!F79,SLS!G79)</f>
        <v>64.901673908539863</v>
      </c>
      <c r="AH56" s="265">
        <f>SLS!I79</f>
        <v>360.52649483050521</v>
      </c>
      <c r="AI56" s="266">
        <f t="shared" si="5"/>
        <v>-360.52649483050521</v>
      </c>
      <c r="AJ56" s="265">
        <f>-SLS!L202</f>
        <v>61.120820776983564</v>
      </c>
      <c r="AK56" s="265">
        <f>SLS!K202</f>
        <v>379.50157350579502</v>
      </c>
      <c r="AM56" s="265">
        <f>MAX(FLS!F103,FLS!G103)</f>
        <v>21.331017730857194</v>
      </c>
      <c r="AN56" s="265">
        <f>FLS!$M$36</f>
        <v>44.785427170200244</v>
      </c>
      <c r="AO56" s="265">
        <f>FLS!K191</f>
        <v>547.42730110947161</v>
      </c>
      <c r="AP56" s="265">
        <f>FLS!B191</f>
        <v>1319.9787397030161</v>
      </c>
      <c r="AQ56" s="265">
        <f t="shared" si="6"/>
        <v>-1319.9787397030161</v>
      </c>
      <c r="AS56" s="265"/>
      <c r="AT56" s="265"/>
      <c r="AU56" s="265"/>
      <c r="AV56" s="265"/>
    </row>
    <row r="57" spans="1:48" ht="15" customHeight="1">
      <c r="A57" s="263" t="str">
        <f>input!B55</f>
        <v>127i</v>
      </c>
      <c r="B57" s="263">
        <f>input!C55</f>
        <v>111.9</v>
      </c>
      <c r="C57" s="265">
        <f>ABS(Cons!K213)</f>
        <v>18.344194128312612</v>
      </c>
      <c r="D57" s="263">
        <f>Cons!L213</f>
        <v>228</v>
      </c>
      <c r="E57" s="265" t="e">
        <f>Cons!#REF!</f>
        <v>#REF!</v>
      </c>
      <c r="F57" s="265" t="e">
        <f>Cons!#REF!</f>
        <v>#REF!</v>
      </c>
      <c r="G57" s="265" t="e">
        <f t="shared" si="0"/>
        <v>#REF!</v>
      </c>
      <c r="H57" s="265" t="e">
        <f>Cons!#REF!</f>
        <v>#REF!</v>
      </c>
      <c r="I57" s="265" t="e">
        <f t="shared" si="1"/>
        <v>#REF!</v>
      </c>
      <c r="J57" s="265" t="e">
        <f>Cons!#REF!</f>
        <v>#REF!</v>
      </c>
      <c r="K57" s="265" t="e">
        <f t="shared" si="2"/>
        <v>#REF!</v>
      </c>
      <c r="L57" s="265" t="e">
        <f>Cons!#REF!</f>
        <v>#REF!</v>
      </c>
      <c r="M57" s="265">
        <f>Cons!K956</f>
        <v>379.50317749469554</v>
      </c>
      <c r="N57" s="263">
        <f>Cons!B1054</f>
        <v>345.57499999999999</v>
      </c>
      <c r="O57" s="271">
        <f>Cons!M1054</f>
        <v>1319.9787397030161</v>
      </c>
      <c r="P57" s="270">
        <f t="shared" si="3"/>
        <v>-1319.9787397030161</v>
      </c>
      <c r="R57" s="263" t="str">
        <f>ULS!J569</f>
        <v>-</v>
      </c>
      <c r="S57" s="265" t="str">
        <f>ULS!K569</f>
        <v>-</v>
      </c>
      <c r="T57" s="265">
        <f>ULS!$H$511</f>
        <v>21</v>
      </c>
      <c r="U57" s="270">
        <f>ULS!$H$512</f>
        <v>30</v>
      </c>
      <c r="V57" s="263" t="e">
        <f>MIN(ULS!#REF!,ULS!#REF!)</f>
        <v>#REF!</v>
      </c>
      <c r="W57" s="266" t="e">
        <f>MAX(ULS!#REF!,ULS!#REF!)</f>
        <v>#REF!</v>
      </c>
      <c r="X57" s="263" t="e">
        <f>-ULS!#REF!</f>
        <v>#REF!</v>
      </c>
      <c r="Y57" s="263" t="e">
        <f>ULS!#REF!</f>
        <v>#REF!</v>
      </c>
      <c r="Z57" s="270">
        <f>ULS!B1293</f>
        <v>-11978.607000000002</v>
      </c>
      <c r="AA57" s="270">
        <f>ULS!C1293</f>
        <v>32568.879310273685</v>
      </c>
      <c r="AB57" s="263">
        <f>ULS!K1469</f>
        <v>997.24232820474606</v>
      </c>
      <c r="AC57" s="263">
        <f>ULS!L1469</f>
        <v>4987.9984783153504</v>
      </c>
      <c r="AD57" s="263">
        <f t="shared" si="4"/>
        <v>-4987.9984783153504</v>
      </c>
      <c r="AF57" s="265">
        <f>MIN(SLS!F80,SLS!G80)</f>
        <v>-81.9892343002156</v>
      </c>
      <c r="AG57" s="265">
        <f>MAX(SLS!F80,SLS!G80)</f>
        <v>69.003390895663784</v>
      </c>
      <c r="AH57" s="265">
        <f>SLS!I80</f>
        <v>360.44845367586038</v>
      </c>
      <c r="AI57" s="266">
        <f t="shared" si="5"/>
        <v>-360.44845367586038</v>
      </c>
      <c r="AJ57" s="265">
        <f>-SLS!L203</f>
        <v>81.9892343002156</v>
      </c>
      <c r="AK57" s="265">
        <f>SLS!K203</f>
        <v>379.4194249219583</v>
      </c>
      <c r="AM57" s="265">
        <f>MAX(FLS!F104,FLS!G104)</f>
        <v>27.274718954742532</v>
      </c>
      <c r="AN57" s="265">
        <f>FLS!$M$36</f>
        <v>44.785427170200244</v>
      </c>
      <c r="AO57" s="265">
        <f>FLS!K192</f>
        <v>546.25323482487556</v>
      </c>
      <c r="AP57" s="265">
        <f>FLS!B192</f>
        <v>1319.9787397030161</v>
      </c>
      <c r="AQ57" s="265">
        <f t="shared" si="6"/>
        <v>-1319.9787397030161</v>
      </c>
      <c r="AS57" s="265"/>
      <c r="AT57" s="265"/>
      <c r="AU57" s="265"/>
      <c r="AV57" s="265"/>
    </row>
    <row r="58" spans="1:48" ht="15" customHeight="1">
      <c r="A58" s="263" t="str">
        <f>input!B56</f>
        <v>127j</v>
      </c>
      <c r="B58" s="263">
        <f>input!C56</f>
        <v>116.9</v>
      </c>
      <c r="C58" s="265">
        <f>ABS(Cons!K214)</f>
        <v>18.344194128312612</v>
      </c>
      <c r="D58" s="263">
        <f>Cons!L214</f>
        <v>228</v>
      </c>
      <c r="E58" s="265" t="e">
        <f>Cons!#REF!</f>
        <v>#REF!</v>
      </c>
      <c r="F58" s="265" t="e">
        <f>Cons!#REF!</f>
        <v>#REF!</v>
      </c>
      <c r="G58" s="265" t="e">
        <f t="shared" si="0"/>
        <v>#REF!</v>
      </c>
      <c r="H58" s="265" t="e">
        <f>Cons!#REF!</f>
        <v>#REF!</v>
      </c>
      <c r="I58" s="265" t="e">
        <f t="shared" si="1"/>
        <v>#REF!</v>
      </c>
      <c r="J58" s="265" t="e">
        <f>Cons!#REF!</f>
        <v>#REF!</v>
      </c>
      <c r="K58" s="265" t="e">
        <f t="shared" si="2"/>
        <v>#REF!</v>
      </c>
      <c r="L58" s="265" t="e">
        <f>Cons!#REF!</f>
        <v>#REF!</v>
      </c>
      <c r="M58" s="265">
        <f>Cons!K957</f>
        <v>379.50317749469554</v>
      </c>
      <c r="N58" s="263">
        <f>Cons!B1055</f>
        <v>193.71875</v>
      </c>
      <c r="O58" s="271">
        <f>Cons!M1055</f>
        <v>1319.9787397030161</v>
      </c>
      <c r="P58" s="270">
        <f t="shared" si="3"/>
        <v>-1319.9787397030161</v>
      </c>
      <c r="R58" s="263">
        <f>ULS!J570</f>
        <v>4.859403218875447</v>
      </c>
      <c r="S58" s="265" t="str">
        <f>ULS!K570</f>
        <v>-</v>
      </c>
      <c r="T58" s="265">
        <f>ULS!$H$511</f>
        <v>21</v>
      </c>
      <c r="U58" s="270">
        <f>ULS!$H$512</f>
        <v>30</v>
      </c>
      <c r="V58" s="263" t="e">
        <f>MIN(ULS!#REF!,ULS!#REF!)</f>
        <v>#REF!</v>
      </c>
      <c r="W58" s="266" t="e">
        <f>MAX(ULS!#REF!,ULS!#REF!)</f>
        <v>#REF!</v>
      </c>
      <c r="X58" s="263" t="e">
        <f>-ULS!#REF!</f>
        <v>#REF!</v>
      </c>
      <c r="Y58" s="263" t="e">
        <f>ULS!#REF!</f>
        <v>#REF!</v>
      </c>
      <c r="Z58" s="270">
        <f>ULS!B1294</f>
        <v>18162.058500000003</v>
      </c>
      <c r="AA58" s="270">
        <f>ULS!C1294</f>
        <v>65023.106148950392</v>
      </c>
      <c r="AB58" s="263">
        <f>ULS!K1470</f>
        <v>688.62766774873523</v>
      </c>
      <c r="AC58" s="263">
        <f>ULS!L1470</f>
        <v>4987.9984783153504</v>
      </c>
      <c r="AD58" s="263">
        <f t="shared" si="4"/>
        <v>-4987.9984783153504</v>
      </c>
      <c r="AF58" s="265">
        <f>MIN(SLS!F81,SLS!G81)</f>
        <v>-32.387423705175699</v>
      </c>
      <c r="AG58" s="265">
        <f>MAX(SLS!F81,SLS!G81)</f>
        <v>104.10168836806361</v>
      </c>
      <c r="AH58" s="265">
        <f>SLS!I81</f>
        <v>360.2307712656746</v>
      </c>
      <c r="AI58" s="266">
        <f t="shared" si="5"/>
        <v>-360.2307712656746</v>
      </c>
      <c r="AJ58" s="265">
        <f>-SLS!L204</f>
        <v>32.387423705175699</v>
      </c>
      <c r="AK58" s="265">
        <f>SLS!K204</f>
        <v>379.19028554281539</v>
      </c>
      <c r="AM58" s="265">
        <f>MAX(FLS!F105,FLS!G105)</f>
        <v>19.854600101639917</v>
      </c>
      <c r="AN58" s="265">
        <f>FLS!$M$36</f>
        <v>44.785427170200244</v>
      </c>
      <c r="AO58" s="265">
        <f>FLS!K193</f>
        <v>325.30958068830017</v>
      </c>
      <c r="AP58" s="265">
        <f>FLS!B193</f>
        <v>1319.9787397030161</v>
      </c>
      <c r="AQ58" s="265">
        <f t="shared" si="6"/>
        <v>-1319.9787397030161</v>
      </c>
      <c r="AS58" s="265"/>
      <c r="AT58" s="265"/>
      <c r="AU58" s="265"/>
      <c r="AV58" s="265"/>
    </row>
    <row r="59" spans="1:48" ht="15" customHeight="1">
      <c r="A59" s="263" t="str">
        <f>input!B57</f>
        <v>128i</v>
      </c>
      <c r="B59" s="263">
        <f>input!C57</f>
        <v>116.9</v>
      </c>
      <c r="C59" s="265">
        <f>ABS(Cons!K215)</f>
        <v>18.344194128312612</v>
      </c>
      <c r="D59" s="263">
        <f>Cons!L215</f>
        <v>228</v>
      </c>
      <c r="E59" s="265" t="e">
        <f>Cons!#REF!</f>
        <v>#REF!</v>
      </c>
      <c r="F59" s="265" t="e">
        <f>Cons!#REF!</f>
        <v>#REF!</v>
      </c>
      <c r="G59" s="265" t="e">
        <f t="shared" si="0"/>
        <v>#REF!</v>
      </c>
      <c r="H59" s="265" t="e">
        <f>Cons!#REF!</f>
        <v>#REF!</v>
      </c>
      <c r="I59" s="265" t="e">
        <f t="shared" si="1"/>
        <v>#REF!</v>
      </c>
      <c r="J59" s="265" t="e">
        <f>Cons!#REF!</f>
        <v>#REF!</v>
      </c>
      <c r="K59" s="265" t="e">
        <f t="shared" si="2"/>
        <v>#REF!</v>
      </c>
      <c r="L59" s="265" t="e">
        <f>Cons!#REF!</f>
        <v>#REF!</v>
      </c>
      <c r="M59" s="265">
        <f>Cons!K958</f>
        <v>379.50317749469554</v>
      </c>
      <c r="N59" s="263">
        <f>Cons!B1056</f>
        <v>193.71875</v>
      </c>
      <c r="O59" s="271">
        <f>Cons!M1056</f>
        <v>1319.9787397030161</v>
      </c>
      <c r="P59" s="270">
        <f t="shared" si="3"/>
        <v>-1319.9787397030161</v>
      </c>
      <c r="R59" s="263">
        <f>ULS!J571</f>
        <v>4.859403218875447</v>
      </c>
      <c r="S59" s="265" t="str">
        <f>ULS!K571</f>
        <v>-</v>
      </c>
      <c r="T59" s="265">
        <f>ULS!$H$511</f>
        <v>21</v>
      </c>
      <c r="U59" s="270">
        <f>ULS!$H$512</f>
        <v>30</v>
      </c>
      <c r="V59" s="263" t="e">
        <f>MIN(ULS!#REF!,ULS!#REF!)</f>
        <v>#REF!</v>
      </c>
      <c r="W59" s="266" t="e">
        <f>MAX(ULS!#REF!,ULS!#REF!)</f>
        <v>#REF!</v>
      </c>
      <c r="X59" s="263" t="e">
        <f>-ULS!#REF!</f>
        <v>#REF!</v>
      </c>
      <c r="Y59" s="263" t="e">
        <f>ULS!#REF!</f>
        <v>#REF!</v>
      </c>
      <c r="Z59" s="270">
        <f>ULS!B1295</f>
        <v>18162.058500000003</v>
      </c>
      <c r="AA59" s="270">
        <f>ULS!C1295</f>
        <v>65023.106148950392</v>
      </c>
      <c r="AB59" s="263">
        <f>ULS!K1471</f>
        <v>688.62766774873523</v>
      </c>
      <c r="AC59" s="263">
        <f>ULS!L1471</f>
        <v>4987.9984783153504</v>
      </c>
      <c r="AD59" s="263">
        <f t="shared" si="4"/>
        <v>-4987.9984783153504</v>
      </c>
      <c r="AF59" s="265">
        <f>MIN(SLS!F82,SLS!G82)</f>
        <v>-32.387423705175699</v>
      </c>
      <c r="AG59" s="265">
        <f>MAX(SLS!F82,SLS!G82)</f>
        <v>104.51381637231903</v>
      </c>
      <c r="AH59" s="265">
        <f>SLS!I82</f>
        <v>360.2307712656746</v>
      </c>
      <c r="AI59" s="266">
        <f t="shared" si="5"/>
        <v>-360.2307712656746</v>
      </c>
      <c r="AJ59" s="265">
        <f>-SLS!L205</f>
        <v>32.387423705175699</v>
      </c>
      <c r="AK59" s="265">
        <f>SLS!K205</f>
        <v>379.19028554281539</v>
      </c>
      <c r="AM59" s="265">
        <f>MAX(FLS!F106,FLS!G106)</f>
        <v>19.854600101639917</v>
      </c>
      <c r="AN59" s="265">
        <f>FLS!$M$36</f>
        <v>44.785427170200244</v>
      </c>
      <c r="AO59" s="265">
        <f>FLS!K194</f>
        <v>325.30958068830017</v>
      </c>
      <c r="AP59" s="265">
        <f>FLS!B194</f>
        <v>1319.9787397030161</v>
      </c>
      <c r="AQ59" s="265">
        <f t="shared" si="6"/>
        <v>-1319.9787397030161</v>
      </c>
      <c r="AS59" s="265"/>
      <c r="AT59" s="265"/>
      <c r="AU59" s="265"/>
      <c r="AV59" s="265"/>
    </row>
    <row r="60" spans="1:48" ht="15" customHeight="1">
      <c r="A60" s="263" t="str">
        <f>input!B58</f>
        <v>128j</v>
      </c>
      <c r="B60" s="263">
        <f>input!C58</f>
        <v>121.9</v>
      </c>
      <c r="C60" s="265">
        <f>ABS(Cons!K216)</f>
        <v>18.344194128312612</v>
      </c>
      <c r="D60" s="263">
        <f>Cons!L216</f>
        <v>228</v>
      </c>
      <c r="E60" s="265" t="e">
        <f>Cons!#REF!</f>
        <v>#REF!</v>
      </c>
      <c r="F60" s="265" t="e">
        <f>Cons!#REF!</f>
        <v>#REF!</v>
      </c>
      <c r="G60" s="265" t="e">
        <f t="shared" si="0"/>
        <v>#REF!</v>
      </c>
      <c r="H60" s="265" t="e">
        <f>Cons!#REF!</f>
        <v>#REF!</v>
      </c>
      <c r="I60" s="265" t="e">
        <f t="shared" si="1"/>
        <v>#REF!</v>
      </c>
      <c r="J60" s="265" t="e">
        <f>Cons!#REF!</f>
        <v>#REF!</v>
      </c>
      <c r="K60" s="265" t="e">
        <f t="shared" si="2"/>
        <v>#REF!</v>
      </c>
      <c r="L60" s="265" t="e">
        <f>Cons!#REF!</f>
        <v>#REF!</v>
      </c>
      <c r="M60" s="265">
        <f>Cons!K959</f>
        <v>379.50317749469554</v>
      </c>
      <c r="N60" s="263">
        <f>Cons!B1057</f>
        <v>41.856250000000003</v>
      </c>
      <c r="O60" s="271">
        <f>Cons!M1057</f>
        <v>1319.9787397030161</v>
      </c>
      <c r="P60" s="270">
        <f t="shared" si="3"/>
        <v>-1319.9787397030161</v>
      </c>
      <c r="R60" s="263">
        <f>ULS!J572</f>
        <v>4.0155606906146577</v>
      </c>
      <c r="S60" s="265" t="str">
        <f>ULS!K572</f>
        <v>-</v>
      </c>
      <c r="T60" s="265">
        <f>ULS!$H$511</f>
        <v>21</v>
      </c>
      <c r="U60" s="270">
        <f>ULS!$H$512</f>
        <v>30</v>
      </c>
      <c r="V60" s="263" t="e">
        <f>MIN(ULS!#REF!,ULS!#REF!)</f>
        <v>#REF!</v>
      </c>
      <c r="W60" s="266" t="e">
        <f>MAX(ULS!#REF!,ULS!#REF!)</f>
        <v>#REF!</v>
      </c>
      <c r="X60" s="263" t="e">
        <f>-ULS!#REF!</f>
        <v>#REF!</v>
      </c>
      <c r="Y60" s="263" t="e">
        <f>ULS!#REF!</f>
        <v>#REF!</v>
      </c>
      <c r="Z60" s="270">
        <f>ULS!B1296</f>
        <v>16543.497499999998</v>
      </c>
      <c r="AA60" s="270">
        <f>ULS!C1296</f>
        <v>64421.871321991974</v>
      </c>
      <c r="AB60" s="263">
        <f>ULS!K1472</f>
        <v>391.52565941174004</v>
      </c>
      <c r="AC60" s="263">
        <f>ULS!L1472</f>
        <v>4987.9984783153504</v>
      </c>
      <c r="AD60" s="263">
        <f t="shared" si="4"/>
        <v>-4987.9984783153504</v>
      </c>
      <c r="AF60" s="265">
        <f>MIN(SLS!F83,SLS!G83)</f>
        <v>-40.640166668244198</v>
      </c>
      <c r="AG60" s="265">
        <f>MAX(SLS!F83,SLS!G83)</f>
        <v>98.851041554692955</v>
      </c>
      <c r="AH60" s="265">
        <f>SLS!I83</f>
        <v>360.2307712656746</v>
      </c>
      <c r="AI60" s="266">
        <f t="shared" si="5"/>
        <v>-360.2307712656746</v>
      </c>
      <c r="AJ60" s="265">
        <f>-SLS!L206</f>
        <v>40.640166668244198</v>
      </c>
      <c r="AK60" s="265">
        <f>SLS!K206</f>
        <v>379.19028554281539</v>
      </c>
      <c r="AM60" s="265">
        <f>MAX(FLS!F107,FLS!G107)</f>
        <v>15.336585384206167</v>
      </c>
      <c r="AN60" s="265">
        <f>FLS!$M$36</f>
        <v>44.785427170200244</v>
      </c>
      <c r="AO60" s="265">
        <f>FLS!K195</f>
        <v>108.56333949193267</v>
      </c>
      <c r="AP60" s="265">
        <f>FLS!B195</f>
        <v>1319.9787397030161</v>
      </c>
      <c r="AQ60" s="265">
        <f t="shared" si="6"/>
        <v>-1319.9787397030161</v>
      </c>
      <c r="AS60" s="265"/>
      <c r="AT60" s="265"/>
      <c r="AU60" s="265"/>
      <c r="AV60" s="265"/>
    </row>
    <row r="61" spans="1:48" ht="15" customHeight="1">
      <c r="A61" s="263" t="str">
        <f>input!B59</f>
        <v>129i</v>
      </c>
      <c r="B61" s="263">
        <f>input!C59</f>
        <v>121.9</v>
      </c>
      <c r="C61" s="265">
        <f>ABS(Cons!K217)</f>
        <v>18.344194128312612</v>
      </c>
      <c r="D61" s="263">
        <f>Cons!L217</f>
        <v>228</v>
      </c>
      <c r="E61" s="265" t="e">
        <f>Cons!#REF!</f>
        <v>#REF!</v>
      </c>
      <c r="F61" s="265" t="e">
        <f>Cons!#REF!</f>
        <v>#REF!</v>
      </c>
      <c r="G61" s="265" t="e">
        <f t="shared" si="0"/>
        <v>#REF!</v>
      </c>
      <c r="H61" s="265" t="e">
        <f>Cons!#REF!</f>
        <v>#REF!</v>
      </c>
      <c r="I61" s="265" t="e">
        <f t="shared" si="1"/>
        <v>#REF!</v>
      </c>
      <c r="J61" s="265" t="e">
        <f>Cons!#REF!</f>
        <v>#REF!</v>
      </c>
      <c r="K61" s="265" t="e">
        <f t="shared" si="2"/>
        <v>#REF!</v>
      </c>
      <c r="L61" s="265" t="e">
        <f>Cons!#REF!</f>
        <v>#REF!</v>
      </c>
      <c r="M61" s="265">
        <f>Cons!K960</f>
        <v>379.50317749469554</v>
      </c>
      <c r="N61" s="263">
        <f>Cons!B1058</f>
        <v>-24.900000000000002</v>
      </c>
      <c r="O61" s="271">
        <f>Cons!M1058</f>
        <v>1319.9787397030161</v>
      </c>
      <c r="P61" s="270">
        <f t="shared" si="3"/>
        <v>-1319.9787397030161</v>
      </c>
      <c r="R61" s="263">
        <f>ULS!J573</f>
        <v>4.0155606906146577</v>
      </c>
      <c r="S61" s="265" t="str">
        <f>ULS!K573</f>
        <v>-</v>
      </c>
      <c r="T61" s="265">
        <f>ULS!$H$511</f>
        <v>21</v>
      </c>
      <c r="U61" s="270">
        <f>ULS!$H$512</f>
        <v>30</v>
      </c>
      <c r="V61" s="263" t="e">
        <f>MIN(ULS!#REF!,ULS!#REF!)</f>
        <v>#REF!</v>
      </c>
      <c r="W61" s="266" t="e">
        <f>MAX(ULS!#REF!,ULS!#REF!)</f>
        <v>#REF!</v>
      </c>
      <c r="X61" s="263" t="e">
        <f>-ULS!#REF!</f>
        <v>#REF!</v>
      </c>
      <c r="Y61" s="263" t="e">
        <f>ULS!#REF!</f>
        <v>#REF!</v>
      </c>
      <c r="Z61" s="270">
        <f>ULS!B1297</f>
        <v>16543.510000000002</v>
      </c>
      <c r="AA61" s="270">
        <f>ULS!C1297</f>
        <v>64421.865268041329</v>
      </c>
      <c r="AB61" s="263">
        <f>ULS!K1473</f>
        <v>-638.15617062550393</v>
      </c>
      <c r="AC61" s="263">
        <f>ULS!L1473</f>
        <v>4987.9984783153504</v>
      </c>
      <c r="AD61" s="263">
        <f t="shared" si="4"/>
        <v>-4987.9984783153504</v>
      </c>
      <c r="AF61" s="265">
        <f>MIN(SLS!F84,SLS!G84)</f>
        <v>-40.640273772663001</v>
      </c>
      <c r="AG61" s="265">
        <f>MAX(SLS!F84,SLS!G84)</f>
        <v>98.851143921311007</v>
      </c>
      <c r="AH61" s="265">
        <f>SLS!I84</f>
        <v>360.2307712656746</v>
      </c>
      <c r="AI61" s="266">
        <f t="shared" si="5"/>
        <v>-360.2307712656746</v>
      </c>
      <c r="AJ61" s="265">
        <f>-SLS!L207</f>
        <v>40.640273772663001</v>
      </c>
      <c r="AK61" s="265">
        <f>SLS!K207</f>
        <v>379.19028554281539</v>
      </c>
      <c r="AM61" s="265">
        <f>MAX(FLS!F108,FLS!G108)</f>
        <v>15.336641287776132</v>
      </c>
      <c r="AN61" s="265">
        <f>FLS!$M$36</f>
        <v>44.785427170200244</v>
      </c>
      <c r="AO61" s="265">
        <f>FLS!K196</f>
        <v>74.749726604459255</v>
      </c>
      <c r="AP61" s="265">
        <f>FLS!B196</f>
        <v>1319.9787397030161</v>
      </c>
      <c r="AQ61" s="265">
        <f t="shared" si="6"/>
        <v>-1319.9787397030161</v>
      </c>
      <c r="AS61" s="265"/>
      <c r="AT61" s="265"/>
      <c r="AU61" s="265"/>
      <c r="AV61" s="265"/>
    </row>
    <row r="62" spans="1:48" ht="15" customHeight="1">
      <c r="A62" s="263" t="str">
        <f>input!B60</f>
        <v>129j</v>
      </c>
      <c r="B62" s="263">
        <f>input!C60</f>
        <v>128.37</v>
      </c>
      <c r="C62" s="265">
        <f>ABS(Cons!K218)</f>
        <v>18.344194128312612</v>
      </c>
      <c r="D62" s="263">
        <f>Cons!L218</f>
        <v>228</v>
      </c>
      <c r="E62" s="265" t="e">
        <f>Cons!#REF!</f>
        <v>#REF!</v>
      </c>
      <c r="F62" s="265" t="e">
        <f>Cons!#REF!</f>
        <v>#REF!</v>
      </c>
      <c r="G62" s="265" t="e">
        <f t="shared" si="0"/>
        <v>#REF!</v>
      </c>
      <c r="H62" s="265" t="e">
        <f>Cons!#REF!</f>
        <v>#REF!</v>
      </c>
      <c r="I62" s="265" t="e">
        <f t="shared" si="1"/>
        <v>#REF!</v>
      </c>
      <c r="J62" s="265" t="e">
        <f>Cons!#REF!</f>
        <v>#REF!</v>
      </c>
      <c r="K62" s="265" t="e">
        <f t="shared" si="2"/>
        <v>#REF!</v>
      </c>
      <c r="L62" s="265" t="e">
        <f>Cons!#REF!</f>
        <v>#REF!</v>
      </c>
      <c r="M62" s="265">
        <f>Cons!K961</f>
        <v>379.50317749469554</v>
      </c>
      <c r="N62" s="263">
        <f>Cons!B1059</f>
        <v>-221.40625</v>
      </c>
      <c r="O62" s="271">
        <f>Cons!M1059</f>
        <v>1319.9787397030161</v>
      </c>
      <c r="P62" s="270">
        <f t="shared" si="3"/>
        <v>-1319.9787397030161</v>
      </c>
      <c r="R62" s="263">
        <f>ULS!J574</f>
        <v>1.5292097657540487</v>
      </c>
      <c r="S62" s="265" t="str">
        <f>ULS!K574</f>
        <v>-</v>
      </c>
      <c r="T62" s="265">
        <f>ULS!$H$511</f>
        <v>21</v>
      </c>
      <c r="U62" s="270">
        <f>ULS!$H$512</f>
        <v>30</v>
      </c>
      <c r="V62" s="263" t="e">
        <f>MIN(ULS!#REF!,ULS!#REF!)</f>
        <v>#REF!</v>
      </c>
      <c r="W62" s="266" t="e">
        <f>MAX(ULS!#REF!,ULS!#REF!)</f>
        <v>#REF!</v>
      </c>
      <c r="X62" s="263" t="e">
        <f>-ULS!#REF!</f>
        <v>#REF!</v>
      </c>
      <c r="Y62" s="263" t="e">
        <f>ULS!#REF!</f>
        <v>#REF!</v>
      </c>
      <c r="Z62" s="270">
        <f>ULS!B1298</f>
        <v>6710.4380000000001</v>
      </c>
      <c r="AA62" s="270">
        <f>ULS!C1298</f>
        <v>65272.802655467778</v>
      </c>
      <c r="AB62" s="263">
        <f>ULS!K1474</f>
        <v>-1070.2909184243142</v>
      </c>
      <c r="AC62" s="263">
        <f>ULS!L1474</f>
        <v>4987.9984783153504</v>
      </c>
      <c r="AD62" s="263">
        <f t="shared" si="4"/>
        <v>-4987.9984783153504</v>
      </c>
      <c r="AF62" s="265">
        <f>MIN(SLS!F85,SLS!G85)</f>
        <v>-19.135976955403198</v>
      </c>
      <c r="AG62" s="265">
        <f>MAX(SLS!F85,SLS!G85)</f>
        <v>41.049651304115358</v>
      </c>
      <c r="AH62" s="265">
        <f>SLS!I85</f>
        <v>360.2307712656746</v>
      </c>
      <c r="AI62" s="266">
        <f t="shared" si="5"/>
        <v>-360.2307712656746</v>
      </c>
      <c r="AJ62" s="265">
        <f>-SLS!L208</f>
        <v>19.135976955403198</v>
      </c>
      <c r="AK62" s="265">
        <f>SLS!K208</f>
        <v>379.19028554281539</v>
      </c>
      <c r="AM62" s="265">
        <f>MAX(FLS!F109,FLS!G109)</f>
        <v>6.7231310347043314</v>
      </c>
      <c r="AN62" s="265">
        <f>FLS!$M$36</f>
        <v>44.785427170200244</v>
      </c>
      <c r="AO62" s="265">
        <f>FLS!K197</f>
        <v>-491.30894827022092</v>
      </c>
      <c r="AP62" s="265">
        <f>FLS!B197</f>
        <v>1319.9787397030161</v>
      </c>
      <c r="AQ62" s="265">
        <f t="shared" si="6"/>
        <v>-1319.9787397030161</v>
      </c>
      <c r="AS62" s="265"/>
      <c r="AT62" s="265"/>
      <c r="AU62" s="265"/>
      <c r="AV62" s="265"/>
    </row>
    <row r="63" spans="1:48" ht="15" customHeight="1">
      <c r="A63" s="263" t="str">
        <f>input!B61</f>
        <v>130i</v>
      </c>
      <c r="B63" s="263">
        <f>input!C61</f>
        <v>128.37</v>
      </c>
      <c r="C63" s="265">
        <f>ABS(Cons!K219)</f>
        <v>18.47186305521582</v>
      </c>
      <c r="D63" s="263">
        <f>Cons!L219</f>
        <v>228</v>
      </c>
      <c r="E63" s="265" t="e">
        <f>Cons!#REF!</f>
        <v>#REF!</v>
      </c>
      <c r="F63" s="265" t="e">
        <f>Cons!#REF!</f>
        <v>#REF!</v>
      </c>
      <c r="G63" s="265" t="e">
        <f t="shared" si="0"/>
        <v>#REF!</v>
      </c>
      <c r="H63" s="265" t="e">
        <f>Cons!#REF!</f>
        <v>#REF!</v>
      </c>
      <c r="I63" s="265" t="e">
        <f t="shared" si="1"/>
        <v>#REF!</v>
      </c>
      <c r="J63" s="265" t="e">
        <f>Cons!#REF!</f>
        <v>#REF!</v>
      </c>
      <c r="K63" s="265" t="e">
        <f t="shared" si="2"/>
        <v>#REF!</v>
      </c>
      <c r="L63" s="265" t="e">
        <f>Cons!#REF!</f>
        <v>#REF!</v>
      </c>
      <c r="M63" s="265">
        <f>Cons!K962</f>
        <v>379.53157750434622</v>
      </c>
      <c r="N63" s="263">
        <f>Cons!B1060</f>
        <v>-221.40625</v>
      </c>
      <c r="O63" s="271">
        <f>Cons!M1060</f>
        <v>1312.556246380452</v>
      </c>
      <c r="P63" s="270">
        <f t="shared" si="3"/>
        <v>-1312.556246380452</v>
      </c>
      <c r="R63" s="263">
        <f>ULS!J575</f>
        <v>1.6873910918049171</v>
      </c>
      <c r="S63" s="265" t="str">
        <f>ULS!K575</f>
        <v>-</v>
      </c>
      <c r="T63" s="265">
        <f>ULS!$H$511</f>
        <v>21</v>
      </c>
      <c r="U63" s="270">
        <f>ULS!$H$512</f>
        <v>30</v>
      </c>
      <c r="V63" s="263" t="e">
        <f>MIN(ULS!#REF!,ULS!#REF!)</f>
        <v>#REF!</v>
      </c>
      <c r="W63" s="266" t="e">
        <f>MAX(ULS!#REF!,ULS!#REF!)</f>
        <v>#REF!</v>
      </c>
      <c r="X63" s="263" t="e">
        <f>-ULS!#REF!</f>
        <v>#REF!</v>
      </c>
      <c r="Y63" s="263" t="e">
        <f>ULS!#REF!</f>
        <v>#REF!</v>
      </c>
      <c r="Z63" s="270">
        <f>ULS!B1299</f>
        <v>6710.4505000000008</v>
      </c>
      <c r="AA63" s="270">
        <f>ULS!C1299</f>
        <v>58921.023702323429</v>
      </c>
      <c r="AB63" s="263">
        <f>ULS!K1475</f>
        <v>-1070.2909184243142</v>
      </c>
      <c r="AC63" s="263">
        <f>ULS!L1475</f>
        <v>4549.4716078986594</v>
      </c>
      <c r="AD63" s="263">
        <f t="shared" si="4"/>
        <v>-4549.4716078986594</v>
      </c>
      <c r="AF63" s="265">
        <f>MIN(SLS!F86,SLS!G86)</f>
        <v>-20.883228992184055</v>
      </c>
      <c r="AG63" s="265">
        <f>MAX(SLS!F86,SLS!G86)</f>
        <v>45.364783274106934</v>
      </c>
      <c r="AH63" s="265">
        <f>SLS!I86</f>
        <v>360.26432261617896</v>
      </c>
      <c r="AI63" s="266">
        <f t="shared" si="5"/>
        <v>-360.26432261617896</v>
      </c>
      <c r="AJ63" s="265">
        <f>-SLS!L209</f>
        <v>20.883228992184055</v>
      </c>
      <c r="AK63" s="265">
        <f>SLS!K209</f>
        <v>379.22560275387258</v>
      </c>
      <c r="AM63" s="265">
        <f>MAX(FLS!F110,FLS!G110)</f>
        <v>7.4396212924044862</v>
      </c>
      <c r="AN63" s="265">
        <f>FLS!$M$36</f>
        <v>44.785427170200244</v>
      </c>
      <c r="AO63" s="265">
        <f>FLS!K198</f>
        <v>-491.30894827022092</v>
      </c>
      <c r="AP63" s="265">
        <f>FLS!B198</f>
        <v>1312.556246380452</v>
      </c>
      <c r="AQ63" s="265">
        <f t="shared" si="6"/>
        <v>-1312.556246380452</v>
      </c>
      <c r="AS63" s="265"/>
      <c r="AT63" s="265"/>
      <c r="AU63" s="265"/>
      <c r="AV63" s="265"/>
    </row>
    <row r="64" spans="1:48" ht="15" customHeight="1">
      <c r="A64" s="263" t="str">
        <f>input!B62</f>
        <v>130j</v>
      </c>
      <c r="B64" s="263">
        <f>input!C62</f>
        <v>131.27000000000001</v>
      </c>
      <c r="C64" s="265">
        <f>ABS(Cons!K220)</f>
        <v>18.47186305521582</v>
      </c>
      <c r="D64" s="263">
        <f>Cons!L220</f>
        <v>228</v>
      </c>
      <c r="E64" s="265" t="e">
        <f>Cons!#REF!</f>
        <v>#REF!</v>
      </c>
      <c r="F64" s="265" t="e">
        <f>Cons!#REF!</f>
        <v>#REF!</v>
      </c>
      <c r="G64" s="265" t="e">
        <f t="shared" si="0"/>
        <v>#REF!</v>
      </c>
      <c r="H64" s="265" t="e">
        <f>Cons!#REF!</f>
        <v>#REF!</v>
      </c>
      <c r="I64" s="265" t="e">
        <f t="shared" si="1"/>
        <v>#REF!</v>
      </c>
      <c r="J64" s="265" t="e">
        <f>Cons!#REF!</f>
        <v>#REF!</v>
      </c>
      <c r="K64" s="265" t="e">
        <f t="shared" si="2"/>
        <v>#REF!</v>
      </c>
      <c r="L64" s="265" t="e">
        <f>Cons!#REF!</f>
        <v>#REF!</v>
      </c>
      <c r="M64" s="265">
        <f>Cons!K963</f>
        <v>379.53157750434622</v>
      </c>
      <c r="N64" s="263">
        <f>Cons!B1061</f>
        <v>-349.68124999999998</v>
      </c>
      <c r="O64" s="271">
        <f>Cons!M1061</f>
        <v>1312.556246380452</v>
      </c>
      <c r="P64" s="270">
        <f t="shared" si="3"/>
        <v>-1312.556246380452</v>
      </c>
      <c r="R64" s="263" t="str">
        <f>ULS!J576</f>
        <v>-</v>
      </c>
      <c r="S64" s="265" t="str">
        <f>ULS!K576</f>
        <v>-</v>
      </c>
      <c r="T64" s="265">
        <f>ULS!$H$511</f>
        <v>21</v>
      </c>
      <c r="U64" s="270">
        <f>ULS!$H$512</f>
        <v>30</v>
      </c>
      <c r="V64" s="263" t="e">
        <f>MIN(ULS!#REF!,ULS!#REF!)</f>
        <v>#REF!</v>
      </c>
      <c r="W64" s="266" t="e">
        <f>MAX(ULS!#REF!,ULS!#REF!)</f>
        <v>#REF!</v>
      </c>
      <c r="X64" s="263" t="e">
        <f>-ULS!#REF!</f>
        <v>#REF!</v>
      </c>
      <c r="Y64" s="263" t="e">
        <f>ULS!#REF!</f>
        <v>#REF!</v>
      </c>
      <c r="Z64" s="270">
        <f>ULS!B1300</f>
        <v>-274.52449999999999</v>
      </c>
      <c r="AA64" s="270">
        <f>ULS!C1300</f>
        <v>29320.56363570091</v>
      </c>
      <c r="AB64" s="263">
        <f>ULS!K1476</f>
        <v>-1322.1505596245138</v>
      </c>
      <c r="AC64" s="263">
        <f>ULS!L1476</f>
        <v>4549.4716078986594</v>
      </c>
      <c r="AD64" s="263">
        <f t="shared" si="4"/>
        <v>-4549.4716078986594</v>
      </c>
      <c r="AF64" s="265">
        <f>MIN(SLS!F87,SLS!G87)</f>
        <v>-2.0720062237502197</v>
      </c>
      <c r="AG64" s="265">
        <f>MAX(SLS!F87,SLS!G87)</f>
        <v>1.7368375264845035</v>
      </c>
      <c r="AH64" s="265">
        <f>SLS!I87</f>
        <v>360.47705274777741</v>
      </c>
      <c r="AI64" s="266">
        <f t="shared" si="5"/>
        <v>-360.47705274777741</v>
      </c>
      <c r="AJ64" s="265">
        <f>-SLS!L210</f>
        <v>2.0720062237502197</v>
      </c>
      <c r="AK64" s="265">
        <f>SLS!K210</f>
        <v>379.44952920818679</v>
      </c>
      <c r="AM64" s="265">
        <f>MAX(FLS!F111,FLS!G111)</f>
        <v>0.81166053518722059</v>
      </c>
      <c r="AN64" s="265">
        <f>FLS!$M$36</f>
        <v>44.785427170200244</v>
      </c>
      <c r="AO64" s="265">
        <f>FLS!K199</f>
        <v>-617.77049996337632</v>
      </c>
      <c r="AP64" s="265">
        <f>FLS!B199</f>
        <v>1312.556246380452</v>
      </c>
      <c r="AQ64" s="265">
        <f t="shared" si="6"/>
        <v>-1312.556246380452</v>
      </c>
      <c r="AS64" s="265"/>
      <c r="AT64" s="265"/>
      <c r="AU64" s="265"/>
      <c r="AV64" s="265"/>
    </row>
    <row r="65" spans="1:48" ht="15" customHeight="1">
      <c r="A65" s="263" t="str">
        <f>input!B63</f>
        <v>131i</v>
      </c>
      <c r="B65" s="263">
        <f>input!C63</f>
        <v>131.27000000000001</v>
      </c>
      <c r="C65" s="265">
        <f>ABS(Cons!K221)</f>
        <v>18.47186305521582</v>
      </c>
      <c r="D65" s="263">
        <f>Cons!L221</f>
        <v>228</v>
      </c>
      <c r="E65" s="265" t="e">
        <f>Cons!#REF!</f>
        <v>#REF!</v>
      </c>
      <c r="F65" s="265" t="e">
        <f>Cons!#REF!</f>
        <v>#REF!</v>
      </c>
      <c r="G65" s="265" t="e">
        <f t="shared" si="0"/>
        <v>#REF!</v>
      </c>
      <c r="H65" s="265" t="e">
        <f>Cons!#REF!</f>
        <v>#REF!</v>
      </c>
      <c r="I65" s="265" t="e">
        <f t="shared" si="1"/>
        <v>#REF!</v>
      </c>
      <c r="J65" s="265" t="e">
        <f>Cons!#REF!</f>
        <v>#REF!</v>
      </c>
      <c r="K65" s="265" t="e">
        <f t="shared" si="2"/>
        <v>#REF!</v>
      </c>
      <c r="L65" s="265" t="e">
        <f>Cons!#REF!</f>
        <v>#REF!</v>
      </c>
      <c r="M65" s="265">
        <f>Cons!K964</f>
        <v>379.53157750434622</v>
      </c>
      <c r="N65" s="263">
        <f>Cons!B1062</f>
        <v>24.337500000000002</v>
      </c>
      <c r="O65" s="271">
        <f>Cons!M1062</f>
        <v>1312.556246380452</v>
      </c>
      <c r="P65" s="270">
        <f t="shared" si="3"/>
        <v>-1312.556246380452</v>
      </c>
      <c r="R65" s="263" t="str">
        <f>ULS!J577</f>
        <v>-</v>
      </c>
      <c r="S65" s="265" t="str">
        <f>ULS!K577</f>
        <v>-</v>
      </c>
      <c r="T65" s="265">
        <f>ULS!$H$511</f>
        <v>21</v>
      </c>
      <c r="U65" s="270">
        <f>ULS!$H$512</f>
        <v>30</v>
      </c>
      <c r="V65" s="263" t="e">
        <f>MIN(ULS!#REF!,ULS!#REF!)</f>
        <v>#REF!</v>
      </c>
      <c r="W65" s="266" t="e">
        <f>MAX(ULS!#REF!,ULS!#REF!)</f>
        <v>#REF!</v>
      </c>
      <c r="X65" s="263" t="e">
        <f>-ULS!#REF!</f>
        <v>#REF!</v>
      </c>
      <c r="Y65" s="263" t="e">
        <f>ULS!#REF!</f>
        <v>#REF!</v>
      </c>
      <c r="Z65" s="270">
        <f>ULS!B1301</f>
        <v>-274.56600000000003</v>
      </c>
      <c r="AA65" s="270">
        <f>ULS!C1301</f>
        <v>29320.56363570091</v>
      </c>
      <c r="AB65" s="263">
        <f>ULS!K1477</f>
        <v>266.80404371888932</v>
      </c>
      <c r="AC65" s="263">
        <f>ULS!L1477</f>
        <v>4549.4716078986594</v>
      </c>
      <c r="AD65" s="263">
        <f t="shared" si="4"/>
        <v>-4549.4716078986594</v>
      </c>
      <c r="AF65" s="265">
        <f>MIN(SLS!F88,SLS!G88)</f>
        <v>-2.0724070390995681</v>
      </c>
      <c r="AG65" s="265">
        <f>MAX(SLS!F88,SLS!G88)</f>
        <v>1.7372990617578352</v>
      </c>
      <c r="AH65" s="265">
        <f>SLS!I88</f>
        <v>360.47705274777741</v>
      </c>
      <c r="AI65" s="266">
        <f t="shared" si="5"/>
        <v>-360.47705274777741</v>
      </c>
      <c r="AJ65" s="265">
        <f>-SLS!L211</f>
        <v>2.0724070390995681</v>
      </c>
      <c r="AK65" s="265">
        <f>SLS!K211</f>
        <v>379.44952920818679</v>
      </c>
      <c r="AM65" s="265">
        <f>MAX(FLS!F112,FLS!G112)</f>
        <v>0.81127288568144773</v>
      </c>
      <c r="AN65" s="265">
        <f>FLS!$M$36</f>
        <v>44.785427170200244</v>
      </c>
      <c r="AO65" s="265">
        <f>FLS!K200</f>
        <v>184.37627633694879</v>
      </c>
      <c r="AP65" s="265">
        <f>FLS!B200</f>
        <v>1312.556246380452</v>
      </c>
      <c r="AQ65" s="265">
        <f t="shared" si="6"/>
        <v>-1312.556246380452</v>
      </c>
      <c r="AS65" s="265"/>
      <c r="AT65" s="265"/>
      <c r="AU65" s="265"/>
      <c r="AV65" s="265"/>
    </row>
    <row r="66" spans="1:48" ht="15" customHeight="1">
      <c r="A66" s="263" t="str">
        <f>input!B64</f>
        <v>131j</v>
      </c>
      <c r="B66" s="263">
        <f>input!C64</f>
        <v>131.82</v>
      </c>
      <c r="C66" s="265">
        <f>ABS(Cons!K222)</f>
        <v>18.47186305521582</v>
      </c>
      <c r="D66" s="263">
        <f>Cons!L222</f>
        <v>228</v>
      </c>
      <c r="E66" s="265" t="e">
        <f>Cons!#REF!</f>
        <v>#REF!</v>
      </c>
      <c r="F66" s="265" t="e">
        <f>Cons!#REF!</f>
        <v>#REF!</v>
      </c>
      <c r="G66" s="265" t="e">
        <f t="shared" si="0"/>
        <v>#REF!</v>
      </c>
      <c r="H66" s="265" t="e">
        <f>Cons!#REF!</f>
        <v>#REF!</v>
      </c>
      <c r="I66" s="265" t="e">
        <f t="shared" si="1"/>
        <v>#REF!</v>
      </c>
      <c r="J66" s="265" t="e">
        <f>Cons!#REF!</f>
        <v>#REF!</v>
      </c>
      <c r="K66" s="265" t="e">
        <f t="shared" si="2"/>
        <v>#REF!</v>
      </c>
      <c r="L66" s="265" t="e">
        <f>Cons!#REF!</f>
        <v>#REF!</v>
      </c>
      <c r="M66" s="265">
        <f>Cons!K965</f>
        <v>272.63090207484976</v>
      </c>
      <c r="N66" s="263">
        <f>Cons!B1063</f>
        <v>6.2500000000000003E-3</v>
      </c>
      <c r="O66" s="271">
        <f>Cons!M1063</f>
        <v>1312.556246380452</v>
      </c>
      <c r="P66" s="270">
        <f t="shared" si="3"/>
        <v>-1312.556246380452</v>
      </c>
      <c r="R66" s="263">
        <f>ULS!J578</f>
        <v>0</v>
      </c>
      <c r="S66" s="265" t="str">
        <f>ULS!K578</f>
        <v>-</v>
      </c>
      <c r="T66" s="265">
        <f>ULS!$H$511</f>
        <v>21</v>
      </c>
      <c r="U66" s="270">
        <f>ULS!$H$512</f>
        <v>30</v>
      </c>
      <c r="V66" s="263" t="e">
        <f>MIN(ULS!#REF!,ULS!#REF!)</f>
        <v>#REF!</v>
      </c>
      <c r="W66" s="266" t="e">
        <f>MAX(ULS!#REF!,ULS!#REF!)</f>
        <v>#REF!</v>
      </c>
      <c r="X66" s="263" t="e">
        <f>-ULS!#REF!</f>
        <v>#REF!</v>
      </c>
      <c r="Y66" s="263" t="e">
        <f>ULS!#REF!</f>
        <v>#REF!</v>
      </c>
      <c r="Z66" s="270">
        <f>ULS!B1302</f>
        <v>0</v>
      </c>
      <c r="AA66" s="270">
        <f>ULS!C1302</f>
        <v>59770.029548127226</v>
      </c>
      <c r="AB66" s="263">
        <f>ULS!K1478</f>
        <v>236.28839814157928</v>
      </c>
      <c r="AC66" s="263">
        <f>ULS!L1478</f>
        <v>4549.4716078986594</v>
      </c>
      <c r="AD66" s="263">
        <f t="shared" si="4"/>
        <v>-4549.4716078986594</v>
      </c>
      <c r="AF66" s="265">
        <f>MIN(SLS!F89,SLS!G89)</f>
        <v>0</v>
      </c>
      <c r="AG66" s="265">
        <f>MAX(SLS!F89,SLS!G89)</f>
        <v>0</v>
      </c>
      <c r="AH66" s="265">
        <f>SLS!I89</f>
        <v>360.26432261617896</v>
      </c>
      <c r="AI66" s="266">
        <f t="shared" si="5"/>
        <v>-360.26432261617896</v>
      </c>
      <c r="AJ66" s="265">
        <f>-SLS!L212</f>
        <v>0</v>
      </c>
      <c r="AK66" s="265" t="e">
        <f>SLS!K212</f>
        <v>#DIV/0!</v>
      </c>
      <c r="AM66" s="265">
        <f>MAX(FLS!F113,FLS!G113)</f>
        <v>1.2372252966256432E-4</v>
      </c>
      <c r="AN66" s="265">
        <f>FLS!$M$36</f>
        <v>44.785427170200244</v>
      </c>
      <c r="AO66" s="265">
        <f>FLS!K201</f>
        <v>143.80800312972903</v>
      </c>
      <c r="AP66" s="265">
        <f>FLS!B201</f>
        <v>1312.556246380452</v>
      </c>
      <c r="AQ66" s="265">
        <f t="shared" si="6"/>
        <v>-1312.556246380452</v>
      </c>
      <c r="AS66" s="265"/>
      <c r="AT66" s="265"/>
      <c r="AU66" s="265"/>
      <c r="AV66" s="265"/>
    </row>
    <row r="79" spans="1:48" ht="25.5" customHeight="1">
      <c r="K79" s="454" t="s">
        <v>1451</v>
      </c>
    </row>
    <row r="80" spans="1:48" ht="15" customHeight="1">
      <c r="A80" s="264" t="s">
        <v>538</v>
      </c>
    </row>
    <row r="81" spans="1:11" ht="15" customHeight="1">
      <c r="A81" s="264"/>
      <c r="B81" s="122" t="s">
        <v>539</v>
      </c>
      <c r="C81" s="267"/>
      <c r="D81" s="267"/>
      <c r="E81" s="267"/>
      <c r="F81" s="267"/>
      <c r="G81" s="147" t="s">
        <v>170</v>
      </c>
      <c r="H81" s="147"/>
      <c r="I81" s="267"/>
    </row>
    <row r="91" spans="1:11" ht="15" customHeight="1">
      <c r="B91" s="122" t="s">
        <v>540</v>
      </c>
      <c r="C91" s="267"/>
      <c r="D91" s="267"/>
      <c r="E91" s="267"/>
      <c r="F91" s="267"/>
      <c r="G91" s="215" t="s">
        <v>171</v>
      </c>
      <c r="H91" s="215"/>
      <c r="I91" s="220"/>
      <c r="J91" s="220"/>
      <c r="K91" s="181"/>
    </row>
    <row r="92" spans="1:11" ht="15" customHeight="1">
      <c r="G92" s="215" t="s">
        <v>172</v>
      </c>
      <c r="H92" s="215"/>
      <c r="I92" s="220"/>
      <c r="J92" s="220"/>
      <c r="K92" s="181"/>
    </row>
    <row r="110" spans="2:7" ht="15" customHeight="1">
      <c r="B110" s="122" t="s">
        <v>542</v>
      </c>
      <c r="G110" s="215" t="s">
        <v>416</v>
      </c>
    </row>
    <row r="120" spans="2:11" ht="15" customHeight="1">
      <c r="B120" s="207" t="s">
        <v>562</v>
      </c>
      <c r="K120" s="147" t="s">
        <v>173</v>
      </c>
    </row>
    <row r="131" spans="2:9" ht="15" customHeight="1">
      <c r="B131" s="207" t="s">
        <v>564</v>
      </c>
      <c r="G131" s="147" t="s">
        <v>193</v>
      </c>
    </row>
    <row r="133" spans="2:9" ht="15" customHeight="1">
      <c r="F133" s="96"/>
      <c r="G133" s="170"/>
      <c r="H133" s="170"/>
      <c r="I133" s="170"/>
    </row>
    <row r="134" spans="2:9" ht="15" customHeight="1">
      <c r="E134" s="207"/>
      <c r="F134" s="96"/>
      <c r="G134" s="170"/>
      <c r="H134" s="170"/>
      <c r="I134" s="170"/>
    </row>
    <row r="135" spans="2:9" ht="15" customHeight="1">
      <c r="E135" s="170"/>
      <c r="F135" s="170"/>
      <c r="H135" s="170"/>
      <c r="I135" s="170"/>
    </row>
    <row r="145" spans="1:15" ht="15" customHeight="1">
      <c r="A145" s="264" t="s">
        <v>544</v>
      </c>
    </row>
    <row r="147" spans="1:15" ht="15" customHeight="1">
      <c r="B147" s="122" t="s">
        <v>545</v>
      </c>
      <c r="C147" s="267"/>
      <c r="D147" s="267"/>
      <c r="E147" s="267"/>
      <c r="F147" s="267"/>
      <c r="G147" s="147" t="s">
        <v>180</v>
      </c>
      <c r="H147" s="267"/>
      <c r="I147" s="267"/>
    </row>
    <row r="148" spans="1:15" ht="15" customHeight="1">
      <c r="B148" s="267"/>
      <c r="C148" s="267"/>
      <c r="D148" s="267"/>
      <c r="E148" s="267"/>
      <c r="F148" s="267"/>
      <c r="G148" s="147" t="s">
        <v>219</v>
      </c>
      <c r="H148" s="267"/>
      <c r="I148" s="267"/>
    </row>
    <row r="150" spans="1:15" ht="15" customHeight="1">
      <c r="B150" s="267"/>
      <c r="C150" s="267"/>
      <c r="D150" s="267"/>
      <c r="E150" s="267"/>
      <c r="F150" s="267"/>
      <c r="G150" s="267"/>
      <c r="H150" s="267"/>
      <c r="I150" s="267"/>
      <c r="J150" s="267"/>
      <c r="K150" s="267"/>
      <c r="L150" s="267"/>
      <c r="M150" s="267"/>
      <c r="N150" s="267"/>
      <c r="O150" s="267"/>
    </row>
    <row r="151" spans="1:15" ht="15" customHeight="1">
      <c r="B151" s="267"/>
      <c r="C151" s="122"/>
      <c r="D151" s="122"/>
      <c r="E151" s="122"/>
      <c r="F151" s="122"/>
      <c r="G151" s="122"/>
      <c r="H151" s="122"/>
      <c r="I151" s="122"/>
      <c r="J151" s="268"/>
      <c r="K151" s="181"/>
      <c r="L151" s="122"/>
      <c r="M151" s="122"/>
      <c r="N151" s="267"/>
      <c r="O151" s="267"/>
    </row>
    <row r="152" spans="1:15" ht="15" customHeight="1">
      <c r="B152" s="53"/>
      <c r="C152" s="122"/>
      <c r="D152" s="122"/>
      <c r="E152" s="122"/>
      <c r="F152" s="74"/>
      <c r="G152" s="122"/>
      <c r="H152" s="122"/>
      <c r="I152" s="122"/>
      <c r="J152" s="267"/>
      <c r="K152" s="269"/>
      <c r="L152" s="122"/>
      <c r="M152" s="122"/>
      <c r="N152" s="267"/>
      <c r="O152" s="267"/>
    </row>
    <row r="153" spans="1:15" ht="15" customHeight="1">
      <c r="B153" s="175"/>
      <c r="C153" s="122"/>
      <c r="D153" s="122"/>
      <c r="E153" s="122"/>
      <c r="F153" s="74"/>
      <c r="G153" s="122"/>
      <c r="H153" s="122"/>
      <c r="I153" s="122"/>
      <c r="J153" s="267"/>
      <c r="K153" s="269"/>
      <c r="L153" s="122"/>
      <c r="M153" s="122"/>
      <c r="N153" s="267"/>
      <c r="O153" s="267"/>
    </row>
    <row r="154" spans="1:15" ht="15" customHeight="1">
      <c r="B154" s="267"/>
      <c r="C154" s="267"/>
      <c r="D154" s="267"/>
      <c r="E154" s="267"/>
      <c r="F154" s="267"/>
      <c r="G154" s="267"/>
      <c r="H154" s="267"/>
      <c r="I154" s="267"/>
      <c r="J154" s="267"/>
      <c r="K154" s="267"/>
      <c r="L154" s="267"/>
      <c r="M154" s="267"/>
      <c r="N154" s="267"/>
      <c r="O154" s="267"/>
    </row>
    <row r="155" spans="1:15" ht="15" customHeight="1">
      <c r="B155" s="267"/>
      <c r="C155" s="267"/>
      <c r="D155" s="267"/>
      <c r="E155" s="267"/>
      <c r="F155" s="267"/>
      <c r="G155" s="267"/>
      <c r="H155" s="267"/>
      <c r="I155" s="267"/>
      <c r="J155" s="267"/>
      <c r="K155" s="267"/>
      <c r="L155" s="267"/>
      <c r="M155" s="267"/>
      <c r="N155" s="267"/>
      <c r="O155" s="267"/>
    </row>
    <row r="167" spans="2:14" ht="15" customHeight="1">
      <c r="B167" s="143" t="s">
        <v>549</v>
      </c>
      <c r="G167" s="147" t="s">
        <v>178</v>
      </c>
      <c r="H167" s="243"/>
      <c r="I167" s="243"/>
      <c r="J167" s="221" t="s">
        <v>552</v>
      </c>
      <c r="K167" s="242"/>
      <c r="M167" s="243"/>
      <c r="N167" s="243"/>
    </row>
    <row r="168" spans="2:14" ht="15" customHeight="1">
      <c r="G168" s="147" t="s">
        <v>179</v>
      </c>
      <c r="H168" s="73"/>
      <c r="I168" s="122"/>
      <c r="J168" s="221" t="s">
        <v>553</v>
      </c>
      <c r="K168" s="242"/>
      <c r="M168" s="243"/>
      <c r="N168" s="243"/>
    </row>
    <row r="169" spans="2:14" ht="15" customHeight="1">
      <c r="G169" s="147" t="s">
        <v>479</v>
      </c>
      <c r="H169" s="73"/>
      <c r="I169" s="122"/>
      <c r="J169" s="221" t="s">
        <v>485</v>
      </c>
      <c r="K169" s="242"/>
      <c r="M169" s="243"/>
      <c r="N169" s="243"/>
    </row>
    <row r="192" spans="2:8" ht="15" customHeight="1">
      <c r="B192" s="122" t="s">
        <v>559</v>
      </c>
      <c r="C192" s="267"/>
      <c r="D192" s="267"/>
      <c r="E192" s="267"/>
      <c r="F192" s="267"/>
      <c r="G192" s="147" t="s">
        <v>193</v>
      </c>
      <c r="H192" s="267"/>
    </row>
    <row r="208" spans="1:1" ht="15" customHeight="1">
      <c r="A208" s="264" t="s">
        <v>565</v>
      </c>
    </row>
    <row r="210" spans="2:7" ht="15" customHeight="1">
      <c r="B210" s="122" t="s">
        <v>566</v>
      </c>
      <c r="C210" s="267"/>
      <c r="D210" s="267"/>
      <c r="E210" s="147" t="s">
        <v>205</v>
      </c>
      <c r="F210" s="267"/>
      <c r="G210" s="267"/>
    </row>
    <row r="225" spans="1:8" ht="15" customHeight="1">
      <c r="B225" s="122" t="s">
        <v>571</v>
      </c>
      <c r="C225" s="267"/>
      <c r="D225" s="147" t="s">
        <v>206</v>
      </c>
    </row>
    <row r="238" spans="1:8" ht="15" customHeight="1">
      <c r="A238" s="264" t="s">
        <v>572</v>
      </c>
    </row>
    <row r="240" spans="1:8" ht="15" customHeight="1">
      <c r="B240" s="263" t="s">
        <v>1446</v>
      </c>
      <c r="H240" s="176" t="s">
        <v>573</v>
      </c>
    </row>
    <row r="251" spans="2:8" ht="15" customHeight="1">
      <c r="B251" s="143" t="s">
        <v>1447</v>
      </c>
      <c r="H251" s="147" t="s">
        <v>1448</v>
      </c>
    </row>
  </sheetData>
  <phoneticPr fontId="34" type="noConversion"/>
  <conditionalFormatting sqref="H240">
    <cfRule type="cellIs" dxfId="75" priority="4" operator="equal">
      <formula>"NG"</formula>
    </cfRule>
  </conditionalFormatting>
  <conditionalFormatting sqref="H251">
    <cfRule type="cellIs" dxfId="74" priority="3" operator="equal">
      <formula>"NG"</formula>
    </cfRule>
  </conditionalFormatting>
  <pageMargins left="0.39370078740157483" right="0.39370078740157483" top="0.74803149606299213" bottom="0.74803149606299213" header="0.31496062992125984" footer="0.31496062992125984"/>
  <pageSetup paperSize="9" scale="74" orientation="portrait" r:id="rId1"/>
  <rowBreaks count="3" manualBreakCount="3">
    <brk id="32" max="24" man="1"/>
    <brk id="143" max="22" man="1"/>
    <brk id="207" max="22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EEBB8-929C-4C57-8467-273135A6915D}">
  <sheetPr codeName="Sheet13"/>
  <dimension ref="A1:Q516"/>
  <sheetViews>
    <sheetView view="pageBreakPreview" zoomScaleNormal="100" zoomScaleSheetLayoutView="100" workbookViewId="0">
      <selection activeCell="P221" sqref="P221"/>
    </sheetView>
  </sheetViews>
  <sheetFormatPr defaultColWidth="5.77734375" defaultRowHeight="15" customHeight="1"/>
  <cols>
    <col min="1" max="16384" width="5.77734375" style="884"/>
  </cols>
  <sheetData>
    <row r="1" spans="4:4" ht="15" customHeight="1">
      <c r="D1" s="1097" t="s">
        <v>2123</v>
      </c>
    </row>
    <row r="30" spans="1:1" ht="15" customHeight="1">
      <c r="A30" s="1096" t="s">
        <v>2125</v>
      </c>
    </row>
    <row r="62" spans="1:1" ht="15" customHeight="1">
      <c r="A62" s="1096" t="s">
        <v>2124</v>
      </c>
    </row>
    <row r="78" spans="1:1" ht="15" customHeight="1">
      <c r="A78" s="1098" t="s">
        <v>2126</v>
      </c>
    </row>
    <row r="86" spans="15:15" ht="15" customHeight="1">
      <c r="O86" s="143"/>
    </row>
    <row r="117" spans="1:17" ht="15" customHeight="1">
      <c r="A117" s="1098" t="s">
        <v>2127</v>
      </c>
    </row>
    <row r="120" spans="1:17" ht="15" customHeight="1">
      <c r="Q120" s="884" t="s">
        <v>2223</v>
      </c>
    </row>
    <row r="126" spans="1:17" ht="15" customHeight="1">
      <c r="C126" s="143"/>
    </row>
    <row r="222" spans="16:17" ht="15" customHeight="1">
      <c r="P222" s="884">
        <v>2436</v>
      </c>
      <c r="Q222" s="884">
        <v>570</v>
      </c>
    </row>
    <row r="223" spans="16:17" ht="15" customHeight="1">
      <c r="P223" s="884">
        <v>3039</v>
      </c>
      <c r="Q223" s="884">
        <f>+P223*Q222/P222</f>
        <v>711.0960591133005</v>
      </c>
    </row>
    <row r="251" spans="1:1" ht="15" customHeight="1">
      <c r="A251" s="1096" t="s">
        <v>2128</v>
      </c>
    </row>
    <row r="272" spans="1:1" ht="15" customHeight="1">
      <c r="A272" s="1098" t="s">
        <v>2129</v>
      </c>
    </row>
    <row r="294" spans="1:1" ht="15" customHeight="1">
      <c r="A294" s="1098" t="s">
        <v>2130</v>
      </c>
    </row>
    <row r="473" spans="1:1" ht="15" customHeight="1">
      <c r="A473" s="1096" t="s">
        <v>2131</v>
      </c>
    </row>
    <row r="516" spans="1:1" ht="15" customHeight="1">
      <c r="A516" s="1096" t="s">
        <v>2132</v>
      </c>
    </row>
  </sheetData>
  <phoneticPr fontId="34" type="noConversion"/>
  <pageMargins left="0.7" right="0.7" top="0.75" bottom="0.75" header="0.3" footer="0.3"/>
  <pageSetup paperSize="9" scale="87" orientation="portrait" r:id="rId1"/>
  <rowBreaks count="12" manualBreakCount="12">
    <brk id="28" max="14" man="1"/>
    <brk id="61" max="14" man="1"/>
    <brk id="116" max="14" man="1"/>
    <brk id="158" max="14" man="1"/>
    <brk id="201" max="14" man="1"/>
    <brk id="249" max="14" man="1"/>
    <brk id="292" max="14" man="1"/>
    <brk id="322" max="14" man="1"/>
    <brk id="369" max="14" man="1"/>
    <brk id="416" max="14" man="1"/>
    <brk id="471" max="14" man="1"/>
    <brk id="514" max="1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E423F-658D-438C-BBC4-489B974CBCA1}">
  <sheetPr codeName="Sheet14" filterMode="1"/>
  <dimension ref="A1:BU714"/>
  <sheetViews>
    <sheetView showGridLines="0" topLeftCell="A177" zoomScaleNormal="100" zoomScaleSheetLayoutView="100" workbookViewId="0">
      <selection activeCell="AB707" sqref="AB707"/>
    </sheetView>
  </sheetViews>
  <sheetFormatPr defaultColWidth="9.77734375" defaultRowHeight="15" customHeight="1"/>
  <cols>
    <col min="1" max="8" width="1.77734375" style="143" customWidth="1"/>
    <col min="9" max="9" width="1.6640625" style="143" customWidth="1"/>
    <col min="10" max="11" width="1.77734375" style="143" customWidth="1"/>
    <col min="12" max="12" width="1.77734375" style="1189" customWidth="1"/>
    <col min="13" max="24" width="1.77734375" style="143" customWidth="1"/>
    <col min="25" max="25" width="1.77734375" style="1189" customWidth="1"/>
    <col min="26" max="27" width="1.77734375" style="143" customWidth="1"/>
    <col min="28" max="28" width="1.77734375" style="73" customWidth="1"/>
    <col min="29" max="29" width="1.77734375" style="143" customWidth="1"/>
    <col min="30" max="30" width="1.77734375" style="1202" customWidth="1"/>
    <col min="31" max="31" width="1.77734375" style="73" customWidth="1"/>
    <col min="32" max="32" width="1.77734375" style="1202" customWidth="1"/>
    <col min="33" max="44" width="1.77734375" style="73" customWidth="1"/>
    <col min="45" max="45" width="10.109375" style="1627" customWidth="1"/>
    <col min="46" max="52" width="4.77734375" style="143" customWidth="1"/>
    <col min="53" max="73" width="5.77734375" style="143" customWidth="1"/>
    <col min="74" max="16384" width="9.77734375" style="143"/>
  </cols>
  <sheetData>
    <row r="1" spans="1:48" ht="15" customHeight="1">
      <c r="L1" s="1302"/>
      <c r="Y1" s="1302"/>
      <c r="AD1" s="1309"/>
      <c r="AF1" s="1309"/>
    </row>
    <row r="2" spans="1:48" ht="21.75" customHeight="1">
      <c r="A2" s="1528"/>
      <c r="B2" s="1525"/>
      <c r="C2" s="1526"/>
      <c r="D2" s="1525"/>
      <c r="E2" s="1527" t="s">
        <v>2899</v>
      </c>
      <c r="F2" s="1525"/>
      <c r="G2" s="1537"/>
      <c r="H2" s="1538" t="s">
        <v>2900</v>
      </c>
      <c r="I2" s="1537"/>
      <c r="J2" s="1537"/>
      <c r="K2" s="1537"/>
      <c r="L2" s="1537"/>
      <c r="M2" s="1537"/>
      <c r="N2" s="1537"/>
      <c r="O2" s="1537"/>
      <c r="P2" s="1537"/>
      <c r="Q2" s="1537"/>
      <c r="R2" s="1537"/>
      <c r="S2" s="1537"/>
      <c r="T2" s="1537"/>
      <c r="U2" s="1537"/>
      <c r="V2" s="1537"/>
      <c r="W2" s="1537"/>
      <c r="X2" s="1537"/>
      <c r="Y2" s="1537"/>
      <c r="Z2" s="1537"/>
      <c r="AA2" s="1537"/>
      <c r="AB2" s="1537"/>
      <c r="AC2" s="1537"/>
      <c r="AD2" s="1537"/>
      <c r="AE2" s="1537"/>
      <c r="AF2" s="1537"/>
      <c r="AG2" s="1537"/>
      <c r="AH2" s="1537"/>
      <c r="AI2" s="1537"/>
      <c r="AJ2" s="1537"/>
      <c r="AK2" s="1537"/>
      <c r="AL2" s="1537"/>
      <c r="AM2" s="1537"/>
      <c r="AN2" s="1537"/>
      <c r="AO2" s="1537"/>
      <c r="AP2" s="1537"/>
      <c r="AQ2" s="1537"/>
      <c r="AR2" s="1537"/>
    </row>
    <row r="3" spans="1:48" ht="14.25" customHeight="1">
      <c r="A3" s="159"/>
      <c r="B3" s="160"/>
      <c r="C3" s="16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D3" s="73"/>
      <c r="AF3" s="73"/>
      <c r="AV3" s="168" t="s">
        <v>2987</v>
      </c>
    </row>
    <row r="4" spans="1:48" ht="15" customHeight="1">
      <c r="A4" s="1182" t="s">
        <v>354</v>
      </c>
      <c r="AM4" s="76"/>
      <c r="AR4" s="1529" t="s">
        <v>2911</v>
      </c>
      <c r="AV4" s="168" t="s">
        <v>2988</v>
      </c>
    </row>
    <row r="5" spans="1:48" ht="15" customHeight="1">
      <c r="A5" s="139"/>
      <c r="B5" s="170"/>
      <c r="C5" s="170"/>
      <c r="D5" s="170"/>
      <c r="E5" s="170"/>
      <c r="F5" s="89"/>
      <c r="G5" s="63"/>
      <c r="H5" s="170"/>
      <c r="I5" s="170"/>
      <c r="J5" s="170"/>
      <c r="AJ5" s="505"/>
      <c r="AM5" s="76"/>
    </row>
    <row r="6" spans="1:48" ht="15" customHeight="1" thickBot="1">
      <c r="A6" s="133"/>
      <c r="F6" s="64" t="s">
        <v>121</v>
      </c>
      <c r="G6" s="170"/>
      <c r="H6" s="170"/>
      <c r="I6" s="170"/>
      <c r="J6" s="170"/>
      <c r="K6" s="170"/>
      <c r="L6" s="170"/>
      <c r="M6" s="170"/>
      <c r="N6" s="170"/>
      <c r="O6" s="1186"/>
      <c r="P6" s="170"/>
      <c r="Q6" s="170"/>
      <c r="R6" s="170"/>
      <c r="S6" s="170"/>
      <c r="T6" s="170"/>
      <c r="U6" s="170"/>
      <c r="V6" s="170"/>
      <c r="W6" s="170"/>
      <c r="X6" s="170"/>
      <c r="Y6" s="143"/>
      <c r="Z6" s="170"/>
      <c r="AA6" s="170"/>
      <c r="AB6" s="1186"/>
      <c r="AC6" s="170"/>
      <c r="AD6" s="170"/>
      <c r="AF6" s="143"/>
      <c r="AG6" s="1202"/>
      <c r="AI6" s="1202"/>
      <c r="AJ6" s="505"/>
      <c r="AM6" s="76"/>
    </row>
    <row r="7" spans="1:48" ht="15" customHeight="1">
      <c r="A7" s="133"/>
      <c r="F7" s="35" t="s">
        <v>141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43"/>
      <c r="AJ7" s="505"/>
      <c r="AM7" s="76"/>
    </row>
    <row r="8" spans="1:48" ht="15" customHeight="1">
      <c r="A8" s="133"/>
      <c r="F8" s="225"/>
      <c r="G8" s="9"/>
      <c r="H8" s="9"/>
      <c r="I8" s="9"/>
      <c r="J8" s="9"/>
      <c r="K8" s="9"/>
      <c r="L8" s="9"/>
      <c r="M8" s="9"/>
      <c r="N8" s="9"/>
      <c r="O8" s="9"/>
      <c r="P8" s="33" t="s">
        <v>170</v>
      </c>
      <c r="Q8" s="9"/>
      <c r="R8" s="9"/>
      <c r="S8" s="9"/>
      <c r="T8" s="9"/>
      <c r="U8" s="9"/>
      <c r="V8" s="198"/>
      <c r="W8" s="198"/>
      <c r="X8" s="198"/>
      <c r="Y8" s="198"/>
      <c r="Z8" s="198"/>
      <c r="AA8" s="198"/>
      <c r="AB8" s="198"/>
      <c r="AC8" s="198"/>
      <c r="AD8" s="198"/>
      <c r="AE8" s="198"/>
      <c r="AF8" s="198"/>
      <c r="AG8" s="198"/>
      <c r="AH8" s="9"/>
      <c r="AI8" s="38" t="s">
        <v>161</v>
      </c>
      <c r="AJ8" s="505"/>
      <c r="AM8" s="76"/>
    </row>
    <row r="9" spans="1:48" ht="15" customHeight="1">
      <c r="A9" s="133"/>
      <c r="F9" s="226"/>
      <c r="G9" s="11"/>
      <c r="H9" s="11"/>
      <c r="I9" s="11"/>
      <c r="J9" s="11"/>
      <c r="K9" s="11"/>
      <c r="L9" s="11"/>
      <c r="M9" s="11"/>
      <c r="N9" s="11"/>
      <c r="O9" s="11"/>
      <c r="P9" s="3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227"/>
      <c r="AJ9" s="505"/>
      <c r="AM9" s="76"/>
    </row>
    <row r="10" spans="1:48" ht="15" customHeight="1">
      <c r="A10" s="133"/>
      <c r="F10" s="71" t="s">
        <v>118</v>
      </c>
      <c r="G10" s="9"/>
      <c r="H10" s="9"/>
      <c r="I10" s="9"/>
      <c r="J10" s="9"/>
      <c r="K10" s="9"/>
      <c r="L10" s="9"/>
      <c r="M10" s="9"/>
      <c r="N10" s="9"/>
      <c r="O10" s="9"/>
      <c r="P10" s="62"/>
      <c r="Q10" s="9"/>
      <c r="R10" s="9"/>
      <c r="S10" s="9"/>
      <c r="T10" s="9"/>
      <c r="U10" s="9"/>
      <c r="V10" s="198"/>
      <c r="W10" s="198"/>
      <c r="X10" s="198"/>
      <c r="Y10" s="198"/>
      <c r="Z10" s="198"/>
      <c r="AA10" s="198"/>
      <c r="AB10" s="198"/>
      <c r="AC10" s="198"/>
      <c r="AD10" s="198"/>
      <c r="AE10" s="198"/>
      <c r="AF10" s="198"/>
      <c r="AG10" s="198"/>
      <c r="AH10" s="9"/>
      <c r="AI10" s="228"/>
      <c r="AJ10" s="505"/>
      <c r="AM10" s="76"/>
    </row>
    <row r="11" spans="1:48" ht="15" customHeight="1">
      <c r="A11" s="133"/>
      <c r="F11" s="229" t="s">
        <v>215</v>
      </c>
      <c r="G11" s="9"/>
      <c r="H11" s="9"/>
      <c r="I11" s="9"/>
      <c r="J11" s="9"/>
      <c r="K11" s="9"/>
      <c r="L11" s="9"/>
      <c r="M11" s="9"/>
      <c r="N11" s="9"/>
      <c r="O11" s="9"/>
      <c r="P11" s="33" t="s">
        <v>1665</v>
      </c>
      <c r="Q11" s="9"/>
      <c r="R11" s="9"/>
      <c r="S11" s="9"/>
      <c r="T11" s="9"/>
      <c r="U11" s="9"/>
      <c r="V11" s="198"/>
      <c r="W11" s="198"/>
      <c r="X11" s="198"/>
      <c r="Y11" s="198"/>
      <c r="Z11" s="198"/>
      <c r="AA11" s="198"/>
      <c r="AB11" s="198"/>
      <c r="AC11" s="198"/>
      <c r="AD11" s="198"/>
      <c r="AE11" s="198"/>
      <c r="AF11" s="198"/>
      <c r="AG11" s="198"/>
      <c r="AH11" s="9"/>
      <c r="AI11" s="38" t="s">
        <v>162</v>
      </c>
      <c r="AJ11" s="505"/>
      <c r="AM11" s="76"/>
    </row>
    <row r="12" spans="1:48" ht="15" customHeight="1">
      <c r="A12" s="133"/>
      <c r="F12" s="37"/>
      <c r="G12" s="9"/>
      <c r="H12" s="9"/>
      <c r="I12" s="9"/>
      <c r="J12" s="9"/>
      <c r="K12" s="9"/>
      <c r="L12" s="9"/>
      <c r="M12" s="9"/>
      <c r="N12" s="9"/>
      <c r="O12" s="9"/>
      <c r="P12" s="33" t="s">
        <v>1666</v>
      </c>
      <c r="Q12" s="9"/>
      <c r="R12" s="9"/>
      <c r="S12" s="9"/>
      <c r="T12" s="9"/>
      <c r="U12" s="9"/>
      <c r="V12" s="198"/>
      <c r="W12" s="198"/>
      <c r="X12" s="198"/>
      <c r="Y12" s="198"/>
      <c r="Z12" s="198"/>
      <c r="AA12" s="198"/>
      <c r="AB12" s="198"/>
      <c r="AC12" s="198"/>
      <c r="AD12" s="198"/>
      <c r="AE12" s="198"/>
      <c r="AF12" s="198"/>
      <c r="AG12" s="198"/>
      <c r="AH12" s="9"/>
      <c r="AI12" s="38" t="s">
        <v>163</v>
      </c>
      <c r="AJ12" s="505"/>
      <c r="AM12" s="76"/>
    </row>
    <row r="13" spans="1:48" ht="15" customHeight="1">
      <c r="A13" s="133"/>
      <c r="F13" s="37"/>
      <c r="G13" s="31" t="s">
        <v>437</v>
      </c>
      <c r="H13" s="198"/>
      <c r="I13" s="198"/>
      <c r="J13" s="198"/>
      <c r="K13" s="198"/>
      <c r="L13" s="198"/>
      <c r="M13" s="198"/>
      <c r="N13" s="9"/>
      <c r="O13" s="9"/>
      <c r="P13" s="33" t="s">
        <v>1667</v>
      </c>
      <c r="Q13" s="9"/>
      <c r="R13" s="9"/>
      <c r="S13" s="9"/>
      <c r="T13" s="9"/>
      <c r="U13" s="9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9"/>
      <c r="AI13" s="38" t="s">
        <v>164</v>
      </c>
      <c r="AJ13" s="505"/>
      <c r="AM13" s="76"/>
    </row>
    <row r="14" spans="1:48" ht="15" customHeight="1">
      <c r="A14" s="133"/>
      <c r="F14" s="230"/>
      <c r="G14" s="9"/>
      <c r="H14" s="9"/>
      <c r="I14" s="198"/>
      <c r="J14" s="198"/>
      <c r="K14" s="198"/>
      <c r="L14" s="198"/>
      <c r="M14" s="198"/>
      <c r="N14" s="9"/>
      <c r="O14" s="9"/>
      <c r="P14" s="33"/>
      <c r="Q14" s="9"/>
      <c r="R14" s="9"/>
      <c r="S14" s="9"/>
      <c r="T14" s="9"/>
      <c r="U14" s="9"/>
      <c r="V14" s="198"/>
      <c r="W14" s="198"/>
      <c r="X14" s="198"/>
      <c r="Y14" s="198"/>
      <c r="Z14" s="198"/>
      <c r="AA14" s="198"/>
      <c r="AB14" s="198"/>
      <c r="AC14" s="198"/>
      <c r="AD14" s="198"/>
      <c r="AE14" s="198"/>
      <c r="AF14" s="198"/>
      <c r="AG14" s="198"/>
      <c r="AH14" s="9"/>
      <c r="AI14" s="228"/>
      <c r="AJ14" s="505"/>
      <c r="AM14" s="76"/>
    </row>
    <row r="15" spans="1:48" ht="15" customHeight="1">
      <c r="A15" s="133"/>
      <c r="F15" s="229" t="s">
        <v>216</v>
      </c>
      <c r="G15" s="9"/>
      <c r="H15" s="31"/>
      <c r="I15" s="198"/>
      <c r="J15" s="198"/>
      <c r="K15" s="198"/>
      <c r="L15" s="198"/>
      <c r="M15" s="198"/>
      <c r="N15" s="9"/>
      <c r="O15" s="9"/>
      <c r="P15" s="33" t="s">
        <v>1668</v>
      </c>
      <c r="Q15" s="9"/>
      <c r="R15" s="9"/>
      <c r="S15" s="9"/>
      <c r="T15" s="9"/>
      <c r="U15" s="9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9"/>
      <c r="AI15" s="38" t="s">
        <v>165</v>
      </c>
      <c r="AJ15" s="505"/>
      <c r="AM15" s="76"/>
    </row>
    <row r="16" spans="1:48" ht="15" customHeight="1">
      <c r="A16" s="133"/>
      <c r="F16" s="37"/>
      <c r="G16" s="31" t="s">
        <v>437</v>
      </c>
      <c r="H16" s="198"/>
      <c r="I16" s="198"/>
      <c r="J16" s="198"/>
      <c r="K16" s="198"/>
      <c r="L16" s="198"/>
      <c r="M16" s="198"/>
      <c r="N16" s="9"/>
      <c r="O16" s="9"/>
      <c r="P16" s="33" t="s">
        <v>1667</v>
      </c>
      <c r="Q16" s="9"/>
      <c r="R16" s="9"/>
      <c r="S16" s="9"/>
      <c r="T16" s="9"/>
      <c r="U16" s="9"/>
      <c r="V16" s="198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9"/>
      <c r="AI16" s="38" t="s">
        <v>166</v>
      </c>
      <c r="AJ16" s="505"/>
      <c r="AM16" s="76"/>
    </row>
    <row r="17" spans="1:44" ht="15" customHeight="1">
      <c r="A17" s="133"/>
      <c r="F17" s="46"/>
      <c r="G17" s="11"/>
      <c r="H17" s="11"/>
      <c r="I17" s="11"/>
      <c r="J17" s="11"/>
      <c r="K17" s="11"/>
      <c r="L17" s="11"/>
      <c r="M17" s="11"/>
      <c r="N17" s="11"/>
      <c r="O17" s="11"/>
      <c r="P17" s="34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227"/>
      <c r="AJ17" s="505"/>
      <c r="AM17" s="76"/>
    </row>
    <row r="18" spans="1:44" ht="15" customHeight="1">
      <c r="A18" s="133"/>
      <c r="F18" s="39" t="s">
        <v>119</v>
      </c>
      <c r="G18" s="9"/>
      <c r="H18" s="9"/>
      <c r="I18" s="9"/>
      <c r="J18" s="9"/>
      <c r="K18" s="9"/>
      <c r="L18" s="9"/>
      <c r="M18" s="9"/>
      <c r="N18" s="9"/>
      <c r="O18" s="9"/>
      <c r="P18" s="33"/>
      <c r="Q18" s="9"/>
      <c r="R18" s="9"/>
      <c r="S18" s="9"/>
      <c r="T18" s="9"/>
      <c r="U18" s="9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9"/>
      <c r="AI18" s="228"/>
      <c r="AJ18" s="505"/>
      <c r="AM18" s="76"/>
    </row>
    <row r="19" spans="1:44" ht="15" customHeight="1">
      <c r="F19" s="230" t="s">
        <v>215</v>
      </c>
      <c r="G19" s="9"/>
      <c r="H19" s="9"/>
      <c r="I19" s="9"/>
      <c r="J19" s="9"/>
      <c r="K19" s="9"/>
      <c r="L19" s="9"/>
      <c r="M19" s="9"/>
      <c r="N19" s="9"/>
      <c r="O19" s="9"/>
      <c r="P19" s="33" t="s">
        <v>1669</v>
      </c>
      <c r="Q19" s="9"/>
      <c r="R19" s="9"/>
      <c r="S19" s="9"/>
      <c r="T19" s="9"/>
      <c r="U19" s="9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9"/>
      <c r="AI19" s="38" t="s">
        <v>167</v>
      </c>
      <c r="AJ19" s="505"/>
      <c r="AM19" s="76"/>
    </row>
    <row r="20" spans="1:44" ht="15" customHeight="1">
      <c r="F20" s="230"/>
      <c r="G20" s="9"/>
      <c r="H20" s="9"/>
      <c r="I20" s="9"/>
      <c r="J20" s="9"/>
      <c r="K20" s="9"/>
      <c r="L20" s="9"/>
      <c r="M20" s="9"/>
      <c r="N20" s="9"/>
      <c r="O20" s="9"/>
      <c r="P20" s="33"/>
      <c r="Q20" s="9"/>
      <c r="R20" s="9"/>
      <c r="S20" s="9"/>
      <c r="T20" s="9"/>
      <c r="U20" s="9"/>
      <c r="V20" s="198"/>
      <c r="W20" s="198"/>
      <c r="X20" s="198"/>
      <c r="Y20" s="198"/>
      <c r="Z20" s="198"/>
      <c r="AA20" s="198"/>
      <c r="AB20" s="198"/>
      <c r="AC20" s="198"/>
      <c r="AD20" s="198"/>
      <c r="AE20" s="198"/>
      <c r="AF20" s="198"/>
      <c r="AG20" s="198"/>
      <c r="AH20" s="9"/>
      <c r="AI20" s="231"/>
      <c r="AJ20" s="505"/>
      <c r="AM20" s="76"/>
    </row>
    <row r="21" spans="1:44" ht="15" customHeight="1">
      <c r="F21" s="229" t="s">
        <v>216</v>
      </c>
      <c r="G21" s="9"/>
      <c r="H21" s="9"/>
      <c r="I21" s="9"/>
      <c r="J21" s="9"/>
      <c r="K21" s="9"/>
      <c r="L21" s="9"/>
      <c r="M21" s="9"/>
      <c r="N21" s="9"/>
      <c r="O21" s="9"/>
      <c r="P21" s="33" t="s">
        <v>1670</v>
      </c>
      <c r="Q21" s="9"/>
      <c r="R21" s="9"/>
      <c r="S21" s="9"/>
      <c r="T21" s="9"/>
      <c r="U21" s="9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9"/>
      <c r="AI21" s="38" t="s">
        <v>168</v>
      </c>
      <c r="AJ21" s="505"/>
      <c r="AM21" s="76"/>
    </row>
    <row r="22" spans="1:44" ht="15" customHeight="1">
      <c r="F22" s="46"/>
      <c r="G22" s="11"/>
      <c r="H22" s="11"/>
      <c r="I22" s="11"/>
      <c r="J22" s="11"/>
      <c r="K22" s="11"/>
      <c r="L22" s="11"/>
      <c r="M22" s="11"/>
      <c r="N22" s="11"/>
      <c r="O22" s="11"/>
      <c r="P22" s="34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227"/>
      <c r="AJ22" s="505"/>
      <c r="AM22" s="76"/>
    </row>
    <row r="23" spans="1:44" ht="15" customHeight="1">
      <c r="F23" s="39" t="s">
        <v>120</v>
      </c>
      <c r="G23" s="9"/>
      <c r="H23" s="9"/>
      <c r="I23" s="9"/>
      <c r="J23" s="9"/>
      <c r="K23" s="9"/>
      <c r="L23" s="9"/>
      <c r="M23" s="9"/>
      <c r="N23" s="9"/>
      <c r="O23" s="9"/>
      <c r="P23" s="33"/>
      <c r="Q23" s="9"/>
      <c r="R23" s="9"/>
      <c r="S23" s="9"/>
      <c r="T23" s="9"/>
      <c r="U23" s="9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9"/>
      <c r="AI23" s="228"/>
      <c r="AJ23" s="505"/>
      <c r="AM23" s="76"/>
    </row>
    <row r="24" spans="1:44" ht="15" customHeight="1">
      <c r="F24" s="37"/>
      <c r="G24" s="9"/>
      <c r="H24" s="9"/>
      <c r="I24" s="9"/>
      <c r="J24" s="9"/>
      <c r="K24" s="9"/>
      <c r="L24" s="9"/>
      <c r="M24" s="9"/>
      <c r="N24" s="9"/>
      <c r="O24" s="9"/>
      <c r="P24" s="33" t="s">
        <v>1671</v>
      </c>
      <c r="Q24" s="9"/>
      <c r="R24" s="9"/>
      <c r="S24" s="9"/>
      <c r="T24" s="9"/>
      <c r="U24" s="9"/>
      <c r="V24" s="198"/>
      <c r="W24" s="198"/>
      <c r="X24" s="198"/>
      <c r="Y24" s="198"/>
      <c r="Z24" s="198"/>
      <c r="AA24" s="198"/>
      <c r="AB24" s="198"/>
      <c r="AC24" s="198"/>
      <c r="AD24" s="198"/>
      <c r="AE24" s="198"/>
      <c r="AF24" s="198"/>
      <c r="AG24" s="198"/>
      <c r="AH24" s="9"/>
      <c r="AI24" s="38" t="s">
        <v>169</v>
      </c>
      <c r="AJ24" s="505"/>
      <c r="AM24" s="76"/>
    </row>
    <row r="25" spans="1:44" ht="15" customHeight="1" thickBot="1">
      <c r="F25" s="40"/>
      <c r="G25" s="41"/>
      <c r="H25" s="41"/>
      <c r="I25" s="41"/>
      <c r="J25" s="41"/>
      <c r="K25" s="41"/>
      <c r="L25" s="41"/>
      <c r="M25" s="41"/>
      <c r="N25" s="41"/>
      <c r="O25" s="41"/>
      <c r="P25" s="42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5"/>
      <c r="AJ25" s="505"/>
      <c r="AM25" s="76"/>
    </row>
    <row r="26" spans="1:44" ht="15" customHeight="1"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87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F26" s="1257"/>
      <c r="AJ26" s="505"/>
      <c r="AM26" s="76"/>
    </row>
    <row r="27" spans="1:44" ht="15" customHeight="1"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87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F27" s="1257"/>
      <c r="AJ27" s="505"/>
      <c r="AM27" s="76"/>
    </row>
    <row r="28" spans="1:44" ht="15" customHeight="1">
      <c r="A28" s="1182" t="s">
        <v>389</v>
      </c>
      <c r="B28" s="96"/>
      <c r="C28" s="122"/>
      <c r="D28" s="122"/>
      <c r="E28" s="122"/>
      <c r="F28" s="122"/>
      <c r="G28" s="87"/>
      <c r="H28" s="122"/>
      <c r="I28" s="122"/>
      <c r="J28" s="122"/>
      <c r="K28" s="170"/>
      <c r="L28" s="1186"/>
      <c r="M28" s="170"/>
      <c r="N28" s="170"/>
      <c r="P28" s="170"/>
      <c r="Q28" s="170"/>
      <c r="R28" s="170"/>
      <c r="S28" s="170"/>
      <c r="X28" s="170"/>
      <c r="Y28" s="1186"/>
      <c r="Z28" s="170"/>
      <c r="AJ28" s="505"/>
      <c r="AM28" s="76"/>
      <c r="AR28" s="1529" t="s">
        <v>2901</v>
      </c>
    </row>
    <row r="29" spans="1:44" ht="15" customHeight="1" thickBot="1">
      <c r="A29" s="206"/>
      <c r="B29" s="96"/>
      <c r="C29" s="122"/>
      <c r="D29" s="122"/>
      <c r="E29" s="122"/>
      <c r="F29" s="122"/>
      <c r="G29" s="87"/>
      <c r="H29" s="122"/>
      <c r="I29" s="122"/>
      <c r="J29" s="122"/>
      <c r="K29" s="170"/>
      <c r="L29" s="1227"/>
      <c r="M29" s="170"/>
      <c r="N29" s="170"/>
      <c r="P29" s="170"/>
      <c r="Q29" s="170"/>
      <c r="R29" s="170"/>
      <c r="S29" s="170"/>
      <c r="X29" s="170"/>
      <c r="Y29" s="1227"/>
      <c r="Z29" s="170"/>
      <c r="AD29" s="1236"/>
      <c r="AF29" s="1236"/>
      <c r="AJ29" s="505"/>
      <c r="AM29" s="76"/>
    </row>
    <row r="30" spans="1:44" ht="20.100000000000001" customHeight="1" thickBot="1">
      <c r="A30" s="206"/>
      <c r="B30" s="96"/>
      <c r="C30" s="1268"/>
      <c r="D30" s="1269"/>
      <c r="E30" s="1269"/>
      <c r="F30" s="1269"/>
      <c r="G30" s="1270" t="s">
        <v>1971</v>
      </c>
      <c r="H30" s="1269"/>
      <c r="I30" s="1269"/>
      <c r="J30" s="1269"/>
      <c r="K30" s="1271"/>
      <c r="L30" s="1272"/>
      <c r="M30" s="1271"/>
      <c r="N30" s="1271"/>
      <c r="O30" s="1271"/>
      <c r="P30" s="1273"/>
      <c r="Q30" s="170"/>
      <c r="R30" s="170"/>
      <c r="S30" s="170"/>
      <c r="X30" s="170"/>
      <c r="Y30" s="1186"/>
      <c r="Z30" s="170"/>
      <c r="AJ30" s="505"/>
      <c r="AM30" s="76"/>
    </row>
    <row r="31" spans="1:44" ht="15" customHeight="1">
      <c r="A31" s="206"/>
      <c r="B31" s="96"/>
      <c r="C31" s="122"/>
      <c r="D31" s="122"/>
      <c r="E31" s="122"/>
      <c r="F31" s="122"/>
      <c r="G31" s="87"/>
      <c r="H31" s="122"/>
      <c r="I31" s="122"/>
      <c r="J31" s="122"/>
      <c r="K31" s="170"/>
      <c r="L31" s="1186"/>
      <c r="M31" s="170"/>
      <c r="N31" s="170"/>
      <c r="O31" s="170"/>
      <c r="P31" s="170"/>
      <c r="Q31" s="170"/>
      <c r="R31" s="170"/>
      <c r="S31" s="170"/>
      <c r="X31" s="170"/>
      <c r="Y31" s="1186"/>
      <c r="Z31" s="170"/>
      <c r="AJ31" s="505"/>
      <c r="AM31" s="76"/>
    </row>
    <row r="32" spans="1:44" ht="15" customHeight="1">
      <c r="B32" s="147" t="s">
        <v>1972</v>
      </c>
      <c r="C32" s="122"/>
      <c r="D32" s="122"/>
      <c r="E32" s="122"/>
      <c r="F32" s="122"/>
      <c r="G32" s="87"/>
      <c r="H32" s="122"/>
      <c r="I32" s="122"/>
      <c r="J32" s="122"/>
      <c r="K32" s="170"/>
      <c r="L32" s="1186"/>
      <c r="M32" s="170"/>
      <c r="N32" s="170"/>
      <c r="O32" s="170"/>
      <c r="P32" s="170"/>
      <c r="Q32" s="170"/>
      <c r="R32" s="170"/>
      <c r="S32" s="170"/>
      <c r="X32" s="170"/>
      <c r="Y32" s="1186"/>
      <c r="Z32" s="170"/>
      <c r="AA32" s="108"/>
      <c r="AJ32" s="505"/>
      <c r="AM32" s="76"/>
    </row>
    <row r="33" spans="1:44" ht="20.100000000000001" customHeight="1">
      <c r="A33" s="170"/>
      <c r="B33" s="148" t="s">
        <v>134</v>
      </c>
      <c r="C33" s="148"/>
      <c r="D33" s="148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8" t="s">
        <v>1967</v>
      </c>
      <c r="W33" s="141"/>
      <c r="X33" s="141"/>
      <c r="Y33" s="141"/>
      <c r="Z33" s="141"/>
      <c r="AA33" s="170"/>
      <c r="AJ33" s="505"/>
      <c r="AM33" s="76"/>
    </row>
    <row r="34" spans="1:44" ht="20.100000000000001" customHeight="1">
      <c r="A34" s="170"/>
      <c r="B34" s="93"/>
      <c r="C34" s="93"/>
      <c r="D34" s="93"/>
      <c r="E34" s="93"/>
      <c r="F34" s="170"/>
      <c r="G34" s="365"/>
      <c r="K34" s="143" t="s">
        <v>2589</v>
      </c>
      <c r="L34" s="143"/>
      <c r="V34" s="115" t="s">
        <v>1968</v>
      </c>
      <c r="W34" s="170"/>
      <c r="X34" s="170"/>
      <c r="Y34" s="170"/>
      <c r="Z34" s="170"/>
      <c r="AA34" s="170"/>
      <c r="AJ34" s="505"/>
      <c r="AM34" s="76"/>
    </row>
    <row r="35" spans="1:44" ht="20.100000000000001" customHeight="1">
      <c r="A35" s="170"/>
      <c r="B35" s="170" t="s">
        <v>1342</v>
      </c>
      <c r="C35" s="170"/>
      <c r="D35" s="115"/>
      <c r="K35" s="1937" t="s">
        <v>136</v>
      </c>
      <c r="L35" s="1937"/>
      <c r="M35" s="1937"/>
      <c r="N35" s="1937"/>
      <c r="O35" s="1937"/>
      <c r="P35" s="99"/>
      <c r="Q35" s="99"/>
      <c r="R35" s="99"/>
      <c r="S35" s="99"/>
      <c r="T35" s="2178">
        <v>0.85</v>
      </c>
      <c r="U35" s="2178"/>
      <c r="V35" s="2178"/>
      <c r="W35" s="2187" t="s">
        <v>1969</v>
      </c>
      <c r="X35" s="2187"/>
      <c r="Y35" s="2187"/>
      <c r="Z35" s="2187"/>
      <c r="AA35" s="170"/>
      <c r="AJ35" s="505"/>
      <c r="AM35" s="76"/>
    </row>
    <row r="36" spans="1:44" ht="20.100000000000001" customHeight="1">
      <c r="A36" s="170"/>
      <c r="B36" s="104"/>
      <c r="C36" s="104"/>
      <c r="D36" s="104"/>
      <c r="E36" s="104"/>
      <c r="F36" s="104"/>
      <c r="G36" s="104"/>
      <c r="H36" s="118"/>
      <c r="I36" s="118"/>
      <c r="J36" s="118"/>
      <c r="K36" s="1930"/>
      <c r="L36" s="1930"/>
      <c r="M36" s="1930"/>
      <c r="N36" s="1930"/>
      <c r="O36" s="1930"/>
      <c r="P36" s="118"/>
      <c r="Q36" s="118"/>
      <c r="R36" s="118"/>
      <c r="S36" s="118"/>
      <c r="T36" s="2176" t="s">
        <v>234</v>
      </c>
      <c r="U36" s="2176"/>
      <c r="V36" s="2176"/>
      <c r="W36" s="2188"/>
      <c r="X36" s="2188"/>
      <c r="Y36" s="2188"/>
      <c r="Z36" s="2188"/>
      <c r="AA36" s="170"/>
      <c r="AJ36" s="505"/>
      <c r="AM36" s="76"/>
    </row>
    <row r="37" spans="1:44" ht="20.100000000000001" customHeight="1">
      <c r="A37" s="170"/>
      <c r="B37" s="145" t="s">
        <v>1341</v>
      </c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 t="s">
        <v>1968</v>
      </c>
      <c r="W37" s="112"/>
      <c r="X37" s="112"/>
      <c r="Y37" s="112"/>
      <c r="Z37" s="112"/>
      <c r="AA37" s="170"/>
      <c r="AJ37" s="505"/>
      <c r="AM37" s="76"/>
    </row>
    <row r="38" spans="1:44" ht="15" customHeight="1">
      <c r="A38" s="170"/>
      <c r="B38" s="1187"/>
      <c r="C38" s="1187"/>
      <c r="D38" s="1187"/>
      <c r="E38" s="170"/>
      <c r="F38" s="170"/>
      <c r="G38" s="170"/>
      <c r="H38" s="170"/>
      <c r="I38" s="170"/>
      <c r="J38" s="170"/>
      <c r="K38" s="170"/>
      <c r="L38" s="1186"/>
      <c r="M38" s="1186"/>
      <c r="N38" s="1186"/>
      <c r="O38" s="170"/>
      <c r="P38" s="115"/>
      <c r="R38" s="115"/>
      <c r="T38" s="115"/>
      <c r="V38" s="115"/>
      <c r="W38" s="115"/>
      <c r="X38" s="170"/>
      <c r="Y38" s="1186"/>
      <c r="Z38" s="170"/>
      <c r="AA38" s="170"/>
      <c r="AJ38" s="505"/>
      <c r="AM38" s="76"/>
    </row>
    <row r="39" spans="1:44" ht="15" customHeight="1">
      <c r="A39" s="170"/>
      <c r="B39" s="1187" t="s">
        <v>323</v>
      </c>
      <c r="C39" s="1187"/>
      <c r="D39" s="170"/>
      <c r="E39" s="170"/>
      <c r="F39" s="1187"/>
      <c r="G39" s="1187"/>
      <c r="H39" s="170"/>
      <c r="I39" s="170"/>
      <c r="J39" s="170"/>
      <c r="K39" s="170"/>
      <c r="L39" s="1186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186"/>
      <c r="Z39" s="170"/>
      <c r="AA39" s="170"/>
      <c r="AJ39" s="505"/>
      <c r="AM39" s="76"/>
    </row>
    <row r="40" spans="1:44" ht="15" customHeight="1">
      <c r="A40" s="170"/>
      <c r="B40" s="1187"/>
      <c r="C40" s="1187" t="s">
        <v>367</v>
      </c>
      <c r="F40" s="124" t="s">
        <v>324</v>
      </c>
      <c r="I40" s="1187" t="s">
        <v>382</v>
      </c>
      <c r="J40" s="170"/>
      <c r="K40" s="170"/>
      <c r="L40" s="170"/>
      <c r="M40" s="170"/>
      <c r="P40" s="1186"/>
      <c r="Q40" s="170"/>
      <c r="T40" s="170"/>
      <c r="U40" s="170"/>
      <c r="V40" s="170"/>
      <c r="W40" s="170"/>
      <c r="X40" s="170"/>
      <c r="Y40" s="170"/>
      <c r="Z40" s="170"/>
      <c r="AA40" s="1186"/>
      <c r="AB40" s="170"/>
      <c r="AC40" s="170"/>
      <c r="AD40" s="73"/>
      <c r="AE40" s="143"/>
      <c r="AH40" s="1202"/>
      <c r="AJ40" s="505"/>
      <c r="AM40" s="76"/>
    </row>
    <row r="41" spans="1:44" ht="15" customHeight="1">
      <c r="A41" s="170"/>
      <c r="B41" s="1187"/>
      <c r="C41" s="1187" t="s">
        <v>368</v>
      </c>
      <c r="F41" s="124" t="s">
        <v>324</v>
      </c>
      <c r="I41" s="1187" t="s">
        <v>2797</v>
      </c>
      <c r="J41" s="170"/>
      <c r="L41" s="143"/>
      <c r="P41" s="170" t="s">
        <v>365</v>
      </c>
      <c r="T41" s="170"/>
      <c r="V41" s="170"/>
      <c r="W41" s="170"/>
      <c r="X41" s="170"/>
      <c r="Y41" s="170"/>
      <c r="Z41" s="170"/>
      <c r="AA41" s="1189"/>
      <c r="AB41" s="170"/>
      <c r="AD41" s="73"/>
      <c r="AE41" s="143"/>
      <c r="AH41" s="1202"/>
      <c r="AJ41" s="505"/>
      <c r="AM41" s="76"/>
      <c r="AR41" s="1529" t="s">
        <v>2902</v>
      </c>
    </row>
    <row r="42" spans="1:44" ht="15" customHeight="1">
      <c r="A42" s="170"/>
      <c r="B42" s="1187"/>
      <c r="C42" s="1187" t="s">
        <v>373</v>
      </c>
      <c r="F42" s="124" t="s">
        <v>324</v>
      </c>
      <c r="I42" s="1187" t="s">
        <v>397</v>
      </c>
      <c r="L42" s="143"/>
      <c r="X42" s="170"/>
      <c r="Y42" s="170"/>
      <c r="Z42" s="170"/>
      <c r="AA42" s="1189"/>
      <c r="AB42" s="170"/>
      <c r="AD42" s="73"/>
      <c r="AE42" s="143"/>
      <c r="AH42" s="1202"/>
      <c r="AJ42" s="505"/>
      <c r="AM42" s="76"/>
      <c r="AR42" s="1529" t="s">
        <v>2902</v>
      </c>
    </row>
    <row r="43" spans="1:44" ht="15" customHeight="1">
      <c r="A43" s="170"/>
      <c r="B43" s="1187"/>
      <c r="F43" s="124" t="s">
        <v>324</v>
      </c>
      <c r="I43" s="2096">
        <v>1</v>
      </c>
      <c r="J43" s="2096"/>
      <c r="K43" s="170"/>
      <c r="L43" s="143"/>
      <c r="M43" s="170" t="s">
        <v>371</v>
      </c>
      <c r="T43" s="170"/>
      <c r="U43" s="137"/>
      <c r="V43" s="170"/>
      <c r="W43" s="170"/>
      <c r="Y43" s="143"/>
      <c r="AA43" s="1189"/>
      <c r="AB43" s="170"/>
      <c r="AD43" s="73"/>
      <c r="AE43" s="143"/>
      <c r="AH43" s="1202"/>
      <c r="AJ43" s="505"/>
      <c r="AM43" s="76"/>
    </row>
    <row r="44" spans="1:44" ht="15" customHeight="1">
      <c r="A44" s="170"/>
      <c r="B44" s="1187"/>
      <c r="F44" s="124" t="s">
        <v>324</v>
      </c>
      <c r="I44" s="2096">
        <v>1</v>
      </c>
      <c r="J44" s="2096"/>
      <c r="L44" s="143"/>
      <c r="M44" s="170" t="s">
        <v>372</v>
      </c>
      <c r="U44" s="137"/>
      <c r="Y44" s="143"/>
      <c r="AA44" s="1189"/>
      <c r="AB44" s="170"/>
      <c r="AD44" s="73"/>
      <c r="AE44" s="143"/>
      <c r="AH44" s="1202"/>
      <c r="AJ44" s="505"/>
      <c r="AM44" s="76"/>
    </row>
    <row r="45" spans="1:44" ht="15" customHeight="1">
      <c r="A45" s="170"/>
      <c r="B45" s="1187"/>
      <c r="F45" s="124" t="s">
        <v>324</v>
      </c>
      <c r="I45" s="170" t="s">
        <v>235</v>
      </c>
      <c r="J45" s="170"/>
      <c r="K45" s="170"/>
      <c r="L45" s="170"/>
      <c r="M45" s="170" t="s">
        <v>136</v>
      </c>
      <c r="P45" s="170"/>
      <c r="Q45" s="170"/>
      <c r="T45" s="170"/>
      <c r="U45" s="137"/>
      <c r="V45" s="170"/>
      <c r="Y45" s="143"/>
      <c r="AA45" s="1189"/>
      <c r="AB45" s="170"/>
      <c r="AD45" s="73"/>
      <c r="AE45" s="143"/>
      <c r="AH45" s="1202"/>
      <c r="AJ45" s="505"/>
      <c r="AM45" s="76"/>
    </row>
    <row r="46" spans="1:44" ht="15" customHeight="1">
      <c r="A46" s="170"/>
      <c r="B46" s="1187"/>
      <c r="C46" s="170" t="s">
        <v>370</v>
      </c>
      <c r="F46" s="124" t="s">
        <v>324</v>
      </c>
      <c r="I46" s="2089">
        <v>1</v>
      </c>
      <c r="J46" s="2089"/>
      <c r="L46" s="170" t="s">
        <v>369</v>
      </c>
      <c r="M46" s="170"/>
      <c r="P46" s="170"/>
      <c r="Q46" s="1186"/>
      <c r="T46" s="170"/>
      <c r="V46" s="170"/>
      <c r="W46" s="170"/>
      <c r="X46" s="170"/>
      <c r="Y46" s="170"/>
      <c r="AA46" s="1189"/>
      <c r="AB46" s="170"/>
      <c r="AD46" s="73"/>
      <c r="AE46" s="143"/>
      <c r="AH46" s="1202"/>
      <c r="AJ46" s="505"/>
      <c r="AM46" s="76"/>
      <c r="AR46" s="1529" t="s">
        <v>2903</v>
      </c>
    </row>
    <row r="47" spans="1:44" ht="15" customHeight="1">
      <c r="A47" s="170"/>
      <c r="B47" s="1187"/>
      <c r="C47" s="170" t="s">
        <v>387</v>
      </c>
      <c r="F47" s="124" t="s">
        <v>324</v>
      </c>
      <c r="I47" s="150" t="s">
        <v>924</v>
      </c>
      <c r="J47" s="170"/>
      <c r="L47" s="170"/>
      <c r="M47" s="170"/>
      <c r="P47" s="170"/>
      <c r="Q47" s="1186"/>
      <c r="T47" s="170"/>
      <c r="U47" s="170"/>
      <c r="V47" s="170"/>
      <c r="W47" s="170"/>
      <c r="X47" s="170"/>
      <c r="Y47" s="170"/>
      <c r="AA47" s="1186"/>
      <c r="AB47" s="170"/>
      <c r="AC47" s="137"/>
      <c r="AD47" s="73"/>
      <c r="AE47" s="143"/>
      <c r="AH47" s="1202"/>
      <c r="AJ47" s="505"/>
      <c r="AM47" s="76"/>
    </row>
    <row r="48" spans="1:44" ht="15" customHeight="1">
      <c r="A48" s="170"/>
      <c r="B48" s="1187"/>
      <c r="C48" s="170"/>
      <c r="F48" s="124" t="s">
        <v>324</v>
      </c>
      <c r="I48" s="1326" t="s">
        <v>2912</v>
      </c>
      <c r="J48" s="170"/>
      <c r="L48" s="170"/>
      <c r="M48" s="170"/>
      <c r="P48" s="170"/>
      <c r="Q48" s="1186"/>
      <c r="T48" s="170"/>
      <c r="U48" s="170"/>
      <c r="V48" s="170"/>
      <c r="W48" s="170"/>
      <c r="X48" s="170"/>
      <c r="Y48" s="170"/>
      <c r="AA48" s="1186"/>
      <c r="AB48" s="170"/>
      <c r="AC48" s="137"/>
      <c r="AD48" s="73"/>
      <c r="AE48" s="143"/>
      <c r="AH48" s="1202"/>
      <c r="AJ48" s="505"/>
      <c r="AM48" s="76"/>
    </row>
    <row r="49" spans="1:69" ht="15" customHeight="1">
      <c r="A49" s="170"/>
      <c r="B49" s="1187"/>
      <c r="C49" s="170" t="s">
        <v>926</v>
      </c>
      <c r="F49" s="124" t="s">
        <v>324</v>
      </c>
      <c r="I49" s="170" t="s">
        <v>927</v>
      </c>
      <c r="J49" s="170"/>
      <c r="L49" s="170"/>
      <c r="M49" s="170"/>
      <c r="P49" s="170"/>
      <c r="Q49" s="1186"/>
      <c r="T49" s="170"/>
      <c r="U49" s="170"/>
      <c r="V49" s="170"/>
      <c r="W49" s="170"/>
      <c r="X49" s="170"/>
      <c r="Y49" s="170"/>
      <c r="AA49" s="1186"/>
      <c r="AB49" s="170"/>
      <c r="AC49" s="137"/>
      <c r="AD49" s="73"/>
      <c r="AE49" s="143"/>
      <c r="AH49" s="1202"/>
      <c r="AJ49" s="505"/>
      <c r="AM49" s="76"/>
    </row>
    <row r="50" spans="1:69" ht="15" customHeight="1">
      <c r="A50" s="170"/>
      <c r="B50" s="1187"/>
      <c r="C50" s="170" t="s">
        <v>928</v>
      </c>
      <c r="F50" s="124" t="s">
        <v>324</v>
      </c>
      <c r="I50" s="170" t="s">
        <v>929</v>
      </c>
      <c r="J50" s="170"/>
      <c r="L50" s="170"/>
      <c r="M50" s="170"/>
      <c r="P50" s="170"/>
      <c r="Q50" s="1186"/>
      <c r="T50" s="170"/>
      <c r="U50" s="170"/>
      <c r="V50" s="170"/>
      <c r="W50" s="170"/>
      <c r="X50" s="170"/>
      <c r="Y50" s="170"/>
      <c r="AA50" s="1186"/>
      <c r="AB50" s="170"/>
      <c r="AC50" s="137"/>
      <c r="AD50" s="73"/>
      <c r="AE50" s="143"/>
      <c r="AH50" s="1202"/>
      <c r="AJ50" s="505"/>
      <c r="AM50" s="76"/>
    </row>
    <row r="51" spans="1:69" ht="15" customHeight="1">
      <c r="A51" s="170"/>
      <c r="B51" s="1187"/>
      <c r="C51" s="170" t="s">
        <v>930</v>
      </c>
      <c r="F51" s="124" t="s">
        <v>324</v>
      </c>
      <c r="I51" s="170" t="s">
        <v>931</v>
      </c>
      <c r="J51" s="170"/>
      <c r="L51" s="170"/>
      <c r="M51" s="170"/>
      <c r="P51" s="170"/>
      <c r="Q51" s="1186"/>
      <c r="T51" s="170"/>
      <c r="U51" s="170"/>
      <c r="V51" s="170"/>
      <c r="W51" s="170"/>
      <c r="X51" s="170"/>
      <c r="Y51" s="170"/>
      <c r="AA51" s="1186"/>
      <c r="AB51" s="170"/>
      <c r="AC51" s="137"/>
      <c r="AD51" s="73"/>
      <c r="AE51" s="143"/>
      <c r="AH51" s="1202"/>
      <c r="AJ51" s="505"/>
      <c r="AM51" s="76"/>
    </row>
    <row r="52" spans="1:69" ht="15" customHeight="1">
      <c r="A52" s="170"/>
      <c r="B52" s="1187"/>
      <c r="C52" s="170" t="s">
        <v>932</v>
      </c>
      <c r="F52" s="124" t="s">
        <v>324</v>
      </c>
      <c r="I52" s="170" t="s">
        <v>933</v>
      </c>
      <c r="J52" s="170"/>
      <c r="L52" s="170"/>
      <c r="M52" s="170"/>
      <c r="P52" s="170"/>
      <c r="Q52" s="1186"/>
      <c r="T52" s="170"/>
      <c r="U52" s="170"/>
      <c r="V52" s="170"/>
      <c r="W52" s="170"/>
      <c r="X52" s="170"/>
      <c r="Y52" s="170"/>
      <c r="AA52" s="1186"/>
      <c r="AB52" s="170"/>
      <c r="AC52" s="137"/>
      <c r="AD52" s="73"/>
      <c r="AE52" s="143"/>
      <c r="AH52" s="1202"/>
      <c r="AJ52" s="505"/>
      <c r="AM52" s="76"/>
    </row>
    <row r="53" spans="1:69" ht="15" customHeight="1">
      <c r="A53" s="170"/>
      <c r="B53" s="1187"/>
      <c r="C53" s="170"/>
      <c r="D53" s="170"/>
      <c r="E53" s="124"/>
      <c r="F53" s="170"/>
      <c r="H53" s="170"/>
      <c r="J53" s="170"/>
      <c r="K53" s="170"/>
      <c r="L53" s="170"/>
      <c r="M53" s="1186"/>
      <c r="O53" s="150"/>
      <c r="Q53" s="170"/>
      <c r="R53" s="170"/>
      <c r="S53" s="170"/>
      <c r="X53" s="170"/>
      <c r="Y53" s="1186"/>
      <c r="Z53" s="170"/>
      <c r="AA53" s="137"/>
      <c r="AJ53" s="505"/>
      <c r="AM53" s="76"/>
    </row>
    <row r="54" spans="1:69" ht="15" customHeight="1">
      <c r="A54" s="170"/>
      <c r="B54" s="1187"/>
      <c r="C54" s="170"/>
      <c r="D54" s="170"/>
      <c r="E54" s="124"/>
      <c r="F54" s="170"/>
      <c r="G54" s="150"/>
      <c r="H54" s="170"/>
      <c r="J54" s="170"/>
      <c r="K54" s="170"/>
      <c r="L54" s="170"/>
      <c r="M54" s="1186"/>
      <c r="N54" s="170"/>
      <c r="O54" s="170"/>
      <c r="P54" s="170"/>
      <c r="Q54" s="170"/>
      <c r="R54" s="170"/>
      <c r="S54" s="170"/>
      <c r="V54" s="170"/>
      <c r="W54" s="170"/>
      <c r="X54" s="170"/>
      <c r="Y54" s="1186"/>
      <c r="Z54" s="170"/>
      <c r="AA54" s="137"/>
      <c r="AJ54" s="505"/>
      <c r="AM54" s="76"/>
    </row>
    <row r="55" spans="1:69" ht="15" customHeight="1">
      <c r="A55" s="170"/>
      <c r="B55" s="1187"/>
      <c r="C55" s="170"/>
      <c r="D55" s="170"/>
      <c r="E55" s="124"/>
      <c r="F55" s="170"/>
      <c r="G55" s="150"/>
      <c r="H55" s="170"/>
      <c r="J55" s="170"/>
      <c r="K55" s="170"/>
      <c r="L55" s="170"/>
      <c r="M55" s="1186"/>
      <c r="N55" s="170"/>
      <c r="O55" s="170"/>
      <c r="P55" s="170"/>
      <c r="Q55" s="170"/>
      <c r="R55" s="170"/>
      <c r="S55" s="170"/>
      <c r="V55" s="170"/>
      <c r="W55" s="170"/>
      <c r="X55" s="170"/>
      <c r="Y55" s="1186"/>
      <c r="Z55" s="170"/>
      <c r="AA55" s="137"/>
      <c r="AJ55" s="505"/>
      <c r="AM55" s="76"/>
    </row>
    <row r="56" spans="1:69" ht="15" customHeight="1">
      <c r="A56" s="170"/>
      <c r="B56" s="1187"/>
      <c r="C56" s="170"/>
      <c r="D56" s="170"/>
      <c r="E56" s="124"/>
      <c r="F56" s="170"/>
      <c r="G56" s="150"/>
      <c r="H56" s="170"/>
      <c r="J56" s="170"/>
      <c r="K56" s="170"/>
      <c r="L56" s="170"/>
      <c r="M56" s="1186"/>
      <c r="N56" s="170"/>
      <c r="O56" s="170"/>
      <c r="P56" s="170"/>
      <c r="Q56" s="170"/>
      <c r="R56" s="170"/>
      <c r="S56" s="170"/>
      <c r="V56" s="170"/>
      <c r="W56" s="170"/>
      <c r="X56" s="170"/>
      <c r="Y56" s="1186"/>
      <c r="Z56" s="170"/>
      <c r="AA56" s="137"/>
      <c r="AJ56" s="505"/>
      <c r="AM56" s="76"/>
    </row>
    <row r="57" spans="1:69" ht="15" customHeight="1">
      <c r="A57" s="170"/>
      <c r="B57" s="1187"/>
      <c r="C57" s="170"/>
      <c r="D57" s="170"/>
      <c r="E57" s="124"/>
      <c r="F57" s="170"/>
      <c r="G57" s="150"/>
      <c r="H57" s="170"/>
      <c r="J57" s="170"/>
      <c r="K57" s="170"/>
      <c r="L57" s="170"/>
      <c r="M57" s="1186"/>
      <c r="N57" s="170"/>
      <c r="O57" s="170"/>
      <c r="P57" s="170"/>
      <c r="Q57" s="170"/>
      <c r="R57" s="170"/>
      <c r="S57" s="170"/>
      <c r="V57" s="170"/>
      <c r="W57" s="170"/>
      <c r="X57" s="170"/>
      <c r="Y57" s="1186"/>
      <c r="Z57" s="170"/>
      <c r="AA57" s="137"/>
      <c r="AJ57" s="505"/>
      <c r="AM57" s="76"/>
    </row>
    <row r="58" spans="1:69" ht="15" customHeight="1">
      <c r="A58" s="170"/>
      <c r="B58" s="1187"/>
      <c r="C58" s="170"/>
      <c r="D58" s="170"/>
      <c r="E58" s="124"/>
      <c r="F58" s="170"/>
      <c r="G58" s="150"/>
      <c r="H58" s="170"/>
      <c r="J58" s="170"/>
      <c r="K58" s="170"/>
      <c r="L58" s="170"/>
      <c r="M58" s="1186"/>
      <c r="N58" s="170"/>
      <c r="O58" s="170"/>
      <c r="P58" s="170"/>
      <c r="Q58" s="170"/>
      <c r="R58" s="170"/>
      <c r="S58" s="170"/>
      <c r="V58" s="170"/>
      <c r="W58" s="170"/>
      <c r="X58" s="170"/>
      <c r="Y58" s="1186"/>
      <c r="Z58" s="170"/>
      <c r="AA58" s="137"/>
      <c r="AJ58" s="505"/>
      <c r="AM58" s="76"/>
    </row>
    <row r="59" spans="1:69" ht="15" customHeight="1">
      <c r="A59" s="170"/>
      <c r="B59" s="1187"/>
      <c r="C59" s="170"/>
      <c r="D59" s="170"/>
      <c r="E59" s="124"/>
      <c r="F59" s="170"/>
      <c r="G59" s="150"/>
      <c r="H59" s="170"/>
      <c r="J59" s="170"/>
      <c r="K59" s="170"/>
      <c r="L59" s="170"/>
      <c r="M59" s="1186"/>
      <c r="N59" s="170"/>
      <c r="O59" s="170"/>
      <c r="P59" s="170"/>
      <c r="Q59" s="170"/>
      <c r="R59" s="170"/>
      <c r="S59" s="170"/>
      <c r="V59" s="170"/>
      <c r="W59" s="170"/>
      <c r="X59" s="170"/>
      <c r="Y59" s="1186"/>
      <c r="Z59" s="170"/>
      <c r="AA59" s="137"/>
      <c r="AJ59" s="505"/>
      <c r="AM59" s="76"/>
    </row>
    <row r="60" spans="1:69" ht="15" customHeight="1">
      <c r="A60" s="170"/>
      <c r="B60" s="1187"/>
      <c r="C60" s="170"/>
      <c r="D60" s="170"/>
      <c r="E60" s="124"/>
      <c r="F60" s="170"/>
      <c r="G60" s="150"/>
      <c r="H60" s="170"/>
      <c r="J60" s="170"/>
      <c r="K60" s="170"/>
      <c r="L60" s="170"/>
      <c r="M60" s="1186"/>
      <c r="N60" s="170"/>
      <c r="O60" s="170"/>
      <c r="P60" s="170"/>
      <c r="Q60" s="170"/>
      <c r="R60" s="170"/>
      <c r="S60" s="170"/>
      <c r="V60" s="170"/>
      <c r="W60" s="170"/>
      <c r="X60" s="170"/>
      <c r="Y60" s="1186"/>
      <c r="Z60" s="170"/>
      <c r="AA60" s="137"/>
      <c r="AJ60" s="505"/>
      <c r="AM60" s="76"/>
    </row>
    <row r="61" spans="1:69" ht="15" customHeight="1">
      <c r="A61" s="170"/>
      <c r="B61" s="1187"/>
      <c r="C61" s="170"/>
      <c r="D61" s="170"/>
      <c r="E61" s="124"/>
      <c r="F61" s="170"/>
      <c r="G61" s="150"/>
      <c r="H61" s="170"/>
      <c r="J61" s="170"/>
      <c r="K61" s="170"/>
      <c r="L61" s="170"/>
      <c r="M61" s="1186"/>
      <c r="N61" s="170"/>
      <c r="O61" s="170"/>
      <c r="P61" s="170"/>
      <c r="Q61" s="170"/>
      <c r="R61" s="170"/>
      <c r="S61" s="170"/>
      <c r="V61" s="170"/>
      <c r="W61" s="170"/>
      <c r="X61" s="170"/>
      <c r="Y61" s="1186"/>
      <c r="Z61" s="170"/>
      <c r="AA61" s="137"/>
      <c r="AJ61" s="505"/>
      <c r="AM61" s="76"/>
    </row>
    <row r="62" spans="1:69" ht="15" customHeight="1">
      <c r="A62" s="170"/>
      <c r="B62" s="1187"/>
      <c r="C62" s="170"/>
      <c r="D62" s="170"/>
      <c r="E62" s="124"/>
      <c r="F62" s="170"/>
      <c r="G62" s="150"/>
      <c r="H62" s="170"/>
      <c r="J62" s="170"/>
      <c r="K62" s="170"/>
      <c r="L62" s="170"/>
      <c r="M62" s="1186"/>
      <c r="N62" s="170"/>
      <c r="O62" s="170"/>
      <c r="P62" s="170"/>
      <c r="Q62" s="170"/>
      <c r="R62" s="170"/>
      <c r="S62" s="170"/>
      <c r="V62" s="170"/>
      <c r="W62" s="170"/>
      <c r="X62" s="170"/>
      <c r="Y62" s="1186"/>
      <c r="Z62" s="170"/>
      <c r="AA62" s="137"/>
      <c r="AJ62" s="505"/>
      <c r="AM62" s="76"/>
    </row>
    <row r="63" spans="1:69" ht="15" customHeight="1">
      <c r="A63" s="170"/>
      <c r="B63" s="170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187"/>
      <c r="AC63" s="170"/>
      <c r="AD63" s="170"/>
      <c r="AE63" s="124"/>
      <c r="AF63" s="170"/>
      <c r="AG63" s="150"/>
      <c r="AH63" s="170"/>
      <c r="AI63" s="143"/>
      <c r="AJ63" s="170"/>
      <c r="AK63" s="170"/>
      <c r="AL63" s="170"/>
      <c r="AM63" s="1186"/>
      <c r="AN63" s="170"/>
      <c r="AO63" s="170"/>
      <c r="AP63" s="170"/>
      <c r="AQ63" s="170"/>
      <c r="AR63" s="170"/>
      <c r="AT63" s="170"/>
      <c r="AU63" s="170"/>
      <c r="AV63" s="170"/>
      <c r="AW63" s="1186"/>
      <c r="AX63" s="170"/>
      <c r="AY63" s="137"/>
      <c r="AZ63" s="73"/>
      <c r="BB63" s="1202"/>
      <c r="BC63" s="73"/>
      <c r="BD63" s="1202"/>
      <c r="BE63" s="73"/>
      <c r="BF63" s="73"/>
      <c r="BG63" s="73"/>
      <c r="BH63" s="505"/>
      <c r="BI63" s="73"/>
      <c r="BJ63" s="73"/>
      <c r="BK63" s="76"/>
      <c r="BL63" s="73"/>
      <c r="BM63" s="73"/>
      <c r="BN63" s="73"/>
      <c r="BO63" s="73"/>
      <c r="BP63" s="73"/>
      <c r="BQ63" s="73"/>
    </row>
    <row r="64" spans="1:69" ht="15" customHeight="1">
      <c r="A64" s="170"/>
      <c r="B64" s="1177" t="s">
        <v>2466</v>
      </c>
      <c r="C64" s="1482" t="s">
        <v>2772</v>
      </c>
      <c r="D64" s="124"/>
      <c r="E64" s="170"/>
      <c r="F64" s="150"/>
      <c r="H64" s="170"/>
      <c r="J64" s="170"/>
      <c r="K64" s="170"/>
      <c r="L64" s="170"/>
      <c r="M64" s="1186"/>
      <c r="N64" s="170"/>
      <c r="O64" s="170"/>
      <c r="P64" s="170"/>
      <c r="Q64" s="170"/>
      <c r="R64" s="170"/>
      <c r="S64" s="170"/>
      <c r="V64" s="170"/>
      <c r="W64" s="170"/>
      <c r="X64" s="170"/>
      <c r="Y64" s="1186"/>
      <c r="Z64" s="170"/>
      <c r="AA64" s="137"/>
      <c r="AJ64" s="505"/>
      <c r="AM64" s="76"/>
    </row>
    <row r="65" spans="1:39" ht="15" customHeight="1">
      <c r="A65" s="170"/>
      <c r="B65" s="1187"/>
      <c r="C65" s="170"/>
      <c r="E65" s="143" t="s">
        <v>2567</v>
      </c>
      <c r="G65" s="1530" t="s">
        <v>324</v>
      </c>
      <c r="H65" s="170"/>
      <c r="I65" s="143" t="s">
        <v>2920</v>
      </c>
      <c r="J65" s="170"/>
      <c r="K65" s="170"/>
      <c r="L65" s="170"/>
      <c r="M65" s="1186"/>
      <c r="N65" s="170"/>
      <c r="O65" s="170"/>
      <c r="P65" s="170"/>
      <c r="Q65" s="170"/>
      <c r="R65" s="170"/>
      <c r="S65" s="170"/>
      <c r="V65" s="170"/>
      <c r="W65" s="170"/>
      <c r="X65" s="170"/>
      <c r="Y65" s="1186"/>
      <c r="Z65" s="170"/>
      <c r="AA65" s="137"/>
      <c r="AJ65" s="505"/>
      <c r="AM65" s="76"/>
    </row>
    <row r="66" spans="1:39" ht="15" customHeight="1">
      <c r="A66" s="170"/>
      <c r="B66" s="1187"/>
      <c r="E66" s="124" t="s">
        <v>405</v>
      </c>
      <c r="F66" s="150"/>
      <c r="G66" s="1530" t="s">
        <v>324</v>
      </c>
      <c r="H66" s="170"/>
      <c r="I66" s="124" t="s">
        <v>2921</v>
      </c>
      <c r="J66" s="170"/>
      <c r="K66" s="170"/>
      <c r="L66" s="170"/>
      <c r="M66" s="1186"/>
      <c r="N66" s="170"/>
      <c r="O66" s="170"/>
      <c r="P66" s="170"/>
      <c r="Q66" s="170"/>
      <c r="R66" s="170"/>
      <c r="S66" s="170"/>
      <c r="V66" s="170"/>
      <c r="W66" s="170"/>
      <c r="X66" s="170"/>
      <c r="Y66" s="1186"/>
      <c r="Z66" s="170"/>
      <c r="AA66" s="137"/>
      <c r="AJ66" s="505"/>
      <c r="AM66" s="76"/>
    </row>
    <row r="67" spans="1:39" ht="15" customHeight="1">
      <c r="A67" s="170"/>
      <c r="B67" s="1187"/>
      <c r="E67" s="649" t="s">
        <v>2497</v>
      </c>
      <c r="F67" s="150"/>
      <c r="G67" s="1530" t="s">
        <v>324</v>
      </c>
      <c r="H67" s="170"/>
      <c r="I67" s="170" t="s">
        <v>2919</v>
      </c>
      <c r="J67" s="170"/>
      <c r="K67" s="170"/>
      <c r="L67" s="170"/>
      <c r="M67" s="1186"/>
      <c r="N67" s="170"/>
      <c r="O67" s="170"/>
      <c r="P67" s="170"/>
      <c r="Q67" s="170"/>
      <c r="R67" s="170"/>
      <c r="S67" s="170"/>
      <c r="V67" s="170"/>
      <c r="W67" s="170"/>
      <c r="X67" s="170"/>
      <c r="Y67" s="1186"/>
      <c r="Z67" s="170"/>
      <c r="AA67" s="137"/>
      <c r="AJ67" s="505"/>
      <c r="AM67" s="76"/>
    </row>
    <row r="68" spans="1:39" ht="15" customHeight="1">
      <c r="A68" s="170"/>
      <c r="B68" s="1187"/>
      <c r="E68" s="89" t="s">
        <v>2914</v>
      </c>
      <c r="F68" s="150"/>
      <c r="G68" s="1530" t="s">
        <v>324</v>
      </c>
      <c r="H68" s="170"/>
      <c r="I68" s="170" t="s">
        <v>2913</v>
      </c>
      <c r="J68" s="170"/>
      <c r="K68" s="170"/>
      <c r="L68" s="170"/>
      <c r="M68" s="1186"/>
      <c r="N68" s="170"/>
      <c r="O68" s="170"/>
      <c r="P68" s="170"/>
      <c r="Q68" s="170"/>
      <c r="R68" s="170"/>
      <c r="S68" s="170"/>
      <c r="V68" s="170"/>
      <c r="W68" s="170"/>
      <c r="X68" s="170"/>
      <c r="Y68" s="1186"/>
      <c r="Z68" s="170"/>
      <c r="AA68" s="137"/>
      <c r="AJ68" s="505"/>
      <c r="AM68" s="76"/>
    </row>
    <row r="69" spans="1:39" ht="15" customHeight="1">
      <c r="A69" s="170"/>
      <c r="B69" s="1177" t="s">
        <v>2466</v>
      </c>
      <c r="C69" s="1482" t="s">
        <v>2774</v>
      </c>
      <c r="D69" s="124"/>
      <c r="E69" s="170"/>
      <c r="F69" s="150"/>
      <c r="H69" s="170"/>
      <c r="J69" s="170"/>
      <c r="K69" s="170"/>
      <c r="L69" s="170"/>
      <c r="M69" s="1186"/>
      <c r="N69" s="170"/>
      <c r="O69" s="170"/>
      <c r="P69" s="170"/>
      <c r="Q69" s="170"/>
      <c r="R69" s="170"/>
      <c r="S69" s="170"/>
      <c r="V69" s="170"/>
      <c r="W69" s="170"/>
      <c r="X69" s="170"/>
      <c r="Y69" s="1186"/>
      <c r="Z69" s="170"/>
      <c r="AA69" s="137"/>
      <c r="AJ69" s="505"/>
      <c r="AM69" s="76"/>
    </row>
    <row r="70" spans="1:39" ht="15" customHeight="1">
      <c r="A70" s="170"/>
      <c r="B70" s="1187"/>
      <c r="C70" s="170"/>
      <c r="E70" s="143" t="s">
        <v>928</v>
      </c>
      <c r="F70" s="150"/>
      <c r="G70" s="1530" t="s">
        <v>324</v>
      </c>
      <c r="H70" s="170"/>
      <c r="I70" s="143" t="s">
        <v>2920</v>
      </c>
      <c r="J70" s="170"/>
      <c r="K70" s="170"/>
      <c r="L70" s="170"/>
      <c r="M70" s="1186"/>
      <c r="N70" s="170"/>
      <c r="O70" s="170"/>
      <c r="P70" s="170"/>
      <c r="Q70" s="170"/>
      <c r="R70" s="170"/>
      <c r="S70" s="170"/>
      <c r="V70" s="170"/>
      <c r="W70" s="170"/>
      <c r="X70" s="170"/>
      <c r="Y70" s="1186"/>
      <c r="Z70" s="170"/>
      <c r="AA70" s="137"/>
      <c r="AJ70" s="505"/>
      <c r="AM70" s="76"/>
    </row>
    <row r="71" spans="1:39" ht="15" customHeight="1">
      <c r="A71" s="170"/>
      <c r="B71" s="1187"/>
      <c r="E71" s="124" t="s">
        <v>405</v>
      </c>
      <c r="F71" s="150"/>
      <c r="G71" s="1530" t="s">
        <v>324</v>
      </c>
      <c r="H71" s="170"/>
      <c r="I71" s="124" t="s">
        <v>2922</v>
      </c>
      <c r="J71" s="170"/>
      <c r="K71" s="170"/>
      <c r="L71" s="170"/>
      <c r="M71" s="1186"/>
      <c r="N71" s="170"/>
      <c r="O71" s="170"/>
      <c r="P71" s="170"/>
      <c r="Q71" s="170"/>
      <c r="R71" s="170"/>
      <c r="S71" s="170"/>
      <c r="V71" s="170"/>
      <c r="W71" s="170"/>
      <c r="X71" s="170"/>
      <c r="Y71" s="1186"/>
      <c r="Z71" s="170"/>
      <c r="AA71" s="137"/>
      <c r="AJ71" s="505"/>
      <c r="AM71" s="76"/>
    </row>
    <row r="72" spans="1:39" ht="15" customHeight="1">
      <c r="A72" s="170"/>
      <c r="B72" s="1187"/>
      <c r="C72" s="170"/>
      <c r="E72" s="170" t="s">
        <v>948</v>
      </c>
      <c r="F72" s="150"/>
      <c r="G72" s="1530" t="s">
        <v>324</v>
      </c>
      <c r="H72" s="170"/>
      <c r="I72" s="170" t="s">
        <v>2923</v>
      </c>
      <c r="J72" s="170"/>
      <c r="K72" s="170"/>
      <c r="L72" s="170"/>
      <c r="M72" s="1186"/>
      <c r="N72" s="170"/>
      <c r="O72" s="170"/>
      <c r="P72" s="170"/>
      <c r="Q72" s="170"/>
      <c r="R72" s="170"/>
      <c r="S72" s="170"/>
      <c r="V72" s="170"/>
      <c r="W72" s="170"/>
      <c r="X72" s="170"/>
      <c r="Y72" s="1186"/>
      <c r="Z72" s="170"/>
      <c r="AA72" s="137"/>
      <c r="AJ72" s="505"/>
      <c r="AM72" s="76"/>
    </row>
    <row r="73" spans="1:39" ht="15" customHeight="1">
      <c r="A73" s="170"/>
      <c r="B73" s="1187"/>
      <c r="C73" s="170"/>
      <c r="E73" s="1183" t="s">
        <v>2916</v>
      </c>
      <c r="F73" s="150"/>
      <c r="G73" s="1530" t="s">
        <v>324</v>
      </c>
      <c r="H73" s="170"/>
      <c r="I73" s="124" t="s">
        <v>2915</v>
      </c>
      <c r="J73" s="170"/>
      <c r="K73" s="170"/>
      <c r="L73" s="170"/>
      <c r="M73" s="1186"/>
      <c r="N73" s="170"/>
      <c r="O73" s="170"/>
      <c r="P73" s="170"/>
      <c r="Q73" s="170"/>
      <c r="R73" s="170"/>
      <c r="S73" s="170"/>
      <c r="V73" s="170"/>
      <c r="W73" s="170"/>
      <c r="X73" s="170"/>
      <c r="Y73" s="1186"/>
      <c r="Z73" s="170"/>
      <c r="AA73" s="137"/>
      <c r="AJ73" s="505"/>
      <c r="AM73" s="76"/>
    </row>
    <row r="74" spans="1:39" ht="15" customHeight="1">
      <c r="A74" s="170"/>
      <c r="B74" s="1177" t="s">
        <v>2466</v>
      </c>
      <c r="C74" s="1482" t="s">
        <v>2779</v>
      </c>
      <c r="D74" s="124"/>
      <c r="E74" s="170"/>
      <c r="F74" s="150"/>
      <c r="H74" s="170"/>
      <c r="J74" s="170"/>
      <c r="K74" s="170"/>
      <c r="L74" s="170"/>
      <c r="M74" s="1186"/>
      <c r="N74" s="170"/>
      <c r="O74" s="170"/>
      <c r="P74" s="170"/>
      <c r="Q74" s="170"/>
      <c r="R74" s="170"/>
      <c r="S74" s="170"/>
      <c r="V74" s="170"/>
      <c r="W74" s="170"/>
      <c r="X74" s="170"/>
      <c r="Y74" s="1186"/>
      <c r="Z74" s="170"/>
      <c r="AA74" s="137"/>
      <c r="AJ74" s="505"/>
      <c r="AM74" s="76"/>
    </row>
    <row r="75" spans="1:39" ht="15" customHeight="1">
      <c r="A75" s="170"/>
      <c r="B75" s="1187"/>
      <c r="C75" s="170"/>
      <c r="E75" s="143" t="s">
        <v>930</v>
      </c>
      <c r="F75" s="150"/>
      <c r="G75" s="138" t="s">
        <v>324</v>
      </c>
      <c r="H75" s="170"/>
      <c r="I75" s="143" t="s">
        <v>2920</v>
      </c>
      <c r="J75" s="170"/>
      <c r="K75" s="170"/>
      <c r="L75" s="170"/>
      <c r="M75" s="1186"/>
      <c r="N75" s="170"/>
      <c r="O75" s="170"/>
      <c r="P75" s="170"/>
      <c r="Q75" s="170"/>
      <c r="R75" s="170"/>
      <c r="S75" s="170"/>
      <c r="V75" s="170"/>
      <c r="W75" s="170"/>
      <c r="X75" s="170"/>
      <c r="Y75" s="1186"/>
      <c r="Z75" s="170"/>
      <c r="AA75" s="137"/>
      <c r="AJ75" s="505"/>
      <c r="AM75" s="76"/>
    </row>
    <row r="76" spans="1:39" ht="15" customHeight="1">
      <c r="A76" s="170"/>
      <c r="B76" s="1187"/>
      <c r="E76" s="124" t="s">
        <v>405</v>
      </c>
      <c r="F76" s="150"/>
      <c r="G76" s="138" t="s">
        <v>324</v>
      </c>
      <c r="H76" s="170"/>
      <c r="I76" s="124" t="s">
        <v>2924</v>
      </c>
      <c r="J76" s="170"/>
      <c r="K76" s="170"/>
      <c r="L76" s="170"/>
      <c r="M76" s="1186"/>
      <c r="N76" s="170"/>
      <c r="O76" s="170"/>
      <c r="P76" s="170"/>
      <c r="Q76" s="170"/>
      <c r="R76" s="170"/>
      <c r="S76" s="170"/>
      <c r="V76" s="170"/>
      <c r="W76" s="170"/>
      <c r="X76" s="170"/>
      <c r="Y76" s="1186"/>
      <c r="Z76" s="170"/>
      <c r="AA76" s="137"/>
      <c r="AJ76" s="505"/>
      <c r="AM76" s="76"/>
    </row>
    <row r="77" spans="1:39" ht="15" customHeight="1">
      <c r="A77" s="170"/>
      <c r="B77" s="1187"/>
      <c r="C77" s="170"/>
      <c r="E77" s="1296" t="s">
        <v>2781</v>
      </c>
      <c r="G77" s="138" t="s">
        <v>324</v>
      </c>
      <c r="I77" s="2193">
        <v>3</v>
      </c>
      <c r="J77" s="2193"/>
      <c r="K77" s="143" t="s">
        <v>938</v>
      </c>
      <c r="L77" s="561"/>
      <c r="M77" s="1186"/>
      <c r="N77" s="170"/>
      <c r="O77" s="170"/>
      <c r="P77" s="170"/>
      <c r="Q77" s="170"/>
      <c r="R77" s="170"/>
      <c r="S77" s="170"/>
      <c r="Z77" s="170"/>
      <c r="AA77" s="137"/>
      <c r="AJ77" s="505"/>
      <c r="AM77" s="76"/>
    </row>
    <row r="78" spans="1:39" ht="15" customHeight="1">
      <c r="A78" s="170"/>
      <c r="B78" s="1177" t="s">
        <v>2466</v>
      </c>
      <c r="C78" s="1482" t="s">
        <v>2782</v>
      </c>
      <c r="D78" s="124"/>
      <c r="E78" s="170"/>
      <c r="F78" s="150"/>
      <c r="H78" s="170"/>
      <c r="J78" s="170"/>
      <c r="K78" s="170"/>
      <c r="L78" s="170"/>
      <c r="M78" s="1186"/>
      <c r="N78" s="170"/>
      <c r="O78" s="170"/>
      <c r="P78" s="170"/>
      <c r="Q78" s="170"/>
      <c r="R78" s="170"/>
      <c r="S78" s="170"/>
      <c r="V78" s="170"/>
      <c r="W78" s="170"/>
      <c r="X78" s="170"/>
      <c r="Y78" s="1186"/>
      <c r="Z78" s="170"/>
      <c r="AA78" s="137"/>
      <c r="AJ78" s="505"/>
      <c r="AM78" s="76"/>
    </row>
    <row r="79" spans="1:39" ht="15" customHeight="1">
      <c r="A79" s="170"/>
      <c r="B79" s="1187"/>
      <c r="C79" s="170"/>
      <c r="E79" s="170" t="s">
        <v>932</v>
      </c>
      <c r="F79" s="150"/>
      <c r="G79" s="138" t="s">
        <v>324</v>
      </c>
      <c r="H79" s="170"/>
      <c r="I79" s="170" t="s">
        <v>2784</v>
      </c>
      <c r="J79" s="170"/>
      <c r="K79" s="170"/>
      <c r="L79" s="170"/>
      <c r="M79" s="1186"/>
      <c r="N79" s="170"/>
      <c r="O79" s="170"/>
      <c r="P79" s="170"/>
      <c r="Q79" s="170"/>
      <c r="R79" s="170"/>
      <c r="S79" s="170"/>
      <c r="V79" s="170"/>
      <c r="W79" s="170"/>
      <c r="X79" s="170"/>
      <c r="Y79" s="1186"/>
      <c r="Z79" s="170"/>
      <c r="AA79" s="137"/>
      <c r="AJ79" s="505"/>
      <c r="AM79" s="76"/>
    </row>
    <row r="80" spans="1:39" ht="15" customHeight="1">
      <c r="A80" s="170"/>
      <c r="B80" s="1187"/>
      <c r="E80" s="170" t="s">
        <v>327</v>
      </c>
      <c r="F80" s="150"/>
      <c r="G80" s="138" t="s">
        <v>324</v>
      </c>
      <c r="H80" s="170"/>
      <c r="I80" s="170" t="s">
        <v>2786</v>
      </c>
      <c r="J80" s="170"/>
      <c r="K80" s="170"/>
      <c r="L80" s="170"/>
      <c r="M80" s="1186"/>
      <c r="N80" s="170"/>
      <c r="O80" s="170"/>
      <c r="P80" s="170"/>
      <c r="Q80" s="170"/>
      <c r="R80" s="170"/>
      <c r="S80" s="170"/>
      <c r="V80" s="170"/>
      <c r="W80" s="170"/>
      <c r="X80" s="170"/>
      <c r="Y80" s="1186"/>
      <c r="Z80" s="170"/>
      <c r="AA80" s="137"/>
      <c r="AJ80" s="505"/>
      <c r="AM80" s="76"/>
    </row>
    <row r="81" spans="1:39" ht="15" customHeight="1">
      <c r="A81" s="170"/>
      <c r="B81" s="1297"/>
      <c r="E81" s="170" t="s">
        <v>385</v>
      </c>
      <c r="F81" s="1326"/>
      <c r="G81" s="138" t="s">
        <v>324</v>
      </c>
      <c r="H81" s="170"/>
      <c r="I81" s="170" t="s">
        <v>2917</v>
      </c>
      <c r="J81" s="170"/>
      <c r="K81" s="170"/>
      <c r="L81" s="170"/>
      <c r="M81" s="1296"/>
      <c r="N81" s="170"/>
      <c r="O81" s="170"/>
      <c r="P81" s="170"/>
      <c r="Q81" s="170"/>
      <c r="R81" s="170"/>
      <c r="S81" s="170"/>
      <c r="V81" s="170"/>
      <c r="W81" s="170"/>
      <c r="X81" s="170"/>
      <c r="Y81" s="1296"/>
      <c r="Z81" s="170"/>
      <c r="AA81" s="137"/>
      <c r="AD81" s="1309"/>
      <c r="AF81" s="1309"/>
      <c r="AJ81" s="505"/>
      <c r="AM81" s="76"/>
    </row>
    <row r="82" spans="1:39" ht="15" customHeight="1">
      <c r="A82" s="170"/>
      <c r="B82" s="1297"/>
      <c r="E82" s="170" t="s">
        <v>414</v>
      </c>
      <c r="F82" s="1326"/>
      <c r="G82" s="138" t="s">
        <v>324</v>
      </c>
      <c r="H82" s="170"/>
      <c r="I82" s="170" t="s">
        <v>580</v>
      </c>
      <c r="J82" s="170"/>
      <c r="K82" s="170"/>
      <c r="L82" s="170"/>
      <c r="M82" s="1296"/>
      <c r="N82" s="170"/>
      <c r="O82" s="170"/>
      <c r="P82" s="170"/>
      <c r="Q82" s="170"/>
      <c r="R82" s="170"/>
      <c r="S82" s="170"/>
      <c r="V82" s="170"/>
      <c r="W82" s="170"/>
      <c r="X82" s="170"/>
      <c r="Y82" s="1296"/>
      <c r="Z82" s="170"/>
      <c r="AA82" s="137"/>
      <c r="AD82" s="1309"/>
      <c r="AF82" s="1309"/>
      <c r="AJ82" s="505"/>
      <c r="AM82" s="76"/>
    </row>
    <row r="83" spans="1:39" ht="15" customHeight="1">
      <c r="A83" s="170"/>
      <c r="B83" s="1177" t="s">
        <v>2466</v>
      </c>
      <c r="C83" s="143" t="s">
        <v>824</v>
      </c>
      <c r="E83" s="170"/>
      <c r="F83" s="1326"/>
      <c r="G83" s="138"/>
      <c r="H83" s="170"/>
      <c r="I83" s="170"/>
      <c r="J83" s="170"/>
      <c r="K83" s="170"/>
      <c r="L83" s="170"/>
      <c r="M83" s="1296"/>
      <c r="N83" s="170"/>
      <c r="O83" s="170"/>
      <c r="P83" s="170"/>
      <c r="Q83" s="170"/>
      <c r="R83" s="170"/>
      <c r="S83" s="170"/>
      <c r="V83" s="170"/>
      <c r="W83" s="170"/>
      <c r="X83" s="170"/>
      <c r="Y83" s="1296"/>
      <c r="Z83" s="170"/>
      <c r="AA83" s="137"/>
      <c r="AD83" s="1309"/>
      <c r="AF83" s="1309"/>
      <c r="AJ83" s="505"/>
      <c r="AM83" s="76"/>
    </row>
    <row r="84" spans="1:39" ht="15" customHeight="1">
      <c r="A84" s="170"/>
      <c r="B84" s="1187"/>
      <c r="E84" s="1870" t="s">
        <v>376</v>
      </c>
      <c r="G84" s="1871" t="s">
        <v>324</v>
      </c>
      <c r="H84" s="170"/>
      <c r="I84" s="1940" t="s">
        <v>374</v>
      </c>
      <c r="J84" s="1940"/>
      <c r="K84" s="194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186"/>
      <c r="Z84" s="170"/>
      <c r="AA84" s="170"/>
      <c r="AJ84" s="505"/>
      <c r="AM84" s="76"/>
    </row>
    <row r="85" spans="1:39" ht="15" customHeight="1">
      <c r="A85" s="134"/>
      <c r="B85" s="170"/>
      <c r="E85" s="1870"/>
      <c r="G85" s="1871"/>
      <c r="H85" s="170"/>
      <c r="I85" s="1862" t="s">
        <v>375</v>
      </c>
      <c r="J85" s="1862"/>
      <c r="K85" s="1862"/>
      <c r="L85" s="170"/>
      <c r="P85" s="170"/>
      <c r="Q85" s="170"/>
      <c r="R85" s="170"/>
      <c r="S85" s="170"/>
      <c r="T85" s="170"/>
      <c r="U85" s="170"/>
      <c r="V85" s="170"/>
      <c r="W85" s="170"/>
      <c r="X85" s="170"/>
      <c r="Y85" s="1186"/>
      <c r="Z85" s="170"/>
      <c r="AA85" s="170"/>
      <c r="AJ85" s="505"/>
      <c r="AM85" s="76"/>
    </row>
    <row r="86" spans="1:39" ht="15" customHeight="1">
      <c r="A86" s="170"/>
      <c r="B86" s="170"/>
      <c r="E86" s="1870" t="s">
        <v>377</v>
      </c>
      <c r="F86" s="170"/>
      <c r="G86" s="1871" t="s">
        <v>324</v>
      </c>
      <c r="H86" s="170"/>
      <c r="I86" s="2090" t="s">
        <v>979</v>
      </c>
      <c r="J86" s="2090"/>
      <c r="K86" s="2090"/>
      <c r="L86" s="2090"/>
      <c r="M86" s="2090"/>
      <c r="N86" s="2090"/>
      <c r="O86" s="2090"/>
      <c r="P86" s="2090"/>
      <c r="Q86" s="2090"/>
      <c r="R86" s="170"/>
      <c r="S86" s="170"/>
      <c r="T86" s="170"/>
      <c r="U86" s="170"/>
      <c r="V86" s="170"/>
      <c r="W86" s="170"/>
      <c r="X86" s="170"/>
      <c r="Y86" s="1186"/>
      <c r="Z86" s="170"/>
      <c r="AA86" s="170"/>
      <c r="AJ86" s="505"/>
      <c r="AM86" s="76"/>
    </row>
    <row r="87" spans="1:39" ht="15" customHeight="1">
      <c r="A87" s="170"/>
      <c r="B87" s="170"/>
      <c r="E87" s="1870"/>
      <c r="F87" s="170"/>
      <c r="G87" s="1871"/>
      <c r="H87" s="170"/>
      <c r="I87" s="170" t="s">
        <v>2918</v>
      </c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186"/>
      <c r="Z87" s="170"/>
      <c r="AA87" s="170"/>
      <c r="AJ87" s="505"/>
      <c r="AM87" s="76"/>
    </row>
    <row r="88" spans="1:39" ht="15" customHeight="1">
      <c r="A88" s="170"/>
      <c r="B88" s="170"/>
      <c r="C88" s="170"/>
      <c r="D88" s="170"/>
      <c r="E88" s="170" t="s">
        <v>380</v>
      </c>
      <c r="F88" s="170"/>
      <c r="G88" s="138" t="s">
        <v>324</v>
      </c>
      <c r="H88" s="170"/>
      <c r="I88" s="170" t="s">
        <v>379</v>
      </c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186"/>
      <c r="Z88" s="170"/>
      <c r="AA88" s="170"/>
      <c r="AJ88" s="505"/>
      <c r="AM88" s="76"/>
    </row>
    <row r="89" spans="1:39" ht="15" customHeight="1">
      <c r="A89" s="170"/>
      <c r="B89" s="170"/>
      <c r="D89" s="124"/>
      <c r="E89" s="170" t="s">
        <v>940</v>
      </c>
      <c r="F89" s="170"/>
      <c r="G89" s="124" t="s">
        <v>324</v>
      </c>
      <c r="H89" s="170"/>
      <c r="I89" s="170" t="s">
        <v>941</v>
      </c>
      <c r="J89" s="170"/>
      <c r="K89" s="170"/>
      <c r="L89" s="170"/>
      <c r="M89" s="170" t="s">
        <v>378</v>
      </c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186"/>
      <c r="Z89" s="170"/>
      <c r="AA89" s="170"/>
      <c r="AJ89" s="505"/>
      <c r="AM89" s="76"/>
    </row>
    <row r="90" spans="1:39" ht="15" customHeight="1">
      <c r="A90" s="170"/>
      <c r="B90" s="170"/>
      <c r="C90" s="170"/>
      <c r="D90" s="124"/>
      <c r="E90" s="170"/>
      <c r="F90" s="1228"/>
      <c r="H90" s="170"/>
      <c r="K90" s="170"/>
      <c r="L90" s="143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227"/>
      <c r="Z90" s="170"/>
      <c r="AA90" s="170"/>
      <c r="AD90" s="1236"/>
      <c r="AF90" s="1236"/>
      <c r="AJ90" s="505"/>
      <c r="AM90" s="76"/>
    </row>
    <row r="91" spans="1:39" ht="15" customHeight="1">
      <c r="A91" s="1182" t="s">
        <v>390</v>
      </c>
      <c r="B91" s="97"/>
      <c r="C91" s="61"/>
      <c r="D91" s="170"/>
      <c r="E91" s="124"/>
      <c r="F91" s="170"/>
      <c r="G91" s="170"/>
      <c r="H91" s="170"/>
      <c r="I91" s="170"/>
      <c r="J91" s="170"/>
      <c r="K91" s="170"/>
      <c r="L91" s="1227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227"/>
      <c r="Z91" s="170"/>
      <c r="AA91" s="170"/>
      <c r="AD91" s="1236"/>
      <c r="AF91" s="1236"/>
      <c r="AJ91" s="505"/>
      <c r="AM91" s="76"/>
    </row>
    <row r="92" spans="1:39" ht="15" customHeight="1" thickBot="1">
      <c r="A92" s="207"/>
      <c r="B92" s="97"/>
      <c r="C92" s="170"/>
      <c r="D92" s="124"/>
      <c r="E92" s="170"/>
      <c r="F92" s="170"/>
      <c r="G92" s="170"/>
      <c r="H92" s="170"/>
      <c r="I92" s="170"/>
      <c r="J92" s="170"/>
      <c r="K92" s="1227"/>
      <c r="L92" s="143"/>
      <c r="M92" s="170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227"/>
      <c r="Z92" s="170"/>
      <c r="AA92" s="170"/>
      <c r="AD92" s="1236"/>
      <c r="AF92" s="1236"/>
      <c r="AJ92" s="505"/>
      <c r="AM92" s="76"/>
    </row>
    <row r="93" spans="1:39" ht="20.100000000000001" customHeight="1">
      <c r="A93" s="207"/>
      <c r="B93" s="1531"/>
      <c r="C93" s="1532"/>
      <c r="D93" s="1532"/>
      <c r="E93" s="1532"/>
      <c r="F93" s="1532"/>
      <c r="G93" s="1533"/>
      <c r="H93" s="1534" t="s">
        <v>794</v>
      </c>
      <c r="I93" s="1534"/>
      <c r="J93" s="1534"/>
      <c r="K93" s="1534"/>
      <c r="L93" s="1534"/>
      <c r="M93" s="1534"/>
      <c r="N93" s="1534"/>
      <c r="O93" s="1534"/>
      <c r="P93" s="1534"/>
      <c r="Q93" s="1534"/>
      <c r="R93" s="1534"/>
      <c r="S93" s="1534"/>
      <c r="T93" s="1534"/>
      <c r="U93" s="1534"/>
      <c r="V93" s="1534"/>
      <c r="W93" s="1534"/>
      <c r="X93" s="1534"/>
      <c r="Y93" s="1535" t="s">
        <v>795</v>
      </c>
      <c r="Z93" s="1532"/>
      <c r="AA93" s="1534"/>
      <c r="AB93" s="1534"/>
      <c r="AC93" s="1534"/>
      <c r="AD93" s="1534"/>
      <c r="AE93" s="1534"/>
      <c r="AF93" s="1534"/>
      <c r="AG93" s="1534"/>
      <c r="AH93" s="1534"/>
      <c r="AI93" s="1534"/>
      <c r="AJ93" s="1536"/>
    </row>
    <row r="94" spans="1:39" ht="20.100000000000001" customHeight="1">
      <c r="A94" s="207"/>
      <c r="B94" s="579" t="s">
        <v>950</v>
      </c>
      <c r="C94" s="115"/>
      <c r="G94" s="1210"/>
      <c r="H94" s="147" t="s">
        <v>171</v>
      </c>
      <c r="I94" s="368"/>
      <c r="J94" s="368"/>
      <c r="L94" s="143"/>
      <c r="W94" s="178" t="s">
        <v>162</v>
      </c>
      <c r="Y94" s="585"/>
      <c r="Z94" s="170"/>
      <c r="AA94" s="170"/>
      <c r="AB94" s="143"/>
      <c r="AC94" s="1230"/>
      <c r="AD94" s="143"/>
      <c r="AE94" s="143"/>
      <c r="AF94" s="73"/>
      <c r="AI94" s="143"/>
      <c r="AJ94" s="370"/>
    </row>
    <row r="95" spans="1:39" ht="20.100000000000001" customHeight="1">
      <c r="A95" s="207"/>
      <c r="B95" s="579"/>
      <c r="C95" s="115"/>
      <c r="G95" s="1210"/>
      <c r="H95" s="147" t="s">
        <v>172</v>
      </c>
      <c r="I95" s="80"/>
      <c r="J95" s="80"/>
      <c r="L95" s="143"/>
      <c r="W95" s="178" t="s">
        <v>163</v>
      </c>
      <c r="Y95" s="585" t="s">
        <v>176</v>
      </c>
      <c r="Z95" s="170"/>
      <c r="AA95" s="170"/>
      <c r="AB95" s="143"/>
      <c r="AC95" s="1230"/>
      <c r="AD95" s="143"/>
      <c r="AE95" s="143"/>
      <c r="AF95" s="73"/>
      <c r="AI95" s="143"/>
      <c r="AJ95" s="370" t="s">
        <v>167</v>
      </c>
    </row>
    <row r="96" spans="1:39" ht="20.100000000000001" customHeight="1">
      <c r="A96" s="207"/>
      <c r="B96" s="580"/>
      <c r="C96" s="104"/>
      <c r="D96" s="104"/>
      <c r="E96" s="104"/>
      <c r="F96" s="104"/>
      <c r="G96" s="377"/>
      <c r="H96" s="152" t="s">
        <v>952</v>
      </c>
      <c r="I96" s="378"/>
      <c r="J96" s="118"/>
      <c r="K96" s="118"/>
      <c r="L96" s="118"/>
      <c r="M96" s="379" t="s">
        <v>953</v>
      </c>
      <c r="N96" s="379"/>
      <c r="O96" s="118"/>
      <c r="P96" s="118"/>
      <c r="Q96" s="118"/>
      <c r="R96" s="118"/>
      <c r="S96" s="118"/>
      <c r="T96" s="118"/>
      <c r="U96" s="118"/>
      <c r="V96" s="118"/>
      <c r="W96" s="381" t="s">
        <v>164</v>
      </c>
      <c r="X96" s="381"/>
      <c r="Y96" s="586"/>
      <c r="Z96" s="118"/>
      <c r="AA96" s="378"/>
      <c r="AB96" s="378"/>
      <c r="AC96" s="378"/>
      <c r="AD96" s="378"/>
      <c r="AE96" s="378"/>
      <c r="AF96" s="378"/>
      <c r="AG96" s="378"/>
      <c r="AH96" s="378"/>
      <c r="AI96" s="378"/>
      <c r="AJ96" s="382"/>
    </row>
    <row r="97" spans="1:73" ht="20.100000000000001" customHeight="1">
      <c r="A97" s="207"/>
      <c r="B97" s="579" t="s">
        <v>951</v>
      </c>
      <c r="C97" s="115"/>
      <c r="G97" s="1210"/>
      <c r="H97" s="147" t="s">
        <v>174</v>
      </c>
      <c r="I97" s="1238"/>
      <c r="J97" s="170"/>
      <c r="L97" s="143"/>
      <c r="M97" s="1238"/>
      <c r="W97" s="178" t="s">
        <v>165</v>
      </c>
      <c r="Y97" s="587" t="s">
        <v>175</v>
      </c>
      <c r="Z97" s="170"/>
      <c r="AA97" s="170"/>
      <c r="AB97" s="143"/>
      <c r="AC97" s="1230"/>
      <c r="AD97" s="143"/>
      <c r="AE97" s="143"/>
      <c r="AF97" s="73"/>
      <c r="AI97" s="143"/>
      <c r="AJ97" s="370" t="s">
        <v>168</v>
      </c>
    </row>
    <row r="98" spans="1:73" ht="20.100000000000001" customHeight="1" thickBot="1">
      <c r="A98" s="207"/>
      <c r="B98" s="581"/>
      <c r="C98" s="582"/>
      <c r="D98" s="582"/>
      <c r="E98" s="582"/>
      <c r="F98" s="582"/>
      <c r="G98" s="373"/>
      <c r="H98" s="374" t="s">
        <v>173</v>
      </c>
      <c r="I98" s="369"/>
      <c r="J98" s="321"/>
      <c r="K98" s="321"/>
      <c r="L98" s="321"/>
      <c r="M98" s="371" t="s">
        <v>953</v>
      </c>
      <c r="N98" s="371"/>
      <c r="O98" s="371"/>
      <c r="P98" s="321"/>
      <c r="Q98" s="321"/>
      <c r="R98" s="321"/>
      <c r="S98" s="321"/>
      <c r="T98" s="321"/>
      <c r="U98" s="321"/>
      <c r="V98" s="321"/>
      <c r="W98" s="542" t="s">
        <v>166</v>
      </c>
      <c r="X98" s="542"/>
      <c r="Y98" s="588"/>
      <c r="Z98" s="321"/>
      <c r="AA98" s="369"/>
      <c r="AB98" s="369"/>
      <c r="AC98" s="369"/>
      <c r="AD98" s="369"/>
      <c r="AE98" s="369"/>
      <c r="AF98" s="369"/>
      <c r="AG98" s="369"/>
      <c r="AH98" s="369"/>
      <c r="AI98" s="369"/>
      <c r="AJ98" s="583"/>
      <c r="AM98" s="76"/>
    </row>
    <row r="99" spans="1:73" ht="15" customHeight="1">
      <c r="A99" s="207"/>
      <c r="B99" s="97"/>
      <c r="C99" s="170"/>
      <c r="D99" s="124"/>
      <c r="E99" s="170"/>
      <c r="F99" s="170"/>
      <c r="G99" s="170"/>
      <c r="H99" s="170"/>
      <c r="I99" s="170"/>
      <c r="J99" s="170"/>
      <c r="K99" s="1227"/>
      <c r="L99" s="143"/>
      <c r="M99" s="170"/>
      <c r="N99" s="170"/>
      <c r="O99" s="170"/>
      <c r="P99" s="170"/>
      <c r="Q99" s="170"/>
      <c r="R99" s="170"/>
      <c r="S99" s="170"/>
      <c r="T99" s="170"/>
      <c r="U99" s="170"/>
      <c r="Y99" s="1230"/>
      <c r="AD99" s="1236"/>
      <c r="AF99" s="1236"/>
      <c r="AJ99" s="505"/>
      <c r="AM99" s="76"/>
    </row>
    <row r="100" spans="1:73" ht="15" customHeight="1">
      <c r="A100" s="134"/>
      <c r="B100" s="96" t="s">
        <v>420</v>
      </c>
      <c r="C100" s="170"/>
      <c r="D100" s="170"/>
      <c r="E100" s="170"/>
      <c r="F100" s="170"/>
      <c r="G100" s="170"/>
      <c r="H100" s="170"/>
      <c r="I100" s="170"/>
      <c r="J100" s="170"/>
      <c r="K100" s="170"/>
      <c r="L100" s="1227"/>
      <c r="M100" s="170"/>
      <c r="N100" s="170"/>
      <c r="O100" s="170"/>
      <c r="P100" s="170"/>
      <c r="Q100" s="170"/>
      <c r="R100" s="170"/>
      <c r="S100" s="170"/>
      <c r="T100" s="170"/>
      <c r="U100" s="170"/>
      <c r="Y100" s="1230"/>
      <c r="AD100" s="1236"/>
      <c r="AF100" s="1236"/>
      <c r="AJ100" s="505"/>
      <c r="AM100" s="76"/>
    </row>
    <row r="101" spans="1:73" ht="15" customHeight="1">
      <c r="A101" s="134"/>
      <c r="B101" s="170"/>
      <c r="C101" s="1870" t="s">
        <v>2529</v>
      </c>
      <c r="D101" s="1870"/>
      <c r="E101" s="1940" t="s">
        <v>955</v>
      </c>
      <c r="F101" s="1940"/>
      <c r="G101" s="1940"/>
      <c r="H101" s="1940"/>
      <c r="I101" s="1940"/>
      <c r="J101" s="1940"/>
      <c r="K101" s="1940"/>
      <c r="L101" s="1944" t="s">
        <v>391</v>
      </c>
      <c r="M101" s="1940" t="s">
        <v>956</v>
      </c>
      <c r="N101" s="1940"/>
      <c r="O101" s="1940"/>
      <c r="P101" s="1940"/>
      <c r="Q101" s="170"/>
      <c r="R101" s="170"/>
      <c r="Y101" s="1230"/>
      <c r="AD101" s="1236"/>
      <c r="AF101" s="1236"/>
      <c r="AR101" s="143"/>
    </row>
    <row r="102" spans="1:73" ht="15" customHeight="1">
      <c r="A102" s="170"/>
      <c r="B102" s="170"/>
      <c r="C102" s="1870"/>
      <c r="D102" s="1870"/>
      <c r="F102" s="115"/>
      <c r="G102" s="115" t="s">
        <v>393</v>
      </c>
      <c r="L102" s="1862"/>
      <c r="M102" s="1936" t="s">
        <v>394</v>
      </c>
      <c r="N102" s="1936"/>
      <c r="O102" s="1936"/>
      <c r="P102" s="1936"/>
      <c r="Q102" s="170"/>
      <c r="R102" s="170"/>
      <c r="Y102" s="143"/>
      <c r="AD102" s="1236"/>
      <c r="AF102" s="1236"/>
      <c r="AR102" s="143"/>
    </row>
    <row r="103" spans="1:73" ht="15" customHeight="1">
      <c r="A103" s="170"/>
      <c r="B103" s="170"/>
      <c r="C103" s="1228"/>
      <c r="D103" s="1228"/>
      <c r="F103" s="115"/>
      <c r="G103" s="115"/>
      <c r="J103" s="1227"/>
      <c r="L103" s="143"/>
      <c r="M103" s="1227"/>
      <c r="N103" s="170"/>
      <c r="O103" s="170"/>
      <c r="P103" s="170"/>
      <c r="Q103" s="170"/>
      <c r="R103" s="170"/>
      <c r="S103" s="170"/>
      <c r="Y103" s="143"/>
      <c r="Z103" s="1236"/>
      <c r="AB103" s="1236"/>
      <c r="AC103" s="73"/>
      <c r="AD103" s="73"/>
      <c r="AF103" s="505"/>
      <c r="AI103" s="76"/>
      <c r="AR103" s="143"/>
    </row>
    <row r="104" spans="1:73" ht="15" customHeight="1">
      <c r="B104" s="1177" t="s">
        <v>2466</v>
      </c>
      <c r="C104" s="170" t="s">
        <v>1677</v>
      </c>
      <c r="D104" s="170"/>
      <c r="E104" s="170"/>
      <c r="F104" s="100"/>
      <c r="G104" s="170"/>
      <c r="H104" s="170"/>
      <c r="I104" s="170"/>
      <c r="J104" s="170"/>
      <c r="K104" s="170"/>
      <c r="L104" s="1227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230"/>
      <c r="AD104" s="1236"/>
      <c r="AF104" s="1236"/>
    </row>
    <row r="105" spans="1:73" ht="15" customHeight="1">
      <c r="B105" s="134"/>
      <c r="C105" s="170"/>
      <c r="D105" s="170"/>
      <c r="E105" s="170"/>
      <c r="F105" s="100"/>
      <c r="G105" s="170"/>
      <c r="H105" s="170"/>
      <c r="I105" s="170"/>
      <c r="J105" s="170"/>
      <c r="K105" s="170"/>
      <c r="L105" s="1227"/>
      <c r="M105" s="170"/>
      <c r="N105" s="170"/>
      <c r="O105" s="170"/>
      <c r="P105" s="170"/>
      <c r="Q105" s="170"/>
      <c r="R105" s="170"/>
      <c r="S105" s="170"/>
      <c r="T105" s="170"/>
      <c r="U105" s="170"/>
      <c r="V105" s="170"/>
      <c r="W105" s="170"/>
      <c r="X105" s="170"/>
      <c r="Y105" s="1230"/>
      <c r="AD105" s="1236"/>
      <c r="AF105" s="1236"/>
    </row>
    <row r="106" spans="1:73" ht="15" customHeight="1">
      <c r="A106" s="134"/>
      <c r="B106" s="1177" t="s">
        <v>2466</v>
      </c>
      <c r="C106" s="1228" t="s">
        <v>396</v>
      </c>
      <c r="D106" s="170"/>
      <c r="E106" s="147"/>
      <c r="F106" s="170"/>
      <c r="G106" s="170"/>
      <c r="H106" s="170"/>
      <c r="I106" s="170"/>
      <c r="J106" s="136"/>
      <c r="K106" s="1230"/>
      <c r="L106" s="143"/>
      <c r="N106" s="52"/>
      <c r="P106" s="170"/>
      <c r="Q106" s="170"/>
      <c r="R106" s="170"/>
      <c r="S106" s="170"/>
      <c r="U106" s="170"/>
      <c r="V106" s="170"/>
      <c r="W106" s="170"/>
      <c r="X106" s="170"/>
      <c r="Y106" s="1230"/>
      <c r="AD106" s="1236"/>
      <c r="AF106" s="1236"/>
      <c r="AR106" s="1529" t="s">
        <v>2909</v>
      </c>
    </row>
    <row r="107" spans="1:73" ht="20.100000000000001" customHeight="1">
      <c r="B107" s="134"/>
      <c r="C107" s="148" t="s">
        <v>134</v>
      </c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8" t="s">
        <v>236</v>
      </c>
      <c r="T107" s="141"/>
      <c r="U107" s="141"/>
      <c r="V107" s="237"/>
      <c r="W107" s="237"/>
      <c r="X107" s="237"/>
      <c r="Y107" s="237"/>
      <c r="Z107" s="237"/>
      <c r="AA107" s="237"/>
      <c r="AB107" s="237"/>
      <c r="AD107" s="1236"/>
      <c r="AF107" s="1236"/>
    </row>
    <row r="108" spans="1:73" s="73" customFormat="1" ht="20.100000000000001" customHeight="1">
      <c r="A108" s="143"/>
      <c r="B108" s="134"/>
      <c r="C108" s="170" t="s">
        <v>690</v>
      </c>
      <c r="D108" s="170"/>
      <c r="E108" s="143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2102">
        <v>1</v>
      </c>
      <c r="T108" s="2102"/>
      <c r="U108" s="2102"/>
      <c r="V108" s="52"/>
      <c r="W108" s="52"/>
      <c r="X108" s="52"/>
      <c r="Y108" s="52"/>
      <c r="Z108" s="52"/>
      <c r="AA108" s="52"/>
      <c r="AB108" s="52"/>
      <c r="AC108" s="143"/>
      <c r="AE108" s="1236"/>
      <c r="AS108" s="1627"/>
      <c r="AT108" s="143"/>
      <c r="AU108" s="143"/>
      <c r="AV108" s="143"/>
      <c r="AW108" s="143"/>
      <c r="AX108" s="143"/>
      <c r="AY108" s="143"/>
      <c r="AZ108" s="143"/>
      <c r="BA108" s="143"/>
      <c r="BB108" s="143"/>
      <c r="BC108" s="143"/>
      <c r="BD108" s="143"/>
      <c r="BE108" s="143"/>
      <c r="BF108" s="143"/>
      <c r="BG108" s="143"/>
      <c r="BH108" s="143"/>
      <c r="BI108" s="143"/>
      <c r="BJ108" s="143"/>
      <c r="BK108" s="143"/>
      <c r="BL108" s="143"/>
      <c r="BM108" s="143"/>
      <c r="BN108" s="143"/>
      <c r="BO108" s="143"/>
      <c r="BP108" s="143"/>
      <c r="BQ108" s="143"/>
      <c r="BR108" s="143"/>
      <c r="BS108" s="143"/>
      <c r="BT108" s="143"/>
      <c r="BU108" s="143"/>
    </row>
    <row r="109" spans="1:73" s="73" customFormat="1" ht="20.100000000000001" customHeight="1">
      <c r="A109" s="143"/>
      <c r="B109" s="134"/>
      <c r="C109" s="145" t="s">
        <v>136</v>
      </c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9" t="s">
        <v>1678</v>
      </c>
      <c r="T109" s="145"/>
      <c r="U109" s="145"/>
      <c r="V109" s="238"/>
      <c r="W109" s="238"/>
      <c r="X109" s="238"/>
      <c r="Y109" s="238"/>
      <c r="Z109" s="238"/>
      <c r="AA109" s="238"/>
      <c r="AB109" s="238"/>
      <c r="AC109" s="143"/>
      <c r="AE109" s="1236"/>
      <c r="AS109" s="1627"/>
      <c r="AT109" s="143"/>
      <c r="AU109" s="143"/>
      <c r="AV109" s="143"/>
      <c r="AW109" s="143"/>
      <c r="AX109" s="143"/>
      <c r="AY109" s="143"/>
      <c r="AZ109" s="143"/>
      <c r="BA109" s="143"/>
      <c r="BB109" s="143"/>
      <c r="BC109" s="143"/>
      <c r="BD109" s="143"/>
      <c r="BE109" s="143"/>
      <c r="BF109" s="143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143"/>
      <c r="BQ109" s="143"/>
      <c r="BR109" s="143"/>
      <c r="BS109" s="143"/>
      <c r="BT109" s="143"/>
      <c r="BU109" s="143"/>
    </row>
    <row r="110" spans="1:73" s="73" customFormat="1" ht="15" customHeight="1">
      <c r="A110" s="143"/>
      <c r="B110" s="143"/>
      <c r="D110" s="120"/>
      <c r="E110" s="1413" t="s">
        <v>687</v>
      </c>
      <c r="F110" s="143"/>
      <c r="G110" s="138" t="s">
        <v>2930</v>
      </c>
      <c r="H110" s="143"/>
      <c r="I110" s="170" t="s">
        <v>2926</v>
      </c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70"/>
      <c r="U110" s="1227"/>
      <c r="V110" s="170"/>
      <c r="W110" s="143"/>
      <c r="X110" s="143"/>
      <c r="Y110" s="143"/>
      <c r="Z110" s="1243"/>
      <c r="AA110" s="143"/>
      <c r="AB110" s="1236"/>
      <c r="AC110" s="143"/>
      <c r="AE110" s="1236"/>
      <c r="AS110" s="1627"/>
      <c r="AT110" s="143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143"/>
      <c r="BI110" s="143"/>
      <c r="BJ110" s="143"/>
      <c r="BK110" s="143"/>
      <c r="BL110" s="143"/>
      <c r="BM110" s="143"/>
      <c r="BN110" s="143"/>
      <c r="BO110" s="143"/>
      <c r="BP110" s="143"/>
      <c r="BQ110" s="143"/>
      <c r="BR110" s="143"/>
      <c r="BS110" s="143"/>
      <c r="BT110" s="143"/>
      <c r="BU110" s="143"/>
    </row>
    <row r="111" spans="1:73" s="73" customFormat="1" ht="15" customHeight="1">
      <c r="B111" s="76"/>
      <c r="D111" s="120"/>
      <c r="E111" s="1228" t="s">
        <v>686</v>
      </c>
      <c r="F111" s="143"/>
      <c r="G111" s="138" t="s">
        <v>2930</v>
      </c>
      <c r="H111" s="4"/>
      <c r="I111" s="1425" t="s">
        <v>2927</v>
      </c>
      <c r="J111" s="143"/>
      <c r="K111" s="143"/>
      <c r="L111" s="1230"/>
      <c r="M111" s="143"/>
      <c r="N111" s="143"/>
      <c r="O111" s="52"/>
      <c r="P111" s="170"/>
      <c r="Q111" s="170"/>
      <c r="R111" s="170"/>
      <c r="S111" s="143"/>
      <c r="T111" s="170"/>
      <c r="U111" s="1227"/>
      <c r="V111" s="170"/>
      <c r="W111" s="143"/>
      <c r="X111" s="143"/>
      <c r="Y111" s="143"/>
      <c r="Z111" s="1243"/>
      <c r="AA111" s="143"/>
      <c r="AB111" s="1236"/>
      <c r="AC111" s="143"/>
      <c r="AE111" s="1236"/>
      <c r="AS111" s="1627"/>
      <c r="AT111" s="143"/>
      <c r="AU111" s="143"/>
      <c r="AV111" s="143"/>
      <c r="AW111" s="143"/>
      <c r="AX111" s="143"/>
      <c r="AY111" s="143"/>
      <c r="AZ111" s="143"/>
      <c r="BA111" s="143"/>
      <c r="BB111" s="143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  <c r="BQ111" s="143"/>
      <c r="BR111" s="143"/>
      <c r="BS111" s="143"/>
      <c r="BT111" s="143"/>
      <c r="BU111" s="143"/>
    </row>
    <row r="112" spans="1:73" s="73" customFormat="1" ht="15" customHeight="1">
      <c r="B112" s="143"/>
      <c r="D112" s="120"/>
      <c r="E112" s="1413" t="s">
        <v>360</v>
      </c>
      <c r="F112" s="143"/>
      <c r="G112" s="138" t="s">
        <v>2930</v>
      </c>
      <c r="H112" s="4"/>
      <c r="I112" s="170" t="s">
        <v>2769</v>
      </c>
      <c r="J112" s="143"/>
      <c r="K112" s="143"/>
      <c r="L112" s="1230"/>
      <c r="M112" s="143"/>
      <c r="N112" s="143"/>
      <c r="O112" s="52"/>
      <c r="P112" s="143"/>
      <c r="Q112" s="170"/>
      <c r="R112" s="170"/>
      <c r="S112" s="143"/>
      <c r="T112" s="170"/>
      <c r="U112" s="1227"/>
      <c r="V112" s="170"/>
      <c r="W112" s="143"/>
      <c r="X112" s="143"/>
      <c r="Y112" s="143"/>
      <c r="Z112" s="1243"/>
      <c r="AA112" s="143"/>
      <c r="AB112" s="1236"/>
      <c r="AC112" s="143"/>
      <c r="AE112" s="1236"/>
      <c r="AS112" s="1627"/>
      <c r="AT112" s="143"/>
      <c r="AU112" s="143"/>
      <c r="AV112" s="143"/>
      <c r="AW112" s="143"/>
      <c r="AX112" s="143"/>
      <c r="AY112" s="143"/>
      <c r="AZ112" s="143"/>
      <c r="BA112" s="143"/>
      <c r="BB112" s="143"/>
      <c r="BC112" s="143"/>
      <c r="BD112" s="143"/>
      <c r="BE112" s="143"/>
      <c r="BF112" s="143"/>
      <c r="BG112" s="143"/>
      <c r="BH112" s="143"/>
      <c r="BI112" s="143"/>
      <c r="BJ112" s="143"/>
      <c r="BK112" s="143"/>
      <c r="BL112" s="143"/>
      <c r="BM112" s="143"/>
      <c r="BN112" s="143"/>
      <c r="BO112" s="143"/>
      <c r="BP112" s="143"/>
      <c r="BQ112" s="143"/>
      <c r="BR112" s="143"/>
      <c r="BS112" s="143"/>
      <c r="BT112" s="143"/>
      <c r="BU112" s="143"/>
    </row>
    <row r="113" spans="1:73" s="73" customFormat="1" ht="15" customHeight="1">
      <c r="B113" s="143"/>
      <c r="D113" s="120"/>
      <c r="E113" s="170" t="s">
        <v>2925</v>
      </c>
      <c r="F113" s="143"/>
      <c r="G113" s="138" t="s">
        <v>2930</v>
      </c>
      <c r="H113" s="4"/>
      <c r="I113" s="170" t="s">
        <v>2928</v>
      </c>
      <c r="J113" s="143"/>
      <c r="K113" s="143"/>
      <c r="L113" s="1230"/>
      <c r="M113" s="143"/>
      <c r="N113" s="143"/>
      <c r="O113" s="143"/>
      <c r="P113" s="143"/>
      <c r="Q113" s="170"/>
      <c r="R113" s="170"/>
      <c r="S113" s="143"/>
      <c r="T113" s="170"/>
      <c r="U113" s="1227"/>
      <c r="V113" s="170"/>
      <c r="W113" s="143"/>
      <c r="X113" s="143"/>
      <c r="Y113" s="143"/>
      <c r="Z113" s="1243"/>
      <c r="AA113" s="143"/>
      <c r="AB113" s="1236"/>
      <c r="AC113" s="143"/>
      <c r="AE113" s="1236"/>
      <c r="AS113" s="1627"/>
      <c r="AT113" s="143"/>
      <c r="AU113" s="143"/>
      <c r="AV113" s="143"/>
      <c r="AW113" s="143"/>
      <c r="AX113" s="143"/>
      <c r="AY113" s="143"/>
      <c r="AZ113" s="143"/>
      <c r="BA113" s="143"/>
      <c r="BB113" s="143"/>
      <c r="BC113" s="143"/>
      <c r="BD113" s="143"/>
      <c r="BE113" s="143"/>
      <c r="BF113" s="143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143"/>
      <c r="BQ113" s="143"/>
      <c r="BR113" s="143"/>
      <c r="BS113" s="143"/>
      <c r="BT113" s="143"/>
      <c r="BU113" s="143"/>
    </row>
    <row r="114" spans="1:73" s="73" customFormat="1" ht="15" customHeight="1">
      <c r="B114" s="143"/>
      <c r="D114" s="120"/>
      <c r="E114" s="170" t="s">
        <v>685</v>
      </c>
      <c r="F114" s="143"/>
      <c r="G114" s="138" t="s">
        <v>2930</v>
      </c>
      <c r="H114" s="4"/>
      <c r="I114" s="170" t="s">
        <v>2929</v>
      </c>
      <c r="J114" s="143"/>
      <c r="K114" s="143"/>
      <c r="L114" s="1230"/>
      <c r="M114" s="143"/>
      <c r="N114" s="143"/>
      <c r="O114" s="143"/>
      <c r="P114" s="143"/>
      <c r="Q114" s="170"/>
      <c r="R114" s="170"/>
      <c r="S114" s="143"/>
      <c r="T114" s="170"/>
      <c r="U114" s="1227"/>
      <c r="V114" s="170"/>
      <c r="W114" s="143"/>
      <c r="X114" s="143"/>
      <c r="Y114" s="143"/>
      <c r="Z114" s="1243"/>
      <c r="AA114" s="143"/>
      <c r="AB114" s="1236"/>
      <c r="AC114" s="143"/>
      <c r="AE114" s="1236"/>
      <c r="AS114" s="1627"/>
      <c r="AT114" s="143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143"/>
      <c r="BI114" s="143"/>
      <c r="BJ114" s="143"/>
      <c r="BK114" s="143"/>
      <c r="BL114" s="143"/>
      <c r="BM114" s="143"/>
      <c r="BN114" s="143"/>
      <c r="BO114" s="143"/>
      <c r="BP114" s="143"/>
      <c r="BQ114" s="143"/>
      <c r="BR114" s="143"/>
      <c r="BS114" s="143"/>
      <c r="BT114" s="143"/>
      <c r="BU114" s="143"/>
    </row>
    <row r="115" spans="1:73" s="73" customFormat="1" ht="15" customHeight="1">
      <c r="A115" s="170"/>
      <c r="B115" s="143"/>
      <c r="C115" s="170"/>
      <c r="D115" s="170"/>
      <c r="E115" s="170"/>
      <c r="F115" s="1227"/>
      <c r="G115" s="170"/>
      <c r="H115" s="1227"/>
      <c r="I115" s="170"/>
      <c r="J115" s="1227"/>
      <c r="K115" s="170"/>
      <c r="L115" s="1227"/>
      <c r="M115" s="170"/>
      <c r="N115" s="170"/>
      <c r="O115" s="170"/>
      <c r="P115" s="170"/>
      <c r="Q115" s="170"/>
      <c r="R115" s="170"/>
      <c r="S115" s="170"/>
      <c r="V115" s="170"/>
      <c r="W115" s="170"/>
      <c r="X115" s="170"/>
      <c r="Y115" s="1227"/>
      <c r="Z115" s="170"/>
      <c r="AA115" s="170"/>
      <c r="AC115" s="143"/>
      <c r="AD115" s="1236"/>
      <c r="AF115" s="1236"/>
      <c r="AS115" s="1627"/>
      <c r="AT115" s="143"/>
      <c r="AU115" s="143"/>
      <c r="AV115" s="143"/>
      <c r="AW115" s="143"/>
      <c r="AX115" s="143"/>
      <c r="AY115" s="143"/>
      <c r="AZ115" s="143"/>
      <c r="BA115" s="143"/>
      <c r="BB115" s="143"/>
      <c r="BC115" s="143"/>
      <c r="BD115" s="143"/>
      <c r="BE115" s="143"/>
      <c r="BF115" s="143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143"/>
      <c r="BQ115" s="143"/>
      <c r="BR115" s="143"/>
      <c r="BS115" s="143"/>
      <c r="BT115" s="143"/>
      <c r="BU115" s="143"/>
    </row>
    <row r="116" spans="1:73" s="73" customFormat="1" ht="15" customHeight="1">
      <c r="A116" s="134"/>
      <c r="B116" s="97" t="s">
        <v>421</v>
      </c>
      <c r="C116" s="61"/>
      <c r="D116" s="170"/>
      <c r="E116" s="170"/>
      <c r="F116" s="1227"/>
      <c r="G116" s="170"/>
      <c r="H116" s="1227"/>
      <c r="I116" s="170"/>
      <c r="J116" s="1227"/>
      <c r="K116" s="170"/>
      <c r="L116" s="1227"/>
      <c r="M116" s="170"/>
      <c r="N116" s="170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227"/>
      <c r="Z116" s="170"/>
      <c r="AA116" s="108"/>
      <c r="AC116" s="143"/>
      <c r="AD116" s="1236"/>
      <c r="AF116" s="1236"/>
      <c r="AS116" s="1627"/>
      <c r="AT116" s="143"/>
      <c r="AU116" s="143"/>
      <c r="AV116" s="143"/>
      <c r="AW116" s="143"/>
      <c r="AX116" s="143"/>
      <c r="AY116" s="143"/>
      <c r="AZ116" s="143"/>
      <c r="BA116" s="143"/>
      <c r="BB116" s="143"/>
      <c r="BC116" s="143"/>
      <c r="BD116" s="143"/>
      <c r="BE116" s="143"/>
      <c r="BF116" s="143"/>
      <c r="BG116" s="143"/>
      <c r="BH116" s="143"/>
      <c r="BI116" s="143"/>
      <c r="BJ116" s="143"/>
      <c r="BK116" s="143"/>
      <c r="BL116" s="143"/>
      <c r="BM116" s="143"/>
      <c r="BN116" s="143"/>
      <c r="BO116" s="143"/>
      <c r="BP116" s="143"/>
      <c r="BQ116" s="143"/>
      <c r="BR116" s="143"/>
      <c r="BS116" s="143"/>
      <c r="BT116" s="143"/>
      <c r="BU116" s="143"/>
    </row>
    <row r="117" spans="1:73" s="73" customFormat="1" ht="15" customHeight="1">
      <c r="A117" s="88"/>
      <c r="B117" s="97"/>
      <c r="C117" s="61"/>
      <c r="D117" s="170"/>
      <c r="E117" s="170"/>
      <c r="F117" s="1227"/>
      <c r="G117" s="170"/>
      <c r="H117" s="1227"/>
      <c r="I117" s="170"/>
      <c r="J117" s="1227"/>
      <c r="K117" s="170"/>
      <c r="L117" s="1227"/>
      <c r="M117" s="170"/>
      <c r="N117" s="170"/>
      <c r="O117" s="170"/>
      <c r="P117" s="170"/>
      <c r="Q117" s="170"/>
      <c r="R117" s="170"/>
      <c r="S117" s="170"/>
      <c r="T117" s="170"/>
      <c r="U117" s="170"/>
      <c r="V117" s="170"/>
      <c r="W117" s="170"/>
      <c r="X117" s="170"/>
      <c r="Y117" s="1227"/>
      <c r="Z117" s="143"/>
      <c r="AA117" s="143"/>
      <c r="AC117" s="143"/>
      <c r="AS117" s="1627"/>
      <c r="AT117" s="143"/>
      <c r="AU117" s="143"/>
      <c r="AV117" s="143"/>
      <c r="AW117" s="143"/>
      <c r="AX117" s="143"/>
      <c r="AY117" s="143"/>
      <c r="AZ117" s="143"/>
      <c r="BA117" s="143"/>
      <c r="BB117" s="143"/>
      <c r="BC117" s="143"/>
      <c r="BD117" s="143"/>
      <c r="BE117" s="143"/>
      <c r="BF117" s="143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143"/>
      <c r="BQ117" s="143"/>
      <c r="BR117" s="143"/>
      <c r="BS117" s="143"/>
      <c r="BT117" s="143"/>
      <c r="BU117" s="143"/>
    </row>
    <row r="118" spans="1:73" s="73" customFormat="1" ht="20.100000000000001" customHeight="1">
      <c r="A118" s="134"/>
      <c r="B118" s="143"/>
      <c r="C118" s="148" t="s">
        <v>134</v>
      </c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 t="s">
        <v>237</v>
      </c>
      <c r="S118" s="148"/>
      <c r="T118" s="148"/>
      <c r="U118" s="148"/>
      <c r="V118" s="148"/>
      <c r="W118" s="148"/>
      <c r="X118" s="148"/>
      <c r="Y118" s="148"/>
      <c r="Z118" s="148"/>
      <c r="AA118" s="148"/>
      <c r="AB118" s="148"/>
      <c r="AC118" s="143"/>
      <c r="AS118" s="1627"/>
      <c r="AT118" s="143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  <c r="BQ118" s="143"/>
      <c r="BR118" s="143"/>
      <c r="BS118" s="143"/>
      <c r="BT118" s="143"/>
      <c r="BU118" s="143"/>
    </row>
    <row r="119" spans="1:73" s="73" customFormat="1" ht="20.100000000000001" customHeight="1">
      <c r="A119" s="134"/>
      <c r="B119" s="143"/>
      <c r="C119" s="146" t="s">
        <v>398</v>
      </c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51" t="s">
        <v>238</v>
      </c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R119" s="1529" t="s">
        <v>2904</v>
      </c>
      <c r="AS119" s="1627"/>
      <c r="AT119" s="143"/>
      <c r="AU119" s="143"/>
      <c r="AV119" s="143"/>
      <c r="AW119" s="143"/>
      <c r="AX119" s="143"/>
      <c r="AY119" s="143"/>
      <c r="AZ119" s="143"/>
      <c r="BA119" s="143"/>
      <c r="BB119" s="143"/>
      <c r="BC119" s="143"/>
      <c r="BD119" s="143"/>
      <c r="BE119" s="143"/>
      <c r="BF119" s="143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143"/>
      <c r="BQ119" s="143"/>
      <c r="BR119" s="143"/>
      <c r="BS119" s="143"/>
      <c r="BT119" s="143"/>
      <c r="BU119" s="143"/>
    </row>
    <row r="120" spans="1:73" s="73" customFormat="1" ht="20.100000000000001" customHeight="1">
      <c r="A120" s="134"/>
      <c r="B120" s="143"/>
      <c r="C120" s="91" t="s">
        <v>399</v>
      </c>
      <c r="D120" s="91"/>
      <c r="E120" s="91"/>
      <c r="F120" s="91"/>
      <c r="G120" s="91"/>
      <c r="H120" s="91"/>
      <c r="I120" s="91"/>
      <c r="J120" s="91"/>
      <c r="K120" s="91"/>
      <c r="L120" s="1615"/>
      <c r="M120" s="1616"/>
      <c r="N120" s="1616"/>
      <c r="O120" s="1616"/>
      <c r="P120" s="1616"/>
      <c r="Q120" s="1616"/>
      <c r="R120" s="92" t="s">
        <v>2931</v>
      </c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R120" s="1529" t="s">
        <v>2905</v>
      </c>
      <c r="AS120" s="1627"/>
      <c r="AT120" s="143"/>
      <c r="AU120" s="143"/>
      <c r="AV120" s="143"/>
      <c r="AW120" s="143"/>
      <c r="AX120" s="143"/>
      <c r="AY120" s="143"/>
      <c r="AZ120" s="143"/>
      <c r="BA120" s="143"/>
      <c r="BB120" s="143"/>
      <c r="BC120" s="143"/>
      <c r="BD120" s="143"/>
      <c r="BE120" s="143"/>
      <c r="BF120" s="143"/>
      <c r="BG120" s="143"/>
      <c r="BH120" s="143"/>
      <c r="BI120" s="143"/>
      <c r="BJ120" s="143"/>
      <c r="BK120" s="143"/>
      <c r="BL120" s="143"/>
      <c r="BM120" s="143"/>
      <c r="BN120" s="143"/>
      <c r="BO120" s="143"/>
      <c r="BP120" s="143"/>
      <c r="BQ120" s="143"/>
      <c r="BR120" s="143"/>
      <c r="BS120" s="143"/>
      <c r="BT120" s="143"/>
      <c r="BU120" s="143"/>
    </row>
    <row r="121" spans="1:73" s="73" customFormat="1" ht="15" customHeight="1">
      <c r="A121" s="170"/>
      <c r="B121" s="170"/>
      <c r="C121" s="170"/>
      <c r="D121" s="170"/>
      <c r="E121" s="170"/>
      <c r="F121" s="1227"/>
      <c r="G121" s="170"/>
      <c r="H121" s="1227"/>
      <c r="I121" s="170"/>
      <c r="J121" s="1227"/>
      <c r="K121" s="170"/>
      <c r="L121" s="1227"/>
      <c r="M121" s="170"/>
      <c r="N121" s="170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Z121" s="1227"/>
      <c r="AR121" s="170"/>
      <c r="AS121" s="1627"/>
      <c r="AT121" s="143"/>
      <c r="AU121" s="143"/>
      <c r="AV121" s="143"/>
      <c r="AW121" s="143"/>
      <c r="AX121" s="143"/>
      <c r="AY121" s="143"/>
      <c r="AZ121" s="143"/>
      <c r="BA121" s="143"/>
      <c r="BB121" s="143"/>
      <c r="BC121" s="143"/>
      <c r="BD121" s="143"/>
      <c r="BE121" s="143"/>
      <c r="BF121" s="143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143"/>
      <c r="BQ121" s="143"/>
      <c r="BR121" s="143"/>
      <c r="BS121" s="143"/>
      <c r="BT121" s="143"/>
      <c r="BU121" s="143"/>
    </row>
    <row r="122" spans="1:73" ht="15" customHeight="1">
      <c r="B122" s="1177" t="s">
        <v>2466</v>
      </c>
      <c r="C122" s="143" t="s">
        <v>960</v>
      </c>
      <c r="D122" s="136"/>
      <c r="E122" s="147"/>
      <c r="F122" s="136"/>
      <c r="G122" s="136"/>
      <c r="H122" s="136"/>
      <c r="I122" s="170"/>
      <c r="J122" s="170"/>
      <c r="K122" s="1227"/>
      <c r="L122" s="170"/>
      <c r="M122" s="1227"/>
      <c r="N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43"/>
      <c r="Z122" s="1227"/>
      <c r="AD122" s="73"/>
      <c r="AF122" s="73"/>
      <c r="AR122" s="1529" t="s">
        <v>2906</v>
      </c>
    </row>
    <row r="123" spans="1:73" ht="20.100000000000001" customHeight="1">
      <c r="B123" s="170"/>
      <c r="C123" s="148" t="s">
        <v>134</v>
      </c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8" t="s">
        <v>240</v>
      </c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D123" s="73"/>
      <c r="AF123" s="73"/>
    </row>
    <row r="124" spans="1:73" ht="20.100000000000001" customHeight="1">
      <c r="B124" s="170"/>
      <c r="C124" s="1443" t="s">
        <v>241</v>
      </c>
      <c r="D124" s="1443"/>
      <c r="E124" s="1443"/>
      <c r="F124" s="1443"/>
      <c r="G124" s="1443"/>
      <c r="H124" s="1443"/>
      <c r="I124" s="1443"/>
      <c r="J124" s="1451"/>
      <c r="K124" s="1443"/>
      <c r="L124" s="1443"/>
      <c r="M124" s="1443"/>
      <c r="N124" s="1443"/>
      <c r="O124" s="1443"/>
      <c r="P124" s="1443"/>
      <c r="Q124" s="1443"/>
      <c r="R124" s="1442" t="s">
        <v>242</v>
      </c>
      <c r="S124" s="1443"/>
      <c r="Y124" s="143"/>
      <c r="AB124" s="143"/>
      <c r="AD124" s="73"/>
      <c r="AF124" s="73"/>
    </row>
    <row r="125" spans="1:73" ht="20.100000000000001" customHeight="1">
      <c r="B125" s="170"/>
      <c r="C125" s="1617" t="s">
        <v>136</v>
      </c>
      <c r="D125" s="1617"/>
      <c r="E125" s="1617"/>
      <c r="F125" s="91"/>
      <c r="G125" s="91"/>
      <c r="H125" s="91"/>
      <c r="I125" s="91"/>
      <c r="J125" s="1429"/>
      <c r="K125" s="1429"/>
      <c r="L125" s="91"/>
      <c r="M125" s="92" t="s">
        <v>2932</v>
      </c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D125" s="1236"/>
      <c r="AF125" s="73"/>
    </row>
    <row r="126" spans="1:73" ht="15" customHeight="1">
      <c r="B126" s="170"/>
      <c r="C126" s="1228"/>
      <c r="E126" s="143" t="s">
        <v>2933</v>
      </c>
      <c r="F126" s="170"/>
      <c r="G126" s="124" t="s">
        <v>2930</v>
      </c>
      <c r="H126" s="170"/>
      <c r="I126" s="143" t="s">
        <v>2935</v>
      </c>
      <c r="J126" s="147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227"/>
      <c r="Z126" s="170"/>
      <c r="AA126" s="170"/>
      <c r="AD126" s="1236"/>
      <c r="AF126" s="73"/>
    </row>
    <row r="127" spans="1:73" ht="15" customHeight="1">
      <c r="B127" s="170"/>
      <c r="C127" s="1228"/>
      <c r="E127" s="170" t="s">
        <v>2738</v>
      </c>
      <c r="F127" s="170"/>
      <c r="G127" s="124" t="s">
        <v>2930</v>
      </c>
      <c r="H127" s="170"/>
      <c r="I127" s="170" t="s">
        <v>2739</v>
      </c>
      <c r="J127" s="170"/>
      <c r="K127" s="170"/>
      <c r="L127" s="143"/>
      <c r="M127" s="592"/>
      <c r="N127" s="170"/>
      <c r="O127" s="124"/>
      <c r="P127" s="170"/>
      <c r="Q127" s="170"/>
      <c r="R127" s="170"/>
      <c r="S127" s="170"/>
      <c r="T127" s="170"/>
      <c r="U127" s="170"/>
      <c r="V127" s="170"/>
      <c r="W127" s="170"/>
      <c r="X127" s="1227"/>
      <c r="Y127" s="170"/>
      <c r="Z127" s="170"/>
      <c r="AA127" s="73"/>
      <c r="AB127" s="143"/>
      <c r="AC127" s="1236"/>
      <c r="AD127" s="73"/>
      <c r="AF127" s="73"/>
    </row>
    <row r="128" spans="1:73" ht="15" customHeight="1">
      <c r="B128" s="170"/>
      <c r="C128" s="1228"/>
      <c r="E128" s="649" t="s">
        <v>1765</v>
      </c>
      <c r="F128" s="170"/>
      <c r="G128" s="124" t="s">
        <v>2930</v>
      </c>
      <c r="H128" s="170"/>
      <c r="I128" s="170" t="s">
        <v>2741</v>
      </c>
      <c r="J128" s="147"/>
      <c r="K128" s="170"/>
      <c r="L128" s="170"/>
      <c r="M128" s="170"/>
      <c r="N128" s="170"/>
      <c r="O128" s="170"/>
      <c r="P128" s="170"/>
      <c r="Q128" s="170"/>
      <c r="R128" s="170"/>
      <c r="S128" s="170"/>
      <c r="T128" s="170"/>
      <c r="U128" s="170"/>
      <c r="V128" s="170"/>
      <c r="W128" s="170"/>
      <c r="X128" s="170"/>
      <c r="Y128" s="1227"/>
      <c r="Z128" s="170"/>
      <c r="AA128" s="170"/>
      <c r="AD128" s="1236"/>
      <c r="AF128" s="73"/>
    </row>
    <row r="129" spans="1:73" ht="15" customHeight="1">
      <c r="B129" s="170"/>
      <c r="C129" s="1228"/>
      <c r="E129" s="649" t="s">
        <v>2934</v>
      </c>
      <c r="F129" s="170"/>
      <c r="G129" s="124" t="s">
        <v>2930</v>
      </c>
      <c r="H129" s="170"/>
      <c r="I129" s="170" t="s">
        <v>2936</v>
      </c>
      <c r="J129" s="147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227"/>
      <c r="Z129" s="170"/>
      <c r="AA129" s="170"/>
      <c r="AD129" s="1236"/>
      <c r="AF129" s="73"/>
    </row>
    <row r="130" spans="1:73" ht="15" customHeight="1">
      <c r="B130" s="170"/>
      <c r="C130" s="1228"/>
      <c r="E130" s="649" t="s">
        <v>2744</v>
      </c>
      <c r="F130" s="170"/>
      <c r="G130" s="124" t="s">
        <v>2930</v>
      </c>
      <c r="H130" s="170"/>
      <c r="I130" s="170" t="s">
        <v>2745</v>
      </c>
      <c r="J130" s="147"/>
      <c r="K130" s="170"/>
      <c r="L130" s="170"/>
      <c r="M130" s="170"/>
      <c r="N130" s="170"/>
      <c r="O130" s="170"/>
      <c r="P130" s="170"/>
      <c r="Q130" s="170"/>
      <c r="R130" s="170"/>
      <c r="S130" s="170"/>
      <c r="T130" s="170"/>
      <c r="U130" s="170"/>
      <c r="V130" s="170"/>
      <c r="W130" s="170"/>
      <c r="X130" s="170"/>
      <c r="Y130" s="1227"/>
      <c r="Z130" s="170"/>
      <c r="AA130" s="170"/>
      <c r="AD130" s="1236"/>
      <c r="AF130" s="73"/>
    </row>
    <row r="131" spans="1:73" ht="15" customHeight="1">
      <c r="A131" s="170"/>
      <c r="B131" s="170"/>
      <c r="C131" s="170"/>
      <c r="D131" s="170"/>
      <c r="E131" s="170"/>
      <c r="F131" s="1227"/>
      <c r="G131" s="170"/>
      <c r="H131" s="1227"/>
      <c r="I131" s="170"/>
      <c r="J131" s="1227"/>
      <c r="K131" s="170"/>
      <c r="L131" s="1227"/>
      <c r="M131" s="170"/>
      <c r="N131" s="170"/>
      <c r="O131" s="170"/>
      <c r="P131" s="170"/>
      <c r="Q131" s="170"/>
      <c r="R131" s="170"/>
      <c r="S131" s="170"/>
      <c r="T131" s="170"/>
      <c r="U131" s="170"/>
      <c r="V131" s="170"/>
      <c r="W131" s="170"/>
      <c r="X131" s="170"/>
      <c r="Y131" s="1227"/>
      <c r="Z131" s="170"/>
      <c r="AA131" s="170"/>
      <c r="AD131" s="1236"/>
      <c r="AF131" s="73"/>
    </row>
    <row r="132" spans="1:73" ht="15" customHeight="1">
      <c r="B132" s="1177" t="s">
        <v>2466</v>
      </c>
      <c r="C132" s="143" t="s">
        <v>961</v>
      </c>
      <c r="D132" s="136"/>
      <c r="E132" s="147"/>
      <c r="F132" s="136"/>
      <c r="G132" s="136"/>
      <c r="H132" s="136"/>
      <c r="I132" s="170"/>
      <c r="J132" s="170"/>
      <c r="K132" s="1227"/>
      <c r="L132" s="170"/>
      <c r="M132" s="1227"/>
      <c r="N132" s="170"/>
      <c r="P132" s="170"/>
      <c r="Q132" s="170"/>
      <c r="R132" s="170"/>
      <c r="S132" s="170"/>
      <c r="T132" s="170"/>
      <c r="U132" s="170"/>
      <c r="V132" s="170"/>
      <c r="W132" s="170"/>
      <c r="X132" s="170"/>
      <c r="Y132" s="1227"/>
      <c r="Z132" s="170"/>
      <c r="AD132" s="1236"/>
      <c r="AF132" s="73"/>
      <c r="AR132" s="1529" t="s">
        <v>2902</v>
      </c>
    </row>
    <row r="133" spans="1:73" ht="20.100000000000001" customHeight="1">
      <c r="B133" s="170"/>
      <c r="C133" s="148" t="s">
        <v>134</v>
      </c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8" t="s">
        <v>1605</v>
      </c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D133" s="1236"/>
      <c r="AF133" s="73"/>
    </row>
    <row r="134" spans="1:73" ht="20.100000000000001" customHeight="1">
      <c r="B134" s="170"/>
      <c r="C134" s="146" t="s">
        <v>243</v>
      </c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51" t="s">
        <v>242</v>
      </c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D134" s="1236"/>
      <c r="AF134" s="73"/>
    </row>
    <row r="135" spans="1:73" ht="20.100000000000001" customHeight="1">
      <c r="B135" s="170"/>
      <c r="C135" s="1618" t="s">
        <v>244</v>
      </c>
      <c r="D135" s="1618"/>
      <c r="E135" s="1618"/>
      <c r="F135" s="110"/>
      <c r="G135" s="110"/>
      <c r="H135" s="110"/>
      <c r="I135" s="110"/>
      <c r="J135" s="110"/>
      <c r="K135" s="110"/>
      <c r="L135" s="110" t="s">
        <v>2937</v>
      </c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D135" s="1236"/>
      <c r="AF135" s="73"/>
    </row>
    <row r="136" spans="1:73" s="73" customFormat="1" ht="20.100000000000001" customHeight="1">
      <c r="A136" s="143"/>
      <c r="B136" s="170"/>
      <c r="C136" s="145" t="s">
        <v>245</v>
      </c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9" t="s">
        <v>1684</v>
      </c>
      <c r="S136" s="145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3"/>
      <c r="AD136" s="1236"/>
      <c r="AS136" s="1627"/>
      <c r="AT136" s="143"/>
      <c r="AU136" s="143"/>
      <c r="AV136" s="143"/>
      <c r="AW136" s="143"/>
      <c r="AX136" s="143"/>
      <c r="AY136" s="143"/>
      <c r="AZ136" s="143"/>
      <c r="BA136" s="143"/>
      <c r="BB136" s="143"/>
      <c r="BC136" s="143"/>
      <c r="BD136" s="143"/>
      <c r="BE136" s="143"/>
      <c r="BF136" s="143"/>
      <c r="BG136" s="143"/>
      <c r="BH136" s="143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</row>
    <row r="137" spans="1:73" s="73" customFormat="1" ht="15" customHeight="1">
      <c r="A137" s="143"/>
      <c r="B137" s="170"/>
      <c r="C137" s="170"/>
      <c r="E137" s="170" t="s">
        <v>2938</v>
      </c>
      <c r="F137" s="170"/>
      <c r="G137" s="1426" t="s">
        <v>2930</v>
      </c>
      <c r="H137" s="170"/>
      <c r="I137" s="170" t="s">
        <v>2939</v>
      </c>
      <c r="J137" s="170"/>
      <c r="K137" s="1227"/>
      <c r="L137" s="170"/>
      <c r="M137" s="1227"/>
      <c r="N137" s="170"/>
      <c r="O137" s="170"/>
      <c r="P137" s="170"/>
      <c r="Q137" s="170"/>
      <c r="R137" s="170"/>
      <c r="S137" s="170"/>
      <c r="T137" s="170"/>
      <c r="U137" s="170"/>
      <c r="V137" s="170"/>
      <c r="W137" s="170"/>
      <c r="X137" s="170"/>
      <c r="Y137" s="1227"/>
      <c r="Z137" s="170"/>
      <c r="AA137" s="170"/>
      <c r="AC137" s="143"/>
      <c r="AD137" s="1236"/>
      <c r="AS137" s="1627"/>
      <c r="AT137" s="143"/>
      <c r="AU137" s="143"/>
      <c r="AV137" s="143"/>
      <c r="AW137" s="143"/>
      <c r="AX137" s="143"/>
      <c r="AY137" s="143"/>
      <c r="AZ137" s="143"/>
      <c r="BA137" s="143"/>
      <c r="BB137" s="143"/>
      <c r="BC137" s="143"/>
      <c r="BD137" s="143"/>
      <c r="BE137" s="143"/>
      <c r="BF137" s="143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143"/>
      <c r="BQ137" s="143"/>
      <c r="BR137" s="143"/>
      <c r="BS137" s="143"/>
      <c r="BT137" s="143"/>
      <c r="BU137" s="143"/>
    </row>
    <row r="138" spans="1:73" s="73" customFormat="1" ht="15" customHeight="1">
      <c r="A138" s="143"/>
      <c r="B138" s="170"/>
      <c r="C138" s="170"/>
      <c r="E138" s="170" t="s">
        <v>368</v>
      </c>
      <c r="F138" s="170"/>
      <c r="G138" s="1426" t="s">
        <v>2930</v>
      </c>
      <c r="H138" s="170"/>
      <c r="I138" s="170" t="s">
        <v>2940</v>
      </c>
      <c r="J138" s="170"/>
      <c r="K138" s="1227"/>
      <c r="L138" s="170"/>
      <c r="M138" s="1227"/>
      <c r="N138" s="170"/>
      <c r="O138" s="170"/>
      <c r="P138" s="170"/>
      <c r="Q138" s="170"/>
      <c r="R138" s="170"/>
      <c r="S138" s="170"/>
      <c r="T138" s="170"/>
      <c r="U138" s="170"/>
      <c r="V138" s="170"/>
      <c r="W138" s="170"/>
      <c r="X138" s="170"/>
      <c r="Y138" s="1227"/>
      <c r="Z138" s="170"/>
      <c r="AA138" s="170"/>
      <c r="AC138" s="143"/>
      <c r="AD138" s="1236"/>
      <c r="AS138" s="1627"/>
      <c r="AT138" s="143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143"/>
      <c r="BI138" s="143"/>
      <c r="BJ138" s="143"/>
      <c r="BK138" s="143"/>
      <c r="BL138" s="143"/>
      <c r="BM138" s="143"/>
      <c r="BN138" s="143"/>
      <c r="BO138" s="143"/>
      <c r="BP138" s="143"/>
      <c r="BQ138" s="143"/>
      <c r="BR138" s="143"/>
      <c r="BS138" s="143"/>
      <c r="BT138" s="143"/>
      <c r="BU138" s="143"/>
    </row>
    <row r="139" spans="1:73" s="73" customFormat="1" ht="15" customHeight="1">
      <c r="A139" s="143"/>
      <c r="B139" s="170"/>
      <c r="C139" s="170"/>
      <c r="E139" s="170" t="s">
        <v>968</v>
      </c>
      <c r="F139" s="170"/>
      <c r="G139" s="1426" t="s">
        <v>2930</v>
      </c>
      <c r="H139" s="170"/>
      <c r="I139" s="649" t="s">
        <v>2750</v>
      </c>
      <c r="J139" s="170"/>
      <c r="K139" s="1227"/>
      <c r="L139" s="170"/>
      <c r="M139" s="1227"/>
      <c r="N139" s="170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  <c r="Y139" s="1227"/>
      <c r="Z139" s="170"/>
      <c r="AA139" s="170"/>
      <c r="AC139" s="143"/>
      <c r="AD139" s="1236"/>
      <c r="AS139" s="1627"/>
      <c r="AT139" s="143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</row>
    <row r="140" spans="1:73" s="73" customFormat="1" ht="15" customHeight="1">
      <c r="A140" s="143"/>
      <c r="B140" s="170"/>
      <c r="C140" s="170"/>
      <c r="D140" s="170"/>
      <c r="E140" s="1870" t="s">
        <v>2943</v>
      </c>
      <c r="F140" s="1870"/>
      <c r="G140" s="1944" t="s">
        <v>2930</v>
      </c>
      <c r="H140" s="170"/>
      <c r="I140" s="1476" t="s">
        <v>2941</v>
      </c>
      <c r="J140" s="1333"/>
      <c r="K140" s="1430"/>
      <c r="L140" s="170"/>
      <c r="M140" s="1227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227"/>
      <c r="Z140" s="170"/>
      <c r="AA140" s="170"/>
      <c r="AC140" s="143"/>
      <c r="AD140" s="1236"/>
      <c r="AS140" s="1627"/>
      <c r="AT140" s="143"/>
      <c r="AU140" s="143"/>
      <c r="AV140" s="143"/>
      <c r="AW140" s="143"/>
      <c r="AX140" s="143"/>
      <c r="AY140" s="143"/>
      <c r="AZ140" s="143"/>
      <c r="BA140" s="143"/>
      <c r="BB140" s="143"/>
      <c r="BC140" s="143"/>
      <c r="BD140" s="143"/>
      <c r="BE140" s="143"/>
      <c r="BF140" s="143"/>
      <c r="BG140" s="143"/>
      <c r="BH140" s="143"/>
      <c r="BI140" s="143"/>
      <c r="BJ140" s="143"/>
      <c r="BK140" s="143"/>
      <c r="BL140" s="143"/>
      <c r="BM140" s="143"/>
      <c r="BN140" s="143"/>
      <c r="BO140" s="143"/>
      <c r="BP140" s="143"/>
      <c r="BQ140" s="143"/>
      <c r="BR140" s="143"/>
      <c r="BS140" s="143"/>
      <c r="BT140" s="143"/>
      <c r="BU140" s="143"/>
    </row>
    <row r="141" spans="1:73" s="73" customFormat="1" ht="15" customHeight="1">
      <c r="A141" s="143"/>
      <c r="B141" s="170"/>
      <c r="C141" s="170"/>
      <c r="D141" s="170"/>
      <c r="E141" s="1870"/>
      <c r="F141" s="1870"/>
      <c r="G141" s="1862"/>
      <c r="H141" s="170"/>
      <c r="I141" s="1425" t="s">
        <v>2942</v>
      </c>
      <c r="J141" s="170"/>
      <c r="K141" s="1227"/>
      <c r="L141" s="170"/>
      <c r="M141" s="1227"/>
      <c r="N141" s="170"/>
      <c r="O141" s="170"/>
      <c r="P141" s="170"/>
      <c r="Q141" s="170"/>
      <c r="R141" s="170"/>
      <c r="S141" s="170"/>
      <c r="T141" s="170"/>
      <c r="U141" s="170"/>
      <c r="V141" s="170"/>
      <c r="W141" s="170"/>
      <c r="X141" s="170"/>
      <c r="Y141" s="1227"/>
      <c r="Z141" s="170"/>
      <c r="AA141" s="170"/>
      <c r="AC141" s="143"/>
      <c r="AD141" s="1236"/>
      <c r="AS141" s="1627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</row>
    <row r="142" spans="1:73" s="73" customFormat="1" ht="15" customHeight="1">
      <c r="A142" s="143"/>
      <c r="B142" s="170"/>
      <c r="C142" s="170"/>
      <c r="D142" s="170"/>
      <c r="E142" s="170"/>
      <c r="F142" s="170"/>
      <c r="G142" s="1227"/>
      <c r="H142" s="170"/>
      <c r="I142" s="1227"/>
      <c r="J142" s="170"/>
      <c r="K142" s="1227"/>
      <c r="L142" s="170"/>
      <c r="M142" s="1227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227"/>
      <c r="Z142" s="170"/>
      <c r="AA142" s="170"/>
      <c r="AC142" s="143"/>
      <c r="AD142" s="1236"/>
      <c r="AS142" s="1627"/>
      <c r="AT142" s="143"/>
      <c r="AU142" s="143"/>
      <c r="AV142" s="143"/>
      <c r="AW142" s="143"/>
      <c r="AX142" s="143"/>
      <c r="AY142" s="143"/>
      <c r="AZ142" s="143"/>
      <c r="BA142" s="143"/>
      <c r="BB142" s="143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</row>
    <row r="143" spans="1:73" s="73" customFormat="1" ht="15" customHeight="1">
      <c r="A143" s="143"/>
      <c r="B143" s="1177" t="s">
        <v>2466</v>
      </c>
      <c r="C143" s="143" t="s">
        <v>247</v>
      </c>
      <c r="D143" s="136"/>
      <c r="E143" s="147"/>
      <c r="F143" s="136"/>
      <c r="G143" s="136"/>
      <c r="H143" s="136"/>
      <c r="I143" s="170"/>
      <c r="J143" s="170"/>
      <c r="K143" s="1227"/>
      <c r="L143" s="170"/>
      <c r="M143" s="1227"/>
      <c r="N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227"/>
      <c r="Z143" s="170"/>
      <c r="AC143" s="143"/>
      <c r="AD143" s="1236"/>
      <c r="AF143" s="1529"/>
      <c r="AR143" s="1529" t="s">
        <v>2907</v>
      </c>
      <c r="AS143" s="1627"/>
      <c r="AT143" s="143"/>
      <c r="AU143" s="143"/>
      <c r="AV143" s="143"/>
      <c r="AW143" s="143"/>
      <c r="AX143" s="143"/>
      <c r="AY143" s="143"/>
      <c r="AZ143" s="143"/>
      <c r="BA143" s="143"/>
      <c r="BB143" s="143"/>
      <c r="BC143" s="143"/>
      <c r="BD143" s="143"/>
      <c r="BE143" s="143"/>
      <c r="BF143" s="143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143"/>
      <c r="BQ143" s="143"/>
      <c r="BR143" s="143"/>
      <c r="BS143" s="143"/>
      <c r="BT143" s="143"/>
      <c r="BU143" s="143"/>
    </row>
    <row r="144" spans="1:73" s="73" customFormat="1" ht="20.100000000000001" customHeight="1">
      <c r="A144" s="143"/>
      <c r="B144" s="170"/>
      <c r="C144" s="148" t="s">
        <v>134</v>
      </c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8" t="s">
        <v>248</v>
      </c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3"/>
      <c r="AD144" s="1236"/>
      <c r="AS144" s="1627"/>
      <c r="AT144" s="143"/>
      <c r="AU144" s="143"/>
      <c r="AV144" s="143"/>
      <c r="AW144" s="143"/>
      <c r="AX144" s="143"/>
      <c r="AY144" s="143"/>
      <c r="AZ144" s="143"/>
      <c r="BA144" s="143"/>
      <c r="BB144" s="143"/>
      <c r="BC144" s="143"/>
      <c r="BD144" s="143"/>
      <c r="BE144" s="143"/>
      <c r="BF144" s="143"/>
      <c r="BG144" s="143"/>
      <c r="BH144" s="143"/>
      <c r="BI144" s="143"/>
      <c r="BJ144" s="143"/>
      <c r="BK144" s="143"/>
      <c r="BL144" s="143"/>
      <c r="BM144" s="143"/>
      <c r="BN144" s="143"/>
      <c r="BO144" s="143"/>
      <c r="BP144" s="143"/>
      <c r="BQ144" s="143"/>
      <c r="BR144" s="143"/>
      <c r="BS144" s="143"/>
      <c r="BT144" s="143"/>
      <c r="BU144" s="143"/>
    </row>
    <row r="145" spans="1:73" s="73" customFormat="1" ht="20.100000000000001" customHeight="1">
      <c r="A145" s="143"/>
      <c r="B145" s="170"/>
      <c r="C145" s="146" t="s">
        <v>1687</v>
      </c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51" t="s">
        <v>1688</v>
      </c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3"/>
      <c r="AD145" s="1236"/>
      <c r="AS145" s="1627"/>
      <c r="AT145" s="143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</row>
    <row r="146" spans="1:73" s="73" customFormat="1" ht="20.100000000000001" customHeight="1">
      <c r="A146" s="143"/>
      <c r="B146" s="170"/>
      <c r="C146" s="666" t="s">
        <v>1689</v>
      </c>
      <c r="D146" s="666"/>
      <c r="E146" s="666"/>
      <c r="F146" s="666"/>
      <c r="G146" s="170"/>
      <c r="H146" s="170"/>
      <c r="I146" s="170"/>
      <c r="J146" s="170"/>
      <c r="K146" s="170"/>
      <c r="L146" s="170"/>
      <c r="M146" s="170" t="s">
        <v>2944</v>
      </c>
      <c r="N146" s="170"/>
      <c r="O146" s="170"/>
      <c r="P146" s="170"/>
      <c r="Q146" s="170"/>
      <c r="S146" s="170"/>
      <c r="T146" s="170"/>
      <c r="U146" s="170"/>
      <c r="V146" s="170"/>
      <c r="W146" s="170"/>
      <c r="X146" s="170"/>
      <c r="Y146" s="170"/>
      <c r="Z146" s="170"/>
      <c r="AA146" s="170"/>
      <c r="AB146" s="170"/>
      <c r="AC146" s="143"/>
      <c r="AD146" s="1236"/>
      <c r="AS146" s="1627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</row>
    <row r="147" spans="1:73" s="73" customFormat="1" ht="20.100000000000001" customHeight="1">
      <c r="A147" s="143"/>
      <c r="B147" s="170"/>
      <c r="C147" s="667" t="s">
        <v>1753</v>
      </c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2" t="s">
        <v>1690</v>
      </c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143"/>
      <c r="AD147" s="1236"/>
      <c r="AF147" s="1236"/>
      <c r="AS147" s="1627"/>
      <c r="AT147" s="143"/>
      <c r="AU147" s="143"/>
      <c r="AV147" s="143"/>
      <c r="AW147" s="143"/>
      <c r="AX147" s="143"/>
      <c r="AY147" s="143"/>
      <c r="AZ147" s="143"/>
      <c r="BA147" s="143"/>
      <c r="BB147" s="143"/>
      <c r="BC147" s="143"/>
      <c r="BD147" s="143"/>
      <c r="BE147" s="143"/>
      <c r="BF147" s="143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143"/>
      <c r="BQ147" s="143"/>
      <c r="BR147" s="143"/>
      <c r="BS147" s="143"/>
      <c r="BT147" s="143"/>
      <c r="BU147" s="143"/>
    </row>
    <row r="148" spans="1:73" s="73" customFormat="1" ht="15" customHeight="1">
      <c r="A148" s="170"/>
      <c r="B148" s="170"/>
      <c r="C148" s="170"/>
      <c r="D148" s="170"/>
      <c r="E148" s="649" t="s">
        <v>2948</v>
      </c>
      <c r="F148" s="1227"/>
      <c r="G148" s="124" t="s">
        <v>2930</v>
      </c>
      <c r="H148" s="1227"/>
      <c r="I148" s="170" t="s">
        <v>2949</v>
      </c>
      <c r="J148" s="170"/>
      <c r="K148" s="170"/>
      <c r="L148" s="1227"/>
      <c r="M148" s="170" t="s">
        <v>2945</v>
      </c>
      <c r="N148" s="170"/>
      <c r="O148" s="170"/>
      <c r="P148" s="170"/>
      <c r="Q148" s="170"/>
      <c r="R148" s="170"/>
      <c r="S148" s="170"/>
      <c r="T148" s="170"/>
      <c r="U148" s="170"/>
      <c r="V148" s="170"/>
      <c r="W148" s="170"/>
      <c r="X148" s="170"/>
      <c r="Y148" s="1227"/>
      <c r="Z148" s="170"/>
      <c r="AA148" s="170"/>
      <c r="AC148" s="143"/>
      <c r="AD148" s="1236"/>
      <c r="AF148" s="1236"/>
      <c r="AS148" s="1627"/>
      <c r="AT148" s="143"/>
      <c r="AU148" s="143"/>
      <c r="AV148" s="143"/>
      <c r="AW148" s="143"/>
      <c r="AX148" s="143"/>
      <c r="AY148" s="143"/>
      <c r="AZ148" s="143"/>
      <c r="BA148" s="143"/>
      <c r="BB148" s="143"/>
      <c r="BC148" s="143"/>
      <c r="BD148" s="143"/>
      <c r="BE148" s="143"/>
      <c r="BF148" s="143"/>
      <c r="BG148" s="143"/>
      <c r="BH148" s="143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</row>
    <row r="149" spans="1:73" s="73" customFormat="1" ht="15" customHeight="1">
      <c r="A149" s="170"/>
      <c r="B149" s="170"/>
      <c r="C149" s="170"/>
      <c r="D149" s="170"/>
      <c r="E149" s="649" t="s">
        <v>2948</v>
      </c>
      <c r="F149" s="1424"/>
      <c r="G149" s="124" t="s">
        <v>2930</v>
      </c>
      <c r="H149" s="1424"/>
      <c r="I149" s="170" t="s">
        <v>2950</v>
      </c>
      <c r="J149" s="170"/>
      <c r="K149" s="170"/>
      <c r="L149" s="1227"/>
      <c r="M149" s="170" t="s">
        <v>2946</v>
      </c>
      <c r="N149" s="170"/>
      <c r="O149" s="170"/>
      <c r="P149" s="170"/>
      <c r="Q149" s="170"/>
      <c r="R149" s="170"/>
      <c r="S149" s="170"/>
      <c r="T149" s="170"/>
      <c r="U149" s="170"/>
      <c r="V149" s="170"/>
      <c r="W149" s="170"/>
      <c r="X149" s="170"/>
      <c r="Y149" s="1227"/>
      <c r="Z149" s="170"/>
      <c r="AA149" s="170"/>
      <c r="AC149" s="143"/>
      <c r="AD149" s="1236"/>
      <c r="AF149" s="1236"/>
      <c r="AS149" s="1627"/>
      <c r="AT149" s="143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143"/>
      <c r="BI149" s="143"/>
      <c r="BJ149" s="143"/>
      <c r="BK149" s="143"/>
      <c r="BL149" s="143"/>
      <c r="BM149" s="143"/>
      <c r="BN149" s="143"/>
      <c r="BO149" s="143"/>
      <c r="BP149" s="143"/>
      <c r="BQ149" s="143"/>
      <c r="BR149" s="143"/>
      <c r="BS149" s="143"/>
      <c r="BT149" s="143"/>
      <c r="BU149" s="143"/>
    </row>
    <row r="150" spans="1:73" s="73" customFormat="1" ht="15" customHeight="1">
      <c r="A150" s="170"/>
      <c r="B150" s="170"/>
      <c r="C150" s="170"/>
      <c r="D150" s="170"/>
      <c r="E150" s="649" t="s">
        <v>2951</v>
      </c>
      <c r="F150" s="1227"/>
      <c r="G150" s="124" t="s">
        <v>2930</v>
      </c>
      <c r="H150" s="1227"/>
      <c r="I150" s="170" t="s">
        <v>2952</v>
      </c>
      <c r="J150" s="1227"/>
      <c r="K150" s="170"/>
      <c r="L150" s="1227"/>
      <c r="M150" s="170"/>
      <c r="N150" s="170"/>
      <c r="O150" s="170"/>
      <c r="P150" s="170"/>
      <c r="Q150" s="170"/>
      <c r="R150" s="170"/>
      <c r="S150" s="170"/>
      <c r="T150" s="170"/>
      <c r="U150" s="170"/>
      <c r="V150" s="170"/>
      <c r="W150" s="170"/>
      <c r="X150" s="170"/>
      <c r="Y150" s="1227"/>
      <c r="Z150" s="170"/>
      <c r="AA150" s="170"/>
      <c r="AC150" s="143"/>
      <c r="AD150" s="1236"/>
      <c r="AF150" s="1236"/>
      <c r="AS150" s="1627"/>
      <c r="AT150" s="143"/>
      <c r="AU150" s="143"/>
      <c r="AV150" s="143"/>
      <c r="AW150" s="143"/>
      <c r="AX150" s="143"/>
      <c r="AY150" s="143"/>
      <c r="AZ150" s="143"/>
      <c r="BA150" s="143"/>
      <c r="BB150" s="143"/>
      <c r="BC150" s="143"/>
      <c r="BD150" s="143"/>
      <c r="BE150" s="143"/>
      <c r="BF150" s="143"/>
      <c r="BG150" s="143"/>
      <c r="BH150" s="143"/>
      <c r="BI150" s="143"/>
      <c r="BJ150" s="143"/>
      <c r="BK150" s="143"/>
      <c r="BL150" s="143"/>
      <c r="BM150" s="143"/>
      <c r="BN150" s="143"/>
      <c r="BO150" s="143"/>
      <c r="BP150" s="143"/>
      <c r="BQ150" s="143"/>
      <c r="BR150" s="143"/>
      <c r="BS150" s="143"/>
      <c r="BT150" s="143"/>
      <c r="BU150" s="143"/>
    </row>
    <row r="151" spans="1:73" s="73" customFormat="1" ht="15" customHeight="1">
      <c r="A151" s="134"/>
      <c r="B151" s="143"/>
      <c r="C151" s="143"/>
      <c r="D151" s="143"/>
      <c r="E151" s="1619" t="s">
        <v>2953</v>
      </c>
      <c r="F151" s="1227"/>
      <c r="G151" s="124" t="s">
        <v>2930</v>
      </c>
      <c r="H151" s="1227"/>
      <c r="I151" s="170" t="s">
        <v>2954</v>
      </c>
      <c r="J151" s="1227"/>
      <c r="K151" s="170"/>
      <c r="L151" s="1227"/>
      <c r="M151" s="170"/>
      <c r="N151" s="170"/>
      <c r="O151" s="170"/>
      <c r="P151" s="170"/>
      <c r="Q151" s="170"/>
      <c r="R151" s="170"/>
      <c r="S151" s="170"/>
      <c r="T151" s="170"/>
      <c r="U151" s="170"/>
      <c r="V151" s="170"/>
      <c r="W151" s="170"/>
      <c r="X151" s="170"/>
      <c r="Y151" s="1227"/>
      <c r="Z151" s="170"/>
      <c r="AA151" s="170"/>
      <c r="AC151" s="143"/>
      <c r="AD151" s="1236"/>
      <c r="AF151" s="1236"/>
      <c r="AS151" s="1627"/>
      <c r="AT151" s="143"/>
      <c r="AU151" s="143"/>
      <c r="AV151" s="143"/>
      <c r="AW151" s="143"/>
      <c r="AX151" s="143"/>
      <c r="AY151" s="143"/>
      <c r="AZ151" s="143"/>
      <c r="BA151" s="143"/>
      <c r="BB151" s="143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</row>
    <row r="152" spans="1:73" s="73" customFormat="1" ht="15" customHeight="1">
      <c r="A152" s="134"/>
      <c r="B152" s="143"/>
      <c r="C152" s="143"/>
      <c r="D152" s="143"/>
      <c r="E152" s="1122" t="s">
        <v>2947</v>
      </c>
      <c r="F152" s="1424"/>
      <c r="G152" s="124" t="s">
        <v>2930</v>
      </c>
      <c r="H152" s="1424"/>
      <c r="I152" s="170" t="s">
        <v>2955</v>
      </c>
      <c r="J152" s="1424"/>
      <c r="K152" s="170"/>
      <c r="L152" s="1424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424"/>
      <c r="Z152" s="170"/>
      <c r="AA152" s="170"/>
      <c r="AC152" s="143"/>
      <c r="AD152" s="1428"/>
      <c r="AF152" s="1428"/>
      <c r="AS152" s="1627"/>
      <c r="AT152" s="143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143"/>
      <c r="BI152" s="143"/>
      <c r="BJ152" s="143"/>
      <c r="BK152" s="143"/>
      <c r="BL152" s="143"/>
      <c r="BM152" s="143"/>
      <c r="BN152" s="143"/>
      <c r="BO152" s="143"/>
      <c r="BP152" s="143"/>
      <c r="BQ152" s="143"/>
      <c r="BR152" s="143"/>
      <c r="BS152" s="143"/>
      <c r="BT152" s="143"/>
      <c r="BU152" s="143"/>
    </row>
    <row r="153" spans="1:73" s="73" customFormat="1" ht="15" customHeight="1">
      <c r="A153" s="134"/>
      <c r="B153" s="143"/>
      <c r="C153" s="143"/>
      <c r="D153" s="143"/>
      <c r="E153" s="143" t="s">
        <v>2956</v>
      </c>
      <c r="F153" s="1227"/>
      <c r="G153" s="124" t="s">
        <v>2930</v>
      </c>
      <c r="H153" s="1227"/>
      <c r="I153" s="170" t="s">
        <v>2957</v>
      </c>
      <c r="J153" s="1227"/>
      <c r="K153" s="170"/>
      <c r="L153" s="1227"/>
      <c r="M153" s="170"/>
      <c r="N153" s="170"/>
      <c r="O153" s="170"/>
      <c r="P153" s="170"/>
      <c r="Q153" s="170"/>
      <c r="R153" s="170"/>
      <c r="S153" s="170"/>
      <c r="T153" s="170"/>
      <c r="U153" s="170"/>
      <c r="V153" s="170"/>
      <c r="W153" s="170"/>
      <c r="X153" s="170"/>
      <c r="Y153" s="1227"/>
      <c r="Z153" s="170"/>
      <c r="AA153" s="170"/>
      <c r="AC153" s="143"/>
      <c r="AD153" s="1236"/>
      <c r="AF153" s="1236"/>
      <c r="AS153" s="1627"/>
      <c r="AT153" s="143"/>
      <c r="AU153" s="143"/>
      <c r="AV153" s="143"/>
      <c r="AW153" s="143"/>
      <c r="AX153" s="143"/>
      <c r="AY153" s="143"/>
      <c r="AZ153" s="143"/>
      <c r="BA153" s="143"/>
      <c r="BB153" s="143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  <c r="BQ153" s="143"/>
      <c r="BR153" s="143"/>
      <c r="BS153" s="143"/>
      <c r="BT153" s="143"/>
      <c r="BU153" s="143"/>
    </row>
    <row r="154" spans="1:73" s="73" customFormat="1" ht="15" customHeight="1">
      <c r="A154" s="134"/>
      <c r="B154" s="143"/>
      <c r="C154" s="143"/>
      <c r="D154" s="143"/>
      <c r="E154" s="170" t="s">
        <v>400</v>
      </c>
      <c r="F154" s="143"/>
      <c r="G154" s="124" t="s">
        <v>2930</v>
      </c>
      <c r="H154" s="1227"/>
      <c r="I154" s="170" t="s">
        <v>1161</v>
      </c>
      <c r="J154" s="1227"/>
      <c r="K154" s="170"/>
      <c r="L154" s="1227"/>
      <c r="M154" s="170"/>
      <c r="N154" s="170"/>
      <c r="O154" s="170"/>
      <c r="P154" s="170"/>
      <c r="Q154" s="170"/>
      <c r="R154" s="170"/>
      <c r="S154" s="170"/>
      <c r="T154" s="170"/>
      <c r="U154" s="170"/>
      <c r="V154" s="170"/>
      <c r="W154" s="170"/>
      <c r="X154" s="170"/>
      <c r="Y154" s="1227"/>
      <c r="Z154" s="170"/>
      <c r="AA154" s="170"/>
      <c r="AC154" s="143"/>
      <c r="AD154" s="1236"/>
      <c r="AF154" s="1236"/>
      <c r="AS154" s="1627"/>
      <c r="AT154" s="143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</row>
    <row r="155" spans="1:73" s="73" customFormat="1" ht="15" customHeight="1">
      <c r="A155" s="134"/>
      <c r="B155" s="143"/>
      <c r="C155" s="143"/>
      <c r="D155" s="143"/>
      <c r="E155" s="170" t="s">
        <v>401</v>
      </c>
      <c r="F155" s="143"/>
      <c r="G155" s="124" t="s">
        <v>2930</v>
      </c>
      <c r="H155" s="1227"/>
      <c r="I155" s="170" t="s">
        <v>1226</v>
      </c>
      <c r="J155" s="1227"/>
      <c r="K155" s="170"/>
      <c r="L155" s="1227"/>
      <c r="M155" s="170"/>
      <c r="N155" s="170"/>
      <c r="O155" s="170"/>
      <c r="P155" s="170"/>
      <c r="Q155" s="170"/>
      <c r="R155" s="170"/>
      <c r="S155" s="170"/>
      <c r="T155" s="170"/>
      <c r="U155" s="170"/>
      <c r="V155" s="170"/>
      <c r="W155" s="170"/>
      <c r="X155" s="170"/>
      <c r="Y155" s="1227"/>
      <c r="Z155" s="170"/>
      <c r="AA155" s="170"/>
      <c r="AC155" s="143"/>
      <c r="AD155" s="1236"/>
      <c r="AF155" s="1236"/>
      <c r="AS155" s="1627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</row>
    <row r="156" spans="1:73" s="73" customFormat="1" ht="15" customHeight="1">
      <c r="A156" s="134"/>
      <c r="B156" s="143"/>
      <c r="C156" s="143"/>
      <c r="D156" s="143"/>
      <c r="E156" s="170" t="s">
        <v>405</v>
      </c>
      <c r="F156" s="143"/>
      <c r="G156" s="124" t="s">
        <v>2930</v>
      </c>
      <c r="H156" s="1227"/>
      <c r="I156" s="170" t="s">
        <v>407</v>
      </c>
      <c r="J156" s="1227"/>
      <c r="K156" s="170"/>
      <c r="L156" s="1227"/>
      <c r="M156" s="170"/>
      <c r="N156" s="170"/>
      <c r="O156" s="170"/>
      <c r="P156" s="170"/>
      <c r="Q156" s="170"/>
      <c r="R156" s="170"/>
      <c r="S156" s="170"/>
      <c r="T156" s="170"/>
      <c r="U156" s="170"/>
      <c r="V156" s="170"/>
      <c r="W156" s="170"/>
      <c r="X156" s="170"/>
      <c r="Y156" s="1227"/>
      <c r="Z156" s="170"/>
      <c r="AA156" s="170"/>
      <c r="AC156" s="143"/>
      <c r="AD156" s="1236"/>
      <c r="AF156" s="1236"/>
      <c r="AS156" s="1627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  <c r="BQ156" s="143"/>
      <c r="BR156" s="143"/>
      <c r="BS156" s="143"/>
      <c r="BT156" s="143"/>
      <c r="BU156" s="143"/>
    </row>
    <row r="157" spans="1:73" s="73" customFormat="1" ht="15" customHeight="1">
      <c r="A157" s="134"/>
      <c r="B157" s="143"/>
      <c r="C157" s="143"/>
      <c r="D157" s="143"/>
      <c r="E157" s="143"/>
      <c r="F157" s="143"/>
      <c r="G157" s="170"/>
      <c r="H157" s="1227"/>
      <c r="I157" s="170"/>
      <c r="J157" s="1227"/>
      <c r="K157" s="170"/>
      <c r="L157" s="1227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227"/>
      <c r="Z157" s="170"/>
      <c r="AA157" s="170"/>
      <c r="AC157" s="143"/>
      <c r="AD157" s="1236"/>
      <c r="AF157" s="1236"/>
      <c r="AS157" s="1627"/>
      <c r="AT157" s="143"/>
      <c r="AU157" s="143"/>
      <c r="AV157" s="143"/>
      <c r="AW157" s="143"/>
      <c r="AX157" s="143"/>
      <c r="AY157" s="143"/>
      <c r="AZ157" s="143"/>
      <c r="BA157" s="143"/>
      <c r="BB157" s="143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</row>
    <row r="158" spans="1:73" s="73" customFormat="1" ht="15" customHeight="1">
      <c r="A158" s="134"/>
      <c r="B158" s="1177" t="s">
        <v>2466</v>
      </c>
      <c r="C158" s="143" t="s">
        <v>249</v>
      </c>
      <c r="D158" s="136"/>
      <c r="E158" s="147"/>
      <c r="F158" s="136"/>
      <c r="G158" s="136"/>
      <c r="H158" s="136"/>
      <c r="I158" s="170"/>
      <c r="J158" s="170"/>
      <c r="K158" s="170"/>
      <c r="L158" s="170"/>
      <c r="M158" s="1227"/>
      <c r="N158" s="170"/>
      <c r="P158" s="170"/>
      <c r="Q158" s="170"/>
      <c r="R158" s="170"/>
      <c r="S158" s="170"/>
      <c r="T158" s="170"/>
      <c r="U158" s="170"/>
      <c r="V158" s="170"/>
      <c r="X158" s="170"/>
      <c r="Y158" s="1227"/>
      <c r="Z158" s="170"/>
      <c r="AC158" s="143"/>
      <c r="AD158" s="1236"/>
      <c r="AF158" s="1236"/>
      <c r="AR158" s="1529" t="s">
        <v>2907</v>
      </c>
      <c r="AS158" s="1627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3"/>
      <c r="BP158" s="143"/>
      <c r="BQ158" s="143"/>
      <c r="BR158" s="143"/>
      <c r="BS158" s="143"/>
      <c r="BT158" s="143"/>
      <c r="BU158" s="143"/>
    </row>
    <row r="159" spans="1:73" s="73" customFormat="1" ht="20.100000000000001" customHeight="1">
      <c r="A159" s="143"/>
      <c r="B159" s="170"/>
      <c r="C159" s="148" t="s">
        <v>134</v>
      </c>
      <c r="D159" s="141"/>
      <c r="E159" s="148"/>
      <c r="F159" s="148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8" t="s">
        <v>250</v>
      </c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3"/>
      <c r="AD159" s="1236"/>
      <c r="AF159" s="1236"/>
      <c r="AS159" s="1627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/>
      <c r="BS159" s="143"/>
      <c r="BT159" s="143"/>
      <c r="BU159" s="143"/>
    </row>
    <row r="160" spans="1:73" s="73" customFormat="1" ht="20.100000000000001" customHeight="1">
      <c r="A160" s="143"/>
      <c r="B160" s="134"/>
      <c r="C160" s="93" t="s">
        <v>1691</v>
      </c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4" t="s">
        <v>251</v>
      </c>
      <c r="T160" s="93"/>
      <c r="U160" s="93"/>
      <c r="V160" s="93"/>
      <c r="W160" s="93"/>
      <c r="X160" s="93"/>
      <c r="Y160" s="93"/>
      <c r="Z160" s="93"/>
      <c r="AA160" s="93"/>
      <c r="AB160" s="93"/>
      <c r="AC160" s="143"/>
      <c r="AD160" s="1236"/>
      <c r="AF160" s="1236"/>
      <c r="AS160" s="1627"/>
      <c r="AT160" s="143"/>
      <c r="AU160" s="143"/>
      <c r="AV160" s="143"/>
      <c r="AW160" s="143"/>
      <c r="AX160" s="143"/>
      <c r="AY160" s="143"/>
      <c r="AZ160" s="143"/>
      <c r="BA160" s="143"/>
      <c r="BB160" s="143"/>
      <c r="BC160" s="143"/>
      <c r="BD160" s="143"/>
      <c r="BE160" s="143"/>
      <c r="BF160" s="143"/>
      <c r="BG160" s="143"/>
      <c r="BH160" s="143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</row>
    <row r="161" spans="1:73" s="73" customFormat="1" ht="20.100000000000001" customHeight="1">
      <c r="A161" s="143"/>
      <c r="B161" s="170"/>
      <c r="C161" s="110" t="s">
        <v>1692</v>
      </c>
      <c r="D161" s="110"/>
      <c r="E161" s="111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 t="s">
        <v>1693</v>
      </c>
      <c r="T161" s="110"/>
      <c r="U161" s="110"/>
      <c r="V161" s="110"/>
      <c r="W161" s="110"/>
      <c r="X161" s="110"/>
      <c r="Y161" s="110"/>
      <c r="Z161" s="110"/>
      <c r="AA161" s="110"/>
      <c r="AB161" s="110"/>
      <c r="AC161" s="143"/>
      <c r="AD161" s="1236"/>
      <c r="AF161" s="1236"/>
      <c r="AS161" s="1627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</row>
    <row r="162" spans="1:73" s="73" customFormat="1" ht="20.100000000000001" customHeight="1">
      <c r="A162" s="143"/>
      <c r="B162" s="170"/>
      <c r="C162" s="145" t="s">
        <v>1694</v>
      </c>
      <c r="D162" s="145"/>
      <c r="E162" s="149"/>
      <c r="F162" s="145"/>
      <c r="G162" s="145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 t="s">
        <v>1695</v>
      </c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3"/>
      <c r="AD162" s="1236"/>
      <c r="AF162" s="1236"/>
      <c r="AS162" s="1627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  <c r="BQ162" s="143"/>
      <c r="BR162" s="143"/>
      <c r="BS162" s="143"/>
      <c r="BT162" s="143"/>
      <c r="BU162" s="143"/>
    </row>
    <row r="163" spans="1:73" s="73" customFormat="1" ht="15" customHeight="1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70"/>
      <c r="R163" s="170"/>
      <c r="S163" s="170"/>
      <c r="T163" s="170"/>
      <c r="U163" s="170"/>
      <c r="V163" s="170"/>
      <c r="W163" s="170"/>
      <c r="X163" s="170"/>
      <c r="Y163" s="1227"/>
      <c r="Z163" s="170"/>
      <c r="AA163" s="170"/>
      <c r="AC163" s="143"/>
      <c r="AD163" s="1236"/>
      <c r="AF163" s="1236"/>
      <c r="AS163" s="1627"/>
      <c r="AT163" s="143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/>
      <c r="BE163" s="143"/>
      <c r="BF163" s="143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</row>
    <row r="164" spans="1:73" s="73" customFormat="1" ht="15" customHeight="1">
      <c r="A164" s="143"/>
      <c r="B164" s="1177" t="s">
        <v>2466</v>
      </c>
      <c r="C164" s="145" t="s">
        <v>2143</v>
      </c>
      <c r="D164" s="145"/>
      <c r="E164" s="145"/>
      <c r="F164" s="145"/>
      <c r="G164" s="145"/>
      <c r="H164" s="145"/>
      <c r="I164" s="145"/>
      <c r="J164" s="145"/>
      <c r="K164" s="145"/>
      <c r="L164" s="145"/>
      <c r="M164" s="1231"/>
      <c r="N164" s="145"/>
      <c r="O164" s="170"/>
      <c r="P164" s="170"/>
      <c r="Q164" s="170"/>
      <c r="R164" s="170"/>
      <c r="S164" s="170"/>
      <c r="T164" s="170"/>
      <c r="U164" s="170"/>
      <c r="V164" s="170"/>
      <c r="W164" s="170"/>
      <c r="X164" s="170"/>
      <c r="Y164" s="1227"/>
      <c r="Z164" s="170"/>
      <c r="AA164" s="170"/>
      <c r="AC164" s="143"/>
      <c r="AD164" s="1236"/>
      <c r="AF164" s="1236"/>
      <c r="AS164" s="1627"/>
      <c r="AT164" s="143"/>
      <c r="AU164" s="143"/>
      <c r="AV164" s="143"/>
      <c r="AW164" s="143"/>
      <c r="AX164" s="143"/>
      <c r="AY164" s="143"/>
      <c r="AZ164" s="143"/>
      <c r="BA164" s="143"/>
      <c r="BB164" s="143"/>
      <c r="BC164" s="143"/>
      <c r="BD164" s="143"/>
      <c r="BE164" s="143"/>
      <c r="BF164" s="143"/>
      <c r="BG164" s="143"/>
      <c r="BH164" s="143"/>
      <c r="BI164" s="143"/>
      <c r="BJ164" s="143"/>
      <c r="BK164" s="143"/>
      <c r="BL164" s="143"/>
      <c r="BM164" s="143"/>
      <c r="BN164" s="143"/>
      <c r="BO164" s="143"/>
      <c r="BP164" s="143"/>
      <c r="BQ164" s="143"/>
      <c r="BR164" s="143"/>
      <c r="BS164" s="143"/>
      <c r="BT164" s="143"/>
      <c r="BU164" s="143"/>
    </row>
    <row r="165" spans="1:73" s="73" customFormat="1" ht="20.100000000000001" customHeight="1">
      <c r="A165" s="143"/>
      <c r="B165" s="170"/>
      <c r="C165" s="148" t="s">
        <v>134</v>
      </c>
      <c r="D165" s="148"/>
      <c r="E165" s="141"/>
      <c r="F165" s="141"/>
      <c r="G165" s="141"/>
      <c r="H165" s="141"/>
      <c r="I165" s="141"/>
      <c r="J165" s="141"/>
      <c r="K165" s="141"/>
      <c r="L165" s="148" t="s">
        <v>129</v>
      </c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8" t="s">
        <v>252</v>
      </c>
      <c r="Z165" s="141"/>
      <c r="AA165" s="141"/>
      <c r="AB165" s="141"/>
      <c r="AC165" s="141"/>
      <c r="AD165" s="141"/>
      <c r="AE165" s="141"/>
      <c r="AF165" s="141"/>
      <c r="AG165" s="141"/>
      <c r="AH165" s="141"/>
      <c r="AS165" s="1627"/>
      <c r="AT165" s="143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143"/>
      <c r="BQ165" s="143"/>
      <c r="BR165" s="143"/>
      <c r="BS165" s="143"/>
      <c r="BT165" s="143"/>
      <c r="BU165" s="143"/>
    </row>
    <row r="166" spans="1:73" ht="20.100000000000001" customHeight="1">
      <c r="B166" s="170"/>
      <c r="C166" s="146" t="s">
        <v>253</v>
      </c>
      <c r="D166" s="146"/>
      <c r="E166" s="146"/>
      <c r="F166" s="146"/>
      <c r="G166" s="146"/>
      <c r="H166" s="146"/>
      <c r="I166" s="146"/>
      <c r="J166" s="146"/>
      <c r="K166" s="146"/>
      <c r="L166" s="2207">
        <v>4</v>
      </c>
      <c r="M166" s="2207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2240">
        <v>5.34</v>
      </c>
      <c r="Z166" s="2240"/>
      <c r="AA166" s="2240"/>
      <c r="AB166" s="146"/>
      <c r="AC166" s="146"/>
      <c r="AD166" s="146"/>
      <c r="AE166" s="146"/>
      <c r="AF166" s="146"/>
      <c r="AG166" s="146"/>
      <c r="AH166" s="146"/>
    </row>
    <row r="167" spans="1:73" ht="20.100000000000001" customHeight="1">
      <c r="B167" s="170"/>
      <c r="C167" s="115" t="s">
        <v>255</v>
      </c>
      <c r="D167" s="115"/>
      <c r="E167" s="170"/>
      <c r="F167" s="170"/>
      <c r="G167" s="170"/>
      <c r="H167" s="170" t="s">
        <v>214</v>
      </c>
      <c r="I167" s="170"/>
      <c r="J167" s="170"/>
      <c r="K167" s="170"/>
      <c r="L167" s="170" t="s">
        <v>1696</v>
      </c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333" t="s">
        <v>2958</v>
      </c>
      <c r="Y167" s="1333"/>
      <c r="Z167" s="1333"/>
      <c r="AA167" s="1333"/>
      <c r="AB167" s="1333"/>
      <c r="AC167" s="1333"/>
      <c r="AD167" s="1458"/>
      <c r="AE167" s="1437"/>
      <c r="AF167" s="2149" t="s">
        <v>2960</v>
      </c>
      <c r="AG167" s="2149"/>
      <c r="AH167" s="2149"/>
    </row>
    <row r="168" spans="1:73" ht="20.100000000000001" customHeight="1">
      <c r="B168" s="134"/>
      <c r="C168" s="1620"/>
      <c r="D168" s="1620"/>
      <c r="E168" s="1333"/>
      <c r="F168" s="1333"/>
      <c r="G168" s="1333"/>
      <c r="H168" s="1333" t="s">
        <v>256</v>
      </c>
      <c r="I168" s="1333"/>
      <c r="J168" s="1333"/>
      <c r="K168" s="1333"/>
      <c r="L168" s="1333" t="s">
        <v>1697</v>
      </c>
      <c r="M168" s="1333"/>
      <c r="N168" s="1333"/>
      <c r="O168" s="1333"/>
      <c r="P168" s="1333"/>
      <c r="Q168" s="1333"/>
      <c r="R168" s="1333"/>
      <c r="S168" s="1333"/>
      <c r="T168" s="1333"/>
      <c r="U168" s="1333"/>
      <c r="V168" s="1333"/>
      <c r="W168" s="1333"/>
      <c r="X168" s="1333"/>
      <c r="Y168" s="1333"/>
      <c r="Z168" s="1333"/>
      <c r="AA168" s="1333" t="s">
        <v>2959</v>
      </c>
      <c r="AB168" s="1333"/>
      <c r="AC168" s="1333"/>
      <c r="AD168" s="1458"/>
      <c r="AE168" s="1437"/>
      <c r="AF168" s="2149"/>
      <c r="AG168" s="2149"/>
      <c r="AH168" s="2149"/>
    </row>
    <row r="169" spans="1:73" ht="15" customHeight="1">
      <c r="A169" s="170"/>
      <c r="D169" s="170"/>
      <c r="E169" s="115" t="s">
        <v>332</v>
      </c>
      <c r="F169" s="170"/>
      <c r="G169" s="1423" t="s">
        <v>2930</v>
      </c>
      <c r="H169" s="170"/>
      <c r="I169" s="115" t="s">
        <v>2962</v>
      </c>
      <c r="K169" s="170"/>
      <c r="L169" s="1227"/>
      <c r="M169" s="170"/>
      <c r="N169" s="170"/>
      <c r="O169" s="170"/>
      <c r="P169" s="1227"/>
      <c r="Q169" s="1227"/>
      <c r="R169" s="1227"/>
      <c r="S169" s="1227"/>
      <c r="T169" s="1227"/>
      <c r="U169" s="1227"/>
      <c r="V169" s="1227"/>
      <c r="W169" s="1227"/>
      <c r="X169" s="1227"/>
      <c r="Y169" s="1227"/>
      <c r="Z169" s="170"/>
      <c r="AA169" s="170"/>
      <c r="AD169" s="1236"/>
      <c r="AF169" s="1236"/>
    </row>
    <row r="170" spans="1:73" ht="15" customHeight="1">
      <c r="A170" s="170"/>
      <c r="D170" s="170"/>
      <c r="E170" s="1228" t="s">
        <v>2961</v>
      </c>
      <c r="F170" s="170"/>
      <c r="G170" s="1423" t="s">
        <v>2930</v>
      </c>
      <c r="H170" s="170"/>
      <c r="I170" s="1425" t="s">
        <v>2963</v>
      </c>
      <c r="J170" s="170"/>
      <c r="K170" s="170"/>
      <c r="L170" s="1227"/>
      <c r="M170" s="170"/>
      <c r="N170" s="170"/>
      <c r="O170" s="170"/>
      <c r="P170" s="170"/>
      <c r="Q170" s="170"/>
      <c r="R170" s="170"/>
      <c r="S170" s="170"/>
      <c r="T170" s="170"/>
      <c r="U170" s="170"/>
      <c r="V170" s="170"/>
      <c r="W170" s="170"/>
      <c r="X170" s="170"/>
      <c r="Y170" s="1227"/>
      <c r="Z170" s="170"/>
      <c r="AA170" s="170"/>
      <c r="AD170" s="1236"/>
      <c r="AF170" s="1236"/>
    </row>
    <row r="171" spans="1:73" ht="15" customHeight="1">
      <c r="A171" s="170"/>
      <c r="C171" s="1228"/>
      <c r="D171" s="170"/>
      <c r="E171" s="170"/>
      <c r="F171" s="170"/>
      <c r="G171" s="100"/>
      <c r="H171" s="170"/>
      <c r="I171" s="170"/>
      <c r="J171" s="170"/>
      <c r="K171" s="170"/>
      <c r="L171" s="1227"/>
      <c r="M171" s="170"/>
      <c r="N171" s="170"/>
      <c r="O171" s="170"/>
      <c r="P171" s="170"/>
      <c r="Q171" s="170"/>
      <c r="R171" s="170"/>
      <c r="S171" s="170"/>
      <c r="T171" s="170"/>
      <c r="U171" s="170"/>
      <c r="V171" s="170"/>
      <c r="W171" s="170"/>
      <c r="X171" s="170"/>
      <c r="Y171" s="1227"/>
      <c r="Z171" s="170"/>
      <c r="AA171" s="170"/>
      <c r="AD171" s="1236"/>
      <c r="AF171" s="1236"/>
    </row>
    <row r="172" spans="1:73" ht="15" customHeight="1">
      <c r="A172" s="134"/>
      <c r="B172" s="207" t="s">
        <v>449</v>
      </c>
      <c r="C172" s="136"/>
      <c r="D172" s="136"/>
      <c r="E172" s="136"/>
      <c r="F172" s="136"/>
      <c r="G172" s="136"/>
      <c r="H172" s="170"/>
      <c r="I172" s="170"/>
      <c r="J172" s="170"/>
      <c r="K172" s="170"/>
      <c r="L172" s="1227"/>
      <c r="M172" s="170"/>
      <c r="N172" s="170"/>
      <c r="P172" s="170"/>
      <c r="Q172" s="170"/>
      <c r="R172" s="170"/>
      <c r="S172" s="170"/>
      <c r="T172" s="170"/>
      <c r="U172" s="170"/>
      <c r="V172" s="170"/>
      <c r="W172" s="170"/>
      <c r="X172" s="170"/>
      <c r="Y172" s="1227"/>
      <c r="AD172" s="1236"/>
      <c r="AF172" s="1236"/>
      <c r="AR172" s="1529" t="s">
        <v>2908</v>
      </c>
    </row>
    <row r="173" spans="1:73" ht="15" customHeight="1" thickBot="1">
      <c r="A173" s="134"/>
      <c r="B173" s="207"/>
      <c r="C173" s="136"/>
      <c r="D173" s="136"/>
      <c r="E173" s="136"/>
      <c r="F173" s="136"/>
      <c r="G173" s="136"/>
      <c r="H173" s="170"/>
      <c r="I173" s="170"/>
      <c r="J173" s="170"/>
      <c r="K173" s="170"/>
      <c r="L173" s="1227"/>
      <c r="M173" s="170"/>
      <c r="N173" s="170"/>
      <c r="O173" s="170"/>
      <c r="P173" s="170"/>
      <c r="Q173" s="170"/>
      <c r="R173" s="170"/>
      <c r="S173" s="170"/>
      <c r="T173" s="170"/>
      <c r="U173" s="170"/>
      <c r="V173" s="170"/>
      <c r="W173" s="170"/>
      <c r="X173" s="170"/>
      <c r="Y173" s="1227"/>
      <c r="Z173" s="170"/>
      <c r="AA173" s="108"/>
      <c r="AD173" s="1236"/>
      <c r="AF173" s="1236"/>
    </row>
    <row r="174" spans="1:73" ht="20.100000000000001" customHeight="1" thickBot="1">
      <c r="A174" s="206"/>
      <c r="B174" s="96"/>
      <c r="C174" s="1268"/>
      <c r="D174" s="1269"/>
      <c r="E174" s="1269"/>
      <c r="F174" s="1269"/>
      <c r="G174" s="1288" t="s">
        <v>1667</v>
      </c>
      <c r="H174" s="1269"/>
      <c r="I174" s="1269"/>
      <c r="J174" s="1269"/>
      <c r="K174" s="1271"/>
      <c r="L174" s="1272"/>
      <c r="M174" s="1271"/>
      <c r="N174" s="1271"/>
      <c r="O174" s="1271"/>
      <c r="P174" s="1273"/>
      <c r="Q174" s="170"/>
      <c r="R174" s="170"/>
      <c r="S174" s="170"/>
      <c r="X174" s="170"/>
      <c r="Y174" s="1227"/>
      <c r="Z174" s="170"/>
      <c r="AD174" s="1236"/>
      <c r="AF174" s="1236"/>
      <c r="AJ174" s="505"/>
      <c r="AM174" s="76"/>
    </row>
    <row r="175" spans="1:73" ht="15" customHeight="1">
      <c r="A175" s="134"/>
      <c r="B175" s="207"/>
      <c r="C175" s="223" t="s">
        <v>444</v>
      </c>
      <c r="D175" s="136"/>
      <c r="E175" s="136"/>
      <c r="F175" s="136"/>
      <c r="G175" s="136"/>
      <c r="H175" s="170"/>
      <c r="I175" s="170"/>
      <c r="J175" s="170"/>
      <c r="K175" s="170"/>
      <c r="L175" s="1227"/>
      <c r="M175" s="170"/>
      <c r="N175" s="170"/>
      <c r="O175" s="170"/>
      <c r="P175" s="170"/>
      <c r="Q175" s="170"/>
      <c r="R175" s="170"/>
      <c r="S175" s="170"/>
      <c r="T175" s="170"/>
      <c r="U175" s="170"/>
      <c r="V175" s="170"/>
      <c r="W175" s="170"/>
      <c r="X175" s="170"/>
      <c r="Y175" s="1227"/>
      <c r="Z175" s="170"/>
      <c r="AA175" s="108"/>
      <c r="AD175" s="1236"/>
      <c r="AF175" s="1236"/>
    </row>
    <row r="176" spans="1:73" ht="15" customHeight="1">
      <c r="A176" s="134"/>
      <c r="B176" s="207"/>
      <c r="D176" s="136"/>
      <c r="E176" s="136"/>
      <c r="F176" s="136"/>
      <c r="G176" s="136"/>
      <c r="H176" s="170"/>
      <c r="I176" s="170"/>
      <c r="J176" s="170"/>
      <c r="K176" s="170"/>
      <c r="L176" s="1227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227"/>
      <c r="Z176" s="170"/>
      <c r="AA176" s="108"/>
      <c r="AD176" s="1236"/>
      <c r="AF176" s="1236"/>
    </row>
    <row r="177" spans="1:73" ht="15" customHeight="1">
      <c r="A177" s="134"/>
      <c r="B177" s="1177" t="s">
        <v>2466</v>
      </c>
      <c r="C177" s="1229" t="s">
        <v>438</v>
      </c>
      <c r="D177" s="136"/>
      <c r="E177" s="136"/>
      <c r="F177" s="136"/>
      <c r="G177" s="136"/>
      <c r="H177" s="170"/>
      <c r="I177" s="170"/>
      <c r="J177" s="170"/>
      <c r="K177" s="170"/>
      <c r="L177" s="1227"/>
      <c r="M177" s="170"/>
      <c r="N177" s="170"/>
      <c r="O177" s="170"/>
      <c r="P177" s="170"/>
      <c r="Q177" s="170"/>
      <c r="R177" s="170"/>
      <c r="S177" s="170"/>
      <c r="T177" s="170"/>
      <c r="U177" s="170"/>
      <c r="V177" s="170"/>
      <c r="W177" s="170"/>
      <c r="X177" s="170"/>
      <c r="Y177" s="1227"/>
      <c r="Z177" s="170"/>
      <c r="AA177" s="108"/>
      <c r="AD177" s="1236"/>
      <c r="AF177" s="1236"/>
    </row>
    <row r="178" spans="1:73" ht="15" customHeight="1">
      <c r="A178" s="134"/>
      <c r="B178" s="207"/>
      <c r="C178" s="1242" t="s">
        <v>134</v>
      </c>
      <c r="D178" s="1242"/>
      <c r="E178" s="1242"/>
      <c r="F178" s="1242"/>
      <c r="G178" s="1242"/>
      <c r="H178" s="1242"/>
      <c r="I178" s="1242"/>
      <c r="J178" s="1242"/>
      <c r="K178" s="1242"/>
      <c r="L178" s="1242"/>
      <c r="M178" s="1242"/>
      <c r="N178" s="1242"/>
      <c r="O178" s="1242"/>
      <c r="P178" s="1242"/>
      <c r="Q178" s="1242"/>
      <c r="R178" s="1242" t="s">
        <v>439</v>
      </c>
      <c r="S178" s="1242"/>
      <c r="T178" s="1242"/>
      <c r="U178" s="1242"/>
      <c r="V178" s="1242"/>
      <c r="W178" s="1242"/>
      <c r="X178" s="1242"/>
      <c r="Y178" s="1242"/>
      <c r="Z178" s="1242"/>
      <c r="AA178" s="1242"/>
      <c r="AB178" s="1242"/>
      <c r="AC178" s="1428"/>
      <c r="AD178" s="1236"/>
      <c r="AF178" s="1236"/>
    </row>
    <row r="179" spans="1:73" ht="15" customHeight="1">
      <c r="A179" s="134"/>
      <c r="B179" s="207"/>
      <c r="C179" s="2175" t="s">
        <v>440</v>
      </c>
      <c r="D179" s="2175"/>
      <c r="E179" s="1862" t="s">
        <v>1701</v>
      </c>
      <c r="F179" s="1862"/>
      <c r="G179" s="1862"/>
      <c r="H179" s="1862"/>
      <c r="I179" s="1862"/>
      <c r="J179" s="170"/>
      <c r="K179" s="170"/>
      <c r="L179" s="1227"/>
      <c r="M179" s="170"/>
      <c r="N179" s="170"/>
      <c r="O179" s="170"/>
      <c r="P179" s="170"/>
      <c r="Q179" s="170"/>
      <c r="R179" s="2114" t="s">
        <v>442</v>
      </c>
      <c r="S179" s="2114"/>
      <c r="T179" s="2114"/>
      <c r="U179" s="2114"/>
      <c r="V179" s="2114"/>
      <c r="W179" s="2114"/>
      <c r="X179" s="2114"/>
      <c r="Y179" s="2114"/>
      <c r="Z179" s="2114"/>
      <c r="AA179" s="2114"/>
      <c r="AB179" s="2114"/>
      <c r="AC179" s="1428"/>
      <c r="AD179" s="1236"/>
      <c r="AF179" s="1236"/>
    </row>
    <row r="180" spans="1:73" ht="15" customHeight="1">
      <c r="A180" s="134"/>
      <c r="B180" s="207"/>
      <c r="C180" s="1862" t="s">
        <v>359</v>
      </c>
      <c r="D180" s="1862"/>
      <c r="E180" s="1862"/>
      <c r="F180" s="1862"/>
      <c r="G180" s="1862"/>
      <c r="H180" s="1862"/>
      <c r="I180" s="1862"/>
      <c r="J180" s="170"/>
      <c r="K180" s="170"/>
      <c r="L180" s="1227"/>
      <c r="M180" s="170"/>
      <c r="N180" s="170"/>
      <c r="O180" s="170"/>
      <c r="P180" s="170"/>
      <c r="Q180" s="170"/>
      <c r="R180" s="1870"/>
      <c r="S180" s="1870"/>
      <c r="T180" s="1870"/>
      <c r="U180" s="1870"/>
      <c r="V180" s="1870"/>
      <c r="W180" s="1870"/>
      <c r="X180" s="1870"/>
      <c r="Y180" s="1870"/>
      <c r="Z180" s="1870"/>
      <c r="AA180" s="1870"/>
      <c r="AB180" s="1870"/>
      <c r="AC180" s="1428"/>
      <c r="AD180" s="1236"/>
      <c r="AF180" s="1236"/>
    </row>
    <row r="181" spans="1:73" ht="15" customHeight="1">
      <c r="A181" s="134"/>
      <c r="B181" s="207"/>
      <c r="C181" s="1940" t="s">
        <v>440</v>
      </c>
      <c r="D181" s="1940"/>
      <c r="E181" s="1862" t="s">
        <v>1702</v>
      </c>
      <c r="F181" s="1862"/>
      <c r="G181" s="1862"/>
      <c r="H181" s="1862"/>
      <c r="I181" s="1862"/>
      <c r="J181" s="170"/>
      <c r="K181" s="170"/>
      <c r="L181" s="1227"/>
      <c r="M181" s="170"/>
      <c r="N181" s="170"/>
      <c r="O181" s="170"/>
      <c r="P181" s="170"/>
      <c r="Q181" s="170"/>
      <c r="R181" s="1870" t="s">
        <v>443</v>
      </c>
      <c r="S181" s="1870"/>
      <c r="T181" s="1870"/>
      <c r="U181" s="1870"/>
      <c r="V181" s="1870"/>
      <c r="W181" s="1870"/>
      <c r="X181" s="1870"/>
      <c r="Y181" s="1870"/>
      <c r="Z181" s="1870"/>
      <c r="AA181" s="1870"/>
      <c r="AB181" s="1870"/>
      <c r="AC181" s="1428"/>
      <c r="AD181" s="1236"/>
      <c r="AF181" s="1236"/>
    </row>
    <row r="182" spans="1:73" ht="15" customHeight="1">
      <c r="A182" s="134"/>
      <c r="B182" s="207"/>
      <c r="C182" s="1940" t="s">
        <v>359</v>
      </c>
      <c r="D182" s="1940"/>
      <c r="E182" s="1940"/>
      <c r="F182" s="1940"/>
      <c r="G182" s="1940"/>
      <c r="H182" s="1940"/>
      <c r="I182" s="1940"/>
      <c r="J182" s="145"/>
      <c r="K182" s="145"/>
      <c r="L182" s="1231"/>
      <c r="M182" s="145"/>
      <c r="N182" s="145"/>
      <c r="O182" s="145"/>
      <c r="P182" s="145"/>
      <c r="Q182" s="145"/>
      <c r="R182" s="2130"/>
      <c r="S182" s="2130"/>
      <c r="T182" s="2130"/>
      <c r="U182" s="2130"/>
      <c r="V182" s="2130"/>
      <c r="W182" s="2130"/>
      <c r="X182" s="2130"/>
      <c r="Y182" s="2130"/>
      <c r="Z182" s="2130"/>
      <c r="AA182" s="2130"/>
      <c r="AB182" s="2130"/>
      <c r="AC182" s="1428"/>
      <c r="AD182" s="1236"/>
      <c r="AF182" s="1236"/>
    </row>
    <row r="183" spans="1:73" s="73" customFormat="1" ht="15" customHeight="1">
      <c r="A183" s="134"/>
      <c r="B183" s="207"/>
      <c r="C183" s="215"/>
      <c r="D183" s="136"/>
      <c r="E183" s="136"/>
      <c r="F183" s="136"/>
      <c r="G183" s="136"/>
      <c r="H183" s="170"/>
      <c r="I183" s="170"/>
      <c r="J183" s="170"/>
      <c r="K183" s="170"/>
      <c r="L183" s="1227"/>
      <c r="M183" s="170"/>
      <c r="N183" s="170"/>
      <c r="O183" s="170"/>
      <c r="P183" s="170"/>
      <c r="Q183" s="170"/>
      <c r="R183" s="170"/>
      <c r="S183" s="170"/>
      <c r="Y183" s="1227"/>
      <c r="Z183" s="170"/>
      <c r="AA183" s="108"/>
      <c r="AC183" s="143"/>
      <c r="AD183" s="1236"/>
      <c r="AF183" s="1236"/>
      <c r="AS183" s="1627"/>
      <c r="AT183" s="143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/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  <c r="BQ183" s="143"/>
      <c r="BR183" s="143"/>
      <c r="BS183" s="143"/>
      <c r="BT183" s="143"/>
      <c r="BU183" s="143"/>
    </row>
    <row r="184" spans="1:73" s="73" customFormat="1" ht="15" customHeight="1">
      <c r="A184" s="134"/>
      <c r="B184" s="207"/>
      <c r="C184" s="218" t="s">
        <v>323</v>
      </c>
      <c r="D184" s="136"/>
      <c r="E184" s="136"/>
      <c r="F184" s="136"/>
      <c r="G184" s="136"/>
      <c r="H184" s="170"/>
      <c r="I184" s="170"/>
      <c r="J184" s="170"/>
      <c r="K184" s="170"/>
      <c r="L184" s="1227"/>
      <c r="M184" s="170"/>
      <c r="N184" s="170"/>
      <c r="O184" s="170"/>
      <c r="P184" s="170"/>
      <c r="Q184" s="170"/>
      <c r="R184" s="170"/>
      <c r="S184" s="170"/>
      <c r="Y184" s="1227"/>
      <c r="Z184" s="170"/>
      <c r="AA184" s="108"/>
      <c r="AC184" s="143"/>
      <c r="AD184" s="1236"/>
      <c r="AF184" s="1236"/>
      <c r="AS184" s="1627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</row>
    <row r="185" spans="1:73" s="73" customFormat="1" ht="15" customHeight="1">
      <c r="A185" s="134"/>
      <c r="B185" s="207"/>
      <c r="C185" s="1938" t="s">
        <v>258</v>
      </c>
      <c r="D185" s="1938"/>
      <c r="E185" s="1940" t="s">
        <v>259</v>
      </c>
      <c r="F185" s="1940"/>
      <c r="G185" s="1940"/>
      <c r="I185" s="2121" t="s">
        <v>1703</v>
      </c>
      <c r="J185" s="2121"/>
      <c r="K185" s="2121"/>
      <c r="L185" s="2121"/>
      <c r="M185" s="2121"/>
      <c r="N185" s="2121"/>
      <c r="O185" s="2121"/>
      <c r="P185" s="2121"/>
      <c r="Q185" s="2121"/>
      <c r="R185" s="2121"/>
      <c r="S185" s="2121"/>
      <c r="Y185" s="143"/>
      <c r="Z185" s="143"/>
      <c r="AA185" s="143"/>
      <c r="AS185" s="1627"/>
      <c r="AT185" s="143"/>
      <c r="AU185" s="143"/>
      <c r="AV185" s="143"/>
      <c r="AW185" s="143"/>
      <c r="AX185" s="143"/>
      <c r="AY185" s="143"/>
      <c r="AZ185" s="143"/>
      <c r="BA185" s="143"/>
      <c r="BB185" s="143"/>
      <c r="BC185" s="143"/>
      <c r="BD185" s="143"/>
      <c r="BE185" s="143"/>
      <c r="BF185" s="143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143"/>
      <c r="BQ185" s="143"/>
      <c r="BR185" s="143"/>
      <c r="BS185" s="143"/>
      <c r="BT185" s="143"/>
      <c r="BU185" s="143"/>
    </row>
    <row r="186" spans="1:73" s="73" customFormat="1" ht="15" customHeight="1">
      <c r="A186" s="88"/>
      <c r="B186" s="95"/>
      <c r="C186" s="1938"/>
      <c r="D186" s="1938"/>
      <c r="E186" s="1862" t="s">
        <v>261</v>
      </c>
      <c r="F186" s="1862"/>
      <c r="G186" s="1862"/>
      <c r="I186" s="2121"/>
      <c r="J186" s="2121"/>
      <c r="K186" s="2121"/>
      <c r="L186" s="2121"/>
      <c r="M186" s="2121"/>
      <c r="N186" s="2121"/>
      <c r="O186" s="2121"/>
      <c r="P186" s="2121"/>
      <c r="Q186" s="2121"/>
      <c r="R186" s="2121"/>
      <c r="S186" s="2121"/>
      <c r="Y186" s="143"/>
      <c r="Z186" s="143"/>
      <c r="AA186" s="143"/>
      <c r="AS186" s="1627"/>
      <c r="AT186" s="143"/>
      <c r="AU186" s="143"/>
      <c r="AV186" s="143"/>
      <c r="AW186" s="143"/>
      <c r="AX186" s="143"/>
      <c r="AY186" s="143"/>
      <c r="AZ186" s="143"/>
      <c r="BA186" s="143"/>
      <c r="BB186" s="143"/>
      <c r="BC186" s="143"/>
      <c r="BD186" s="143"/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  <c r="BQ186" s="143"/>
      <c r="BR186" s="143"/>
      <c r="BS186" s="143"/>
      <c r="BT186" s="143"/>
      <c r="BU186" s="143"/>
    </row>
    <row r="187" spans="1:73" s="73" customFormat="1" ht="15" customHeight="1">
      <c r="A187" s="88"/>
      <c r="B187" s="95"/>
      <c r="C187" s="1230"/>
      <c r="D187" s="1230"/>
      <c r="E187" s="1227"/>
      <c r="F187" s="1227"/>
      <c r="G187" s="1230"/>
      <c r="H187" s="1230"/>
      <c r="I187" s="1230"/>
      <c r="J187" s="1230"/>
      <c r="K187" s="1230"/>
      <c r="L187" s="1230"/>
      <c r="M187" s="1230"/>
      <c r="N187" s="143"/>
      <c r="O187" s="170"/>
      <c r="P187" s="170"/>
      <c r="Q187" s="170"/>
      <c r="R187" s="170"/>
      <c r="S187" s="170"/>
      <c r="T187" s="170"/>
      <c r="U187" s="143"/>
      <c r="V187" s="143"/>
      <c r="W187" s="143"/>
      <c r="X187" s="143"/>
      <c r="Y187" s="143"/>
      <c r="Z187" s="143"/>
      <c r="AA187" s="143"/>
      <c r="AC187" s="143"/>
      <c r="AF187" s="1236"/>
      <c r="AS187" s="1627"/>
      <c r="AT187" s="143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</row>
    <row r="188" spans="1:73" s="73" customFormat="1" ht="15" customHeight="1">
      <c r="A188" s="170"/>
      <c r="B188" s="1177" t="s">
        <v>2466</v>
      </c>
      <c r="C188" s="170" t="s">
        <v>2144</v>
      </c>
      <c r="D188" s="334"/>
      <c r="E188" s="334"/>
      <c r="F188" s="334"/>
      <c r="G188" s="334"/>
      <c r="H188" s="334"/>
      <c r="I188" s="334"/>
      <c r="J188" s="170"/>
      <c r="K188" s="170"/>
      <c r="L188" s="170"/>
      <c r="M188" s="1227"/>
      <c r="N188" s="170"/>
      <c r="O188" s="143"/>
      <c r="P188" s="170"/>
      <c r="Q188" s="170"/>
      <c r="R188" s="170"/>
      <c r="S188" s="143"/>
      <c r="T188" s="143"/>
      <c r="U188" s="143"/>
      <c r="V188" s="143"/>
      <c r="W188" s="143"/>
      <c r="X188" s="170"/>
      <c r="Y188" s="1227"/>
      <c r="Z188" s="170"/>
      <c r="AA188" s="170"/>
      <c r="AC188" s="143"/>
      <c r="AD188" s="1236"/>
      <c r="AF188" s="1236"/>
      <c r="AS188" s="1627"/>
      <c r="AT188" s="143"/>
      <c r="AU188" s="143"/>
      <c r="AV188" s="143"/>
      <c r="AW188" s="143"/>
      <c r="AX188" s="143"/>
      <c r="AY188" s="143"/>
      <c r="AZ188" s="143"/>
      <c r="BA188" s="143"/>
      <c r="BB188" s="143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</row>
    <row r="189" spans="1:73" s="73" customFormat="1" ht="15" customHeight="1">
      <c r="A189" s="170"/>
      <c r="B189" s="134"/>
      <c r="C189" s="170"/>
      <c r="D189" s="334"/>
      <c r="E189" s="334"/>
      <c r="F189" s="334"/>
      <c r="G189" s="334"/>
      <c r="H189" s="334"/>
      <c r="I189" s="334"/>
      <c r="J189" s="170"/>
      <c r="K189" s="170"/>
      <c r="L189" s="170"/>
      <c r="M189" s="1227"/>
      <c r="N189" s="170"/>
      <c r="O189" s="143"/>
      <c r="P189" s="170"/>
      <c r="Q189" s="170"/>
      <c r="R189" s="170"/>
      <c r="S189" s="143"/>
      <c r="T189" s="143"/>
      <c r="U189" s="143"/>
      <c r="V189" s="143"/>
      <c r="W189" s="143"/>
      <c r="X189" s="170"/>
      <c r="Y189" s="1227"/>
      <c r="Z189" s="170"/>
      <c r="AA189" s="170"/>
      <c r="AC189" s="143"/>
      <c r="AD189" s="1236"/>
      <c r="AF189" s="1236"/>
      <c r="AS189" s="1627"/>
      <c r="AT189" s="143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  <c r="BQ189" s="143"/>
      <c r="BR189" s="143"/>
      <c r="BS189" s="143"/>
      <c r="BT189" s="143"/>
      <c r="BU189" s="143"/>
    </row>
    <row r="190" spans="1:73" s="73" customFormat="1" ht="15" customHeight="1">
      <c r="A190" s="170"/>
      <c r="B190" s="134"/>
      <c r="C190" s="115" t="s">
        <v>2249</v>
      </c>
      <c r="D190" s="1126"/>
      <c r="E190" s="1126"/>
      <c r="F190" s="1126"/>
      <c r="H190" s="334"/>
      <c r="I190" s="334"/>
      <c r="J190" s="170"/>
      <c r="K190" s="170"/>
      <c r="M190" s="115" t="s">
        <v>2248</v>
      </c>
      <c r="N190" s="170"/>
      <c r="O190" s="143"/>
      <c r="Q190" s="170"/>
      <c r="R190" s="170"/>
      <c r="S190" s="143"/>
      <c r="T190" s="143"/>
      <c r="U190" s="143"/>
      <c r="V190" s="143"/>
      <c r="W190" s="143"/>
      <c r="X190" s="170"/>
      <c r="Y190" s="1227"/>
      <c r="Z190" s="170"/>
      <c r="AA190" s="170"/>
      <c r="AC190" s="143"/>
      <c r="AD190" s="1236"/>
      <c r="AF190" s="1236"/>
      <c r="AS190" s="1627"/>
      <c r="AT190" s="143"/>
      <c r="AU190" s="143"/>
      <c r="AV190" s="143"/>
      <c r="AW190" s="143"/>
      <c r="AX190" s="143"/>
      <c r="AY190" s="143"/>
      <c r="AZ190" s="143"/>
      <c r="BA190" s="143"/>
      <c r="BB190" s="143"/>
      <c r="BC190" s="143"/>
      <c r="BD190" s="143"/>
      <c r="BE190" s="143"/>
      <c r="BF190" s="143"/>
      <c r="BG190" s="143"/>
      <c r="BH190" s="143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</row>
    <row r="191" spans="1:73" s="73" customFormat="1" ht="15" customHeight="1">
      <c r="A191" s="170"/>
      <c r="B191" s="134"/>
      <c r="C191" s="115"/>
      <c r="D191" s="1126"/>
      <c r="E191" s="1126"/>
      <c r="F191" s="1126"/>
      <c r="G191" s="115"/>
      <c r="H191" s="334"/>
      <c r="I191" s="334"/>
      <c r="J191" s="170"/>
      <c r="K191" s="170"/>
      <c r="L191" s="170"/>
      <c r="M191" s="1227"/>
      <c r="N191" s="170"/>
      <c r="O191" s="143"/>
      <c r="P191" s="170"/>
      <c r="Q191" s="170"/>
      <c r="R191" s="170"/>
      <c r="S191" s="143"/>
      <c r="T191" s="143"/>
      <c r="U191" s="143"/>
      <c r="V191" s="143"/>
      <c r="W191" s="143"/>
      <c r="X191" s="170"/>
      <c r="Y191" s="1227"/>
      <c r="Z191" s="170"/>
      <c r="AA191" s="170"/>
      <c r="AC191" s="143"/>
      <c r="AD191" s="1236"/>
      <c r="AF191" s="1236"/>
      <c r="AS191" s="1627"/>
      <c r="AT191" s="143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143"/>
      <c r="BI191" s="143"/>
      <c r="BJ191" s="143"/>
      <c r="BK191" s="143"/>
      <c r="BL191" s="143"/>
      <c r="BM191" s="143"/>
      <c r="BN191" s="143"/>
      <c r="BO191" s="143"/>
      <c r="BP191" s="143"/>
      <c r="BQ191" s="143"/>
      <c r="BR191" s="143"/>
      <c r="BS191" s="143"/>
      <c r="BT191" s="143"/>
      <c r="BU191" s="143"/>
    </row>
    <row r="192" spans="1:73" s="73" customFormat="1" ht="15" customHeight="1">
      <c r="A192" s="170"/>
      <c r="B192" s="134"/>
      <c r="C192" s="145" t="s">
        <v>2225</v>
      </c>
      <c r="D192" s="140"/>
      <c r="E192" s="140"/>
      <c r="F192" s="140"/>
      <c r="G192" s="140"/>
      <c r="H192" s="140"/>
      <c r="I192" s="140"/>
      <c r="J192" s="170"/>
      <c r="K192" s="170"/>
      <c r="L192" s="170"/>
      <c r="M192" s="1227"/>
      <c r="N192" s="170"/>
      <c r="P192" s="170"/>
      <c r="Q192" s="170"/>
      <c r="R192" s="170"/>
      <c r="S192" s="143"/>
      <c r="T192" s="143"/>
      <c r="U192" s="143"/>
      <c r="V192" s="143"/>
      <c r="W192" s="143"/>
      <c r="X192" s="170"/>
      <c r="Y192" s="1227"/>
      <c r="Z192" s="170"/>
      <c r="AA192" s="170"/>
      <c r="AC192" s="108" t="s">
        <v>2224</v>
      </c>
      <c r="AD192" s="1236"/>
      <c r="AF192" s="1236"/>
      <c r="AS192" s="1627"/>
      <c r="AT192" s="143"/>
      <c r="AU192" s="143"/>
      <c r="AV192" s="143"/>
      <c r="AW192" s="143"/>
      <c r="AX192" s="143"/>
      <c r="AY192" s="143"/>
      <c r="AZ192" s="143"/>
      <c r="BA192" s="143"/>
      <c r="BB192" s="143"/>
      <c r="BC192" s="143"/>
      <c r="BD192" s="143"/>
      <c r="BE192" s="143"/>
      <c r="BF192" s="143"/>
      <c r="BG192" s="143"/>
      <c r="BH192" s="143"/>
      <c r="BI192" s="143"/>
      <c r="BJ192" s="143"/>
      <c r="BK192" s="143"/>
      <c r="BL192" s="143"/>
      <c r="BM192" s="143"/>
      <c r="BN192" s="143"/>
      <c r="BO192" s="143"/>
      <c r="BP192" s="143"/>
      <c r="BQ192" s="143"/>
      <c r="BR192" s="143"/>
      <c r="BS192" s="143"/>
      <c r="BT192" s="143"/>
      <c r="BU192" s="143"/>
    </row>
    <row r="193" spans="1:73" s="73" customFormat="1" ht="20.100000000000001" customHeight="1">
      <c r="A193" s="170"/>
      <c r="B193" s="170"/>
      <c r="C193" s="148" t="s">
        <v>134</v>
      </c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 t="s">
        <v>129</v>
      </c>
      <c r="S193" s="148"/>
      <c r="T193" s="148"/>
      <c r="U193" s="148"/>
      <c r="V193" s="148"/>
      <c r="W193" s="148"/>
      <c r="X193" s="148"/>
      <c r="Y193" s="148"/>
      <c r="Z193" s="148"/>
      <c r="AA193" s="148"/>
      <c r="AB193" s="148"/>
      <c r="AS193" s="1627"/>
      <c r="AT193" s="143"/>
      <c r="AU193" s="143"/>
      <c r="AV193" s="143"/>
      <c r="AW193" s="143"/>
      <c r="AX193" s="143"/>
      <c r="AY193" s="143"/>
      <c r="AZ193" s="143"/>
      <c r="BA193" s="143"/>
      <c r="BB193" s="143"/>
      <c r="BC193" s="143"/>
      <c r="BD193" s="143"/>
      <c r="BE193" s="143"/>
      <c r="BF193" s="143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</row>
    <row r="194" spans="1:73" s="73" customFormat="1" ht="20.100000000000001" customHeight="1">
      <c r="A194" s="170"/>
      <c r="B194" s="170"/>
      <c r="C194" s="122" t="s">
        <v>826</v>
      </c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928">
        <v>7.2</v>
      </c>
      <c r="S194" s="1928"/>
      <c r="T194" s="122"/>
      <c r="U194" s="122"/>
      <c r="V194" s="122"/>
      <c r="W194" s="122"/>
      <c r="X194" s="122"/>
      <c r="Y194" s="122"/>
      <c r="Z194" s="122"/>
      <c r="AA194" s="122"/>
      <c r="AB194" s="122"/>
      <c r="AS194" s="1627"/>
      <c r="AT194" s="143"/>
      <c r="AU194" s="143"/>
      <c r="AV194" s="143"/>
      <c r="AW194" s="143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  <c r="BQ194" s="143"/>
      <c r="BR194" s="143"/>
      <c r="BS194" s="143"/>
      <c r="BT194" s="143"/>
      <c r="BU194" s="143"/>
    </row>
    <row r="195" spans="1:73" s="73" customFormat="1" ht="20.100000000000001" customHeight="1">
      <c r="A195" s="170"/>
      <c r="B195" s="170"/>
      <c r="C195" s="122" t="s">
        <v>827</v>
      </c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S195" s="1627"/>
      <c r="AT195" s="143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143"/>
      <c r="BQ195" s="143"/>
      <c r="BR195" s="143"/>
      <c r="BS195" s="143"/>
      <c r="BT195" s="143"/>
      <c r="BU195" s="143"/>
    </row>
    <row r="196" spans="1:73" s="73" customFormat="1" ht="20.100000000000001" customHeight="1">
      <c r="A196" s="143"/>
      <c r="B196" s="170"/>
      <c r="C196" s="143"/>
      <c r="D196" s="170" t="s">
        <v>1704</v>
      </c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 t="s">
        <v>1706</v>
      </c>
      <c r="S196" s="170"/>
      <c r="T196" s="170"/>
      <c r="U196" s="170"/>
      <c r="V196" s="170"/>
      <c r="W196" s="170"/>
      <c r="X196" s="170"/>
      <c r="Y196" s="170"/>
      <c r="Z196" s="170"/>
      <c r="AA196" s="170"/>
      <c r="AB196" s="170"/>
      <c r="AS196" s="1627"/>
      <c r="AT196" s="143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143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</row>
    <row r="197" spans="1:73" s="73" customFormat="1" ht="20.100000000000001" customHeight="1">
      <c r="A197" s="143"/>
      <c r="B197" s="170"/>
      <c r="C197" s="145"/>
      <c r="D197" s="145" t="s">
        <v>1705</v>
      </c>
      <c r="E197" s="145"/>
      <c r="F197" s="145"/>
      <c r="G197" s="145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 t="s">
        <v>264</v>
      </c>
      <c r="S197" s="145"/>
      <c r="T197" s="145"/>
      <c r="U197" s="145"/>
      <c r="V197" s="145"/>
      <c r="W197" s="145"/>
      <c r="X197" s="145"/>
      <c r="Y197" s="145"/>
      <c r="Z197" s="145"/>
      <c r="AA197" s="145"/>
      <c r="AB197" s="145"/>
      <c r="AS197" s="1627"/>
      <c r="AT197" s="143"/>
      <c r="AU197" s="143"/>
      <c r="AV197" s="143"/>
      <c r="AW197" s="143"/>
      <c r="AX197" s="143"/>
      <c r="AY197" s="143"/>
      <c r="AZ197" s="143"/>
      <c r="BA197" s="143"/>
      <c r="BB197" s="143"/>
      <c r="BC197" s="143"/>
      <c r="BD197" s="143"/>
      <c r="BE197" s="143"/>
      <c r="BF197" s="143"/>
      <c r="BG197" s="143"/>
      <c r="BH197" s="143"/>
      <c r="BI197" s="143"/>
      <c r="BJ197" s="143"/>
      <c r="BK197" s="143"/>
      <c r="BL197" s="143"/>
      <c r="BM197" s="143"/>
      <c r="BN197" s="143"/>
      <c r="BO197" s="143"/>
      <c r="BP197" s="143"/>
      <c r="BQ197" s="143"/>
      <c r="BR197" s="143"/>
      <c r="BS197" s="143"/>
      <c r="BT197" s="143"/>
      <c r="BU197" s="143"/>
    </row>
    <row r="198" spans="1:73" s="73" customFormat="1" ht="15" customHeight="1">
      <c r="A198" s="143"/>
      <c r="B198" s="143"/>
      <c r="E198" s="170" t="s">
        <v>381</v>
      </c>
      <c r="G198" s="138" t="s">
        <v>324</v>
      </c>
      <c r="H198" s="143"/>
      <c r="I198" s="170" t="s">
        <v>434</v>
      </c>
      <c r="K198" s="143"/>
      <c r="L198" s="143"/>
      <c r="M198" s="143"/>
      <c r="N198" s="143"/>
      <c r="O198" s="143"/>
      <c r="P198" s="143"/>
      <c r="Q198" s="143"/>
      <c r="R198" s="170"/>
      <c r="S198" s="170"/>
      <c r="T198" s="170"/>
      <c r="U198" s="170"/>
      <c r="V198" s="170"/>
      <c r="W198" s="170"/>
      <c r="X198" s="170"/>
      <c r="Y198" s="1227"/>
      <c r="Z198" s="170"/>
      <c r="AA198" s="170"/>
      <c r="AC198" s="143"/>
      <c r="AD198" s="1236"/>
      <c r="AF198" s="1236"/>
      <c r="AS198" s="1627"/>
      <c r="AT198" s="143"/>
      <c r="AU198" s="143"/>
      <c r="AV198" s="143"/>
      <c r="AW198" s="143"/>
      <c r="AX198" s="143"/>
      <c r="AY198" s="143"/>
      <c r="AZ198" s="143"/>
      <c r="BA198" s="143"/>
      <c r="BB198" s="143"/>
      <c r="BC198" s="143"/>
      <c r="BD198" s="143"/>
      <c r="BE198" s="143"/>
      <c r="BF198" s="143"/>
      <c r="BG198" s="143"/>
      <c r="BH198" s="143"/>
      <c r="BI198" s="143"/>
      <c r="BJ198" s="143"/>
      <c r="BK198" s="143"/>
      <c r="BL198" s="143"/>
      <c r="BM198" s="143"/>
      <c r="BN198" s="143"/>
      <c r="BO198" s="143"/>
      <c r="BP198" s="143"/>
      <c r="BQ198" s="143"/>
      <c r="BR198" s="143"/>
      <c r="BS198" s="143"/>
      <c r="BT198" s="143"/>
      <c r="BU198" s="143"/>
    </row>
    <row r="199" spans="1:73" s="73" customFormat="1" ht="15" customHeight="1">
      <c r="A199" s="143"/>
      <c r="B199" s="143"/>
      <c r="E199" s="170"/>
      <c r="G199" s="138" t="s">
        <v>324</v>
      </c>
      <c r="H199" s="143"/>
      <c r="I199" s="170" t="s">
        <v>2134</v>
      </c>
      <c r="K199" s="143"/>
      <c r="L199" s="143"/>
      <c r="M199" s="143"/>
      <c r="N199" s="143"/>
      <c r="O199" s="143"/>
      <c r="P199" s="143"/>
      <c r="Q199" s="143"/>
      <c r="R199" s="170"/>
      <c r="S199" s="170"/>
      <c r="T199" s="170"/>
      <c r="U199" s="170"/>
      <c r="V199" s="170"/>
      <c r="W199" s="170"/>
      <c r="X199" s="170"/>
      <c r="Y199" s="1227"/>
      <c r="Z199" s="170"/>
      <c r="AA199" s="170"/>
      <c r="AC199" s="143"/>
      <c r="AD199" s="1236"/>
      <c r="AF199" s="1236"/>
      <c r="AS199" s="1627"/>
      <c r="AT199" s="143"/>
      <c r="AU199" s="143"/>
      <c r="AV199" s="143"/>
      <c r="AW199" s="143"/>
      <c r="AX199" s="143"/>
      <c r="AY199" s="143"/>
      <c r="AZ199" s="143"/>
      <c r="BA199" s="143"/>
      <c r="BB199" s="143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</row>
    <row r="200" spans="1:73" s="73" customFormat="1" ht="15" customHeight="1">
      <c r="A200" s="143"/>
      <c r="B200" s="143"/>
      <c r="E200" s="170" t="s">
        <v>433</v>
      </c>
      <c r="F200" s="143"/>
      <c r="G200" s="138" t="s">
        <v>324</v>
      </c>
      <c r="H200" s="143"/>
      <c r="I200" s="170" t="s">
        <v>435</v>
      </c>
      <c r="J200" s="143"/>
      <c r="K200" s="143"/>
      <c r="L200" s="143"/>
      <c r="M200" s="143"/>
      <c r="N200" s="143"/>
      <c r="O200" s="143"/>
      <c r="P200" s="143"/>
      <c r="Q200" s="143"/>
      <c r="R200" s="170"/>
      <c r="S200" s="170"/>
      <c r="T200" s="170"/>
      <c r="U200" s="170"/>
      <c r="V200" s="170"/>
      <c r="W200" s="170"/>
      <c r="X200" s="170"/>
      <c r="Y200" s="1227"/>
      <c r="Z200" s="170"/>
      <c r="AA200" s="170"/>
      <c r="AC200" s="143"/>
      <c r="AD200" s="1236"/>
      <c r="AF200" s="1236"/>
      <c r="AS200" s="1627"/>
      <c r="AT200" s="143"/>
      <c r="AU200" s="143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143"/>
      <c r="BI200" s="143"/>
      <c r="BJ200" s="143"/>
      <c r="BK200" s="143"/>
      <c r="BL200" s="143"/>
      <c r="BM200" s="143"/>
      <c r="BN200" s="143"/>
      <c r="BO200" s="143"/>
      <c r="BP200" s="143"/>
      <c r="BQ200" s="143"/>
      <c r="BR200" s="143"/>
      <c r="BS200" s="143"/>
      <c r="BT200" s="143"/>
      <c r="BU200" s="143"/>
    </row>
    <row r="201" spans="1:73" s="73" customFormat="1" ht="15" customHeight="1">
      <c r="A201" s="143"/>
      <c r="B201" s="143"/>
      <c r="D201" s="138"/>
      <c r="E201" s="170"/>
      <c r="F201" s="143"/>
      <c r="G201" s="143"/>
      <c r="H201" s="143"/>
      <c r="I201" s="170" t="s">
        <v>2237</v>
      </c>
      <c r="J201" s="143"/>
      <c r="K201" s="143"/>
      <c r="L201" s="143"/>
      <c r="M201" s="143"/>
      <c r="N201" s="143"/>
      <c r="O201" s="143"/>
      <c r="P201" s="143"/>
      <c r="Q201" s="143"/>
      <c r="R201" s="170"/>
      <c r="S201" s="170"/>
      <c r="T201" s="170"/>
      <c r="U201" s="170"/>
      <c r="V201" s="170"/>
      <c r="W201" s="170"/>
      <c r="X201" s="170"/>
      <c r="Y201" s="1227"/>
      <c r="Z201" s="170"/>
      <c r="AA201" s="170"/>
      <c r="AC201" s="143"/>
      <c r="AD201" s="1236"/>
      <c r="AF201" s="1236"/>
      <c r="AS201" s="1627"/>
      <c r="AT201" s="143"/>
      <c r="AU201" s="143"/>
      <c r="AV201" s="143"/>
      <c r="AW201" s="143"/>
      <c r="AX201" s="143"/>
      <c r="AY201" s="143"/>
      <c r="AZ201" s="143"/>
      <c r="BA201" s="143"/>
      <c r="BB201" s="143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  <c r="BQ201" s="143"/>
      <c r="BR201" s="143"/>
      <c r="BS201" s="143"/>
      <c r="BT201" s="143"/>
      <c r="BU201" s="143"/>
    </row>
    <row r="202" spans="1:73" s="73" customFormat="1" ht="15" customHeight="1">
      <c r="A202" s="143"/>
      <c r="B202" s="143"/>
      <c r="C202" s="170"/>
      <c r="D202" s="138"/>
      <c r="E202" s="170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70"/>
      <c r="S202" s="170"/>
      <c r="T202" s="170"/>
      <c r="U202" s="170"/>
      <c r="V202" s="170"/>
      <c r="W202" s="170"/>
      <c r="X202" s="170"/>
      <c r="Y202" s="1227"/>
      <c r="Z202" s="170"/>
      <c r="AA202" s="170"/>
      <c r="AC202" s="143"/>
      <c r="AD202" s="1236"/>
      <c r="AF202" s="1236"/>
      <c r="AS202" s="1627"/>
      <c r="AT202" s="143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</row>
    <row r="203" spans="1:73" s="73" customFormat="1" ht="15" customHeight="1">
      <c r="A203" s="143"/>
      <c r="B203" s="143"/>
      <c r="C203" s="170" t="s">
        <v>2250</v>
      </c>
      <c r="D203" s="138"/>
      <c r="E203" s="170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70"/>
      <c r="S203" s="170"/>
      <c r="T203" s="170"/>
      <c r="U203" s="170"/>
      <c r="V203" s="170"/>
      <c r="W203" s="170"/>
      <c r="X203" s="170"/>
      <c r="Y203" s="1227"/>
      <c r="Z203" s="170"/>
      <c r="AA203" s="170"/>
      <c r="AC203" s="143"/>
      <c r="AD203" s="1236"/>
      <c r="AF203" s="1236"/>
      <c r="AS203" s="1627"/>
      <c r="AT203" s="143"/>
      <c r="AU203" s="143"/>
      <c r="AV203" s="143"/>
      <c r="AW203" s="143"/>
      <c r="AX203" s="143"/>
      <c r="AY203" s="143"/>
      <c r="AZ203" s="143"/>
      <c r="BA203" s="143"/>
      <c r="BB203" s="143"/>
      <c r="BC203" s="143"/>
      <c r="BD203" s="143"/>
      <c r="BE203" s="143"/>
      <c r="BF203" s="143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143"/>
      <c r="BQ203" s="143"/>
      <c r="BR203" s="143"/>
      <c r="BS203" s="143"/>
      <c r="BT203" s="143"/>
      <c r="BU203" s="143"/>
    </row>
    <row r="204" spans="1:73" s="73" customFormat="1" ht="15" customHeight="1">
      <c r="A204" s="143"/>
      <c r="B204" s="143"/>
      <c r="C204" s="334" t="s">
        <v>2226</v>
      </c>
      <c r="D204" s="138"/>
      <c r="E204" s="170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70"/>
      <c r="S204" s="170"/>
      <c r="T204" s="170"/>
      <c r="U204" s="170"/>
      <c r="V204" s="170"/>
      <c r="W204" s="170"/>
      <c r="X204" s="170"/>
      <c r="Y204" s="1227"/>
      <c r="Z204" s="170"/>
      <c r="AA204" s="170"/>
      <c r="AC204" s="143"/>
      <c r="AD204" s="1236"/>
      <c r="AF204" s="1236"/>
      <c r="AS204" s="1627"/>
      <c r="AT204" s="143"/>
      <c r="AU204" s="143"/>
      <c r="AV204" s="143"/>
      <c r="AW204" s="143"/>
      <c r="AX204" s="143"/>
      <c r="AY204" s="143"/>
      <c r="AZ204" s="143"/>
      <c r="BA204" s="143"/>
      <c r="BB204" s="143"/>
      <c r="BC204" s="143"/>
      <c r="BD204" s="143"/>
      <c r="BE204" s="143"/>
      <c r="BF204" s="143"/>
      <c r="BG204" s="143"/>
      <c r="BH204" s="143"/>
      <c r="BI204" s="143"/>
      <c r="BJ204" s="143"/>
      <c r="BK204" s="143"/>
      <c r="BL204" s="143"/>
      <c r="BM204" s="143"/>
      <c r="BN204" s="143"/>
      <c r="BO204" s="143"/>
      <c r="BP204" s="143"/>
      <c r="BQ204" s="143"/>
      <c r="BR204" s="143"/>
      <c r="BS204" s="143"/>
      <c r="BT204" s="143"/>
      <c r="BU204" s="143"/>
    </row>
    <row r="205" spans="1:73" s="73" customFormat="1" ht="15" customHeight="1">
      <c r="A205" s="143"/>
      <c r="B205" s="143"/>
      <c r="C205" s="334" t="s">
        <v>2227</v>
      </c>
      <c r="D205" s="138"/>
      <c r="E205" s="170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70"/>
      <c r="S205" s="170"/>
      <c r="T205" s="170"/>
      <c r="U205" s="170"/>
      <c r="V205" s="170"/>
      <c r="W205" s="170"/>
      <c r="X205" s="170"/>
      <c r="Y205" s="1227"/>
      <c r="Z205" s="170"/>
      <c r="AA205" s="170"/>
      <c r="AC205" s="143"/>
      <c r="AD205" s="1236"/>
      <c r="AF205" s="1236"/>
      <c r="AS205" s="1627"/>
      <c r="AT205" s="143"/>
      <c r="AU205" s="143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</row>
    <row r="206" spans="1:73" s="73" customFormat="1" ht="20.100000000000001" customHeight="1">
      <c r="A206" s="170"/>
      <c r="B206" s="170"/>
      <c r="C206" s="1120" t="s">
        <v>134</v>
      </c>
      <c r="D206" s="1120"/>
      <c r="E206" s="1120"/>
      <c r="F206" s="1120"/>
      <c r="G206" s="1120"/>
      <c r="H206" s="1120"/>
      <c r="I206" s="1120"/>
      <c r="J206" s="1120"/>
      <c r="K206" s="1120"/>
      <c r="L206" s="1120"/>
      <c r="M206" s="1120"/>
      <c r="N206" s="1120"/>
      <c r="O206" s="1120"/>
      <c r="P206" s="1120"/>
      <c r="Q206" s="1120"/>
      <c r="R206" s="1120" t="s">
        <v>129</v>
      </c>
      <c r="S206" s="1120"/>
      <c r="T206" s="1120"/>
      <c r="U206" s="1120"/>
      <c r="V206" s="1120"/>
      <c r="W206" s="1120"/>
      <c r="X206" s="1120"/>
      <c r="Y206" s="1120"/>
      <c r="Z206" s="1120"/>
      <c r="AA206" s="1120"/>
      <c r="AB206" s="1120"/>
      <c r="AS206" s="1627"/>
      <c r="AT206" s="143"/>
      <c r="AU206" s="143"/>
      <c r="AV206" s="143"/>
      <c r="AW206" s="143"/>
      <c r="AX206" s="143"/>
      <c r="AY206" s="143"/>
      <c r="AZ206" s="143"/>
      <c r="BA206" s="143"/>
      <c r="BB206" s="143"/>
      <c r="BC206" s="143"/>
      <c r="BD206" s="143"/>
      <c r="BE206" s="143"/>
      <c r="BF206" s="143"/>
      <c r="BG206" s="143"/>
      <c r="BH206" s="143"/>
      <c r="BI206" s="143"/>
      <c r="BJ206" s="143"/>
      <c r="BK206" s="143"/>
      <c r="BL206" s="143"/>
      <c r="BM206" s="143"/>
      <c r="BN206" s="143"/>
      <c r="BO206" s="143"/>
      <c r="BP206" s="143"/>
      <c r="BQ206" s="143"/>
      <c r="BR206" s="143"/>
      <c r="BS206" s="143"/>
      <c r="BT206" s="143"/>
      <c r="BU206" s="143"/>
    </row>
    <row r="207" spans="1:73" s="73" customFormat="1" ht="20.100000000000001" customHeight="1">
      <c r="A207" s="170"/>
      <c r="B207" s="170"/>
      <c r="C207" s="1125" t="s">
        <v>2243</v>
      </c>
      <c r="D207" s="170"/>
      <c r="E207" s="122" t="s">
        <v>2228</v>
      </c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53" t="s">
        <v>2242</v>
      </c>
      <c r="S207" s="53"/>
      <c r="T207" s="122"/>
      <c r="U207" s="122"/>
      <c r="V207" s="122"/>
      <c r="W207" s="122"/>
      <c r="X207" s="122"/>
      <c r="Y207" s="122"/>
      <c r="Z207" s="122"/>
      <c r="AA207" s="122"/>
      <c r="AB207" s="122"/>
      <c r="AS207" s="1627"/>
      <c r="AT207" s="143"/>
      <c r="AU207" s="143"/>
      <c r="AV207" s="143"/>
      <c r="AW207" s="143"/>
      <c r="AX207" s="143"/>
      <c r="AY207" s="143"/>
      <c r="AZ207" s="143"/>
      <c r="BA207" s="143"/>
      <c r="BB207" s="143"/>
      <c r="BC207" s="143"/>
      <c r="BD207" s="143"/>
      <c r="BE207" s="143"/>
      <c r="BF207" s="143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143"/>
      <c r="BQ207" s="143"/>
      <c r="BR207" s="143"/>
      <c r="BS207" s="143"/>
      <c r="BT207" s="143"/>
      <c r="BU207" s="143"/>
    </row>
    <row r="208" spans="1:73" s="73" customFormat="1" ht="20.100000000000001" customHeight="1">
      <c r="A208" s="170"/>
      <c r="B208" s="170"/>
      <c r="C208" s="118"/>
      <c r="D208" s="118"/>
      <c r="E208" s="380" t="s">
        <v>2229</v>
      </c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1124" t="s">
        <v>2230</v>
      </c>
      <c r="S208" s="380"/>
      <c r="T208" s="380"/>
      <c r="U208" s="380"/>
      <c r="V208" s="380"/>
      <c r="W208" s="380"/>
      <c r="X208" s="380"/>
      <c r="Y208" s="380"/>
      <c r="Z208" s="380"/>
      <c r="AA208" s="380"/>
      <c r="AB208" s="380"/>
      <c r="AS208" s="1627"/>
      <c r="AT208" s="143"/>
      <c r="AU208" s="143"/>
      <c r="AV208" s="143"/>
      <c r="AW208" s="143"/>
      <c r="AX208" s="143"/>
      <c r="AY208" s="143"/>
      <c r="AZ208" s="143"/>
      <c r="BA208" s="143"/>
      <c r="BB208" s="143"/>
      <c r="BC208" s="143"/>
      <c r="BD208" s="143"/>
      <c r="BE208" s="143"/>
      <c r="BF208" s="143"/>
      <c r="BG208" s="143"/>
      <c r="BH208" s="143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</row>
    <row r="209" spans="1:73" s="73" customFormat="1" ht="20.100000000000001" customHeight="1">
      <c r="A209" s="170"/>
      <c r="B209" s="170"/>
      <c r="C209" s="669" t="s">
        <v>2244</v>
      </c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121" t="s">
        <v>2245</v>
      </c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S209" s="1627"/>
      <c r="AT209" s="143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143"/>
      <c r="BI209" s="143"/>
      <c r="BJ209" s="143"/>
      <c r="BK209" s="143"/>
      <c r="BL209" s="143"/>
      <c r="BM209" s="143"/>
      <c r="BN209" s="143"/>
      <c r="BO209" s="143"/>
      <c r="BP209" s="143"/>
      <c r="BQ209" s="143"/>
      <c r="BR209" s="143"/>
      <c r="BS209" s="143"/>
      <c r="BT209" s="143"/>
      <c r="BU209" s="143"/>
    </row>
    <row r="210" spans="1:73" s="73" customFormat="1" ht="15" customHeight="1">
      <c r="A210" s="143"/>
      <c r="B210" s="143"/>
      <c r="E210" s="170" t="s">
        <v>2240</v>
      </c>
      <c r="F210" s="143"/>
      <c r="G210" s="138" t="s">
        <v>324</v>
      </c>
      <c r="H210" s="143"/>
      <c r="I210" s="170" t="s">
        <v>2232</v>
      </c>
      <c r="J210" s="143"/>
      <c r="K210" s="143"/>
      <c r="L210" s="143"/>
      <c r="M210" s="143"/>
      <c r="N210" s="143"/>
      <c r="O210" s="143"/>
      <c r="P210" s="143"/>
      <c r="Q210" s="143"/>
      <c r="R210" s="170"/>
      <c r="S210" s="170"/>
      <c r="T210" s="170"/>
      <c r="U210" s="170"/>
      <c r="V210" s="170"/>
      <c r="W210" s="170"/>
      <c r="X210" s="170"/>
      <c r="Y210" s="1227"/>
      <c r="Z210" s="170"/>
      <c r="AA210" s="170"/>
      <c r="AC210" s="143"/>
      <c r="AD210" s="1236"/>
      <c r="AF210" s="1236"/>
      <c r="AS210" s="1627"/>
      <c r="AT210" s="143"/>
      <c r="AU210" s="143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143"/>
      <c r="BI210" s="143"/>
      <c r="BJ210" s="143"/>
      <c r="BK210" s="143"/>
      <c r="BL210" s="143"/>
      <c r="BM210" s="143"/>
      <c r="BN210" s="143"/>
      <c r="BO210" s="143"/>
      <c r="BP210" s="143"/>
      <c r="BQ210" s="143"/>
      <c r="BR210" s="143"/>
      <c r="BS210" s="143"/>
      <c r="BT210" s="143"/>
      <c r="BU210" s="143"/>
    </row>
    <row r="211" spans="1:73" s="73" customFormat="1" ht="15" customHeight="1">
      <c r="A211" s="143"/>
      <c r="B211" s="143"/>
      <c r="E211" s="334"/>
      <c r="F211" s="143"/>
      <c r="G211" s="138"/>
      <c r="H211" s="143"/>
      <c r="I211" s="170" t="s">
        <v>2233</v>
      </c>
      <c r="J211" s="143"/>
      <c r="K211" s="143"/>
      <c r="L211" s="143"/>
      <c r="M211" s="143"/>
      <c r="N211" s="143"/>
      <c r="O211" s="143"/>
      <c r="P211" s="143"/>
      <c r="Q211" s="143"/>
      <c r="R211" s="170"/>
      <c r="S211" s="170"/>
      <c r="T211" s="170"/>
      <c r="U211" s="170"/>
      <c r="V211" s="170"/>
      <c r="W211" s="170"/>
      <c r="X211" s="170"/>
      <c r="Y211" s="1227"/>
      <c r="Z211" s="170"/>
      <c r="AA211" s="170"/>
      <c r="AC211" s="143"/>
      <c r="AD211" s="1236"/>
      <c r="AF211" s="1236"/>
      <c r="AS211" s="1627"/>
      <c r="AT211" s="143"/>
      <c r="AU211" s="143"/>
      <c r="AV211" s="143"/>
      <c r="AW211" s="143"/>
      <c r="AX211" s="143"/>
      <c r="AY211" s="143"/>
      <c r="AZ211" s="143"/>
      <c r="BA211" s="143"/>
      <c r="BB211" s="143"/>
      <c r="BC211" s="143"/>
      <c r="BD211" s="143"/>
      <c r="BE211" s="143"/>
      <c r="BF211" s="143"/>
      <c r="BG211" s="143"/>
      <c r="BH211" s="143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</row>
    <row r="212" spans="1:73" s="73" customFormat="1" ht="15" customHeight="1">
      <c r="A212" s="143"/>
      <c r="B212" s="143"/>
      <c r="E212" s="1122" t="s">
        <v>2234</v>
      </c>
      <c r="F212" s="143"/>
      <c r="G212" s="138" t="s">
        <v>324</v>
      </c>
      <c r="H212" s="143"/>
      <c r="I212" s="170" t="s">
        <v>2236</v>
      </c>
      <c r="J212" s="143"/>
      <c r="K212" s="143"/>
      <c r="L212" s="143"/>
      <c r="M212" s="143"/>
      <c r="N212" s="143"/>
      <c r="O212" s="143"/>
      <c r="P212" s="143"/>
      <c r="Q212" s="143"/>
      <c r="R212" s="170"/>
      <c r="S212" s="170"/>
      <c r="T212" s="170"/>
      <c r="U212" s="170"/>
      <c r="V212" s="170"/>
      <c r="W212" s="170"/>
      <c r="X212" s="170"/>
      <c r="Y212" s="1227"/>
      <c r="Z212" s="170"/>
      <c r="AA212" s="170"/>
      <c r="AC212" s="143"/>
      <c r="AD212" s="1236"/>
      <c r="AF212" s="1236"/>
      <c r="AS212" s="1627"/>
      <c r="AT212" s="143"/>
      <c r="AU212" s="143"/>
      <c r="AV212" s="143"/>
      <c r="AW212" s="143"/>
      <c r="AX212" s="143"/>
      <c r="AY212" s="143"/>
      <c r="AZ212" s="143"/>
      <c r="BA212" s="143"/>
      <c r="BB212" s="143"/>
      <c r="BC212" s="143"/>
      <c r="BD212" s="143"/>
      <c r="BE212" s="143"/>
      <c r="BF212" s="143"/>
      <c r="BG212" s="143"/>
      <c r="BH212" s="143"/>
      <c r="BI212" s="143"/>
      <c r="BJ212" s="143"/>
      <c r="BK212" s="143"/>
      <c r="BL212" s="143"/>
      <c r="BM212" s="143"/>
      <c r="BN212" s="143"/>
      <c r="BO212" s="143"/>
      <c r="BP212" s="143"/>
      <c r="BQ212" s="143"/>
      <c r="BR212" s="143"/>
      <c r="BS212" s="143"/>
      <c r="BT212" s="143"/>
      <c r="BU212" s="143"/>
    </row>
    <row r="213" spans="1:73" ht="15" customHeight="1">
      <c r="D213" s="138"/>
      <c r="E213" s="218" t="s">
        <v>2238</v>
      </c>
      <c r="L213" s="143"/>
      <c r="R213" s="170"/>
      <c r="S213" s="170"/>
      <c r="T213" s="170"/>
      <c r="U213" s="170"/>
      <c r="V213" s="170"/>
      <c r="W213" s="170"/>
      <c r="X213" s="170"/>
      <c r="Y213" s="1227"/>
      <c r="Z213" s="170"/>
      <c r="AA213" s="170"/>
      <c r="AD213" s="1236"/>
      <c r="AF213" s="1236"/>
    </row>
    <row r="214" spans="1:73" ht="15" customHeight="1">
      <c r="D214" s="138"/>
      <c r="E214" s="218" t="s">
        <v>2239</v>
      </c>
      <c r="L214" s="143"/>
      <c r="R214" s="170"/>
      <c r="S214" s="170"/>
      <c r="T214" s="170"/>
      <c r="U214" s="170"/>
      <c r="V214" s="170"/>
      <c r="W214" s="170"/>
      <c r="X214" s="170"/>
      <c r="Y214" s="1227"/>
      <c r="Z214" s="170"/>
      <c r="AA214" s="170"/>
      <c r="AD214" s="1236"/>
      <c r="AF214" s="1236"/>
    </row>
    <row r="215" spans="1:73" ht="15" customHeight="1">
      <c r="D215" s="138"/>
      <c r="E215" s="218"/>
      <c r="L215" s="143"/>
      <c r="R215" s="170"/>
      <c r="S215" s="170"/>
      <c r="T215" s="170"/>
      <c r="U215" s="170"/>
      <c r="V215" s="170"/>
      <c r="W215" s="170"/>
      <c r="X215" s="170"/>
      <c r="Y215" s="1424"/>
      <c r="Z215" s="170"/>
      <c r="AA215" s="170"/>
      <c r="AD215" s="1428"/>
      <c r="AF215" s="1428"/>
    </row>
    <row r="216" spans="1:73" ht="15" customHeight="1">
      <c r="A216" s="1182" t="s">
        <v>2964</v>
      </c>
      <c r="C216" s="170"/>
      <c r="D216" s="170"/>
      <c r="E216" s="138"/>
      <c r="F216" s="170"/>
      <c r="G216" s="100"/>
      <c r="H216" s="170"/>
      <c r="I216" s="170"/>
      <c r="J216" s="170"/>
      <c r="K216" s="170"/>
      <c r="L216" s="1227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227"/>
      <c r="Z216" s="170"/>
      <c r="AA216" s="170"/>
      <c r="AD216" s="1236"/>
      <c r="AF216" s="1236"/>
    </row>
    <row r="217" spans="1:73" ht="15" customHeight="1" thickBot="1">
      <c r="A217" s="1182"/>
      <c r="C217" s="170"/>
      <c r="D217" s="170"/>
      <c r="E217" s="138"/>
      <c r="F217" s="170"/>
      <c r="G217" s="100"/>
      <c r="H217" s="170"/>
      <c r="I217" s="170"/>
      <c r="J217" s="170"/>
      <c r="K217" s="170"/>
      <c r="L217" s="1424"/>
      <c r="M217" s="170"/>
      <c r="N217" s="170"/>
      <c r="O217" s="170"/>
      <c r="P217" s="170"/>
      <c r="Q217" s="170"/>
      <c r="R217" s="170"/>
      <c r="S217" s="170"/>
      <c r="T217" s="170"/>
      <c r="U217" s="170"/>
      <c r="V217" s="170"/>
      <c r="W217" s="170"/>
      <c r="X217" s="170"/>
      <c r="Y217" s="1424"/>
      <c r="Z217" s="170"/>
      <c r="AA217" s="170"/>
      <c r="AD217" s="1428"/>
      <c r="AF217" s="1428"/>
    </row>
    <row r="218" spans="1:73" ht="20.100000000000001" customHeight="1" thickBot="1">
      <c r="A218" s="206"/>
      <c r="B218" s="96"/>
      <c r="C218" s="1268"/>
      <c r="D218" s="1269"/>
      <c r="E218" s="1269"/>
      <c r="F218" s="1269"/>
      <c r="G218" s="1288" t="s">
        <v>2995</v>
      </c>
      <c r="H218" s="1269"/>
      <c r="I218" s="1269"/>
      <c r="J218" s="1269"/>
      <c r="K218" s="1271"/>
      <c r="L218" s="1272"/>
      <c r="M218" s="1271"/>
      <c r="N218" s="1271"/>
      <c r="O218" s="1271"/>
      <c r="P218" s="1273"/>
      <c r="Q218" s="170"/>
      <c r="R218" s="170"/>
      <c r="S218" s="170"/>
      <c r="X218" s="170"/>
      <c r="Y218" s="1424"/>
      <c r="Z218" s="170"/>
      <c r="AD218" s="1428"/>
      <c r="AF218" s="1428"/>
      <c r="AJ218" s="505"/>
      <c r="AM218" s="76"/>
    </row>
    <row r="219" spans="1:73" ht="15" customHeight="1">
      <c r="A219" s="1182"/>
      <c r="C219" s="170"/>
      <c r="D219" s="170"/>
      <c r="E219" s="138"/>
      <c r="F219" s="170"/>
      <c r="G219" s="100"/>
      <c r="H219" s="170"/>
      <c r="I219" s="170"/>
      <c r="J219" s="170"/>
      <c r="K219" s="170"/>
      <c r="L219" s="1424"/>
      <c r="M219" s="170"/>
      <c r="N219" s="170"/>
      <c r="O219" s="170"/>
      <c r="P219" s="170"/>
      <c r="Q219" s="170"/>
      <c r="R219" s="170"/>
      <c r="S219" s="170"/>
      <c r="T219" s="170"/>
      <c r="U219" s="170"/>
      <c r="V219" s="170"/>
      <c r="W219" s="170"/>
      <c r="X219" s="170"/>
      <c r="Y219" s="1424"/>
      <c r="Z219" s="170"/>
      <c r="AA219" s="170"/>
      <c r="AD219" s="1428"/>
      <c r="AF219" s="1428"/>
    </row>
    <row r="220" spans="1:73" ht="15" customHeight="1">
      <c r="A220" s="1182"/>
      <c r="C220" s="170"/>
      <c r="D220" s="170"/>
      <c r="E220" s="138" t="s">
        <v>2965</v>
      </c>
      <c r="F220" s="170"/>
      <c r="G220" s="1423" t="s">
        <v>2930</v>
      </c>
      <c r="H220" s="170"/>
      <c r="I220" s="170" t="s">
        <v>2966</v>
      </c>
      <c r="J220" s="170"/>
      <c r="K220" s="170"/>
      <c r="L220" s="1424"/>
      <c r="M220" s="170"/>
      <c r="N220" s="170"/>
      <c r="O220" s="170"/>
      <c r="P220" s="170"/>
      <c r="Q220" s="170"/>
      <c r="R220" s="170"/>
      <c r="S220" s="170"/>
      <c r="T220" s="170"/>
      <c r="U220" s="170"/>
      <c r="V220" s="170"/>
      <c r="W220" s="170"/>
      <c r="X220" s="170"/>
      <c r="Y220" s="1424"/>
      <c r="Z220" s="170"/>
      <c r="AA220" s="170"/>
      <c r="AD220" s="1428"/>
      <c r="AF220" s="1428"/>
    </row>
    <row r="221" spans="1:73" ht="15" customHeight="1">
      <c r="A221" s="1182"/>
      <c r="C221" s="170"/>
      <c r="D221" s="170"/>
      <c r="E221" s="138" t="s">
        <v>2968</v>
      </c>
      <c r="F221" s="170"/>
      <c r="G221" s="1423" t="s">
        <v>2930</v>
      </c>
      <c r="H221" s="170"/>
      <c r="I221" s="170" t="s">
        <v>2967</v>
      </c>
      <c r="J221" s="170"/>
      <c r="K221" s="170"/>
      <c r="L221" s="1424"/>
      <c r="M221" s="170"/>
      <c r="N221" s="170"/>
      <c r="O221" s="170"/>
      <c r="P221" s="170"/>
      <c r="Q221" s="170"/>
      <c r="R221" s="170"/>
      <c r="S221" s="170"/>
      <c r="T221" s="170"/>
      <c r="U221" s="170"/>
      <c r="V221" s="170"/>
      <c r="W221" s="170"/>
      <c r="X221" s="170"/>
      <c r="Y221" s="1424"/>
      <c r="Z221" s="170"/>
      <c r="AA221" s="170"/>
      <c r="AD221" s="1428"/>
      <c r="AF221" s="1428"/>
    </row>
    <row r="222" spans="1:73" ht="15" customHeight="1">
      <c r="A222" s="1182"/>
      <c r="C222" s="170"/>
      <c r="D222" s="170"/>
      <c r="E222" s="1621" t="s">
        <v>2970</v>
      </c>
      <c r="F222" s="170"/>
      <c r="G222" s="1423" t="s">
        <v>2930</v>
      </c>
      <c r="H222" s="170"/>
      <c r="I222" s="170" t="s">
        <v>2969</v>
      </c>
      <c r="J222" s="170"/>
      <c r="K222" s="170"/>
      <c r="L222" s="1424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170"/>
      <c r="Y222" s="1424"/>
      <c r="Z222" s="170"/>
      <c r="AA222" s="170"/>
      <c r="AD222" s="1428"/>
      <c r="AF222" s="1428"/>
    </row>
    <row r="223" spans="1:73" ht="15" customHeight="1">
      <c r="A223" s="1182"/>
      <c r="C223" s="170"/>
      <c r="D223" s="170"/>
      <c r="E223" s="138" t="s">
        <v>3004</v>
      </c>
      <c r="F223" s="170"/>
      <c r="G223" s="1423" t="s">
        <v>2930</v>
      </c>
      <c r="H223" s="170"/>
      <c r="I223" s="170" t="s">
        <v>3005</v>
      </c>
      <c r="J223" s="170"/>
      <c r="K223" s="170"/>
      <c r="L223" s="1424"/>
      <c r="M223" s="170"/>
      <c r="N223" s="170"/>
      <c r="O223" s="170"/>
      <c r="P223" s="170"/>
      <c r="Q223" s="170"/>
      <c r="R223" s="170"/>
      <c r="S223" s="170"/>
      <c r="T223" s="170"/>
      <c r="U223" s="170"/>
      <c r="V223" s="170"/>
      <c r="W223" s="170"/>
      <c r="X223" s="170"/>
      <c r="Y223" s="1424"/>
      <c r="Z223" s="170"/>
      <c r="AA223" s="170"/>
      <c r="AD223" s="1428"/>
      <c r="AF223" s="1428"/>
    </row>
    <row r="224" spans="1:73" ht="15" customHeight="1">
      <c r="A224" s="1182"/>
      <c r="C224" s="170"/>
      <c r="D224" s="170"/>
      <c r="E224" s="138" t="s">
        <v>2971</v>
      </c>
      <c r="F224" s="170"/>
      <c r="G224" s="1423" t="s">
        <v>2930</v>
      </c>
      <c r="H224" s="170"/>
      <c r="I224" s="170" t="s">
        <v>2972</v>
      </c>
      <c r="J224" s="170"/>
      <c r="K224" s="170"/>
      <c r="L224" s="1424"/>
      <c r="M224" s="170"/>
      <c r="N224" s="170"/>
      <c r="O224" s="170"/>
      <c r="P224" s="170"/>
      <c r="Q224" s="170"/>
      <c r="R224" s="170"/>
      <c r="S224" s="170"/>
      <c r="T224" s="170"/>
      <c r="U224" s="170"/>
      <c r="V224" s="170"/>
      <c r="W224" s="170"/>
      <c r="X224" s="170"/>
      <c r="Y224" s="1424"/>
      <c r="Z224" s="170"/>
      <c r="AA224" s="170"/>
      <c r="AD224" s="1428"/>
      <c r="AF224" s="1428"/>
    </row>
    <row r="225" spans="1:73" s="73" customFormat="1" ht="15" customHeight="1">
      <c r="A225" s="170"/>
      <c r="B225" s="143"/>
      <c r="E225" s="1177" t="s">
        <v>2856</v>
      </c>
      <c r="F225" s="170" t="s">
        <v>2881</v>
      </c>
      <c r="G225" s="136"/>
      <c r="H225" s="170"/>
      <c r="I225" s="100"/>
      <c r="J225" s="170"/>
      <c r="K225" s="170"/>
      <c r="L225" s="170"/>
      <c r="M225" s="170"/>
      <c r="N225" s="1424"/>
      <c r="O225" s="170"/>
      <c r="P225" s="170"/>
      <c r="Q225" s="170"/>
      <c r="R225" s="170"/>
      <c r="S225" s="170"/>
      <c r="T225" s="170"/>
      <c r="U225" s="170"/>
      <c r="V225" s="170"/>
      <c r="W225" s="170"/>
      <c r="X225" s="170"/>
      <c r="Y225" s="170"/>
      <c r="Z225" s="170"/>
      <c r="AA225" s="1424"/>
      <c r="AB225" s="170"/>
      <c r="AC225" s="170"/>
      <c r="AF225" s="1428"/>
      <c r="AS225" s="1627"/>
      <c r="AT225" s="143"/>
      <c r="AU225" s="143"/>
      <c r="AV225" s="143"/>
      <c r="AW225" s="143"/>
      <c r="AX225" s="143"/>
      <c r="AY225" s="143"/>
      <c r="AZ225" s="143"/>
      <c r="BA225" s="143"/>
      <c r="BB225" s="143"/>
      <c r="BC225" s="143"/>
      <c r="BD225" s="143"/>
      <c r="BE225" s="143"/>
      <c r="BF225" s="143"/>
      <c r="BG225" s="143"/>
      <c r="BH225" s="143"/>
      <c r="BI225" s="143"/>
      <c r="BJ225" s="143"/>
      <c r="BK225" s="143"/>
      <c r="BL225" s="143"/>
      <c r="BM225" s="143"/>
      <c r="BN225" s="143"/>
      <c r="BO225" s="143"/>
      <c r="BP225" s="143"/>
      <c r="BQ225" s="143"/>
      <c r="BR225" s="143"/>
      <c r="BS225" s="143"/>
      <c r="BT225" s="143"/>
      <c r="BU225" s="143"/>
    </row>
    <row r="226" spans="1:73" s="73" customFormat="1" ht="20.100000000000001" customHeight="1">
      <c r="A226" s="143"/>
      <c r="B226" s="143"/>
      <c r="E226" s="148" t="s">
        <v>134</v>
      </c>
      <c r="F226" s="141"/>
      <c r="G226" s="148"/>
      <c r="H226" s="148"/>
      <c r="I226" s="148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8" t="s">
        <v>128</v>
      </c>
      <c r="U226" s="141"/>
      <c r="V226" s="141"/>
      <c r="W226" s="141"/>
      <c r="X226" s="141"/>
      <c r="Y226" s="141"/>
      <c r="Z226" s="141"/>
      <c r="AA226" s="141"/>
      <c r="AB226" s="141"/>
      <c r="AC226" s="141"/>
      <c r="AF226" s="1428"/>
      <c r="AS226" s="1627"/>
      <c r="AT226" s="143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143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</row>
    <row r="227" spans="1:73" s="73" customFormat="1" ht="20.100000000000001" customHeight="1">
      <c r="A227" s="143"/>
      <c r="B227" s="143"/>
      <c r="E227" s="170" t="s">
        <v>1707</v>
      </c>
      <c r="F227" s="170"/>
      <c r="G227" s="170"/>
      <c r="H227" s="170"/>
      <c r="I227" s="170"/>
      <c r="J227" s="170"/>
      <c r="L227" s="170"/>
      <c r="M227" s="170"/>
      <c r="N227" s="1427"/>
      <c r="O227" s="143"/>
      <c r="P227" s="143"/>
      <c r="Q227" s="143"/>
      <c r="S227" s="143"/>
      <c r="T227" s="2242">
        <v>1</v>
      </c>
      <c r="U227" s="2242"/>
      <c r="V227" s="1514"/>
      <c r="W227" s="143"/>
      <c r="X227" s="143"/>
      <c r="Y227" s="143"/>
      <c r="Z227" s="143"/>
      <c r="AA227" s="1427"/>
      <c r="AB227" s="143"/>
      <c r="AC227" s="76" t="s">
        <v>417</v>
      </c>
      <c r="AF227" s="1428"/>
      <c r="AS227" s="1627"/>
      <c r="AT227" s="143"/>
      <c r="AU227" s="143"/>
      <c r="AV227" s="143"/>
      <c r="AW227" s="143"/>
      <c r="AX227" s="143"/>
      <c r="AY227" s="143"/>
      <c r="AZ227" s="143"/>
      <c r="BA227" s="143"/>
      <c r="BB227" s="143"/>
      <c r="BC227" s="143"/>
      <c r="BD227" s="143"/>
      <c r="BE227" s="143"/>
      <c r="BF227" s="143"/>
      <c r="BG227" s="143"/>
      <c r="BH227" s="143"/>
      <c r="BI227" s="143"/>
      <c r="BJ227" s="143"/>
      <c r="BK227" s="143"/>
      <c r="BL227" s="143"/>
      <c r="BM227" s="143"/>
      <c r="BN227" s="143"/>
      <c r="BO227" s="143"/>
      <c r="BP227" s="143"/>
      <c r="BQ227" s="143"/>
      <c r="BR227" s="143"/>
      <c r="BS227" s="143"/>
      <c r="BT227" s="143"/>
      <c r="BU227" s="143"/>
    </row>
    <row r="228" spans="1:73" ht="20.100000000000001" customHeight="1">
      <c r="E228" s="170" t="s">
        <v>1708</v>
      </c>
      <c r="F228" s="170"/>
      <c r="G228" s="147"/>
      <c r="H228" s="170"/>
      <c r="I228" s="170"/>
      <c r="J228" s="170"/>
      <c r="L228" s="170"/>
      <c r="M228" s="170"/>
      <c r="N228" s="1427"/>
      <c r="T228" s="170" t="s">
        <v>1709</v>
      </c>
      <c r="Y228" s="143"/>
      <c r="AA228" s="1427"/>
      <c r="AB228" s="143"/>
      <c r="AC228" s="138" t="s">
        <v>447</v>
      </c>
      <c r="AD228" s="73"/>
      <c r="AF228" s="1428"/>
    </row>
    <row r="229" spans="1:73" ht="20.100000000000001" customHeight="1">
      <c r="E229" s="145" t="s">
        <v>1710</v>
      </c>
      <c r="F229" s="145"/>
      <c r="G229" s="149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 t="s">
        <v>1711</v>
      </c>
      <c r="U229" s="145"/>
      <c r="V229" s="145"/>
      <c r="W229" s="145"/>
      <c r="X229" s="145"/>
      <c r="Y229" s="145"/>
      <c r="Z229" s="145"/>
      <c r="AA229" s="145"/>
      <c r="AB229" s="145"/>
      <c r="AC229" s="261" t="s">
        <v>448</v>
      </c>
      <c r="AD229" s="73"/>
      <c r="AF229" s="1428"/>
    </row>
    <row r="230" spans="1:73" s="73" customFormat="1" ht="15" customHeight="1">
      <c r="A230" s="170"/>
      <c r="B230" s="143"/>
      <c r="E230" s="1177"/>
      <c r="F230" s="170"/>
      <c r="G230" s="136"/>
      <c r="H230" s="170"/>
      <c r="I230" s="100"/>
      <c r="J230" s="170"/>
      <c r="K230" s="170"/>
      <c r="L230" s="170"/>
      <c r="M230" s="170"/>
      <c r="N230" s="1424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424"/>
      <c r="AB230" s="170"/>
      <c r="AC230" s="170"/>
      <c r="AF230" s="1428"/>
      <c r="AS230" s="1627"/>
      <c r="AT230" s="143"/>
      <c r="AU230" s="143"/>
      <c r="AV230" s="143"/>
      <c r="AW230" s="143"/>
      <c r="AX230" s="143"/>
      <c r="AY230" s="143"/>
      <c r="AZ230" s="143"/>
      <c r="BA230" s="143"/>
      <c r="BB230" s="143"/>
      <c r="BC230" s="143"/>
      <c r="BD230" s="143"/>
      <c r="BE230" s="143"/>
      <c r="BF230" s="143"/>
      <c r="BG230" s="143"/>
      <c r="BH230" s="143"/>
      <c r="BI230" s="143"/>
      <c r="BJ230" s="143"/>
      <c r="BK230" s="143"/>
      <c r="BL230" s="143"/>
      <c r="BM230" s="143"/>
      <c r="BN230" s="143"/>
      <c r="BO230" s="143"/>
      <c r="BP230" s="143"/>
      <c r="BQ230" s="143"/>
      <c r="BR230" s="143"/>
      <c r="BS230" s="143"/>
      <c r="BT230" s="143"/>
      <c r="BU230" s="143"/>
    </row>
    <row r="231" spans="1:73" ht="15" customHeight="1">
      <c r="E231" s="1177" t="s">
        <v>2856</v>
      </c>
      <c r="F231" s="143" t="s">
        <v>2146</v>
      </c>
      <c r="G231" s="147"/>
      <c r="H231" s="136"/>
      <c r="I231" s="136"/>
      <c r="J231" s="170"/>
      <c r="K231" s="170"/>
      <c r="L231" s="143"/>
      <c r="N231" s="1427"/>
      <c r="Y231" s="143"/>
      <c r="AA231" s="1427"/>
      <c r="AB231" s="1427"/>
      <c r="AD231" s="1427"/>
      <c r="AE231" s="1428"/>
      <c r="AF231" s="73"/>
      <c r="AR231" s="143"/>
    </row>
    <row r="232" spans="1:73" ht="20.100000000000001" customHeight="1">
      <c r="A232" s="170"/>
      <c r="E232" s="148" t="s">
        <v>134</v>
      </c>
      <c r="F232" s="141"/>
      <c r="G232" s="148"/>
      <c r="H232" s="148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8" t="s">
        <v>425</v>
      </c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27"/>
      <c r="AE232" s="1428"/>
      <c r="AF232" s="73"/>
      <c r="AR232" s="143"/>
    </row>
    <row r="233" spans="1:73" ht="20.100000000000001" customHeight="1">
      <c r="A233" s="170"/>
      <c r="E233" s="170" t="s">
        <v>992</v>
      </c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2242">
        <v>5</v>
      </c>
      <c r="U233" s="2242"/>
      <c r="V233" s="170"/>
      <c r="W233" s="170"/>
      <c r="X233" s="170"/>
      <c r="Y233" s="170"/>
      <c r="Z233" s="170"/>
      <c r="AA233" s="170"/>
      <c r="AB233" s="170"/>
      <c r="AC233" s="170"/>
      <c r="AD233" s="143"/>
      <c r="AF233" s="1428"/>
      <c r="AR233" s="143"/>
    </row>
    <row r="234" spans="1:73" ht="20.100000000000001" customHeight="1">
      <c r="A234" s="170"/>
      <c r="E234" s="145" t="s">
        <v>993</v>
      </c>
      <c r="F234" s="145"/>
      <c r="G234" s="98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 t="s">
        <v>1777</v>
      </c>
      <c r="U234" s="145"/>
      <c r="V234" s="145"/>
      <c r="W234" s="145"/>
      <c r="X234" s="145"/>
      <c r="Y234" s="145"/>
      <c r="Z234" s="145"/>
      <c r="AA234" s="145"/>
      <c r="AB234" s="145"/>
      <c r="AC234" s="145"/>
      <c r="AD234" s="143"/>
      <c r="AF234" s="1428"/>
      <c r="AR234" s="143"/>
    </row>
    <row r="235" spans="1:73" ht="20.100000000000001" customHeight="1">
      <c r="A235" s="170"/>
      <c r="E235" s="170"/>
      <c r="F235" s="170"/>
      <c r="G235" s="147"/>
      <c r="H235" s="170"/>
      <c r="I235" s="170"/>
      <c r="J235" s="170"/>
      <c r="K235" s="170"/>
      <c r="L235" s="170"/>
      <c r="M235" s="170"/>
      <c r="N235" s="170"/>
      <c r="O235" s="170"/>
      <c r="P235" s="170"/>
      <c r="Q235" s="170"/>
      <c r="R235" s="170"/>
      <c r="S235" s="170"/>
      <c r="T235" s="170"/>
      <c r="U235" s="170"/>
      <c r="V235" s="170"/>
      <c r="W235" s="170"/>
      <c r="X235" s="170"/>
      <c r="Y235" s="170"/>
      <c r="Z235" s="170"/>
      <c r="AA235" s="170"/>
      <c r="AB235" s="170"/>
      <c r="AC235" s="170"/>
      <c r="AD235" s="143"/>
      <c r="AF235" s="1428"/>
      <c r="AR235" s="143"/>
    </row>
    <row r="236" spans="1:73" ht="15" customHeight="1">
      <c r="E236" s="1177" t="s">
        <v>2856</v>
      </c>
      <c r="F236" s="170" t="s">
        <v>133</v>
      </c>
      <c r="G236" s="170"/>
      <c r="H236" s="170"/>
      <c r="I236" s="170"/>
      <c r="J236" s="116"/>
      <c r="K236" s="116"/>
      <c r="L236" s="116"/>
      <c r="O236" s="1427"/>
      <c r="Y236" s="143"/>
      <c r="AB236" s="1427"/>
      <c r="AD236" s="1427"/>
      <c r="AE236" s="1428"/>
      <c r="AF236" s="73"/>
      <c r="AR236" s="1529" t="s">
        <v>806</v>
      </c>
    </row>
    <row r="237" spans="1:73" ht="20.100000000000001" customHeight="1">
      <c r="E237" s="141" t="s">
        <v>134</v>
      </c>
      <c r="F237" s="141"/>
      <c r="G237" s="141"/>
      <c r="H237" s="141"/>
      <c r="I237" s="141"/>
      <c r="J237" s="250"/>
      <c r="K237" s="250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250" t="s">
        <v>138</v>
      </c>
      <c r="X237" s="250"/>
      <c r="Y237" s="250"/>
      <c r="Z237" s="250"/>
      <c r="AA237" s="250"/>
      <c r="AB237" s="250"/>
      <c r="AC237" s="250"/>
      <c r="AD237" s="1427"/>
      <c r="AE237" s="1428"/>
      <c r="AF237" s="73"/>
      <c r="AR237" s="143"/>
    </row>
    <row r="238" spans="1:73" ht="20.100000000000001" customHeight="1">
      <c r="E238" s="170" t="s">
        <v>847</v>
      </c>
      <c r="F238" s="170"/>
      <c r="G238" s="170"/>
      <c r="H238" s="170"/>
      <c r="I238" s="170"/>
      <c r="J238" s="116"/>
      <c r="K238" s="116"/>
      <c r="L238" s="170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16" t="s">
        <v>135</v>
      </c>
      <c r="X238" s="116"/>
      <c r="Y238" s="116"/>
      <c r="Z238" s="116"/>
      <c r="AA238" s="116"/>
      <c r="AB238" s="116"/>
      <c r="AC238" s="116"/>
      <c r="AD238" s="1427"/>
      <c r="AE238" s="1428"/>
      <c r="AF238" s="73"/>
      <c r="AR238" s="143"/>
    </row>
    <row r="239" spans="1:73" ht="20.100000000000001" customHeight="1">
      <c r="E239" s="170" t="s">
        <v>3001</v>
      </c>
      <c r="F239" s="170"/>
      <c r="G239" s="170"/>
      <c r="H239" s="170"/>
      <c r="I239" s="170"/>
      <c r="J239" s="116"/>
      <c r="K239" s="116"/>
      <c r="L239" s="170"/>
      <c r="M239" s="170"/>
      <c r="N239" s="170"/>
      <c r="O239" s="170"/>
      <c r="P239" s="170"/>
      <c r="Q239" s="170"/>
      <c r="R239" s="170"/>
      <c r="S239" s="170"/>
      <c r="T239" s="170"/>
      <c r="U239" s="170"/>
      <c r="V239" s="170"/>
      <c r="W239" s="116" t="s">
        <v>135</v>
      </c>
      <c r="X239" s="116"/>
      <c r="Y239" s="116"/>
      <c r="Z239" s="116"/>
      <c r="AA239" s="116"/>
      <c r="AB239" s="116"/>
      <c r="AC239" s="116"/>
      <c r="AD239" s="1427"/>
      <c r="AE239" s="1428"/>
      <c r="AF239" s="73"/>
      <c r="AR239" s="143"/>
    </row>
    <row r="240" spans="1:73" ht="20.100000000000001" customHeight="1">
      <c r="E240" s="145" t="s">
        <v>136</v>
      </c>
      <c r="F240" s="145"/>
      <c r="G240" s="145"/>
      <c r="H240" s="145"/>
      <c r="I240" s="145"/>
      <c r="J240" s="117"/>
      <c r="K240" s="117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17" t="s">
        <v>137</v>
      </c>
      <c r="X240" s="117"/>
      <c r="Y240" s="117"/>
      <c r="Z240" s="117"/>
      <c r="AA240" s="117"/>
      <c r="AB240" s="117"/>
      <c r="AC240" s="117"/>
      <c r="AD240" s="1427"/>
      <c r="AE240" s="1428"/>
      <c r="AF240" s="73"/>
      <c r="AR240" s="143"/>
    </row>
    <row r="241" spans="1:49" ht="15" customHeight="1">
      <c r="A241" s="1182"/>
      <c r="C241" s="170"/>
      <c r="D241" s="170"/>
      <c r="E241" s="138"/>
      <c r="F241" s="170"/>
      <c r="G241" s="100"/>
      <c r="H241" s="170"/>
      <c r="I241" s="170"/>
      <c r="J241" s="170"/>
      <c r="K241" s="170"/>
      <c r="L241" s="1424"/>
      <c r="M241" s="170"/>
      <c r="N241" s="170"/>
      <c r="O241" s="170"/>
      <c r="P241" s="170"/>
      <c r="Q241" s="170"/>
      <c r="R241" s="170"/>
      <c r="S241" s="170"/>
      <c r="T241" s="170"/>
      <c r="U241" s="170"/>
      <c r="V241" s="170"/>
      <c r="W241" s="170"/>
      <c r="X241" s="170"/>
      <c r="Y241" s="1424"/>
      <c r="Z241" s="170"/>
      <c r="AA241" s="170"/>
      <c r="AD241" s="1428"/>
      <c r="AF241" s="1428"/>
    </row>
    <row r="242" spans="1:49" ht="15" customHeight="1">
      <c r="A242" s="1623" t="s">
        <v>2973</v>
      </c>
      <c r="B242" s="1622"/>
      <c r="C242" s="170"/>
      <c r="D242" s="170"/>
      <c r="E242" s="138"/>
      <c r="F242" s="170"/>
      <c r="G242" s="100"/>
      <c r="H242" s="170"/>
      <c r="I242" s="170"/>
      <c r="J242" s="170"/>
      <c r="K242" s="170"/>
      <c r="L242" s="1424"/>
      <c r="M242" s="170"/>
      <c r="N242" s="170"/>
      <c r="O242" s="170"/>
      <c r="P242" s="170"/>
      <c r="Q242" s="170"/>
      <c r="R242" s="170"/>
      <c r="S242" s="170"/>
      <c r="T242" s="170"/>
      <c r="U242" s="170"/>
      <c r="V242" s="170"/>
      <c r="W242" s="170"/>
      <c r="X242" s="170"/>
      <c r="Y242" s="1424"/>
      <c r="Z242" s="170"/>
      <c r="AA242" s="170"/>
      <c r="AD242" s="1428"/>
      <c r="AF242" s="1428"/>
    </row>
    <row r="243" spans="1:49" ht="15" customHeight="1" thickBot="1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70"/>
      <c r="L243" s="170"/>
      <c r="M243" s="170"/>
      <c r="N243" s="170"/>
      <c r="O243" s="170"/>
      <c r="P243" s="170"/>
      <c r="Q243" s="170"/>
      <c r="R243" s="170"/>
      <c r="S243" s="170"/>
      <c r="T243" s="170"/>
      <c r="U243" s="170"/>
      <c r="V243" s="170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  <c r="AG243" s="170"/>
      <c r="AH243" s="170"/>
      <c r="AI243" s="170"/>
      <c r="AJ243" s="170"/>
      <c r="AK243" s="170"/>
      <c r="AL243" s="170"/>
      <c r="AM243" s="170"/>
      <c r="AN243" s="170"/>
      <c r="AO243" s="122"/>
      <c r="AP243" s="122"/>
      <c r="AQ243" s="122"/>
      <c r="AR243" s="122"/>
    </row>
    <row r="244" spans="1:49" ht="15" customHeight="1" thickBot="1">
      <c r="A244" s="1182" t="s">
        <v>2561</v>
      </c>
      <c r="B244" s="170"/>
      <c r="C244" s="170"/>
      <c r="D244" s="124"/>
      <c r="E244" s="170"/>
      <c r="G244" s="2223" t="s">
        <v>2084</v>
      </c>
      <c r="H244" s="2224"/>
      <c r="I244" s="2224"/>
      <c r="J244" s="2225"/>
      <c r="L244" s="143"/>
      <c r="P244" s="170"/>
      <c r="Q244" s="170"/>
      <c r="R244" s="170"/>
      <c r="S244" s="170"/>
      <c r="T244" s="170"/>
      <c r="U244" s="124"/>
      <c r="V244" s="170"/>
      <c r="Y244" s="143"/>
      <c r="AB244" s="143"/>
      <c r="AJ244" s="505"/>
      <c r="AM244" s="76"/>
    </row>
    <row r="245" spans="1:49" ht="15" customHeight="1" thickBot="1">
      <c r="A245" s="1247"/>
      <c r="B245" s="170"/>
      <c r="C245" s="170"/>
      <c r="D245" s="124"/>
      <c r="E245" s="170"/>
      <c r="F245" s="1340"/>
      <c r="G245" s="1340"/>
      <c r="H245" s="1340"/>
      <c r="I245" s="1340"/>
      <c r="J245" s="1340"/>
      <c r="K245" s="1340"/>
      <c r="L245" s="143"/>
      <c r="P245" s="170"/>
      <c r="Q245" s="170"/>
      <c r="R245" s="170"/>
      <c r="S245" s="170"/>
      <c r="T245" s="170"/>
      <c r="U245" s="124"/>
      <c r="V245" s="170"/>
      <c r="Y245" s="143"/>
      <c r="AB245" s="143"/>
      <c r="AD245" s="1257"/>
      <c r="AF245" s="1257"/>
      <c r="AJ245" s="505"/>
      <c r="AM245" s="76"/>
    </row>
    <row r="246" spans="1:49" ht="24.95" customHeight="1" thickTop="1" thickBot="1">
      <c r="A246" s="1247"/>
      <c r="G246" s="1358"/>
      <c r="H246" s="1359"/>
      <c r="I246" s="1360" t="s">
        <v>2635</v>
      </c>
      <c r="J246" s="1361"/>
      <c r="K246" s="1361"/>
      <c r="L246" s="1361"/>
      <c r="M246" s="1361"/>
      <c r="N246" s="1361"/>
      <c r="O246" s="1361"/>
      <c r="P246" s="1360"/>
      <c r="Q246" s="1361"/>
      <c r="R246" s="1361"/>
      <c r="S246" s="1361"/>
      <c r="T246" s="1361"/>
      <c r="U246" s="1361"/>
      <c r="V246" s="1361"/>
      <c r="W246" s="1361"/>
      <c r="X246" s="1361"/>
      <c r="Y246" s="1361"/>
      <c r="Z246" s="1361"/>
      <c r="AA246" s="1361"/>
      <c r="AB246" s="1396" t="s">
        <v>2638</v>
      </c>
      <c r="AC246" s="1389"/>
      <c r="AD246" s="1388"/>
      <c r="AE246" s="2226" t="s">
        <v>2637</v>
      </c>
      <c r="AF246" s="2226"/>
      <c r="AG246" s="2226"/>
      <c r="AH246" s="2226"/>
      <c r="AI246" s="2226"/>
      <c r="AJ246" s="2226"/>
      <c r="AK246" s="1391"/>
      <c r="AL246" s="1390" t="s">
        <v>2636</v>
      </c>
      <c r="AM246" s="1390"/>
      <c r="AN246" s="1362"/>
      <c r="AO246" s="1363"/>
      <c r="AT246" s="1407" t="s">
        <v>2550</v>
      </c>
      <c r="AU246" s="1408" t="s">
        <v>2565</v>
      </c>
    </row>
    <row r="247" spans="1:49" ht="15" customHeight="1" thickTop="1">
      <c r="A247" s="1247"/>
      <c r="G247" s="1348"/>
      <c r="H247" s="1251"/>
      <c r="I247" s="1252" t="s">
        <v>2629</v>
      </c>
      <c r="J247" s="1251"/>
      <c r="K247" s="1251"/>
      <c r="L247" s="1264"/>
      <c r="M247" s="1264"/>
      <c r="N247" s="1264"/>
      <c r="O247" s="1264"/>
      <c r="P247" s="1264"/>
      <c r="Q247" s="1264"/>
      <c r="R247" s="1264"/>
      <c r="S247" s="115"/>
      <c r="T247" s="1176"/>
      <c r="U247" s="170"/>
      <c r="V247" s="170"/>
      <c r="W247" s="170"/>
      <c r="X247" s="170"/>
      <c r="Y247" s="170"/>
      <c r="Z247" s="170"/>
      <c r="AA247" s="2210">
        <f>MATCH(AE247,input!$C$3:$C$500,0)</f>
        <v>16</v>
      </c>
      <c r="AB247" s="2210"/>
      <c r="AC247" s="2211"/>
      <c r="AD247" s="1406"/>
      <c r="AE247" s="2227">
        <f>VLOOKUP(G244,AT247:AU251,2,TRUE)</f>
        <v>31.9</v>
      </c>
      <c r="AF247" s="2227"/>
      <c r="AG247" s="2227"/>
      <c r="AH247" s="2227"/>
      <c r="AI247" s="2227"/>
      <c r="AJ247" s="2227"/>
      <c r="AK247" s="1392"/>
      <c r="AL247" s="115" t="s">
        <v>2630</v>
      </c>
      <c r="AM247" s="115"/>
      <c r="AN247" s="1259"/>
      <c r="AO247" s="1349"/>
      <c r="AT247" s="1409" t="s">
        <v>2551</v>
      </c>
      <c r="AU247" s="1410">
        <v>31.9</v>
      </c>
      <c r="AW247" s="53"/>
    </row>
    <row r="248" spans="1:49" ht="15" customHeight="1">
      <c r="A248" s="1247"/>
      <c r="G248" s="1348"/>
      <c r="H248" s="1251"/>
      <c r="I248" s="1252" t="s">
        <v>2569</v>
      </c>
      <c r="J248" s="1251"/>
      <c r="K248" s="1251"/>
      <c r="L248" s="1264"/>
      <c r="M248" s="1264"/>
      <c r="N248" s="1264"/>
      <c r="O248" s="1264"/>
      <c r="P248" s="1264"/>
      <c r="Q248" s="1264"/>
      <c r="R248" s="1264"/>
      <c r="S248" s="115"/>
      <c r="T248" s="1176"/>
      <c r="U248" s="170"/>
      <c r="V248" s="170"/>
      <c r="W248" s="170"/>
      <c r="X248" s="170"/>
      <c r="Y248" s="170"/>
      <c r="Z248" s="170"/>
      <c r="AA248" s="170"/>
      <c r="AB248" s="89"/>
      <c r="AC248" s="1397"/>
      <c r="AD248" s="1392"/>
      <c r="AE248" s="1870" t="str">
        <f>IF(AE274&gt;=0,"Positive","Negative")</f>
        <v>Positive</v>
      </c>
      <c r="AF248" s="1870"/>
      <c r="AG248" s="1870"/>
      <c r="AH248" s="1870"/>
      <c r="AI248" s="1870"/>
      <c r="AJ248" s="1870"/>
      <c r="AK248" s="1392"/>
      <c r="AL248" s="115"/>
      <c r="AM248" s="115"/>
      <c r="AN248" s="1259"/>
      <c r="AO248" s="1349"/>
      <c r="AT248" s="1409" t="s">
        <v>2552</v>
      </c>
      <c r="AU248" s="1410">
        <v>71.900000000000006</v>
      </c>
      <c r="AW248" s="53"/>
    </row>
    <row r="249" spans="1:49" ht="15" customHeight="1">
      <c r="A249" s="1247"/>
      <c r="G249" s="1348"/>
      <c r="H249" s="1251"/>
      <c r="I249" s="1252" t="s">
        <v>2570</v>
      </c>
      <c r="J249" s="1251"/>
      <c r="K249" s="1251"/>
      <c r="L249" s="1264"/>
      <c r="M249" s="1264"/>
      <c r="N249" s="1264"/>
      <c r="O249" s="1264"/>
      <c r="P249" s="1264"/>
      <c r="Q249" s="1264"/>
      <c r="R249" s="1264"/>
      <c r="S249" s="115"/>
      <c r="T249" s="1176"/>
      <c r="U249" s="170"/>
      <c r="V249" s="170"/>
      <c r="W249" s="170"/>
      <c r="X249" s="170"/>
      <c r="Y249" s="170"/>
      <c r="Z249" s="170"/>
      <c r="AA249" s="170"/>
      <c r="AB249" s="89"/>
      <c r="AC249" s="1397"/>
      <c r="AD249" s="1392"/>
      <c r="AE249" s="1870" t="str">
        <f>IF(AE248="Positive","Compression","Tension")</f>
        <v>Compression</v>
      </c>
      <c r="AF249" s="1870"/>
      <c r="AG249" s="1870"/>
      <c r="AH249" s="1870"/>
      <c r="AI249" s="1870"/>
      <c r="AJ249" s="1870"/>
      <c r="AK249" s="1392"/>
      <c r="AL249" s="115"/>
      <c r="AM249" s="115"/>
      <c r="AN249" s="1259"/>
      <c r="AO249" s="1349"/>
      <c r="AT249" s="1409" t="s">
        <v>2553</v>
      </c>
      <c r="AU249" s="1410">
        <v>81.900000000000006</v>
      </c>
      <c r="AW249" s="53"/>
    </row>
    <row r="250" spans="1:49" ht="15" customHeight="1">
      <c r="A250" s="1247"/>
      <c r="G250" s="1348"/>
      <c r="H250" s="1251"/>
      <c r="I250" s="1252" t="s">
        <v>2577</v>
      </c>
      <c r="J250" s="1251"/>
      <c r="K250" s="1251"/>
      <c r="L250" s="1264"/>
      <c r="M250" s="1264"/>
      <c r="N250" s="1264"/>
      <c r="O250" s="1264"/>
      <c r="P250" s="1264"/>
      <c r="Q250" s="1264"/>
      <c r="R250" s="1264"/>
      <c r="S250" s="115"/>
      <c r="T250" s="1176"/>
      <c r="U250" s="170"/>
      <c r="V250" s="170"/>
      <c r="W250" s="170"/>
      <c r="X250" s="170"/>
      <c r="Y250" s="170"/>
      <c r="Z250" s="170"/>
      <c r="AA250" s="170"/>
      <c r="AB250" s="89" t="s">
        <v>367</v>
      </c>
      <c r="AC250" s="1397"/>
      <c r="AD250" s="1392"/>
      <c r="AE250" s="2160" cm="1">
        <f t="array" ref="AE250">INDEX(DIM,AA247,38)</f>
        <v>5000</v>
      </c>
      <c r="AF250" s="2160"/>
      <c r="AG250" s="2160"/>
      <c r="AH250" s="2160"/>
      <c r="AI250" s="2160"/>
      <c r="AJ250" s="2160"/>
      <c r="AK250" s="1392"/>
      <c r="AL250" s="115" t="s">
        <v>2631</v>
      </c>
      <c r="AM250" s="115"/>
      <c r="AN250" s="1259"/>
      <c r="AO250" s="1349"/>
      <c r="AT250" s="1409" t="s">
        <v>2554</v>
      </c>
      <c r="AU250" s="1410">
        <v>91.9</v>
      </c>
      <c r="AW250" s="53"/>
    </row>
    <row r="251" spans="1:49" ht="15" customHeight="1" thickBot="1">
      <c r="A251" s="1247"/>
      <c r="G251" s="1350"/>
      <c r="H251" s="1364"/>
      <c r="I251" s="1365" t="s">
        <v>2581</v>
      </c>
      <c r="J251" s="1364"/>
      <c r="K251" s="1364"/>
      <c r="L251" s="1366"/>
      <c r="M251" s="1366"/>
      <c r="N251" s="1366"/>
      <c r="O251" s="1366"/>
      <c r="P251" s="1366"/>
      <c r="Q251" s="1366"/>
      <c r="R251" s="1366"/>
      <c r="S251" s="1367"/>
      <c r="T251" s="1355"/>
      <c r="U251" s="84"/>
      <c r="V251" s="84"/>
      <c r="W251" s="84"/>
      <c r="X251" s="84"/>
      <c r="Y251" s="84"/>
      <c r="Z251" s="84"/>
      <c r="AA251" s="84"/>
      <c r="AB251" s="1402" t="s">
        <v>2580</v>
      </c>
      <c r="AC251" s="1398"/>
      <c r="AD251" s="1393"/>
      <c r="AE251" s="2162" cm="1">
        <f t="array" ref="AE251">INDEX(DIM,AA247,4)</f>
        <v>0</v>
      </c>
      <c r="AF251" s="2162"/>
      <c r="AG251" s="2162"/>
      <c r="AH251" s="2162"/>
      <c r="AI251" s="2162"/>
      <c r="AJ251" s="2162"/>
      <c r="AK251" s="1393"/>
      <c r="AL251" s="1367" t="s">
        <v>2630</v>
      </c>
      <c r="AM251" s="1367"/>
      <c r="AN251" s="1356"/>
      <c r="AO251" s="1357"/>
      <c r="AT251" s="1411" t="s">
        <v>2555</v>
      </c>
      <c r="AU251" s="1412">
        <v>121.9</v>
      </c>
      <c r="AW251" s="53"/>
    </row>
    <row r="252" spans="1:49" ht="15" customHeight="1" thickTop="1">
      <c r="A252" s="1247"/>
      <c r="G252" s="1348"/>
      <c r="H252" s="1251"/>
      <c r="I252" s="1425" t="s">
        <v>2571</v>
      </c>
      <c r="J252" s="1251"/>
      <c r="K252" s="1251"/>
      <c r="L252" s="1264"/>
      <c r="M252" s="170"/>
      <c r="N252" s="1248" t="s">
        <v>2572</v>
      </c>
      <c r="O252" s="1264"/>
      <c r="P252" s="1264"/>
      <c r="Q252" s="1264"/>
      <c r="R252" s="1264"/>
      <c r="S252" s="115"/>
      <c r="T252" s="1176"/>
      <c r="U252" s="170"/>
      <c r="V252" s="170"/>
      <c r="W252" s="170"/>
      <c r="X252" s="170"/>
      <c r="Y252" s="170"/>
      <c r="Z252" s="170"/>
      <c r="AA252" s="170"/>
      <c r="AB252" s="89" t="s">
        <v>2989</v>
      </c>
      <c r="AC252" s="1397"/>
      <c r="AD252" s="1392"/>
      <c r="AE252" s="2167" cm="1">
        <f t="array" ref="AE252">INDEX(DIMex,AA247,12)</f>
        <v>0</v>
      </c>
      <c r="AF252" s="2167"/>
      <c r="AG252" s="2167"/>
      <c r="AH252" s="2167"/>
      <c r="AI252" s="2167"/>
      <c r="AJ252" s="2167"/>
      <c r="AK252" s="1392"/>
      <c r="AL252" s="115" t="s">
        <v>2632</v>
      </c>
      <c r="AM252" s="115"/>
      <c r="AN252" s="1259"/>
      <c r="AO252" s="1349"/>
    </row>
    <row r="253" spans="1:49" ht="15" customHeight="1" thickBot="1">
      <c r="A253" s="1247"/>
      <c r="G253" s="1350"/>
      <c r="H253" s="1364"/>
      <c r="I253" s="1365"/>
      <c r="J253" s="1364"/>
      <c r="K253" s="1364"/>
      <c r="L253" s="1366"/>
      <c r="M253" s="84"/>
      <c r="N253" s="1353" t="s">
        <v>2573</v>
      </c>
      <c r="O253" s="1366"/>
      <c r="P253" s="1366"/>
      <c r="Q253" s="1366"/>
      <c r="R253" s="1366"/>
      <c r="S253" s="1367"/>
      <c r="T253" s="1355"/>
      <c r="U253" s="84"/>
      <c r="V253" s="84"/>
      <c r="W253" s="84"/>
      <c r="X253" s="84"/>
      <c r="Y253" s="84"/>
      <c r="Z253" s="84"/>
      <c r="AA253" s="84"/>
      <c r="AB253" s="1402" t="s">
        <v>2990</v>
      </c>
      <c r="AC253" s="1398"/>
      <c r="AD253" s="1393"/>
      <c r="AE253" s="2204" cm="1">
        <f t="array" ref="AE253">INDEX(DIMex,AA247,14)</f>
        <v>1595000</v>
      </c>
      <c r="AF253" s="2204"/>
      <c r="AG253" s="2204"/>
      <c r="AH253" s="2204"/>
      <c r="AI253" s="2204"/>
      <c r="AJ253" s="2204"/>
      <c r="AK253" s="1393"/>
      <c r="AL253" s="1367" t="s">
        <v>2632</v>
      </c>
      <c r="AM253" s="1367"/>
      <c r="AN253" s="1356"/>
      <c r="AO253" s="1357"/>
    </row>
    <row r="254" spans="1:49" ht="15" customHeight="1" thickTop="1">
      <c r="A254" s="1247"/>
      <c r="G254" s="1370"/>
      <c r="H254" s="1371"/>
      <c r="I254" s="1372" t="s">
        <v>2560</v>
      </c>
      <c r="J254" s="1371"/>
      <c r="K254" s="1371"/>
      <c r="L254" s="1373"/>
      <c r="M254" s="1374"/>
      <c r="N254" s="1375" t="s">
        <v>2586</v>
      </c>
      <c r="O254" s="1373"/>
      <c r="P254" s="1373"/>
      <c r="Q254" s="1373"/>
      <c r="R254" s="1373"/>
      <c r="S254" s="1377"/>
      <c r="T254" s="1378"/>
      <c r="U254" s="1374"/>
      <c r="V254" s="1374"/>
      <c r="W254" s="1374"/>
      <c r="X254" s="1374"/>
      <c r="Y254" s="1374"/>
      <c r="Z254" s="1374"/>
      <c r="AA254" s="1374"/>
      <c r="AB254" s="1403" t="s">
        <v>1638</v>
      </c>
      <c r="AC254" s="1399"/>
      <c r="AD254" s="1394"/>
      <c r="AE254" s="2206" cm="1">
        <f t="array" ref="AE254">INDEX(DIM,AA247,6)</f>
        <v>2</v>
      </c>
      <c r="AF254" s="2206"/>
      <c r="AG254" s="2206"/>
      <c r="AH254" s="2206"/>
      <c r="AI254" s="2206"/>
      <c r="AJ254" s="2206"/>
      <c r="AK254" s="1394"/>
      <c r="AL254" s="1377" t="s">
        <v>2631</v>
      </c>
      <c r="AM254" s="1377"/>
      <c r="AN254" s="1379"/>
      <c r="AO254" s="1380"/>
    </row>
    <row r="255" spans="1:49" ht="15" customHeight="1">
      <c r="A255" s="1247"/>
      <c r="G255" s="1348"/>
      <c r="H255" s="1251"/>
      <c r="I255" s="1252"/>
      <c r="J255" s="1251"/>
      <c r="K255" s="1251"/>
      <c r="L255" s="1264"/>
      <c r="M255" s="170"/>
      <c r="N255" s="1248" t="s">
        <v>2587</v>
      </c>
      <c r="O255" s="1264"/>
      <c r="P255" s="1264"/>
      <c r="Q255" s="1264"/>
      <c r="R255" s="1264"/>
      <c r="S255" s="115"/>
      <c r="T255" s="1176"/>
      <c r="U255" s="170"/>
      <c r="V255" s="170"/>
      <c r="W255" s="170"/>
      <c r="X255" s="170"/>
      <c r="Y255" s="170"/>
      <c r="Z255" s="170"/>
      <c r="AA255" s="170"/>
      <c r="AB255" s="89" t="s">
        <v>1639</v>
      </c>
      <c r="AC255" s="1397"/>
      <c r="AD255" s="1392"/>
      <c r="AE255" s="2103" cm="1">
        <f t="array" ref="AE255">INDEX(DIM,AA247,7)</f>
        <v>600</v>
      </c>
      <c r="AF255" s="2103"/>
      <c r="AG255" s="2103"/>
      <c r="AH255" s="2103"/>
      <c r="AI255" s="2103"/>
      <c r="AJ255" s="2103"/>
      <c r="AK255" s="1392"/>
      <c r="AL255" s="115" t="s">
        <v>2631</v>
      </c>
      <c r="AM255" s="115"/>
      <c r="AN255" s="1259"/>
      <c r="AO255" s="1349"/>
    </row>
    <row r="256" spans="1:49" ht="15" customHeight="1">
      <c r="A256" s="1247"/>
      <c r="G256" s="1368"/>
      <c r="H256" s="1260"/>
      <c r="I256" s="1255"/>
      <c r="J256" s="1260"/>
      <c r="K256" s="1260"/>
      <c r="L256" s="1343"/>
      <c r="M256" s="118"/>
      <c r="N256" s="1344" t="s">
        <v>2588</v>
      </c>
      <c r="O256" s="1343"/>
      <c r="P256" s="1343"/>
      <c r="Q256" s="1343"/>
      <c r="R256" s="1343"/>
      <c r="S256" s="104"/>
      <c r="T256" s="1345"/>
      <c r="U256" s="118"/>
      <c r="V256" s="118"/>
      <c r="W256" s="118"/>
      <c r="X256" s="118"/>
      <c r="Y256" s="118"/>
      <c r="Z256" s="118"/>
      <c r="AA256" s="118"/>
      <c r="AB256" s="1404" t="s">
        <v>699</v>
      </c>
      <c r="AC256" s="1400"/>
      <c r="AD256" s="377"/>
      <c r="AE256" s="2208" cm="1">
        <f t="array" ref="AE256">INDEX(DIM,AA247,8)</f>
        <v>40</v>
      </c>
      <c r="AF256" s="2208"/>
      <c r="AG256" s="2208"/>
      <c r="AH256" s="2208"/>
      <c r="AI256" s="2208"/>
      <c r="AJ256" s="2208"/>
      <c r="AK256" s="377"/>
      <c r="AL256" s="104" t="s">
        <v>2631</v>
      </c>
      <c r="AM256" s="104"/>
      <c r="AN256" s="1346"/>
      <c r="AO256" s="1369"/>
    </row>
    <row r="257" spans="1:45" ht="15" customHeight="1">
      <c r="A257" s="1247"/>
      <c r="G257" s="1381"/>
      <c r="H257" s="1265"/>
      <c r="I257" s="1254" t="s">
        <v>2562</v>
      </c>
      <c r="J257" s="1265"/>
      <c r="K257" s="1265"/>
      <c r="L257" s="1382"/>
      <c r="M257" s="99"/>
      <c r="N257" s="1383" t="s">
        <v>2587</v>
      </c>
      <c r="O257" s="1382"/>
      <c r="P257" s="1382"/>
      <c r="Q257" s="1382"/>
      <c r="R257" s="1382"/>
      <c r="S257" s="666"/>
      <c r="T257" s="1385"/>
      <c r="U257" s="99"/>
      <c r="V257" s="99"/>
      <c r="W257" s="99"/>
      <c r="X257" s="99"/>
      <c r="Y257" s="99"/>
      <c r="Z257" s="99"/>
      <c r="AA257" s="99"/>
      <c r="AB257" s="1405" t="s">
        <v>1606</v>
      </c>
      <c r="AC257" s="1401"/>
      <c r="AD257" s="1395"/>
      <c r="AE257" s="2205" cm="1">
        <f t="array" ref="AE257">INDEX(DIM,AA247,10)</f>
        <v>1940</v>
      </c>
      <c r="AF257" s="2205"/>
      <c r="AG257" s="2205"/>
      <c r="AH257" s="2205"/>
      <c r="AI257" s="2205"/>
      <c r="AJ257" s="2205"/>
      <c r="AK257" s="1395"/>
      <c r="AL257" s="666" t="s">
        <v>2631</v>
      </c>
      <c r="AM257" s="666"/>
      <c r="AN257" s="1386"/>
      <c r="AO257" s="1387"/>
    </row>
    <row r="258" spans="1:45" ht="15" customHeight="1">
      <c r="A258" s="1247"/>
      <c r="G258" s="1348"/>
      <c r="H258" s="1251"/>
      <c r="I258" s="1252"/>
      <c r="J258" s="1251"/>
      <c r="K258" s="1251"/>
      <c r="L258" s="1264"/>
      <c r="M258" s="170"/>
      <c r="N258" s="1248" t="s">
        <v>2588</v>
      </c>
      <c r="O258" s="1264"/>
      <c r="P258" s="1264"/>
      <c r="Q258" s="1264"/>
      <c r="R258" s="1264"/>
      <c r="S258" s="115"/>
      <c r="T258" s="1176"/>
      <c r="U258" s="170"/>
      <c r="V258" s="170"/>
      <c r="W258" s="170"/>
      <c r="X258" s="170"/>
      <c r="Y258" s="170"/>
      <c r="Z258" s="170"/>
      <c r="AA258" s="170"/>
      <c r="AB258" s="89" t="s">
        <v>1607</v>
      </c>
      <c r="AC258" s="1397"/>
      <c r="AD258" s="1392"/>
      <c r="AE258" s="2103" cm="1">
        <f t="array" ref="AE258">INDEX(DIM,AA247,11)</f>
        <v>40</v>
      </c>
      <c r="AF258" s="2103"/>
      <c r="AG258" s="2103"/>
      <c r="AH258" s="2103"/>
      <c r="AI258" s="2103"/>
      <c r="AJ258" s="2103"/>
      <c r="AK258" s="1392"/>
      <c r="AL258" s="115" t="s">
        <v>2631</v>
      </c>
      <c r="AM258" s="115"/>
      <c r="AN258" s="1259"/>
      <c r="AO258" s="1349"/>
    </row>
    <row r="259" spans="1:45" ht="15" customHeight="1">
      <c r="A259" s="1247"/>
      <c r="G259" s="1368"/>
      <c r="H259" s="1260"/>
      <c r="I259" s="1255"/>
      <c r="J259" s="1260"/>
      <c r="K259" s="1260"/>
      <c r="L259" s="1343"/>
      <c r="M259" s="118"/>
      <c r="N259" s="1344" t="s">
        <v>2578</v>
      </c>
      <c r="O259" s="1343"/>
      <c r="P259" s="1343"/>
      <c r="Q259" s="1343"/>
      <c r="R259" s="1343"/>
      <c r="S259" s="104"/>
      <c r="T259" s="1345"/>
      <c r="U259" s="118"/>
      <c r="V259" s="118"/>
      <c r="W259" s="118"/>
      <c r="X259" s="118"/>
      <c r="Y259" s="118"/>
      <c r="Z259" s="118"/>
      <c r="AA259" s="118"/>
      <c r="AB259" s="1404" t="s">
        <v>1641</v>
      </c>
      <c r="AC259" s="1400"/>
      <c r="AD259" s="377"/>
      <c r="AE259" s="2208" cm="1">
        <f t="array" ref="AE259">INDEX(DIM,AA247,12)</f>
        <v>120</v>
      </c>
      <c r="AF259" s="2208"/>
      <c r="AG259" s="2208"/>
      <c r="AH259" s="2208"/>
      <c r="AI259" s="2208"/>
      <c r="AJ259" s="2208"/>
      <c r="AK259" s="377"/>
      <c r="AL259" s="104" t="s">
        <v>2631</v>
      </c>
      <c r="AM259" s="104"/>
      <c r="AN259" s="1346"/>
      <c r="AO259" s="1369"/>
    </row>
    <row r="260" spans="1:45" ht="15" customHeight="1">
      <c r="A260" s="1247"/>
      <c r="G260" s="1381"/>
      <c r="H260" s="1265"/>
      <c r="I260" s="1254" t="s">
        <v>2563</v>
      </c>
      <c r="J260" s="1265"/>
      <c r="K260" s="1265"/>
      <c r="L260" s="1382"/>
      <c r="M260" s="99"/>
      <c r="N260" s="1383" t="s">
        <v>2574</v>
      </c>
      <c r="O260" s="1382"/>
      <c r="P260" s="1382"/>
      <c r="Q260" s="1382"/>
      <c r="R260" s="1382"/>
      <c r="S260" s="666"/>
      <c r="T260" s="1385"/>
      <c r="U260" s="99"/>
      <c r="V260" s="99"/>
      <c r="W260" s="99"/>
      <c r="X260" s="99"/>
      <c r="Y260" s="99"/>
      <c r="Z260" s="99"/>
      <c r="AA260" s="99"/>
      <c r="AB260" s="1405" t="s">
        <v>414</v>
      </c>
      <c r="AC260" s="1401"/>
      <c r="AD260" s="1395"/>
      <c r="AE260" s="2205" cm="1">
        <f t="array" ref="AE260">INDEX(DIM,AA247,13)</f>
        <v>2800</v>
      </c>
      <c r="AF260" s="2205"/>
      <c r="AG260" s="2205"/>
      <c r="AH260" s="2205"/>
      <c r="AI260" s="2205"/>
      <c r="AJ260" s="2205"/>
      <c r="AK260" s="1395"/>
      <c r="AL260" s="666" t="s">
        <v>2631</v>
      </c>
      <c r="AM260" s="666"/>
      <c r="AN260" s="1386"/>
      <c r="AO260" s="1387"/>
    </row>
    <row r="261" spans="1:45" ht="15" customHeight="1">
      <c r="A261" s="1247"/>
      <c r="G261" s="1348"/>
      <c r="H261" s="1251"/>
      <c r="I261" s="1252"/>
      <c r="J261" s="1251"/>
      <c r="K261" s="1251"/>
      <c r="L261" s="1264"/>
      <c r="M261" s="170"/>
      <c r="N261" s="1248" t="s">
        <v>2575</v>
      </c>
      <c r="O261" s="1264"/>
      <c r="P261" s="1264"/>
      <c r="Q261" s="1264"/>
      <c r="R261" s="1264"/>
      <c r="S261" s="115"/>
      <c r="T261" s="1176"/>
      <c r="U261" s="170"/>
      <c r="V261" s="170"/>
      <c r="W261" s="170"/>
      <c r="X261" s="170"/>
      <c r="Y261" s="170"/>
      <c r="Z261" s="170"/>
      <c r="AA261" s="170"/>
      <c r="AB261" s="89" t="s">
        <v>359</v>
      </c>
      <c r="AC261" s="1397"/>
      <c r="AD261" s="1392"/>
      <c r="AE261" s="2103" cm="1">
        <f t="array" ref="AE261">INDEX(DIM,AA247,14)</f>
        <v>12</v>
      </c>
      <c r="AF261" s="2103"/>
      <c r="AG261" s="2103"/>
      <c r="AH261" s="2103"/>
      <c r="AI261" s="2103"/>
      <c r="AJ261" s="2103"/>
      <c r="AK261" s="1392"/>
      <c r="AL261" s="115" t="s">
        <v>2631</v>
      </c>
      <c r="AM261" s="115"/>
      <c r="AN261" s="1259"/>
      <c r="AO261" s="1349"/>
    </row>
    <row r="262" spans="1:45" ht="15" customHeight="1">
      <c r="A262" s="1247"/>
      <c r="G262" s="1368"/>
      <c r="H262" s="1260"/>
      <c r="I262" s="1255"/>
      <c r="J262" s="1260"/>
      <c r="K262" s="1260"/>
      <c r="L262" s="1343"/>
      <c r="M262" s="118"/>
      <c r="N262" s="1344" t="s">
        <v>2576</v>
      </c>
      <c r="O262" s="1343"/>
      <c r="P262" s="1343"/>
      <c r="Q262" s="1343"/>
      <c r="R262" s="1343"/>
      <c r="S262" s="104"/>
      <c r="T262" s="1345"/>
      <c r="U262" s="118"/>
      <c r="V262" s="118"/>
      <c r="W262" s="118"/>
      <c r="X262" s="118"/>
      <c r="Y262" s="118"/>
      <c r="Z262" s="118"/>
      <c r="AA262" s="118"/>
      <c r="AB262" s="1404" t="s">
        <v>777</v>
      </c>
      <c r="AC262" s="1400"/>
      <c r="AD262" s="377"/>
      <c r="AE262" s="2209" cm="1">
        <f t="array" ref="AE262">INDEX(DIMex,AA247,8)</f>
        <v>0.125</v>
      </c>
      <c r="AF262" s="2209"/>
      <c r="AG262" s="2209"/>
      <c r="AH262" s="2209"/>
      <c r="AI262" s="2209"/>
      <c r="AJ262" s="2209"/>
      <c r="AK262" s="377"/>
      <c r="AL262" s="104" t="s">
        <v>2639</v>
      </c>
      <c r="AM262" s="104"/>
      <c r="AN262" s="1346"/>
      <c r="AO262" s="1369"/>
    </row>
    <row r="263" spans="1:45" ht="15" customHeight="1">
      <c r="A263" s="1247"/>
      <c r="G263" s="1348"/>
      <c r="H263" s="1251"/>
      <c r="I263" s="1252" t="s">
        <v>2564</v>
      </c>
      <c r="J263" s="1251"/>
      <c r="K263" s="1251"/>
      <c r="L263" s="1264"/>
      <c r="M263" s="170"/>
      <c r="N263" s="1248" t="s">
        <v>2578</v>
      </c>
      <c r="O263" s="1264"/>
      <c r="P263" s="1264"/>
      <c r="Q263" s="1264"/>
      <c r="R263" s="1264"/>
      <c r="S263" s="115"/>
      <c r="T263" s="1176"/>
      <c r="U263" s="170"/>
      <c r="V263" s="170"/>
      <c r="W263" s="170"/>
      <c r="X263" s="170"/>
      <c r="Y263" s="170"/>
      <c r="Z263" s="170"/>
      <c r="AA263" s="170"/>
      <c r="AB263" s="89" t="s">
        <v>617</v>
      </c>
      <c r="AC263" s="1397"/>
      <c r="AD263" s="1392"/>
      <c r="AE263" s="2103" cm="1">
        <f t="array" ref="AE263">INDEX(DIM,AA247,20)</f>
        <v>1200</v>
      </c>
      <c r="AF263" s="2103"/>
      <c r="AG263" s="2103"/>
      <c r="AH263" s="2103"/>
      <c r="AI263" s="2103"/>
      <c r="AJ263" s="2103"/>
      <c r="AK263" s="1392"/>
      <c r="AL263" s="115" t="s">
        <v>2631</v>
      </c>
      <c r="AM263" s="115"/>
      <c r="AN263" s="1259"/>
      <c r="AO263" s="1349"/>
    </row>
    <row r="264" spans="1:45" ht="15" customHeight="1">
      <c r="A264" s="1247"/>
      <c r="G264" s="1348"/>
      <c r="H264" s="1251"/>
      <c r="I264" s="1251"/>
      <c r="J264" s="1251"/>
      <c r="K264" s="1251"/>
      <c r="L264" s="1264"/>
      <c r="M264" s="170"/>
      <c r="N264" s="1248" t="s">
        <v>2575</v>
      </c>
      <c r="O264" s="1264"/>
      <c r="P264" s="1264"/>
      <c r="Q264" s="1264"/>
      <c r="R264" s="1264"/>
      <c r="S264" s="115"/>
      <c r="T264" s="1176"/>
      <c r="U264" s="170"/>
      <c r="V264" s="170"/>
      <c r="W264" s="170"/>
      <c r="X264" s="170"/>
      <c r="Y264" s="170"/>
      <c r="Z264" s="170"/>
      <c r="AA264" s="170"/>
      <c r="AB264" s="89" t="s">
        <v>358</v>
      </c>
      <c r="AC264" s="1397"/>
      <c r="AD264" s="1392"/>
      <c r="AE264" s="2103" cm="1">
        <f t="array" ref="AE264">INDEX(DIM,AA247,16)</f>
        <v>290</v>
      </c>
      <c r="AF264" s="2103"/>
      <c r="AG264" s="2103"/>
      <c r="AH264" s="2103"/>
      <c r="AI264" s="2103"/>
      <c r="AJ264" s="2103"/>
      <c r="AK264" s="1392"/>
      <c r="AL264" s="115" t="s">
        <v>2631</v>
      </c>
      <c r="AM264" s="115"/>
      <c r="AN264" s="1259"/>
      <c r="AO264" s="1349"/>
    </row>
    <row r="265" spans="1:45" ht="15" customHeight="1" thickBot="1">
      <c r="A265" s="1247"/>
      <c r="G265" s="1350"/>
      <c r="H265" s="1364"/>
      <c r="I265" s="1364"/>
      <c r="J265" s="1364"/>
      <c r="K265" s="1364"/>
      <c r="L265" s="1366"/>
      <c r="M265" s="84"/>
      <c r="N265" s="1353" t="s">
        <v>2618</v>
      </c>
      <c r="O265" s="1366"/>
      <c r="P265" s="1366"/>
      <c r="Q265" s="1366"/>
      <c r="R265" s="1366"/>
      <c r="S265" s="1367"/>
      <c r="T265" s="1355"/>
      <c r="U265" s="84"/>
      <c r="V265" s="84"/>
      <c r="W265" s="84"/>
      <c r="X265" s="84"/>
      <c r="Y265" s="84"/>
      <c r="Z265" s="84"/>
      <c r="AA265" s="84"/>
      <c r="AB265" s="1402" t="s">
        <v>405</v>
      </c>
      <c r="AC265" s="1398"/>
      <c r="AD265" s="1393"/>
      <c r="AE265" s="2200" cm="1">
        <f t="array" ref="AE265">INDEX(DIM,AA247,21)</f>
        <v>2400</v>
      </c>
      <c r="AF265" s="2200"/>
      <c r="AG265" s="2200"/>
      <c r="AH265" s="2200"/>
      <c r="AI265" s="2200"/>
      <c r="AJ265" s="2200"/>
      <c r="AK265" s="1393"/>
      <c r="AL265" s="1367" t="s">
        <v>2631</v>
      </c>
      <c r="AM265" s="1367"/>
      <c r="AN265" s="1356"/>
      <c r="AO265" s="1357"/>
    </row>
    <row r="266" spans="1:45" ht="15" customHeight="1" thickTop="1">
      <c r="A266" s="1247"/>
      <c r="G266" s="1381"/>
      <c r="H266" s="1265"/>
      <c r="I266" s="1254" t="s">
        <v>2860</v>
      </c>
      <c r="J266" s="1265"/>
      <c r="K266" s="1265"/>
      <c r="L266" s="1382"/>
      <c r="M266" s="99"/>
      <c r="N266" s="1383" t="s">
        <v>2650</v>
      </c>
      <c r="O266" s="1382"/>
      <c r="P266" s="1382"/>
      <c r="Q266" s="1382"/>
      <c r="R266" s="1382"/>
      <c r="S266" s="666"/>
      <c r="T266" s="1385"/>
      <c r="U266" s="99"/>
      <c r="V266" s="99"/>
      <c r="W266" s="99"/>
      <c r="X266" s="99"/>
      <c r="Y266" s="99"/>
      <c r="Z266" s="99"/>
      <c r="AA266" s="99"/>
      <c r="AB266" s="1405" t="s">
        <v>2991</v>
      </c>
      <c r="AC266" s="1401"/>
      <c r="AD266" s="1394"/>
      <c r="AE266" s="2206" cm="1">
        <f t="array" ref="AE266">INDEX(DIM,AA247,30)</f>
        <v>2</v>
      </c>
      <c r="AF266" s="2206"/>
      <c r="AG266" s="2206"/>
      <c r="AH266" s="2206"/>
      <c r="AI266" s="2206"/>
      <c r="AJ266" s="2230"/>
      <c r="AK266" s="1395"/>
      <c r="AL266" s="666" t="s">
        <v>2631</v>
      </c>
      <c r="AM266" s="666"/>
      <c r="AN266" s="1386"/>
      <c r="AO266" s="1387"/>
      <c r="AS266" s="1628" t="str">
        <f>IF(AE266=0,"Hide this row","")</f>
        <v/>
      </c>
    </row>
    <row r="267" spans="1:45" ht="15" customHeight="1">
      <c r="A267" s="1247"/>
      <c r="G267" s="1348"/>
      <c r="H267" s="1251"/>
      <c r="I267" s="1252"/>
      <c r="J267" s="1251"/>
      <c r="K267" s="1251"/>
      <c r="L267" s="1264"/>
      <c r="M267" s="170"/>
      <c r="N267" s="1248"/>
      <c r="O267" s="1264"/>
      <c r="P267" s="1264"/>
      <c r="Q267" s="1264"/>
      <c r="R267" s="1264"/>
      <c r="S267" s="115"/>
      <c r="T267" s="1176"/>
      <c r="U267" s="170"/>
      <c r="V267" s="170"/>
      <c r="W267" s="170"/>
      <c r="X267" s="170"/>
      <c r="Y267" s="170"/>
      <c r="Z267" s="170"/>
      <c r="AA267" s="170"/>
      <c r="AB267" s="89" t="s">
        <v>1879</v>
      </c>
      <c r="AC267" s="1397"/>
      <c r="AD267" s="1392"/>
      <c r="AE267" s="2103" cm="1">
        <f t="array" ref="AE267">INDEX(DIM,AA247,31)</f>
        <v>160</v>
      </c>
      <c r="AF267" s="2103"/>
      <c r="AG267" s="2103"/>
      <c r="AH267" s="2103"/>
      <c r="AI267" s="2103"/>
      <c r="AJ267" s="2213"/>
      <c r="AK267" s="1392"/>
      <c r="AL267" s="115" t="s">
        <v>2631</v>
      </c>
      <c r="AM267" s="115"/>
      <c r="AN267" s="1259"/>
      <c r="AO267" s="1349"/>
      <c r="AS267" s="1628" t="str">
        <f t="shared" ref="AS267:AS271" si="0">IF(AE267=0,"Hide this row","")</f>
        <v/>
      </c>
    </row>
    <row r="268" spans="1:45" ht="15" customHeight="1">
      <c r="A268" s="1247"/>
      <c r="G268" s="1368"/>
      <c r="H268" s="1260"/>
      <c r="I268" s="1255"/>
      <c r="J268" s="1260"/>
      <c r="K268" s="1260"/>
      <c r="L268" s="1343"/>
      <c r="M268" s="118"/>
      <c r="N268" s="1344"/>
      <c r="O268" s="1343"/>
      <c r="P268" s="1343"/>
      <c r="Q268" s="1343"/>
      <c r="R268" s="1343"/>
      <c r="S268" s="104"/>
      <c r="T268" s="1345"/>
      <c r="U268" s="118"/>
      <c r="V268" s="118"/>
      <c r="W268" s="118"/>
      <c r="X268" s="118"/>
      <c r="Y268" s="118"/>
      <c r="Z268" s="118"/>
      <c r="AA268" s="118"/>
      <c r="AB268" s="1404" t="s">
        <v>1880</v>
      </c>
      <c r="AC268" s="1400"/>
      <c r="AD268" s="377"/>
      <c r="AE268" s="2208" cm="1">
        <f t="array" ref="AE268">INDEX(DIM,AA247,32)</f>
        <v>16</v>
      </c>
      <c r="AF268" s="2208"/>
      <c r="AG268" s="2208"/>
      <c r="AH268" s="2208"/>
      <c r="AI268" s="2208"/>
      <c r="AJ268" s="2214"/>
      <c r="AK268" s="377"/>
      <c r="AL268" s="104" t="s">
        <v>999</v>
      </c>
      <c r="AM268" s="104"/>
      <c r="AN268" s="1346"/>
      <c r="AO268" s="1369"/>
      <c r="AS268" s="1628" t="str">
        <f t="shared" si="0"/>
        <v/>
      </c>
    </row>
    <row r="269" spans="1:45" ht="15" hidden="1" customHeight="1">
      <c r="A269" s="1247"/>
      <c r="G269" s="1381"/>
      <c r="H269" s="1265"/>
      <c r="I269" s="1254"/>
      <c r="J269" s="1265"/>
      <c r="K269" s="1265"/>
      <c r="L269" s="1382"/>
      <c r="M269" s="99"/>
      <c r="N269" s="1383" t="s">
        <v>2649</v>
      </c>
      <c r="O269" s="1382"/>
      <c r="P269" s="1382"/>
      <c r="Q269" s="1382"/>
      <c r="R269" s="1382"/>
      <c r="S269" s="666"/>
      <c r="T269" s="1385"/>
      <c r="U269" s="99"/>
      <c r="V269" s="99"/>
      <c r="W269" s="99"/>
      <c r="X269" s="99"/>
      <c r="Y269" s="99"/>
      <c r="Z269" s="99"/>
      <c r="AA269" s="99"/>
      <c r="AB269" s="1405" t="s">
        <v>2992</v>
      </c>
      <c r="AC269" s="1401"/>
      <c r="AD269" s="1395"/>
      <c r="AE269" s="2205" cm="1">
        <f t="array" ref="AE269">INDEX(DIM,AA247,33)</f>
        <v>0</v>
      </c>
      <c r="AF269" s="2205"/>
      <c r="AG269" s="2205"/>
      <c r="AH269" s="2205"/>
      <c r="AI269" s="2205"/>
      <c r="AJ269" s="2231"/>
      <c r="AK269" s="1395"/>
      <c r="AL269" s="666" t="s">
        <v>2631</v>
      </c>
      <c r="AM269" s="666"/>
      <c r="AN269" s="1386"/>
      <c r="AO269" s="1387"/>
      <c r="AS269" s="1628" t="str">
        <f t="shared" si="0"/>
        <v>Hide this row</v>
      </c>
    </row>
    <row r="270" spans="1:45" ht="15" hidden="1" customHeight="1">
      <c r="A270" s="1247"/>
      <c r="G270" s="1348"/>
      <c r="H270" s="1251"/>
      <c r="I270" s="1252"/>
      <c r="J270" s="1251"/>
      <c r="K270" s="1251"/>
      <c r="L270" s="1264"/>
      <c r="M270" s="170"/>
      <c r="N270" s="1248"/>
      <c r="O270" s="1264"/>
      <c r="P270" s="1264"/>
      <c r="Q270" s="1264"/>
      <c r="R270" s="1264"/>
      <c r="S270" s="115"/>
      <c r="T270" s="1176"/>
      <c r="U270" s="170"/>
      <c r="V270" s="170"/>
      <c r="W270" s="170"/>
      <c r="X270" s="170"/>
      <c r="Y270" s="170"/>
      <c r="Z270" s="170"/>
      <c r="AA270" s="170"/>
      <c r="AB270" s="89" t="s">
        <v>1881</v>
      </c>
      <c r="AC270" s="1397"/>
      <c r="AD270" s="1392"/>
      <c r="AE270" s="2103" cm="1">
        <f t="array" ref="AE270">INDEX(DIM,AA247,34)</f>
        <v>0</v>
      </c>
      <c r="AF270" s="2103"/>
      <c r="AG270" s="2103"/>
      <c r="AH270" s="2103"/>
      <c r="AI270" s="2103"/>
      <c r="AJ270" s="2213"/>
      <c r="AK270" s="1392"/>
      <c r="AL270" s="115" t="s">
        <v>2631</v>
      </c>
      <c r="AM270" s="115"/>
      <c r="AN270" s="1259"/>
      <c r="AO270" s="1349"/>
      <c r="AS270" s="1628" t="str">
        <f t="shared" si="0"/>
        <v>Hide this row</v>
      </c>
    </row>
    <row r="271" spans="1:45" ht="15" hidden="1" customHeight="1">
      <c r="A271" s="1247"/>
      <c r="G271" s="1368"/>
      <c r="H271" s="1260"/>
      <c r="I271" s="1255"/>
      <c r="J271" s="1260"/>
      <c r="K271" s="1260"/>
      <c r="L271" s="1343"/>
      <c r="M271" s="118"/>
      <c r="N271" s="1344"/>
      <c r="O271" s="1343"/>
      <c r="P271" s="1343"/>
      <c r="Q271" s="1343"/>
      <c r="R271" s="1343"/>
      <c r="S271" s="104"/>
      <c r="T271" s="1345"/>
      <c r="U271" s="118"/>
      <c r="V271" s="118"/>
      <c r="W271" s="118"/>
      <c r="X271" s="118"/>
      <c r="Y271" s="118"/>
      <c r="Z271" s="118"/>
      <c r="AA271" s="118"/>
      <c r="AB271" s="1404" t="s">
        <v>1882</v>
      </c>
      <c r="AC271" s="1400"/>
      <c r="AD271" s="377"/>
      <c r="AE271" s="2208" cm="1">
        <f t="array" ref="AE271">INDEX(DIM,AA247,35)</f>
        <v>0</v>
      </c>
      <c r="AF271" s="2208"/>
      <c r="AG271" s="2208"/>
      <c r="AH271" s="2208"/>
      <c r="AI271" s="2208"/>
      <c r="AJ271" s="2214"/>
      <c r="AK271" s="377"/>
      <c r="AL271" s="104" t="s">
        <v>999</v>
      </c>
      <c r="AM271" s="104"/>
      <c r="AN271" s="1346"/>
      <c r="AO271" s="1369"/>
      <c r="AS271" s="1628" t="str">
        <f t="shared" si="0"/>
        <v>Hide this row</v>
      </c>
    </row>
    <row r="272" spans="1:45" ht="15" customHeight="1">
      <c r="A272" s="1247"/>
      <c r="G272" s="1381"/>
      <c r="H272" s="1311"/>
      <c r="I272" s="1301"/>
      <c r="J272" s="1311"/>
      <c r="K272" s="1311"/>
      <c r="L272" s="1382"/>
      <c r="M272" s="99"/>
      <c r="N272" s="1383" t="s">
        <v>2861</v>
      </c>
      <c r="O272" s="1382"/>
      <c r="P272" s="1382"/>
      <c r="Q272" s="1382"/>
      <c r="R272" s="1382"/>
      <c r="S272" s="666"/>
      <c r="T272" s="1385"/>
      <c r="U272" s="99"/>
      <c r="V272" s="99"/>
      <c r="W272" s="99"/>
      <c r="X272" s="99"/>
      <c r="Y272" s="99"/>
      <c r="Z272" s="99"/>
      <c r="AA272" s="99"/>
      <c r="AB272" s="1405" t="s">
        <v>2993</v>
      </c>
      <c r="AC272" s="1401"/>
      <c r="AD272" s="1506"/>
      <c r="AE272" s="2152" cm="1">
        <f t="array" ref="AE272">INDEX(DIM,AA247,36)</f>
        <v>2</v>
      </c>
      <c r="AF272" s="2152"/>
      <c r="AG272" s="2152"/>
      <c r="AH272" s="2152"/>
      <c r="AI272" s="2152"/>
      <c r="AJ272" s="2153"/>
      <c r="AK272" s="1395"/>
      <c r="AL272" s="666"/>
      <c r="AM272" s="666"/>
      <c r="AN272" s="1386"/>
      <c r="AO272" s="1387"/>
    </row>
    <row r="273" spans="1:49" ht="15" customHeight="1" thickBot="1">
      <c r="A273" s="1247"/>
      <c r="G273" s="1381"/>
      <c r="H273" s="1311"/>
      <c r="I273" s="1301"/>
      <c r="J273" s="1311"/>
      <c r="K273" s="1311"/>
      <c r="L273" s="1382"/>
      <c r="M273" s="99"/>
      <c r="N273" s="1383" t="s">
        <v>2885</v>
      </c>
      <c r="O273" s="1382"/>
      <c r="P273" s="1382"/>
      <c r="Q273" s="1382"/>
      <c r="R273" s="1382"/>
      <c r="S273" s="666"/>
      <c r="T273" s="1385"/>
      <c r="U273" s="99"/>
      <c r="V273" s="99"/>
      <c r="W273" s="99"/>
      <c r="X273" s="99"/>
      <c r="Y273" s="99"/>
      <c r="Z273" s="99"/>
      <c r="AA273" s="99"/>
      <c r="AB273" s="1405" t="s">
        <v>424</v>
      </c>
      <c r="AC273" s="1401"/>
      <c r="AD273" s="1501"/>
      <c r="AE273" s="2103" cm="1">
        <f t="array" ref="AE273">INDEX(DIM,AA247,37)</f>
        <v>2500</v>
      </c>
      <c r="AF273" s="2103"/>
      <c r="AG273" s="2103"/>
      <c r="AH273" s="2103"/>
      <c r="AI273" s="2103"/>
      <c r="AJ273" s="2213"/>
      <c r="AK273" s="1395"/>
      <c r="AL273" s="666" t="s">
        <v>2829</v>
      </c>
      <c r="AM273" s="666"/>
      <c r="AN273" s="1386"/>
      <c r="AO273" s="1387"/>
    </row>
    <row r="274" spans="1:49" ht="15" customHeight="1" thickTop="1">
      <c r="A274" s="1247"/>
      <c r="G274" s="1370"/>
      <c r="H274" s="1371"/>
      <c r="I274" s="1372" t="s">
        <v>2559</v>
      </c>
      <c r="J274" s="1371"/>
      <c r="K274" s="1371"/>
      <c r="L274" s="1373"/>
      <c r="M274" s="1374"/>
      <c r="N274" s="1375" t="s">
        <v>2582</v>
      </c>
      <c r="O274" s="1376"/>
      <c r="P274" s="1373"/>
      <c r="Q274" s="1373"/>
      <c r="R274" s="1373"/>
      <c r="S274" s="1377"/>
      <c r="T274" s="1378"/>
      <c r="U274" s="1374"/>
      <c r="V274" s="1374"/>
      <c r="W274" s="1374"/>
      <c r="X274" s="1374"/>
      <c r="Y274" s="1374"/>
      <c r="Z274" s="1374"/>
      <c r="AA274" s="1374"/>
      <c r="AB274" s="1403" t="s">
        <v>707</v>
      </c>
      <c r="AC274" s="1399"/>
      <c r="AD274" s="1394"/>
      <c r="AE274" s="2228" cm="1">
        <f t="array" ref="AE274">INDEX(MST,AA247,1)</f>
        <v>11912.56</v>
      </c>
      <c r="AF274" s="2228"/>
      <c r="AG274" s="2228"/>
      <c r="AH274" s="2228"/>
      <c r="AI274" s="2228"/>
      <c r="AJ274" s="2228"/>
      <c r="AK274" s="1394"/>
      <c r="AL274" s="1377" t="s">
        <v>2640</v>
      </c>
      <c r="AM274" s="1377"/>
      <c r="AN274" s="1379"/>
      <c r="AO274" s="1380"/>
    </row>
    <row r="275" spans="1:49" ht="15" customHeight="1">
      <c r="A275" s="1247"/>
      <c r="G275" s="1348"/>
      <c r="H275" s="1251"/>
      <c r="I275" s="1251"/>
      <c r="J275" s="1251"/>
      <c r="K275" s="1251"/>
      <c r="L275" s="1264"/>
      <c r="M275" s="170"/>
      <c r="N275" s="1248"/>
      <c r="O275" s="1264"/>
      <c r="P275" s="1264"/>
      <c r="Q275" s="1264"/>
      <c r="R275" s="1264"/>
      <c r="S275" s="115"/>
      <c r="T275" s="1176"/>
      <c r="U275" s="170"/>
      <c r="V275" s="170"/>
      <c r="W275" s="170"/>
      <c r="X275" s="170"/>
      <c r="Y275" s="170"/>
      <c r="Z275" s="170"/>
      <c r="AA275" s="170"/>
      <c r="AB275" s="89" t="s">
        <v>708</v>
      </c>
      <c r="AC275" s="1397"/>
      <c r="AD275" s="1392"/>
      <c r="AE275" s="2160" cm="1">
        <f t="array" ref="AE275">INDEX(MST,AA247,2)</f>
        <v>25.2</v>
      </c>
      <c r="AF275" s="2160"/>
      <c r="AG275" s="2160"/>
      <c r="AH275" s="2160"/>
      <c r="AI275" s="2160"/>
      <c r="AJ275" s="2160"/>
      <c r="AK275" s="1392"/>
      <c r="AL275" s="115" t="s">
        <v>2640</v>
      </c>
      <c r="AM275" s="115"/>
      <c r="AN275" s="1259"/>
      <c r="AO275" s="1349"/>
    </row>
    <row r="276" spans="1:49" ht="15" customHeight="1">
      <c r="A276" s="1247"/>
      <c r="G276" s="1368"/>
      <c r="H276" s="118"/>
      <c r="I276" s="131"/>
      <c r="J276" s="118"/>
      <c r="K276" s="1347"/>
      <c r="L276" s="1347"/>
      <c r="M276" s="118"/>
      <c r="N276" s="1344"/>
      <c r="O276" s="1347"/>
      <c r="P276" s="118"/>
      <c r="Q276" s="118"/>
      <c r="R276" s="1345"/>
      <c r="S276" s="1345"/>
      <c r="T276" s="1345"/>
      <c r="U276" s="118"/>
      <c r="V276" s="118"/>
      <c r="W276" s="118"/>
      <c r="X276" s="118"/>
      <c r="Y276" s="118"/>
      <c r="Z276" s="118"/>
      <c r="AA276" s="118"/>
      <c r="AB276" s="1404" t="s">
        <v>709</v>
      </c>
      <c r="AC276" s="1400"/>
      <c r="AD276" s="377"/>
      <c r="AE276" s="2161" cm="1">
        <f t="array" ref="AE276">INDEX(MST,AA247,3)</f>
        <v>21961.119999999999</v>
      </c>
      <c r="AF276" s="2161"/>
      <c r="AG276" s="2161"/>
      <c r="AH276" s="2161"/>
      <c r="AI276" s="2161"/>
      <c r="AJ276" s="2161"/>
      <c r="AK276" s="377"/>
      <c r="AL276" s="104" t="s">
        <v>2640</v>
      </c>
      <c r="AM276" s="104"/>
      <c r="AN276" s="1346"/>
      <c r="AO276" s="1369"/>
    </row>
    <row r="277" spans="1:49" ht="15" customHeight="1">
      <c r="A277" s="1247"/>
      <c r="G277" s="1381"/>
      <c r="H277" s="1265"/>
      <c r="I277" s="1254"/>
      <c r="J277" s="1265"/>
      <c r="K277" s="1265"/>
      <c r="L277" s="1382"/>
      <c r="M277" s="99"/>
      <c r="N277" s="1383" t="s">
        <v>2620</v>
      </c>
      <c r="O277" s="1384"/>
      <c r="P277" s="1382"/>
      <c r="Q277" s="1382"/>
      <c r="R277" s="1382"/>
      <c r="S277" s="666"/>
      <c r="T277" s="1385"/>
      <c r="U277" s="99"/>
      <c r="V277" s="99"/>
      <c r="W277" s="99"/>
      <c r="X277" s="99"/>
      <c r="Y277" s="99"/>
      <c r="Z277" s="99"/>
      <c r="AA277" s="99"/>
      <c r="AB277" s="1405" t="s">
        <v>707</v>
      </c>
      <c r="AC277" s="1401"/>
      <c r="AD277" s="1395"/>
      <c r="AE277" s="2159" cm="1">
        <f t="array" ref="AE277">INDEX(MST,AA247,6)</f>
        <v>28.58</v>
      </c>
      <c r="AF277" s="2159"/>
      <c r="AG277" s="2159"/>
      <c r="AH277" s="2159"/>
      <c r="AI277" s="2159"/>
      <c r="AJ277" s="2159"/>
      <c r="AK277" s="1395"/>
      <c r="AL277" s="666" t="s">
        <v>2641</v>
      </c>
      <c r="AM277" s="666"/>
      <c r="AN277" s="1386"/>
      <c r="AO277" s="1387"/>
    </row>
    <row r="278" spans="1:49" ht="15" customHeight="1">
      <c r="A278" s="1247"/>
      <c r="G278" s="1348"/>
      <c r="H278" s="1251"/>
      <c r="I278" s="1251"/>
      <c r="J278" s="1251"/>
      <c r="K278" s="1251"/>
      <c r="L278" s="1264"/>
      <c r="M278" s="170"/>
      <c r="N278" s="1248"/>
      <c r="O278" s="1264"/>
      <c r="P278" s="1264"/>
      <c r="Q278" s="1264"/>
      <c r="R278" s="1264"/>
      <c r="S278" s="115"/>
      <c r="T278" s="1176"/>
      <c r="U278" s="170"/>
      <c r="V278" s="170"/>
      <c r="W278" s="170"/>
      <c r="X278" s="170"/>
      <c r="Y278" s="170"/>
      <c r="Z278" s="170"/>
      <c r="AA278" s="170"/>
      <c r="AB278" s="89" t="s">
        <v>708</v>
      </c>
      <c r="AC278" s="1397"/>
      <c r="AD278" s="1392"/>
      <c r="AE278" s="2160" cm="1">
        <f t="array" ref="AE278">INDEX(MST,AA247,7)</f>
        <v>0.8</v>
      </c>
      <c r="AF278" s="2160"/>
      <c r="AG278" s="2160"/>
      <c r="AH278" s="2160"/>
      <c r="AI278" s="2160"/>
      <c r="AJ278" s="2160"/>
      <c r="AK278" s="1392"/>
      <c r="AL278" s="115" t="s">
        <v>2641</v>
      </c>
      <c r="AM278" s="115"/>
      <c r="AN278" s="1259"/>
      <c r="AO278" s="1349"/>
    </row>
    <row r="279" spans="1:49" ht="15" customHeight="1">
      <c r="A279" s="1247"/>
      <c r="G279" s="1368"/>
      <c r="H279" s="118"/>
      <c r="I279" s="131"/>
      <c r="J279" s="118"/>
      <c r="K279" s="1347"/>
      <c r="L279" s="1347"/>
      <c r="M279" s="118"/>
      <c r="N279" s="1344"/>
      <c r="O279" s="1347"/>
      <c r="P279" s="118"/>
      <c r="Q279" s="118"/>
      <c r="R279" s="1345"/>
      <c r="S279" s="1345"/>
      <c r="T279" s="1345"/>
      <c r="U279" s="118"/>
      <c r="V279" s="118"/>
      <c r="W279" s="118"/>
      <c r="X279" s="118"/>
      <c r="Y279" s="118"/>
      <c r="Z279" s="118"/>
      <c r="AA279" s="118"/>
      <c r="AB279" s="1404" t="s">
        <v>709</v>
      </c>
      <c r="AC279" s="1400"/>
      <c r="AD279" s="377"/>
      <c r="AE279" s="2161" cm="1">
        <f t="array" ref="AE279">INDEX(MST,AA247,8)</f>
        <v>8.2100000000000009</v>
      </c>
      <c r="AF279" s="2161"/>
      <c r="AG279" s="2161"/>
      <c r="AH279" s="2161"/>
      <c r="AI279" s="2161"/>
      <c r="AJ279" s="2161"/>
      <c r="AK279" s="377"/>
      <c r="AL279" s="104" t="s">
        <v>2641</v>
      </c>
      <c r="AM279" s="104"/>
      <c r="AN279" s="1346"/>
      <c r="AO279" s="1369"/>
    </row>
    <row r="280" spans="1:49" ht="15" customHeight="1">
      <c r="A280" s="1247"/>
      <c r="G280" s="1348"/>
      <c r="H280" s="1251"/>
      <c r="I280" s="1252"/>
      <c r="J280" s="1251"/>
      <c r="K280" s="1251"/>
      <c r="L280" s="1264"/>
      <c r="M280" s="170"/>
      <c r="N280" s="1248" t="s">
        <v>2621</v>
      </c>
      <c r="O280" s="1250"/>
      <c r="P280" s="1264"/>
      <c r="Q280" s="1264"/>
      <c r="R280" s="1264"/>
      <c r="S280" s="115"/>
      <c r="T280" s="1176"/>
      <c r="U280" s="170"/>
      <c r="V280" s="170"/>
      <c r="W280" s="170"/>
      <c r="X280" s="170"/>
      <c r="Y280" s="170"/>
      <c r="Z280" s="170"/>
      <c r="AA280" s="170"/>
      <c r="AB280" s="89" t="s">
        <v>707</v>
      </c>
      <c r="AC280" s="1397"/>
      <c r="AD280" s="1392"/>
      <c r="AE280" s="2160" cm="1">
        <f t="array" ref="AE280">INDEX(MST,AA247,11)</f>
        <v>-2.04</v>
      </c>
      <c r="AF280" s="2160"/>
      <c r="AG280" s="2160"/>
      <c r="AH280" s="2160"/>
      <c r="AI280" s="2160"/>
      <c r="AJ280" s="2160"/>
      <c r="AK280" s="1392"/>
      <c r="AL280" s="115" t="s">
        <v>2640</v>
      </c>
      <c r="AM280" s="115"/>
      <c r="AN280" s="1259"/>
      <c r="AO280" s="1349"/>
    </row>
    <row r="281" spans="1:49" ht="15" customHeight="1">
      <c r="A281" s="1247"/>
      <c r="G281" s="1348"/>
      <c r="H281" s="1251"/>
      <c r="I281" s="1251"/>
      <c r="J281" s="1251"/>
      <c r="K281" s="1251"/>
      <c r="L281" s="1264"/>
      <c r="M281" s="170"/>
      <c r="N281" s="1248"/>
      <c r="O281" s="1264"/>
      <c r="P281" s="1264"/>
      <c r="Q281" s="1264"/>
      <c r="R281" s="1264"/>
      <c r="S281" s="115"/>
      <c r="T281" s="1176"/>
      <c r="U281" s="170"/>
      <c r="V281" s="170"/>
      <c r="W281" s="170"/>
      <c r="X281" s="170"/>
      <c r="Y281" s="170"/>
      <c r="Z281" s="170"/>
      <c r="AA281" s="170"/>
      <c r="AB281" s="89" t="s">
        <v>708</v>
      </c>
      <c r="AC281" s="1397"/>
      <c r="AD281" s="1392"/>
      <c r="AE281" s="2160" cm="1">
        <f t="array" ref="AE281">INDEX(MST,AA247,12)</f>
        <v>0</v>
      </c>
      <c r="AF281" s="2160"/>
      <c r="AG281" s="2160"/>
      <c r="AH281" s="2160"/>
      <c r="AI281" s="2160"/>
      <c r="AJ281" s="2160"/>
      <c r="AK281" s="1392"/>
      <c r="AL281" s="115" t="s">
        <v>2640</v>
      </c>
      <c r="AM281" s="115"/>
      <c r="AN281" s="1259"/>
      <c r="AO281" s="1349"/>
    </row>
    <row r="282" spans="1:49" ht="15" customHeight="1" thickBot="1">
      <c r="A282" s="1247"/>
      <c r="G282" s="1350"/>
      <c r="H282" s="84"/>
      <c r="I282" s="1351"/>
      <c r="J282" s="84"/>
      <c r="K282" s="1352"/>
      <c r="L282" s="1352"/>
      <c r="M282" s="84"/>
      <c r="N282" s="1353"/>
      <c r="O282" s="1352"/>
      <c r="P282" s="84"/>
      <c r="Q282" s="84"/>
      <c r="R282" s="1355"/>
      <c r="S282" s="1355"/>
      <c r="T282" s="1355"/>
      <c r="U282" s="84"/>
      <c r="V282" s="84"/>
      <c r="W282" s="84"/>
      <c r="X282" s="84"/>
      <c r="Y282" s="84"/>
      <c r="Z282" s="84"/>
      <c r="AA282" s="84"/>
      <c r="AB282" s="1402" t="s">
        <v>709</v>
      </c>
      <c r="AC282" s="1398"/>
      <c r="AD282" s="1393"/>
      <c r="AE282" s="2162" cm="1">
        <f t="array" ref="AE282">INDEX(MST,AA247,13)</f>
        <v>-15.59</v>
      </c>
      <c r="AF282" s="2162"/>
      <c r="AG282" s="2162"/>
      <c r="AH282" s="2162"/>
      <c r="AI282" s="2162"/>
      <c r="AJ282" s="2162"/>
      <c r="AK282" s="1393"/>
      <c r="AL282" s="1367" t="s">
        <v>2640</v>
      </c>
      <c r="AM282" s="1367"/>
      <c r="AN282" s="1356"/>
      <c r="AO282" s="1357"/>
    </row>
    <row r="283" spans="1:49" ht="15" customHeight="1" thickTop="1">
      <c r="A283" s="1247"/>
      <c r="G283" s="1348"/>
      <c r="H283" s="170"/>
      <c r="I283" s="124" t="s">
        <v>2558</v>
      </c>
      <c r="J283" s="170"/>
      <c r="K283" s="1258"/>
      <c r="L283" s="1258"/>
      <c r="M283" s="170"/>
      <c r="N283" s="1248" t="s">
        <v>2583</v>
      </c>
      <c r="O283" s="1258"/>
      <c r="P283" s="170"/>
      <c r="Q283" s="170"/>
      <c r="R283" s="1176"/>
      <c r="S283" s="1176"/>
      <c r="T283" s="1176"/>
      <c r="U283" s="170"/>
      <c r="V283" s="170"/>
      <c r="W283" s="170"/>
      <c r="X283" s="170"/>
      <c r="Y283" s="170"/>
      <c r="Z283" s="170"/>
      <c r="AA283" s="170"/>
      <c r="AB283" s="89" t="s">
        <v>2556</v>
      </c>
      <c r="AC283" s="1397"/>
      <c r="AD283" s="1392"/>
      <c r="AE283" s="2167" cm="1">
        <f t="array" ref="AE283">INDEX(SEC,AA247,1)</f>
        <v>198442.96508570784</v>
      </c>
      <c r="AF283" s="2167"/>
      <c r="AG283" s="2167"/>
      <c r="AH283" s="2167"/>
      <c r="AI283" s="2167"/>
      <c r="AJ283" s="2167"/>
      <c r="AK283" s="1392"/>
      <c r="AL283" s="115" t="s">
        <v>2632</v>
      </c>
      <c r="AM283" s="115"/>
      <c r="AN283" s="1259"/>
      <c r="AO283" s="1349"/>
      <c r="AT283" s="1241"/>
      <c r="AU283" s="1241"/>
      <c r="AV283" s="1241"/>
      <c r="AW283" s="1241"/>
    </row>
    <row r="284" spans="1:49" ht="15" customHeight="1">
      <c r="A284" s="1247"/>
      <c r="G284" s="1348"/>
      <c r="H284" s="170"/>
      <c r="I284" s="124"/>
      <c r="J284" s="170"/>
      <c r="K284" s="1258"/>
      <c r="L284" s="1258"/>
      <c r="M284" s="170"/>
      <c r="N284" s="1248"/>
      <c r="O284" s="1258"/>
      <c r="P284" s="170"/>
      <c r="Q284" s="170"/>
      <c r="R284" s="1176"/>
      <c r="S284" s="1176"/>
      <c r="T284" s="1176"/>
      <c r="U284" s="170"/>
      <c r="V284" s="170"/>
      <c r="W284" s="170"/>
      <c r="X284" s="170"/>
      <c r="Y284" s="170"/>
      <c r="Z284" s="170"/>
      <c r="AA284" s="170"/>
      <c r="AB284" s="89" t="s">
        <v>2557</v>
      </c>
      <c r="AC284" s="1397"/>
      <c r="AD284" s="1392"/>
      <c r="AE284" s="2229" cm="1">
        <f t="array" ref="AE284">INDEX(SEC,AA247,2)</f>
        <v>294458361973.75983</v>
      </c>
      <c r="AF284" s="2229"/>
      <c r="AG284" s="2229"/>
      <c r="AH284" s="2229"/>
      <c r="AI284" s="2229"/>
      <c r="AJ284" s="2229"/>
      <c r="AK284" s="1392"/>
      <c r="AL284" s="115" t="s">
        <v>2642</v>
      </c>
      <c r="AM284" s="115"/>
      <c r="AN284" s="1259"/>
      <c r="AO284" s="1349"/>
      <c r="AT284" s="1337"/>
      <c r="AU284" s="1337"/>
      <c r="AV284" s="1337"/>
      <c r="AW284" s="1337"/>
    </row>
    <row r="285" spans="1:49" ht="15" customHeight="1">
      <c r="A285" s="1247"/>
      <c r="G285" s="1348"/>
      <c r="H285" s="170"/>
      <c r="I285" s="124"/>
      <c r="J285" s="170"/>
      <c r="K285" s="1258"/>
      <c r="L285" s="1258"/>
      <c r="M285" s="170"/>
      <c r="N285" s="1248"/>
      <c r="O285" s="1258"/>
      <c r="P285" s="170"/>
      <c r="Q285" s="170"/>
      <c r="R285" s="1176"/>
      <c r="S285" s="1176"/>
      <c r="T285" s="1176"/>
      <c r="U285" s="170"/>
      <c r="V285" s="170"/>
      <c r="W285" s="170"/>
      <c r="X285" s="170"/>
      <c r="Y285" s="170"/>
      <c r="Z285" s="170"/>
      <c r="AA285" s="170"/>
      <c r="AB285" s="89" t="s">
        <v>697</v>
      </c>
      <c r="AC285" s="1397"/>
      <c r="AD285" s="1392"/>
      <c r="AE285" s="2167" cm="1">
        <f t="array" ref="AE285">INDEX(SEC,AA247,3)</f>
        <v>1685.8661105921663</v>
      </c>
      <c r="AF285" s="2167"/>
      <c r="AG285" s="2167"/>
      <c r="AH285" s="2167"/>
      <c r="AI285" s="2167"/>
      <c r="AJ285" s="2167"/>
      <c r="AK285" s="1392"/>
      <c r="AL285" s="115" t="s">
        <v>2631</v>
      </c>
      <c r="AM285" s="115"/>
      <c r="AN285" s="1259"/>
      <c r="AO285" s="1349"/>
      <c r="AT285" s="1338"/>
      <c r="AU285" s="1338"/>
      <c r="AV285" s="1338"/>
      <c r="AW285" s="1338"/>
    </row>
    <row r="286" spans="1:49" ht="15" customHeight="1">
      <c r="A286" s="1247"/>
      <c r="G286" s="1368"/>
      <c r="H286" s="118"/>
      <c r="I286" s="131"/>
      <c r="J286" s="118"/>
      <c r="K286" s="1347"/>
      <c r="L286" s="1347"/>
      <c r="M286" s="118"/>
      <c r="N286" s="1344"/>
      <c r="O286" s="1347"/>
      <c r="P286" s="118"/>
      <c r="Q286" s="118"/>
      <c r="R286" s="1345"/>
      <c r="S286" s="1345"/>
      <c r="T286" s="1345"/>
      <c r="U286" s="118"/>
      <c r="V286" s="118"/>
      <c r="W286" s="118"/>
      <c r="X286" s="118"/>
      <c r="Y286" s="118"/>
      <c r="Z286" s="118"/>
      <c r="AA286" s="118"/>
      <c r="AB286" s="1404" t="s">
        <v>698</v>
      </c>
      <c r="AC286" s="1400"/>
      <c r="AD286" s="377"/>
      <c r="AE286" s="2218" cm="1">
        <f t="array" ref="AE286">INDEX(SEC,AA247,4)</f>
        <v>1194.1338894078337</v>
      </c>
      <c r="AF286" s="2218"/>
      <c r="AG286" s="2218"/>
      <c r="AH286" s="2218"/>
      <c r="AI286" s="2218"/>
      <c r="AJ286" s="2218"/>
      <c r="AK286" s="377"/>
      <c r="AL286" s="104" t="s">
        <v>2631</v>
      </c>
      <c r="AM286" s="104"/>
      <c r="AN286" s="1346"/>
      <c r="AO286" s="1369"/>
      <c r="AT286" s="1338"/>
      <c r="AU286" s="1338"/>
      <c r="AV286" s="1338"/>
      <c r="AW286" s="1338"/>
    </row>
    <row r="287" spans="1:49" ht="15" customHeight="1">
      <c r="A287" s="1247"/>
      <c r="G287" s="1348"/>
      <c r="H287" s="170"/>
      <c r="I287" s="124"/>
      <c r="J287" s="170"/>
      <c r="K287" s="1258"/>
      <c r="L287" s="1258"/>
      <c r="M287" s="170"/>
      <c r="N287" s="1248" t="s">
        <v>2584</v>
      </c>
      <c r="O287" s="1258"/>
      <c r="P287" s="170"/>
      <c r="Q287" s="170"/>
      <c r="R287" s="1176"/>
      <c r="S287" s="1176"/>
      <c r="T287" s="1176"/>
      <c r="U287" s="170"/>
      <c r="V287" s="170"/>
      <c r="W287" s="170"/>
      <c r="X287" s="170"/>
      <c r="Y287" s="170"/>
      <c r="Z287" s="170"/>
      <c r="AA287" s="170"/>
      <c r="AB287" s="89" t="s">
        <v>2556</v>
      </c>
      <c r="AC287" s="1397"/>
      <c r="AD287" s="1392"/>
      <c r="AE287" s="2167" cm="1">
        <f t="array" ref="AE287">INDEX(SEC,AA247,9)</f>
        <v>198442.96508570784</v>
      </c>
      <c r="AF287" s="2167"/>
      <c r="AG287" s="2167"/>
      <c r="AH287" s="2167"/>
      <c r="AI287" s="2167"/>
      <c r="AJ287" s="2167"/>
      <c r="AK287" s="1392"/>
      <c r="AL287" s="115" t="s">
        <v>2632</v>
      </c>
      <c r="AM287" s="115"/>
      <c r="AN287" s="1259"/>
      <c r="AO287" s="1349"/>
      <c r="AT287" s="1338"/>
      <c r="AU287" s="1338"/>
      <c r="AV287" s="1338"/>
      <c r="AW287" s="1338"/>
    </row>
    <row r="288" spans="1:49" ht="15" customHeight="1">
      <c r="A288" s="1247"/>
      <c r="G288" s="1348"/>
      <c r="H288" s="170"/>
      <c r="I288" s="124"/>
      <c r="J288" s="170"/>
      <c r="K288" s="1258"/>
      <c r="L288" s="1258"/>
      <c r="M288" s="170"/>
      <c r="N288" s="1248"/>
      <c r="O288" s="1256" t="s">
        <v>2585</v>
      </c>
      <c r="P288" s="170"/>
      <c r="Q288" s="170"/>
      <c r="R288" s="1176"/>
      <c r="S288" s="1176"/>
      <c r="T288" s="1176"/>
      <c r="U288" s="170"/>
      <c r="V288" s="170"/>
      <c r="W288" s="170"/>
      <c r="X288" s="170"/>
      <c r="Y288" s="170"/>
      <c r="Z288" s="170"/>
      <c r="AA288" s="170"/>
      <c r="AB288" s="89" t="s">
        <v>2557</v>
      </c>
      <c r="AC288" s="1397"/>
      <c r="AD288" s="1392"/>
      <c r="AE288" s="2229" cm="1">
        <f t="array" ref="AE288">INDEX(SEC,AA247,10)</f>
        <v>294458361973.75983</v>
      </c>
      <c r="AF288" s="2229"/>
      <c r="AG288" s="2229"/>
      <c r="AH288" s="2229"/>
      <c r="AI288" s="2229"/>
      <c r="AJ288" s="2229"/>
      <c r="AK288" s="1392"/>
      <c r="AL288" s="115" t="s">
        <v>2643</v>
      </c>
      <c r="AM288" s="115"/>
      <c r="AN288" s="1259"/>
      <c r="AO288" s="1349"/>
      <c r="AT288" s="1337"/>
      <c r="AU288" s="1337"/>
      <c r="AV288" s="1337"/>
      <c r="AW288" s="1337"/>
    </row>
    <row r="289" spans="1:49" ht="15" customHeight="1">
      <c r="A289" s="1247"/>
      <c r="G289" s="1348"/>
      <c r="H289" s="170"/>
      <c r="I289" s="124"/>
      <c r="J289" s="170"/>
      <c r="K289" s="1258"/>
      <c r="L289" s="1258"/>
      <c r="M289" s="1248"/>
      <c r="N289" s="1258"/>
      <c r="O289" s="170"/>
      <c r="P289" s="170"/>
      <c r="Q289" s="170"/>
      <c r="R289" s="1176"/>
      <c r="S289" s="1176"/>
      <c r="T289" s="1176"/>
      <c r="U289" s="170"/>
      <c r="V289" s="170"/>
      <c r="W289" s="170"/>
      <c r="X289" s="170"/>
      <c r="Y289" s="170"/>
      <c r="Z289" s="170"/>
      <c r="AA289" s="170"/>
      <c r="AB289" s="89" t="s">
        <v>697</v>
      </c>
      <c r="AC289" s="1397"/>
      <c r="AD289" s="1392"/>
      <c r="AE289" s="2167" cm="1">
        <f t="array" ref="AE289">INDEX(SEC,AA247,11)</f>
        <v>1685.8661105921663</v>
      </c>
      <c r="AF289" s="2167"/>
      <c r="AG289" s="2167"/>
      <c r="AH289" s="2167"/>
      <c r="AI289" s="2167"/>
      <c r="AJ289" s="2167"/>
      <c r="AK289" s="1392"/>
      <c r="AL289" s="115" t="s">
        <v>2631</v>
      </c>
      <c r="AM289" s="115"/>
      <c r="AN289" s="1259"/>
      <c r="AO289" s="1349"/>
      <c r="AT289" s="1338"/>
      <c r="AU289" s="1338"/>
      <c r="AV289" s="1338"/>
      <c r="AW289" s="1338"/>
    </row>
    <row r="290" spans="1:49" ht="15" customHeight="1" thickBot="1">
      <c r="A290" s="1247"/>
      <c r="G290" s="1350"/>
      <c r="H290" s="84"/>
      <c r="I290" s="1351"/>
      <c r="J290" s="84"/>
      <c r="K290" s="1352"/>
      <c r="L290" s="1352"/>
      <c r="M290" s="1353"/>
      <c r="N290" s="1352"/>
      <c r="O290" s="84"/>
      <c r="P290" s="84"/>
      <c r="Q290" s="84"/>
      <c r="R290" s="1355"/>
      <c r="S290" s="1355"/>
      <c r="T290" s="1355"/>
      <c r="U290" s="84"/>
      <c r="V290" s="84"/>
      <c r="W290" s="84"/>
      <c r="X290" s="84"/>
      <c r="Y290" s="84"/>
      <c r="Z290" s="84"/>
      <c r="AA290" s="84"/>
      <c r="AB290" s="1402" t="s">
        <v>698</v>
      </c>
      <c r="AC290" s="1398"/>
      <c r="AD290" s="1393"/>
      <c r="AE290" s="2204" cm="1">
        <f t="array" ref="AE290">INDEX(SEC,AA247,12)</f>
        <v>1194.1338894078337</v>
      </c>
      <c r="AF290" s="2204"/>
      <c r="AG290" s="2204"/>
      <c r="AH290" s="2204"/>
      <c r="AI290" s="2204"/>
      <c r="AJ290" s="2204"/>
      <c r="AK290" s="1393"/>
      <c r="AL290" s="1367" t="s">
        <v>2631</v>
      </c>
      <c r="AM290" s="1367"/>
      <c r="AN290" s="1356"/>
      <c r="AO290" s="1357"/>
      <c r="AT290" s="1338"/>
      <c r="AU290" s="1338"/>
      <c r="AV290" s="1338"/>
      <c r="AW290" s="1338"/>
    </row>
    <row r="291" spans="1:49" ht="15" customHeight="1" thickTop="1">
      <c r="A291" s="1247"/>
      <c r="G291" s="1348"/>
      <c r="H291" s="170"/>
      <c r="I291" s="124" t="s">
        <v>2602</v>
      </c>
      <c r="J291" s="170"/>
      <c r="K291" s="1258"/>
      <c r="L291" s="1258"/>
      <c r="M291" s="1248"/>
      <c r="N291" s="1253" t="s">
        <v>2603</v>
      </c>
      <c r="O291" s="170"/>
      <c r="P291" s="170"/>
      <c r="Q291" s="170"/>
      <c r="R291" s="1176"/>
      <c r="S291" s="1176"/>
      <c r="T291" s="1176"/>
      <c r="U291" s="170"/>
      <c r="V291" s="170"/>
      <c r="W291" s="170"/>
      <c r="X291" s="170"/>
      <c r="Y291" s="170"/>
      <c r="Z291" s="170"/>
      <c r="AA291" s="170"/>
      <c r="AB291" s="89" t="s">
        <v>362</v>
      </c>
      <c r="AC291" s="1397"/>
      <c r="AD291" s="1392"/>
      <c r="AE291" s="2089">
        <f>+Info!$L$15</f>
        <v>210000</v>
      </c>
      <c r="AF291" s="2089"/>
      <c r="AG291" s="2089"/>
      <c r="AH291" s="2089"/>
      <c r="AI291" s="2089"/>
      <c r="AJ291" s="2089"/>
      <c r="AK291" s="1392"/>
      <c r="AL291" s="115" t="s">
        <v>2644</v>
      </c>
      <c r="AM291" s="115"/>
      <c r="AN291" s="1259"/>
      <c r="AO291" s="1349"/>
    </row>
    <row r="292" spans="1:49" ht="15" customHeight="1">
      <c r="A292" s="1247"/>
      <c r="G292" s="1348"/>
      <c r="H292" s="1251"/>
      <c r="I292" s="1252"/>
      <c r="J292" s="1251"/>
      <c r="K292" s="1251"/>
      <c r="L292" s="1264"/>
      <c r="M292" s="170"/>
      <c r="N292" s="1339" t="s">
        <v>2633</v>
      </c>
      <c r="O292" s="1264"/>
      <c r="P292" s="1264"/>
      <c r="Q292" s="1264"/>
      <c r="R292" s="1264"/>
      <c r="S292" s="115"/>
      <c r="T292" s="1176"/>
      <c r="U292" s="170"/>
      <c r="V292" s="170"/>
      <c r="W292" s="170"/>
      <c r="X292" s="170"/>
      <c r="Y292" s="170"/>
      <c r="Z292" s="170"/>
      <c r="AA292" s="170"/>
      <c r="AB292" s="89" t="s">
        <v>2645</v>
      </c>
      <c r="AC292" s="1397"/>
      <c r="AD292" s="1392"/>
      <c r="AE292" s="2167" cm="1">
        <f t="array" ref="AE292">INDEX(DIMex,AA247,2)</f>
        <v>380</v>
      </c>
      <c r="AF292" s="2167"/>
      <c r="AG292" s="2167"/>
      <c r="AH292" s="2167"/>
      <c r="AI292" s="2167"/>
      <c r="AJ292" s="2167"/>
      <c r="AK292" s="1392"/>
      <c r="AL292" s="115" t="s">
        <v>2644</v>
      </c>
      <c r="AM292" s="115"/>
      <c r="AN292" s="1259"/>
      <c r="AO292" s="1349"/>
    </row>
    <row r="293" spans="1:49" ht="15" customHeight="1">
      <c r="A293" s="1247"/>
      <c r="G293" s="1348"/>
      <c r="H293" s="1251"/>
      <c r="I293" s="1252"/>
      <c r="J293" s="1251"/>
      <c r="K293" s="1251"/>
      <c r="L293" s="1264"/>
      <c r="M293" s="170"/>
      <c r="N293" s="1339" t="s">
        <v>2634</v>
      </c>
      <c r="O293" s="1264"/>
      <c r="P293" s="1264"/>
      <c r="Q293" s="1264"/>
      <c r="R293" s="1264"/>
      <c r="S293" s="115"/>
      <c r="T293" s="1176"/>
      <c r="U293" s="170"/>
      <c r="V293" s="170"/>
      <c r="W293" s="170"/>
      <c r="X293" s="170"/>
      <c r="Y293" s="170"/>
      <c r="Z293" s="170"/>
      <c r="AA293" s="170"/>
      <c r="AB293" s="89" t="s">
        <v>2646</v>
      </c>
      <c r="AC293" s="1397"/>
      <c r="AD293" s="1392"/>
      <c r="AE293" s="2167" cm="1">
        <f t="array" ref="AE293">INDEX(DIMex,AA247,1)</f>
        <v>380</v>
      </c>
      <c r="AF293" s="2167"/>
      <c r="AG293" s="2167"/>
      <c r="AH293" s="2167"/>
      <c r="AI293" s="2167"/>
      <c r="AJ293" s="2167"/>
      <c r="AK293" s="1392"/>
      <c r="AL293" s="115" t="s">
        <v>2644</v>
      </c>
      <c r="AM293" s="115"/>
      <c r="AN293" s="1259"/>
      <c r="AO293" s="1349"/>
    </row>
    <row r="294" spans="1:49" ht="15" customHeight="1">
      <c r="A294" s="1247"/>
      <c r="G294" s="1348"/>
      <c r="H294" s="170"/>
      <c r="I294" s="124"/>
      <c r="J294" s="170"/>
      <c r="K294" s="1258"/>
      <c r="L294" s="1258"/>
      <c r="M294" s="1248"/>
      <c r="N294" s="1253" t="s">
        <v>2604</v>
      </c>
      <c r="O294" s="170"/>
      <c r="P294" s="170"/>
      <c r="Q294" s="170"/>
      <c r="R294" s="1176"/>
      <c r="S294" s="1176"/>
      <c r="T294" s="1176"/>
      <c r="U294" s="170"/>
      <c r="V294" s="170"/>
      <c r="W294" s="170"/>
      <c r="X294" s="170"/>
      <c r="Y294" s="170"/>
      <c r="Z294" s="170"/>
      <c r="AA294" s="170"/>
      <c r="AB294" s="89" t="s">
        <v>2548</v>
      </c>
      <c r="AC294" s="1397"/>
      <c r="AD294" s="1392"/>
      <c r="AE294" s="2089">
        <f>IF(AE274&gt;=0,AE292,AE293)</f>
        <v>380</v>
      </c>
      <c r="AF294" s="2089"/>
      <c r="AG294" s="2089"/>
      <c r="AH294" s="2089"/>
      <c r="AI294" s="2089"/>
      <c r="AJ294" s="2089"/>
      <c r="AK294" s="1392"/>
      <c r="AL294" s="115" t="s">
        <v>2644</v>
      </c>
      <c r="AM294" s="115"/>
      <c r="AN294" s="1259"/>
      <c r="AO294" s="1349"/>
    </row>
    <row r="295" spans="1:49" ht="15" customHeight="1">
      <c r="A295" s="1247"/>
      <c r="G295" s="1348"/>
      <c r="H295" s="170"/>
      <c r="I295" s="124"/>
      <c r="J295" s="170"/>
      <c r="K295" s="1258"/>
      <c r="L295" s="1258"/>
      <c r="M295" s="1248"/>
      <c r="N295" s="1253" t="s">
        <v>2605</v>
      </c>
      <c r="O295" s="170"/>
      <c r="P295" s="170"/>
      <c r="Q295" s="170"/>
      <c r="R295" s="1176"/>
      <c r="S295" s="1176"/>
      <c r="T295" s="1176"/>
      <c r="U295" s="170"/>
      <c r="V295" s="170"/>
      <c r="W295" s="170"/>
      <c r="X295" s="170"/>
      <c r="Y295" s="170"/>
      <c r="Z295" s="170"/>
      <c r="AA295" s="170"/>
      <c r="AB295" s="89" t="s">
        <v>2549</v>
      </c>
      <c r="AC295" s="1397"/>
      <c r="AD295" s="1392"/>
      <c r="AE295" s="2089">
        <f>IF(AE274&lt;0,AE292,AE293)</f>
        <v>380</v>
      </c>
      <c r="AF295" s="2089"/>
      <c r="AG295" s="2089"/>
      <c r="AH295" s="2089"/>
      <c r="AI295" s="2089"/>
      <c r="AJ295" s="2089"/>
      <c r="AK295" s="1392"/>
      <c r="AL295" s="115" t="s">
        <v>2644</v>
      </c>
      <c r="AM295" s="115"/>
      <c r="AN295" s="1259"/>
      <c r="AO295" s="1349"/>
    </row>
    <row r="296" spans="1:49" ht="15" customHeight="1" thickBot="1">
      <c r="A296" s="1247"/>
      <c r="G296" s="1350"/>
      <c r="H296" s="84"/>
      <c r="I296" s="1351"/>
      <c r="J296" s="84"/>
      <c r="K296" s="1352"/>
      <c r="L296" s="1352"/>
      <c r="M296" s="1353"/>
      <c r="N296" s="1354" t="s">
        <v>2606</v>
      </c>
      <c r="O296" s="84"/>
      <c r="P296" s="84"/>
      <c r="Q296" s="84"/>
      <c r="R296" s="1355"/>
      <c r="S296" s="1355"/>
      <c r="T296" s="1355"/>
      <c r="U296" s="84"/>
      <c r="V296" s="84"/>
      <c r="W296" s="84"/>
      <c r="X296" s="84"/>
      <c r="Y296" s="84"/>
      <c r="Z296" s="84"/>
      <c r="AA296" s="84"/>
      <c r="AB296" s="1402" t="s">
        <v>2647</v>
      </c>
      <c r="AC296" s="1398"/>
      <c r="AD296" s="1393"/>
      <c r="AE296" s="2204" cm="1">
        <f t="array" ref="AE296">INDEX(DIMex,AA247,3)</f>
        <v>355</v>
      </c>
      <c r="AF296" s="2204"/>
      <c r="AG296" s="2204"/>
      <c r="AH296" s="2204"/>
      <c r="AI296" s="2204"/>
      <c r="AJ296" s="2204"/>
      <c r="AK296" s="1393"/>
      <c r="AL296" s="1367" t="s">
        <v>2644</v>
      </c>
      <c r="AM296" s="1367"/>
      <c r="AN296" s="1356"/>
      <c r="AO296" s="1357"/>
    </row>
    <row r="297" spans="1:49" ht="15" customHeight="1" thickTop="1">
      <c r="A297" s="1247"/>
      <c r="B297" s="170"/>
      <c r="C297" s="170"/>
      <c r="D297" s="124"/>
      <c r="E297" s="170"/>
      <c r="F297" s="1245"/>
      <c r="G297" s="1245"/>
      <c r="H297" s="1245"/>
      <c r="I297" s="1245"/>
      <c r="L297" s="143"/>
      <c r="M297" s="1206"/>
      <c r="N297" s="1206"/>
      <c r="O297" s="1206"/>
      <c r="P297" s="170"/>
      <c r="Q297" s="170"/>
      <c r="R297" s="170"/>
      <c r="S297" s="170"/>
      <c r="T297" s="170"/>
      <c r="U297" s="1938"/>
      <c r="V297" s="1938"/>
      <c r="W297" s="2220"/>
      <c r="X297" s="2220"/>
      <c r="Y297" s="2220"/>
      <c r="Z297" s="2220"/>
      <c r="AA297" s="2220"/>
      <c r="AB297" s="2220"/>
      <c r="AD297" s="1222"/>
      <c r="AF297" s="1222"/>
      <c r="AJ297" s="505"/>
      <c r="AM297" s="76"/>
    </row>
    <row r="298" spans="1:49" ht="15" customHeight="1">
      <c r="A298" s="1182" t="s">
        <v>389</v>
      </c>
      <c r="B298" s="96"/>
      <c r="C298" s="122"/>
      <c r="D298" s="122"/>
      <c r="E298" s="122"/>
      <c r="F298" s="122"/>
      <c r="G298" s="87"/>
      <c r="H298" s="122"/>
      <c r="I298" s="122"/>
      <c r="J298" s="122"/>
      <c r="K298" s="170"/>
      <c r="L298" s="1227"/>
      <c r="M298" s="170"/>
      <c r="N298" s="170"/>
      <c r="P298" s="170"/>
      <c r="Q298" s="170"/>
      <c r="R298" s="170"/>
      <c r="S298" s="170"/>
      <c r="X298" s="170"/>
      <c r="Y298" s="1227"/>
      <c r="Z298" s="170"/>
      <c r="AD298" s="1236"/>
      <c r="AF298" s="1236"/>
      <c r="AJ298" s="505"/>
      <c r="AM298" s="76"/>
      <c r="AR298" s="1529" t="s">
        <v>2901</v>
      </c>
    </row>
    <row r="299" spans="1:49" ht="15" customHeight="1">
      <c r="A299" s="96"/>
      <c r="B299" s="170"/>
      <c r="C299" s="170"/>
      <c r="D299" s="124"/>
      <c r="E299" s="170"/>
      <c r="F299" s="1245"/>
      <c r="G299" s="1245"/>
      <c r="H299" s="1245"/>
      <c r="I299" s="1245"/>
      <c r="K299" s="78"/>
      <c r="L299" s="1206"/>
      <c r="M299" s="1206"/>
      <c r="N299" s="1206"/>
      <c r="O299" s="1206"/>
      <c r="P299" s="170"/>
      <c r="Q299" s="170"/>
      <c r="R299" s="170"/>
      <c r="S299" s="170"/>
      <c r="T299" s="170"/>
      <c r="U299" s="124"/>
      <c r="V299" s="170"/>
      <c r="X299" s="170"/>
      <c r="Y299" s="1218"/>
      <c r="Z299" s="170"/>
      <c r="AA299" s="170"/>
      <c r="AD299" s="1222"/>
      <c r="AF299" s="1222"/>
      <c r="AJ299" s="505"/>
      <c r="AM299" s="76"/>
    </row>
    <row r="300" spans="1:49" ht="15" hidden="1" customHeight="1">
      <c r="A300" s="96"/>
      <c r="B300" s="170"/>
      <c r="C300" s="170" t="s">
        <v>2984</v>
      </c>
      <c r="D300" s="124"/>
      <c r="E300" s="170"/>
      <c r="F300" s="1258"/>
      <c r="G300" s="1258"/>
      <c r="H300" s="1258"/>
      <c r="I300" s="1258"/>
      <c r="K300" s="78" t="str">
        <f>IF(AE254=1,"Box Flange","Open Flange")</f>
        <v>Open Flange</v>
      </c>
      <c r="L300" s="1206"/>
      <c r="M300" s="1206"/>
      <c r="N300" s="1206"/>
      <c r="O300" s="1206"/>
      <c r="P300" s="170" t="s">
        <v>2985</v>
      </c>
      <c r="Q300" s="170"/>
      <c r="R300" s="170" t="s">
        <v>2986</v>
      </c>
      <c r="S300" s="170"/>
      <c r="T300" s="170"/>
      <c r="U300" s="124"/>
      <c r="V300" s="170"/>
      <c r="X300" s="170"/>
      <c r="Y300" s="1424"/>
      <c r="Z300" s="170"/>
      <c r="AA300" s="170"/>
      <c r="AD300" s="1428"/>
      <c r="AF300" s="1428"/>
      <c r="AJ300" s="505"/>
      <c r="AM300" s="76"/>
      <c r="AS300" s="1628" t="str">
        <f>IF(K300="Open Flange","Hide this row","")</f>
        <v>Hide this row</v>
      </c>
    </row>
    <row r="301" spans="1:49" ht="15" customHeight="1">
      <c r="B301" s="1177" t="s">
        <v>2466</v>
      </c>
      <c r="C301" s="150" t="s">
        <v>2528</v>
      </c>
      <c r="E301" s="170"/>
      <c r="G301" s="170"/>
      <c r="H301" s="170"/>
      <c r="K301" s="170"/>
      <c r="L301" s="143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1186"/>
      <c r="Z301" s="170"/>
      <c r="AA301" s="170"/>
      <c r="AS301" s="1628" t="str">
        <f>IF(K300="Box Flange","Hide this row","")</f>
        <v/>
      </c>
    </row>
    <row r="302" spans="1:49" ht="15" customHeight="1">
      <c r="A302" s="170"/>
      <c r="B302" s="170"/>
      <c r="C302" s="170"/>
      <c r="D302" s="124" t="s">
        <v>2982</v>
      </c>
      <c r="E302" s="170"/>
      <c r="F302" s="1187"/>
      <c r="G302" s="170"/>
      <c r="H302" s="170"/>
      <c r="K302" s="170"/>
      <c r="L302" s="143"/>
      <c r="N302" s="170"/>
      <c r="S302" s="170"/>
      <c r="T302" s="170"/>
      <c r="U302" s="170"/>
      <c r="V302" s="170"/>
      <c r="W302" s="124" t="s">
        <v>2983</v>
      </c>
      <c r="X302" s="170"/>
      <c r="Y302" s="1186"/>
      <c r="Z302" s="170"/>
      <c r="AA302" s="170"/>
      <c r="AS302" s="1628" t="str">
        <f>IF(K300="Box Flange","Hide this row","")</f>
        <v/>
      </c>
    </row>
    <row r="303" spans="1:49" ht="15" customHeight="1">
      <c r="A303" s="170"/>
      <c r="B303" s="170"/>
      <c r="C303" s="170"/>
      <c r="E303" s="170"/>
      <c r="F303" s="1187"/>
      <c r="G303" s="170"/>
      <c r="H303" s="170"/>
      <c r="K303" s="170"/>
      <c r="L303" s="143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186"/>
      <c r="Z303" s="170"/>
      <c r="AA303" s="170"/>
      <c r="AJ303" s="505"/>
      <c r="AM303" s="76"/>
      <c r="AS303" s="1628" t="str">
        <f>IF(K300="Box Flange","Hide this row","")</f>
        <v/>
      </c>
    </row>
    <row r="304" spans="1:49" ht="15" customHeight="1">
      <c r="A304" s="170"/>
      <c r="C304" s="143" t="s">
        <v>2737</v>
      </c>
      <c r="D304" s="170" t="s">
        <v>2772</v>
      </c>
      <c r="E304" s="150"/>
      <c r="G304" s="170"/>
      <c r="I304" s="170"/>
      <c r="J304" s="170"/>
      <c r="K304" s="170"/>
      <c r="L304" s="1186"/>
      <c r="M304" s="170"/>
      <c r="N304" s="170"/>
      <c r="O304" s="170"/>
      <c r="P304" s="170"/>
      <c r="Q304" s="170"/>
      <c r="R304" s="170"/>
      <c r="U304" s="170"/>
      <c r="V304" s="170"/>
      <c r="W304" s="170"/>
      <c r="X304" s="170"/>
      <c r="Y304" s="1186"/>
      <c r="Z304" s="170"/>
      <c r="AA304" s="170"/>
      <c r="AJ304" s="505"/>
      <c r="AM304" s="76"/>
      <c r="AS304" s="1628" t="str">
        <f>IF(K300="Box Flange","Hide this row","")</f>
        <v/>
      </c>
    </row>
    <row r="305" spans="1:45" ht="15" customHeight="1">
      <c r="A305" s="170"/>
      <c r="B305" s="170"/>
      <c r="D305" s="170"/>
      <c r="E305" s="150"/>
      <c r="G305" s="1249" t="s">
        <v>2775</v>
      </c>
      <c r="I305" s="124" t="s">
        <v>2697</v>
      </c>
      <c r="J305" s="170"/>
      <c r="K305" s="1249" t="s">
        <v>2974</v>
      </c>
      <c r="L305" s="1186"/>
      <c r="M305" s="170"/>
      <c r="N305" s="170"/>
      <c r="O305" s="170"/>
      <c r="P305" s="170"/>
      <c r="Q305" s="170"/>
      <c r="R305" s="170"/>
      <c r="U305" s="170"/>
      <c r="V305" s="170"/>
      <c r="W305" s="170"/>
      <c r="X305" s="170"/>
      <c r="Y305" s="1186"/>
      <c r="Z305" s="170"/>
      <c r="AA305" s="170"/>
      <c r="AJ305" s="505"/>
      <c r="AM305" s="76"/>
      <c r="AS305" s="1628" t="str">
        <f>IF(K300="Box Flange","Hide this row","")</f>
        <v/>
      </c>
    </row>
    <row r="306" spans="1:45" ht="15" customHeight="1">
      <c r="A306" s="170"/>
      <c r="B306" s="170"/>
      <c r="D306" s="143" t="s">
        <v>2496</v>
      </c>
      <c r="E306" s="1326"/>
      <c r="G306" s="1249"/>
      <c r="I306" s="170"/>
      <c r="J306" s="170"/>
      <c r="K306" s="170"/>
      <c r="L306" s="1296"/>
      <c r="M306" s="170"/>
      <c r="N306" s="170"/>
      <c r="O306" s="170"/>
      <c r="P306" s="170"/>
      <c r="Q306" s="170"/>
      <c r="R306" s="170"/>
      <c r="U306" s="170"/>
      <c r="V306" s="170"/>
      <c r="W306" s="170"/>
      <c r="X306" s="170"/>
      <c r="Y306" s="1296"/>
      <c r="Z306" s="170"/>
      <c r="AA306" s="170"/>
      <c r="AD306" s="1309"/>
      <c r="AF306" s="1309"/>
      <c r="AJ306" s="505"/>
      <c r="AM306" s="76"/>
      <c r="AS306" s="1628" t="str">
        <f>IF(K300="Box Flange","Hide this row","")</f>
        <v/>
      </c>
    </row>
    <row r="307" spans="1:45" ht="15" customHeight="1">
      <c r="A307" s="170"/>
      <c r="B307" s="170"/>
      <c r="D307" s="170"/>
      <c r="E307" s="1326"/>
      <c r="G307" s="649" t="s">
        <v>2497</v>
      </c>
      <c r="I307" s="138" t="s">
        <v>2566</v>
      </c>
      <c r="J307" s="170"/>
      <c r="K307" s="124" t="s">
        <v>2975</v>
      </c>
      <c r="L307" s="1296"/>
      <c r="M307" s="170"/>
      <c r="N307" s="170"/>
      <c r="O307" s="170"/>
      <c r="P307" s="170"/>
      <c r="Q307" s="170"/>
      <c r="R307" s="170"/>
      <c r="U307" s="170"/>
      <c r="V307" s="170"/>
      <c r="W307" s="170"/>
      <c r="X307" s="170"/>
      <c r="Y307" s="1296"/>
      <c r="Z307" s="170"/>
      <c r="AA307" s="170"/>
      <c r="AD307" s="1309"/>
      <c r="AF307" s="1309"/>
      <c r="AJ307" s="505"/>
      <c r="AM307" s="76"/>
      <c r="AS307" s="1628" t="str">
        <f>IF(K300="Box Flange","Hide this row","")</f>
        <v/>
      </c>
    </row>
    <row r="308" spans="1:45" ht="15" customHeight="1">
      <c r="A308" s="170"/>
      <c r="B308" s="170"/>
      <c r="D308" s="170"/>
      <c r="E308" s="150"/>
      <c r="G308" s="170"/>
      <c r="I308" s="124" t="s">
        <v>324</v>
      </c>
      <c r="J308" s="170"/>
      <c r="K308" s="138" t="s">
        <v>2773</v>
      </c>
      <c r="L308" s="2095">
        <f>AE283/10^6</f>
        <v>0.19844296508570783</v>
      </c>
      <c r="M308" s="2095"/>
      <c r="N308" s="2095"/>
      <c r="O308" s="1188" t="s">
        <v>2503</v>
      </c>
      <c r="P308" s="495"/>
      <c r="R308" s="1189"/>
      <c r="S308" s="2093">
        <f>AE252/10^6</f>
        <v>0</v>
      </c>
      <c r="T308" s="2093"/>
      <c r="U308" s="1190" t="s">
        <v>391</v>
      </c>
      <c r="V308" s="2194">
        <f>+AE253/10^6</f>
        <v>1.595</v>
      </c>
      <c r="W308" s="2194"/>
      <c r="X308" s="2194"/>
      <c r="Y308" s="124" t="s">
        <v>2498</v>
      </c>
      <c r="AB308" s="143"/>
      <c r="AC308" s="115"/>
      <c r="AD308" s="143"/>
      <c r="AE308" s="143"/>
      <c r="AF308" s="143"/>
      <c r="AG308" s="143"/>
      <c r="AJ308" s="505"/>
      <c r="AM308" s="76"/>
      <c r="AS308" s="1628" t="str">
        <f>IF(K300="Box Flange","Hide this row","")</f>
        <v/>
      </c>
    </row>
    <row r="309" spans="1:45" ht="15" customHeight="1">
      <c r="A309" s="170"/>
      <c r="I309" s="138" t="s">
        <v>324</v>
      </c>
      <c r="K309" s="2212">
        <f>(L308*78.5+(S308+V308)*25)/2</f>
        <v>27.726386379614034</v>
      </c>
      <c r="L309" s="2212"/>
      <c r="M309" s="2212"/>
      <c r="N309" s="143" t="s">
        <v>2778</v>
      </c>
      <c r="Y309" s="143"/>
      <c r="AB309" s="170"/>
      <c r="AD309" s="143"/>
      <c r="AE309" s="143"/>
      <c r="AF309" s="143"/>
      <c r="AG309" s="143"/>
      <c r="AH309" s="143"/>
      <c r="AI309" s="143"/>
      <c r="AJ309" s="143"/>
      <c r="AK309" s="143"/>
      <c r="AL309" s="143"/>
      <c r="AM309" s="143"/>
      <c r="AS309" s="1628" t="str">
        <f>IF(K300="Box Flange","Hide this row","")</f>
        <v/>
      </c>
    </row>
    <row r="310" spans="1:45" ht="15" customHeight="1">
      <c r="A310" s="170"/>
      <c r="F310" s="170" t="s">
        <v>2462</v>
      </c>
      <c r="G310" s="124" t="s">
        <v>2567</v>
      </c>
      <c r="I310" s="138" t="s">
        <v>324</v>
      </c>
      <c r="K310" s="2194">
        <f>+K309</f>
        <v>27.726386379614034</v>
      </c>
      <c r="L310" s="2194"/>
      <c r="M310" s="2194"/>
      <c r="N310" s="1190" t="s">
        <v>2489</v>
      </c>
      <c r="O310" s="2101">
        <f>AE262</f>
        <v>0.125</v>
      </c>
      <c r="P310" s="2101"/>
      <c r="Q310" s="2101"/>
      <c r="R310" s="1190" t="s">
        <v>2489</v>
      </c>
      <c r="S310" s="2097">
        <f>+AE250</f>
        <v>5000</v>
      </c>
      <c r="T310" s="1938"/>
      <c r="U310" s="1938"/>
      <c r="V310" s="170" t="s">
        <v>2494</v>
      </c>
      <c r="Y310" s="143"/>
      <c r="AB310" s="143"/>
      <c r="AJ310" s="505"/>
      <c r="AM310" s="76"/>
      <c r="AS310" s="1628" t="str">
        <f>IF(K300="Box Flange","Hide this row","")</f>
        <v/>
      </c>
    </row>
    <row r="311" spans="1:45" ht="15" customHeight="1">
      <c r="A311" s="170"/>
      <c r="E311" s="170"/>
      <c r="F311" s="124"/>
      <c r="I311" s="138" t="s">
        <v>324</v>
      </c>
      <c r="K311" s="2127">
        <f>1/12*K310*O310*(S310/1000)^2</f>
        <v>7.2204131196911545</v>
      </c>
      <c r="L311" s="2127"/>
      <c r="M311" s="2127"/>
      <c r="N311" s="1298" t="s">
        <v>2777</v>
      </c>
      <c r="R311" s="1303"/>
      <c r="S311" s="1315"/>
      <c r="T311" s="1302"/>
      <c r="U311" s="1302"/>
      <c r="V311" s="170"/>
      <c r="Y311" s="143"/>
      <c r="AB311" s="143"/>
      <c r="AD311" s="1309"/>
      <c r="AF311" s="1309"/>
      <c r="AJ311" s="505"/>
      <c r="AM311" s="76"/>
      <c r="AS311" s="1628" t="str">
        <f>IF(K300="Box Flange","Hide this row","")</f>
        <v/>
      </c>
    </row>
    <row r="312" spans="1:45" ht="15" customHeight="1">
      <c r="A312" s="170"/>
      <c r="C312" s="138" t="s">
        <v>2749</v>
      </c>
      <c r="D312" s="143" t="s">
        <v>2774</v>
      </c>
      <c r="E312" s="1185"/>
      <c r="J312" s="1192"/>
      <c r="K312" s="1190"/>
      <c r="L312" s="1193"/>
      <c r="M312" s="1193"/>
      <c r="N312" s="170"/>
      <c r="O312" s="170"/>
      <c r="Q312" s="1194"/>
      <c r="W312" s="170"/>
      <c r="X312" s="170"/>
      <c r="Y312" s="143"/>
      <c r="AS312" s="1628" t="str">
        <f>IF(K300="Box Flange","Hide this row","")</f>
        <v/>
      </c>
    </row>
    <row r="313" spans="1:45" ht="15" customHeight="1">
      <c r="A313" s="170"/>
      <c r="E313" s="1185"/>
      <c r="G313" s="143" t="s">
        <v>928</v>
      </c>
      <c r="I313" s="138" t="s">
        <v>2697</v>
      </c>
      <c r="J313" s="1192"/>
      <c r="K313" s="143" t="s">
        <v>2920</v>
      </c>
      <c r="L313" s="1193"/>
      <c r="M313" s="1193"/>
      <c r="N313" s="170"/>
      <c r="O313" s="170"/>
      <c r="Y313" s="143"/>
      <c r="AB313" s="143"/>
      <c r="AD313" s="143"/>
      <c r="AE313" s="143"/>
      <c r="AF313" s="143"/>
      <c r="AG313" s="143"/>
      <c r="AH313" s="143"/>
      <c r="AI313" s="143"/>
      <c r="AJ313" s="143"/>
      <c r="AK313" s="143"/>
      <c r="AL313" s="143"/>
      <c r="AM313" s="143"/>
      <c r="AN313" s="143"/>
      <c r="AO313" s="143"/>
      <c r="AP313" s="143"/>
      <c r="AQ313" s="143"/>
      <c r="AR313" s="143"/>
      <c r="AS313" s="1628" t="str">
        <f>IF(K300="Box Flange","Hide this row","")</f>
        <v/>
      </c>
    </row>
    <row r="314" spans="1:45" ht="15" customHeight="1">
      <c r="A314" s="170"/>
      <c r="D314" s="143" t="s">
        <v>2496</v>
      </c>
      <c r="E314" s="1185"/>
      <c r="J314" s="1192"/>
      <c r="L314" s="143"/>
      <c r="Y314" s="143"/>
      <c r="AB314" s="143"/>
      <c r="AD314" s="143"/>
      <c r="AE314" s="143"/>
      <c r="AF314" s="143"/>
      <c r="AG314" s="143"/>
      <c r="AH314" s="143"/>
      <c r="AI314" s="143"/>
      <c r="AJ314" s="143"/>
      <c r="AK314" s="143"/>
      <c r="AL314" s="143"/>
      <c r="AM314" s="143"/>
      <c r="AN314" s="143"/>
      <c r="AO314" s="143"/>
      <c r="AS314" s="1628" t="str">
        <f>IF(K300="Box Flange","Hide this row","")</f>
        <v/>
      </c>
    </row>
    <row r="315" spans="1:45" ht="15" customHeight="1">
      <c r="A315" s="170"/>
      <c r="E315" s="1185"/>
      <c r="G315" s="138" t="s">
        <v>405</v>
      </c>
      <c r="I315" s="138" t="s">
        <v>2566</v>
      </c>
      <c r="K315" s="138" t="s">
        <v>2776</v>
      </c>
      <c r="L315" s="143"/>
      <c r="M315" s="1192"/>
      <c r="R315" s="1195" t="s">
        <v>324</v>
      </c>
      <c r="S315" s="2100">
        <v>0.5</v>
      </c>
      <c r="T315" s="2100"/>
      <c r="U315" s="1195" t="s">
        <v>2489</v>
      </c>
      <c r="V315" s="2217">
        <f>+AD318</f>
        <v>8.6999999999999993</v>
      </c>
      <c r="W315" s="2116"/>
      <c r="X315" s="1197" t="s">
        <v>2490</v>
      </c>
      <c r="Y315" s="2117">
        <f>+AD316</f>
        <v>1.8064516129032258</v>
      </c>
      <c r="Z315" s="2117"/>
      <c r="AB315" s="143"/>
      <c r="AC315" s="1195" t="s">
        <v>324</v>
      </c>
      <c r="AD315" s="2100">
        <f>+S315*V315/Y315</f>
        <v>2.4080357142857141</v>
      </c>
      <c r="AE315" s="2100"/>
      <c r="AF315" s="2100"/>
      <c r="AG315" s="143" t="s">
        <v>2778</v>
      </c>
      <c r="AH315" s="143"/>
      <c r="AI315" s="143"/>
      <c r="AJ315" s="143"/>
      <c r="AK315" s="143"/>
      <c r="AL315" s="143"/>
      <c r="AM315" s="143"/>
      <c r="AS315" s="1628" t="str">
        <f>IF(K300="Box Flange","Hide this row","")</f>
        <v/>
      </c>
    </row>
    <row r="316" spans="1:45" ht="15" customHeight="1">
      <c r="A316" s="170"/>
      <c r="F316" s="2004"/>
      <c r="G316" s="2221" t="s">
        <v>2568</v>
      </c>
      <c r="H316" s="2221"/>
      <c r="I316" s="2004" t="s">
        <v>2697</v>
      </c>
      <c r="K316" s="2173" t="s">
        <v>414</v>
      </c>
      <c r="L316" s="2173"/>
      <c r="M316" s="2173"/>
      <c r="N316" s="2173"/>
      <c r="O316" s="2173"/>
      <c r="P316" s="2116" t="s">
        <v>324</v>
      </c>
      <c r="Q316" s="2173">
        <f>+AE260</f>
        <v>2800</v>
      </c>
      <c r="R316" s="2173"/>
      <c r="S316" s="2173"/>
      <c r="T316" s="2173"/>
      <c r="U316" s="2173"/>
      <c r="V316" s="2173"/>
      <c r="W316" s="2173"/>
      <c r="X316" s="2173"/>
      <c r="Y316" s="2173"/>
      <c r="Z316" s="2173"/>
      <c r="AA316" s="2173"/>
      <c r="AB316" s="143"/>
      <c r="AC316" s="1944" t="s">
        <v>324</v>
      </c>
      <c r="AD316" s="2100">
        <f>+Q316/(Q317+U317*Y317)</f>
        <v>1.8064516129032258</v>
      </c>
      <c r="AE316" s="2100"/>
      <c r="AF316" s="2100"/>
      <c r="AG316" s="143"/>
      <c r="AK316" s="143"/>
      <c r="AL316" s="143"/>
      <c r="AM316" s="143"/>
      <c r="AN316" s="143"/>
      <c r="AO316" s="143"/>
      <c r="AS316" s="1628" t="str">
        <f>IF(K300="Box Flange","Hide this row","")</f>
        <v/>
      </c>
    </row>
    <row r="317" spans="1:45" ht="15" customHeight="1">
      <c r="A317" s="170"/>
      <c r="F317" s="2004"/>
      <c r="G317" s="2221"/>
      <c r="H317" s="2221"/>
      <c r="I317" s="2004"/>
      <c r="K317" s="58" t="s">
        <v>2579</v>
      </c>
      <c r="L317" s="58"/>
      <c r="M317" s="58"/>
      <c r="N317" s="58"/>
      <c r="P317" s="1938"/>
      <c r="Q317" s="2096">
        <f>AE263</f>
        <v>1200</v>
      </c>
      <c r="R317" s="2096"/>
      <c r="S317" s="2096"/>
      <c r="T317" s="1195" t="s">
        <v>391</v>
      </c>
      <c r="U317" s="2096">
        <f>+Q316</f>
        <v>2800</v>
      </c>
      <c r="V317" s="2096"/>
      <c r="W317" s="2096"/>
      <c r="X317" s="1190" t="s">
        <v>2489</v>
      </c>
      <c r="Y317" s="2101">
        <f>+AE262</f>
        <v>0.125</v>
      </c>
      <c r="Z317" s="2101"/>
      <c r="AA317" s="2101"/>
      <c r="AB317" s="143"/>
      <c r="AC317" s="1862"/>
      <c r="AD317" s="2100"/>
      <c r="AE317" s="2100"/>
      <c r="AF317" s="2100"/>
      <c r="AG317" s="143"/>
      <c r="AK317" s="143"/>
      <c r="AL317" s="143"/>
      <c r="AM317" s="143"/>
      <c r="AN317" s="143"/>
      <c r="AO317" s="143"/>
      <c r="AS317" s="1628" t="str">
        <f>IF(K300="Box Flange","Hide this row","")</f>
        <v/>
      </c>
    </row>
    <row r="318" spans="1:45" ht="15" customHeight="1">
      <c r="A318" s="170"/>
      <c r="F318" s="1304"/>
      <c r="G318" s="143" t="s">
        <v>948</v>
      </c>
      <c r="H318" s="1327"/>
      <c r="I318" s="138" t="s">
        <v>2566</v>
      </c>
      <c r="K318" s="143" t="s">
        <v>2976</v>
      </c>
      <c r="L318" s="58"/>
      <c r="M318" s="58"/>
      <c r="N318" s="58"/>
      <c r="P318" s="1195" t="s">
        <v>324</v>
      </c>
      <c r="Q318" s="1938">
        <f>AE264/1000</f>
        <v>0.28999999999999998</v>
      </c>
      <c r="R318" s="1938"/>
      <c r="S318" s="1938"/>
      <c r="T318" s="1195" t="s">
        <v>2489</v>
      </c>
      <c r="U318" s="2100">
        <f>+AE263/1000</f>
        <v>1.2</v>
      </c>
      <c r="V318" s="2100"/>
      <c r="W318" s="2100"/>
      <c r="X318" s="124" t="s">
        <v>2489</v>
      </c>
      <c r="Y318" s="1862">
        <v>25</v>
      </c>
      <c r="Z318" s="1862"/>
      <c r="AA318" s="1323"/>
      <c r="AB318" s="143"/>
      <c r="AC318" s="1195" t="s">
        <v>324</v>
      </c>
      <c r="AD318" s="2100">
        <f>+Q318*U318*Y318</f>
        <v>8.6999999999999993</v>
      </c>
      <c r="AE318" s="2100"/>
      <c r="AF318" s="2100"/>
      <c r="AG318" s="143" t="s">
        <v>2778</v>
      </c>
      <c r="AK318" s="143"/>
      <c r="AL318" s="143"/>
      <c r="AM318" s="143"/>
      <c r="AN318" s="143"/>
      <c r="AO318" s="143"/>
      <c r="AS318" s="1628" t="str">
        <f>IF(K300="Box Flange","Hide this row","")</f>
        <v/>
      </c>
    </row>
    <row r="319" spans="1:45" ht="15" customHeight="1">
      <c r="A319" s="170"/>
      <c r="F319" s="143" t="s">
        <v>2462</v>
      </c>
      <c r="G319" s="143" t="s">
        <v>928</v>
      </c>
      <c r="I319" s="138" t="s">
        <v>324</v>
      </c>
      <c r="K319" s="2100">
        <f>+AD315</f>
        <v>2.4080357142857141</v>
      </c>
      <c r="L319" s="1938"/>
      <c r="M319" s="1198" t="s">
        <v>2489</v>
      </c>
      <c r="N319" s="2222">
        <f>+AE250/1000</f>
        <v>5</v>
      </c>
      <c r="O319" s="2222"/>
      <c r="P319" s="2222"/>
      <c r="Q319" s="170" t="s">
        <v>2494</v>
      </c>
      <c r="R319" s="170"/>
      <c r="Y319" s="143"/>
      <c r="AB319" s="143"/>
      <c r="AE319" s="143"/>
      <c r="AF319" s="143"/>
      <c r="AG319" s="143"/>
      <c r="AJ319" s="143"/>
      <c r="AS319" s="1628" t="str">
        <f>IF(K300="Box Flange","Hide this row","")</f>
        <v/>
      </c>
    </row>
    <row r="320" spans="1:45" ht="15" customHeight="1">
      <c r="A320" s="170"/>
      <c r="D320" s="138"/>
      <c r="F320" s="1185"/>
      <c r="I320" s="1195" t="s">
        <v>324</v>
      </c>
      <c r="K320" s="2215">
        <f>1/12*K319*N319^2</f>
        <v>5.0167410714285712</v>
      </c>
      <c r="L320" s="2215"/>
      <c r="M320" s="2215"/>
      <c r="N320" s="1466" t="s">
        <v>2777</v>
      </c>
      <c r="O320" s="1199"/>
      <c r="P320" s="124"/>
      <c r="Q320" s="170"/>
      <c r="S320" s="1195"/>
      <c r="T320" s="1196"/>
      <c r="U320" s="1196"/>
      <c r="V320" s="170"/>
      <c r="W320" s="170"/>
      <c r="Y320" s="143"/>
      <c r="Z320" s="170"/>
      <c r="AA320" s="170"/>
      <c r="AE320" s="143"/>
      <c r="AF320" s="143"/>
      <c r="AG320" s="143"/>
      <c r="AJ320" s="505"/>
      <c r="AM320" s="76"/>
      <c r="AS320" s="1628" t="str">
        <f>IF(K300="Box Flange","Hide this row","")</f>
        <v/>
      </c>
    </row>
    <row r="321" spans="1:45" ht="15" customHeight="1">
      <c r="A321" s="170"/>
      <c r="C321" s="143" t="s">
        <v>2780</v>
      </c>
      <c r="D321" s="1482" t="s">
        <v>2779</v>
      </c>
      <c r="F321" s="1185"/>
      <c r="L321" s="143"/>
      <c r="Y321" s="143"/>
      <c r="AB321" s="143"/>
      <c r="AE321" s="143"/>
      <c r="AF321" s="143"/>
      <c r="AG321" s="143"/>
      <c r="AJ321" s="505"/>
      <c r="AM321" s="76"/>
      <c r="AS321" s="1628" t="str">
        <f>IF(K300="Box Flange","Hide this row","")</f>
        <v/>
      </c>
    </row>
    <row r="322" spans="1:45" ht="15" customHeight="1">
      <c r="A322" s="170"/>
      <c r="G322" s="143" t="s">
        <v>930</v>
      </c>
      <c r="I322" s="138" t="s">
        <v>2697</v>
      </c>
      <c r="K322" s="143" t="s">
        <v>2920</v>
      </c>
      <c r="L322" s="143"/>
      <c r="M322" s="1195"/>
      <c r="Y322" s="143"/>
      <c r="AB322" s="143"/>
      <c r="AE322" s="143"/>
      <c r="AF322" s="143"/>
      <c r="AG322" s="143"/>
      <c r="AJ322" s="505"/>
      <c r="AM322" s="76"/>
      <c r="AS322" s="1628" t="str">
        <f>IF(K300="Box Flange","Hide this row","")</f>
        <v/>
      </c>
    </row>
    <row r="323" spans="1:45" ht="15" customHeight="1">
      <c r="A323" s="170"/>
      <c r="C323" s="124"/>
      <c r="D323" s="143" t="s">
        <v>2496</v>
      </c>
      <c r="E323" s="150"/>
      <c r="G323" s="170"/>
      <c r="I323" s="170"/>
      <c r="J323" s="170"/>
      <c r="L323" s="170"/>
      <c r="M323" s="1186"/>
      <c r="N323" s="170"/>
      <c r="O323" s="170"/>
      <c r="P323" s="170"/>
      <c r="Q323" s="170"/>
      <c r="R323" s="170"/>
      <c r="AJ323" s="505"/>
      <c r="AM323" s="76"/>
      <c r="AS323" s="1628" t="str">
        <f>IF(K300="Box Flange","Hide this row","")</f>
        <v/>
      </c>
    </row>
    <row r="324" spans="1:45" ht="15" customHeight="1">
      <c r="A324" s="170"/>
      <c r="B324" s="170"/>
      <c r="D324" s="170"/>
      <c r="E324" s="150"/>
      <c r="G324" s="124" t="s">
        <v>405</v>
      </c>
      <c r="I324" s="138" t="s">
        <v>2697</v>
      </c>
      <c r="J324" s="170"/>
      <c r="K324" s="124" t="s">
        <v>2924</v>
      </c>
      <c r="L324" s="170"/>
      <c r="Q324" s="1938">
        <v>0.5</v>
      </c>
      <c r="R324" s="1938"/>
      <c r="S324" s="138" t="s">
        <v>2489</v>
      </c>
      <c r="T324" s="2097">
        <f>+K325</f>
        <v>3</v>
      </c>
      <c r="U324" s="2097"/>
      <c r="V324" s="138" t="s">
        <v>2490</v>
      </c>
      <c r="W324" s="2100">
        <f>+AD316</f>
        <v>1.8064516129032258</v>
      </c>
      <c r="X324" s="1938"/>
      <c r="Y324" s="138" t="s">
        <v>324</v>
      </c>
      <c r="Z324" s="2101">
        <f>+Q324*T324/W324</f>
        <v>0.8303571428571429</v>
      </c>
      <c r="AA324" s="2101"/>
      <c r="AB324" s="2101"/>
      <c r="AC324" s="143" t="s">
        <v>2778</v>
      </c>
      <c r="AJ324" s="505"/>
      <c r="AM324" s="76"/>
      <c r="AS324" s="1628" t="str">
        <f>IF(K300="Box Flange","Hide this row","")</f>
        <v/>
      </c>
    </row>
    <row r="325" spans="1:45" ht="15" customHeight="1">
      <c r="A325" s="170"/>
      <c r="B325" s="170"/>
      <c r="D325" s="170"/>
      <c r="E325" s="150"/>
      <c r="G325" s="170" t="s">
        <v>2781</v>
      </c>
      <c r="I325" s="124" t="s">
        <v>2697</v>
      </c>
      <c r="J325" s="170"/>
      <c r="K325" s="2193">
        <v>3</v>
      </c>
      <c r="L325" s="2193"/>
      <c r="M325" s="143" t="s">
        <v>938</v>
      </c>
      <c r="O325" s="561"/>
      <c r="R325" s="1186"/>
      <c r="AJ325" s="505"/>
      <c r="AM325" s="76"/>
      <c r="AS325" s="1628" t="str">
        <f>IF(K300="Box Flange","Hide this row","")</f>
        <v/>
      </c>
    </row>
    <row r="326" spans="1:45" ht="15" customHeight="1">
      <c r="A326" s="170"/>
      <c r="E326" s="150"/>
      <c r="F326" s="170" t="s">
        <v>2462</v>
      </c>
      <c r="G326" s="143" t="s">
        <v>930</v>
      </c>
      <c r="I326" s="124" t="s">
        <v>2697</v>
      </c>
      <c r="J326" s="170"/>
      <c r="K326" s="2101">
        <f>+Z324</f>
        <v>0.8303571428571429</v>
      </c>
      <c r="L326" s="2101"/>
      <c r="M326" s="2101"/>
      <c r="N326" s="1198" t="s">
        <v>2489</v>
      </c>
      <c r="O326" s="2216">
        <f>+AE250/1000</f>
        <v>5</v>
      </c>
      <c r="P326" s="2216"/>
      <c r="Q326" s="2216"/>
      <c r="R326" s="170" t="s">
        <v>2494</v>
      </c>
      <c r="S326" s="170"/>
      <c r="Y326" s="1186"/>
      <c r="Z326" s="170"/>
      <c r="AA326" s="137"/>
      <c r="AJ326" s="505"/>
      <c r="AM326" s="76"/>
      <c r="AS326" s="1628" t="str">
        <f>IF(K300="Box Flange","Hide this row","")</f>
        <v/>
      </c>
    </row>
    <row r="327" spans="1:45" ht="15" customHeight="1">
      <c r="A327" s="170"/>
      <c r="B327" s="170"/>
      <c r="I327" s="1195" t="s">
        <v>324</v>
      </c>
      <c r="K327" s="2215">
        <f>0.0833333333333333*K326*O326^2</f>
        <v>1.7299107142857137</v>
      </c>
      <c r="L327" s="2215"/>
      <c r="M327" s="2215"/>
      <c r="N327" s="143" t="s">
        <v>2777</v>
      </c>
      <c r="O327" s="170"/>
      <c r="V327" s="170"/>
      <c r="W327" s="170"/>
      <c r="X327" s="170"/>
      <c r="Y327" s="1186"/>
      <c r="Z327" s="170"/>
      <c r="AA327" s="137"/>
      <c r="AJ327" s="505"/>
      <c r="AM327" s="76"/>
      <c r="AS327" s="1628" t="str">
        <f>IF(K300="Box Flange","Hide this row","")</f>
        <v/>
      </c>
    </row>
    <row r="328" spans="1:45" ht="15" customHeight="1">
      <c r="A328" s="170"/>
      <c r="C328" s="143" t="s">
        <v>2783</v>
      </c>
      <c r="D328" s="1482" t="s">
        <v>2782</v>
      </c>
      <c r="E328" s="150"/>
      <c r="G328" s="170"/>
      <c r="H328" s="170"/>
      <c r="L328" s="1193"/>
      <c r="M328" s="1193"/>
      <c r="N328" s="170"/>
      <c r="AJ328" s="505"/>
      <c r="AM328" s="76"/>
      <c r="AS328" s="1628" t="str">
        <f>IF(K300="Box Flange","Hide this row","")</f>
        <v/>
      </c>
    </row>
    <row r="329" spans="1:45" ht="15" customHeight="1">
      <c r="A329" s="170"/>
      <c r="B329" s="170"/>
      <c r="D329" s="170"/>
      <c r="E329" s="150"/>
      <c r="G329" s="170" t="s">
        <v>932</v>
      </c>
      <c r="H329" s="170"/>
      <c r="I329" s="1321" t="s">
        <v>324</v>
      </c>
      <c r="J329" s="170"/>
      <c r="K329" s="170" t="s">
        <v>2784</v>
      </c>
      <c r="L329" s="170"/>
      <c r="M329" s="1186"/>
      <c r="N329" s="170"/>
      <c r="O329" s="170"/>
      <c r="P329" s="170"/>
      <c r="Q329" s="170"/>
      <c r="R329" s="170"/>
      <c r="S329" s="170"/>
      <c r="V329" s="170"/>
      <c r="W329" s="170"/>
      <c r="AM329" s="76"/>
      <c r="AS329" s="1628" t="str">
        <f>IF(K300="Box Flange","Hide this row","")</f>
        <v/>
      </c>
    </row>
    <row r="330" spans="1:45" ht="15" customHeight="1">
      <c r="A330" s="170"/>
      <c r="D330" s="143" t="s">
        <v>2496</v>
      </c>
      <c r="E330" s="150"/>
      <c r="H330" s="170"/>
      <c r="I330" s="1321"/>
      <c r="J330" s="170"/>
      <c r="K330" s="170"/>
      <c r="AS330" s="1628" t="str">
        <f>IF(K300="Box Flange","Hide this row","")</f>
        <v/>
      </c>
    </row>
    <row r="331" spans="1:45" ht="15" customHeight="1">
      <c r="A331" s="170"/>
      <c r="E331" s="1326"/>
      <c r="G331" s="143" t="s">
        <v>2789</v>
      </c>
      <c r="H331" s="170"/>
      <c r="I331" s="1321" t="s">
        <v>324</v>
      </c>
      <c r="J331" s="170"/>
      <c r="K331" s="170" t="s">
        <v>2790</v>
      </c>
      <c r="L331" s="1302"/>
      <c r="S331" s="143" t="s">
        <v>2697</v>
      </c>
      <c r="U331" s="1938">
        <f>+AE274</f>
        <v>11912.56</v>
      </c>
      <c r="V331" s="1938"/>
      <c r="W331" s="1938"/>
      <c r="X331" s="138" t="s">
        <v>2791</v>
      </c>
      <c r="Y331" s="1938">
        <f>+AE275</f>
        <v>25.2</v>
      </c>
      <c r="Z331" s="1938"/>
      <c r="AA331" s="1938"/>
      <c r="AB331" s="76" t="s">
        <v>2791</v>
      </c>
      <c r="AC331" s="1938">
        <f>+AE276</f>
        <v>21961.119999999999</v>
      </c>
      <c r="AD331" s="1938"/>
      <c r="AE331" s="1938"/>
      <c r="AF331" s="1308" t="s">
        <v>2697</v>
      </c>
      <c r="AG331" s="2111">
        <f>+U331+Y331+AC331</f>
        <v>33898.879999999997</v>
      </c>
      <c r="AH331" s="2111"/>
      <c r="AI331" s="2111"/>
      <c r="AJ331" s="2111"/>
      <c r="AK331" s="73" t="s">
        <v>2777</v>
      </c>
      <c r="AS331" s="1628" t="str">
        <f>IF(K300="Box Flange","Hide this row","")</f>
        <v/>
      </c>
    </row>
    <row r="332" spans="1:45" ht="15" customHeight="1">
      <c r="A332" s="170"/>
      <c r="E332" s="1326"/>
      <c r="G332" s="143" t="s">
        <v>367</v>
      </c>
      <c r="H332" s="170"/>
      <c r="I332" s="1321" t="s">
        <v>324</v>
      </c>
      <c r="J332" s="170"/>
      <c r="K332" s="2167">
        <f>+AE250/1000</f>
        <v>5</v>
      </c>
      <c r="L332" s="2167"/>
      <c r="M332" s="2167"/>
      <c r="N332" s="143" t="s">
        <v>2792</v>
      </c>
      <c r="U332" s="1302"/>
      <c r="V332" s="1302"/>
      <c r="W332" s="1302"/>
      <c r="X332" s="138"/>
      <c r="Y332" s="1302"/>
      <c r="Z332" s="1302"/>
      <c r="AA332" s="1302"/>
      <c r="AB332" s="76"/>
      <c r="AC332" s="1302"/>
      <c r="AD332" s="1302"/>
      <c r="AE332" s="1302"/>
      <c r="AF332" s="1308"/>
      <c r="AG332" s="1309"/>
      <c r="AH332" s="1309"/>
      <c r="AI332" s="1309"/>
      <c r="AJ332" s="1309"/>
      <c r="AS332" s="1628" t="str">
        <f>IF(K300="Box Flange","Hide this row","")</f>
        <v/>
      </c>
    </row>
    <row r="333" spans="1:45" ht="15" customHeight="1">
      <c r="A333" s="170"/>
      <c r="E333" s="1326"/>
      <c r="G333" s="143" t="s">
        <v>2785</v>
      </c>
      <c r="H333" s="170"/>
      <c r="I333" s="1321" t="s">
        <v>324</v>
      </c>
      <c r="J333" s="170"/>
      <c r="K333" s="170" t="s">
        <v>2786</v>
      </c>
      <c r="L333" s="1302"/>
      <c r="Y333" s="1302"/>
      <c r="AD333" s="1309"/>
      <c r="AF333" s="1309"/>
      <c r="AS333" s="1628" t="str">
        <f>IF(K300="Box Flange","Hide this row","")</f>
        <v/>
      </c>
    </row>
    <row r="334" spans="1:45" ht="15" customHeight="1">
      <c r="A334" s="170"/>
      <c r="E334" s="1326"/>
      <c r="G334" s="143" t="s">
        <v>2787</v>
      </c>
      <c r="H334" s="170"/>
      <c r="I334" s="1321" t="s">
        <v>324</v>
      </c>
      <c r="J334" s="170"/>
      <c r="K334" s="170" t="str">
        <f>IF(AE251=0,"직선교",AE251)</f>
        <v>직선교</v>
      </c>
      <c r="L334" s="1302"/>
      <c r="Y334" s="143"/>
      <c r="AB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S334" s="1628" t="str">
        <f>IF(K300="Box Flange","Hide this row","")</f>
        <v/>
      </c>
    </row>
    <row r="335" spans="1:45" ht="15" customHeight="1">
      <c r="A335" s="170"/>
      <c r="E335" s="1326"/>
      <c r="G335" s="143" t="s">
        <v>2788</v>
      </c>
      <c r="H335" s="170"/>
      <c r="I335" s="1321" t="s">
        <v>324</v>
      </c>
      <c r="J335" s="170"/>
      <c r="K335" s="2154">
        <f>+AE260/1000</f>
        <v>2.8</v>
      </c>
      <c r="L335" s="2154"/>
      <c r="M335" s="2154"/>
      <c r="N335" s="143" t="s">
        <v>2792</v>
      </c>
      <c r="Y335" s="143"/>
      <c r="AB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S335" s="1628" t="str">
        <f>IF(K300="Box Flange","Hide this row","")</f>
        <v/>
      </c>
    </row>
    <row r="336" spans="1:45" ht="15" customHeight="1">
      <c r="A336" s="170"/>
      <c r="E336" s="170" t="s">
        <v>2462</v>
      </c>
      <c r="G336" s="170" t="s">
        <v>932</v>
      </c>
      <c r="H336" s="170"/>
      <c r="I336" s="1321" t="s">
        <v>324</v>
      </c>
      <c r="J336" s="170"/>
      <c r="K336" s="1342">
        <f>IF(AE251=0,0,AG331*K332^2 /12/K334/K335)</f>
        <v>0</v>
      </c>
      <c r="L336" s="1297"/>
      <c r="M336" s="1297"/>
      <c r="Y336" s="143"/>
      <c r="AB336" s="143"/>
      <c r="AD336" s="143"/>
      <c r="AE336" s="143"/>
      <c r="AF336" s="143"/>
      <c r="AG336" s="143"/>
      <c r="AS336" s="1628" t="str">
        <f>IF(K300="Box Flange","Hide this row","")</f>
        <v/>
      </c>
    </row>
    <row r="337" spans="1:46" ht="15" customHeight="1">
      <c r="A337" s="170"/>
      <c r="C337" s="143" t="s">
        <v>2794</v>
      </c>
      <c r="D337" s="170" t="s">
        <v>2793</v>
      </c>
      <c r="G337" s="170"/>
      <c r="J337" s="170"/>
      <c r="L337" s="143"/>
      <c r="M337" s="170"/>
      <c r="N337" s="170"/>
      <c r="O337" s="170"/>
      <c r="P337" s="170"/>
      <c r="Q337" s="170"/>
      <c r="R337" s="170"/>
      <c r="S337" s="170"/>
      <c r="T337" s="170"/>
      <c r="U337" s="170"/>
      <c r="V337" s="170"/>
      <c r="W337" s="170"/>
      <c r="X337" s="1186"/>
      <c r="Y337" s="1186"/>
      <c r="Z337" s="170"/>
      <c r="AA337" s="170"/>
      <c r="AS337" s="1628" t="str">
        <f>IF(K300="Box Flange","Hide this row","")</f>
        <v/>
      </c>
    </row>
    <row r="338" spans="1:46" ht="15" customHeight="1">
      <c r="A338" s="170"/>
      <c r="G338" s="170" t="s">
        <v>2502</v>
      </c>
      <c r="I338" s="124" t="s">
        <v>324</v>
      </c>
      <c r="K338" s="170" t="s">
        <v>941</v>
      </c>
      <c r="L338" s="143"/>
      <c r="P338" s="138" t="s">
        <v>324</v>
      </c>
      <c r="R338" s="2092">
        <f>AE256</f>
        <v>40</v>
      </c>
      <c r="S338" s="1938"/>
      <c r="T338" s="1190" t="s">
        <v>2489</v>
      </c>
      <c r="U338" s="2092">
        <f>+AE255</f>
        <v>600</v>
      </c>
      <c r="V338" s="1938"/>
      <c r="W338" s="1938"/>
      <c r="X338" s="170" t="s">
        <v>2499</v>
      </c>
      <c r="Y338" s="170"/>
      <c r="Z338" s="1189"/>
      <c r="AB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628" t="str">
        <f>IF(K300="Box Flange","Hide this row","")</f>
        <v/>
      </c>
    </row>
    <row r="339" spans="1:46" ht="15" customHeight="1">
      <c r="A339" s="170"/>
      <c r="F339" s="124"/>
      <c r="H339" s="170"/>
      <c r="I339" s="1195" t="s">
        <v>324</v>
      </c>
      <c r="K339" s="2220">
        <f>1/6*R338*U338^2</f>
        <v>2400000</v>
      </c>
      <c r="L339" s="2220"/>
      <c r="M339" s="2220"/>
      <c r="N339" s="2220"/>
      <c r="O339" s="170" t="s">
        <v>2795</v>
      </c>
      <c r="Q339" s="1221"/>
      <c r="R339" s="1221"/>
      <c r="S339" s="1220"/>
      <c r="T339" s="1221"/>
      <c r="U339" s="1221"/>
      <c r="V339" s="170"/>
      <c r="W339" s="170"/>
      <c r="Y339" s="1221"/>
      <c r="Z339" s="1223"/>
      <c r="AA339" s="1224"/>
      <c r="AB339" s="1224"/>
      <c r="AC339" s="1224"/>
      <c r="AD339" s="143"/>
      <c r="AE339" s="143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  <c r="AS339" s="1628" t="str">
        <f>IF(K300="Box Flange","Hide this row","")</f>
        <v/>
      </c>
    </row>
    <row r="340" spans="1:46" ht="15" customHeight="1">
      <c r="A340" s="170"/>
      <c r="F340" s="124"/>
      <c r="H340" s="170"/>
      <c r="I340" s="1321"/>
      <c r="K340" s="1306"/>
      <c r="L340" s="1306"/>
      <c r="M340" s="1306"/>
      <c r="N340" s="1306"/>
      <c r="O340" s="170"/>
      <c r="Q340" s="1302"/>
      <c r="R340" s="1302"/>
      <c r="S340" s="1303"/>
      <c r="T340" s="1302"/>
      <c r="U340" s="1302"/>
      <c r="V340" s="170"/>
      <c r="W340" s="170"/>
      <c r="Y340" s="1302"/>
      <c r="Z340" s="1321"/>
      <c r="AA340" s="1318"/>
      <c r="AB340" s="1318"/>
      <c r="AC340" s="1318"/>
      <c r="AD340" s="143"/>
      <c r="AE340" s="143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  <c r="AS340" s="1628" t="str">
        <f>IF(K300="Box Flange","Hide this row","")</f>
        <v/>
      </c>
    </row>
    <row r="341" spans="1:46" ht="15" customHeight="1">
      <c r="A341" s="170"/>
      <c r="E341" s="1862" t="s">
        <v>2501</v>
      </c>
      <c r="G341" s="1870" t="s">
        <v>1968</v>
      </c>
      <c r="H341" s="1870"/>
      <c r="I341" s="2116" t="s">
        <v>2566</v>
      </c>
      <c r="K341" s="2105">
        <v>1.25</v>
      </c>
      <c r="L341" s="2105"/>
      <c r="M341" s="1335" t="s">
        <v>2489</v>
      </c>
      <c r="N341" s="2105">
        <f>+K311</f>
        <v>7.2204131196911545</v>
      </c>
      <c r="O341" s="2105"/>
      <c r="P341" s="2105"/>
      <c r="Q341" s="1335" t="s">
        <v>391</v>
      </c>
      <c r="R341" s="2105">
        <v>1.25</v>
      </c>
      <c r="S341" s="2105"/>
      <c r="T341" s="1335" t="s">
        <v>2489</v>
      </c>
      <c r="U341" s="2105">
        <f>+K320</f>
        <v>5.0167410714285712</v>
      </c>
      <c r="V341" s="2105"/>
      <c r="W341" s="2105"/>
      <c r="X341" s="1335" t="s">
        <v>391</v>
      </c>
      <c r="Y341" s="2105">
        <v>1.5</v>
      </c>
      <c r="Z341" s="2105"/>
      <c r="AA341" s="1335" t="s">
        <v>2489</v>
      </c>
      <c r="AB341" s="2105">
        <f>+K327</f>
        <v>1.7299107142857137</v>
      </c>
      <c r="AC341" s="2105"/>
      <c r="AD341" s="2105"/>
      <c r="AE341" s="1335" t="s">
        <v>391</v>
      </c>
      <c r="AF341" s="2105">
        <v>1.5</v>
      </c>
      <c r="AG341" s="2105"/>
      <c r="AH341" s="1335" t="s">
        <v>2489</v>
      </c>
      <c r="AI341" s="2180">
        <f>+K336</f>
        <v>0</v>
      </c>
      <c r="AJ341" s="2180"/>
      <c r="AK341" s="2180"/>
      <c r="AM341" s="1944" t="s">
        <v>324</v>
      </c>
      <c r="AN341" s="2184">
        <f>(1.25*N341+1.25*U341+1.5*AB341+1.5*AI341)/V342</f>
        <v>7.4547120043034276</v>
      </c>
      <c r="AO341" s="2184"/>
      <c r="AP341" s="2184"/>
      <c r="AS341" s="1628" t="str">
        <f>IF(K300="Box Flange","Hide this row","")</f>
        <v/>
      </c>
    </row>
    <row r="342" spans="1:46" ht="15" customHeight="1">
      <c r="A342" s="170"/>
      <c r="E342" s="1862"/>
      <c r="G342" s="1870"/>
      <c r="H342" s="1870"/>
      <c r="I342" s="1938"/>
      <c r="L342" s="143"/>
      <c r="R342" s="1189"/>
      <c r="V342" s="2095">
        <f>+K339/10^6</f>
        <v>2.4</v>
      </c>
      <c r="W342" s="2095"/>
      <c r="X342" s="2095"/>
      <c r="Y342" s="143"/>
      <c r="AB342" s="143"/>
      <c r="AD342" s="143"/>
      <c r="AE342" s="1189"/>
      <c r="AF342" s="143"/>
      <c r="AG342" s="143"/>
      <c r="AI342" s="143"/>
      <c r="AJ342" s="143"/>
      <c r="AM342" s="1862"/>
      <c r="AN342" s="2184"/>
      <c r="AO342" s="2184"/>
      <c r="AP342" s="2184"/>
      <c r="AS342" s="1628" t="str">
        <f>IF(K300="Box Flange","Hide this row","")</f>
        <v/>
      </c>
    </row>
    <row r="343" spans="1:46" ht="15" customHeight="1">
      <c r="A343" s="96"/>
      <c r="B343" s="170"/>
      <c r="C343" s="170"/>
      <c r="D343" s="124"/>
      <c r="E343" s="170"/>
      <c r="F343" s="1245"/>
      <c r="G343" s="1245"/>
      <c r="H343" s="1245"/>
      <c r="I343" s="1245"/>
      <c r="K343" s="96"/>
      <c r="L343" s="143"/>
      <c r="N343" s="170"/>
      <c r="O343" s="170"/>
      <c r="P343" s="170"/>
      <c r="Q343" s="170"/>
      <c r="R343" s="170"/>
      <c r="S343" s="170"/>
      <c r="T343" s="170"/>
      <c r="X343" s="170"/>
      <c r="Y343" s="1218"/>
      <c r="Z343" s="170"/>
      <c r="AA343" s="170"/>
      <c r="AD343" s="143"/>
      <c r="AE343" s="143"/>
      <c r="AF343" s="143"/>
      <c r="AG343" s="143"/>
      <c r="AH343" s="143"/>
      <c r="AI343" s="143"/>
      <c r="AJ343" s="143"/>
      <c r="AM343" s="76"/>
      <c r="AS343" s="1628" t="str">
        <f>IF(K300="Box Flange","Hide this row","")</f>
        <v/>
      </c>
    </row>
    <row r="344" spans="1:46" ht="15" customHeight="1">
      <c r="B344" s="1177" t="s">
        <v>2466</v>
      </c>
      <c r="C344" s="150" t="s">
        <v>2796</v>
      </c>
      <c r="E344" s="170"/>
      <c r="G344" s="170"/>
      <c r="H344" s="170"/>
      <c r="K344" s="170"/>
      <c r="L344" s="143"/>
      <c r="N344" s="170"/>
      <c r="O344" s="170"/>
      <c r="P344" s="170"/>
      <c r="Q344" s="170"/>
      <c r="R344" s="170"/>
      <c r="S344" s="170"/>
      <c r="T344" s="170"/>
      <c r="U344" s="170"/>
      <c r="V344" s="170"/>
      <c r="W344" s="170"/>
      <c r="AD344" s="143"/>
      <c r="AE344" s="143"/>
      <c r="AF344" s="143"/>
      <c r="AG344" s="143"/>
      <c r="AM344" s="76"/>
      <c r="AS344" s="1628" t="str">
        <f>IF(K300="Box Flange","Hide this row","")</f>
        <v/>
      </c>
    </row>
    <row r="345" spans="1:46" ht="15" customHeight="1">
      <c r="A345" s="1177"/>
      <c r="B345" s="170"/>
      <c r="C345" s="1187"/>
      <c r="D345" s="124"/>
      <c r="E345" s="1187"/>
      <c r="F345" s="170"/>
      <c r="G345" s="1297" t="s">
        <v>368</v>
      </c>
      <c r="H345" s="170"/>
      <c r="I345" s="1321" t="s">
        <v>324</v>
      </c>
      <c r="K345" s="1297" t="s">
        <v>2797</v>
      </c>
      <c r="L345" s="143"/>
      <c r="N345" s="170"/>
      <c r="X345" s="170"/>
      <c r="Y345" s="1186"/>
      <c r="AD345" s="143"/>
      <c r="AE345" s="143"/>
      <c r="AF345" s="143"/>
      <c r="AG345" s="143"/>
      <c r="AH345" s="143"/>
      <c r="AI345" s="143"/>
      <c r="AJ345" s="143"/>
      <c r="AK345" s="143"/>
      <c r="AL345" s="143"/>
      <c r="AM345" s="143"/>
      <c r="AN345" s="143"/>
      <c r="AS345" s="1628" t="str">
        <f>IF(K300="Box Flange","Hide this row","")</f>
        <v/>
      </c>
    </row>
    <row r="346" spans="1:46" ht="15" customHeight="1">
      <c r="A346" s="1177"/>
      <c r="B346" s="170"/>
      <c r="D346" s="143" t="s">
        <v>2496</v>
      </c>
      <c r="E346" s="1187"/>
      <c r="F346" s="170"/>
      <c r="H346" s="170"/>
      <c r="K346" s="170"/>
      <c r="L346" s="143"/>
      <c r="Y346" s="143"/>
      <c r="AB346" s="143"/>
      <c r="AC346" s="124"/>
      <c r="AD346" s="115"/>
      <c r="AE346" s="115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  <c r="AS346" s="1628" t="str">
        <f>IF(K300="Box Flange","Hide this row","")</f>
        <v/>
      </c>
    </row>
    <row r="347" spans="1:46" ht="15" customHeight="1">
      <c r="A347" s="170"/>
      <c r="B347" s="170"/>
      <c r="G347" s="1187" t="s">
        <v>367</v>
      </c>
      <c r="H347" s="170"/>
      <c r="I347" s="124" t="s">
        <v>324</v>
      </c>
      <c r="K347" s="2219">
        <f>AE250</f>
        <v>5000</v>
      </c>
      <c r="L347" s="2220"/>
      <c r="M347" s="2220"/>
      <c r="O347" s="1187" t="s">
        <v>2798</v>
      </c>
      <c r="Q347" s="170"/>
      <c r="Y347" s="143"/>
      <c r="AB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  <c r="AS347" s="1628" t="str">
        <f>IF(K300="Box Flange","Hide this row","")</f>
        <v/>
      </c>
    </row>
    <row r="348" spans="1:46" ht="15" customHeight="1">
      <c r="A348" s="170"/>
      <c r="B348" s="170"/>
      <c r="G348" s="170" t="s">
        <v>381</v>
      </c>
      <c r="H348" s="170"/>
      <c r="I348" s="124" t="s">
        <v>324</v>
      </c>
      <c r="K348" s="170" t="s">
        <v>2799</v>
      </c>
      <c r="L348" s="170"/>
      <c r="O348" s="170"/>
      <c r="P348" s="170"/>
      <c r="Q348" s="170"/>
      <c r="R348" s="170"/>
      <c r="S348" s="170"/>
      <c r="T348" s="170"/>
      <c r="U348" s="170"/>
      <c r="V348" s="170"/>
      <c r="W348" s="170"/>
      <c r="X348" s="170"/>
      <c r="Y348" s="1186"/>
      <c r="Z348" s="170"/>
      <c r="AA348" s="170"/>
      <c r="AE348" s="143"/>
      <c r="AF348" s="143"/>
      <c r="AG348" s="143"/>
      <c r="AH348" s="143"/>
      <c r="AI348" s="143"/>
      <c r="AJ348" s="143"/>
      <c r="AK348" s="143"/>
      <c r="AL348" s="143"/>
      <c r="AM348" s="76"/>
      <c r="AS348" s="1628" t="str">
        <f>IF(K300="Box Flange","Hide this row","")</f>
        <v/>
      </c>
    </row>
    <row r="349" spans="1:46" ht="15" customHeight="1">
      <c r="A349" s="170"/>
      <c r="B349" s="170"/>
      <c r="C349" s="170"/>
      <c r="I349" s="124" t="s">
        <v>324</v>
      </c>
      <c r="K349" s="170" t="str">
        <f>IF(AE248="Positive","(YU - ttop) / cosΦ ","(YL - tbot) / cosΦ")</f>
        <v xml:space="preserve">(YU - ttop) / cosΦ </v>
      </c>
      <c r="L349" s="1187"/>
      <c r="M349" s="170"/>
      <c r="Y349" s="143"/>
      <c r="AB349" s="143"/>
      <c r="AM349" s="76"/>
      <c r="AS349" s="1628" t="str">
        <f>IF(K300="Box Flange","Hide this row","")</f>
        <v/>
      </c>
    </row>
    <row r="350" spans="1:46" ht="15" customHeight="1">
      <c r="A350" s="170"/>
      <c r="B350" s="170"/>
      <c r="C350" s="170"/>
      <c r="I350" s="124" t="s">
        <v>324</v>
      </c>
      <c r="K350" s="124" t="s">
        <v>2708</v>
      </c>
      <c r="L350" s="2139">
        <f>IF(AE248="Positive",AE285,AE286)</f>
        <v>1685.8661105921663</v>
      </c>
      <c r="M350" s="2139"/>
      <c r="N350" s="2139"/>
      <c r="O350" s="1195" t="s">
        <v>2323</v>
      </c>
      <c r="P350" s="1938">
        <f>IF(AE248="Positive",AE256,AE258)</f>
        <v>40</v>
      </c>
      <c r="Q350" s="1938"/>
      <c r="R350" s="138" t="s">
        <v>2801</v>
      </c>
      <c r="S350" s="1314"/>
      <c r="T350" s="1321"/>
      <c r="U350" s="1302"/>
      <c r="V350" s="1302"/>
      <c r="W350" s="2095">
        <f>AE262</f>
        <v>0.125</v>
      </c>
      <c r="X350" s="2095"/>
      <c r="Y350" s="2095"/>
      <c r="Z350" s="1303" t="s">
        <v>2800</v>
      </c>
      <c r="AB350" s="1216" t="s">
        <v>2537</v>
      </c>
      <c r="AC350" s="1862">
        <f>+(L350-P350)/COS(ATAN(W350))</f>
        <v>1658.6746003479614</v>
      </c>
      <c r="AD350" s="1862"/>
      <c r="AE350" s="1862"/>
      <c r="AF350" s="1309"/>
      <c r="AM350" s="76"/>
      <c r="AS350" s="1628" t="str">
        <f>IF(K300="Box Flange","Hide this row","")</f>
        <v/>
      </c>
    </row>
    <row r="351" spans="1:46" ht="15" customHeight="1">
      <c r="A351" s="170"/>
      <c r="B351" s="170"/>
      <c r="F351" s="1187"/>
      <c r="G351" s="1870" t="s">
        <v>2488</v>
      </c>
      <c r="H351" s="170"/>
      <c r="I351" s="1944" t="s">
        <v>324</v>
      </c>
      <c r="K351" s="2090" t="s">
        <v>979</v>
      </c>
      <c r="L351" s="2090"/>
      <c r="M351" s="2090"/>
      <c r="N351" s="2090"/>
      <c r="O351" s="2090"/>
      <c r="P351" s="2090"/>
      <c r="Q351" s="2090"/>
      <c r="R351" s="2090"/>
      <c r="S351" s="2090"/>
      <c r="T351" s="2116" t="s">
        <v>2697</v>
      </c>
      <c r="U351" s="2090">
        <f>IF(AE248="Positive",AE255,AE257)</f>
        <v>600</v>
      </c>
      <c r="V351" s="2090"/>
      <c r="W351" s="2090"/>
      <c r="X351" s="2090"/>
      <c r="Y351" s="2090"/>
      <c r="Z351" s="2090"/>
      <c r="AA351" s="2090"/>
      <c r="AB351" s="2090"/>
      <c r="AC351" s="2090"/>
      <c r="AD351" s="2090"/>
      <c r="AE351" s="2090"/>
      <c r="AF351" s="2090"/>
      <c r="AG351" s="2090"/>
      <c r="AH351" s="2090"/>
      <c r="AI351" s="2090"/>
      <c r="AJ351" s="2090"/>
      <c r="AK351" s="2090"/>
      <c r="AL351" s="2090"/>
      <c r="AM351" s="2090"/>
      <c r="AN351" s="2090"/>
      <c r="AS351" s="1628" t="str">
        <f>IF(K300="Box Flange","Hide this row","")</f>
        <v/>
      </c>
      <c r="AT351" s="135"/>
    </row>
    <row r="352" spans="1:46" ht="15" customHeight="1">
      <c r="A352" s="170"/>
      <c r="B352" s="170"/>
      <c r="F352" s="1187"/>
      <c r="G352" s="1870"/>
      <c r="H352" s="170"/>
      <c r="I352" s="1944"/>
      <c r="K352" s="170" t="s">
        <v>2918</v>
      </c>
      <c r="L352" s="170"/>
      <c r="M352" s="170"/>
      <c r="N352" s="170"/>
      <c r="O352" s="170"/>
      <c r="P352" s="170"/>
      <c r="Q352" s="170"/>
      <c r="R352" s="170"/>
      <c r="S352" s="170"/>
      <c r="T352" s="1938"/>
      <c r="U352" s="1187" t="s">
        <v>2495</v>
      </c>
      <c r="V352" s="1189"/>
      <c r="Y352" s="2094">
        <f>+AC350</f>
        <v>1658.6746003479614</v>
      </c>
      <c r="Z352" s="2094"/>
      <c r="AA352" s="2094"/>
      <c r="AB352" s="138" t="s">
        <v>2489</v>
      </c>
      <c r="AC352" s="1862">
        <f>AE261</f>
        <v>12</v>
      </c>
      <c r="AD352" s="1862"/>
      <c r="AE352" s="741" t="s">
        <v>2493</v>
      </c>
      <c r="AF352" s="741"/>
      <c r="AG352" s="143"/>
      <c r="AH352" s="1862">
        <f>+U351</f>
        <v>600</v>
      </c>
      <c r="AI352" s="1862"/>
      <c r="AJ352" s="1862"/>
      <c r="AK352" s="124" t="s">
        <v>2490</v>
      </c>
      <c r="AL352" s="1862">
        <f>+P350</f>
        <v>40</v>
      </c>
      <c r="AM352" s="1862"/>
      <c r="AN352" s="138" t="s">
        <v>2492</v>
      </c>
      <c r="AS352" s="1628" t="str">
        <f>IF(K300="Box Flange","Hide this row","")</f>
        <v/>
      </c>
    </row>
    <row r="353" spans="1:45" ht="15" customHeight="1">
      <c r="A353" s="170"/>
      <c r="B353" s="170"/>
      <c r="D353" s="124"/>
      <c r="E353" s="170"/>
      <c r="F353" s="1297"/>
      <c r="G353" s="170"/>
      <c r="H353" s="170"/>
      <c r="I353" s="741" t="s">
        <v>324</v>
      </c>
      <c r="K353" s="2169">
        <f>+U351/SQRT(12*(1 + Y352*AC352/3/AH352/AL352))</f>
        <v>153.30610284199338</v>
      </c>
      <c r="L353" s="2169"/>
      <c r="M353" s="2169"/>
      <c r="X353" s="170"/>
      <c r="Y353" s="1303"/>
      <c r="AD353" s="1309"/>
      <c r="AF353" s="1309"/>
      <c r="AG353" s="143"/>
      <c r="AH353" s="143"/>
      <c r="AI353" s="143"/>
      <c r="AJ353" s="143"/>
      <c r="AK353" s="143"/>
      <c r="AM353" s="76"/>
      <c r="AS353" s="1628" t="str">
        <f>IF(K300="Box Flange","Hide this row","")</f>
        <v/>
      </c>
    </row>
    <row r="354" spans="1:45" ht="15" customHeight="1">
      <c r="A354" s="170"/>
      <c r="B354" s="170"/>
      <c r="E354" s="115" t="s">
        <v>2501</v>
      </c>
      <c r="G354" s="170" t="s">
        <v>368</v>
      </c>
      <c r="H354" s="124"/>
      <c r="I354" s="741" t="s">
        <v>324</v>
      </c>
      <c r="J354" s="1187"/>
      <c r="K354" s="1862">
        <f>+K353</f>
        <v>153.30610284199338</v>
      </c>
      <c r="L354" s="1862"/>
      <c r="M354" s="1862"/>
      <c r="N354" s="138" t="s">
        <v>2504</v>
      </c>
      <c r="P354" s="2139">
        <f>AE291</f>
        <v>210000</v>
      </c>
      <c r="Q354" s="2139"/>
      <c r="R354" s="2139"/>
      <c r="S354" s="2139"/>
      <c r="T354" s="138" t="s">
        <v>2490</v>
      </c>
      <c r="U354" s="2097">
        <f>+AE292</f>
        <v>380</v>
      </c>
      <c r="V354" s="2097"/>
      <c r="W354" s="2097"/>
      <c r="X354" s="138" t="s">
        <v>2512</v>
      </c>
      <c r="Y354" s="143"/>
      <c r="Z354" s="1239" t="s">
        <v>324</v>
      </c>
      <c r="AA354" s="2155">
        <f>+K354*SQRT(P354/U354)</f>
        <v>3603.937848274611</v>
      </c>
      <c r="AB354" s="2155"/>
      <c r="AC354" s="2155"/>
      <c r="AG354" s="143"/>
      <c r="AH354" s="143"/>
      <c r="AI354" s="143"/>
      <c r="AJ354" s="143"/>
      <c r="AM354" s="76"/>
      <c r="AS354" s="1628" t="str">
        <f>IF(K300="Box Flange","Hide this row","")</f>
        <v/>
      </c>
    </row>
    <row r="355" spans="1:45" ht="15" customHeight="1">
      <c r="L355" s="143"/>
      <c r="Y355" s="143"/>
      <c r="AB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15"/>
      <c r="AR355" s="143"/>
      <c r="AS355" s="1628" t="str">
        <f>IF(K300="Box Flange","Hide this row","")</f>
        <v/>
      </c>
    </row>
    <row r="356" spans="1:45" ht="15" customHeight="1">
      <c r="B356" s="1177" t="s">
        <v>2466</v>
      </c>
      <c r="C356" s="170" t="s">
        <v>2806</v>
      </c>
      <c r="D356" s="1187"/>
      <c r="E356" s="1187"/>
      <c r="F356" s="170"/>
      <c r="G356" s="1187"/>
      <c r="H356" s="170"/>
      <c r="I356" s="170"/>
      <c r="L356" s="143"/>
      <c r="Y356" s="143"/>
      <c r="AH356" s="143"/>
      <c r="AI356" s="143"/>
      <c r="AJ356" s="143"/>
      <c r="AK356" s="143"/>
      <c r="AM356" s="76"/>
      <c r="AN356" s="741"/>
      <c r="AO356" s="115"/>
      <c r="AP356" s="115"/>
      <c r="AQ356" s="115"/>
      <c r="AS356" s="1628" t="str">
        <f>IF(K300="Box Flange","Hide this row","")</f>
        <v/>
      </c>
    </row>
    <row r="357" spans="1:45" ht="15" customHeight="1">
      <c r="B357" s="1177" t="s">
        <v>2466</v>
      </c>
      <c r="C357" s="170" t="s">
        <v>2802</v>
      </c>
      <c r="E357" s="170"/>
      <c r="G357" s="170"/>
      <c r="H357" s="170"/>
      <c r="K357" s="1200"/>
      <c r="L357" s="1200"/>
      <c r="N357" s="170"/>
      <c r="R357" s="170"/>
      <c r="S357" s="170"/>
      <c r="T357" s="170"/>
      <c r="U357" s="170"/>
      <c r="V357" s="170"/>
      <c r="Y357" s="143"/>
      <c r="AB357" s="143"/>
      <c r="AH357" s="143"/>
      <c r="AI357" s="143"/>
      <c r="AJ357" s="143"/>
      <c r="AK357" s="143"/>
      <c r="AS357" s="1628" t="str">
        <f>IF(K300="Box Flange","Hide this row","")</f>
        <v/>
      </c>
    </row>
    <row r="358" spans="1:45" ht="15" customHeight="1">
      <c r="A358" s="170"/>
      <c r="B358" s="170"/>
      <c r="D358" s="741"/>
      <c r="G358" s="1870" t="s">
        <v>376</v>
      </c>
      <c r="I358" s="2116" t="s">
        <v>324</v>
      </c>
      <c r="K358" s="1940" t="s">
        <v>374</v>
      </c>
      <c r="L358" s="1940"/>
      <c r="M358" s="1940"/>
      <c r="N358" s="1940"/>
      <c r="P358" s="2116" t="s">
        <v>2697</v>
      </c>
      <c r="Q358" s="145" t="s">
        <v>2505</v>
      </c>
      <c r="R358" s="145"/>
      <c r="S358" s="145"/>
      <c r="T358" s="112" t="s">
        <v>2803</v>
      </c>
      <c r="U358" s="145" t="s">
        <v>2804</v>
      </c>
      <c r="V358" s="145"/>
      <c r="W358" s="1940">
        <f>+P354</f>
        <v>210000</v>
      </c>
      <c r="X358" s="1940"/>
      <c r="Y358" s="1940"/>
      <c r="Z358" s="1940"/>
      <c r="AB358" s="2116" t="s">
        <v>324</v>
      </c>
      <c r="AC358" s="2163">
        <f>+PI()^2 * W358/(R359/V359)^2</f>
        <v>1948.4888225658669</v>
      </c>
      <c r="AD358" s="2163"/>
      <c r="AE358" s="2163"/>
      <c r="AF358" s="2163"/>
      <c r="AG358" s="2121" t="s">
        <v>2694</v>
      </c>
      <c r="AH358" s="2121"/>
      <c r="AI358" s="2121"/>
      <c r="AJ358" s="143"/>
      <c r="AK358" s="170"/>
      <c r="AL358" s="170"/>
      <c r="AM358" s="170"/>
      <c r="AS358" s="1628" t="str">
        <f>IF(K300="Box Flange","Hide this row","")</f>
        <v/>
      </c>
    </row>
    <row r="359" spans="1:45" ht="15" customHeight="1">
      <c r="A359" s="170"/>
      <c r="B359" s="170"/>
      <c r="D359" s="741"/>
      <c r="G359" s="1870"/>
      <c r="I359" s="1938"/>
      <c r="K359" s="1862" t="s">
        <v>375</v>
      </c>
      <c r="L359" s="1862"/>
      <c r="M359" s="1862"/>
      <c r="N359" s="1862"/>
      <c r="P359" s="1938"/>
      <c r="Q359" s="138" t="s">
        <v>2506</v>
      </c>
      <c r="R359" s="1862">
        <f>+K347</f>
        <v>5000</v>
      </c>
      <c r="S359" s="1862"/>
      <c r="T359" s="1862"/>
      <c r="U359" s="138" t="s">
        <v>2490</v>
      </c>
      <c r="V359" s="1936">
        <f>+K353</f>
        <v>153.30610284199338</v>
      </c>
      <c r="W359" s="1936"/>
      <c r="X359" s="1936"/>
      <c r="Y359" s="143" t="s">
        <v>2507</v>
      </c>
      <c r="AB359" s="1938"/>
      <c r="AC359" s="2163"/>
      <c r="AD359" s="2163"/>
      <c r="AE359" s="2163"/>
      <c r="AF359" s="2163"/>
      <c r="AG359" s="2121"/>
      <c r="AH359" s="2121"/>
      <c r="AI359" s="2121"/>
      <c r="AJ359" s="143"/>
      <c r="AM359" s="76"/>
      <c r="AS359" s="1628" t="str">
        <f>IF(K300="Box Flange","Hide this row","")</f>
        <v/>
      </c>
    </row>
    <row r="360" spans="1:45" ht="15" customHeight="1">
      <c r="A360" s="170"/>
      <c r="B360" s="170"/>
      <c r="D360" s="741"/>
      <c r="G360" s="1297"/>
      <c r="I360" s="1302"/>
      <c r="K360" s="1296"/>
      <c r="L360" s="1296"/>
      <c r="M360" s="1296"/>
      <c r="N360" s="1296"/>
      <c r="P360" s="1302"/>
      <c r="Q360" s="138"/>
      <c r="R360" s="1296"/>
      <c r="S360" s="1296"/>
      <c r="T360" s="1296"/>
      <c r="U360" s="138"/>
      <c r="V360" s="1296"/>
      <c r="W360" s="1296"/>
      <c r="X360" s="1296"/>
      <c r="Y360" s="143"/>
      <c r="AB360" s="1302"/>
      <c r="AC360" s="1483"/>
      <c r="AD360" s="1483"/>
      <c r="AE360" s="1483"/>
      <c r="AF360" s="1483"/>
      <c r="AG360" s="1312"/>
      <c r="AH360" s="1312"/>
      <c r="AI360" s="1312"/>
      <c r="AJ360" s="143"/>
      <c r="AM360" s="76"/>
      <c r="AS360" s="1628" t="str">
        <f>IF(K300="Box Flange","Hide this row","")</f>
        <v/>
      </c>
    </row>
    <row r="361" spans="1:45" ht="15" customHeight="1">
      <c r="A361" s="170"/>
      <c r="C361" s="1461" t="s">
        <v>2731</v>
      </c>
      <c r="D361" s="170"/>
      <c r="F361" s="124" t="s">
        <v>2805</v>
      </c>
      <c r="G361" s="124"/>
      <c r="H361" s="73"/>
      <c r="I361" s="1434"/>
      <c r="J361" s="1434"/>
      <c r="K361" s="1434"/>
      <c r="L361" s="1434"/>
      <c r="M361" s="73"/>
      <c r="N361" s="73"/>
      <c r="O361" s="73"/>
      <c r="P361" s="73"/>
      <c r="Q361" s="73"/>
      <c r="R361" s="73"/>
      <c r="S361" s="73"/>
      <c r="T361" s="73"/>
      <c r="Y361" s="143"/>
      <c r="AB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S361" s="1628" t="str">
        <f>IF(K300="Box Flange","Hide this row","")</f>
        <v/>
      </c>
    </row>
    <row r="362" spans="1:45" ht="15" customHeight="1">
      <c r="A362" s="170"/>
      <c r="F362" s="148" t="s">
        <v>134</v>
      </c>
      <c r="G362" s="148"/>
      <c r="H362" s="148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8" t="s">
        <v>1967</v>
      </c>
      <c r="AA362" s="141"/>
      <c r="AB362" s="141"/>
      <c r="AC362" s="141"/>
      <c r="AD362" s="141"/>
      <c r="AE362" s="141"/>
      <c r="AF362" s="73"/>
      <c r="AJ362" s="505"/>
      <c r="AS362" s="1628" t="str">
        <f>IF(K300="Box Flange","Hide this row","")</f>
        <v/>
      </c>
    </row>
    <row r="363" spans="1:45" ht="15" customHeight="1">
      <c r="A363" s="170"/>
      <c r="F363" s="93"/>
      <c r="G363" s="93"/>
      <c r="H363" s="93"/>
      <c r="I363" s="93"/>
      <c r="J363" s="170"/>
      <c r="K363" s="365"/>
      <c r="L363" s="143"/>
      <c r="N363" s="1932" t="s">
        <v>2589</v>
      </c>
      <c r="O363" s="1932"/>
      <c r="P363" s="1932"/>
      <c r="Q363" s="1932"/>
      <c r="R363" s="1932"/>
      <c r="S363" s="1932"/>
      <c r="T363" s="1932"/>
      <c r="U363" s="1932"/>
      <c r="V363" s="1932"/>
      <c r="X363" s="365"/>
      <c r="Y363" s="170"/>
      <c r="Z363" s="1936" t="s">
        <v>1968</v>
      </c>
      <c r="AA363" s="1936"/>
      <c r="AB363" s="170"/>
      <c r="AC363" s="1189"/>
      <c r="AD363" s="143"/>
      <c r="AE363" s="143"/>
      <c r="AF363" s="73"/>
      <c r="AJ363" s="505"/>
      <c r="AS363" s="1628" t="str">
        <f>IF(K300="Box Flange","Hide this row","")</f>
        <v/>
      </c>
    </row>
    <row r="364" spans="1:45" ht="15" customHeight="1">
      <c r="A364" s="170"/>
      <c r="F364" s="1870" t="s">
        <v>1342</v>
      </c>
      <c r="G364" s="1870"/>
      <c r="H364" s="1870"/>
      <c r="I364" s="1870"/>
      <c r="J364" s="1870"/>
      <c r="K364" s="1870"/>
      <c r="L364" s="1870"/>
      <c r="N364" s="1930"/>
      <c r="O364" s="1930"/>
      <c r="P364" s="1930"/>
      <c r="Q364" s="1930"/>
      <c r="R364" s="1930"/>
      <c r="S364" s="1930"/>
      <c r="T364" s="1930"/>
      <c r="U364" s="1930"/>
      <c r="V364" s="1930"/>
      <c r="X364" s="104"/>
      <c r="Y364" s="118"/>
      <c r="Z364" s="2176"/>
      <c r="AA364" s="2176"/>
      <c r="AB364" s="118"/>
      <c r="AC364" s="1189"/>
      <c r="AD364" s="143"/>
      <c r="AE364" s="143"/>
      <c r="AF364" s="73"/>
      <c r="AJ364" s="505"/>
      <c r="AS364" s="1628" t="str">
        <f>IF(K300="Box Flange","Hide this row","")</f>
        <v/>
      </c>
    </row>
    <row r="365" spans="1:45" ht="15" customHeight="1">
      <c r="A365" s="170"/>
      <c r="F365" s="1870"/>
      <c r="G365" s="1870"/>
      <c r="H365" s="1870"/>
      <c r="I365" s="1870"/>
      <c r="J365" s="1870"/>
      <c r="K365" s="1870"/>
      <c r="L365" s="1870"/>
      <c r="N365" s="1937" t="s">
        <v>136</v>
      </c>
      <c r="O365" s="1937"/>
      <c r="P365" s="1937"/>
      <c r="Q365" s="1937"/>
      <c r="R365" s="99"/>
      <c r="S365" s="99"/>
      <c r="T365" s="99"/>
      <c r="U365" s="99"/>
      <c r="V365" s="99"/>
      <c r="W365" s="99"/>
      <c r="X365" s="2178">
        <v>0.85</v>
      </c>
      <c r="Y365" s="2178"/>
      <c r="Z365" s="2178"/>
      <c r="AA365" s="2178"/>
      <c r="AB365" s="2187" t="s">
        <v>1969</v>
      </c>
      <c r="AC365" s="2187"/>
      <c r="AD365" s="2187"/>
      <c r="AE365" s="2187"/>
      <c r="AF365" s="73"/>
      <c r="AG365" s="143"/>
      <c r="AH365" s="143"/>
      <c r="AJ365" s="505"/>
      <c r="AS365" s="1628" t="str">
        <f>IF(K300="Box Flange","Hide this row","")</f>
        <v/>
      </c>
    </row>
    <row r="366" spans="1:45" ht="15" customHeight="1">
      <c r="A366" s="170"/>
      <c r="F366" s="104"/>
      <c r="G366" s="104"/>
      <c r="H366" s="104"/>
      <c r="I366" s="104"/>
      <c r="J366" s="104"/>
      <c r="K366" s="104"/>
      <c r="L366" s="104"/>
      <c r="M366" s="104"/>
      <c r="N366" s="1930"/>
      <c r="O366" s="1930"/>
      <c r="P366" s="1930"/>
      <c r="Q366" s="1930"/>
      <c r="R366" s="118"/>
      <c r="S366" s="118"/>
      <c r="T366" s="118"/>
      <c r="U366" s="118"/>
      <c r="V366" s="118"/>
      <c r="W366" s="118"/>
      <c r="X366" s="2177" t="s">
        <v>234</v>
      </c>
      <c r="Y366" s="2177"/>
      <c r="Z366" s="2177"/>
      <c r="AA366" s="2177"/>
      <c r="AB366" s="2188"/>
      <c r="AC366" s="2188"/>
      <c r="AD366" s="2188"/>
      <c r="AE366" s="2188"/>
      <c r="AF366" s="73"/>
      <c r="AG366" s="143"/>
      <c r="AH366" s="143"/>
      <c r="AJ366" s="505"/>
      <c r="AS366" s="1628" t="str">
        <f>IF(K300="Box Flange","Hide this row","")</f>
        <v/>
      </c>
    </row>
    <row r="367" spans="1:45" ht="20.100000000000001" customHeight="1">
      <c r="A367" s="170"/>
      <c r="F367" s="145" t="s">
        <v>1341</v>
      </c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 t="s">
        <v>1968</v>
      </c>
      <c r="AA367" s="112"/>
      <c r="AB367" s="112"/>
      <c r="AC367" s="112"/>
      <c r="AD367" s="112"/>
      <c r="AE367" s="112"/>
      <c r="AF367" s="73"/>
      <c r="AJ367" s="505"/>
      <c r="AS367" s="1628" t="str">
        <f>IF(K300="Box Flange","Hide this row","")</f>
        <v/>
      </c>
    </row>
    <row r="368" spans="1:45" ht="20.100000000000001" customHeight="1">
      <c r="A368" s="170"/>
      <c r="B368" s="170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D368" s="1309"/>
      <c r="AF368" s="1309"/>
      <c r="AJ368" s="505"/>
      <c r="AM368" s="76"/>
      <c r="AS368" s="1628" t="str">
        <f>IF(K300="Box Flange","Hide this row","")</f>
        <v/>
      </c>
    </row>
    <row r="369" spans="1:45" ht="15" customHeight="1">
      <c r="A369" s="170"/>
      <c r="F369" s="96" t="s">
        <v>2509</v>
      </c>
      <c r="G369" s="170" t="s">
        <v>2524</v>
      </c>
      <c r="K369" s="170"/>
      <c r="L369" s="143"/>
      <c r="S369" s="170"/>
      <c r="T369" s="170"/>
      <c r="U369" s="170"/>
      <c r="V369" s="170"/>
      <c r="W369" s="170"/>
      <c r="X369" s="170"/>
      <c r="Y369" s="1186"/>
      <c r="Z369" s="170"/>
      <c r="AA369" s="170"/>
      <c r="AE369" s="143"/>
      <c r="AF369" s="143"/>
      <c r="AG369" s="143"/>
      <c r="AH369" s="143"/>
      <c r="AM369" s="76"/>
      <c r="AS369" s="1628" t="str">
        <f>IF(K300="Box Flange","Hide this row","")</f>
        <v/>
      </c>
    </row>
    <row r="370" spans="1:45" ht="15" customHeight="1">
      <c r="A370" s="170"/>
      <c r="H370" s="143" t="s">
        <v>367</v>
      </c>
      <c r="J370" s="143" t="s">
        <v>2808</v>
      </c>
      <c r="L370" s="143" t="s">
        <v>2809</v>
      </c>
      <c r="T370" s="170"/>
      <c r="U370" s="170"/>
      <c r="V370" s="170"/>
      <c r="W370" s="170"/>
      <c r="X370" s="170"/>
      <c r="AB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S370" s="1628" t="str">
        <f>IF(K300="Box Flange","Hide this row","")</f>
        <v/>
      </c>
    </row>
    <row r="371" spans="1:45" ht="15" customHeight="1">
      <c r="A371" s="170"/>
      <c r="F371" s="2097">
        <f>+AE250</f>
        <v>5000</v>
      </c>
      <c r="G371" s="1938"/>
      <c r="H371" s="1938"/>
      <c r="J371" s="95" t="str">
        <f>+IF(F371&gt;AG371,"&gt;","&lt;")</f>
        <v>&lt;</v>
      </c>
      <c r="L371" s="1938">
        <v>1.2</v>
      </c>
      <c r="M371" s="1938"/>
      <c r="N371" s="138" t="s">
        <v>2489</v>
      </c>
      <c r="O371" s="1938">
        <f>+AA354</f>
        <v>3603.937848274611</v>
      </c>
      <c r="P371" s="1938"/>
      <c r="Q371" s="1938"/>
      <c r="R371" s="138" t="s">
        <v>2807</v>
      </c>
      <c r="T371" s="170"/>
      <c r="U371" s="170"/>
      <c r="V371" s="170"/>
      <c r="X371" s="2096">
        <f>ABS(X399)</f>
        <v>242.60209744070417</v>
      </c>
      <c r="Y371" s="2096"/>
      <c r="Z371" s="2096"/>
      <c r="AA371" s="124" t="s">
        <v>2489</v>
      </c>
      <c r="AB371" s="2096">
        <f>AE292</f>
        <v>380</v>
      </c>
      <c r="AC371" s="2096"/>
      <c r="AD371" s="2096"/>
      <c r="AE371" s="124" t="s">
        <v>2491</v>
      </c>
      <c r="AF371" s="143"/>
      <c r="AG371" s="2096">
        <f>1.2*O371*SQRT(AB371/ABS(X371))</f>
        <v>5412.5642096393594</v>
      </c>
      <c r="AH371" s="2096"/>
      <c r="AI371" s="2096"/>
      <c r="AJ371" s="2096"/>
      <c r="AK371" s="143"/>
      <c r="AL371" s="143"/>
      <c r="AM371" s="143"/>
      <c r="AN371" s="143"/>
      <c r="AO371" s="143"/>
      <c r="AP371" s="143"/>
      <c r="AQ371" s="143"/>
      <c r="AS371" s="1628" t="str">
        <f>IF(K300="Box Flange","Hide this row","")</f>
        <v/>
      </c>
    </row>
    <row r="372" spans="1:45" ht="15" customHeight="1">
      <c r="A372" s="170"/>
      <c r="F372" s="170" t="s">
        <v>2500</v>
      </c>
      <c r="H372" s="170" t="s">
        <v>2590</v>
      </c>
      <c r="I372" s="170"/>
      <c r="J372" s="1229" t="s">
        <v>2591</v>
      </c>
      <c r="K372" s="170"/>
      <c r="L372" s="170" t="str">
        <f>IF(OR(AE249="Tension",F371&lt;=AG371),"fℓ1","Max [ 0.85/(1-fbu/Fcr) * fℓ1  ;  fℓ1]")</f>
        <v>fℓ1</v>
      </c>
      <c r="Y372" s="143"/>
      <c r="AB372" s="143"/>
      <c r="AD372" s="143"/>
      <c r="AE372" s="143"/>
      <c r="AF372" s="143"/>
      <c r="AG372" s="143"/>
      <c r="AH372" s="143"/>
      <c r="AI372" s="1202"/>
      <c r="AJ372" s="306"/>
      <c r="AM372" s="76"/>
      <c r="AS372" s="1628" t="str">
        <f>IF(K300="Box Flange","Hide this row","")</f>
        <v/>
      </c>
    </row>
    <row r="373" spans="1:45" ht="15" customHeight="1" thickBot="1">
      <c r="A373" s="170"/>
      <c r="H373" s="321" t="s">
        <v>2590</v>
      </c>
      <c r="I373" s="321"/>
      <c r="J373" s="1484" t="s">
        <v>2591</v>
      </c>
      <c r="K373" s="321"/>
      <c r="L373" s="2199">
        <f>IF(OR(AE249="Tension",F371&lt;=AG371),AN341,MAX(0.85/(1-X371/AC358)*AN341, AN341))</f>
        <v>7.4547120043034276</v>
      </c>
      <c r="M373" s="2199"/>
      <c r="N373" s="2199"/>
      <c r="O373" s="321" t="s">
        <v>2694</v>
      </c>
      <c r="P373" s="321"/>
      <c r="Q373" s="170"/>
      <c r="R373" s="170"/>
      <c r="S373" s="170"/>
      <c r="T373" s="170"/>
      <c r="AE373" s="170"/>
      <c r="AF373" s="170"/>
      <c r="AG373" s="124"/>
      <c r="AH373" s="170"/>
      <c r="AI373" s="143"/>
      <c r="AJ373" s="143"/>
      <c r="AK373" s="143"/>
      <c r="AR373" s="1266"/>
      <c r="AS373" s="1628" t="str">
        <f>IF(K300="Box Flange","Hide this row","")</f>
        <v/>
      </c>
    </row>
    <row r="374" spans="1:45" ht="15" customHeight="1" thickBot="1">
      <c r="A374" s="170"/>
      <c r="B374" s="170"/>
      <c r="C374" s="170"/>
      <c r="D374" s="170"/>
      <c r="E374" s="170"/>
      <c r="F374" s="1229"/>
      <c r="H374" s="1274"/>
      <c r="I374" s="1274"/>
      <c r="J374" s="1274"/>
      <c r="L374" s="1240"/>
      <c r="N374" s="170"/>
      <c r="O374" s="170"/>
      <c r="P374" s="170"/>
      <c r="Q374" s="170"/>
      <c r="R374" s="170"/>
      <c r="S374" s="170"/>
      <c r="T374" s="170"/>
      <c r="U374" s="170"/>
      <c r="V374" s="170"/>
      <c r="Y374" s="143"/>
      <c r="Z374" s="170"/>
      <c r="AB374" s="143"/>
      <c r="AD374" s="143"/>
      <c r="AE374" s="143"/>
      <c r="AF374" s="170"/>
      <c r="AG374" s="170"/>
      <c r="AH374" s="170"/>
      <c r="AI374" s="170"/>
      <c r="AJ374" s="143"/>
      <c r="AK374" s="143"/>
      <c r="AL374" s="170"/>
      <c r="AM374" s="170"/>
      <c r="AP374" s="1267"/>
      <c r="AQ374" s="143"/>
      <c r="AR374" s="143"/>
      <c r="AS374" s="1628" t="str">
        <f>IF(K300="Box Flange","Hide this row","")</f>
        <v/>
      </c>
    </row>
    <row r="375" spans="1:45" ht="15" customHeight="1">
      <c r="A375" s="170"/>
      <c r="B375" s="170"/>
      <c r="D375" s="124"/>
      <c r="F375" s="1275"/>
      <c r="G375" s="36"/>
      <c r="H375" s="36"/>
      <c r="I375" s="36"/>
      <c r="J375" s="36"/>
      <c r="K375" s="1276" t="s">
        <v>2594</v>
      </c>
      <c r="L375" s="224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224"/>
      <c r="Z375" s="36"/>
      <c r="AA375" s="36"/>
      <c r="AB375" s="36"/>
      <c r="AC375" s="36"/>
      <c r="AD375" s="224"/>
      <c r="AE375" s="224"/>
      <c r="AF375" s="224"/>
      <c r="AG375" s="36"/>
      <c r="AH375" s="224"/>
      <c r="AI375" s="36"/>
      <c r="AJ375" s="36"/>
      <c r="AK375" s="36"/>
      <c r="AL375" s="43"/>
      <c r="AS375" s="1628" t="str">
        <f>IF(K300="Box Flange","Hide this row","")</f>
        <v/>
      </c>
    </row>
    <row r="376" spans="1:45" ht="20.100000000000001" customHeight="1">
      <c r="A376" s="206"/>
      <c r="B376" s="170"/>
      <c r="F376" s="1277"/>
      <c r="G376" s="9"/>
      <c r="H376" s="9"/>
      <c r="I376" s="9"/>
      <c r="J376" s="9"/>
      <c r="K376" s="9"/>
      <c r="L376" s="9"/>
      <c r="M376" s="9"/>
      <c r="N376" s="33" t="s">
        <v>1967</v>
      </c>
      <c r="O376" s="9"/>
      <c r="P376" s="9"/>
      <c r="Q376" s="33" t="s">
        <v>2592</v>
      </c>
      <c r="R376" s="9"/>
      <c r="S376" s="9"/>
      <c r="T376" s="33" t="s">
        <v>2593</v>
      </c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33" t="s">
        <v>2595</v>
      </c>
      <c r="AI376" s="196"/>
      <c r="AJ376" s="2082" t="str">
        <f>+IF(T377&lt;=T378,"OK","NG")</f>
        <v>OK</v>
      </c>
      <c r="AK376" s="2082"/>
      <c r="AL376" s="2083"/>
      <c r="AM376" s="143"/>
      <c r="AN376" s="143"/>
      <c r="AO376" s="143"/>
      <c r="AP376" s="143"/>
      <c r="AQ376" s="143"/>
      <c r="AR376" s="143"/>
      <c r="AS376" s="1628" t="str">
        <f>IF(K300="Box Flange","Hide this row","")</f>
        <v/>
      </c>
    </row>
    <row r="377" spans="1:45" ht="20.100000000000001" customHeight="1">
      <c r="A377" s="206"/>
      <c r="B377" s="170"/>
      <c r="F377" s="1277"/>
      <c r="G377" s="9"/>
      <c r="H377" s="9"/>
      <c r="I377" s="9"/>
      <c r="J377" s="9"/>
      <c r="K377" s="9"/>
      <c r="L377" s="9"/>
      <c r="M377" s="9"/>
      <c r="N377" s="9" t="s">
        <v>2810</v>
      </c>
      <c r="O377" s="9"/>
      <c r="P377" s="9"/>
      <c r="Q377" s="31" t="s">
        <v>2697</v>
      </c>
      <c r="R377" s="9"/>
      <c r="S377" s="9"/>
      <c r="T377" s="2189">
        <f>+L373</f>
        <v>7.4547120043034276</v>
      </c>
      <c r="U377" s="2190"/>
      <c r="V377" s="2190"/>
      <c r="W377" s="1485" t="s">
        <v>2508</v>
      </c>
      <c r="X377" s="1485"/>
      <c r="Y377" s="9"/>
      <c r="Z377" s="9"/>
      <c r="AA377" s="9"/>
      <c r="AB377" s="9"/>
      <c r="AC377" s="33"/>
      <c r="AD377" s="196"/>
      <c r="AE377" s="196"/>
      <c r="AF377" s="196"/>
      <c r="AG377" s="1487" t="s">
        <v>2510</v>
      </c>
      <c r="AH377" s="196"/>
      <c r="AI377" s="9"/>
      <c r="AJ377" s="2086">
        <f>+T378/T377</f>
        <v>30.584682529436552</v>
      </c>
      <c r="AK377" s="2086"/>
      <c r="AL377" s="2087"/>
      <c r="AM377" s="143"/>
      <c r="AN377" s="143"/>
      <c r="AO377" s="143"/>
      <c r="AP377" s="143"/>
      <c r="AQ377" s="143"/>
      <c r="AR377" s="143"/>
      <c r="AS377" s="1628" t="str">
        <f>IF(K300="Box Flange","Hide this row","")</f>
        <v/>
      </c>
    </row>
    <row r="378" spans="1:45" ht="20.100000000000001" customHeight="1" thickBot="1">
      <c r="A378" s="170"/>
      <c r="F378" s="40"/>
      <c r="G378" s="41"/>
      <c r="H378" s="1278"/>
      <c r="I378" s="41"/>
      <c r="J378" s="1278"/>
      <c r="K378" s="41"/>
      <c r="L378" s="41"/>
      <c r="M378" s="41"/>
      <c r="N378" s="1486" t="s">
        <v>2811</v>
      </c>
      <c r="O378" s="41"/>
      <c r="P378" s="41"/>
      <c r="Q378" s="1292" t="s">
        <v>2697</v>
      </c>
      <c r="R378" s="41"/>
      <c r="S378" s="41"/>
      <c r="T378" s="2191">
        <f>0.6*AE292</f>
        <v>228</v>
      </c>
      <c r="U378" s="2191"/>
      <c r="V378" s="2191"/>
      <c r="W378" s="1278" t="s">
        <v>2508</v>
      </c>
      <c r="X378" s="1278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5"/>
      <c r="AM378" s="143"/>
      <c r="AN378" s="143"/>
      <c r="AO378" s="143"/>
      <c r="AP378" s="143"/>
      <c r="AQ378" s="143"/>
      <c r="AR378" s="143"/>
      <c r="AS378" s="1628" t="str">
        <f>IF(K300="Box Flange","Hide this row","")</f>
        <v/>
      </c>
    </row>
    <row r="379" spans="1:45" ht="15" customHeight="1">
      <c r="A379" s="170"/>
      <c r="B379" s="170"/>
      <c r="L379" s="143"/>
      <c r="Y379" s="1186"/>
      <c r="AG379" s="122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  <c r="AS379" s="1628" t="str">
        <f>IF(K300="Box Flange","Hide this row","")</f>
        <v/>
      </c>
    </row>
    <row r="380" spans="1:45" ht="15" customHeight="1">
      <c r="A380" s="170"/>
      <c r="B380" s="170"/>
      <c r="C380" s="170"/>
      <c r="D380" s="170"/>
      <c r="E380" s="170"/>
      <c r="F380" s="170"/>
      <c r="G380" s="170"/>
      <c r="H380" s="170"/>
      <c r="I380" s="170"/>
      <c r="J380" s="170"/>
      <c r="K380" s="170"/>
      <c r="L380" s="1186"/>
      <c r="M380" s="170"/>
      <c r="N380" s="170"/>
      <c r="O380" s="170"/>
      <c r="P380" s="170"/>
      <c r="Q380" s="170"/>
      <c r="R380" s="170"/>
      <c r="Y380" s="1186"/>
      <c r="Z380" s="170"/>
      <c r="AA380" s="170"/>
      <c r="AJ380" s="505"/>
      <c r="AM380" s="76"/>
    </row>
    <row r="381" spans="1:45" ht="15" customHeight="1">
      <c r="A381" s="1182" t="s">
        <v>390</v>
      </c>
      <c r="B381" s="1182"/>
      <c r="C381" s="61"/>
      <c r="D381" s="170"/>
      <c r="E381" s="124"/>
      <c r="F381" s="170"/>
      <c r="G381" s="170"/>
      <c r="H381" s="170"/>
      <c r="I381" s="170"/>
      <c r="J381" s="170"/>
      <c r="K381" s="170"/>
      <c r="L381" s="1186"/>
      <c r="M381" s="170"/>
      <c r="N381" s="170"/>
      <c r="O381" s="170"/>
      <c r="P381" s="170"/>
      <c r="Q381" s="170"/>
      <c r="R381" s="170"/>
      <c r="S381" s="170"/>
      <c r="T381" s="170"/>
      <c r="U381" s="170"/>
      <c r="V381" s="170"/>
      <c r="W381" s="170"/>
      <c r="X381" s="170"/>
      <c r="Y381" s="1186"/>
      <c r="Z381" s="170"/>
      <c r="AA381" s="170"/>
      <c r="AJ381" s="505"/>
      <c r="AM381" s="76"/>
    </row>
    <row r="382" spans="1:45" ht="15" customHeight="1" thickBot="1">
      <c r="A382" s="207"/>
      <c r="B382" s="97"/>
      <c r="C382" s="170"/>
      <c r="D382" s="124"/>
      <c r="E382" s="170"/>
      <c r="F382" s="170"/>
      <c r="G382" s="170"/>
      <c r="H382" s="170"/>
      <c r="I382" s="170"/>
      <c r="J382" s="170"/>
      <c r="K382" s="1186"/>
      <c r="L382" s="143"/>
      <c r="M382" s="170"/>
      <c r="N382" s="170"/>
      <c r="O382" s="170"/>
      <c r="P382" s="170"/>
      <c r="Q382" s="170"/>
      <c r="R382" s="170"/>
      <c r="S382" s="170"/>
      <c r="T382" s="170"/>
      <c r="U382" s="170"/>
      <c r="V382" s="170"/>
      <c r="W382" s="170"/>
      <c r="X382" s="170"/>
      <c r="Y382" s="1186"/>
      <c r="Z382" s="170"/>
      <c r="AA382" s="170"/>
      <c r="AJ382" s="505"/>
      <c r="AM382" s="76"/>
    </row>
    <row r="383" spans="1:45" ht="15" customHeight="1">
      <c r="A383" s="207"/>
      <c r="E383" s="384"/>
      <c r="F383" s="383"/>
      <c r="G383" s="383"/>
      <c r="H383" s="383"/>
      <c r="I383" s="383"/>
      <c r="J383" s="1209"/>
      <c r="K383" s="367" t="s">
        <v>794</v>
      </c>
      <c r="L383" s="367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  <c r="Z383" s="367"/>
      <c r="AA383" s="367"/>
      <c r="AB383" s="584" t="s">
        <v>795</v>
      </c>
      <c r="AC383" s="383"/>
      <c r="AD383" s="367"/>
      <c r="AE383" s="367"/>
      <c r="AF383" s="367"/>
      <c r="AG383" s="367"/>
      <c r="AH383" s="367"/>
      <c r="AI383" s="367"/>
      <c r="AJ383" s="367"/>
      <c r="AK383" s="367"/>
      <c r="AL383" s="367"/>
      <c r="AM383" s="385"/>
    </row>
    <row r="384" spans="1:45" ht="15" customHeight="1">
      <c r="A384" s="207"/>
      <c r="E384" s="579" t="s">
        <v>950</v>
      </c>
      <c r="F384" s="115"/>
      <c r="J384" s="1210"/>
      <c r="K384" s="147" t="s">
        <v>171</v>
      </c>
      <c r="L384" s="368"/>
      <c r="M384" s="368"/>
      <c r="Y384" s="143"/>
      <c r="Z384" s="178" t="s">
        <v>162</v>
      </c>
      <c r="AB384" s="585"/>
      <c r="AC384" s="170"/>
      <c r="AD384" s="170"/>
      <c r="AE384" s="143"/>
      <c r="AF384" s="1189"/>
      <c r="AG384" s="143"/>
      <c r="AH384" s="143"/>
      <c r="AL384" s="143"/>
      <c r="AM384" s="370"/>
    </row>
    <row r="385" spans="1:44" ht="15" customHeight="1">
      <c r="A385" s="207"/>
      <c r="E385" s="579"/>
      <c r="F385" s="115"/>
      <c r="J385" s="1210"/>
      <c r="K385" s="147" t="s">
        <v>172</v>
      </c>
      <c r="L385" s="80"/>
      <c r="M385" s="80"/>
      <c r="Y385" s="143"/>
      <c r="Z385" s="178" t="s">
        <v>163</v>
      </c>
      <c r="AB385" s="585" t="s">
        <v>176</v>
      </c>
      <c r="AC385" s="170"/>
      <c r="AD385" s="170"/>
      <c r="AE385" s="143"/>
      <c r="AF385" s="1189"/>
      <c r="AG385" s="143"/>
      <c r="AH385" s="143"/>
      <c r="AL385" s="143"/>
      <c r="AM385" s="370" t="s">
        <v>167</v>
      </c>
    </row>
    <row r="386" spans="1:44" ht="15" customHeight="1">
      <c r="A386" s="207"/>
      <c r="E386" s="580"/>
      <c r="F386" s="104"/>
      <c r="G386" s="104"/>
      <c r="H386" s="104"/>
      <c r="I386" s="104"/>
      <c r="J386" s="377"/>
      <c r="K386" s="152" t="s">
        <v>952</v>
      </c>
      <c r="L386" s="378"/>
      <c r="M386" s="118"/>
      <c r="N386" s="118"/>
      <c r="O386" s="118"/>
      <c r="P386" s="379" t="s">
        <v>953</v>
      </c>
      <c r="Q386" s="118"/>
      <c r="R386" s="118"/>
      <c r="S386" s="118"/>
      <c r="T386" s="118"/>
      <c r="U386" s="118"/>
      <c r="V386" s="118"/>
      <c r="W386" s="118"/>
      <c r="X386" s="118"/>
      <c r="Y386" s="118"/>
      <c r="Z386" s="381" t="s">
        <v>164</v>
      </c>
      <c r="AA386" s="381"/>
      <c r="AB386" s="586"/>
      <c r="AC386" s="118"/>
      <c r="AD386" s="378"/>
      <c r="AE386" s="378"/>
      <c r="AF386" s="378"/>
      <c r="AG386" s="378"/>
      <c r="AH386" s="378"/>
      <c r="AI386" s="378"/>
      <c r="AJ386" s="378"/>
      <c r="AK386" s="378"/>
      <c r="AL386" s="378"/>
      <c r="AM386" s="382"/>
    </row>
    <row r="387" spans="1:44" ht="15" customHeight="1">
      <c r="A387" s="207"/>
      <c r="E387" s="579" t="s">
        <v>951</v>
      </c>
      <c r="F387" s="115"/>
      <c r="J387" s="1210"/>
      <c r="K387" s="147" t="s">
        <v>174</v>
      </c>
      <c r="L387" s="620"/>
      <c r="M387" s="170"/>
      <c r="P387" s="620"/>
      <c r="Y387" s="143"/>
      <c r="Z387" s="178" t="s">
        <v>165</v>
      </c>
      <c r="AB387" s="587" t="s">
        <v>175</v>
      </c>
      <c r="AC387" s="170"/>
      <c r="AD387" s="170"/>
      <c r="AE387" s="143"/>
      <c r="AF387" s="1189"/>
      <c r="AG387" s="143"/>
      <c r="AH387" s="143"/>
      <c r="AL387" s="143"/>
      <c r="AM387" s="370" t="s">
        <v>168</v>
      </c>
    </row>
    <row r="388" spans="1:44" ht="15" customHeight="1" thickBot="1">
      <c r="A388" s="207"/>
      <c r="E388" s="581"/>
      <c r="F388" s="582"/>
      <c r="G388" s="582"/>
      <c r="H388" s="582"/>
      <c r="I388" s="582"/>
      <c r="J388" s="373"/>
      <c r="K388" s="374" t="s">
        <v>173</v>
      </c>
      <c r="L388" s="369"/>
      <c r="M388" s="321"/>
      <c r="N388" s="321"/>
      <c r="O388" s="321"/>
      <c r="P388" s="371" t="s">
        <v>953</v>
      </c>
      <c r="Q388" s="371"/>
      <c r="R388" s="371"/>
      <c r="S388" s="321"/>
      <c r="T388" s="321"/>
      <c r="U388" s="321"/>
      <c r="V388" s="321"/>
      <c r="W388" s="321"/>
      <c r="X388" s="321"/>
      <c r="Y388" s="321"/>
      <c r="Z388" s="542" t="s">
        <v>166</v>
      </c>
      <c r="AA388" s="542"/>
      <c r="AB388" s="588"/>
      <c r="AC388" s="321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583"/>
    </row>
    <row r="389" spans="1:44" ht="15" customHeight="1">
      <c r="A389" s="207"/>
      <c r="B389" s="97"/>
      <c r="C389" s="170"/>
      <c r="D389" s="124"/>
      <c r="E389" s="170"/>
      <c r="F389" s="170"/>
      <c r="G389" s="170"/>
      <c r="H389" s="170"/>
      <c r="I389" s="170"/>
      <c r="J389" s="170"/>
      <c r="K389" s="1186"/>
      <c r="L389" s="143"/>
      <c r="M389" s="170"/>
      <c r="N389" s="170"/>
      <c r="O389" s="170"/>
      <c r="P389" s="170"/>
      <c r="Q389" s="170"/>
      <c r="R389" s="170"/>
      <c r="S389" s="170"/>
      <c r="T389" s="170"/>
      <c r="U389" s="170"/>
      <c r="AJ389" s="505"/>
      <c r="AM389" s="76"/>
    </row>
    <row r="390" spans="1:44" ht="15" customHeight="1">
      <c r="A390" s="134"/>
      <c r="B390" s="96" t="s">
        <v>420</v>
      </c>
      <c r="C390" s="170"/>
      <c r="D390" s="170"/>
      <c r="E390" s="170"/>
      <c r="F390" s="170"/>
      <c r="G390" s="170"/>
      <c r="H390" s="170"/>
      <c r="I390" s="170"/>
      <c r="J390" s="170"/>
      <c r="K390" s="170"/>
      <c r="L390" s="1186"/>
      <c r="M390" s="170"/>
      <c r="N390" s="170"/>
      <c r="O390" s="170"/>
      <c r="P390" s="170"/>
      <c r="Q390" s="170"/>
      <c r="R390" s="170"/>
      <c r="S390" s="170"/>
      <c r="T390" s="170"/>
      <c r="U390" s="170"/>
      <c r="AJ390" s="505"/>
      <c r="AM390" s="76"/>
    </row>
    <row r="391" spans="1:44" ht="15" customHeight="1">
      <c r="A391" s="134"/>
      <c r="B391" s="2137" t="s">
        <v>2466</v>
      </c>
      <c r="E391" s="1870" t="s">
        <v>2529</v>
      </c>
      <c r="F391" s="1870"/>
      <c r="G391" s="1940" t="s">
        <v>955</v>
      </c>
      <c r="H391" s="1940"/>
      <c r="I391" s="1940"/>
      <c r="J391" s="1940"/>
      <c r="K391" s="1940"/>
      <c r="L391" s="1940"/>
      <c r="M391" s="1940"/>
      <c r="N391" s="1944" t="s">
        <v>391</v>
      </c>
      <c r="O391" s="1940" t="s">
        <v>956</v>
      </c>
      <c r="P391" s="1940"/>
      <c r="Q391" s="1940"/>
      <c r="R391" s="1940"/>
      <c r="AR391" s="143"/>
    </row>
    <row r="392" spans="1:44" ht="15" customHeight="1">
      <c r="A392" s="170"/>
      <c r="B392" s="2137"/>
      <c r="E392" s="1870"/>
      <c r="F392" s="1870"/>
      <c r="H392" s="115"/>
      <c r="I392" s="115" t="s">
        <v>393</v>
      </c>
      <c r="L392" s="143"/>
      <c r="N392" s="1862"/>
      <c r="O392" s="1936" t="s">
        <v>394</v>
      </c>
      <c r="P392" s="1936"/>
      <c r="Q392" s="1936"/>
      <c r="R392" s="1936"/>
      <c r="AR392" s="143"/>
    </row>
    <row r="393" spans="1:44" ht="15" customHeight="1">
      <c r="A393" s="170"/>
      <c r="B393" s="1479"/>
      <c r="E393" s="1297"/>
      <c r="F393" s="1297"/>
      <c r="H393" s="115"/>
      <c r="I393" s="115"/>
      <c r="L393" s="143"/>
      <c r="N393" s="1296"/>
      <c r="O393" s="1296"/>
      <c r="P393" s="1296"/>
      <c r="Q393" s="1296"/>
      <c r="R393" s="1296"/>
      <c r="Y393" s="1302"/>
      <c r="AD393" s="1309"/>
      <c r="AF393" s="1309"/>
      <c r="AR393" s="143"/>
    </row>
    <row r="394" spans="1:44" ht="15" customHeight="1">
      <c r="A394" s="170"/>
      <c r="B394" s="170"/>
      <c r="E394" s="1187" t="s">
        <v>2511</v>
      </c>
      <c r="G394" s="115"/>
      <c r="K394" s="1186"/>
      <c r="L394" s="138"/>
      <c r="M394" s="1227"/>
      <c r="O394" s="1227"/>
      <c r="Q394" s="170"/>
      <c r="R394" s="1187" t="s">
        <v>2513</v>
      </c>
      <c r="T394" s="115"/>
      <c r="U394" s="1201"/>
      <c r="V394" s="1201"/>
      <c r="W394" s="1201"/>
      <c r="X394" s="1186"/>
      <c r="Y394" s="143"/>
      <c r="AB394" s="143"/>
      <c r="AD394" s="143"/>
      <c r="AE394" s="143"/>
      <c r="AF394" s="143"/>
      <c r="AG394" s="1187"/>
      <c r="AR394" s="143"/>
    </row>
    <row r="395" spans="1:44" ht="15" customHeight="1">
      <c r="A395" s="170"/>
      <c r="B395" s="170"/>
      <c r="E395" s="1187" t="s">
        <v>2597</v>
      </c>
      <c r="G395" s="115"/>
      <c r="L395" s="2195">
        <f>AE284/AE285</f>
        <v>174662958.18137676</v>
      </c>
      <c r="M395" s="2195"/>
      <c r="N395" s="2195"/>
      <c r="O395" s="2195"/>
      <c r="R395" s="1228" t="s">
        <v>2597</v>
      </c>
      <c r="T395" s="115"/>
      <c r="Y395" s="2198">
        <f>AE288/AE289</f>
        <v>174662958.18137676</v>
      </c>
      <c r="Z395" s="2198"/>
      <c r="AA395" s="2198"/>
      <c r="AB395" s="2198"/>
      <c r="AD395" s="143"/>
      <c r="AE395" s="143"/>
      <c r="AF395" s="143"/>
      <c r="AG395" s="143"/>
      <c r="AR395" s="143"/>
    </row>
    <row r="396" spans="1:44" ht="15" customHeight="1">
      <c r="A396" s="170"/>
      <c r="B396" s="170"/>
      <c r="E396" s="1187" t="s">
        <v>2598</v>
      </c>
      <c r="G396" s="115"/>
      <c r="L396" s="2195">
        <f>AE284/AE286</f>
        <v>246587392.40687704</v>
      </c>
      <c r="M396" s="2195"/>
      <c r="N396" s="2195"/>
      <c r="O396" s="2195"/>
      <c r="R396" s="1228" t="s">
        <v>2598</v>
      </c>
      <c r="T396" s="115"/>
      <c r="Y396" s="2198">
        <f>AE288/AE290</f>
        <v>246587392.40687704</v>
      </c>
      <c r="Z396" s="2198"/>
      <c r="AA396" s="2198"/>
      <c r="AB396" s="2198"/>
      <c r="AD396" s="143"/>
      <c r="AE396" s="143"/>
      <c r="AF396" s="143"/>
      <c r="AG396" s="143"/>
      <c r="AR396" s="143"/>
    </row>
    <row r="397" spans="1:44" ht="15" customHeight="1">
      <c r="A397" s="170"/>
      <c r="B397" s="170"/>
      <c r="C397" s="1938" t="s">
        <v>2710</v>
      </c>
      <c r="E397" s="1870" t="s">
        <v>2757</v>
      </c>
      <c r="F397" s="1870"/>
      <c r="G397" s="1870"/>
      <c r="H397" s="1870"/>
      <c r="I397" s="1870"/>
      <c r="J397" s="1870"/>
      <c r="K397" s="1870"/>
      <c r="L397" s="115"/>
      <c r="M397" s="2004" t="s">
        <v>2697</v>
      </c>
      <c r="O397" s="2185">
        <v>-1.25</v>
      </c>
      <c r="P397" s="2185"/>
      <c r="Q397" s="2185"/>
      <c r="R397" s="1335" t="s">
        <v>2530</v>
      </c>
      <c r="S397" s="2180">
        <f>AE274</f>
        <v>11912.56</v>
      </c>
      <c r="T397" s="2180"/>
      <c r="U397" s="2180"/>
      <c r="V397" s="1480" t="s">
        <v>391</v>
      </c>
      <c r="W397" s="2104">
        <f>+AE275</f>
        <v>25.2</v>
      </c>
      <c r="X397" s="2104"/>
      <c r="Y397" s="2104"/>
      <c r="Z397" s="1335" t="s">
        <v>2512</v>
      </c>
      <c r="AA397" s="2116" t="s">
        <v>391</v>
      </c>
      <c r="AB397" s="2186">
        <v>-1.25</v>
      </c>
      <c r="AC397" s="2186"/>
      <c r="AD397" s="2186"/>
      <c r="AE397" s="1203" t="s">
        <v>2489</v>
      </c>
      <c r="AF397" s="2174">
        <f>+AE276</f>
        <v>21961.119999999999</v>
      </c>
      <c r="AG397" s="2174"/>
      <c r="AH397" s="2174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</row>
    <row r="398" spans="1:44" ht="15" customHeight="1">
      <c r="A398" s="170"/>
      <c r="B398" s="170"/>
      <c r="C398" s="1938"/>
      <c r="E398" s="1870"/>
      <c r="F398" s="1870"/>
      <c r="G398" s="1870"/>
      <c r="H398" s="1870"/>
      <c r="I398" s="1870"/>
      <c r="J398" s="1870"/>
      <c r="K398" s="1870"/>
      <c r="L398" s="115"/>
      <c r="M398" s="2121"/>
      <c r="O398" s="2138">
        <f>+L395/10^9</f>
        <v>0.17466295818137675</v>
      </c>
      <c r="P398" s="2138"/>
      <c r="Q398" s="2138"/>
      <c r="R398" s="2138"/>
      <c r="S398" s="2138"/>
      <c r="T398" s="2138"/>
      <c r="U398" s="2138"/>
      <c r="V398" s="2138"/>
      <c r="W398" s="2138"/>
      <c r="X398" s="2138"/>
      <c r="Y398" s="2138"/>
      <c r="Z398" s="2138"/>
      <c r="AA398" s="1938"/>
      <c r="AB398" s="2095">
        <f>+Y395/10^9</f>
        <v>0.17466295818137675</v>
      </c>
      <c r="AC398" s="2095"/>
      <c r="AD398" s="2095"/>
      <c r="AE398" s="2095"/>
      <c r="AF398" s="2095"/>
      <c r="AG398" s="2095"/>
      <c r="AH398" s="2095"/>
      <c r="AI398" s="143"/>
      <c r="AJ398" s="143"/>
      <c r="AK398" s="143"/>
      <c r="AL398" s="143"/>
      <c r="AM398" s="143"/>
      <c r="AN398" s="143"/>
      <c r="AO398" s="143"/>
      <c r="AP398" s="143"/>
      <c r="AQ398" s="143"/>
      <c r="AR398" s="143"/>
    </row>
    <row r="399" spans="1:44" ht="15" customHeight="1">
      <c r="A399" s="170"/>
      <c r="B399" s="170"/>
      <c r="M399" s="1298" t="s">
        <v>324</v>
      </c>
      <c r="O399" s="2139">
        <f>-1.25*(S397+W397)/O398-1.25*AF397/AB398</f>
        <v>-242602.09744070418</v>
      </c>
      <c r="P399" s="2139"/>
      <c r="Q399" s="2139"/>
      <c r="R399" s="2139"/>
      <c r="S399" s="115" t="s">
        <v>2673</v>
      </c>
      <c r="T399" s="73"/>
      <c r="W399" s="1415" t="s">
        <v>324</v>
      </c>
      <c r="X399" s="2140">
        <f>+O399/1000</f>
        <v>-242.60209744070417</v>
      </c>
      <c r="Y399" s="2140"/>
      <c r="Z399" s="2140"/>
      <c r="AA399" s="1211" t="s">
        <v>2508</v>
      </c>
      <c r="AB399" s="1211"/>
      <c r="AD399" s="143"/>
      <c r="AF399" s="73"/>
      <c r="AI399" s="143"/>
      <c r="AJ399" s="143"/>
      <c r="AK399" s="143"/>
      <c r="AL399" s="143"/>
      <c r="AM399" s="143"/>
      <c r="AN399" s="143"/>
      <c r="AO399" s="143"/>
      <c r="AP399" s="143"/>
      <c r="AQ399" s="143"/>
      <c r="AR399" s="143"/>
    </row>
    <row r="400" spans="1:44" ht="15" customHeight="1">
      <c r="A400" s="170"/>
      <c r="C400" s="1938" t="s">
        <v>2710</v>
      </c>
      <c r="E400" s="1870" t="s">
        <v>2758</v>
      </c>
      <c r="F400" s="1870"/>
      <c r="G400" s="1870"/>
      <c r="H400" s="1870"/>
      <c r="I400" s="1870"/>
      <c r="J400" s="1870"/>
      <c r="K400" s="1870"/>
      <c r="L400" s="1870"/>
      <c r="M400" s="2004" t="s">
        <v>2697</v>
      </c>
      <c r="O400" s="2166">
        <v>1.25</v>
      </c>
      <c r="P400" s="2166"/>
      <c r="Q400" s="2166"/>
      <c r="R400" s="261" t="s">
        <v>2530</v>
      </c>
      <c r="S400" s="2174">
        <f>+AE274</f>
        <v>11912.56</v>
      </c>
      <c r="T400" s="2174"/>
      <c r="U400" s="2174"/>
      <c r="V400" s="1203" t="s">
        <v>391</v>
      </c>
      <c r="W400" s="2104">
        <f>+AE275</f>
        <v>25.2</v>
      </c>
      <c r="X400" s="2104"/>
      <c r="Y400" s="2104"/>
      <c r="Z400" s="261" t="s">
        <v>2512</v>
      </c>
      <c r="AA400" s="2116" t="s">
        <v>391</v>
      </c>
      <c r="AB400" s="2166">
        <v>1.25</v>
      </c>
      <c r="AC400" s="2166"/>
      <c r="AD400" s="2166"/>
      <c r="AE400" s="1203" t="s">
        <v>2489</v>
      </c>
      <c r="AF400" s="2174">
        <f>+AE276</f>
        <v>21961.119999999999</v>
      </c>
      <c r="AG400" s="2174"/>
      <c r="AH400" s="2174"/>
      <c r="AI400" s="143"/>
      <c r="AJ400" s="143"/>
      <c r="AK400" s="143"/>
      <c r="AL400" s="143"/>
      <c r="AM400" s="143"/>
      <c r="AN400" s="143"/>
      <c r="AO400" s="143"/>
      <c r="AP400" s="143"/>
      <c r="AQ400" s="143"/>
      <c r="AR400" s="143"/>
    </row>
    <row r="401" spans="1:73" ht="15" customHeight="1">
      <c r="A401" s="170"/>
      <c r="C401" s="1938"/>
      <c r="D401" s="1297"/>
      <c r="E401" s="1870"/>
      <c r="F401" s="1870"/>
      <c r="G401" s="1870"/>
      <c r="H401" s="1870"/>
      <c r="I401" s="1870"/>
      <c r="J401" s="1870"/>
      <c r="K401" s="1870"/>
      <c r="L401" s="1870"/>
      <c r="M401" s="2121"/>
      <c r="O401" s="2138">
        <f>+L396/10^9</f>
        <v>0.24658739240687705</v>
      </c>
      <c r="P401" s="2138"/>
      <c r="Q401" s="2138"/>
      <c r="R401" s="2138"/>
      <c r="S401" s="2138"/>
      <c r="T401" s="2138"/>
      <c r="U401" s="2138"/>
      <c r="V401" s="2138"/>
      <c r="W401" s="2138"/>
      <c r="X401" s="2138"/>
      <c r="Y401" s="2138"/>
      <c r="Z401" s="2138"/>
      <c r="AA401" s="1938"/>
      <c r="AB401" s="2138">
        <f>+Y396/10^9</f>
        <v>0.24658739240687705</v>
      </c>
      <c r="AC401" s="2138"/>
      <c r="AD401" s="2138"/>
      <c r="AE401" s="2138"/>
      <c r="AF401" s="2138"/>
      <c r="AG401" s="2138"/>
      <c r="AH401" s="2138"/>
      <c r="AI401" s="143"/>
      <c r="AJ401" s="143"/>
      <c r="AK401" s="143"/>
      <c r="AL401" s="143"/>
      <c r="AM401" s="143"/>
      <c r="AN401" s="143"/>
      <c r="AO401" s="143"/>
      <c r="AP401" s="143"/>
      <c r="AQ401" s="1309"/>
      <c r="AR401" s="143"/>
    </row>
    <row r="402" spans="1:73" ht="15" customHeight="1">
      <c r="A402" s="170"/>
      <c r="C402" s="1297"/>
      <c r="D402" s="1297"/>
      <c r="E402" s="1297"/>
      <c r="F402" s="1297"/>
      <c r="G402" s="1297"/>
      <c r="H402" s="1297"/>
      <c r="I402" s="1297"/>
      <c r="J402" s="115"/>
      <c r="K402" s="115"/>
      <c r="L402" s="1317"/>
      <c r="M402" s="1298" t="s">
        <v>324</v>
      </c>
      <c r="O402" s="2139">
        <f>1.25*(S400+W400)/O401+1.25*AF400/AB401</f>
        <v>171840.09120013</v>
      </c>
      <c r="P402" s="2139"/>
      <c r="Q402" s="2139"/>
      <c r="R402" s="2139"/>
      <c r="S402" s="170" t="s">
        <v>2759</v>
      </c>
      <c r="T402" s="73"/>
      <c r="W402" s="1415" t="s">
        <v>324</v>
      </c>
      <c r="X402" s="2140">
        <f>+O402/1000</f>
        <v>171.84009120012999</v>
      </c>
      <c r="Y402" s="2140"/>
      <c r="Z402" s="2140"/>
      <c r="AA402" s="1211" t="s">
        <v>2508</v>
      </c>
      <c r="AB402" s="1211"/>
      <c r="AC402" s="1317"/>
      <c r="AD402" s="143"/>
      <c r="AE402" s="1296"/>
      <c r="AF402" s="1314"/>
      <c r="AG402" s="1314"/>
      <c r="AH402" s="1314"/>
      <c r="AI402" s="1314"/>
      <c r="AJ402" s="143"/>
      <c r="AL402" s="1309"/>
      <c r="AM402" s="1324"/>
      <c r="AN402" s="1324"/>
      <c r="AO402" s="1324"/>
      <c r="AP402" s="1309"/>
      <c r="AQ402" s="1309"/>
      <c r="AR402" s="143"/>
    </row>
    <row r="403" spans="1:73" ht="15" customHeight="1">
      <c r="A403" s="170"/>
      <c r="B403" s="170"/>
      <c r="C403" s="1187"/>
      <c r="D403" s="1187"/>
      <c r="F403" s="115"/>
      <c r="G403" s="115"/>
      <c r="J403" s="1186"/>
      <c r="L403" s="143"/>
      <c r="M403" s="1186"/>
      <c r="Y403" s="143"/>
      <c r="Z403" s="1202"/>
      <c r="AB403" s="1202"/>
      <c r="AC403" s="73"/>
      <c r="AD403" s="73"/>
      <c r="AF403" s="505"/>
      <c r="AI403" s="76"/>
      <c r="AR403" s="143"/>
    </row>
    <row r="404" spans="1:73" ht="15" customHeight="1">
      <c r="B404" s="1481" t="s">
        <v>2466</v>
      </c>
      <c r="D404" s="170" t="s">
        <v>1677</v>
      </c>
      <c r="E404" s="170"/>
      <c r="F404" s="100"/>
      <c r="G404" s="170"/>
      <c r="H404" s="170"/>
      <c r="I404" s="170"/>
      <c r="J404" s="170"/>
      <c r="K404" s="170"/>
      <c r="L404" s="1186"/>
      <c r="M404" s="170"/>
      <c r="N404" s="170"/>
      <c r="O404" s="170"/>
      <c r="P404" s="170"/>
      <c r="Q404" s="170"/>
      <c r="R404" s="170"/>
      <c r="S404" s="170"/>
      <c r="T404" s="170"/>
      <c r="U404" s="170"/>
      <c r="V404" s="170"/>
      <c r="W404" s="170"/>
      <c r="X404" s="170"/>
    </row>
    <row r="405" spans="1:73" ht="15" customHeight="1">
      <c r="B405" s="1481"/>
      <c r="C405" s="170"/>
      <c r="D405" s="170"/>
      <c r="E405" s="170"/>
      <c r="F405" s="100"/>
      <c r="G405" s="170"/>
      <c r="H405" s="170"/>
      <c r="I405" s="170"/>
      <c r="J405" s="170"/>
      <c r="K405" s="170"/>
      <c r="L405" s="1186"/>
      <c r="M405" s="170"/>
      <c r="N405" s="170"/>
      <c r="O405" s="170"/>
      <c r="P405" s="170"/>
      <c r="Q405" s="170"/>
      <c r="R405" s="170"/>
      <c r="S405" s="170"/>
      <c r="T405" s="170"/>
      <c r="U405" s="170"/>
      <c r="V405" s="170"/>
      <c r="W405" s="170"/>
      <c r="X405" s="170"/>
    </row>
    <row r="406" spans="1:73" ht="15" customHeight="1">
      <c r="A406" s="134"/>
      <c r="B406" s="1481" t="s">
        <v>2466</v>
      </c>
      <c r="D406" s="1187" t="s">
        <v>396</v>
      </c>
      <c r="E406" s="147"/>
      <c r="F406" s="170"/>
      <c r="G406" s="170"/>
      <c r="H406" s="170"/>
      <c r="I406" s="170"/>
      <c r="J406" s="136"/>
      <c r="K406" s="1189"/>
      <c r="L406" s="143"/>
      <c r="N406" s="52"/>
      <c r="P406" s="170"/>
      <c r="Q406" s="170"/>
      <c r="R406" s="170"/>
      <c r="S406" s="170"/>
      <c r="U406" s="170"/>
      <c r="V406" s="170"/>
      <c r="W406" s="170"/>
      <c r="X406" s="170"/>
      <c r="AR406" s="1529" t="s">
        <v>2909</v>
      </c>
    </row>
    <row r="407" spans="1:73" ht="20.100000000000001" customHeight="1">
      <c r="B407" s="134"/>
      <c r="C407" s="148" t="s">
        <v>134</v>
      </c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8" t="s">
        <v>236</v>
      </c>
      <c r="P407" s="141"/>
      <c r="Q407" s="141"/>
      <c r="R407" s="237"/>
      <c r="S407" s="237"/>
      <c r="T407" s="237"/>
      <c r="U407" s="237"/>
      <c r="V407" s="237"/>
      <c r="W407" s="237"/>
      <c r="X407" s="237"/>
      <c r="Y407" s="237"/>
      <c r="Z407" s="237"/>
    </row>
    <row r="408" spans="1:73" s="73" customFormat="1" ht="20.100000000000001" customHeight="1">
      <c r="A408" s="143"/>
      <c r="B408" s="134"/>
      <c r="C408" s="170" t="s">
        <v>690</v>
      </c>
      <c r="D408" s="170"/>
      <c r="E408" s="143"/>
      <c r="F408" s="170"/>
      <c r="G408" s="170"/>
      <c r="H408" s="170"/>
      <c r="I408" s="170"/>
      <c r="J408" s="170"/>
      <c r="K408" s="170"/>
      <c r="L408" s="170"/>
      <c r="M408" s="170"/>
      <c r="N408" s="170"/>
      <c r="O408" s="2102">
        <v>1</v>
      </c>
      <c r="P408" s="2102"/>
      <c r="Q408" s="2102"/>
      <c r="R408" s="52"/>
      <c r="S408" s="52"/>
      <c r="T408" s="52"/>
      <c r="U408" s="52"/>
      <c r="V408" s="52"/>
      <c r="W408" s="52"/>
      <c r="X408" s="52"/>
      <c r="Y408" s="52"/>
      <c r="Z408" s="52"/>
      <c r="AA408" s="143"/>
      <c r="AB408" s="1202"/>
      <c r="AC408" s="143"/>
      <c r="AE408" s="1202"/>
      <c r="AS408" s="1627"/>
      <c r="AT408" s="143"/>
      <c r="AU408" s="143"/>
      <c r="AV408" s="143"/>
      <c r="AW408" s="143"/>
      <c r="AX408" s="143"/>
      <c r="AY408" s="143"/>
      <c r="AZ408" s="143"/>
      <c r="BA408" s="143"/>
      <c r="BB408" s="143"/>
      <c r="BC408" s="143"/>
      <c r="BD408" s="143"/>
      <c r="BE408" s="143"/>
      <c r="BF408" s="143"/>
      <c r="BG408" s="143"/>
      <c r="BH408" s="143"/>
      <c r="BI408" s="143"/>
      <c r="BJ408" s="143"/>
      <c r="BK408" s="143"/>
      <c r="BL408" s="143"/>
      <c r="BM408" s="143"/>
      <c r="BN408" s="143"/>
      <c r="BO408" s="143"/>
      <c r="BP408" s="143"/>
      <c r="BQ408" s="143"/>
      <c r="BR408" s="143"/>
      <c r="BS408" s="143"/>
      <c r="BT408" s="143"/>
      <c r="BU408" s="143"/>
    </row>
    <row r="409" spans="1:73" s="73" customFormat="1" ht="20.100000000000001" customHeight="1">
      <c r="A409" s="143"/>
      <c r="B409" s="134"/>
      <c r="C409" s="145" t="s">
        <v>136</v>
      </c>
      <c r="D409" s="145"/>
      <c r="E409" s="145"/>
      <c r="F409" s="145"/>
      <c r="G409" s="145"/>
      <c r="H409" s="145"/>
      <c r="I409" s="145"/>
      <c r="J409" s="145"/>
      <c r="K409" s="145"/>
      <c r="L409" s="145"/>
      <c r="M409" s="145"/>
      <c r="N409" s="145"/>
      <c r="O409" s="149" t="s">
        <v>1678</v>
      </c>
      <c r="P409" s="145"/>
      <c r="Q409" s="145"/>
      <c r="R409" s="238"/>
      <c r="S409" s="238"/>
      <c r="T409" s="238"/>
      <c r="U409" s="238"/>
      <c r="V409" s="238"/>
      <c r="W409" s="238"/>
      <c r="X409" s="238"/>
      <c r="Y409" s="238"/>
      <c r="Z409" s="238"/>
      <c r="AA409" s="143"/>
      <c r="AB409" s="1202"/>
      <c r="AC409" s="143"/>
      <c r="AE409" s="1202"/>
      <c r="AS409" s="1627"/>
      <c r="AT409" s="143"/>
      <c r="AU409" s="143"/>
      <c r="AV409" s="143"/>
      <c r="AW409" s="143"/>
      <c r="AX409" s="143"/>
      <c r="AY409" s="143"/>
      <c r="AZ409" s="143"/>
      <c r="BA409" s="143"/>
      <c r="BB409" s="143"/>
      <c r="BC409" s="143"/>
      <c r="BD409" s="143"/>
      <c r="BE409" s="143"/>
      <c r="BF409" s="143"/>
      <c r="BG409" s="143"/>
      <c r="BH409" s="143"/>
      <c r="BI409" s="143"/>
      <c r="BJ409" s="143"/>
      <c r="BK409" s="143"/>
      <c r="BL409" s="143"/>
      <c r="BM409" s="143"/>
      <c r="BN409" s="143"/>
      <c r="BO409" s="143"/>
      <c r="BP409" s="143"/>
      <c r="BQ409" s="143"/>
      <c r="BR409" s="143"/>
      <c r="BS409" s="143"/>
      <c r="BT409" s="143"/>
      <c r="BU409" s="143"/>
    </row>
    <row r="410" spans="1:73" s="73" customFormat="1" ht="20.100000000000001" customHeight="1">
      <c r="A410" s="143"/>
      <c r="B410" s="134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  <c r="N410" s="170"/>
      <c r="O410" s="122"/>
      <c r="P410" s="170"/>
      <c r="Q410" s="170"/>
      <c r="R410" s="239"/>
      <c r="S410" s="239"/>
      <c r="T410" s="239"/>
      <c r="U410" s="239"/>
      <c r="V410" s="239"/>
      <c r="W410" s="239"/>
      <c r="X410" s="239"/>
      <c r="Y410" s="239"/>
      <c r="Z410" s="239"/>
      <c r="AA410" s="143"/>
      <c r="AB410" s="1309"/>
      <c r="AC410" s="143"/>
      <c r="AE410" s="1309"/>
      <c r="AS410" s="1627"/>
      <c r="AT410" s="143"/>
      <c r="AU410" s="143"/>
      <c r="AV410" s="143"/>
      <c r="AW410" s="143"/>
      <c r="AX410" s="143"/>
      <c r="AY410" s="143"/>
      <c r="AZ410" s="143"/>
      <c r="BA410" s="143"/>
      <c r="BB410" s="143"/>
      <c r="BC410" s="143"/>
      <c r="BD410" s="143"/>
      <c r="BE410" s="143"/>
      <c r="BF410" s="143"/>
      <c r="BG410" s="143"/>
      <c r="BH410" s="143"/>
      <c r="BI410" s="143"/>
      <c r="BJ410" s="143"/>
      <c r="BK410" s="143"/>
      <c r="BL410" s="143"/>
      <c r="BM410" s="143"/>
      <c r="BN410" s="143"/>
      <c r="BO410" s="143"/>
      <c r="BP410" s="143"/>
      <c r="BQ410" s="143"/>
      <c r="BR410" s="143"/>
      <c r="BS410" s="143"/>
      <c r="BT410" s="143"/>
      <c r="BU410" s="143"/>
    </row>
    <row r="411" spans="1:73" s="73" customFormat="1" ht="15" customHeight="1">
      <c r="A411" s="143"/>
      <c r="B411" s="134"/>
      <c r="C411" s="124" t="s">
        <v>2689</v>
      </c>
      <c r="D411" s="170"/>
      <c r="E411" s="649" t="s">
        <v>2760</v>
      </c>
      <c r="F411" s="170"/>
      <c r="G411" s="124" t="s">
        <v>2697</v>
      </c>
      <c r="H411" s="170"/>
      <c r="I411" s="170" t="s">
        <v>2766</v>
      </c>
      <c r="J411" s="170"/>
      <c r="K411" s="170"/>
      <c r="L411" s="170"/>
      <c r="M411" s="170"/>
      <c r="N411" s="170"/>
      <c r="O411" s="122"/>
      <c r="P411" s="124" t="s">
        <v>2697</v>
      </c>
      <c r="Q411" s="249" t="s">
        <v>2762</v>
      </c>
      <c r="S411" s="143"/>
      <c r="T411" s="2097">
        <f>+AE296</f>
        <v>355</v>
      </c>
      <c r="U411" s="2097"/>
      <c r="V411" s="2097"/>
      <c r="W411" s="138" t="s">
        <v>2490</v>
      </c>
      <c r="X411" s="2096">
        <f>+AE412</f>
        <v>380</v>
      </c>
      <c r="Y411" s="2096"/>
      <c r="Z411" s="2096"/>
      <c r="AA411" s="138" t="s">
        <v>2764</v>
      </c>
      <c r="AB411" s="170"/>
      <c r="AC411" s="1190" t="s">
        <v>2512</v>
      </c>
      <c r="AD411" s="138" t="s">
        <v>324</v>
      </c>
      <c r="AE411" s="2093">
        <f>+MIN(T411/X411,AB411)</f>
        <v>0.93421052631578949</v>
      </c>
      <c r="AF411" s="2093"/>
      <c r="AG411" s="2093"/>
      <c r="AS411" s="1627"/>
      <c r="AT411" s="143"/>
      <c r="AU411" s="143"/>
      <c r="AV411" s="143"/>
      <c r="AW411" s="143"/>
      <c r="AX411" s="143"/>
      <c r="AY411" s="143"/>
      <c r="AZ411" s="143"/>
      <c r="BA411" s="143"/>
      <c r="BB411" s="143"/>
      <c r="BC411" s="143"/>
      <c r="BD411" s="143"/>
      <c r="BE411" s="143"/>
      <c r="BF411" s="143"/>
      <c r="BG411" s="143"/>
      <c r="BH411" s="143"/>
      <c r="BI411" s="143"/>
      <c r="BJ411" s="143"/>
      <c r="BK411" s="143"/>
      <c r="BL411" s="143"/>
      <c r="BM411" s="143"/>
      <c r="BN411" s="143"/>
      <c r="BO411" s="143"/>
      <c r="BP411" s="143"/>
      <c r="BQ411" s="143"/>
      <c r="BR411" s="143"/>
      <c r="BS411" s="143"/>
      <c r="BT411" s="143"/>
      <c r="BU411" s="143"/>
    </row>
    <row r="412" spans="1:73" s="73" customFormat="1" ht="15" customHeight="1">
      <c r="A412" s="143"/>
      <c r="B412" s="134"/>
      <c r="C412" s="124" t="s">
        <v>2689</v>
      </c>
      <c r="D412" s="170"/>
      <c r="E412" s="1297" t="s">
        <v>2761</v>
      </c>
      <c r="F412" s="170"/>
      <c r="G412" s="124" t="s">
        <v>2697</v>
      </c>
      <c r="H412" s="170"/>
      <c r="I412" s="1297" t="s">
        <v>2767</v>
      </c>
      <c r="J412" s="170"/>
      <c r="K412" s="170"/>
      <c r="L412" s="170"/>
      <c r="M412" s="170"/>
      <c r="N412" s="170"/>
      <c r="O412" s="122"/>
      <c r="P412" s="124" t="s">
        <v>2697</v>
      </c>
      <c r="Q412" s="143" t="s">
        <v>2763</v>
      </c>
      <c r="S412" s="143"/>
      <c r="T412" s="2097">
        <f>+AE292</f>
        <v>380</v>
      </c>
      <c r="U412" s="2097"/>
      <c r="V412" s="2097"/>
      <c r="W412" s="138" t="s">
        <v>2515</v>
      </c>
      <c r="X412" s="2097">
        <f>+MAX(ABS(X402),ABS(X399))</f>
        <v>242.60209744070417</v>
      </c>
      <c r="Y412" s="2097"/>
      <c r="Z412" s="2097"/>
      <c r="AA412" s="124" t="s">
        <v>2512</v>
      </c>
      <c r="AD412" s="138" t="s">
        <v>324</v>
      </c>
      <c r="AE412" s="2096">
        <f>+MAX(T412,X412)</f>
        <v>380</v>
      </c>
      <c r="AF412" s="2096"/>
      <c r="AG412" s="2096"/>
      <c r="AS412" s="1627"/>
      <c r="AT412" s="143"/>
      <c r="AU412" s="143"/>
      <c r="AV412" s="143"/>
      <c r="AW412" s="143"/>
      <c r="AX412" s="143"/>
      <c r="AY412" s="143"/>
      <c r="AZ412" s="143"/>
      <c r="BA412" s="143"/>
      <c r="BB412" s="143"/>
      <c r="BC412" s="143"/>
      <c r="BD412" s="143"/>
      <c r="BE412" s="143"/>
      <c r="BF412" s="143"/>
      <c r="BG412" s="143"/>
      <c r="BH412" s="143"/>
      <c r="BI412" s="143"/>
      <c r="BJ412" s="143"/>
      <c r="BK412" s="143"/>
      <c r="BL412" s="143"/>
      <c r="BM412" s="143"/>
      <c r="BN412" s="143"/>
      <c r="BO412" s="143"/>
      <c r="BP412" s="143"/>
      <c r="BQ412" s="143"/>
      <c r="BR412" s="143"/>
      <c r="BS412" s="143"/>
      <c r="BT412" s="143"/>
      <c r="BU412" s="143"/>
    </row>
    <row r="413" spans="1:73" s="73" customFormat="1" ht="15" customHeight="1">
      <c r="A413" s="143"/>
      <c r="B413" s="143"/>
      <c r="C413" s="124" t="s">
        <v>2689</v>
      </c>
      <c r="D413" s="120"/>
      <c r="E413" s="143" t="s">
        <v>2765</v>
      </c>
      <c r="F413" s="143"/>
      <c r="G413" s="124" t="s">
        <v>2697</v>
      </c>
      <c r="H413" s="143"/>
      <c r="I413" s="1297" t="s">
        <v>2768</v>
      </c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70"/>
      <c r="U413" s="2097">
        <f>IF(AE248="Positive",AE285,AE289)</f>
        <v>1685.8661105921663</v>
      </c>
      <c r="V413" s="1938"/>
      <c r="W413" s="1938"/>
      <c r="X413" s="124" t="s">
        <v>2323</v>
      </c>
      <c r="Y413" s="1862">
        <f>+AE256</f>
        <v>40</v>
      </c>
      <c r="Z413" s="1862"/>
      <c r="AA413" s="1189" t="s">
        <v>2514</v>
      </c>
      <c r="AB413" s="2096">
        <f>IF(AE248="Positive",AE286,AE290)</f>
        <v>1194.1338894078337</v>
      </c>
      <c r="AC413" s="1862"/>
      <c r="AD413" s="1862"/>
      <c r="AE413" s="124" t="s">
        <v>2323</v>
      </c>
      <c r="AF413" s="1938">
        <f>+AE258</f>
        <v>40</v>
      </c>
      <c r="AG413" s="1938"/>
      <c r="AH413" s="138" t="s">
        <v>2512</v>
      </c>
      <c r="AI413" s="76" t="s">
        <v>2591</v>
      </c>
      <c r="AJ413" s="2097">
        <f>+MAX(U413-Y413,AB413-AF413)</f>
        <v>1645.8661105921663</v>
      </c>
      <c r="AK413" s="2097"/>
      <c r="AL413" s="2097"/>
      <c r="AS413" s="1627"/>
      <c r="AT413" s="143"/>
      <c r="AU413" s="143"/>
      <c r="AV413" s="143"/>
      <c r="AW413" s="143"/>
      <c r="AX413" s="143"/>
      <c r="AY413" s="143"/>
      <c r="AZ413" s="143"/>
      <c r="BA413" s="143"/>
      <c r="BB413" s="143"/>
      <c r="BC413" s="143"/>
      <c r="BD413" s="143"/>
      <c r="BE413" s="143"/>
      <c r="BF413" s="143"/>
      <c r="BG413" s="143"/>
      <c r="BH413" s="143"/>
      <c r="BI413" s="143"/>
      <c r="BJ413" s="143"/>
      <c r="BK413" s="143"/>
      <c r="BL413" s="143"/>
      <c r="BM413" s="143"/>
      <c r="BN413" s="143"/>
      <c r="BO413" s="143"/>
      <c r="BP413" s="143"/>
      <c r="BQ413" s="143"/>
      <c r="BR413" s="143"/>
      <c r="BS413" s="143"/>
      <c r="BT413" s="143"/>
      <c r="BU413" s="143"/>
    </row>
    <row r="414" spans="1:73" s="73" customFormat="1" ht="15" customHeight="1">
      <c r="B414" s="76"/>
      <c r="C414" s="124" t="s">
        <v>2689</v>
      </c>
      <c r="D414" s="120"/>
      <c r="E414" s="170" t="s">
        <v>685</v>
      </c>
      <c r="F414" s="143"/>
      <c r="G414" s="124" t="s">
        <v>2697</v>
      </c>
      <c r="H414" s="4"/>
      <c r="I414" s="143" t="str">
        <f>+IF(U413-Y413&gt;=AB413-AF413,"Top flange 면적","Bottom flange 면적")</f>
        <v>Top flange 면적</v>
      </c>
      <c r="J414" s="143"/>
      <c r="K414" s="143"/>
      <c r="L414" s="1189"/>
      <c r="M414" s="143"/>
      <c r="N414" s="143"/>
      <c r="O414" s="52"/>
      <c r="P414" s="124" t="s">
        <v>2697</v>
      </c>
      <c r="Q414" s="1230">
        <f>+IF(U413-Y413&gt;=AB413-AF413,AE254,1)</f>
        <v>2</v>
      </c>
      <c r="R414" s="138" t="s">
        <v>2489</v>
      </c>
      <c r="S414" s="1938">
        <f>+IF(U413-Y413&gt;=AB413-AF413,AE255,AE257)</f>
        <v>600</v>
      </c>
      <c r="T414" s="1938"/>
      <c r="U414" s="1938"/>
      <c r="V414" s="138" t="s">
        <v>2489</v>
      </c>
      <c r="W414" s="1862">
        <f>+IF(U413-Y413&gt;=AB413-AF413,Y413,AF413)</f>
        <v>40</v>
      </c>
      <c r="X414" s="1862"/>
      <c r="Z414" s="249"/>
      <c r="AA414" s="143"/>
      <c r="AB414" s="1202"/>
      <c r="AC414" s="143"/>
      <c r="AD414" s="138" t="s">
        <v>324</v>
      </c>
      <c r="AE414" s="1862">
        <f>+Q414*S414*W414</f>
        <v>48000</v>
      </c>
      <c r="AF414" s="1862"/>
      <c r="AG414" s="1862"/>
      <c r="AS414" s="1627"/>
      <c r="AT414" s="143"/>
      <c r="AU414" s="143"/>
      <c r="AV414" s="143"/>
      <c r="AW414" s="143"/>
      <c r="AX414" s="143"/>
      <c r="AY414" s="143"/>
      <c r="AZ414" s="143"/>
      <c r="BA414" s="143"/>
      <c r="BB414" s="143"/>
      <c r="BC414" s="143"/>
      <c r="BD414" s="143"/>
      <c r="BE414" s="143"/>
      <c r="BF414" s="143"/>
      <c r="BG414" s="143"/>
      <c r="BH414" s="143"/>
      <c r="BI414" s="143"/>
      <c r="BJ414" s="143"/>
      <c r="BK414" s="143"/>
      <c r="BL414" s="143"/>
      <c r="BM414" s="143"/>
      <c r="BN414" s="143"/>
      <c r="BO414" s="143"/>
      <c r="BP414" s="143"/>
      <c r="BQ414" s="143"/>
      <c r="BR414" s="143"/>
      <c r="BS414" s="143"/>
      <c r="BT414" s="143"/>
      <c r="BU414" s="143"/>
    </row>
    <row r="415" spans="1:73" s="73" customFormat="1" ht="15" customHeight="1">
      <c r="B415" s="76"/>
      <c r="C415" s="124" t="s">
        <v>2689</v>
      </c>
      <c r="D415" s="120"/>
      <c r="E415" s="1413" t="s">
        <v>360</v>
      </c>
      <c r="F415" s="143"/>
      <c r="G415" s="124" t="s">
        <v>2697</v>
      </c>
      <c r="H415" s="4"/>
      <c r="I415" s="170" t="s">
        <v>2769</v>
      </c>
      <c r="J415" s="143"/>
      <c r="K415" s="143"/>
      <c r="L415" s="1302"/>
      <c r="M415" s="143"/>
      <c r="N415" s="143"/>
      <c r="O415" s="52"/>
      <c r="P415" s="124" t="s">
        <v>2697</v>
      </c>
      <c r="Q415" s="1212">
        <v>2</v>
      </c>
      <c r="R415" s="1204" t="s">
        <v>2489</v>
      </c>
      <c r="S415" s="2097">
        <f>+AJ413</f>
        <v>1645.8661105921663</v>
      </c>
      <c r="T415" s="2097"/>
      <c r="U415" s="2097"/>
      <c r="V415" s="76" t="s">
        <v>2489</v>
      </c>
      <c r="W415" s="1938">
        <f>+AE261</f>
        <v>12</v>
      </c>
      <c r="X415" s="1938"/>
      <c r="Y415" s="76" t="s">
        <v>2490</v>
      </c>
      <c r="Z415" s="1938">
        <f>+AE414</f>
        <v>48000</v>
      </c>
      <c r="AA415" s="1938"/>
      <c r="AB415" s="1938"/>
      <c r="AD415" s="138" t="s">
        <v>324</v>
      </c>
      <c r="AE415" s="2093">
        <f>+Q415*S415*W415/Z415</f>
        <v>0.82293305529608307</v>
      </c>
      <c r="AF415" s="2093"/>
      <c r="AG415" s="2093"/>
      <c r="AS415" s="1627"/>
      <c r="AT415" s="143"/>
      <c r="AU415" s="143"/>
      <c r="AV415" s="143"/>
      <c r="AW415" s="143"/>
      <c r="AX415" s="143"/>
      <c r="AY415" s="143"/>
      <c r="AZ415" s="143"/>
      <c r="BA415" s="143"/>
      <c r="BB415" s="143"/>
      <c r="BC415" s="143"/>
      <c r="BD415" s="143"/>
      <c r="BE415" s="143"/>
      <c r="BF415" s="143"/>
      <c r="BG415" s="143"/>
      <c r="BH415" s="143"/>
      <c r="BI415" s="143"/>
      <c r="BJ415" s="143"/>
      <c r="BK415" s="143"/>
      <c r="BL415" s="143"/>
      <c r="BM415" s="143"/>
      <c r="BN415" s="143"/>
      <c r="BO415" s="143"/>
      <c r="BP415" s="143"/>
      <c r="BQ415" s="143"/>
      <c r="BR415" s="143"/>
      <c r="BS415" s="143"/>
      <c r="BT415" s="143"/>
      <c r="BU415" s="143"/>
    </row>
    <row r="416" spans="1:73" s="73" customFormat="1" ht="15" customHeight="1">
      <c r="B416" s="76"/>
      <c r="C416" s="2111" t="s">
        <v>2710</v>
      </c>
      <c r="E416" s="2111" t="s">
        <v>2771</v>
      </c>
      <c r="G416" s="1871" t="s">
        <v>2697</v>
      </c>
      <c r="I416" s="149" t="s">
        <v>2519</v>
      </c>
      <c r="J416" s="145"/>
      <c r="K416" s="145"/>
      <c r="L416" s="145"/>
      <c r="M416" s="149"/>
      <c r="P416" s="2197" t="s">
        <v>324</v>
      </c>
      <c r="R416" s="2166">
        <v>12</v>
      </c>
      <c r="S416" s="2166"/>
      <c r="T416" s="1213" t="s">
        <v>391</v>
      </c>
      <c r="U416" s="2196">
        <f>+AE415</f>
        <v>0.82293305529608307</v>
      </c>
      <c r="V416" s="2196"/>
      <c r="W416" s="2196"/>
      <c r="X416" s="261" t="s">
        <v>2516</v>
      </c>
      <c r="Y416" s="145"/>
      <c r="Z416" s="2164">
        <f>+AE411</f>
        <v>0.93421052631578949</v>
      </c>
      <c r="AA416" s="2165"/>
      <c r="AB416" s="1191" t="s">
        <v>2323</v>
      </c>
      <c r="AC416" s="2201">
        <f>+AE411</f>
        <v>0.93421052631578949</v>
      </c>
      <c r="AD416" s="2202"/>
      <c r="AE416" s="149" t="s">
        <v>2517</v>
      </c>
      <c r="AG416" s="1313"/>
      <c r="AI416" s="2197" t="s">
        <v>324</v>
      </c>
      <c r="AJ416" s="2150">
        <f>+(12+U416*(3*Z416-AC416^3))/(12+2*Y417)</f>
        <v>0.99923410806496615</v>
      </c>
      <c r="AK416" s="2150"/>
      <c r="AL416" s="2150"/>
      <c r="AS416" s="1627"/>
      <c r="AT416" s="143"/>
      <c r="AU416" s="143"/>
      <c r="AV416" s="143"/>
      <c r="AW416" s="143"/>
      <c r="AX416" s="143"/>
      <c r="AY416" s="143"/>
      <c r="AZ416" s="143"/>
      <c r="BA416" s="143"/>
      <c r="BB416" s="143"/>
      <c r="BC416" s="143"/>
      <c r="BD416" s="143"/>
      <c r="BE416" s="143"/>
      <c r="BF416" s="143"/>
      <c r="BG416" s="143"/>
      <c r="BH416" s="143"/>
      <c r="BI416" s="143"/>
      <c r="BJ416" s="143"/>
      <c r="BK416" s="143"/>
      <c r="BL416" s="143"/>
      <c r="BM416" s="143"/>
      <c r="BN416" s="143"/>
      <c r="BO416" s="143"/>
      <c r="BP416" s="143"/>
      <c r="BQ416" s="143"/>
      <c r="BR416" s="143"/>
      <c r="BS416" s="143"/>
      <c r="BT416" s="143"/>
      <c r="BU416" s="143"/>
    </row>
    <row r="417" spans="1:73" s="73" customFormat="1" ht="15" customHeight="1">
      <c r="B417" s="76"/>
      <c r="C417" s="2111"/>
      <c r="E417" s="2111"/>
      <c r="G417" s="1871"/>
      <c r="I417" s="120"/>
      <c r="J417" s="122" t="s">
        <v>2520</v>
      </c>
      <c r="P417" s="2136"/>
      <c r="R417" s="143"/>
      <c r="S417" s="143"/>
      <c r="T417" s="4"/>
      <c r="U417" s="1204" t="s">
        <v>2518</v>
      </c>
      <c r="V417" s="143"/>
      <c r="W417" s="115"/>
      <c r="Y417" s="1862">
        <f>+AE415</f>
        <v>0.82293305529608307</v>
      </c>
      <c r="Z417" s="1862"/>
      <c r="AA417" s="143"/>
      <c r="AB417" s="143"/>
      <c r="AC417" s="170"/>
      <c r="AD417" s="170"/>
      <c r="AG417" s="1313"/>
      <c r="AI417" s="2136"/>
      <c r="AJ417" s="2150"/>
      <c r="AK417" s="2150"/>
      <c r="AL417" s="2150"/>
      <c r="AS417" s="1627"/>
      <c r="AT417" s="143"/>
      <c r="AU417" s="143"/>
      <c r="AV417" s="143"/>
      <c r="AW417" s="143"/>
      <c r="AX417" s="143"/>
      <c r="AY417" s="143"/>
      <c r="AZ417" s="143"/>
      <c r="BA417" s="143"/>
      <c r="BB417" s="143"/>
      <c r="BC417" s="143"/>
      <c r="BD417" s="143"/>
      <c r="BE417" s="143"/>
      <c r="BF417" s="143"/>
      <c r="BG417" s="143"/>
      <c r="BH417" s="143"/>
      <c r="BI417" s="143"/>
      <c r="BJ417" s="143"/>
      <c r="BK417" s="143"/>
      <c r="BL417" s="143"/>
      <c r="BM417" s="143"/>
      <c r="BN417" s="143"/>
      <c r="BO417" s="143"/>
      <c r="BP417" s="143"/>
      <c r="BQ417" s="143"/>
      <c r="BR417" s="143"/>
      <c r="BS417" s="143"/>
      <c r="BT417" s="143"/>
      <c r="BU417" s="143"/>
    </row>
    <row r="418" spans="1:73" s="73" customFormat="1" ht="15" customHeight="1">
      <c r="A418" s="170"/>
      <c r="B418" s="143"/>
      <c r="C418" s="170"/>
      <c r="E418" s="1938"/>
      <c r="F418" s="1938"/>
      <c r="AS418" s="1627"/>
      <c r="AT418" s="143"/>
      <c r="AU418" s="143"/>
      <c r="AV418" s="143"/>
      <c r="AW418" s="143"/>
      <c r="AX418" s="143"/>
      <c r="AY418" s="143"/>
      <c r="AZ418" s="143"/>
      <c r="BA418" s="143"/>
      <c r="BB418" s="143"/>
      <c r="BC418" s="143"/>
      <c r="BD418" s="143"/>
      <c r="BE418" s="143"/>
      <c r="BF418" s="143"/>
      <c r="BG418" s="143"/>
      <c r="BH418" s="143"/>
      <c r="BI418" s="143"/>
      <c r="BJ418" s="143"/>
      <c r="BK418" s="143"/>
      <c r="BL418" s="143"/>
      <c r="BM418" s="143"/>
      <c r="BN418" s="143"/>
      <c r="BO418" s="143"/>
      <c r="BP418" s="143"/>
      <c r="BQ418" s="143"/>
      <c r="BR418" s="143"/>
      <c r="BS418" s="143"/>
      <c r="BT418" s="143"/>
      <c r="BU418" s="143"/>
    </row>
    <row r="419" spans="1:73" s="73" customFormat="1" ht="15" customHeight="1">
      <c r="A419" s="134"/>
      <c r="B419" s="97" t="s">
        <v>421</v>
      </c>
      <c r="C419" s="61"/>
      <c r="D419" s="170"/>
      <c r="E419" s="170"/>
      <c r="F419" s="1186"/>
      <c r="G419" s="170"/>
      <c r="H419" s="1186"/>
      <c r="I419" s="170"/>
      <c r="J419" s="1186"/>
      <c r="K419" s="170"/>
      <c r="L419" s="1186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186"/>
      <c r="Z419" s="170"/>
      <c r="AA419" s="108"/>
      <c r="AC419" s="143"/>
      <c r="AD419" s="1202"/>
      <c r="AF419" s="1202"/>
      <c r="AS419" s="1627"/>
      <c r="AT419" s="143"/>
      <c r="AU419" s="143"/>
      <c r="AV419" s="143"/>
      <c r="AW419" s="143"/>
      <c r="AX419" s="143"/>
      <c r="AY419" s="143"/>
      <c r="AZ419" s="143"/>
      <c r="BA419" s="143"/>
      <c r="BB419" s="143"/>
      <c r="BC419" s="143"/>
      <c r="BD419" s="143"/>
      <c r="BE419" s="143"/>
      <c r="BF419" s="143"/>
      <c r="BG419" s="143"/>
      <c r="BH419" s="143"/>
      <c r="BI419" s="143"/>
      <c r="BJ419" s="143"/>
      <c r="BK419" s="143"/>
      <c r="BL419" s="143"/>
      <c r="BM419" s="143"/>
      <c r="BN419" s="143"/>
      <c r="BO419" s="143"/>
      <c r="BP419" s="143"/>
      <c r="BQ419" s="143"/>
      <c r="BR419" s="143"/>
      <c r="BS419" s="143"/>
      <c r="BT419" s="143"/>
      <c r="BU419" s="143"/>
    </row>
    <row r="420" spans="1:73" s="73" customFormat="1" ht="15" customHeight="1">
      <c r="A420" s="134"/>
      <c r="B420" s="97"/>
      <c r="C420" s="61"/>
      <c r="D420" s="170"/>
      <c r="E420" s="170"/>
      <c r="F420" s="1296"/>
      <c r="G420" s="170"/>
      <c r="H420" s="1296"/>
      <c r="I420" s="170"/>
      <c r="J420" s="1296"/>
      <c r="K420" s="170"/>
      <c r="L420" s="1296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296"/>
      <c r="Z420" s="170"/>
      <c r="AA420" s="108"/>
      <c r="AC420" s="143"/>
      <c r="AD420" s="1309"/>
      <c r="AF420" s="1309"/>
      <c r="AS420" s="1627"/>
      <c r="AT420" s="143"/>
      <c r="AU420" s="143"/>
      <c r="AV420" s="143"/>
      <c r="AW420" s="143"/>
      <c r="AX420" s="143"/>
      <c r="AY420" s="143"/>
      <c r="AZ420" s="143"/>
      <c r="BA420" s="143"/>
      <c r="BB420" s="143"/>
      <c r="BC420" s="143"/>
      <c r="BD420" s="143"/>
      <c r="BE420" s="143"/>
      <c r="BF420" s="143"/>
      <c r="BG420" s="143"/>
      <c r="BH420" s="143"/>
      <c r="BI420" s="143"/>
      <c r="BJ420" s="143"/>
      <c r="BK420" s="143"/>
      <c r="BL420" s="143"/>
      <c r="BM420" s="143"/>
      <c r="BN420" s="143"/>
      <c r="BO420" s="143"/>
      <c r="BP420" s="143"/>
      <c r="BQ420" s="143"/>
      <c r="BR420" s="143"/>
      <c r="BS420" s="143"/>
      <c r="BT420" s="143"/>
      <c r="BU420" s="143"/>
    </row>
    <row r="421" spans="1:73" ht="15" customHeight="1" thickBot="1">
      <c r="A421" s="170"/>
      <c r="C421" s="1187"/>
      <c r="D421" s="170"/>
      <c r="E421" s="170" t="s">
        <v>2599</v>
      </c>
      <c r="F421" s="170"/>
      <c r="G421" s="100"/>
      <c r="H421" s="170"/>
      <c r="I421" s="170"/>
      <c r="J421" s="170"/>
      <c r="K421" s="170"/>
      <c r="L421" s="1186"/>
      <c r="M421" s="1283" t="str">
        <f>IF(AND(AE254=2,AE249="Compression"),"Open Flange","Box Flange")</f>
        <v>Open Flange</v>
      </c>
      <c r="N421" s="115"/>
      <c r="O421" s="115"/>
      <c r="P421" s="115"/>
      <c r="Q421" s="170"/>
      <c r="R421" s="170"/>
      <c r="S421" s="170"/>
      <c r="T421" s="170"/>
      <c r="U421" s="170"/>
      <c r="V421" s="170"/>
      <c r="W421" s="170"/>
      <c r="X421" s="170"/>
      <c r="Y421" s="1186"/>
      <c r="Z421" s="170"/>
      <c r="AA421" s="170"/>
    </row>
    <row r="422" spans="1:73" ht="20.100000000000001" customHeight="1" thickBot="1">
      <c r="A422" s="170"/>
      <c r="B422" s="168"/>
      <c r="C422" s="1187"/>
      <c r="D422" s="1268"/>
      <c r="E422" s="1271"/>
      <c r="F422" s="1271"/>
      <c r="G422" s="1279" t="s">
        <v>2600</v>
      </c>
      <c r="H422" s="1269" t="s">
        <v>2601</v>
      </c>
      <c r="I422" s="1271"/>
      <c r="J422" s="1280" t="s">
        <v>2591</v>
      </c>
      <c r="K422" s="1282"/>
      <c r="L422" s="1281" t="str">
        <f>IF(M421="Open Flange","Min (Fnc_LB , Fnc_LTB)","Fcb√[(1 - (fv / Φv / Fcv)²]")</f>
        <v>Min (Fnc_LB , Fnc_LTB)</v>
      </c>
      <c r="M422" s="1271"/>
      <c r="N422" s="1271"/>
      <c r="O422" s="1271"/>
      <c r="P422" s="1271"/>
      <c r="Q422" s="1271"/>
      <c r="R422" s="1271"/>
      <c r="S422" s="1271"/>
      <c r="T422" s="1271"/>
      <c r="U422" s="1271"/>
      <c r="V422" s="1271"/>
      <c r="W422" s="1271"/>
      <c r="X422" s="1271"/>
      <c r="Y422" s="1272"/>
      <c r="Z422" s="1273"/>
      <c r="AA422" s="170"/>
    </row>
    <row r="423" spans="1:73" s="73" customFormat="1" ht="15" customHeight="1">
      <c r="A423" s="170"/>
      <c r="B423" s="170"/>
      <c r="C423" s="170"/>
      <c r="D423" s="170"/>
      <c r="E423" s="170"/>
      <c r="F423" s="1186"/>
      <c r="G423" s="170"/>
      <c r="H423" s="1186"/>
      <c r="I423" s="170"/>
      <c r="J423" s="1186"/>
      <c r="K423" s="170"/>
      <c r="L423" s="1186"/>
      <c r="M423" s="170"/>
      <c r="N423" s="170"/>
      <c r="O423" s="170"/>
      <c r="P423" s="170"/>
      <c r="Q423" s="170"/>
      <c r="R423" s="170"/>
      <c r="S423" s="170"/>
      <c r="T423" s="170"/>
      <c r="U423" s="170"/>
      <c r="V423" s="170"/>
      <c r="W423" s="170"/>
      <c r="X423" s="170"/>
      <c r="Z423" s="1186"/>
      <c r="AA423" s="170"/>
      <c r="AC423" s="143"/>
      <c r="AS423" s="1627"/>
      <c r="AT423" s="143"/>
      <c r="AU423" s="143"/>
      <c r="AV423" s="143"/>
      <c r="AW423" s="143"/>
      <c r="AX423" s="143"/>
      <c r="AY423" s="143"/>
      <c r="AZ423" s="143"/>
      <c r="BA423" s="143"/>
      <c r="BB423" s="143"/>
      <c r="BC423" s="143"/>
      <c r="BD423" s="143"/>
      <c r="BE423" s="143"/>
      <c r="BF423" s="143"/>
      <c r="BG423" s="143"/>
      <c r="BH423" s="143"/>
      <c r="BI423" s="143"/>
      <c r="BJ423" s="143"/>
      <c r="BK423" s="143"/>
      <c r="BL423" s="143"/>
      <c r="BM423" s="143"/>
      <c r="BN423" s="143"/>
      <c r="BO423" s="143"/>
      <c r="BP423" s="143"/>
      <c r="BQ423" s="143"/>
      <c r="BR423" s="143"/>
      <c r="BS423" s="143"/>
      <c r="BT423" s="143"/>
      <c r="BU423" s="143"/>
    </row>
    <row r="424" spans="1:73" ht="15" customHeight="1">
      <c r="B424" s="1177" t="s">
        <v>2466</v>
      </c>
      <c r="C424" s="143" t="s">
        <v>960</v>
      </c>
      <c r="D424" s="136"/>
      <c r="E424" s="147"/>
      <c r="F424" s="136"/>
      <c r="G424" s="136"/>
      <c r="H424" s="136"/>
      <c r="I424" s="170"/>
      <c r="J424" s="170"/>
      <c r="K424" s="1186"/>
      <c r="L424" s="170"/>
      <c r="M424" s="1186"/>
      <c r="N424" s="170"/>
      <c r="P424" s="170"/>
      <c r="W424" s="1177" t="s">
        <v>2466</v>
      </c>
      <c r="X424" s="143" t="s">
        <v>961</v>
      </c>
      <c r="Y424" s="136"/>
      <c r="Z424" s="147"/>
      <c r="AA424" s="136"/>
      <c r="AB424" s="136"/>
      <c r="AC424" s="136"/>
      <c r="AD424" s="170"/>
      <c r="AE424" s="170"/>
      <c r="AF424" s="1186"/>
      <c r="AG424" s="170"/>
      <c r="AH424" s="1186"/>
      <c r="AI424" s="170"/>
      <c r="AJ424" s="143"/>
      <c r="AK424" s="170"/>
      <c r="AL424" s="170"/>
      <c r="AM424" s="170"/>
      <c r="AN424" s="170"/>
      <c r="AO424" s="143"/>
      <c r="AS424" s="1628" t="str">
        <f>IF(M421="Box Flange","Hide this row","")</f>
        <v/>
      </c>
    </row>
    <row r="425" spans="1:73" ht="20.100000000000001" customHeight="1">
      <c r="B425" s="148" t="s">
        <v>134</v>
      </c>
      <c r="C425" s="148"/>
      <c r="D425" s="141"/>
      <c r="E425" s="141"/>
      <c r="F425" s="141"/>
      <c r="G425" s="141"/>
      <c r="H425" s="148" t="s">
        <v>240</v>
      </c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W425" s="148" t="s">
        <v>134</v>
      </c>
      <c r="X425" s="141"/>
      <c r="Y425" s="141"/>
      <c r="Z425" s="141"/>
      <c r="AA425" s="141"/>
      <c r="AB425" s="141"/>
      <c r="AC425" s="141"/>
      <c r="AD425" s="141"/>
      <c r="AE425" s="148" t="s">
        <v>1605</v>
      </c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628" t="str">
        <f>IF(M421="Box Flange","Hide this row","")</f>
        <v/>
      </c>
    </row>
    <row r="426" spans="1:73" ht="20.100000000000001" customHeight="1">
      <c r="B426" s="146" t="s">
        <v>241</v>
      </c>
      <c r="C426" s="146"/>
      <c r="D426" s="146"/>
      <c r="E426" s="146"/>
      <c r="F426" s="146"/>
      <c r="G426" s="146"/>
      <c r="H426" s="151" t="s">
        <v>242</v>
      </c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214" t="s">
        <v>417</v>
      </c>
      <c r="W426" s="146" t="s">
        <v>243</v>
      </c>
      <c r="X426" s="146"/>
      <c r="Y426" s="146"/>
      <c r="Z426" s="146"/>
      <c r="AA426" s="146"/>
      <c r="AB426" s="146"/>
      <c r="AC426" s="146"/>
      <c r="AD426" s="146"/>
      <c r="AE426" s="151" t="s">
        <v>242</v>
      </c>
      <c r="AF426" s="146"/>
      <c r="AG426" s="146"/>
      <c r="AH426" s="146"/>
      <c r="AI426" s="146"/>
      <c r="AJ426" s="146"/>
      <c r="AK426" s="146"/>
      <c r="AL426" s="146"/>
      <c r="AM426" s="146"/>
      <c r="AN426" s="146"/>
      <c r="AO426" s="146"/>
      <c r="AP426" s="146"/>
      <c r="AQ426" s="146"/>
      <c r="AR426" s="146" t="s">
        <v>417</v>
      </c>
      <c r="AS426" s="1628" t="str">
        <f>IF(M421="Box Flange","Hide this row","")</f>
        <v/>
      </c>
    </row>
    <row r="427" spans="1:73" ht="20.100000000000001" customHeight="1">
      <c r="B427" s="1617" t="s">
        <v>136</v>
      </c>
      <c r="C427" s="1617"/>
      <c r="D427" s="1617"/>
      <c r="E427" s="1617"/>
      <c r="F427" s="1626" t="s">
        <v>2978</v>
      </c>
      <c r="G427" s="91"/>
      <c r="H427" s="91"/>
      <c r="I427" s="91"/>
      <c r="J427" s="1616"/>
      <c r="K427" s="91"/>
      <c r="L427" s="91"/>
      <c r="M427" s="91"/>
      <c r="N427" s="91"/>
      <c r="O427" s="91"/>
      <c r="P427" s="91"/>
      <c r="Q427" s="91"/>
      <c r="R427" s="91"/>
      <c r="S427" s="91"/>
      <c r="T427" s="1624" t="s">
        <v>2525</v>
      </c>
      <c r="W427" s="1618" t="s">
        <v>2526</v>
      </c>
      <c r="X427" s="1618"/>
      <c r="Y427" s="1618"/>
      <c r="Z427" s="1618"/>
      <c r="AA427" s="110"/>
      <c r="AB427" s="1625" t="s">
        <v>2977</v>
      </c>
      <c r="AC427" s="110"/>
      <c r="AD427" s="110"/>
      <c r="AE427" s="110"/>
      <c r="AF427" s="110"/>
      <c r="AG427" s="110"/>
      <c r="AH427" s="110"/>
      <c r="AI427" s="110"/>
      <c r="AJ427" s="110"/>
      <c r="AK427" s="110"/>
      <c r="AL427" s="110"/>
      <c r="AM427" s="110"/>
      <c r="AN427" s="110"/>
      <c r="AO427" s="110"/>
      <c r="AP427" s="110"/>
      <c r="AQ427" s="110"/>
      <c r="AR427" s="110" t="s">
        <v>2525</v>
      </c>
      <c r="AS427" s="1628" t="str">
        <f>IF(M421="Box Flange","Hide this row","")</f>
        <v/>
      </c>
    </row>
    <row r="428" spans="1:73" ht="20.100000000000001" customHeight="1">
      <c r="B428" s="170"/>
      <c r="C428" s="1187"/>
      <c r="D428" s="143" t="s">
        <v>239</v>
      </c>
      <c r="E428" s="170"/>
      <c r="F428" s="170"/>
      <c r="G428" s="170"/>
      <c r="H428" s="170"/>
      <c r="I428" s="170"/>
      <c r="J428" s="147"/>
      <c r="K428" s="170"/>
      <c r="L428" s="170"/>
      <c r="M428" s="170"/>
      <c r="N428" s="170"/>
      <c r="O428" s="170"/>
      <c r="P428" s="170"/>
      <c r="W428" s="145" t="s">
        <v>245</v>
      </c>
      <c r="X428" s="145"/>
      <c r="Y428" s="145"/>
      <c r="Z428" s="145"/>
      <c r="AA428" s="145"/>
      <c r="AB428" s="145"/>
      <c r="AC428" s="145"/>
      <c r="AD428" s="145"/>
      <c r="AE428" s="149" t="s">
        <v>1684</v>
      </c>
      <c r="AF428" s="145"/>
      <c r="AG428" s="145"/>
      <c r="AH428" s="145"/>
      <c r="AI428" s="145"/>
      <c r="AJ428" s="145"/>
      <c r="AK428" s="145"/>
      <c r="AL428" s="145"/>
      <c r="AM428" s="145"/>
      <c r="AN428" s="145"/>
      <c r="AO428" s="145"/>
      <c r="AP428" s="145"/>
      <c r="AQ428" s="145"/>
      <c r="AR428" s="145" t="s">
        <v>448</v>
      </c>
      <c r="AS428" s="1628" t="str">
        <f>IF(M421="Box Flange","Hide this row","")</f>
        <v/>
      </c>
    </row>
    <row r="429" spans="1:73" ht="15" customHeight="1">
      <c r="B429" s="170"/>
      <c r="C429" s="1187"/>
      <c r="D429" s="170" t="s">
        <v>2276</v>
      </c>
      <c r="E429" s="170"/>
      <c r="F429" s="170"/>
      <c r="G429" s="170"/>
      <c r="H429" s="170"/>
      <c r="I429" s="147"/>
      <c r="J429" s="170"/>
      <c r="K429" s="170"/>
      <c r="L429" s="143"/>
      <c r="M429" s="592"/>
      <c r="N429" s="170"/>
      <c r="O429" s="124"/>
      <c r="P429" s="170"/>
      <c r="AM429" s="170"/>
      <c r="AN429" s="170"/>
      <c r="AO429" s="170"/>
      <c r="AP429" s="170"/>
      <c r="AQ429" s="143"/>
      <c r="AR429" s="143"/>
      <c r="AS429" s="1628" t="str">
        <f>IF(M421="Box Flange","Hide this row","")</f>
        <v/>
      </c>
    </row>
    <row r="430" spans="1:73" ht="15" customHeight="1">
      <c r="B430" s="170"/>
      <c r="C430" s="1187"/>
      <c r="D430" s="170" t="s">
        <v>1681</v>
      </c>
      <c r="E430" s="170"/>
      <c r="F430" s="170"/>
      <c r="G430" s="170"/>
      <c r="H430" s="170"/>
      <c r="I430" s="170"/>
      <c r="J430" s="147"/>
      <c r="K430" s="170"/>
      <c r="L430" s="170"/>
      <c r="M430" s="170"/>
      <c r="N430" s="170"/>
      <c r="O430" s="170"/>
      <c r="P430" s="170"/>
      <c r="W430" s="170" t="s">
        <v>246</v>
      </c>
      <c r="X430" s="170"/>
      <c r="AN430" s="170"/>
      <c r="AO430" s="170"/>
      <c r="AR430" s="170"/>
      <c r="AS430" s="1628" t="str">
        <f>IF(M421="Box Flange","Hide this row","")</f>
        <v/>
      </c>
      <c r="AT430" s="170"/>
      <c r="AU430" s="1186"/>
      <c r="AV430" s="170"/>
      <c r="AW430" s="1186"/>
      <c r="AX430" s="170"/>
      <c r="AY430" s="170"/>
      <c r="BF430" s="73"/>
      <c r="BG430" s="73"/>
    </row>
    <row r="431" spans="1:73" ht="15" customHeight="1">
      <c r="B431" s="170"/>
      <c r="C431" s="1187"/>
      <c r="D431" s="170" t="s">
        <v>1682</v>
      </c>
      <c r="E431" s="170"/>
      <c r="F431" s="170"/>
      <c r="G431" s="170"/>
      <c r="H431" s="170"/>
      <c r="I431" s="170"/>
      <c r="J431" s="147"/>
      <c r="K431" s="170"/>
      <c r="L431" s="170"/>
      <c r="M431" s="170"/>
      <c r="N431" s="170"/>
      <c r="O431" s="170"/>
      <c r="P431" s="170"/>
      <c r="W431" s="170" t="s">
        <v>1685</v>
      </c>
      <c r="X431" s="170"/>
      <c r="AF431" s="1870" t="s">
        <v>2943</v>
      </c>
      <c r="AG431" s="1870"/>
      <c r="AH431" s="1944" t="s">
        <v>2930</v>
      </c>
      <c r="AI431" s="170"/>
      <c r="AJ431" s="1476" t="s">
        <v>2941</v>
      </c>
      <c r="AK431" s="1333"/>
      <c r="AL431" s="1430"/>
      <c r="AN431" s="170"/>
      <c r="AO431" s="143"/>
      <c r="AR431" s="170"/>
      <c r="AS431" s="1628" t="str">
        <f>IF(M421="Box Flange","Hide this row","")</f>
        <v/>
      </c>
      <c r="AT431" s="170"/>
      <c r="AU431" s="1186"/>
      <c r="AV431" s="170"/>
      <c r="AW431" s="1186"/>
      <c r="AX431" s="170"/>
      <c r="AY431" s="170"/>
      <c r="BF431" s="73"/>
      <c r="BG431" s="73"/>
    </row>
    <row r="432" spans="1:73" ht="15" customHeight="1">
      <c r="B432" s="170"/>
      <c r="C432" s="1187"/>
      <c r="D432" s="170" t="s">
        <v>1683</v>
      </c>
      <c r="E432" s="1187"/>
      <c r="F432" s="170"/>
      <c r="G432" s="170"/>
      <c r="H432" s="170"/>
      <c r="I432" s="170"/>
      <c r="J432" s="147"/>
      <c r="K432" s="170"/>
      <c r="L432" s="170"/>
      <c r="M432" s="170"/>
      <c r="W432" s="170" t="s">
        <v>1686</v>
      </c>
      <c r="X432" s="170"/>
      <c r="AF432" s="1870"/>
      <c r="AG432" s="1870"/>
      <c r="AH432" s="1862"/>
      <c r="AI432" s="170"/>
      <c r="AJ432" s="1425" t="s">
        <v>2942</v>
      </c>
      <c r="AK432" s="170"/>
      <c r="AL432" s="1424"/>
      <c r="AN432" s="170"/>
      <c r="AO432" s="143"/>
      <c r="AR432" s="170"/>
      <c r="AS432" s="1628" t="str">
        <f>IF(M421="Box Flange","Hide this row","")</f>
        <v/>
      </c>
      <c r="AT432" s="170"/>
      <c r="AU432" s="1186"/>
      <c r="AV432" s="170"/>
      <c r="AW432" s="1186"/>
      <c r="AX432" s="170"/>
      <c r="AY432" s="170"/>
      <c r="BF432" s="73"/>
      <c r="BG432" s="73"/>
    </row>
    <row r="433" spans="1:73" ht="15" customHeight="1">
      <c r="B433" s="170"/>
      <c r="C433" s="1297"/>
      <c r="D433" s="170"/>
      <c r="E433" s="1297"/>
      <c r="F433" s="170"/>
      <c r="G433" s="170"/>
      <c r="H433" s="170"/>
      <c r="I433" s="170"/>
      <c r="L433" s="143"/>
      <c r="W433" s="170"/>
      <c r="X433" s="170"/>
      <c r="Y433" s="1302"/>
      <c r="AD433" s="1309"/>
      <c r="AF433" s="1309"/>
      <c r="AN433" s="170"/>
      <c r="AO433" s="143"/>
      <c r="AR433" s="170"/>
      <c r="AS433" s="1628" t="str">
        <f>IF(M421="Box Flange","Hide this row","")</f>
        <v/>
      </c>
      <c r="AT433" s="170"/>
      <c r="AU433" s="1296"/>
      <c r="AV433" s="170"/>
      <c r="AW433" s="1296"/>
      <c r="AX433" s="170"/>
      <c r="AY433" s="170"/>
      <c r="BF433" s="73"/>
      <c r="BG433" s="73"/>
    </row>
    <row r="434" spans="1:73" ht="15" customHeight="1">
      <c r="B434" s="170"/>
      <c r="C434" s="143" t="s">
        <v>2737</v>
      </c>
      <c r="E434" s="1297" t="s">
        <v>963</v>
      </c>
      <c r="F434" s="170"/>
      <c r="G434" s="170"/>
      <c r="H434" s="170"/>
      <c r="I434" s="170"/>
      <c r="J434" s="147"/>
      <c r="K434" s="170"/>
      <c r="L434" s="170"/>
      <c r="M434" s="170"/>
      <c r="N434" s="170"/>
      <c r="O434" s="170"/>
      <c r="P434" s="170"/>
      <c r="W434" s="170"/>
      <c r="X434" s="170"/>
      <c r="Y434" s="1230"/>
      <c r="AD434" s="143"/>
      <c r="AE434" s="143"/>
      <c r="AF434" s="143"/>
      <c r="AG434" s="143"/>
      <c r="AN434" s="170"/>
      <c r="AO434" s="143"/>
      <c r="AR434" s="170"/>
      <c r="AS434" s="1628" t="str">
        <f>IF(M421="Box Flange","Hide this row","")</f>
        <v/>
      </c>
      <c r="AT434" s="170"/>
      <c r="AU434" s="1227"/>
      <c r="AV434" s="170"/>
      <c r="AW434" s="1227"/>
      <c r="AX434" s="170"/>
      <c r="AY434" s="170"/>
      <c r="BF434" s="73"/>
      <c r="BG434" s="73"/>
    </row>
    <row r="435" spans="1:73" ht="15" customHeight="1">
      <c r="A435" s="64"/>
      <c r="B435" s="170"/>
      <c r="C435" s="1187"/>
      <c r="E435" s="138" t="s">
        <v>2689</v>
      </c>
      <c r="G435" s="170" t="s">
        <v>2738</v>
      </c>
      <c r="I435" s="138" t="s">
        <v>2697</v>
      </c>
      <c r="K435" s="170" t="s">
        <v>2739</v>
      </c>
      <c r="L435" s="170"/>
      <c r="M435" s="170"/>
      <c r="N435" s="147"/>
      <c r="O435" s="170"/>
      <c r="P435" s="170"/>
      <c r="R435" s="592"/>
      <c r="X435" s="124" t="s">
        <v>2521</v>
      </c>
      <c r="Y435" s="170"/>
      <c r="Z435" s="2182">
        <f>+MAX(MIN(0.7*AE294,AE296),0.5*AE294)</f>
        <v>266</v>
      </c>
      <c r="AA435" s="2182"/>
      <c r="AB435" s="2182"/>
      <c r="AS435" s="1628" t="str">
        <f>IF(M421="Box Flange","Hide this row","")</f>
        <v/>
      </c>
    </row>
    <row r="436" spans="1:73" ht="15" customHeight="1">
      <c r="A436" s="64"/>
      <c r="B436" s="170"/>
      <c r="C436" s="1187"/>
      <c r="D436" s="421"/>
      <c r="E436" s="1022" t="s">
        <v>2689</v>
      </c>
      <c r="F436" s="93"/>
      <c r="G436" s="668" t="s">
        <v>2740</v>
      </c>
      <c r="H436" s="93"/>
      <c r="I436" s="1022" t="s">
        <v>2697</v>
      </c>
      <c r="J436" s="93"/>
      <c r="K436" s="93" t="s">
        <v>2741</v>
      </c>
      <c r="L436" s="93"/>
      <c r="M436" s="93"/>
      <c r="N436" s="93"/>
      <c r="O436" s="93"/>
      <c r="P436" s="1022" t="s">
        <v>324</v>
      </c>
      <c r="Q436" s="1936">
        <f>AE255</f>
        <v>600</v>
      </c>
      <c r="R436" s="1936"/>
      <c r="S436" s="1936"/>
      <c r="T436" s="1022" t="s">
        <v>2490</v>
      </c>
      <c r="U436" s="93">
        <v>2</v>
      </c>
      <c r="V436" s="1022" t="s">
        <v>2531</v>
      </c>
      <c r="W436" s="1936">
        <f>AE256</f>
        <v>40</v>
      </c>
      <c r="X436" s="1936"/>
      <c r="Y436" s="93"/>
      <c r="Z436" s="93"/>
      <c r="AA436" s="93"/>
      <c r="AB436" s="93"/>
      <c r="AC436" s="1467"/>
      <c r="AE436" s="143"/>
      <c r="AF436" s="143"/>
      <c r="AG436" s="96"/>
      <c r="AH436" s="170"/>
      <c r="AS436" s="1628" t="str">
        <f>IF(M421="Box Flange","Hide this row","")</f>
        <v/>
      </c>
    </row>
    <row r="437" spans="1:73" ht="15" customHeight="1">
      <c r="A437" s="64"/>
      <c r="B437" s="170"/>
      <c r="C437" s="1297"/>
      <c r="D437" s="1210"/>
      <c r="E437" s="124"/>
      <c r="F437" s="170"/>
      <c r="G437" s="170"/>
      <c r="H437" s="170"/>
      <c r="I437" s="124" t="s">
        <v>324</v>
      </c>
      <c r="J437" s="170"/>
      <c r="K437" s="2167">
        <f>+Q436/2/W436</f>
        <v>7.5</v>
      </c>
      <c r="L437" s="2167"/>
      <c r="M437" s="2167"/>
      <c r="N437" s="170"/>
      <c r="O437" s="170"/>
      <c r="P437" s="170"/>
      <c r="Q437" s="170"/>
      <c r="R437" s="170"/>
      <c r="S437" s="170"/>
      <c r="T437" s="170"/>
      <c r="U437" s="170"/>
      <c r="V437" s="170"/>
      <c r="W437" s="170"/>
      <c r="X437" s="170"/>
      <c r="Y437" s="170"/>
      <c r="Z437" s="170"/>
      <c r="AA437" s="170"/>
      <c r="AB437" s="170"/>
      <c r="AC437" s="419"/>
      <c r="AD437" s="1309"/>
      <c r="AE437" s="143" t="s">
        <v>2710</v>
      </c>
      <c r="AF437" s="143"/>
      <c r="AG437" s="73" t="str">
        <f>IF(K437&lt;=K439,"λf  &lt;  λpf","λf  &gt;  λpf")</f>
        <v>λf  &lt;  λpf</v>
      </c>
      <c r="AS437" s="1628" t="str">
        <f>IF(M421="Box Flange","Hide this row","")</f>
        <v/>
      </c>
    </row>
    <row r="438" spans="1:73" ht="15" customHeight="1">
      <c r="A438" s="64"/>
      <c r="B438" s="170"/>
      <c r="C438" s="1297"/>
      <c r="D438" s="1210"/>
      <c r="E438" s="124" t="s">
        <v>2689</v>
      </c>
      <c r="F438" s="170"/>
      <c r="G438" s="649" t="s">
        <v>2742</v>
      </c>
      <c r="H438" s="170"/>
      <c r="I438" s="124" t="s">
        <v>324</v>
      </c>
      <c r="J438" s="170"/>
      <c r="K438" s="170" t="s">
        <v>2743</v>
      </c>
      <c r="L438" s="1341"/>
      <c r="M438" s="1341"/>
      <c r="N438" s="170"/>
      <c r="O438" s="170"/>
      <c r="P438" s="124" t="s">
        <v>2697</v>
      </c>
      <c r="Q438" s="170" t="s">
        <v>2522</v>
      </c>
      <c r="R438" s="170"/>
      <c r="S438" s="170"/>
      <c r="T438" s="170"/>
      <c r="U438" s="2094">
        <f>AE291</f>
        <v>210000</v>
      </c>
      <c r="V438" s="2094"/>
      <c r="W438" s="2094"/>
      <c r="X438" s="124" t="s">
        <v>2490</v>
      </c>
      <c r="Y438" s="2096">
        <f>+AE294</f>
        <v>380</v>
      </c>
      <c r="Z438" s="2096"/>
      <c r="AA438" s="2096"/>
      <c r="AB438" s="124" t="s">
        <v>2512</v>
      </c>
      <c r="AC438" s="419"/>
      <c r="AD438" s="143"/>
      <c r="AE438" s="1309"/>
      <c r="AF438" s="143"/>
      <c r="AG438" s="1468" t="str">
        <f>IF(K437&lt;=K439,"(1)","(2)")</f>
        <v>(1)</v>
      </c>
      <c r="AI438" s="1243" t="s">
        <v>2607</v>
      </c>
      <c r="AS438" s="1628" t="str">
        <f>IF(M421="Box Flange","Hide this row","")</f>
        <v/>
      </c>
    </row>
    <row r="439" spans="1:73" ht="15" customHeight="1">
      <c r="A439" s="64"/>
      <c r="B439" s="170"/>
      <c r="C439" s="1297"/>
      <c r="D439" s="1448"/>
      <c r="E439" s="1335"/>
      <c r="F439" s="1333"/>
      <c r="G439" s="1336"/>
      <c r="H439" s="1333"/>
      <c r="I439" s="1335" t="s">
        <v>324</v>
      </c>
      <c r="J439" s="1333"/>
      <c r="K439" s="2172">
        <f>0.38*SQRT(U438/Y438)</f>
        <v>8.9330845736509179</v>
      </c>
      <c r="L439" s="2172"/>
      <c r="M439" s="2172"/>
      <c r="N439" s="1333"/>
      <c r="O439" s="1333"/>
      <c r="P439" s="1335"/>
      <c r="Q439" s="1333"/>
      <c r="R439" s="1333"/>
      <c r="S439" s="1333"/>
      <c r="T439" s="1333"/>
      <c r="U439" s="1329"/>
      <c r="V439" s="1329"/>
      <c r="W439" s="1329"/>
      <c r="X439" s="1335"/>
      <c r="Y439" s="1331"/>
      <c r="Z439" s="1331"/>
      <c r="AA439" s="1331"/>
      <c r="AB439" s="1335"/>
      <c r="AC439" s="740"/>
      <c r="AD439" s="1309"/>
      <c r="AE439" s="143"/>
      <c r="AF439" s="143"/>
      <c r="AS439" s="1628" t="str">
        <f>IF(M421="Box Flange","Hide this row","")</f>
        <v/>
      </c>
    </row>
    <row r="440" spans="1:73" ht="15" customHeight="1">
      <c r="A440" s="64"/>
      <c r="B440" s="170"/>
      <c r="C440" s="1297"/>
      <c r="D440" s="170"/>
      <c r="E440" s="124" t="s">
        <v>2689</v>
      </c>
      <c r="F440" s="170"/>
      <c r="G440" s="649" t="s">
        <v>2744</v>
      </c>
      <c r="H440" s="170"/>
      <c r="I440" s="124" t="s">
        <v>324</v>
      </c>
      <c r="J440" s="170"/>
      <c r="K440" s="170" t="s">
        <v>2745</v>
      </c>
      <c r="L440" s="1341"/>
      <c r="M440" s="1341"/>
      <c r="N440" s="170"/>
      <c r="O440" s="170"/>
      <c r="P440" s="124" t="s">
        <v>2697</v>
      </c>
      <c r="Q440" s="170" t="s">
        <v>2523</v>
      </c>
      <c r="R440" s="170"/>
      <c r="S440" s="170"/>
      <c r="T440" s="170"/>
      <c r="U440" s="2094">
        <f>+U438</f>
        <v>210000</v>
      </c>
      <c r="V440" s="1862"/>
      <c r="W440" s="1862"/>
      <c r="X440" s="124" t="s">
        <v>2490</v>
      </c>
      <c r="Y440" s="2096">
        <f>+Z435</f>
        <v>266</v>
      </c>
      <c r="Z440" s="2096"/>
      <c r="AA440" s="2096"/>
      <c r="AB440" s="124" t="s">
        <v>2512</v>
      </c>
      <c r="AC440" s="170"/>
      <c r="AD440" s="1309"/>
      <c r="AE440" s="143"/>
      <c r="AF440" s="143"/>
      <c r="AS440" s="1628" t="str">
        <f>IF(M421="Box Flange","Hide this row","")</f>
        <v/>
      </c>
    </row>
    <row r="441" spans="1:73" ht="15" customHeight="1">
      <c r="A441" s="64"/>
      <c r="B441" s="170"/>
      <c r="C441" s="1187"/>
      <c r="D441" s="170"/>
      <c r="E441" s="1297"/>
      <c r="F441" s="170"/>
      <c r="G441" s="170"/>
      <c r="H441" s="170"/>
      <c r="I441" s="1205" t="s">
        <v>324</v>
      </c>
      <c r="J441" s="170"/>
      <c r="K441" s="2167">
        <f>0.56*SQRT(U440/Y440)</f>
        <v>15.73464163457246</v>
      </c>
      <c r="L441" s="2167"/>
      <c r="M441" s="2167"/>
      <c r="N441" s="170"/>
      <c r="O441" s="170"/>
      <c r="P441" s="170"/>
      <c r="Q441" s="170"/>
      <c r="R441" s="170"/>
      <c r="S441" s="170"/>
      <c r="T441" s="170"/>
      <c r="U441" s="170"/>
      <c r="V441" s="170"/>
      <c r="W441" s="170"/>
      <c r="X441" s="170"/>
      <c r="Y441" s="170"/>
      <c r="Z441" s="170"/>
      <c r="AA441" s="170"/>
      <c r="AB441" s="170"/>
      <c r="AC441" s="170"/>
      <c r="AE441" s="143"/>
      <c r="AF441" s="143"/>
      <c r="AS441" s="1628" t="str">
        <f>IF(M421="Box Flange","Hide this row","")</f>
        <v/>
      </c>
    </row>
    <row r="442" spans="1:73" ht="15" customHeight="1">
      <c r="A442" s="64"/>
      <c r="B442" s="170"/>
      <c r="C442" s="1187"/>
      <c r="E442" s="1187" t="s">
        <v>967</v>
      </c>
      <c r="F442" s="170"/>
      <c r="H442" s="170"/>
      <c r="I442" s="1205" t="s">
        <v>324</v>
      </c>
      <c r="K442" s="74" t="s">
        <v>2746</v>
      </c>
      <c r="L442" s="143"/>
      <c r="P442" s="138" t="s">
        <v>2697</v>
      </c>
      <c r="Q442" s="143" t="s">
        <v>2747</v>
      </c>
      <c r="S442" s="2101">
        <f>+AJ416</f>
        <v>0.99923410806496615</v>
      </c>
      <c r="T442" s="1938"/>
      <c r="U442" s="1938"/>
      <c r="V442" s="138" t="s">
        <v>2686</v>
      </c>
      <c r="W442" s="2097">
        <f>+Y438</f>
        <v>380</v>
      </c>
      <c r="X442" s="1938"/>
      <c r="Y442" s="1938"/>
      <c r="AB442" s="143"/>
      <c r="AE442" s="143"/>
      <c r="AF442" s="143"/>
      <c r="AS442" s="1628" t="str">
        <f>IF(M421="Box Flange","Hide this row",IF(AG438="(2)","Hide this row",""))</f>
        <v/>
      </c>
    </row>
    <row r="443" spans="1:73" ht="15" customHeight="1">
      <c r="A443" s="64"/>
      <c r="B443" s="170"/>
      <c r="C443" s="1187"/>
      <c r="E443" s="1187"/>
      <c r="F443" s="170"/>
      <c r="G443" s="170"/>
      <c r="H443" s="170"/>
      <c r="I443" s="1205" t="s">
        <v>324</v>
      </c>
      <c r="K443" s="2155">
        <f>+S442*W442</f>
        <v>379.70896106468712</v>
      </c>
      <c r="L443" s="2155"/>
      <c r="M443" s="2155"/>
      <c r="N443" s="143" t="s">
        <v>2694</v>
      </c>
      <c r="AA443" s="170"/>
      <c r="AC443" s="170"/>
      <c r="AD443" s="170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  <c r="AS443" s="1628" t="str">
        <f>IF(M421="Box Flange","Hide this row",IF(AG438="(2)","Hide this row",""))</f>
        <v/>
      </c>
    </row>
    <row r="444" spans="1:73" ht="15" hidden="1" customHeight="1">
      <c r="A444" s="64"/>
      <c r="B444" s="170"/>
      <c r="C444" s="1297"/>
      <c r="D444" s="170"/>
      <c r="E444" s="1297" t="s">
        <v>967</v>
      </c>
      <c r="F444" s="170"/>
      <c r="H444" s="170"/>
      <c r="I444" s="1205" t="s">
        <v>324</v>
      </c>
      <c r="K444" s="74" t="s">
        <v>2748</v>
      </c>
      <c r="L444" s="143"/>
      <c r="Y444" s="1302"/>
      <c r="Z444" s="1284"/>
      <c r="AA444" s="170"/>
      <c r="AB444" s="1312"/>
      <c r="AC444" s="170"/>
      <c r="AD444" s="170"/>
      <c r="AF444" s="143"/>
      <c r="AG444" s="143"/>
      <c r="AH444" s="143"/>
      <c r="AI444" s="143"/>
      <c r="AJ444" s="143"/>
      <c r="AK444" s="143"/>
      <c r="AL444" s="143"/>
      <c r="AM444" s="143"/>
      <c r="AN444" s="143"/>
      <c r="AO444" s="143"/>
      <c r="AP444" s="143"/>
      <c r="AQ444" s="143"/>
      <c r="AS444" s="1628" t="str">
        <f>IF(M421="Box Flange","Hide this row",IF(AG438="(1)","Hide this row",""))</f>
        <v>Hide this row</v>
      </c>
    </row>
    <row r="445" spans="1:73" ht="15" hidden="1" customHeight="1">
      <c r="A445" s="64"/>
      <c r="B445" s="170"/>
      <c r="C445" s="1297"/>
      <c r="D445" s="170"/>
      <c r="E445" s="1297"/>
      <c r="F445" s="170"/>
      <c r="G445" s="170"/>
      <c r="H445" s="170"/>
      <c r="I445" s="1944" t="s">
        <v>2591</v>
      </c>
      <c r="K445" s="2136" t="s">
        <v>2608</v>
      </c>
      <c r="L445" s="2136"/>
      <c r="M445" s="2136"/>
      <c r="N445" s="2136"/>
      <c r="O445" s="2173">
        <f>+Z435</f>
        <v>266</v>
      </c>
      <c r="P445" s="2173"/>
      <c r="Q445" s="2173"/>
      <c r="R445" s="2173"/>
      <c r="S445" s="2173"/>
      <c r="T445" s="2173"/>
      <c r="U445" s="2116" t="s">
        <v>2610</v>
      </c>
      <c r="V445" s="2171">
        <f>+K437</f>
        <v>7.5</v>
      </c>
      <c r="W445" s="1940"/>
      <c r="X445" s="1940"/>
      <c r="Y445" s="1232" t="s">
        <v>2611</v>
      </c>
      <c r="Z445" s="2164">
        <f>+K439</f>
        <v>8.9330845736509179</v>
      </c>
      <c r="AA445" s="2165"/>
      <c r="AB445" s="2165"/>
      <c r="AC445" s="2122" t="s">
        <v>2613</v>
      </c>
      <c r="AD445" s="2111" t="s">
        <v>2614</v>
      </c>
      <c r="AE445" s="2111"/>
      <c r="AF445" s="2110">
        <f>+AJ416</f>
        <v>0.99923410806496615</v>
      </c>
      <c r="AG445" s="2110"/>
      <c r="AH445" s="2110"/>
      <c r="AI445" s="2122" t="s">
        <v>2596</v>
      </c>
      <c r="AJ445" s="2118">
        <f>+Y438</f>
        <v>380</v>
      </c>
      <c r="AK445" s="2111"/>
      <c r="AL445" s="2111"/>
      <c r="AM445" s="1241"/>
      <c r="AN445" s="1312"/>
      <c r="AO445" s="143"/>
      <c r="AP445" s="143"/>
      <c r="AQ445" s="143"/>
      <c r="AS445" s="1628" t="str">
        <f>IF(M421="Box Flange","Hide this row",IF(AG438="(1)","Hide this row",""))</f>
        <v>Hide this row</v>
      </c>
    </row>
    <row r="446" spans="1:73" s="73" customFormat="1" ht="15" hidden="1" customHeight="1">
      <c r="A446" s="64"/>
      <c r="B446" s="170"/>
      <c r="D446" s="170"/>
      <c r="F446" s="170"/>
      <c r="I446" s="1944"/>
      <c r="J446" s="170"/>
      <c r="K446" s="2136"/>
      <c r="L446" s="2136"/>
      <c r="M446" s="2136"/>
      <c r="N446" s="2136"/>
      <c r="O446" s="2170">
        <f>+AJ416</f>
        <v>0.99923410806496615</v>
      </c>
      <c r="P446" s="2170"/>
      <c r="Q446" s="1285" t="s">
        <v>2596</v>
      </c>
      <c r="R446" s="2096">
        <f>+Y438</f>
        <v>380</v>
      </c>
      <c r="S446" s="1862"/>
      <c r="T446" s="1862"/>
      <c r="U446" s="2116"/>
      <c r="V446" s="2119">
        <f>+K441</f>
        <v>15.73464163457246</v>
      </c>
      <c r="W446" s="2111"/>
      <c r="X446" s="2111"/>
      <c r="Y446" s="76" t="s">
        <v>2611</v>
      </c>
      <c r="Z446" s="2119">
        <f>+K439</f>
        <v>8.9330845736509179</v>
      </c>
      <c r="AA446" s="2111"/>
      <c r="AB446" s="2111"/>
      <c r="AC446" s="2122"/>
      <c r="AD446" s="2111"/>
      <c r="AE446" s="2111"/>
      <c r="AF446" s="2110"/>
      <c r="AG446" s="2110"/>
      <c r="AH446" s="2110"/>
      <c r="AI446" s="2111"/>
      <c r="AJ446" s="2111"/>
      <c r="AK446" s="2111"/>
      <c r="AL446" s="2111"/>
      <c r="AS446" s="1628" t="str">
        <f>IF(M421="Box Flange","Hide this row",IF(AG438="(1)","Hide this row",""))</f>
        <v>Hide this row</v>
      </c>
      <c r="AZ446" s="143"/>
      <c r="BA446" s="143"/>
      <c r="BB446" s="143"/>
      <c r="BC446" s="143"/>
      <c r="BD446" s="143"/>
      <c r="BE446" s="143"/>
      <c r="BF446" s="143"/>
      <c r="BG446" s="143"/>
      <c r="BH446" s="143"/>
      <c r="BI446" s="143"/>
      <c r="BJ446" s="143"/>
      <c r="BK446" s="143"/>
      <c r="BL446" s="143"/>
      <c r="BM446" s="143"/>
      <c r="BN446" s="143"/>
      <c r="BO446" s="143"/>
      <c r="BP446" s="143"/>
      <c r="BQ446" s="143"/>
      <c r="BR446" s="143"/>
      <c r="BS446" s="143"/>
      <c r="BT446" s="143"/>
      <c r="BU446" s="143"/>
    </row>
    <row r="447" spans="1:73" s="73" customFormat="1" ht="15" hidden="1" customHeight="1">
      <c r="A447" s="64"/>
      <c r="B447" s="170"/>
      <c r="D447" s="170"/>
      <c r="F447" s="170"/>
      <c r="H447" s="1207"/>
      <c r="I447" s="2122" t="s">
        <v>2591</v>
      </c>
      <c r="K447" s="2124">
        <f>(1-(1-O445/O446/R446)*(V445-Z445)/(V446-Z446))*AF445*AJ445</f>
        <v>403.66738066303679</v>
      </c>
      <c r="L447" s="2124"/>
      <c r="M447" s="2124"/>
      <c r="N447" s="2156" t="s">
        <v>2695</v>
      </c>
      <c r="O447" s="2156"/>
      <c r="R447" s="1470"/>
      <c r="S447" s="1321"/>
      <c r="T447" s="1471"/>
      <c r="U447" s="1471"/>
      <c r="V447" s="1471"/>
      <c r="W447" s="1297"/>
      <c r="X447" s="138"/>
      <c r="Y447" s="1469"/>
      <c r="Z447" s="1469"/>
      <c r="AA447" s="1469"/>
      <c r="AC447" s="143"/>
      <c r="AD447" s="1208"/>
      <c r="AF447" s="1208"/>
      <c r="AS447" s="1628" t="str">
        <f>IF(M421="Box Flange","Hide this row",IF(AG438="(1)","Hide this row",""))</f>
        <v>Hide this row</v>
      </c>
      <c r="AZ447" s="143"/>
      <c r="BA447" s="143"/>
      <c r="BB447" s="143"/>
      <c r="BC447" s="143"/>
      <c r="BD447" s="143"/>
      <c r="BE447" s="143"/>
      <c r="BF447" s="143"/>
      <c r="BG447" s="143"/>
      <c r="BH447" s="143"/>
      <c r="BI447" s="143"/>
      <c r="BJ447" s="143"/>
      <c r="BK447" s="143"/>
      <c r="BL447" s="143"/>
      <c r="BM447" s="143"/>
      <c r="BN447" s="143"/>
      <c r="BO447" s="143"/>
      <c r="BP447" s="143"/>
      <c r="BQ447" s="143"/>
      <c r="BR447" s="143"/>
      <c r="BS447" s="143"/>
      <c r="BT447" s="143"/>
      <c r="BU447" s="143"/>
    </row>
    <row r="448" spans="1:73" s="73" customFormat="1" ht="15" hidden="1" customHeight="1">
      <c r="A448" s="64"/>
      <c r="B448" s="170"/>
      <c r="D448" s="170"/>
      <c r="F448" s="170"/>
      <c r="H448" s="1228"/>
      <c r="I448" s="2111"/>
      <c r="K448" s="2124"/>
      <c r="L448" s="2124"/>
      <c r="M448" s="2124"/>
      <c r="N448" s="2156"/>
      <c r="O448" s="2156"/>
      <c r="AS448" s="1628" t="str">
        <f>IF(M421="Box Flange","Hide this row",IF(AG438="(1)","Hide this row",""))</f>
        <v>Hide this row</v>
      </c>
      <c r="AZ448" s="143"/>
      <c r="BA448" s="143"/>
      <c r="BB448" s="143"/>
      <c r="BC448" s="143"/>
      <c r="BD448" s="143"/>
      <c r="BE448" s="143"/>
      <c r="BF448" s="143"/>
      <c r="BG448" s="143"/>
      <c r="BH448" s="143"/>
      <c r="BI448" s="143"/>
      <c r="BJ448" s="143"/>
      <c r="BK448" s="143"/>
      <c r="BL448" s="143"/>
      <c r="BM448" s="143"/>
      <c r="BN448" s="143"/>
      <c r="BO448" s="143"/>
      <c r="BP448" s="143"/>
      <c r="BQ448" s="143"/>
      <c r="BR448" s="143"/>
      <c r="BS448" s="143"/>
      <c r="BT448" s="143"/>
      <c r="BU448" s="143"/>
    </row>
    <row r="449" spans="1:73" ht="15" customHeight="1">
      <c r="B449" s="170"/>
      <c r="C449" s="143" t="s">
        <v>2749</v>
      </c>
      <c r="E449" s="1297" t="s">
        <v>969</v>
      </c>
      <c r="F449" s="170"/>
      <c r="G449" s="170"/>
      <c r="H449" s="170"/>
      <c r="I449" s="170"/>
      <c r="J449" s="147"/>
      <c r="K449" s="170"/>
      <c r="L449" s="170"/>
      <c r="M449" s="170"/>
      <c r="N449" s="170"/>
      <c r="O449" s="170"/>
      <c r="P449" s="170"/>
      <c r="W449" s="170"/>
      <c r="X449" s="170"/>
      <c r="Y449" s="1302"/>
      <c r="AD449" s="143"/>
      <c r="AE449" s="143"/>
      <c r="AF449" s="143"/>
      <c r="AG449" s="143"/>
      <c r="AN449" s="170"/>
      <c r="AO449" s="143"/>
      <c r="AR449" s="170"/>
      <c r="AS449" s="1628" t="str">
        <f>IF(M421="Box Flange","Hide this row","")</f>
        <v/>
      </c>
      <c r="AT449" s="170"/>
      <c r="AU449" s="1296"/>
      <c r="AV449" s="170"/>
      <c r="AW449" s="1296"/>
      <c r="AX449" s="170"/>
      <c r="AY449" s="170"/>
      <c r="BF449" s="73"/>
      <c r="BG449" s="73"/>
    </row>
    <row r="450" spans="1:73" s="73" customFormat="1" ht="15" customHeight="1">
      <c r="A450" s="170"/>
      <c r="B450" s="143"/>
      <c r="C450" s="1228"/>
      <c r="D450" s="421"/>
      <c r="E450" s="1477" t="s">
        <v>2689</v>
      </c>
      <c r="F450" s="1299"/>
      <c r="G450" s="1299" t="s">
        <v>367</v>
      </c>
      <c r="H450" s="93"/>
      <c r="I450" s="1022" t="s">
        <v>324</v>
      </c>
      <c r="J450" s="93"/>
      <c r="K450" s="1932">
        <f>+K347</f>
        <v>5000</v>
      </c>
      <c r="L450" s="1932"/>
      <c r="M450" s="1932"/>
      <c r="N450" s="94"/>
      <c r="O450" s="94"/>
      <c r="P450" s="94"/>
      <c r="Q450" s="94"/>
      <c r="R450" s="94"/>
      <c r="S450" s="94"/>
      <c r="T450" s="94"/>
      <c r="U450" s="94"/>
      <c r="V450" s="94"/>
      <c r="W450" s="93"/>
      <c r="X450" s="93"/>
      <c r="Y450" s="1300"/>
      <c r="Z450" s="93"/>
      <c r="AA450" s="93"/>
      <c r="AB450" s="94"/>
      <c r="AC450" s="93"/>
      <c r="AD450" s="1472"/>
      <c r="AE450" s="94"/>
      <c r="AF450" s="1473"/>
      <c r="AS450" s="1628" t="str">
        <f>IF(M421="Box Flange","Hide this row","")</f>
        <v/>
      </c>
      <c r="AZ450" s="143"/>
      <c r="BA450" s="143"/>
      <c r="BB450" s="143"/>
      <c r="BC450" s="143"/>
      <c r="BD450" s="143"/>
      <c r="BE450" s="143"/>
      <c r="BF450" s="143"/>
      <c r="BG450" s="143"/>
      <c r="BH450" s="143"/>
      <c r="BI450" s="143"/>
      <c r="BJ450" s="143"/>
      <c r="BK450" s="143"/>
      <c r="BL450" s="143"/>
      <c r="BM450" s="143"/>
      <c r="BN450" s="143"/>
      <c r="BO450" s="143"/>
      <c r="BP450" s="143"/>
      <c r="BQ450" s="143"/>
      <c r="BR450" s="143"/>
      <c r="BS450" s="143"/>
      <c r="BT450" s="143"/>
      <c r="BU450" s="143"/>
    </row>
    <row r="451" spans="1:73" s="73" customFormat="1" ht="15" customHeight="1">
      <c r="A451" s="170"/>
      <c r="B451" s="143"/>
      <c r="C451" s="1228"/>
      <c r="D451" s="1210"/>
      <c r="E451" s="1298" t="s">
        <v>2689</v>
      </c>
      <c r="F451" s="1297"/>
      <c r="G451" s="1297" t="s">
        <v>368</v>
      </c>
      <c r="H451" s="170"/>
      <c r="I451" s="124" t="s">
        <v>324</v>
      </c>
      <c r="J451" s="170"/>
      <c r="K451" s="1870">
        <f>+AA354</f>
        <v>3603.937848274611</v>
      </c>
      <c r="L451" s="1870"/>
      <c r="M451" s="1870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447"/>
      <c r="AH451" s="73" t="s">
        <v>2710</v>
      </c>
      <c r="AJ451" s="73" t="str">
        <f>+IF(K450&lt;=K451,"Lb &lt; Lp",IF(K450&lt;K453,"Lp &lt; Lb &lt; Lr","Lb &gt; Lr"))</f>
        <v>Lp &lt; Lb &lt; Lr</v>
      </c>
      <c r="AK451" s="1202"/>
      <c r="AS451" s="1628" t="str">
        <f>IF(M421="Box Flange","Hide this row","")</f>
        <v/>
      </c>
      <c r="AZ451" s="143"/>
      <c r="BA451" s="143"/>
      <c r="BB451" s="143"/>
      <c r="BC451" s="143"/>
      <c r="BD451" s="143"/>
      <c r="BE451" s="143"/>
      <c r="BF451" s="143"/>
      <c r="BG451" s="143"/>
      <c r="BH451" s="143"/>
      <c r="BI451" s="143"/>
      <c r="BJ451" s="143"/>
      <c r="BK451" s="143"/>
      <c r="BL451" s="143"/>
      <c r="BM451" s="143"/>
      <c r="BN451" s="143"/>
      <c r="BO451" s="143"/>
      <c r="BP451" s="143"/>
      <c r="BQ451" s="143"/>
      <c r="BR451" s="143"/>
      <c r="BS451" s="143"/>
      <c r="BT451" s="143"/>
      <c r="BU451" s="143"/>
    </row>
    <row r="452" spans="1:73" s="73" customFormat="1" ht="15" customHeight="1">
      <c r="A452" s="170"/>
      <c r="B452" s="143"/>
      <c r="C452" s="1187"/>
      <c r="D452" s="1210"/>
      <c r="E452" s="1298" t="s">
        <v>2689</v>
      </c>
      <c r="F452" s="1297"/>
      <c r="G452" s="1297" t="s">
        <v>968</v>
      </c>
      <c r="H452" s="170"/>
      <c r="I452" s="124" t="s">
        <v>324</v>
      </c>
      <c r="J452" s="122"/>
      <c r="K452" s="649" t="s">
        <v>2750</v>
      </c>
      <c r="L452" s="122"/>
      <c r="M452" s="122"/>
      <c r="N452" s="122"/>
      <c r="O452" s="74" t="s">
        <v>2697</v>
      </c>
      <c r="P452" s="122"/>
      <c r="Q452" s="1474" t="s">
        <v>2751</v>
      </c>
      <c r="R452" s="122"/>
      <c r="S452" s="2143">
        <f>+K353</f>
        <v>153.30610284199338</v>
      </c>
      <c r="T452" s="2143"/>
      <c r="U452" s="2143"/>
      <c r="V452" s="74" t="s">
        <v>2752</v>
      </c>
      <c r="W452" s="170"/>
      <c r="X452" s="2094">
        <f>+U440</f>
        <v>210000</v>
      </c>
      <c r="Y452" s="1862"/>
      <c r="Z452" s="1862"/>
      <c r="AA452" s="1862"/>
      <c r="AB452" s="74" t="s">
        <v>2699</v>
      </c>
      <c r="AC452" s="2096">
        <f>+Y440</f>
        <v>266</v>
      </c>
      <c r="AD452" s="1862"/>
      <c r="AE452" s="1862"/>
      <c r="AF452" s="1475" t="s">
        <v>2692</v>
      </c>
      <c r="AJ452" s="1478" t="str">
        <f>+IF(K450&lt;=K451,"(1)",IF(K450&lt;K453,"(2)","(3)"))</f>
        <v>(2)</v>
      </c>
      <c r="AL452" s="170" t="s">
        <v>2527</v>
      </c>
      <c r="AM452" s="170"/>
      <c r="AN452" s="170"/>
      <c r="AO452" s="143"/>
      <c r="AS452" s="1628" t="str">
        <f>IF(M421="Box Flange","Hide this row","")</f>
        <v/>
      </c>
      <c r="AT452" s="143"/>
      <c r="AU452" s="143"/>
      <c r="AV452" s="143"/>
      <c r="AW452" s="143"/>
      <c r="AX452" s="143"/>
      <c r="AY452" s="143"/>
      <c r="AZ452" s="143"/>
      <c r="BA452" s="143"/>
      <c r="BB452" s="143"/>
      <c r="BC452" s="143"/>
      <c r="BD452" s="143"/>
      <c r="BE452" s="143"/>
      <c r="BF452" s="143"/>
      <c r="BG452" s="143"/>
      <c r="BH452" s="143"/>
      <c r="BI452" s="143"/>
      <c r="BJ452" s="143"/>
      <c r="BK452" s="143"/>
      <c r="BL452" s="143"/>
      <c r="BM452" s="143"/>
      <c r="BN452" s="143"/>
      <c r="BO452" s="143"/>
      <c r="BP452" s="143"/>
      <c r="BQ452" s="143"/>
      <c r="BR452" s="143"/>
      <c r="BS452" s="143"/>
      <c r="BT452" s="143"/>
      <c r="BU452" s="143"/>
    </row>
    <row r="453" spans="1:73" s="73" customFormat="1" ht="15" customHeight="1">
      <c r="A453" s="170"/>
      <c r="B453" s="143"/>
      <c r="C453" s="1297"/>
      <c r="D453" s="1448"/>
      <c r="E453" s="1333"/>
      <c r="F453" s="1333"/>
      <c r="G453" s="1333"/>
      <c r="H453" s="1333"/>
      <c r="I453" s="1335" t="s">
        <v>324</v>
      </c>
      <c r="J453" s="1437"/>
      <c r="K453" s="2130">
        <f>+PI()*S452*SQRT(X452/AC452)</f>
        <v>13532.503417231919</v>
      </c>
      <c r="L453" s="2130"/>
      <c r="M453" s="2130"/>
      <c r="N453" s="1437"/>
      <c r="O453" s="1437"/>
      <c r="P453" s="1437"/>
      <c r="Q453" s="1335"/>
      <c r="R453" s="1334"/>
      <c r="S453" s="1334"/>
      <c r="T453" s="1334"/>
      <c r="U453" s="1437"/>
      <c r="V453" s="1437"/>
      <c r="W453" s="1333"/>
      <c r="X453" s="1333"/>
      <c r="Y453" s="1334"/>
      <c r="Z453" s="1333"/>
      <c r="AA453" s="1437"/>
      <c r="AB453" s="1437"/>
      <c r="AC453" s="1437"/>
      <c r="AD453" s="1437"/>
      <c r="AE453" s="1437"/>
      <c r="AF453" s="1449"/>
      <c r="AS453" s="1628" t="str">
        <f>IF(M421="Box Flange","Hide this row","")</f>
        <v/>
      </c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/>
      <c r="BQ453" s="143"/>
      <c r="BR453" s="143"/>
      <c r="BS453" s="143"/>
      <c r="BT453" s="143"/>
      <c r="BU453" s="143"/>
    </row>
    <row r="454" spans="1:73" s="73" customFormat="1" ht="15" customHeight="1">
      <c r="A454" s="170"/>
      <c r="B454" s="143"/>
      <c r="C454" s="1297"/>
      <c r="E454" s="170"/>
      <c r="F454" s="143"/>
      <c r="G454" s="170"/>
      <c r="H454" s="170"/>
      <c r="I454" s="138"/>
      <c r="K454" s="649"/>
      <c r="Q454" s="138"/>
      <c r="R454" s="1296"/>
      <c r="S454" s="1296"/>
      <c r="T454" s="1296"/>
      <c r="W454" s="170"/>
      <c r="X454" s="170"/>
      <c r="Y454" s="1296"/>
      <c r="Z454" s="170"/>
      <c r="AA454" s="170"/>
      <c r="AC454" s="143"/>
      <c r="AD454" s="1309"/>
      <c r="AF454" s="1309"/>
      <c r="AS454" s="1628" t="str">
        <f>IF(M421="Box Flange","Hide this row","")</f>
        <v/>
      </c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/>
      <c r="BQ454" s="143"/>
      <c r="BR454" s="143"/>
      <c r="BS454" s="143"/>
      <c r="BT454" s="143"/>
      <c r="BU454" s="143"/>
    </row>
    <row r="455" spans="1:73" s="73" customFormat="1" ht="15" hidden="1" customHeight="1">
      <c r="A455" s="170"/>
      <c r="B455" s="143"/>
      <c r="C455" s="1187"/>
      <c r="D455" s="170"/>
      <c r="E455" s="1228" t="s">
        <v>973</v>
      </c>
      <c r="G455" s="170"/>
      <c r="H455" s="170"/>
      <c r="I455" s="124" t="s">
        <v>324</v>
      </c>
      <c r="K455" s="73" t="s">
        <v>2746</v>
      </c>
      <c r="O455" s="76" t="s">
        <v>2697</v>
      </c>
      <c r="P455" s="73" t="s">
        <v>2753</v>
      </c>
      <c r="S455" s="2110">
        <f>+AJ416</f>
        <v>0.99923410806496615</v>
      </c>
      <c r="T455" s="2111"/>
      <c r="U455" s="2111"/>
      <c r="V455" s="76" t="s">
        <v>2686</v>
      </c>
      <c r="W455" s="2118">
        <f>+W442</f>
        <v>380</v>
      </c>
      <c r="X455" s="2111"/>
      <c r="Y455" s="2111"/>
      <c r="AA455" s="170"/>
      <c r="AB455" s="170"/>
      <c r="AC455" s="170"/>
      <c r="AD455" s="170"/>
      <c r="AE455" s="170"/>
      <c r="AF455" s="170"/>
      <c r="AG455" s="170"/>
      <c r="AS455" s="1628" t="str">
        <f>IF(M421="Box Flange","Hide this row",IF(AJ452&lt;&gt;"(1)","Hide this row",""))</f>
        <v>Hide this row</v>
      </c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</row>
    <row r="456" spans="1:73" s="73" customFormat="1" ht="15" hidden="1" customHeight="1">
      <c r="A456" s="170"/>
      <c r="B456" s="143"/>
      <c r="C456" s="1297"/>
      <c r="D456" s="170"/>
      <c r="E456" s="1297"/>
      <c r="G456" s="170"/>
      <c r="H456" s="170"/>
      <c r="I456" s="124" t="s">
        <v>324</v>
      </c>
      <c r="K456" s="2124">
        <f>+S455*W455</f>
        <v>379.70896106468712</v>
      </c>
      <c r="L456" s="2124"/>
      <c r="M456" s="2124"/>
      <c r="N456" s="73" t="s">
        <v>2694</v>
      </c>
      <c r="O456" s="76"/>
      <c r="S456" s="1307"/>
      <c r="T456" s="1309"/>
      <c r="U456" s="1309"/>
      <c r="V456" s="76"/>
      <c r="W456" s="1310"/>
      <c r="X456" s="1309"/>
      <c r="Y456" s="1309"/>
      <c r="AA456" s="170"/>
      <c r="AB456" s="170"/>
      <c r="AC456" s="170"/>
      <c r="AD456" s="170"/>
      <c r="AE456" s="170"/>
      <c r="AF456" s="170"/>
      <c r="AG456" s="170"/>
      <c r="AS456" s="1628" t="str">
        <f>IF(M421="Box Flange","Hide this row",IF(AJ452&lt;&gt;"(1)","Hide this row",""))</f>
        <v>Hide this row</v>
      </c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/>
      <c r="BQ456" s="143"/>
      <c r="BR456" s="143"/>
      <c r="BS456" s="143"/>
      <c r="BT456" s="143"/>
      <c r="BU456" s="143"/>
    </row>
    <row r="457" spans="1:73" s="73" customFormat="1" ht="15" customHeight="1">
      <c r="A457" s="170"/>
      <c r="B457" s="143"/>
      <c r="C457" s="1297"/>
      <c r="D457" s="170"/>
      <c r="E457" s="1297" t="s">
        <v>973</v>
      </c>
      <c r="G457" s="170"/>
      <c r="H457" s="170"/>
      <c r="I457" s="124" t="s">
        <v>324</v>
      </c>
      <c r="K457" s="1322" t="s">
        <v>2754</v>
      </c>
      <c r="L457" s="1418"/>
      <c r="M457" s="1418"/>
      <c r="O457" s="76"/>
      <c r="S457" s="1307"/>
      <c r="T457" s="1309"/>
      <c r="U457" s="1309"/>
      <c r="V457" s="76"/>
      <c r="W457" s="1310"/>
      <c r="X457" s="1309"/>
      <c r="Y457" s="1309"/>
      <c r="AA457" s="170"/>
      <c r="AB457" s="170"/>
      <c r="AC457" s="170"/>
      <c r="AD457" s="170"/>
      <c r="AE457" s="170"/>
      <c r="AF457" s="170"/>
      <c r="AG457" s="170"/>
      <c r="AS457" s="1628" t="str">
        <f>IF(M421="Box Flange","Hide this row",IF(AJ452&lt;&gt;"(2)","Hide this row",""))</f>
        <v/>
      </c>
      <c r="AT457" s="143"/>
      <c r="AU457" s="143"/>
      <c r="AV457" s="143"/>
      <c r="AW457" s="143"/>
      <c r="AX457" s="143"/>
      <c r="AY457" s="143"/>
      <c r="AZ457" s="143"/>
      <c r="BA457" s="143"/>
      <c r="BB457" s="143"/>
      <c r="BC457" s="143"/>
      <c r="BD457" s="143"/>
      <c r="BE457" s="143"/>
      <c r="BF457" s="143"/>
      <c r="BG457" s="143"/>
      <c r="BH457" s="143"/>
      <c r="BI457" s="143"/>
      <c r="BJ457" s="143"/>
      <c r="BK457" s="143"/>
      <c r="BL457" s="143"/>
      <c r="BM457" s="143"/>
      <c r="BN457" s="143"/>
      <c r="BO457" s="143"/>
      <c r="BP457" s="143"/>
      <c r="BQ457" s="143"/>
      <c r="BR457" s="143"/>
      <c r="BS457" s="143"/>
      <c r="BT457" s="143"/>
      <c r="BU457" s="143"/>
    </row>
    <row r="458" spans="1:73" s="73" customFormat="1" ht="15" customHeight="1">
      <c r="A458" s="170"/>
      <c r="B458" s="143"/>
      <c r="C458" s="1297"/>
      <c r="D458" s="170"/>
      <c r="E458" s="1297"/>
      <c r="G458" s="170"/>
      <c r="H458" s="170"/>
      <c r="I458" s="1944" t="s">
        <v>324</v>
      </c>
      <c r="K458" s="1862">
        <v>1</v>
      </c>
      <c r="L458" s="1944" t="s">
        <v>2532</v>
      </c>
      <c r="M458" s="1862">
        <v>1</v>
      </c>
      <c r="N458" s="1944" t="s">
        <v>2533</v>
      </c>
      <c r="O458" s="1862">
        <v>1</v>
      </c>
      <c r="P458" s="1944" t="s">
        <v>2534</v>
      </c>
      <c r="Q458" s="2105">
        <f>+Z435</f>
        <v>266</v>
      </c>
      <c r="R458" s="2105"/>
      <c r="S458" s="2105"/>
      <c r="T458" s="2105"/>
      <c r="U458" s="2105"/>
      <c r="V458" s="1944" t="s">
        <v>2536</v>
      </c>
      <c r="W458" s="2180">
        <f>+K450</f>
        <v>5000</v>
      </c>
      <c r="X458" s="2180"/>
      <c r="Y458" s="2180"/>
      <c r="Z458" s="1330" t="s">
        <v>2534</v>
      </c>
      <c r="AA458" s="2180">
        <f>+K451</f>
        <v>3603.937848274611</v>
      </c>
      <c r="AB458" s="2180"/>
      <c r="AC458" s="2180"/>
      <c r="AD458" s="2179" t="s">
        <v>2538</v>
      </c>
      <c r="AE458" s="2143">
        <v>1</v>
      </c>
      <c r="AF458" s="2179" t="s">
        <v>2535</v>
      </c>
      <c r="AG458" s="2144">
        <f>+AJ416</f>
        <v>0.99923410806496615</v>
      </c>
      <c r="AH458" s="2144"/>
      <c r="AI458" s="2144"/>
      <c r="AJ458" s="2179" t="s">
        <v>2535</v>
      </c>
      <c r="AK458" s="2181">
        <f>+Y438</f>
        <v>380</v>
      </c>
      <c r="AL458" s="2181"/>
      <c r="AM458" s="2179" t="s">
        <v>2537</v>
      </c>
      <c r="AN458" s="2141">
        <f>+(1 - (1 - Q458/Q459/T459)*(W458-AA458)/(W459-AA459))*AG458*AK458</f>
        <v>363.72026906765205</v>
      </c>
      <c r="AO458" s="2141"/>
      <c r="AP458" s="2141"/>
      <c r="AQ458" s="2136" t="s">
        <v>2695</v>
      </c>
      <c r="AR458" s="2136"/>
      <c r="AS458" s="1628" t="str">
        <f>IF(M421="Box Flange","Hide this row",IF(AJ452&lt;&gt;"(2)","Hide this row",""))</f>
        <v/>
      </c>
      <c r="AT458" s="143"/>
      <c r="AU458" s="143"/>
      <c r="AV458" s="143"/>
      <c r="AW458" s="143"/>
      <c r="AX458" s="143"/>
      <c r="AY458" s="143"/>
      <c r="AZ458" s="143"/>
      <c r="BA458" s="143"/>
      <c r="BB458" s="143"/>
      <c r="BC458" s="143"/>
      <c r="BD458" s="143"/>
      <c r="BE458" s="143"/>
      <c r="BF458" s="143"/>
      <c r="BG458" s="143"/>
      <c r="BH458" s="143"/>
      <c r="BI458" s="143"/>
      <c r="BJ458" s="143"/>
      <c r="BK458" s="143"/>
      <c r="BL458" s="143"/>
      <c r="BM458" s="143"/>
      <c r="BN458" s="143"/>
      <c r="BO458" s="143"/>
      <c r="BP458" s="143"/>
      <c r="BQ458" s="143"/>
      <c r="BR458" s="143"/>
      <c r="BS458" s="143"/>
      <c r="BT458" s="143"/>
      <c r="BU458" s="143"/>
    </row>
    <row r="459" spans="1:73" s="73" customFormat="1" ht="15" customHeight="1">
      <c r="A459" s="1286"/>
      <c r="B459" s="170"/>
      <c r="C459" s="1252"/>
      <c r="D459" s="122"/>
      <c r="E459" s="1297"/>
      <c r="F459" s="170"/>
      <c r="G459" s="100"/>
      <c r="H459" s="124"/>
      <c r="I459" s="1944"/>
      <c r="K459" s="1862"/>
      <c r="L459" s="1944"/>
      <c r="M459" s="1862"/>
      <c r="N459" s="1944"/>
      <c r="O459" s="1862"/>
      <c r="P459" s="1944"/>
      <c r="Q459" s="2203">
        <f>+AJ416</f>
        <v>0.99923410806496615</v>
      </c>
      <c r="R459" s="2203"/>
      <c r="S459" s="74" t="s">
        <v>2535</v>
      </c>
      <c r="T459" s="2181">
        <f>+Y438</f>
        <v>380</v>
      </c>
      <c r="U459" s="2181"/>
      <c r="V459" s="1944"/>
      <c r="W459" s="2094">
        <f>+K453</f>
        <v>13532.503417231919</v>
      </c>
      <c r="X459" s="2094"/>
      <c r="Y459" s="2094"/>
      <c r="Z459" s="1328" t="s">
        <v>2534</v>
      </c>
      <c r="AA459" s="2094">
        <f>+K451</f>
        <v>3603.937848274611</v>
      </c>
      <c r="AB459" s="2094"/>
      <c r="AC459" s="2094"/>
      <c r="AD459" s="2179"/>
      <c r="AE459" s="2143"/>
      <c r="AF459" s="2179"/>
      <c r="AG459" s="2144"/>
      <c r="AH459" s="2144"/>
      <c r="AI459" s="2144"/>
      <c r="AJ459" s="2143"/>
      <c r="AK459" s="2181"/>
      <c r="AL459" s="2181"/>
      <c r="AM459" s="2143"/>
      <c r="AN459" s="2141"/>
      <c r="AO459" s="2141"/>
      <c r="AP459" s="2141"/>
      <c r="AQ459" s="2136"/>
      <c r="AR459" s="2136"/>
      <c r="AS459" s="1628" t="str">
        <f>IF(M421="Box Flange","Hide this row",IF(AJ452&lt;&gt;"(2)","Hide this row",""))</f>
        <v/>
      </c>
      <c r="AT459" s="143"/>
      <c r="AU459" s="143"/>
      <c r="AV459" s="143"/>
      <c r="AW459" s="143"/>
      <c r="AX459" s="143"/>
      <c r="AY459" s="143"/>
      <c r="AZ459" s="143"/>
      <c r="BA459" s="143"/>
      <c r="BB459" s="143"/>
      <c r="BC459" s="143"/>
      <c r="BD459" s="143"/>
      <c r="BE459" s="143"/>
      <c r="BF459" s="143"/>
      <c r="BG459" s="143"/>
      <c r="BH459" s="143"/>
      <c r="BI459" s="143"/>
      <c r="BJ459" s="143"/>
      <c r="BK459" s="143"/>
      <c r="BL459" s="143"/>
      <c r="BM459" s="143"/>
      <c r="BN459" s="143"/>
      <c r="BO459" s="143"/>
      <c r="BP459" s="143"/>
      <c r="BQ459" s="143"/>
      <c r="BR459" s="143"/>
      <c r="BS459" s="143"/>
      <c r="BT459" s="143"/>
      <c r="BU459" s="143"/>
    </row>
    <row r="460" spans="1:73" s="73" customFormat="1" ht="15" customHeight="1">
      <c r="A460" s="1286"/>
      <c r="B460" s="170"/>
      <c r="C460" s="122"/>
      <c r="D460" s="122"/>
      <c r="E460" s="1297"/>
      <c r="F460" s="170"/>
      <c r="G460" s="115"/>
      <c r="H460" s="115"/>
      <c r="I460" s="741" t="s">
        <v>324</v>
      </c>
      <c r="K460" s="2124">
        <f>MIN(AN458,AN460)</f>
        <v>363.72026906765205</v>
      </c>
      <c r="L460" s="2124"/>
      <c r="M460" s="2124"/>
      <c r="N460" s="73" t="s">
        <v>2695</v>
      </c>
      <c r="AM460" s="122" t="str">
        <f>IF(AN458&lt;=AN460,"&lt;","&gt;")</f>
        <v>&lt;</v>
      </c>
      <c r="AN460" s="2143">
        <f>+K456</f>
        <v>379.70896106468712</v>
      </c>
      <c r="AO460" s="2143"/>
      <c r="AP460" s="2143"/>
      <c r="AQ460" s="73" t="s">
        <v>2694</v>
      </c>
      <c r="AS460" s="1628" t="str">
        <f>IF(M421="Box Flange","Hide this row",IF(AJ452&lt;&gt;"(2)","Hide this row",""))</f>
        <v/>
      </c>
      <c r="AT460" s="135"/>
      <c r="AU460" s="135"/>
      <c r="AV460" s="143"/>
      <c r="AW460" s="143"/>
      <c r="AX460" s="143"/>
      <c r="AY460" s="143"/>
      <c r="AZ460" s="143"/>
      <c r="BA460" s="143"/>
      <c r="BB460" s="143"/>
      <c r="BC460" s="143"/>
      <c r="BD460" s="143"/>
      <c r="BE460" s="143"/>
      <c r="BF460" s="143"/>
      <c r="BG460" s="143"/>
      <c r="BH460" s="143"/>
      <c r="BI460" s="143"/>
      <c r="BJ460" s="143"/>
      <c r="BK460" s="143"/>
      <c r="BL460" s="143"/>
      <c r="BM460" s="143"/>
      <c r="BN460" s="143"/>
      <c r="BO460" s="143"/>
      <c r="BP460" s="143"/>
      <c r="BQ460" s="143"/>
      <c r="BR460" s="143"/>
      <c r="BS460" s="143"/>
      <c r="BT460" s="143"/>
      <c r="BU460" s="143"/>
    </row>
    <row r="461" spans="1:73" s="73" customFormat="1" ht="15" hidden="1" customHeight="1">
      <c r="A461" s="1286"/>
      <c r="B461" s="170"/>
      <c r="C461" s="1252"/>
      <c r="D461" s="170"/>
      <c r="E461" s="1297" t="s">
        <v>973</v>
      </c>
      <c r="F461" s="170"/>
      <c r="G461" s="115"/>
      <c r="H461" s="115"/>
      <c r="I461" s="741" t="s">
        <v>324</v>
      </c>
      <c r="J461" s="741"/>
      <c r="K461" s="53" t="s">
        <v>2755</v>
      </c>
      <c r="L461" s="53"/>
      <c r="M461" s="53"/>
      <c r="AR461" s="122"/>
      <c r="AS461" s="1628" t="str">
        <f>IF(M421="Box Flange","Hide this row",IF(AJ452&lt;&gt;"(3)","Hide this row",""))</f>
        <v>Hide this row</v>
      </c>
      <c r="AT461" s="143"/>
      <c r="AU461" s="143"/>
      <c r="AV461" s="143"/>
      <c r="AW461" s="143"/>
      <c r="AX461" s="143"/>
      <c r="AY461" s="143"/>
      <c r="AZ461" s="143"/>
      <c r="BA461" s="143"/>
      <c r="BB461" s="143"/>
      <c r="BC461" s="143"/>
      <c r="BD461" s="143"/>
      <c r="BE461" s="143"/>
      <c r="BF461" s="143"/>
      <c r="BG461" s="143"/>
      <c r="BH461" s="143"/>
      <c r="BI461" s="143"/>
      <c r="BJ461" s="143"/>
      <c r="BK461" s="143"/>
      <c r="BL461" s="143"/>
      <c r="BM461" s="143"/>
      <c r="BN461" s="143"/>
      <c r="BO461" s="143"/>
      <c r="BP461" s="143"/>
      <c r="BQ461" s="143"/>
      <c r="BR461" s="143"/>
      <c r="BS461" s="143"/>
      <c r="BT461" s="143"/>
      <c r="BU461" s="143"/>
    </row>
    <row r="462" spans="1:73" s="73" customFormat="1" ht="15" hidden="1" customHeight="1">
      <c r="A462" s="1286"/>
      <c r="B462" s="170"/>
      <c r="C462" s="1252"/>
      <c r="D462" s="170"/>
      <c r="E462" s="170"/>
      <c r="F462" s="170"/>
      <c r="G462" s="100"/>
      <c r="H462" s="170"/>
      <c r="I462" s="1944" t="s">
        <v>2591</v>
      </c>
      <c r="J462" s="122"/>
      <c r="K462" s="1332" t="s">
        <v>2614</v>
      </c>
      <c r="L462" s="1333"/>
      <c r="M462" s="2183">
        <f>+AJ416</f>
        <v>0.99923410806496615</v>
      </c>
      <c r="N462" s="2090"/>
      <c r="O462" s="2090"/>
      <c r="P462" s="1335" t="s">
        <v>2596</v>
      </c>
      <c r="Q462" s="1336" t="s">
        <v>2628</v>
      </c>
      <c r="R462" s="1335" t="s">
        <v>2596</v>
      </c>
      <c r="S462" s="2104">
        <f>+AE291</f>
        <v>210000</v>
      </c>
      <c r="T462" s="2104"/>
      <c r="U462" s="2104"/>
      <c r="V462" s="2104"/>
      <c r="W462" s="122"/>
      <c r="X462" s="1944" t="s">
        <v>2591</v>
      </c>
      <c r="Y462" s="2093">
        <f>+M462*PI()^2 *S462/(M463/K353)^2</f>
        <v>1946.99649069116</v>
      </c>
      <c r="Z462" s="2093"/>
      <c r="AA462" s="2093"/>
      <c r="AB462" s="2093"/>
      <c r="AC462" s="1862" t="str">
        <f>IF(Y462&lt;=AE462,"&lt;","&gt;")</f>
        <v>&gt;</v>
      </c>
      <c r="AD462" s="1259"/>
      <c r="AE462" s="2143">
        <f>+K456</f>
        <v>379.70896106468712</v>
      </c>
      <c r="AF462" s="2143"/>
      <c r="AG462" s="2143"/>
      <c r="AR462" s="122"/>
      <c r="AS462" s="1628" t="str">
        <f>IF(M421="Box Flange","Hide this row",IF(AJ452&lt;&gt;"(3)","Hide this row",""))</f>
        <v>Hide this row</v>
      </c>
      <c r="AT462" s="143"/>
      <c r="AU462" s="143"/>
      <c r="AV462" s="143"/>
      <c r="AW462" s="143"/>
      <c r="AX462" s="143"/>
      <c r="AY462" s="143"/>
      <c r="AZ462" s="143"/>
      <c r="BA462" s="143"/>
      <c r="BB462" s="143"/>
      <c r="BC462" s="143"/>
      <c r="BD462" s="143"/>
      <c r="BE462" s="143"/>
      <c r="BF462" s="143"/>
      <c r="BG462" s="143"/>
      <c r="BH462" s="143"/>
      <c r="BI462" s="143"/>
      <c r="BJ462" s="143"/>
      <c r="BK462" s="143"/>
      <c r="BL462" s="143"/>
      <c r="BM462" s="143"/>
      <c r="BN462" s="143"/>
      <c r="BO462" s="143"/>
      <c r="BP462" s="143"/>
      <c r="BQ462" s="143"/>
      <c r="BR462" s="143"/>
      <c r="BS462" s="143"/>
      <c r="BT462" s="143"/>
      <c r="BU462" s="143"/>
    </row>
    <row r="463" spans="1:73" s="73" customFormat="1" ht="15" hidden="1" customHeight="1">
      <c r="A463" s="1286"/>
      <c r="B463" s="170"/>
      <c r="C463" s="1252"/>
      <c r="D463" s="170"/>
      <c r="E463" s="170"/>
      <c r="F463" s="170"/>
      <c r="G463" s="100"/>
      <c r="H463" s="170"/>
      <c r="I463" s="1944"/>
      <c r="K463" s="1251"/>
      <c r="L463" s="124" t="s">
        <v>2615</v>
      </c>
      <c r="M463" s="1862">
        <f>+K450</f>
        <v>5000</v>
      </c>
      <c r="N463" s="1862"/>
      <c r="O463" s="1862"/>
      <c r="P463" s="124" t="s">
        <v>2609</v>
      </c>
      <c r="Q463" s="1862">
        <f>+K353</f>
        <v>153.30610284199338</v>
      </c>
      <c r="R463" s="1862"/>
      <c r="S463" s="1862"/>
      <c r="T463" s="124" t="s">
        <v>2616</v>
      </c>
      <c r="U463" s="170"/>
      <c r="V463" s="170"/>
      <c r="X463" s="1862"/>
      <c r="Y463" s="2093"/>
      <c r="Z463" s="2093"/>
      <c r="AA463" s="2093"/>
      <c r="AB463" s="2093"/>
      <c r="AC463" s="1862"/>
      <c r="AD463" s="1259"/>
      <c r="AE463" s="2143"/>
      <c r="AF463" s="2143"/>
      <c r="AG463" s="2143"/>
      <c r="AH463" s="122"/>
      <c r="AI463" s="122"/>
      <c r="AJ463" s="122"/>
      <c r="AK463" s="122"/>
      <c r="AL463" s="122"/>
      <c r="AM463" s="122"/>
      <c r="AN463" s="122"/>
      <c r="AO463" s="1259"/>
      <c r="AP463" s="1259"/>
      <c r="AQ463" s="1259"/>
      <c r="AR463" s="122"/>
      <c r="AS463" s="1628" t="str">
        <f>IF(M421="Box Flange","Hide this row",IF(AJ452&lt;&gt;"(3)","Hide this row",""))</f>
        <v>Hide this row</v>
      </c>
      <c r="AT463" s="143"/>
      <c r="AU463" s="143"/>
      <c r="AV463" s="143"/>
      <c r="AW463" s="143"/>
      <c r="AX463" s="143"/>
      <c r="AY463" s="143"/>
      <c r="AZ463" s="143"/>
      <c r="BA463" s="143"/>
      <c r="BB463" s="143"/>
      <c r="BC463" s="143"/>
      <c r="BD463" s="143"/>
      <c r="BE463" s="143"/>
      <c r="BF463" s="143"/>
      <c r="BG463" s="143"/>
      <c r="BH463" s="143"/>
      <c r="BI463" s="143"/>
      <c r="BJ463" s="143"/>
      <c r="BK463" s="143"/>
      <c r="BL463" s="143"/>
      <c r="BM463" s="143"/>
      <c r="BN463" s="143"/>
      <c r="BO463" s="143"/>
      <c r="BP463" s="143"/>
      <c r="BQ463" s="143"/>
      <c r="BR463" s="143"/>
      <c r="BS463" s="143"/>
      <c r="BT463" s="143"/>
      <c r="BU463" s="143"/>
    </row>
    <row r="464" spans="1:73" s="73" customFormat="1" ht="15" hidden="1" customHeight="1">
      <c r="A464" s="1286"/>
      <c r="B464" s="170"/>
      <c r="C464" s="1297"/>
      <c r="D464" s="170"/>
      <c r="E464" s="170"/>
      <c r="F464" s="170"/>
      <c r="G464" s="100"/>
      <c r="H464" s="170"/>
      <c r="I464" s="1303" t="s">
        <v>2697</v>
      </c>
      <c r="K464" s="2157">
        <f>+MIN(Y462,AE462)</f>
        <v>379.70896106468712</v>
      </c>
      <c r="L464" s="2158"/>
      <c r="M464" s="2158"/>
      <c r="N464" s="1297" t="s">
        <v>2695</v>
      </c>
      <c r="O464" s="1296"/>
      <c r="P464" s="124"/>
      <c r="Q464" s="1296"/>
      <c r="R464" s="1296"/>
      <c r="S464" s="1296"/>
      <c r="T464" s="124"/>
      <c r="U464" s="170"/>
      <c r="V464" s="170"/>
      <c r="X464" s="1296"/>
      <c r="Y464" s="1313"/>
      <c r="Z464" s="1313"/>
      <c r="AA464" s="1313"/>
      <c r="AB464" s="1313"/>
      <c r="AC464" s="1296"/>
      <c r="AD464" s="1325"/>
      <c r="AE464" s="1325"/>
      <c r="AF464" s="1325"/>
      <c r="AG464" s="1325"/>
      <c r="AH464" s="122"/>
      <c r="AI464" s="122"/>
      <c r="AJ464" s="122"/>
      <c r="AK464" s="122"/>
      <c r="AL464" s="122"/>
      <c r="AM464" s="122"/>
      <c r="AN464" s="122"/>
      <c r="AO464" s="1325"/>
      <c r="AP464" s="1325"/>
      <c r="AQ464" s="1325"/>
      <c r="AR464" s="122"/>
      <c r="AS464" s="1628" t="str">
        <f>IF(M421="Box Flange","Hide this row",IF(AJ452&lt;&gt;"(3)","Hide this row",""))</f>
        <v>Hide this row</v>
      </c>
      <c r="AT464" s="143"/>
      <c r="AU464" s="143"/>
      <c r="AV464" s="143"/>
      <c r="AW464" s="143"/>
      <c r="AX464" s="143"/>
      <c r="AY464" s="143"/>
      <c r="AZ464" s="143"/>
      <c r="BA464" s="143"/>
      <c r="BB464" s="143"/>
      <c r="BC464" s="143"/>
      <c r="BD464" s="143"/>
      <c r="BE464" s="143"/>
      <c r="BF464" s="143"/>
      <c r="BG464" s="143"/>
      <c r="BH464" s="143"/>
      <c r="BI464" s="143"/>
      <c r="BJ464" s="143"/>
      <c r="BK464" s="143"/>
      <c r="BL464" s="143"/>
      <c r="BM464" s="143"/>
      <c r="BN464" s="143"/>
      <c r="BO464" s="143"/>
      <c r="BP464" s="143"/>
      <c r="BQ464" s="143"/>
      <c r="BR464" s="143"/>
      <c r="BS464" s="143"/>
      <c r="BT464" s="143"/>
      <c r="BU464" s="143"/>
    </row>
    <row r="465" spans="1:73" s="73" customFormat="1" ht="15" customHeight="1">
      <c r="A465" s="170"/>
      <c r="B465" s="1461" t="s">
        <v>2731</v>
      </c>
      <c r="C465" s="1460"/>
      <c r="D465" s="170"/>
      <c r="E465" s="124" t="s">
        <v>2732</v>
      </c>
      <c r="F465" s="170"/>
      <c r="G465" s="124"/>
      <c r="I465" s="1434"/>
      <c r="J465" s="1434"/>
      <c r="K465" s="1434"/>
      <c r="L465" s="1434"/>
      <c r="AS465" s="1628" t="str">
        <f>IF(M421="Box Flange","Hide this row","")</f>
        <v/>
      </c>
      <c r="AT465" s="143"/>
      <c r="AU465" s="143"/>
      <c r="AV465" s="143"/>
      <c r="AW465" s="143"/>
      <c r="AX465" s="143"/>
      <c r="AY465" s="143"/>
      <c r="AZ465" s="143"/>
      <c r="BA465" s="143"/>
      <c r="BB465" s="143"/>
      <c r="BC465" s="143"/>
      <c r="BD465" s="143"/>
      <c r="BE465" s="143"/>
      <c r="BF465" s="143"/>
      <c r="BG465" s="143"/>
      <c r="BH465" s="143"/>
      <c r="BI465" s="143"/>
      <c r="BJ465" s="143"/>
      <c r="BK465" s="143"/>
      <c r="BL465" s="143"/>
      <c r="BM465" s="143"/>
      <c r="BN465" s="143"/>
      <c r="BO465" s="143"/>
      <c r="BP465" s="143"/>
      <c r="BQ465" s="143"/>
      <c r="BR465" s="143"/>
      <c r="BS465" s="143"/>
      <c r="BT465" s="143"/>
      <c r="BU465" s="143"/>
    </row>
    <row r="466" spans="1:73" s="73" customFormat="1" ht="15" customHeight="1">
      <c r="A466" s="170"/>
      <c r="B466" s="143"/>
      <c r="C466" s="1228"/>
      <c r="D466" s="170"/>
      <c r="E466" s="170"/>
      <c r="G466" s="100"/>
      <c r="H466" s="122" t="s">
        <v>845</v>
      </c>
      <c r="J466" s="124" t="s">
        <v>324</v>
      </c>
      <c r="K466" s="122" t="s">
        <v>2736</v>
      </c>
      <c r="R466" s="124" t="s">
        <v>2537</v>
      </c>
      <c r="T466" s="170" t="s">
        <v>2539</v>
      </c>
      <c r="U466" s="170"/>
      <c r="V466" s="1862">
        <f>IF(K437&lt;=K439,K443,K447)</f>
        <v>379.70896106468712</v>
      </c>
      <c r="W466" s="1862"/>
      <c r="X466" s="1862"/>
      <c r="Y466" s="124" t="s">
        <v>2540</v>
      </c>
      <c r="Z466" s="1862">
        <f>+IF(K450&lt;=K451,K456,IF(K450&lt;K453,K460,K464))</f>
        <v>363.72026906765205</v>
      </c>
      <c r="AA466" s="1862"/>
      <c r="AB466" s="1862"/>
      <c r="AC466" s="124" t="s">
        <v>2541</v>
      </c>
      <c r="AO466" s="1236"/>
      <c r="AP466" s="1236"/>
      <c r="AQ466" s="1236"/>
      <c r="AS466" s="1628" t="str">
        <f>IF(M421="Box Flange","Hide this row","")</f>
        <v/>
      </c>
      <c r="AT466" s="143"/>
      <c r="AU466" s="143"/>
      <c r="AV466" s="143"/>
      <c r="AW466" s="143"/>
      <c r="AX466" s="143"/>
      <c r="AY466" s="143"/>
      <c r="AZ466" s="143"/>
      <c r="BA466" s="143"/>
      <c r="BB466" s="143"/>
      <c r="BC466" s="143"/>
      <c r="BD466" s="143"/>
      <c r="BE466" s="143"/>
      <c r="BF466" s="143"/>
      <c r="BG466" s="143"/>
      <c r="BH466" s="143"/>
      <c r="BI466" s="143"/>
      <c r="BJ466" s="143"/>
      <c r="BK466" s="143"/>
      <c r="BL466" s="143"/>
      <c r="BM466" s="143"/>
      <c r="BN466" s="143"/>
      <c r="BO466" s="143"/>
      <c r="BP466" s="143"/>
      <c r="BQ466" s="143"/>
      <c r="BR466" s="143"/>
      <c r="BS466" s="143"/>
      <c r="BT466" s="143"/>
      <c r="BU466" s="143"/>
    </row>
    <row r="467" spans="1:73" s="73" customFormat="1" ht="20.100000000000001" customHeight="1" thickBot="1">
      <c r="A467" s="170"/>
      <c r="B467" s="143"/>
      <c r="C467" s="1297"/>
      <c r="D467" s="170"/>
      <c r="E467" s="170"/>
      <c r="F467" s="122"/>
      <c r="G467" s="100"/>
      <c r="H467" s="369" t="s">
        <v>845</v>
      </c>
      <c r="I467" s="321"/>
      <c r="J467" s="431" t="s">
        <v>2537</v>
      </c>
      <c r="K467" s="2168">
        <f>+MIN(V466,Z466)</f>
        <v>363.72026906765205</v>
      </c>
      <c r="L467" s="2168"/>
      <c r="M467" s="2168"/>
      <c r="N467" s="2168"/>
      <c r="O467" s="431" t="s">
        <v>2694</v>
      </c>
      <c r="P467" s="369"/>
      <c r="Q467" s="122"/>
      <c r="R467" s="122"/>
      <c r="S467" s="122"/>
      <c r="T467" s="122"/>
      <c r="AB467" s="1305"/>
      <c r="AC467" s="1305"/>
      <c r="AD467" s="1305"/>
      <c r="AO467" s="1309"/>
      <c r="AP467" s="1309"/>
      <c r="AQ467" s="1309"/>
      <c r="AS467" s="1628" t="str">
        <f>IF(M421="Box Flange","Hide this row","")</f>
        <v/>
      </c>
      <c r="AT467" s="143"/>
      <c r="AU467" s="143"/>
      <c r="AV467" s="143"/>
      <c r="AW467" s="143"/>
      <c r="AX467" s="143"/>
      <c r="AY467" s="143"/>
      <c r="AZ467" s="143"/>
      <c r="BA467" s="143"/>
      <c r="BB467" s="143"/>
      <c r="BC467" s="143"/>
      <c r="BD467" s="143"/>
      <c r="BE467" s="143"/>
      <c r="BF467" s="143"/>
      <c r="BG467" s="143"/>
      <c r="BH467" s="143"/>
      <c r="BI467" s="143"/>
      <c r="BJ467" s="143"/>
      <c r="BK467" s="143"/>
      <c r="BL467" s="143"/>
      <c r="BM467" s="143"/>
      <c r="BN467" s="143"/>
      <c r="BO467" s="143"/>
      <c r="BP467" s="143"/>
      <c r="BQ467" s="143"/>
      <c r="BR467" s="143"/>
      <c r="BS467" s="143"/>
      <c r="BT467" s="143"/>
      <c r="BU467" s="143"/>
    </row>
    <row r="468" spans="1:73" s="73" customFormat="1" ht="15" hidden="1" customHeight="1">
      <c r="A468" s="170"/>
      <c r="B468" s="143"/>
      <c r="C468" s="1252"/>
      <c r="D468" s="170"/>
      <c r="E468" s="170"/>
      <c r="F468" s="122"/>
      <c r="G468" s="100"/>
      <c r="H468" s="170"/>
      <c r="I468" s="170"/>
      <c r="J468" s="170"/>
      <c r="K468" s="170"/>
      <c r="L468" s="1251"/>
      <c r="M468" s="170"/>
      <c r="N468" s="170"/>
      <c r="O468" s="124"/>
      <c r="P468" s="170"/>
      <c r="Q468" s="170"/>
      <c r="R468" s="1251"/>
      <c r="S468" s="1251"/>
      <c r="T468" s="1251"/>
      <c r="U468" s="124"/>
      <c r="V468" s="1251"/>
      <c r="W468" s="1251"/>
      <c r="X468" s="1251"/>
      <c r="Y468" s="124"/>
      <c r="Z468" s="124"/>
      <c r="AA468" s="1287"/>
      <c r="AB468" s="1287"/>
      <c r="AC468" s="1287"/>
      <c r="AD468" s="1287"/>
      <c r="AO468" s="1257"/>
      <c r="AP468" s="1257"/>
      <c r="AQ468" s="1257"/>
      <c r="AS468" s="1628" t="str">
        <f>IF(M421="Open Flange","Hide this row","")</f>
        <v>Hide this row</v>
      </c>
      <c r="AT468" s="143"/>
      <c r="AU468" s="143"/>
      <c r="AV468" s="143"/>
      <c r="AW468" s="143"/>
      <c r="AX468" s="143"/>
      <c r="AY468" s="143"/>
      <c r="AZ468" s="143"/>
      <c r="BA468" s="143"/>
      <c r="BB468" s="143"/>
      <c r="BC468" s="143"/>
      <c r="BD468" s="143"/>
      <c r="BE468" s="143"/>
      <c r="BF468" s="143"/>
      <c r="BG468" s="143"/>
      <c r="BH468" s="143"/>
      <c r="BI468" s="143"/>
      <c r="BJ468" s="143"/>
      <c r="BK468" s="143"/>
      <c r="BL468" s="143"/>
      <c r="BM468" s="143"/>
      <c r="BN468" s="143"/>
      <c r="BO468" s="143"/>
      <c r="BP468" s="143"/>
      <c r="BQ468" s="143"/>
      <c r="BR468" s="143"/>
      <c r="BS468" s="143"/>
      <c r="BT468" s="143"/>
      <c r="BU468" s="143"/>
    </row>
    <row r="469" spans="1:73" s="73" customFormat="1" ht="15" hidden="1" customHeight="1">
      <c r="A469" s="143"/>
      <c r="B469" s="1177" t="s">
        <v>2466</v>
      </c>
      <c r="C469" s="143" t="s">
        <v>247</v>
      </c>
      <c r="D469" s="136"/>
      <c r="E469" s="147"/>
      <c r="F469" s="136"/>
      <c r="G469" s="136"/>
      <c r="H469" s="136"/>
      <c r="I469" s="170"/>
      <c r="J469" s="170"/>
      <c r="K469" s="1251"/>
      <c r="L469" s="170"/>
      <c r="M469" s="1251"/>
      <c r="N469" s="170"/>
      <c r="P469" s="170"/>
      <c r="R469" s="170"/>
      <c r="T469" s="122"/>
      <c r="U469" s="122"/>
      <c r="V469" s="122"/>
      <c r="W469" s="693"/>
      <c r="X469" s="115"/>
      <c r="Y469" s="115"/>
      <c r="Z469" s="124"/>
      <c r="AA469" s="641"/>
      <c r="AB469" s="53"/>
      <c r="AC469" s="53"/>
      <c r="AD469" s="122"/>
      <c r="AE469" s="124"/>
      <c r="AF469" s="170"/>
      <c r="AG469" s="115"/>
      <c r="AH469" s="115"/>
      <c r="AI469" s="115"/>
      <c r="AO469" s="1257"/>
      <c r="AP469" s="1257"/>
      <c r="AQ469" s="1257"/>
      <c r="AR469" s="1529" t="s">
        <v>2907</v>
      </c>
      <c r="AS469" s="1628" t="str">
        <f>IF(M421="Open Flange","Hide this row","")</f>
        <v>Hide this row</v>
      </c>
      <c r="AT469" s="143"/>
      <c r="AU469" s="143"/>
      <c r="AV469" s="143"/>
      <c r="AW469" s="143"/>
      <c r="AX469" s="143"/>
      <c r="AY469" s="143"/>
      <c r="AZ469" s="143"/>
      <c r="BA469" s="143"/>
      <c r="BB469" s="143"/>
      <c r="BC469" s="143"/>
      <c r="BD469" s="143"/>
      <c r="BE469" s="143"/>
      <c r="BF469" s="143"/>
      <c r="BG469" s="143"/>
      <c r="BH469" s="143"/>
      <c r="BI469" s="143"/>
      <c r="BJ469" s="143"/>
      <c r="BK469" s="143"/>
      <c r="BL469" s="143"/>
      <c r="BM469" s="143"/>
      <c r="BN469" s="143"/>
      <c r="BO469" s="143"/>
      <c r="BP469" s="143"/>
      <c r="BQ469" s="143"/>
      <c r="BR469" s="143"/>
      <c r="BS469" s="143"/>
      <c r="BT469" s="143"/>
      <c r="BU469" s="143"/>
    </row>
    <row r="470" spans="1:73" s="73" customFormat="1" ht="20.100000000000001" hidden="1" customHeight="1">
      <c r="A470" s="143"/>
      <c r="B470" s="170"/>
      <c r="C470" s="148" t="s">
        <v>134</v>
      </c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8" t="s">
        <v>248</v>
      </c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D470" s="1257"/>
      <c r="AO470" s="1257"/>
      <c r="AP470" s="1257"/>
      <c r="AQ470" s="1257"/>
      <c r="AS470" s="1628" t="str">
        <f>IF(M421="Open Flange","Hide this row","")</f>
        <v>Hide this row</v>
      </c>
      <c r="AT470" s="143"/>
      <c r="AU470" s="143"/>
      <c r="AV470" s="143"/>
      <c r="AW470" s="143"/>
      <c r="AX470" s="143"/>
      <c r="AY470" s="143"/>
      <c r="AZ470" s="143"/>
      <c r="BA470" s="143"/>
      <c r="BB470" s="143"/>
      <c r="BC470" s="143"/>
      <c r="BD470" s="143"/>
      <c r="BE470" s="143"/>
      <c r="BF470" s="143"/>
      <c r="BG470" s="143"/>
      <c r="BH470" s="143"/>
      <c r="BI470" s="143"/>
      <c r="BJ470" s="143"/>
      <c r="BK470" s="143"/>
      <c r="BL470" s="143"/>
      <c r="BM470" s="143"/>
      <c r="BN470" s="143"/>
      <c r="BO470" s="143"/>
      <c r="BP470" s="143"/>
      <c r="BQ470" s="143"/>
      <c r="BR470" s="143"/>
      <c r="BS470" s="143"/>
      <c r="BT470" s="143"/>
      <c r="BU470" s="143"/>
    </row>
    <row r="471" spans="1:73" s="73" customFormat="1" ht="20.100000000000001" hidden="1" customHeight="1">
      <c r="A471" s="143"/>
      <c r="B471" s="170"/>
      <c r="C471" s="146" t="s">
        <v>1687</v>
      </c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51" t="s">
        <v>1688</v>
      </c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A471" s="146"/>
      <c r="AB471" s="1214" t="s">
        <v>417</v>
      </c>
      <c r="AD471" s="1257"/>
      <c r="AO471" s="1257"/>
      <c r="AP471" s="1257"/>
      <c r="AQ471" s="1257"/>
      <c r="AS471" s="1628" t="str">
        <f>IF(M421="Open Flange","Hide this row","")</f>
        <v>Hide this row</v>
      </c>
      <c r="AT471" s="143"/>
      <c r="AU471" s="143"/>
      <c r="AV471" s="143"/>
      <c r="AW471" s="143"/>
      <c r="AX471" s="143"/>
      <c r="AY471" s="143"/>
      <c r="AZ471" s="143"/>
      <c r="BA471" s="143"/>
      <c r="BB471" s="143"/>
      <c r="BC471" s="143"/>
      <c r="BD471" s="143"/>
      <c r="BE471" s="143"/>
      <c r="BF471" s="143"/>
      <c r="BG471" s="143"/>
      <c r="BH471" s="143"/>
      <c r="BI471" s="143"/>
      <c r="BJ471" s="143"/>
      <c r="BK471" s="143"/>
      <c r="BL471" s="143"/>
      <c r="BM471" s="143"/>
      <c r="BN471" s="143"/>
      <c r="BO471" s="143"/>
      <c r="BP471" s="143"/>
      <c r="BQ471" s="143"/>
      <c r="BR471" s="143"/>
      <c r="BS471" s="143"/>
      <c r="BT471" s="143"/>
      <c r="BU471" s="143"/>
    </row>
    <row r="472" spans="1:73" s="73" customFormat="1" ht="20.100000000000001" hidden="1" customHeight="1">
      <c r="A472" s="143"/>
      <c r="B472" s="170"/>
      <c r="C472" s="666" t="s">
        <v>1689</v>
      </c>
      <c r="D472" s="666"/>
      <c r="E472" s="666"/>
      <c r="F472" s="666"/>
      <c r="G472" s="170"/>
      <c r="H472" s="170"/>
      <c r="I472" s="170"/>
      <c r="J472" s="170"/>
      <c r="K472" s="170" t="s">
        <v>2944</v>
      </c>
      <c r="L472" s="170"/>
      <c r="M472" s="170"/>
      <c r="N472" s="170"/>
      <c r="P472" s="170"/>
      <c r="Q472" s="170"/>
      <c r="R472" s="170"/>
      <c r="S472" s="170"/>
      <c r="T472" s="170"/>
      <c r="U472" s="170"/>
      <c r="V472" s="170"/>
      <c r="W472" s="170"/>
      <c r="X472" s="170"/>
      <c r="Y472" s="170"/>
      <c r="Z472" s="170"/>
      <c r="AA472" s="170"/>
      <c r="AB472" s="124" t="s">
        <v>447</v>
      </c>
      <c r="AD472" s="1257"/>
      <c r="AO472" s="1257"/>
      <c r="AP472" s="1257"/>
      <c r="AQ472" s="1257"/>
      <c r="AS472" s="1628" t="str">
        <f>IF(M421="Open Flange","Hide this row","")</f>
        <v>Hide this row</v>
      </c>
      <c r="AT472" s="143"/>
      <c r="AU472" s="143"/>
      <c r="AV472" s="143"/>
      <c r="AW472" s="143"/>
      <c r="AX472" s="143"/>
      <c r="AY472" s="143"/>
      <c r="AZ472" s="143"/>
      <c r="BA472" s="143"/>
      <c r="BB472" s="143"/>
      <c r="BC472" s="143"/>
      <c r="BD472" s="143"/>
      <c r="BE472" s="143"/>
      <c r="BF472" s="143"/>
      <c r="BG472" s="143"/>
      <c r="BH472" s="143"/>
      <c r="BI472" s="143"/>
      <c r="BJ472" s="143"/>
      <c r="BK472" s="143"/>
      <c r="BL472" s="143"/>
      <c r="BM472" s="143"/>
      <c r="BN472" s="143"/>
      <c r="BO472" s="143"/>
      <c r="BP472" s="143"/>
      <c r="BQ472" s="143"/>
      <c r="BR472" s="143"/>
      <c r="BS472" s="143"/>
      <c r="BT472" s="143"/>
      <c r="BU472" s="143"/>
    </row>
    <row r="473" spans="1:73" s="73" customFormat="1" ht="20.100000000000001" hidden="1" customHeight="1">
      <c r="A473" s="143"/>
      <c r="B473" s="170"/>
      <c r="C473" s="667" t="s">
        <v>1753</v>
      </c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2" t="s">
        <v>1690</v>
      </c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1421" t="s">
        <v>448</v>
      </c>
      <c r="AD473" s="1257"/>
      <c r="AF473" s="1257"/>
      <c r="AO473" s="1257"/>
      <c r="AP473" s="1257"/>
      <c r="AQ473" s="1257"/>
      <c r="AS473" s="1628" t="str">
        <f>IF(M421="Open Flange","Hide this row","")</f>
        <v>Hide this row</v>
      </c>
      <c r="AT473" s="143"/>
      <c r="AU473" s="143"/>
      <c r="AV473" s="143"/>
      <c r="AW473" s="143"/>
      <c r="AX473" s="143"/>
      <c r="AY473" s="143"/>
      <c r="AZ473" s="143"/>
      <c r="BA473" s="143"/>
      <c r="BB473" s="143"/>
      <c r="BC473" s="143"/>
      <c r="BD473" s="143"/>
      <c r="BE473" s="143"/>
      <c r="BF473" s="143"/>
      <c r="BG473" s="143"/>
      <c r="BH473" s="143"/>
      <c r="BI473" s="143"/>
      <c r="BJ473" s="143"/>
      <c r="BK473" s="143"/>
      <c r="BL473" s="143"/>
      <c r="BM473" s="143"/>
      <c r="BN473" s="143"/>
      <c r="BO473" s="143"/>
      <c r="BP473" s="143"/>
      <c r="BQ473" s="143"/>
      <c r="BR473" s="143"/>
      <c r="BS473" s="143"/>
      <c r="BT473" s="143"/>
      <c r="BU473" s="143"/>
    </row>
    <row r="474" spans="1:73" s="73" customFormat="1" ht="15" hidden="1" customHeight="1">
      <c r="A474" s="143"/>
      <c r="B474" s="170"/>
      <c r="C474" s="649"/>
      <c r="D474" s="170"/>
      <c r="E474" s="170"/>
      <c r="F474" s="170"/>
      <c r="G474" s="170"/>
      <c r="H474" s="170"/>
      <c r="I474" s="170"/>
      <c r="J474" s="170"/>
      <c r="K474" s="122"/>
      <c r="L474" s="170"/>
      <c r="M474" s="170"/>
      <c r="N474" s="170"/>
      <c r="O474" s="170"/>
      <c r="P474" s="170"/>
      <c r="Q474" s="170"/>
      <c r="R474" s="170"/>
      <c r="S474" s="170"/>
      <c r="T474" s="170"/>
      <c r="U474" s="170"/>
      <c r="V474" s="170"/>
      <c r="W474" s="170"/>
      <c r="X474" s="170"/>
      <c r="Y474" s="1251"/>
      <c r="Z474" s="170"/>
      <c r="AA474" s="170"/>
      <c r="AC474" s="143"/>
      <c r="AD474" s="1257"/>
      <c r="AF474" s="1257"/>
      <c r="AO474" s="1257"/>
      <c r="AP474" s="1257"/>
      <c r="AQ474" s="1257"/>
      <c r="AS474" s="1628" t="str">
        <f>IF(M421="Open Flange","Hide this row","")</f>
        <v>Hide this row</v>
      </c>
      <c r="AT474" s="143"/>
      <c r="AU474" s="143"/>
      <c r="AV474" s="143"/>
      <c r="AW474" s="143"/>
      <c r="AX474" s="143"/>
      <c r="AY474" s="143"/>
      <c r="AZ474" s="143"/>
      <c r="BA474" s="143"/>
      <c r="BB474" s="143"/>
      <c r="BC474" s="143"/>
      <c r="BD474" s="143"/>
      <c r="BE474" s="143"/>
      <c r="BF474" s="143"/>
      <c r="BG474" s="143"/>
      <c r="BH474" s="143"/>
      <c r="BI474" s="143"/>
      <c r="BJ474" s="143"/>
      <c r="BK474" s="143"/>
      <c r="BL474" s="143"/>
      <c r="BM474" s="143"/>
      <c r="BN474" s="143"/>
      <c r="BO474" s="143"/>
      <c r="BP474" s="143"/>
      <c r="BQ474" s="143"/>
      <c r="BR474" s="143"/>
      <c r="BS474" s="143"/>
      <c r="BT474" s="143"/>
      <c r="BU474" s="143"/>
    </row>
    <row r="475" spans="1:73" s="73" customFormat="1" ht="15" hidden="1" customHeight="1">
      <c r="A475" s="143"/>
      <c r="C475" s="96" t="s">
        <v>2509</v>
      </c>
      <c r="D475" s="649" t="s">
        <v>2648</v>
      </c>
      <c r="E475" s="170"/>
      <c r="F475" s="170"/>
      <c r="G475" s="170"/>
      <c r="H475" s="170"/>
      <c r="I475" s="170"/>
      <c r="J475" s="170" t="str">
        <f>IF(AE249 = "Compression", "상부플랜지","하부플랜지")</f>
        <v>상부플랜지</v>
      </c>
      <c r="K475" s="170"/>
      <c r="L475" s="122"/>
      <c r="M475" s="170"/>
      <c r="N475" s="170"/>
      <c r="O475" s="124" t="s">
        <v>2506</v>
      </c>
      <c r="P475" s="170" t="str">
        <f>IF(OR(AND(AE249="Compression",AE269&gt;0),AND(AE249="Tension",AE266&gt;0)),"보강된 플랜지","비보강 플랜지")</f>
        <v>비보강 플랜지</v>
      </c>
      <c r="Q475" s="170"/>
      <c r="R475" s="170"/>
      <c r="S475" s="170"/>
      <c r="T475" s="170"/>
      <c r="U475" s="170"/>
      <c r="V475" s="124" t="s">
        <v>2512</v>
      </c>
      <c r="W475" s="170"/>
      <c r="X475" s="170"/>
      <c r="Y475" s="1251"/>
      <c r="Z475" s="170"/>
      <c r="AA475" s="170"/>
      <c r="AC475" s="143"/>
      <c r="AD475" s="1257"/>
      <c r="AF475" s="1257"/>
      <c r="AO475" s="1257"/>
      <c r="AP475" s="1257"/>
      <c r="AQ475" s="1257"/>
      <c r="AS475" s="1628" t="str">
        <f>IF(M421="Open Flange","Hide this row","")</f>
        <v>Hide this row</v>
      </c>
      <c r="AT475" s="143"/>
      <c r="AU475" s="143"/>
      <c r="AV475" s="143"/>
      <c r="AW475" s="143"/>
      <c r="AX475" s="143"/>
      <c r="AY475" s="143"/>
      <c r="AZ475" s="143"/>
      <c r="BA475" s="143"/>
      <c r="BB475" s="143"/>
      <c r="BC475" s="143"/>
      <c r="BD475" s="143"/>
      <c r="BE475" s="143"/>
      <c r="BF475" s="143"/>
      <c r="BG475" s="143"/>
      <c r="BH475" s="143"/>
      <c r="BI475" s="143"/>
      <c r="BJ475" s="143"/>
      <c r="BK475" s="143"/>
      <c r="BL475" s="143"/>
      <c r="BM475" s="143"/>
      <c r="BN475" s="143"/>
      <c r="BO475" s="143"/>
      <c r="BP475" s="143"/>
      <c r="BQ475" s="143"/>
      <c r="BR475" s="143"/>
      <c r="BS475" s="143"/>
      <c r="BT475" s="143"/>
      <c r="BU475" s="143"/>
    </row>
    <row r="476" spans="1:73" s="73" customFormat="1" ht="15" hidden="1" customHeight="1">
      <c r="A476" s="143"/>
      <c r="B476" s="170"/>
      <c r="C476" s="649"/>
      <c r="D476" s="170"/>
      <c r="E476" s="170"/>
      <c r="F476" s="170"/>
      <c r="G476" s="170"/>
      <c r="H476" s="170"/>
      <c r="I476" s="170"/>
      <c r="J476" s="170"/>
      <c r="K476" s="122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251"/>
      <c r="Z476" s="170"/>
      <c r="AA476" s="170"/>
      <c r="AC476" s="143"/>
      <c r="AD476" s="1257"/>
      <c r="AF476" s="1257"/>
      <c r="AO476" s="1257"/>
      <c r="AP476" s="1257"/>
      <c r="AQ476" s="1257"/>
      <c r="AS476" s="1628" t="str">
        <f>IF(M421="Open Flange","Hide this row","")</f>
        <v>Hide this row</v>
      </c>
      <c r="AT476" s="143"/>
      <c r="AU476" s="143"/>
      <c r="AV476" s="143"/>
      <c r="AW476" s="143"/>
      <c r="AX476" s="143"/>
      <c r="AY476" s="143"/>
      <c r="AZ476" s="143"/>
      <c r="BA476" s="143"/>
      <c r="BB476" s="143"/>
      <c r="BC476" s="143"/>
      <c r="BD476" s="143"/>
      <c r="BE476" s="143"/>
      <c r="BF476" s="143"/>
      <c r="BG476" s="143"/>
      <c r="BH476" s="143"/>
      <c r="BI476" s="143"/>
      <c r="BJ476" s="143"/>
      <c r="BK476" s="143"/>
      <c r="BL476" s="143"/>
      <c r="BM476" s="143"/>
      <c r="BN476" s="143"/>
      <c r="BO476" s="143"/>
      <c r="BP476" s="143"/>
      <c r="BQ476" s="143"/>
      <c r="BR476" s="143"/>
      <c r="BS476" s="143"/>
      <c r="BT476" s="143"/>
      <c r="BU476" s="143"/>
    </row>
    <row r="477" spans="1:73" s="73" customFormat="1" ht="15" hidden="1" customHeight="1">
      <c r="A477" s="143"/>
      <c r="B477" s="170"/>
      <c r="C477" s="170" t="s">
        <v>786</v>
      </c>
      <c r="D477" s="170"/>
      <c r="E477" s="170" t="s">
        <v>2654</v>
      </c>
      <c r="F477" s="170"/>
      <c r="G477" s="170"/>
      <c r="H477" s="170"/>
      <c r="I477" s="170"/>
      <c r="J477" s="170"/>
      <c r="K477" s="122"/>
      <c r="L477" s="170"/>
      <c r="M477" s="170"/>
      <c r="N477" s="170"/>
      <c r="O477" s="170"/>
      <c r="P477" s="170"/>
      <c r="Q477" s="170"/>
      <c r="R477" s="170"/>
      <c r="S477" s="170"/>
      <c r="T477" s="170"/>
      <c r="U477" s="170"/>
      <c r="V477" s="170"/>
      <c r="W477" s="170"/>
      <c r="X477" s="170"/>
      <c r="Y477" s="1251"/>
      <c r="Z477" s="170"/>
      <c r="AA477" s="170"/>
      <c r="AC477" s="143"/>
      <c r="AD477" s="1257"/>
      <c r="AF477" s="1257"/>
      <c r="AO477" s="1257"/>
      <c r="AP477" s="1257"/>
      <c r="AQ477" s="1257"/>
      <c r="AS477" s="1628" t="str">
        <f>IF(M421="Open Flange","Hide this row","")</f>
        <v>Hide this row</v>
      </c>
      <c r="AT477" s="143"/>
      <c r="AU477" s="143"/>
      <c r="AV477" s="143"/>
      <c r="AW477" s="143"/>
      <c r="AX477" s="143"/>
      <c r="AY477" s="143"/>
      <c r="AZ477" s="143"/>
      <c r="BA477" s="143"/>
      <c r="BB477" s="143"/>
      <c r="BC477" s="143"/>
      <c r="BD477" s="143"/>
      <c r="BE477" s="143"/>
      <c r="BF477" s="143"/>
      <c r="BG477" s="143"/>
      <c r="BH477" s="143"/>
      <c r="BI477" s="143"/>
      <c r="BJ477" s="143"/>
      <c r="BK477" s="143"/>
      <c r="BL477" s="143"/>
      <c r="BM477" s="143"/>
      <c r="BN477" s="143"/>
      <c r="BO477" s="143"/>
      <c r="BP477" s="143"/>
      <c r="BQ477" s="143"/>
      <c r="BR477" s="143"/>
      <c r="BS477" s="143"/>
      <c r="BT477" s="143"/>
      <c r="BU477" s="143"/>
    </row>
    <row r="478" spans="1:73" s="73" customFormat="1" ht="15" hidden="1" customHeight="1">
      <c r="A478" s="143"/>
      <c r="B478" s="170"/>
      <c r="C478" s="170"/>
      <c r="D478" s="170"/>
      <c r="E478" s="170" t="s">
        <v>2981</v>
      </c>
      <c r="F478" s="170"/>
      <c r="G478" s="170"/>
      <c r="H478" s="170"/>
      <c r="I478" s="170"/>
      <c r="J478" s="170"/>
      <c r="L478" s="170"/>
      <c r="M478" s="73" t="s">
        <v>2462</v>
      </c>
      <c r="N478" s="73" t="s">
        <v>425</v>
      </c>
      <c r="O478" s="170"/>
      <c r="P478" s="124" t="s">
        <v>324</v>
      </c>
      <c r="Q478" s="170"/>
      <c r="R478" s="2107">
        <v>4</v>
      </c>
      <c r="S478" s="2107"/>
      <c r="T478" s="170"/>
      <c r="U478" s="170"/>
      <c r="V478" s="170"/>
      <c r="W478" s="170"/>
      <c r="X478" s="170"/>
      <c r="Y478" s="1424"/>
      <c r="Z478" s="170"/>
      <c r="AA478" s="170"/>
      <c r="AC478" s="143"/>
      <c r="AD478" s="1428"/>
      <c r="AF478" s="1428"/>
      <c r="AO478" s="1428"/>
      <c r="AP478" s="1428"/>
      <c r="AQ478" s="1428"/>
      <c r="AS478" s="1628" t="str">
        <f>IF(M421="Open Flange","Hide this row",IF(Q479&gt;0,"Hide this row",""))</f>
        <v>Hide this row</v>
      </c>
      <c r="AT478" s="143"/>
      <c r="AU478" s="143"/>
      <c r="AV478" s="143"/>
      <c r="AW478" s="143"/>
      <c r="AX478" s="143"/>
      <c r="AY478" s="143"/>
      <c r="AZ478" s="143"/>
      <c r="BA478" s="143"/>
      <c r="BB478" s="143"/>
      <c r="BC478" s="143"/>
      <c r="BD478" s="143"/>
      <c r="BE478" s="143"/>
      <c r="BF478" s="143"/>
      <c r="BG478" s="143"/>
      <c r="BH478" s="143"/>
      <c r="BI478" s="143"/>
      <c r="BJ478" s="143"/>
      <c r="BK478" s="143"/>
      <c r="BL478" s="143"/>
      <c r="BM478" s="143"/>
      <c r="BN478" s="143"/>
      <c r="BO478" s="143"/>
      <c r="BP478" s="143"/>
      <c r="BQ478" s="143"/>
      <c r="BR478" s="143"/>
      <c r="BS478" s="143"/>
      <c r="BT478" s="143"/>
      <c r="BU478" s="143"/>
    </row>
    <row r="479" spans="1:73" s="73" customFormat="1" ht="15" hidden="1" customHeight="1">
      <c r="A479" s="143"/>
      <c r="B479" s="170"/>
      <c r="C479" s="170"/>
      <c r="D479" s="170"/>
      <c r="E479" s="124" t="s">
        <v>2657</v>
      </c>
      <c r="F479" s="170"/>
      <c r="G479" s="170" t="s">
        <v>2655</v>
      </c>
      <c r="H479" s="170"/>
      <c r="I479" s="170"/>
      <c r="J479" s="170"/>
      <c r="K479" s="122"/>
      <c r="L479" s="170"/>
      <c r="N479" s="170" t="s">
        <v>332</v>
      </c>
      <c r="P479" s="124" t="s">
        <v>324</v>
      </c>
      <c r="Q479" s="1862">
        <f>IF(AE249="Tension",AE266,AE269)</f>
        <v>0</v>
      </c>
      <c r="R479" s="1862"/>
      <c r="S479" s="1862"/>
      <c r="T479" s="170"/>
      <c r="U479" s="170"/>
      <c r="V479" s="170"/>
      <c r="W479" s="170"/>
      <c r="X479" s="170"/>
      <c r="Y479" s="1251"/>
      <c r="Z479" s="170"/>
      <c r="AA479" s="170"/>
      <c r="AC479" s="143"/>
      <c r="AD479" s="1257"/>
      <c r="AF479" s="1257"/>
      <c r="AO479" s="1257"/>
      <c r="AP479" s="1257"/>
      <c r="AQ479" s="1257"/>
      <c r="AS479" s="1628" t="str">
        <f>IF(M421="Open Flange","Hide this row",IF(Q479=0,"Hide this row",""))</f>
        <v>Hide this row</v>
      </c>
      <c r="AT479" s="143"/>
      <c r="AU479" s="143"/>
      <c r="AV479" s="143"/>
      <c r="AW479" s="143"/>
      <c r="AX479" s="143"/>
      <c r="AY479" s="143"/>
      <c r="AZ479" s="143"/>
      <c r="BA479" s="143"/>
      <c r="BB479" s="143"/>
      <c r="BC479" s="143"/>
      <c r="BD479" s="143"/>
      <c r="BE479" s="143"/>
      <c r="BF479" s="143"/>
      <c r="BG479" s="143"/>
      <c r="BH479" s="143"/>
      <c r="BI479" s="143"/>
      <c r="BJ479" s="143"/>
      <c r="BK479" s="143"/>
      <c r="BL479" s="143"/>
      <c r="BM479" s="143"/>
      <c r="BN479" s="143"/>
      <c r="BO479" s="143"/>
      <c r="BP479" s="143"/>
      <c r="BQ479" s="143"/>
      <c r="BR479" s="143"/>
      <c r="BS479" s="143"/>
      <c r="BT479" s="143"/>
      <c r="BU479" s="143"/>
    </row>
    <row r="480" spans="1:73" s="73" customFormat="1" ht="15" hidden="1" customHeight="1">
      <c r="A480" s="143"/>
      <c r="B480" s="170"/>
      <c r="C480" s="649"/>
      <c r="E480" s="73" t="s">
        <v>2656</v>
      </c>
      <c r="G480" s="73" t="s">
        <v>2658</v>
      </c>
      <c r="N480" s="73" t="s">
        <v>1846</v>
      </c>
      <c r="P480" s="76" t="s">
        <v>324</v>
      </c>
      <c r="R480" s="73" t="s">
        <v>2659</v>
      </c>
      <c r="U480" s="2111">
        <f>IF(AE248="Positive",AE271,AE268)</f>
        <v>0</v>
      </c>
      <c r="V480" s="2111"/>
      <c r="W480" s="76" t="s">
        <v>2489</v>
      </c>
      <c r="X480" s="2111" t="str">
        <f>IF(AE248="Positive",AE270,AE267)&amp;"³"</f>
        <v>0³</v>
      </c>
      <c r="Y480" s="2111"/>
      <c r="Z480" s="2111"/>
      <c r="AA480" s="124" t="s">
        <v>324</v>
      </c>
      <c r="AB480" s="2233">
        <f>IF(AE248="Positive",1/3 *AE271*AE270^3,1/3 * AE268*AE267^3)</f>
        <v>0</v>
      </c>
      <c r="AC480" s="2233"/>
      <c r="AD480" s="2233"/>
      <c r="AE480" s="2233"/>
      <c r="AF480" s="1263" t="s">
        <v>2669</v>
      </c>
      <c r="AO480" s="1257"/>
      <c r="AP480" s="1257"/>
      <c r="AQ480" s="1257"/>
      <c r="AS480" s="1628" t="str">
        <f>IF(M421="Open Flange","Hide this row",IF(Q479=0,"Hide this row",""))</f>
        <v>Hide this row</v>
      </c>
      <c r="AT480" s="143"/>
      <c r="AU480" s="143"/>
      <c r="AV480" s="143"/>
      <c r="AW480" s="143"/>
      <c r="AX480" s="143"/>
      <c r="AY480" s="143"/>
      <c r="AZ480" s="143"/>
      <c r="BA480" s="143"/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/>
      <c r="BQ480" s="143"/>
      <c r="BR480" s="143"/>
      <c r="BS480" s="143"/>
      <c r="BT480" s="143"/>
      <c r="BU480" s="143"/>
    </row>
    <row r="481" spans="1:73" s="73" customFormat="1" ht="15" hidden="1" customHeight="1">
      <c r="A481" s="143"/>
      <c r="B481" s="170"/>
      <c r="C481" s="649"/>
      <c r="E481" s="73" t="s">
        <v>2656</v>
      </c>
      <c r="G481" s="73" t="s">
        <v>2661</v>
      </c>
      <c r="N481" s="73" t="s">
        <v>839</v>
      </c>
      <c r="P481" s="76" t="s">
        <v>324</v>
      </c>
      <c r="R481" s="2136">
        <f>IF(AE248="Positive",AE256,AE258)</f>
        <v>40</v>
      </c>
      <c r="S481" s="2136"/>
      <c r="T481" s="2136"/>
      <c r="U481" s="1263" t="s">
        <v>999</v>
      </c>
      <c r="V481" s="1257"/>
      <c r="W481" s="76"/>
      <c r="X481" s="1257"/>
      <c r="Y481" s="1257"/>
      <c r="Z481" s="1257"/>
      <c r="AA481" s="124"/>
      <c r="AB481" s="806"/>
      <c r="AC481" s="806"/>
      <c r="AD481" s="806"/>
      <c r="AE481" s="806"/>
      <c r="AF481" s="1257"/>
      <c r="AO481" s="1257"/>
      <c r="AP481" s="1257"/>
      <c r="AQ481" s="1257"/>
      <c r="AS481" s="1628" t="str">
        <f>IF(M421="Open Flange","Hide this row",IF(Q479=0,"Hide this row",""))</f>
        <v>Hide this row</v>
      </c>
      <c r="AT481" s="143"/>
      <c r="AU481" s="143"/>
      <c r="AV481" s="143"/>
      <c r="AW481" s="143"/>
      <c r="AX481" s="143"/>
      <c r="AY481" s="143"/>
      <c r="AZ481" s="143"/>
      <c r="BA481" s="143"/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/>
      <c r="BQ481" s="143"/>
      <c r="BR481" s="143"/>
      <c r="BS481" s="143"/>
      <c r="BT481" s="143"/>
      <c r="BU481" s="143"/>
    </row>
    <row r="482" spans="1:73" s="73" customFormat="1" ht="15" hidden="1" customHeight="1">
      <c r="A482" s="143"/>
      <c r="B482" s="170"/>
      <c r="C482" s="649"/>
      <c r="E482" s="73" t="s">
        <v>2656</v>
      </c>
      <c r="N482" s="73" t="s">
        <v>405</v>
      </c>
      <c r="P482" s="76" t="s">
        <v>324</v>
      </c>
      <c r="R482" s="2111">
        <f>IF(AE249="Tension",IF(AE266=0,AE257,(AE257-2*AE259-AE266*AE268)/(AE266+1)),IF(AE269=0,AE255,(AE265-AE269*AE271)/(AE269+1)))</f>
        <v>600</v>
      </c>
      <c r="S482" s="2111"/>
      <c r="T482" s="2111"/>
      <c r="U482" s="1263" t="s">
        <v>999</v>
      </c>
      <c r="V482" s="1257"/>
      <c r="W482" s="76"/>
      <c r="X482" s="1257"/>
      <c r="Y482" s="1257"/>
      <c r="Z482" s="1257"/>
      <c r="AA482" s="124"/>
      <c r="AB482" s="806"/>
      <c r="AC482" s="806"/>
      <c r="AD482" s="806"/>
      <c r="AE482" s="806"/>
      <c r="AF482" s="1257"/>
      <c r="AO482" s="1257"/>
      <c r="AP482" s="1257"/>
      <c r="AQ482" s="1257"/>
      <c r="AS482" s="1628" t="str">
        <f>IF(M421="Open Flange","Hide this row",IF(Q479=0,"Hide this row",""))</f>
        <v>Hide this row</v>
      </c>
      <c r="AT482" s="143"/>
      <c r="AU482" s="143"/>
      <c r="AV482" s="143"/>
      <c r="AW482" s="143"/>
      <c r="AX482" s="143"/>
      <c r="AY482" s="143"/>
      <c r="AZ482" s="143"/>
      <c r="BA482" s="143"/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/>
      <c r="BQ482" s="143"/>
      <c r="BR482" s="143"/>
      <c r="BS482" s="143"/>
      <c r="BT482" s="143"/>
      <c r="BU482" s="143"/>
    </row>
    <row r="483" spans="1:73" s="73" customFormat="1" ht="15" hidden="1" customHeight="1">
      <c r="A483" s="143"/>
      <c r="B483" s="170"/>
      <c r="C483" s="649"/>
      <c r="D483" s="170"/>
      <c r="H483" s="170"/>
      <c r="L483" s="170" t="s">
        <v>2462</v>
      </c>
      <c r="M483" s="170"/>
      <c r="N483" s="170" t="s">
        <v>425</v>
      </c>
      <c r="P483" s="124" t="s">
        <v>324</v>
      </c>
      <c r="Q483" s="170"/>
      <c r="R483" s="122">
        <f>IF(Q479=0,4,IF(Q479=1,"1.0 ≤ [ 8Is / (wtfc³) ]¹‘³ ≤ 4.0","1.0 ≤ [ 0.894Is / (wtfc³) ]¹‘³ ≤ 4.0"))</f>
        <v>4</v>
      </c>
      <c r="S483" s="170"/>
      <c r="T483" s="170"/>
      <c r="U483" s="170"/>
      <c r="V483" s="170"/>
      <c r="W483" s="170"/>
      <c r="X483" s="170"/>
      <c r="Y483" s="170"/>
      <c r="Z483" s="170"/>
      <c r="AA483" s="170"/>
      <c r="AB483" s="170"/>
      <c r="AC483" s="170"/>
      <c r="AD483" s="170"/>
      <c r="AE483" s="170"/>
      <c r="AF483" s="1251"/>
      <c r="AG483" s="170"/>
      <c r="AH483" s="170"/>
      <c r="AJ483" s="143"/>
      <c r="AK483" s="1257"/>
      <c r="AM483" s="1257"/>
      <c r="AO483" s="1257"/>
      <c r="AP483" s="1257"/>
      <c r="AQ483" s="1257"/>
      <c r="AS483" s="1628" t="str">
        <f>IF(M421="Open Flange","Hide this row",IF(Q479=0,"Hide this row",""))</f>
        <v>Hide this row</v>
      </c>
      <c r="AT483" s="143"/>
      <c r="AU483" s="143"/>
      <c r="AV483" s="143"/>
      <c r="AW483" s="143"/>
      <c r="AX483" s="143"/>
      <c r="AY483" s="143"/>
      <c r="AZ483" s="143"/>
      <c r="BA483" s="143"/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/>
      <c r="BQ483" s="143"/>
      <c r="BR483" s="143"/>
      <c r="BS483" s="143"/>
      <c r="BT483" s="143"/>
      <c r="BU483" s="143"/>
    </row>
    <row r="484" spans="1:73" s="73" customFormat="1" ht="15" hidden="1" customHeight="1">
      <c r="A484" s="143"/>
      <c r="B484" s="170"/>
      <c r="C484" s="649"/>
      <c r="D484" s="170"/>
      <c r="E484" s="170"/>
      <c r="F484" s="170"/>
      <c r="G484" s="170"/>
      <c r="H484" s="170"/>
      <c r="P484" s="124" t="s">
        <v>324</v>
      </c>
      <c r="R484" s="89" t="s">
        <v>2663</v>
      </c>
      <c r="S484" s="2143">
        <f>IF(Q479=1,8,0.894)</f>
        <v>0.89400000000000002</v>
      </c>
      <c r="T484" s="2143"/>
      <c r="U484" s="2143"/>
      <c r="V484" s="76" t="s">
        <v>2489</v>
      </c>
      <c r="W484" s="2234">
        <f>+AB480</f>
        <v>0</v>
      </c>
      <c r="X484" s="2111"/>
      <c r="Y484" s="2111"/>
      <c r="Z484" s="2111"/>
      <c r="AA484" s="124" t="s">
        <v>2662</v>
      </c>
      <c r="AB484" s="170"/>
      <c r="AC484" s="1862">
        <f>+R482</f>
        <v>600</v>
      </c>
      <c r="AD484" s="1862"/>
      <c r="AE484" s="1862"/>
      <c r="AF484" s="124" t="s">
        <v>2489</v>
      </c>
      <c r="AG484" s="1862">
        <f>+R481</f>
        <v>40</v>
      </c>
      <c r="AH484" s="1862"/>
      <c r="AI484" s="73" t="s">
        <v>2660</v>
      </c>
      <c r="AJ484" s="76" t="s">
        <v>2664</v>
      </c>
      <c r="AK484" s="1257"/>
      <c r="AM484" s="1257"/>
      <c r="AO484" s="1257"/>
      <c r="AP484" s="1257"/>
      <c r="AQ484" s="1257"/>
      <c r="AS484" s="1628" t="str">
        <f>IF(M421="Open Flange","Hide this row",IF(Q479=0,"Hide this row",""))</f>
        <v>Hide this row</v>
      </c>
      <c r="AT484" s="143"/>
      <c r="AU484" s="143"/>
      <c r="AV484" s="143"/>
      <c r="AW484" s="143"/>
      <c r="AX484" s="143"/>
      <c r="AY484" s="143"/>
      <c r="AZ484" s="143"/>
      <c r="BA484" s="143"/>
      <c r="BB484" s="143"/>
      <c r="BC484" s="143"/>
      <c r="BD484" s="143"/>
      <c r="BE484" s="143"/>
      <c r="BF484" s="143"/>
      <c r="BG484" s="143"/>
      <c r="BH484" s="143"/>
      <c r="BI484" s="143"/>
      <c r="BJ484" s="143"/>
      <c r="BK484" s="143"/>
      <c r="BL484" s="143"/>
      <c r="BM484" s="143"/>
      <c r="BN484" s="143"/>
      <c r="BO484" s="143"/>
      <c r="BP484" s="143"/>
      <c r="BQ484" s="143"/>
      <c r="BR484" s="143"/>
      <c r="BS484" s="143"/>
      <c r="BT484" s="143"/>
      <c r="BU484" s="143"/>
    </row>
    <row r="485" spans="1:73" s="73" customFormat="1" ht="15" hidden="1" customHeight="1">
      <c r="A485" s="143"/>
      <c r="B485" s="170"/>
      <c r="C485" s="649"/>
      <c r="D485" s="170"/>
      <c r="E485" s="170"/>
      <c r="F485" s="170"/>
      <c r="G485" s="170"/>
      <c r="H485" s="170"/>
      <c r="P485" s="124" t="s">
        <v>324</v>
      </c>
      <c r="R485" s="2241">
        <f>((S484*W484/AC484/(AG484^3))^(1/3))</f>
        <v>0</v>
      </c>
      <c r="S485" s="2241"/>
      <c r="T485" s="2241"/>
      <c r="U485" s="2241"/>
      <c r="W485" s="73" t="str">
        <f>IF(R485&lt;=1,"&lt; 1",IF(R485&gt;=4," &gt;4","&gt; 1 and &lt; 4"))</f>
        <v>&lt; 1</v>
      </c>
      <c r="AD485" s="73" t="s">
        <v>2665</v>
      </c>
      <c r="AG485" s="2150">
        <f>MIN(MAX(R485,1),4)</f>
        <v>1</v>
      </c>
      <c r="AH485" s="2124"/>
      <c r="AI485" s="2124"/>
      <c r="AJ485" s="143"/>
      <c r="AK485" s="1257"/>
      <c r="AM485" s="1257"/>
      <c r="AO485" s="1257"/>
      <c r="AP485" s="1257"/>
      <c r="AQ485" s="1257"/>
      <c r="AS485" s="1628" t="str">
        <f>IF(M421="Open Flange","Hide this row",IF(Q479=0,"Hide this row",""))</f>
        <v>Hide this row</v>
      </c>
      <c r="AT485" s="143"/>
      <c r="AU485" s="143"/>
      <c r="AV485" s="143"/>
      <c r="AW485" s="143"/>
      <c r="AX485" s="143"/>
      <c r="AY485" s="143"/>
      <c r="AZ485" s="143"/>
      <c r="BA485" s="143"/>
      <c r="BB485" s="143"/>
      <c r="BC485" s="143"/>
      <c r="BD485" s="143"/>
      <c r="BE485" s="143"/>
      <c r="BF485" s="143"/>
      <c r="BG485" s="143"/>
      <c r="BH485" s="143"/>
      <c r="BI485" s="143"/>
      <c r="BJ485" s="143"/>
      <c r="BK485" s="143"/>
      <c r="BL485" s="143"/>
      <c r="BM485" s="143"/>
      <c r="BN485" s="143"/>
      <c r="BO485" s="143"/>
      <c r="BP485" s="143"/>
      <c r="BQ485" s="143"/>
      <c r="BR485" s="143"/>
      <c r="BS485" s="143"/>
      <c r="BT485" s="143"/>
      <c r="BU485" s="143"/>
    </row>
    <row r="486" spans="1:73" s="73" customFormat="1" ht="15" hidden="1" customHeight="1">
      <c r="A486" s="143"/>
      <c r="B486" s="170"/>
      <c r="C486" s="649"/>
      <c r="D486" s="170"/>
      <c r="E486" s="170"/>
      <c r="F486" s="170"/>
      <c r="G486" s="170"/>
      <c r="H486" s="170"/>
      <c r="P486" s="124"/>
      <c r="R486" s="1417"/>
      <c r="S486" s="1417"/>
      <c r="T486" s="1417"/>
      <c r="U486" s="1417"/>
      <c r="AG486" s="1262"/>
      <c r="AH486" s="1418"/>
      <c r="AI486" s="1418"/>
      <c r="AJ486" s="143"/>
      <c r="AK486" s="1257"/>
      <c r="AM486" s="1257"/>
      <c r="AO486" s="1257"/>
      <c r="AP486" s="1257"/>
      <c r="AQ486" s="1257"/>
      <c r="AS486" s="1628" t="str">
        <f>IF(M421="Open Flange","Hide this row","")</f>
        <v>Hide this row</v>
      </c>
      <c r="AT486" s="143"/>
      <c r="AU486" s="143"/>
      <c r="AV486" s="143"/>
      <c r="AW486" s="143"/>
      <c r="AX486" s="143"/>
      <c r="AY486" s="143"/>
      <c r="AZ486" s="143"/>
      <c r="BA486" s="143"/>
      <c r="BB486" s="143"/>
      <c r="BC486" s="143"/>
      <c r="BD486" s="143"/>
      <c r="BE486" s="143"/>
      <c r="BF486" s="143"/>
      <c r="BG486" s="143"/>
      <c r="BH486" s="143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</row>
    <row r="487" spans="1:73" s="73" customFormat="1" ht="15" hidden="1" customHeight="1">
      <c r="A487" s="143"/>
      <c r="B487" s="170"/>
      <c r="C487" s="170" t="s">
        <v>788</v>
      </c>
      <c r="D487" s="170"/>
      <c r="E487" s="170" t="s">
        <v>2666</v>
      </c>
      <c r="F487" s="170"/>
      <c r="G487" s="170"/>
      <c r="H487" s="170"/>
      <c r="I487" s="170"/>
      <c r="J487" s="170"/>
      <c r="K487" s="122"/>
      <c r="L487" s="170"/>
      <c r="M487" s="170"/>
      <c r="N487" s="170"/>
      <c r="O487" s="170"/>
      <c r="P487" s="170"/>
      <c r="Q487" s="170"/>
      <c r="R487" s="170"/>
      <c r="S487" s="170"/>
      <c r="T487" s="170"/>
      <c r="U487" s="170"/>
      <c r="V487" s="170"/>
      <c r="W487" s="170"/>
      <c r="X487" s="170"/>
      <c r="Y487" s="1251"/>
      <c r="Z487" s="170"/>
      <c r="AA487" s="170"/>
      <c r="AC487" s="143"/>
      <c r="AD487" s="1257"/>
      <c r="AF487" s="1257"/>
      <c r="AO487" s="1257"/>
      <c r="AP487" s="1257"/>
      <c r="AQ487" s="1257"/>
      <c r="AS487" s="1628" t="str">
        <f>IF(M421="Open Flange","Hide this row","")</f>
        <v>Hide this row</v>
      </c>
      <c r="AT487" s="143"/>
      <c r="AU487" s="143"/>
      <c r="AV487" s="143"/>
      <c r="AW487" s="143"/>
      <c r="AX487" s="143"/>
      <c r="AY487" s="143"/>
      <c r="AZ487" s="143"/>
      <c r="BA487" s="143"/>
      <c r="BB487" s="143"/>
      <c r="BC487" s="143"/>
      <c r="BD487" s="143"/>
      <c r="BE487" s="143"/>
      <c r="BF487" s="143"/>
      <c r="BG487" s="143"/>
      <c r="BH487" s="143"/>
      <c r="BI487" s="143"/>
      <c r="BJ487" s="143"/>
      <c r="BK487" s="143"/>
      <c r="BL487" s="143"/>
      <c r="BM487" s="143"/>
      <c r="BN487" s="143"/>
      <c r="BO487" s="143"/>
      <c r="BP487" s="143"/>
      <c r="BQ487" s="143"/>
      <c r="BR487" s="143"/>
      <c r="BS487" s="143"/>
      <c r="BT487" s="143"/>
      <c r="BU487" s="143"/>
    </row>
    <row r="488" spans="1:73" s="73" customFormat="1" ht="15" hidden="1" customHeight="1">
      <c r="A488" s="143"/>
      <c r="B488" s="170"/>
      <c r="C488" s="170"/>
      <c r="D488" s="170"/>
      <c r="E488" s="1414" t="s">
        <v>2728</v>
      </c>
      <c r="F488" s="170"/>
      <c r="G488" s="170"/>
      <c r="H488" s="170"/>
      <c r="I488" s="170"/>
      <c r="J488" s="170"/>
      <c r="K488" s="122"/>
      <c r="L488" s="170"/>
      <c r="M488" s="170"/>
      <c r="N488" s="170"/>
      <c r="O488" s="170"/>
      <c r="P488" s="170" t="s">
        <v>2729</v>
      </c>
      <c r="Q488" s="170"/>
      <c r="R488" s="170"/>
      <c r="S488" s="170"/>
      <c r="T488" s="170"/>
      <c r="U488" s="170"/>
      <c r="V488" s="170"/>
      <c r="W488" s="170"/>
      <c r="X488" s="170"/>
      <c r="Y488" s="1251"/>
      <c r="Z488" s="170"/>
      <c r="AA488" s="170"/>
      <c r="AC488" s="115"/>
      <c r="AD488" s="115"/>
      <c r="AE488" s="115"/>
      <c r="AF488" s="1257"/>
      <c r="AO488" s="1257"/>
      <c r="AP488" s="1257"/>
      <c r="AQ488" s="1257"/>
      <c r="AS488" s="1628" t="str">
        <f>IF(M421="Open Flange","Hide this row","")</f>
        <v>Hide this row</v>
      </c>
      <c r="AT488" s="143"/>
      <c r="AU488" s="143"/>
      <c r="AV488" s="143"/>
      <c r="AW488" s="143"/>
      <c r="AX488" s="143"/>
      <c r="AY488" s="143"/>
      <c r="AZ488" s="143"/>
      <c r="BA488" s="143"/>
      <c r="BB488" s="143"/>
      <c r="BC488" s="143"/>
      <c r="BD488" s="143"/>
      <c r="BE488" s="143"/>
      <c r="BF488" s="143"/>
      <c r="BG488" s="143"/>
      <c r="BH488" s="143"/>
      <c r="BI488" s="143"/>
      <c r="BJ488" s="143"/>
      <c r="BK488" s="143"/>
      <c r="BL488" s="143"/>
      <c r="BM488" s="143"/>
      <c r="BN488" s="143"/>
      <c r="BO488" s="143"/>
      <c r="BP488" s="143"/>
      <c r="BQ488" s="143"/>
      <c r="BR488" s="143"/>
      <c r="BS488" s="143"/>
      <c r="BT488" s="143"/>
      <c r="BU488" s="143"/>
    </row>
    <row r="489" spans="1:73" s="73" customFormat="1" ht="15" hidden="1" customHeight="1">
      <c r="A489" s="143"/>
      <c r="B489" s="170"/>
      <c r="C489" s="170"/>
      <c r="D489" s="170"/>
      <c r="E489" s="124" t="s">
        <v>2657</v>
      </c>
      <c r="F489" s="170"/>
      <c r="G489" s="170" t="s">
        <v>2668</v>
      </c>
      <c r="H489" s="170"/>
      <c r="I489" s="170"/>
      <c r="J489" s="170"/>
      <c r="K489" s="122"/>
      <c r="L489" s="170"/>
      <c r="N489" s="170" t="s">
        <v>2617</v>
      </c>
      <c r="P489" s="124" t="s">
        <v>324</v>
      </c>
      <c r="R489" s="170" t="s">
        <v>2667</v>
      </c>
      <c r="X489" s="170"/>
      <c r="Y489" s="170"/>
      <c r="Z489" s="170"/>
      <c r="AA489" s="170"/>
      <c r="AB489" s="170"/>
      <c r="AC489" s="1251"/>
      <c r="AD489" s="170"/>
      <c r="AE489" s="170"/>
      <c r="AG489" s="143"/>
      <c r="AH489" s="1257"/>
      <c r="AO489" s="1257"/>
      <c r="AP489" s="1257"/>
      <c r="AQ489" s="1257"/>
      <c r="AS489" s="1628" t="str">
        <f>IF(M421="Open Flange","Hide this row","")</f>
        <v>Hide this row</v>
      </c>
      <c r="AT489" s="143"/>
      <c r="AU489" s="143"/>
      <c r="AV489" s="143"/>
      <c r="AW489" s="143"/>
      <c r="AX489" s="143"/>
      <c r="AY489" s="143"/>
      <c r="AZ489" s="143"/>
      <c r="BA489" s="143"/>
      <c r="BB489" s="143"/>
      <c r="BC489" s="143"/>
      <c r="BD489" s="143"/>
      <c r="BE489" s="143"/>
      <c r="BF489" s="143"/>
      <c r="BG489" s="143"/>
      <c r="BH489" s="143"/>
      <c r="BI489" s="143"/>
      <c r="BJ489" s="143"/>
      <c r="BK489" s="143"/>
      <c r="BL489" s="143"/>
      <c r="BM489" s="143"/>
      <c r="BN489" s="143"/>
      <c r="BO489" s="143"/>
      <c r="BP489" s="143"/>
      <c r="BQ489" s="143"/>
      <c r="BR489" s="143"/>
      <c r="BS489" s="143"/>
      <c r="BT489" s="143"/>
      <c r="BU489" s="143"/>
    </row>
    <row r="490" spans="1:73" s="73" customFormat="1" ht="15" hidden="1" customHeight="1">
      <c r="A490" s="143"/>
      <c r="B490" s="170"/>
      <c r="C490" s="170"/>
      <c r="D490" s="170"/>
      <c r="E490" s="124"/>
      <c r="F490" s="170"/>
      <c r="G490" s="170"/>
      <c r="H490" s="170"/>
      <c r="I490" s="170"/>
      <c r="J490" s="170"/>
      <c r="K490" s="122"/>
      <c r="P490" s="124" t="s">
        <v>324</v>
      </c>
      <c r="Q490" s="124" t="s">
        <v>2542</v>
      </c>
      <c r="R490" s="2094">
        <f>+AE265</f>
        <v>2400</v>
      </c>
      <c r="S490" s="2094"/>
      <c r="T490" s="2094"/>
      <c r="U490" s="124" t="s">
        <v>2543</v>
      </c>
      <c r="V490" s="1862">
        <f>+AE257</f>
        <v>1940</v>
      </c>
      <c r="W490" s="1862"/>
      <c r="X490" s="1862"/>
      <c r="Y490" s="124" t="s">
        <v>2544</v>
      </c>
      <c r="Z490" s="170"/>
      <c r="AA490" s="1862">
        <f>+AE259</f>
        <v>120</v>
      </c>
      <c r="AB490" s="1862"/>
      <c r="AC490" s="124" t="s">
        <v>3006</v>
      </c>
      <c r="AD490" s="170"/>
      <c r="AE490" s="170"/>
      <c r="AF490" s="1862">
        <f>+AE258</f>
        <v>40</v>
      </c>
      <c r="AG490" s="1862"/>
      <c r="AH490" s="124" t="s">
        <v>2543</v>
      </c>
      <c r="AI490" s="1862">
        <f>+AE260</f>
        <v>2800</v>
      </c>
      <c r="AJ490" s="1862"/>
      <c r="AK490" s="1862"/>
      <c r="AL490" s="124" t="s">
        <v>2545</v>
      </c>
      <c r="AN490" s="143"/>
      <c r="AO490" s="2111">
        <f>+AE256</f>
        <v>40</v>
      </c>
      <c r="AP490" s="2111"/>
      <c r="AQ490" s="1217" t="s">
        <v>2546</v>
      </c>
      <c r="AS490" s="1628" t="str">
        <f>IF(M421="Open Flange","Hide this row","")</f>
        <v>Hide this row</v>
      </c>
      <c r="AT490" s="143"/>
      <c r="AU490" s="143"/>
      <c r="AV490" s="143"/>
      <c r="AW490" s="143"/>
      <c r="AX490" s="143"/>
      <c r="AY490" s="143"/>
      <c r="AZ490" s="143"/>
      <c r="BA490" s="143"/>
      <c r="BB490" s="143"/>
      <c r="BC490" s="143"/>
      <c r="BD490" s="143"/>
      <c r="BE490" s="143"/>
      <c r="BF490" s="143"/>
      <c r="BG490" s="143"/>
      <c r="BH490" s="143"/>
      <c r="BI490" s="143"/>
      <c r="BJ490" s="143"/>
      <c r="BK490" s="143"/>
      <c r="BL490" s="143"/>
      <c r="BM490" s="143"/>
      <c r="BN490" s="143"/>
      <c r="BO490" s="143"/>
      <c r="BP490" s="143"/>
      <c r="BQ490" s="143"/>
      <c r="BR490" s="143"/>
      <c r="BS490" s="143"/>
      <c r="BT490" s="143"/>
      <c r="BU490" s="143"/>
    </row>
    <row r="491" spans="1:73" s="73" customFormat="1" ht="15" hidden="1" customHeight="1">
      <c r="A491" s="143"/>
      <c r="B491" s="170"/>
      <c r="C491" s="170"/>
      <c r="D491" s="170"/>
      <c r="E491" s="124"/>
      <c r="F491" s="170"/>
      <c r="G491" s="170"/>
      <c r="H491" s="170"/>
      <c r="I491" s="170"/>
      <c r="J491" s="170"/>
      <c r="K491" s="122"/>
      <c r="L491" s="170"/>
      <c r="N491" s="124"/>
      <c r="P491" s="124" t="s">
        <v>324</v>
      </c>
      <c r="R491" s="2111">
        <f>+(R490+V490-2*AA490)*(0.5*AF490+AI490+0.5*AO490)/2</f>
        <v>5822000</v>
      </c>
      <c r="S491" s="2111"/>
      <c r="T491" s="2111"/>
      <c r="U491" s="2111"/>
      <c r="V491" s="73" t="s">
        <v>1001</v>
      </c>
      <c r="AS491" s="1628" t="str">
        <f>IF(M421="Open Flange","Hide this row","")</f>
        <v>Hide this row</v>
      </c>
      <c r="AT491" s="143"/>
      <c r="AU491" s="143"/>
      <c r="AV491" s="143"/>
      <c r="AW491" s="143"/>
      <c r="AX491" s="143"/>
      <c r="AY491" s="143"/>
      <c r="AZ491" s="143"/>
      <c r="BA491" s="143"/>
      <c r="BB491" s="143"/>
      <c r="BC491" s="143"/>
      <c r="BD491" s="143"/>
      <c r="BE491" s="143"/>
      <c r="BF491" s="143"/>
      <c r="BG491" s="143"/>
      <c r="BH491" s="143"/>
      <c r="BI491" s="143"/>
      <c r="BJ491" s="143"/>
      <c r="BK491" s="143"/>
      <c r="BL491" s="143"/>
      <c r="BM491" s="143"/>
      <c r="BN491" s="143"/>
      <c r="BO491" s="143"/>
      <c r="BP491" s="143"/>
      <c r="BQ491" s="143"/>
      <c r="BR491" s="143"/>
      <c r="BS491" s="143"/>
      <c r="BT491" s="143"/>
      <c r="BU491" s="143"/>
    </row>
    <row r="492" spans="1:73" s="73" customFormat="1" ht="15" hidden="1" customHeight="1">
      <c r="A492" s="143"/>
      <c r="B492" s="170"/>
      <c r="C492" s="170"/>
      <c r="D492" s="170"/>
      <c r="E492" s="73" t="s">
        <v>2656</v>
      </c>
      <c r="G492" s="73" t="s">
        <v>2661</v>
      </c>
      <c r="N492" s="73" t="s">
        <v>839</v>
      </c>
      <c r="P492" s="76" t="s">
        <v>324</v>
      </c>
      <c r="R492" s="2136">
        <f>+R481</f>
        <v>40</v>
      </c>
      <c r="S492" s="2136"/>
      <c r="T492" s="2136"/>
      <c r="U492" s="1263" t="s">
        <v>999</v>
      </c>
      <c r="AS492" s="1628" t="str">
        <f>IF(M421="Open Flange","Hide this row","")</f>
        <v>Hide this row</v>
      </c>
      <c r="AT492" s="143"/>
      <c r="AU492" s="143"/>
      <c r="AV492" s="143"/>
      <c r="AW492" s="143"/>
      <c r="AX492" s="143"/>
      <c r="AY492" s="143"/>
      <c r="AZ492" s="143"/>
      <c r="BA492" s="143"/>
      <c r="BB492" s="143"/>
      <c r="BC492" s="143"/>
      <c r="BD492" s="143"/>
      <c r="BE492" s="143"/>
      <c r="BF492" s="143"/>
      <c r="BG492" s="143"/>
      <c r="BH492" s="143"/>
      <c r="BI492" s="143"/>
      <c r="BJ492" s="143"/>
      <c r="BK492" s="143"/>
      <c r="BL492" s="143"/>
      <c r="BM492" s="143"/>
      <c r="BN492" s="143"/>
      <c r="BO492" s="143"/>
      <c r="BP492" s="143"/>
      <c r="BQ492" s="143"/>
      <c r="BR492" s="143"/>
      <c r="BS492" s="143"/>
      <c r="BT492" s="143"/>
      <c r="BU492" s="143"/>
    </row>
    <row r="493" spans="1:73" s="73" customFormat="1" ht="15" hidden="1" customHeight="1">
      <c r="A493" s="143"/>
      <c r="B493" s="170"/>
      <c r="C493" s="649"/>
      <c r="E493" s="73" t="s">
        <v>2656</v>
      </c>
      <c r="G493" s="73" t="s">
        <v>2426</v>
      </c>
      <c r="N493" s="73" t="s">
        <v>400</v>
      </c>
      <c r="P493" s="76" t="s">
        <v>324</v>
      </c>
      <c r="R493" s="73" t="s">
        <v>2670</v>
      </c>
      <c r="T493" s="76"/>
      <c r="Y493" s="1211"/>
      <c r="Z493" s="1211"/>
      <c r="AA493" s="76"/>
      <c r="AB493" s="76" t="s">
        <v>324</v>
      </c>
      <c r="AD493" s="73" t="s">
        <v>2547</v>
      </c>
      <c r="AF493" s="76"/>
      <c r="AG493" s="2111">
        <f>+AE280</f>
        <v>-2.04</v>
      </c>
      <c r="AH493" s="2111"/>
      <c r="AI493" s="2111"/>
      <c r="AJ493" s="1415" t="s">
        <v>391</v>
      </c>
      <c r="AK493" s="2111">
        <f>+AE281</f>
        <v>0</v>
      </c>
      <c r="AL493" s="2111"/>
      <c r="AM493" s="2111"/>
      <c r="AN493" s="1261" t="s">
        <v>391</v>
      </c>
      <c r="AO493" s="2111">
        <f>+AE282</f>
        <v>-15.59</v>
      </c>
      <c r="AP493" s="2111"/>
      <c r="AQ493" s="2111"/>
      <c r="AR493" s="1416" t="s">
        <v>2512</v>
      </c>
      <c r="AS493" s="1628" t="str">
        <f>IF(M421="Open Flange","Hide this row","")</f>
        <v>Hide this row</v>
      </c>
      <c r="AT493" s="143"/>
      <c r="AU493" s="143"/>
      <c r="AV493" s="143"/>
      <c r="AW493" s="143"/>
      <c r="AX493" s="143"/>
      <c r="AY493" s="143"/>
      <c r="AZ493" s="143"/>
      <c r="BA493" s="143"/>
      <c r="BB493" s="143"/>
      <c r="BC493" s="143"/>
      <c r="BD493" s="143"/>
      <c r="BE493" s="143"/>
      <c r="BF493" s="143"/>
      <c r="BG493" s="143"/>
      <c r="BH493" s="143"/>
      <c r="BI493" s="143"/>
      <c r="BJ493" s="143"/>
      <c r="BK493" s="143"/>
      <c r="BL493" s="143"/>
      <c r="BM493" s="143"/>
      <c r="BN493" s="143"/>
      <c r="BO493" s="143"/>
      <c r="BP493" s="143"/>
      <c r="BQ493" s="143"/>
      <c r="BR493" s="143"/>
      <c r="BS493" s="143"/>
      <c r="BT493" s="143"/>
      <c r="BU493" s="143"/>
    </row>
    <row r="494" spans="1:73" s="73" customFormat="1" ht="15" hidden="1" customHeight="1">
      <c r="A494" s="143"/>
      <c r="B494" s="170"/>
      <c r="C494" s="649"/>
      <c r="P494" s="76" t="s">
        <v>324</v>
      </c>
      <c r="R494" s="2192">
        <f>1.25*(AG493+AK493+AO493)</f>
        <v>-22.037499999999998</v>
      </c>
      <c r="S494" s="2192"/>
      <c r="T494" s="2192"/>
      <c r="U494" s="2192"/>
      <c r="V494" s="1263" t="s">
        <v>1005</v>
      </c>
      <c r="W494" s="1211"/>
      <c r="AG494" s="806"/>
      <c r="AH494" s="806"/>
      <c r="AI494" s="806"/>
      <c r="AO494" s="1257"/>
      <c r="AP494" s="1257"/>
      <c r="AQ494" s="1257"/>
      <c r="AS494" s="1628" t="str">
        <f>IF(M421="Open Flange","Hide this row","")</f>
        <v>Hide this row</v>
      </c>
      <c r="AT494" s="143"/>
      <c r="AU494" s="143"/>
      <c r="AV494" s="143"/>
      <c r="AW494" s="143"/>
      <c r="AX494" s="143"/>
      <c r="AY494" s="143"/>
      <c r="AZ494" s="143"/>
      <c r="BA494" s="143"/>
      <c r="BB494" s="143"/>
      <c r="BC494" s="143"/>
      <c r="BD494" s="143"/>
      <c r="BE494" s="143"/>
      <c r="BF494" s="143"/>
      <c r="BG494" s="143"/>
      <c r="BH494" s="143"/>
      <c r="BI494" s="143"/>
      <c r="BJ494" s="143"/>
      <c r="BK494" s="143"/>
      <c r="BL494" s="143"/>
      <c r="BM494" s="143"/>
      <c r="BN494" s="143"/>
      <c r="BO494" s="143"/>
      <c r="BP494" s="143"/>
      <c r="BQ494" s="143"/>
      <c r="BR494" s="143"/>
      <c r="BS494" s="143"/>
      <c r="BT494" s="143"/>
      <c r="BU494" s="143"/>
    </row>
    <row r="495" spans="1:73" s="73" customFormat="1" ht="15" hidden="1" customHeight="1">
      <c r="A495" s="143"/>
      <c r="B495" s="170"/>
      <c r="C495" s="170"/>
      <c r="D495" s="170"/>
      <c r="E495" s="170" t="s">
        <v>2671</v>
      </c>
      <c r="F495" s="170"/>
      <c r="H495" s="170"/>
      <c r="I495" s="170"/>
      <c r="J495" s="170"/>
      <c r="K495" s="122"/>
      <c r="L495" s="170"/>
      <c r="M495" s="170"/>
      <c r="N495" s="170" t="s">
        <v>2619</v>
      </c>
      <c r="O495" s="170"/>
      <c r="P495" s="76" t="s">
        <v>324</v>
      </c>
      <c r="Q495" s="170"/>
      <c r="R495" s="170" t="s">
        <v>2730</v>
      </c>
      <c r="W495" s="76" t="s">
        <v>2697</v>
      </c>
      <c r="Y495" s="2093">
        <f>+R494</f>
        <v>-22.037499999999998</v>
      </c>
      <c r="Z495" s="1862"/>
      <c r="AA495" s="1862"/>
      <c r="AB495" s="124" t="s">
        <v>2672</v>
      </c>
      <c r="AC495" s="170"/>
      <c r="AD495" s="170"/>
      <c r="AE495" s="1862">
        <f>+R491/10^6</f>
        <v>5.8220000000000001</v>
      </c>
      <c r="AF495" s="1862"/>
      <c r="AG495" s="1862"/>
      <c r="AH495" s="741" t="s">
        <v>2489</v>
      </c>
      <c r="AI495" s="2111">
        <f>+R492/1000</f>
        <v>0.04</v>
      </c>
      <c r="AJ495" s="2111"/>
      <c r="AK495" s="2111"/>
      <c r="AL495" s="76" t="s">
        <v>2512</v>
      </c>
      <c r="AS495" s="1628" t="str">
        <f>IF(M421="Open Flange","Hide this row","")</f>
        <v>Hide this row</v>
      </c>
      <c r="AT495" s="143"/>
      <c r="AU495" s="143"/>
      <c r="AV495" s="143"/>
      <c r="AW495" s="143"/>
      <c r="AX495" s="143"/>
      <c r="AY495" s="143"/>
      <c r="AZ495" s="143"/>
      <c r="BA495" s="143"/>
      <c r="BB495" s="143"/>
      <c r="BC495" s="143"/>
      <c r="BD495" s="143"/>
      <c r="BE495" s="143"/>
      <c r="BF495" s="143"/>
      <c r="BG495" s="143"/>
      <c r="BH495" s="143"/>
      <c r="BI495" s="143"/>
      <c r="BJ495" s="143"/>
      <c r="BK495" s="143"/>
      <c r="BL495" s="143"/>
      <c r="BM495" s="143"/>
      <c r="BN495" s="143"/>
      <c r="BO495" s="143"/>
      <c r="BP495" s="143"/>
      <c r="BQ495" s="143"/>
      <c r="BR495" s="143"/>
      <c r="BS495" s="143"/>
      <c r="BT495" s="143"/>
      <c r="BU495" s="143"/>
    </row>
    <row r="496" spans="1:73" s="73" customFormat="1" ht="15" hidden="1" customHeight="1">
      <c r="A496" s="143"/>
      <c r="B496" s="170"/>
      <c r="P496" s="76" t="s">
        <v>324</v>
      </c>
      <c r="R496" s="2111">
        <f>Y495/(2*AE495*AI495)</f>
        <v>-47.315140845070417</v>
      </c>
      <c r="S496" s="2111"/>
      <c r="T496" s="2111"/>
      <c r="U496" s="73" t="s">
        <v>2673</v>
      </c>
      <c r="V496" s="170"/>
      <c r="W496" s="170"/>
      <c r="X496" s="124" t="s">
        <v>324</v>
      </c>
      <c r="Y496" s="1251"/>
      <c r="Z496" s="2169">
        <f>+R496/1000</f>
        <v>-4.7315140845070415E-2</v>
      </c>
      <c r="AA496" s="2169"/>
      <c r="AB496" s="2169"/>
      <c r="AC496" s="143" t="s">
        <v>1012</v>
      </c>
      <c r="AD496" s="1257"/>
      <c r="AF496" s="1257"/>
      <c r="AO496" s="1257"/>
      <c r="AP496" s="1257"/>
      <c r="AQ496" s="1257"/>
      <c r="AS496" s="1628" t="str">
        <f>IF(M421="Open Flange","Hide this row","")</f>
        <v>Hide this row</v>
      </c>
      <c r="AT496" s="143"/>
      <c r="AU496" s="143"/>
      <c r="AV496" s="143"/>
      <c r="AW496" s="143"/>
      <c r="AX496" s="143"/>
      <c r="AY496" s="143"/>
      <c r="AZ496" s="143"/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</row>
    <row r="497" spans="1:73" s="73" customFormat="1" ht="15" hidden="1" customHeight="1">
      <c r="A497" s="143"/>
      <c r="B497" s="170"/>
      <c r="M497" s="170" t="s">
        <v>2462</v>
      </c>
      <c r="N497" s="1419" t="s">
        <v>2674</v>
      </c>
      <c r="P497" s="76" t="s">
        <v>324</v>
      </c>
      <c r="R497" s="1414" t="s">
        <v>2675</v>
      </c>
      <c r="U497" s="2111">
        <f>+Z496</f>
        <v>-4.7315140845070415E-2</v>
      </c>
      <c r="V497" s="2111"/>
      <c r="W497" s="2111"/>
      <c r="X497" s="124" t="s">
        <v>2490</v>
      </c>
      <c r="Y497" s="2096">
        <f>+AE294</f>
        <v>380</v>
      </c>
      <c r="Z497" s="1862"/>
      <c r="AA497" s="1862"/>
      <c r="AB497" s="76" t="s">
        <v>2676</v>
      </c>
      <c r="AC497" s="143"/>
      <c r="AD497" s="1257"/>
      <c r="AF497" s="76" t="s">
        <v>324</v>
      </c>
      <c r="AH497" s="2150">
        <f>+SQRT(1-(U497/Y497)^2)</f>
        <v>0.99999999224819058</v>
      </c>
      <c r="AI497" s="2150"/>
      <c r="AJ497" s="2150"/>
      <c r="AO497" s="1257"/>
      <c r="AP497" s="1257"/>
      <c r="AQ497" s="1257"/>
      <c r="AS497" s="1628" t="str">
        <f>IF(M421="Open Flange","Hide this row","")</f>
        <v>Hide this row</v>
      </c>
      <c r="AT497" s="143"/>
      <c r="AU497" s="143"/>
      <c r="AV497" s="143"/>
      <c r="AW497" s="143"/>
      <c r="AX497" s="143"/>
      <c r="AY497" s="143"/>
      <c r="AZ497" s="143"/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</row>
    <row r="498" spans="1:73" s="73" customFormat="1" ht="15" hidden="1" customHeight="1">
      <c r="A498" s="143"/>
      <c r="B498" s="170"/>
      <c r="W498" s="170"/>
      <c r="AS498" s="1628" t="str">
        <f>IF(M421="Open Flange","Hide this row","")</f>
        <v>Hide this row</v>
      </c>
      <c r="AT498" s="143"/>
      <c r="AU498" s="143"/>
      <c r="AV498" s="143"/>
      <c r="AW498" s="143"/>
      <c r="AX498" s="143"/>
      <c r="AY498" s="143"/>
      <c r="AZ498" s="143"/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</row>
    <row r="499" spans="1:73" s="73" customFormat="1" ht="15" hidden="1" customHeight="1">
      <c r="A499" s="143"/>
      <c r="B499" s="170"/>
      <c r="C499" s="73" t="s">
        <v>789</v>
      </c>
      <c r="E499" s="73" t="s">
        <v>2727</v>
      </c>
      <c r="P499" s="76"/>
      <c r="R499" s="1262"/>
      <c r="S499" s="1262"/>
      <c r="T499" s="1262"/>
      <c r="W499" s="170"/>
      <c r="AF499" s="76"/>
      <c r="AP499" s="1257"/>
      <c r="AQ499" s="1257"/>
      <c r="AS499" s="1628" t="str">
        <f>IF(M421="Open Flange","Hide this row","")</f>
        <v>Hide this row</v>
      </c>
      <c r="AT499" s="143"/>
      <c r="AU499" s="143"/>
      <c r="AV499" s="143"/>
      <c r="AW499" s="143"/>
      <c r="AX499" s="143"/>
      <c r="AY499" s="143"/>
      <c r="AZ499" s="143"/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</row>
    <row r="500" spans="1:73" s="73" customFormat="1" ht="15" hidden="1" customHeight="1">
      <c r="A500" s="143"/>
      <c r="B500" s="170"/>
      <c r="D500" s="1450"/>
      <c r="E500" s="1444" t="s">
        <v>2651</v>
      </c>
      <c r="F500" s="1443"/>
      <c r="G500" s="1451" t="s">
        <v>324</v>
      </c>
      <c r="H500" s="1443"/>
      <c r="I500" s="1443" t="str">
        <f>IF(P475="보강된 플랜지","w / tfc","bfc / tfc")</f>
        <v>bfc / tfc</v>
      </c>
      <c r="J500" s="1443"/>
      <c r="K500" s="1442"/>
      <c r="L500" s="1442"/>
      <c r="M500" s="1451" t="s">
        <v>324</v>
      </c>
      <c r="N500" s="1443"/>
      <c r="O500" s="2114">
        <f>R482</f>
        <v>600</v>
      </c>
      <c r="P500" s="2114"/>
      <c r="Q500" s="2114"/>
      <c r="R500" s="1451" t="s">
        <v>2490</v>
      </c>
      <c r="S500" s="2135">
        <f>+R481</f>
        <v>40</v>
      </c>
      <c r="T500" s="2135"/>
      <c r="U500" s="2135"/>
      <c r="V500" s="1442"/>
      <c r="W500" s="1443"/>
      <c r="X500" s="1442"/>
      <c r="Y500" s="1442"/>
      <c r="Z500" s="1442"/>
      <c r="AA500" s="1442"/>
      <c r="AB500" s="1442"/>
      <c r="AC500" s="1442"/>
      <c r="AD500" s="1442"/>
      <c r="AE500" s="1442"/>
      <c r="AF500" s="1453"/>
      <c r="AG500" s="1442"/>
      <c r="AH500" s="1442"/>
      <c r="AI500" s="1442"/>
      <c r="AJ500" s="1442"/>
      <c r="AK500" s="1442"/>
      <c r="AL500" s="1442"/>
      <c r="AM500" s="1442"/>
      <c r="AN500" s="1442"/>
      <c r="AO500" s="1442"/>
      <c r="AP500" s="1454"/>
      <c r="AQ500" s="1257"/>
      <c r="AS500" s="1628" t="str">
        <f>IF(M421="Open Flange","Hide this row","")</f>
        <v>Hide this row</v>
      </c>
      <c r="AT500" s="143"/>
      <c r="AU500" s="143"/>
      <c r="AV500" s="143"/>
      <c r="AW500" s="143"/>
      <c r="AX500" s="143"/>
      <c r="AY500" s="143"/>
      <c r="AZ500" s="143"/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</row>
    <row r="501" spans="1:73" s="73" customFormat="1" ht="15" hidden="1" customHeight="1">
      <c r="A501" s="143"/>
      <c r="B501" s="170"/>
      <c r="D501" s="1455"/>
      <c r="E501" s="122"/>
      <c r="F501" s="122"/>
      <c r="G501" s="124" t="s">
        <v>324</v>
      </c>
      <c r="H501" s="122"/>
      <c r="I501" s="2169">
        <f>+O500/S500</f>
        <v>15</v>
      </c>
      <c r="J501" s="2169"/>
      <c r="K501" s="2169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70"/>
      <c r="X501" s="122"/>
      <c r="Y501" s="122"/>
      <c r="Z501" s="122"/>
      <c r="AA501" s="122"/>
      <c r="AB501" s="122"/>
      <c r="AC501" s="122"/>
      <c r="AD501" s="122"/>
      <c r="AE501" s="122"/>
      <c r="AF501" s="74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456"/>
      <c r="AQ501" s="1257"/>
      <c r="AS501" s="1628" t="str">
        <f>IF(M421="Open Flange","Hide this row","")</f>
        <v>Hide this row</v>
      </c>
      <c r="AT501" s="143"/>
      <c r="AU501" s="143"/>
      <c r="AV501" s="143"/>
      <c r="AW501" s="143"/>
      <c r="AX501" s="143"/>
      <c r="AY501" s="143"/>
      <c r="AZ501" s="143"/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</row>
    <row r="502" spans="1:73" s="73" customFormat="1" ht="15" hidden="1" customHeight="1">
      <c r="A502" s="170"/>
      <c r="B502" s="143"/>
      <c r="C502" s="170"/>
      <c r="D502" s="1210"/>
      <c r="E502" s="1413" t="s">
        <v>2653</v>
      </c>
      <c r="F502" s="170"/>
      <c r="G502" s="124" t="s">
        <v>324</v>
      </c>
      <c r="H502" s="170"/>
      <c r="I502" s="170" t="s">
        <v>2652</v>
      </c>
      <c r="J502" s="170"/>
      <c r="K502" s="122"/>
      <c r="L502" s="170"/>
      <c r="M502" s="170"/>
      <c r="N502" s="170"/>
      <c r="O502" s="170"/>
      <c r="P502" s="170"/>
      <c r="Q502" s="170"/>
      <c r="R502" s="170"/>
      <c r="S502" s="124" t="s">
        <v>324</v>
      </c>
      <c r="T502" s="170" t="s">
        <v>2678</v>
      </c>
      <c r="U502" s="122"/>
      <c r="V502" s="122"/>
      <c r="W502" s="2142">
        <f>+AE291</f>
        <v>210000</v>
      </c>
      <c r="X502" s="2143"/>
      <c r="Y502" s="2143"/>
      <c r="Z502" s="2143"/>
      <c r="AA502" s="74" t="s">
        <v>2489</v>
      </c>
      <c r="AB502" s="2143">
        <f>IF(Q479=0,R478,AG485)</f>
        <v>4</v>
      </c>
      <c r="AC502" s="2143"/>
      <c r="AD502" s="2143"/>
      <c r="AE502" s="74" t="s">
        <v>2490</v>
      </c>
      <c r="AF502" s="124" t="s">
        <v>2506</v>
      </c>
      <c r="AG502" s="2095">
        <f>+AH497</f>
        <v>0.99999999224819058</v>
      </c>
      <c r="AH502" s="1862"/>
      <c r="AI502" s="1862"/>
      <c r="AJ502" s="74" t="s">
        <v>2677</v>
      </c>
      <c r="AK502" s="53"/>
      <c r="AL502" s="53"/>
      <c r="AM502" s="2142">
        <f>+Y497</f>
        <v>380</v>
      </c>
      <c r="AN502" s="2143"/>
      <c r="AO502" s="2143"/>
      <c r="AP502" s="1457" t="s">
        <v>2679</v>
      </c>
      <c r="AQ502" s="1257"/>
      <c r="AS502" s="1628" t="str">
        <f>IF(M421="Open Flange","Hide this row","")</f>
        <v>Hide this row</v>
      </c>
      <c r="AT502" s="143"/>
      <c r="AU502" s="143"/>
      <c r="AV502" s="143"/>
      <c r="AW502" s="143"/>
      <c r="AX502" s="143"/>
      <c r="AY502" s="143"/>
      <c r="AZ502" s="143"/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</row>
    <row r="503" spans="1:73" s="73" customFormat="1" ht="15" hidden="1" customHeight="1">
      <c r="A503" s="170"/>
      <c r="B503" s="143"/>
      <c r="C503" s="649"/>
      <c r="D503" s="1210"/>
      <c r="E503" s="1413"/>
      <c r="F503" s="170"/>
      <c r="G503" s="74" t="s">
        <v>324</v>
      </c>
      <c r="H503" s="122"/>
      <c r="I503" s="2239">
        <f>0.95*SQRT(W502*AB502/(AG502-0.3)/AM502)</f>
        <v>53.385391555751823</v>
      </c>
      <c r="J503" s="2239"/>
      <c r="K503" s="2239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456"/>
      <c r="AQ503" s="1257"/>
      <c r="AS503" s="1628" t="str">
        <f>IF(M421="Open Flange","Hide this row","")</f>
        <v>Hide this row</v>
      </c>
      <c r="AT503" s="143"/>
      <c r="AU503" s="143"/>
      <c r="AV503" s="143"/>
      <c r="AW503" s="143"/>
      <c r="AX503" s="143"/>
      <c r="AY503" s="143"/>
      <c r="AZ503" s="143"/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</row>
    <row r="504" spans="1:73" s="73" customFormat="1" ht="15" hidden="1" customHeight="1">
      <c r="A504" s="170"/>
      <c r="B504" s="143"/>
      <c r="C504" s="649"/>
      <c r="D504" s="1210"/>
      <c r="E504" s="1413" t="s">
        <v>2680</v>
      </c>
      <c r="F504" s="122"/>
      <c r="G504" s="124" t="s">
        <v>324</v>
      </c>
      <c r="H504" s="122"/>
      <c r="I504" s="122" t="s">
        <v>2681</v>
      </c>
      <c r="J504" s="122"/>
      <c r="K504" s="122"/>
      <c r="L504" s="122"/>
      <c r="M504" s="122"/>
      <c r="N504" s="122"/>
      <c r="O504" s="122"/>
      <c r="P504" s="122"/>
      <c r="Q504" s="122"/>
      <c r="R504" s="170"/>
      <c r="S504" s="124" t="s">
        <v>324</v>
      </c>
      <c r="T504" s="170" t="s">
        <v>2682</v>
      </c>
      <c r="U504" s="122"/>
      <c r="V504" s="122"/>
      <c r="W504" s="2142">
        <f>+W502</f>
        <v>210000</v>
      </c>
      <c r="X504" s="2143"/>
      <c r="Y504" s="2143"/>
      <c r="Z504" s="2143"/>
      <c r="AA504" s="74" t="s">
        <v>2489</v>
      </c>
      <c r="AB504" s="2143">
        <f>+AB502</f>
        <v>4</v>
      </c>
      <c r="AC504" s="2143"/>
      <c r="AD504" s="2143"/>
      <c r="AE504" s="74" t="s">
        <v>2490</v>
      </c>
      <c r="AF504" s="2095">
        <f>+AG502</f>
        <v>0.99999999224819058</v>
      </c>
      <c r="AG504" s="1862"/>
      <c r="AH504" s="1862"/>
      <c r="AI504" s="74" t="s">
        <v>2490</v>
      </c>
      <c r="AJ504" s="2142">
        <f>+AM502</f>
        <v>380</v>
      </c>
      <c r="AK504" s="2143"/>
      <c r="AL504" s="2143"/>
      <c r="AM504" s="74" t="s">
        <v>2679</v>
      </c>
      <c r="AN504" s="122"/>
      <c r="AO504" s="1325"/>
      <c r="AP504" s="1456"/>
      <c r="AQ504" s="1257"/>
      <c r="AS504" s="1628" t="str">
        <f>IF(M421="Open Flange","Hide this row","")</f>
        <v>Hide this row</v>
      </c>
      <c r="AT504" s="143"/>
      <c r="AU504" s="143"/>
      <c r="AV504" s="143"/>
      <c r="AW504" s="143"/>
      <c r="AX504" s="143"/>
      <c r="AY504" s="143"/>
      <c r="AZ504" s="143"/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</row>
    <row r="505" spans="1:73" s="73" customFormat="1" ht="15" hidden="1" customHeight="1">
      <c r="A505" s="170"/>
      <c r="B505" s="143"/>
      <c r="C505" s="1252"/>
      <c r="D505" s="1448"/>
      <c r="E505" s="1333"/>
      <c r="F505" s="1437"/>
      <c r="G505" s="1335" t="s">
        <v>324</v>
      </c>
      <c r="H505" s="1333"/>
      <c r="I505" s="2232">
        <f>0.57*SQRT(W504*AB504/AF504/AJ504)</f>
        <v>26.79925382482411</v>
      </c>
      <c r="J505" s="2232"/>
      <c r="K505" s="2232"/>
      <c r="L505" s="1437"/>
      <c r="M505" s="1437"/>
      <c r="N505" s="1437"/>
      <c r="O505" s="1437"/>
      <c r="P505" s="1437"/>
      <c r="Q505" s="1437"/>
      <c r="R505" s="1437"/>
      <c r="S505" s="1437"/>
      <c r="T505" s="1437"/>
      <c r="U505" s="1437"/>
      <c r="V505" s="1437"/>
      <c r="W505" s="1437"/>
      <c r="X505" s="1437"/>
      <c r="Y505" s="1437"/>
      <c r="Z505" s="1437"/>
      <c r="AA505" s="1437"/>
      <c r="AB505" s="1437"/>
      <c r="AC505" s="1437"/>
      <c r="AD505" s="1437"/>
      <c r="AE505" s="1437"/>
      <c r="AF505" s="1437"/>
      <c r="AG505" s="1437"/>
      <c r="AH505" s="1437"/>
      <c r="AI505" s="1437"/>
      <c r="AJ505" s="1437"/>
      <c r="AK505" s="1437"/>
      <c r="AL505" s="1437"/>
      <c r="AM505" s="1437"/>
      <c r="AN505" s="1437"/>
      <c r="AO505" s="1458"/>
      <c r="AP505" s="1459"/>
      <c r="AQ505" s="1257"/>
      <c r="AS505" s="1628" t="str">
        <f>IF(M421="Open Flange","Hide this row","")</f>
        <v>Hide this row</v>
      </c>
      <c r="AT505" s="143"/>
      <c r="AU505" s="143"/>
      <c r="AV505" s="143"/>
      <c r="AW505" s="143"/>
      <c r="AX505" s="143"/>
      <c r="AY505" s="143"/>
      <c r="AZ505" s="143"/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</row>
    <row r="506" spans="1:73" s="73" customFormat="1" ht="15" hidden="1" customHeight="1">
      <c r="A506" s="170"/>
      <c r="B506" s="143"/>
      <c r="C506" s="1187"/>
      <c r="D506" s="170"/>
      <c r="E506" s="170" t="s">
        <v>2683</v>
      </c>
      <c r="F506" s="170"/>
      <c r="G506" s="100"/>
      <c r="H506" s="170"/>
      <c r="I506" s="170" t="str">
        <f>+IF(I501&lt;=I505,"λf &lt; λp",IF(I501&lt;=I503,"λp &lt; λf &lt; λr","λr &lt; λf"))</f>
        <v>λf &lt; λp</v>
      </c>
      <c r="J506" s="170"/>
      <c r="K506" s="170"/>
      <c r="L506" s="1186"/>
      <c r="O506" s="73" t="s">
        <v>2684</v>
      </c>
      <c r="AA506" s="1422" t="str">
        <f>+IF(I501&lt;=I505,"(1)",IF(I501&lt;=I503,"(2)","(3)"))</f>
        <v>(1)</v>
      </c>
      <c r="AS506" s="1628" t="str">
        <f>IF(M421="Open Flange","Hide this row","")</f>
        <v>Hide this row</v>
      </c>
      <c r="AT506" s="143"/>
      <c r="AU506" s="143"/>
      <c r="AV506" s="143"/>
      <c r="AW506" s="143"/>
      <c r="AX506" s="143"/>
      <c r="AY506" s="143"/>
      <c r="AZ506" s="143"/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</row>
    <row r="507" spans="1:73" s="73" customFormat="1" ht="15" hidden="1" customHeight="1">
      <c r="A507" s="134"/>
      <c r="B507" s="97"/>
      <c r="C507" s="61"/>
      <c r="D507" s="170"/>
      <c r="E507" s="170" t="s">
        <v>984</v>
      </c>
      <c r="F507" s="1227"/>
      <c r="G507" s="124" t="s">
        <v>324</v>
      </c>
      <c r="H507" s="1227"/>
      <c r="I507" s="170" t="s">
        <v>1754</v>
      </c>
      <c r="J507" s="1227"/>
      <c r="K507" s="170"/>
      <c r="L507" s="1227"/>
      <c r="M507" s="170"/>
      <c r="N507" s="1423" t="s">
        <v>324</v>
      </c>
      <c r="O507" s="170"/>
      <c r="P507" s="170" t="s">
        <v>2614</v>
      </c>
      <c r="Q507" s="170"/>
      <c r="R507" s="2095">
        <f>+AJ416</f>
        <v>0.99923410806496615</v>
      </c>
      <c r="S507" s="1862"/>
      <c r="T507" s="1862"/>
      <c r="U507" s="124" t="s">
        <v>2489</v>
      </c>
      <c r="V507" s="2096">
        <f>+Y497</f>
        <v>380</v>
      </c>
      <c r="W507" s="1862"/>
      <c r="X507" s="1862"/>
      <c r="Y507" s="1227"/>
      <c r="Z507" s="170"/>
      <c r="AA507" s="108"/>
      <c r="AC507" s="143"/>
      <c r="AD507" s="1236"/>
      <c r="AF507" s="1236"/>
      <c r="AS507" s="1628" t="str">
        <f>IF(M421="Open Flange","Hide this row",IF(AA506&lt;&gt;"(1)","Hide this row",""))</f>
        <v>Hide this row</v>
      </c>
      <c r="AT507" s="143"/>
      <c r="AU507" s="143"/>
      <c r="AV507" s="143"/>
      <c r="AW507" s="143"/>
      <c r="AX507" s="143"/>
      <c r="AY507" s="143"/>
      <c r="AZ507" s="143"/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</row>
    <row r="508" spans="1:73" s="73" customFormat="1" ht="15" hidden="1" customHeight="1">
      <c r="A508" s="170"/>
      <c r="B508" s="143"/>
      <c r="C508" s="1187"/>
      <c r="D508" s="170"/>
      <c r="E508" s="170"/>
      <c r="F508" s="170"/>
      <c r="G508" s="124" t="s">
        <v>324</v>
      </c>
      <c r="H508" s="170"/>
      <c r="I508" s="2158">
        <f>+R507*V507</f>
        <v>379.70896106468712</v>
      </c>
      <c r="J508" s="2158"/>
      <c r="K508" s="2158"/>
      <c r="L508" s="73" t="s">
        <v>1012</v>
      </c>
      <c r="R508" s="170"/>
      <c r="AS508" s="1628" t="str">
        <f>IF(M421="Open Flange","Hide this row",IF(AA506&lt;&gt;"(1)","Hide this row",""))</f>
        <v>Hide this row</v>
      </c>
      <c r="AT508" s="143"/>
      <c r="AU508" s="143"/>
      <c r="AV508" s="143"/>
      <c r="AW508" s="143"/>
      <c r="AX508" s="143"/>
      <c r="AY508" s="143"/>
      <c r="AZ508" s="143"/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</row>
    <row r="509" spans="1:73" s="73" customFormat="1" ht="15" hidden="1" customHeight="1">
      <c r="A509" s="170"/>
      <c r="B509" s="143"/>
      <c r="C509" s="1215"/>
      <c r="D509" s="170"/>
      <c r="E509" s="170" t="s">
        <v>984</v>
      </c>
      <c r="F509" s="1251"/>
      <c r="G509" s="124" t="s">
        <v>324</v>
      </c>
      <c r="H509" s="1251"/>
      <c r="I509" s="170" t="s">
        <v>2685</v>
      </c>
      <c r="J509" s="1251"/>
      <c r="K509" s="170"/>
      <c r="L509" s="1251"/>
      <c r="M509" s="170"/>
      <c r="N509" s="170"/>
      <c r="O509" s="170"/>
      <c r="P509" s="170"/>
      <c r="Q509" s="170"/>
      <c r="R509" s="170"/>
      <c r="S509" s="170"/>
      <c r="T509" s="170"/>
      <c r="U509" s="170"/>
      <c r="AS509" s="1628" t="str">
        <f>IF(M421="Open Flange","Hide this row",IF(AA506&lt;&gt;"(2)","Hide this row",""))</f>
        <v>Hide this row</v>
      </c>
      <c r="AT509" s="143"/>
      <c r="AU509" s="143"/>
      <c r="AV509" s="143"/>
      <c r="AW509" s="143"/>
      <c r="AX509" s="143"/>
      <c r="AY509" s="143"/>
      <c r="AZ509" s="143"/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</row>
    <row r="510" spans="1:73" s="73" customFormat="1" ht="15" hidden="1" customHeight="1">
      <c r="A510" s="170"/>
      <c r="B510" s="143"/>
      <c r="C510" s="1215"/>
      <c r="D510" s="170"/>
      <c r="E510" s="170"/>
      <c r="F510" s="170"/>
      <c r="G510" s="1871" t="s">
        <v>324</v>
      </c>
      <c r="H510" s="170"/>
      <c r="I510" s="1870" t="s">
        <v>2756</v>
      </c>
      <c r="J510" s="1870"/>
      <c r="K510" s="2095">
        <f>+AJ416</f>
        <v>0.99923410806496615</v>
      </c>
      <c r="L510" s="2095"/>
      <c r="M510" s="2095"/>
      <c r="N510" s="1944" t="s">
        <v>2686</v>
      </c>
      <c r="O510" s="2096">
        <f>+Y497</f>
        <v>380</v>
      </c>
      <c r="P510" s="2096"/>
      <c r="Q510" s="2096"/>
      <c r="R510" s="1944" t="s">
        <v>2687</v>
      </c>
      <c r="S510" s="2095">
        <f>+AH497</f>
        <v>0.99999999224819058</v>
      </c>
      <c r="T510" s="2095"/>
      <c r="U510" s="2095"/>
      <c r="V510" s="1944" t="s">
        <v>2688</v>
      </c>
      <c r="W510" s="2095">
        <f>+AH497</f>
        <v>0.99999999224819058</v>
      </c>
      <c r="X510" s="1862"/>
      <c r="Y510" s="1862"/>
      <c r="Z510" s="1944" t="s">
        <v>2689</v>
      </c>
      <c r="AA510" s="2183">
        <f>+AH497</f>
        <v>0.99999999224819058</v>
      </c>
      <c r="AB510" s="2090"/>
      <c r="AC510" s="2090"/>
      <c r="AD510" s="1431" t="s">
        <v>2690</v>
      </c>
      <c r="AE510" s="1432"/>
      <c r="AF510" s="2122" t="s">
        <v>2691</v>
      </c>
      <c r="AG510" s="2111"/>
      <c r="AH510" s="2149">
        <f>+I501</f>
        <v>15</v>
      </c>
      <c r="AI510" s="2149"/>
      <c r="AJ510" s="2149"/>
      <c r="AK510" s="1433" t="s">
        <v>2689</v>
      </c>
      <c r="AL510" s="2149">
        <f>+I505</f>
        <v>26.79925382482411</v>
      </c>
      <c r="AM510" s="2149"/>
      <c r="AN510" s="2149"/>
      <c r="AO510" s="2122" t="s">
        <v>2693</v>
      </c>
      <c r="AS510" s="1628" t="str">
        <f>IF(M421="Open Flange","Hide this row",IF(AA506&lt;&gt;"(2)","Hide this row",""))</f>
        <v>Hide this row</v>
      </c>
      <c r="AT510" s="143"/>
      <c r="AU510" s="143"/>
      <c r="AV510" s="143"/>
      <c r="AW510" s="143"/>
      <c r="AX510" s="143"/>
      <c r="AY510" s="143"/>
      <c r="AZ510" s="143"/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</row>
    <row r="511" spans="1:73" s="73" customFormat="1" ht="15" hidden="1" customHeight="1">
      <c r="A511" s="170"/>
      <c r="B511" s="143"/>
      <c r="C511" s="1215"/>
      <c r="D511" s="170"/>
      <c r="E511" s="124"/>
      <c r="F511" s="170"/>
      <c r="G511" s="1871"/>
      <c r="H511" s="170"/>
      <c r="I511" s="1870"/>
      <c r="J511" s="1870"/>
      <c r="K511" s="2095"/>
      <c r="L511" s="2095"/>
      <c r="M511" s="2095"/>
      <c r="N511" s="1944"/>
      <c r="O511" s="2096"/>
      <c r="P511" s="2096"/>
      <c r="Q511" s="2096"/>
      <c r="R511" s="1944"/>
      <c r="S511" s="2095"/>
      <c r="T511" s="2095"/>
      <c r="U511" s="2095"/>
      <c r="V511" s="1944"/>
      <c r="W511" s="1862"/>
      <c r="X511" s="1862"/>
      <c r="Y511" s="1862"/>
      <c r="Z511" s="1944"/>
      <c r="AA511" s="2134">
        <f>+AJ416</f>
        <v>0.99923410806496615</v>
      </c>
      <c r="AB511" s="2135"/>
      <c r="AC511" s="2135"/>
      <c r="AD511" s="2135"/>
      <c r="AE511" s="2135"/>
      <c r="AF511" s="2111"/>
      <c r="AG511" s="2111"/>
      <c r="AH511" s="2111">
        <f>+I503</f>
        <v>53.385391555751823</v>
      </c>
      <c r="AI511" s="2111"/>
      <c r="AJ511" s="2111"/>
      <c r="AK511" s="76" t="s">
        <v>2689</v>
      </c>
      <c r="AL511" s="2111">
        <f>+I505</f>
        <v>26.79925382482411</v>
      </c>
      <c r="AM511" s="2111"/>
      <c r="AN511" s="2111"/>
      <c r="AO511" s="2111"/>
      <c r="AS511" s="1628" t="str">
        <f>IF(M421="Open Flange","Hide this row",IF(AA506&lt;&gt;"(2)","Hide this row",""))</f>
        <v>Hide this row</v>
      </c>
      <c r="AT511" s="143"/>
      <c r="AU511" s="143"/>
      <c r="AV511" s="143"/>
      <c r="AW511" s="143"/>
      <c r="AX511" s="143"/>
      <c r="AY511" s="143"/>
      <c r="AZ511" s="143"/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</row>
    <row r="512" spans="1:73" s="73" customFormat="1" ht="15" hidden="1" customHeight="1">
      <c r="A512" s="170"/>
      <c r="B512" s="143"/>
      <c r="D512" s="170"/>
      <c r="E512" s="124"/>
      <c r="F512" s="170"/>
      <c r="G512" s="124" t="s">
        <v>324</v>
      </c>
      <c r="I512" s="2235">
        <f>K510*O510*(S510-(W510-(AA510-0.3)/AA511)*((AH510-AL510)/(AH511-AL511)))</f>
        <v>430.17438891698663</v>
      </c>
      <c r="J512" s="2235"/>
      <c r="K512" s="2235"/>
      <c r="L512" s="2235"/>
      <c r="M512" s="73" t="s">
        <v>2695</v>
      </c>
      <c r="AS512" s="1628" t="str">
        <f>IF(M421="Open Flange","Hide this row",IF(AA506&lt;&gt;"(2)","Hide this row",""))</f>
        <v>Hide this row</v>
      </c>
      <c r="AT512" s="143"/>
      <c r="AU512" s="143"/>
      <c r="AV512" s="143"/>
      <c r="AW512" s="143"/>
      <c r="AX512" s="143"/>
      <c r="AY512" s="143"/>
      <c r="AZ512" s="143"/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</row>
    <row r="513" spans="1:73" s="73" customFormat="1" ht="15" hidden="1" customHeight="1">
      <c r="A513" s="170"/>
      <c r="B513" s="143"/>
      <c r="D513" s="170"/>
      <c r="E513" s="170" t="s">
        <v>984</v>
      </c>
      <c r="F513" s="170"/>
      <c r="G513" s="124" t="s">
        <v>324</v>
      </c>
      <c r="I513" s="1420" t="s">
        <v>2696</v>
      </c>
      <c r="J513" s="1434"/>
      <c r="K513" s="1434"/>
      <c r="L513" s="1434"/>
      <c r="N513" s="76" t="s">
        <v>2697</v>
      </c>
      <c r="O513" s="2111">
        <v>0.9</v>
      </c>
      <c r="P513" s="2111"/>
      <c r="Q513" s="76" t="s">
        <v>2686</v>
      </c>
      <c r="R513" s="2118">
        <f>+AE291</f>
        <v>210000</v>
      </c>
      <c r="S513" s="2118"/>
      <c r="T513" s="2118"/>
      <c r="U513" s="2118"/>
      <c r="V513" s="76" t="s">
        <v>2698</v>
      </c>
      <c r="X513" s="76"/>
      <c r="Y513" s="2110">
        <f>IF(Q479=0,R478,AG485)</f>
        <v>4</v>
      </c>
      <c r="Z513" s="2111"/>
      <c r="AA513" s="2111"/>
      <c r="AB513" s="76" t="s">
        <v>2699</v>
      </c>
      <c r="AC513" s="2236">
        <f>+I501</f>
        <v>15</v>
      </c>
      <c r="AD513" s="2236"/>
      <c r="AE513" s="2236"/>
      <c r="AF513" s="73" t="s">
        <v>2700</v>
      </c>
      <c r="AS513" s="1628" t="str">
        <f>IF(M421="Open Flange","Hide this row",IF(AA506&lt;&gt;"(3)","Hide this row",""))</f>
        <v>Hide this row</v>
      </c>
      <c r="AT513" s="143"/>
      <c r="AU513" s="143"/>
      <c r="AV513" s="143"/>
      <c r="AW513" s="143"/>
      <c r="AX513" s="143"/>
      <c r="AY513" s="143"/>
      <c r="AZ513" s="143"/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</row>
    <row r="514" spans="1:73" s="73" customFormat="1" ht="15" hidden="1" customHeight="1">
      <c r="A514" s="170"/>
      <c r="B514" s="143"/>
      <c r="D514" s="170"/>
      <c r="E514" s="124"/>
      <c r="F514" s="170"/>
      <c r="G514" s="76" t="s">
        <v>2697</v>
      </c>
      <c r="I514" s="2237">
        <f>0.9*R513*Y513/AC513^2</f>
        <v>3360</v>
      </c>
      <c r="J514" s="2237"/>
      <c r="K514" s="2237"/>
      <c r="L514" s="73" t="s">
        <v>2695</v>
      </c>
      <c r="AS514" s="1628" t="str">
        <f>IF(M421="Open Flange","Hide this row",IF(AA506&lt;&gt;"(3)","Hide this row",""))</f>
        <v>Hide this row</v>
      </c>
      <c r="AT514" s="143"/>
      <c r="AU514" s="143"/>
      <c r="AV514" s="143"/>
      <c r="AW514" s="143"/>
      <c r="AX514" s="143"/>
      <c r="AY514" s="143"/>
      <c r="AZ514" s="143"/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</row>
    <row r="515" spans="1:73" s="73" customFormat="1" ht="15" hidden="1" customHeight="1">
      <c r="A515" s="170"/>
      <c r="B515" s="143"/>
      <c r="D515" s="170"/>
      <c r="E515" s="124"/>
      <c r="F515" s="170"/>
      <c r="G515" s="76"/>
      <c r="I515" s="1418"/>
      <c r="J515" s="1418"/>
      <c r="K515" s="1418"/>
      <c r="AS515" s="1628" t="str">
        <f>IF(M421="Open Flange","Hide this row","")</f>
        <v>Hide this row</v>
      </c>
      <c r="AT515" s="143"/>
      <c r="AU515" s="143"/>
      <c r="AV515" s="143"/>
      <c r="AW515" s="143"/>
      <c r="AX515" s="143"/>
      <c r="AY515" s="143"/>
      <c r="AZ515" s="143"/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</row>
    <row r="516" spans="1:73" s="73" customFormat="1" ht="15" hidden="1" customHeight="1">
      <c r="A516" s="134"/>
      <c r="B516" s="1177" t="s">
        <v>2466</v>
      </c>
      <c r="C516" s="143" t="s">
        <v>249</v>
      </c>
      <c r="D516" s="136"/>
      <c r="E516" s="147"/>
      <c r="F516" s="136"/>
      <c r="G516" s="136"/>
      <c r="H516" s="136"/>
      <c r="I516" s="170"/>
      <c r="J516" s="170"/>
      <c r="K516" s="170"/>
      <c r="L516" s="170"/>
      <c r="M516" s="1296"/>
      <c r="N516" s="170"/>
      <c r="P516" s="170"/>
      <c r="Q516" s="170"/>
      <c r="R516" s="170"/>
      <c r="S516" s="170"/>
      <c r="T516" s="170"/>
      <c r="U516" s="170"/>
      <c r="V516" s="170"/>
      <c r="X516" s="170"/>
      <c r="Y516" s="1296"/>
      <c r="Z516" s="170"/>
      <c r="AC516" s="143"/>
      <c r="AD516" s="1309"/>
      <c r="AF516" s="1309"/>
      <c r="AR516" s="1529" t="s">
        <v>2907</v>
      </c>
      <c r="AS516" s="1628" t="str">
        <f>IF(M421="Open Flange","Hide this row","")</f>
        <v>Hide this row</v>
      </c>
      <c r="AT516" s="143"/>
      <c r="AU516" s="143"/>
      <c r="AV516" s="143"/>
      <c r="AW516" s="143"/>
      <c r="AX516" s="143"/>
      <c r="AY516" s="143"/>
      <c r="AZ516" s="143"/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</row>
    <row r="517" spans="1:73" s="73" customFormat="1" ht="20.100000000000001" hidden="1" customHeight="1">
      <c r="A517" s="143"/>
      <c r="B517" s="170"/>
      <c r="C517" s="148" t="s">
        <v>134</v>
      </c>
      <c r="D517" s="141"/>
      <c r="E517" s="148"/>
      <c r="F517" s="148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8" t="s">
        <v>250</v>
      </c>
      <c r="V517" s="141"/>
      <c r="W517" s="141"/>
      <c r="X517" s="141"/>
      <c r="Y517" s="141"/>
      <c r="Z517" s="141"/>
      <c r="AA517" s="141"/>
      <c r="AB517" s="141"/>
      <c r="AC517" s="143"/>
      <c r="AD517" s="1309"/>
      <c r="AF517" s="1309"/>
      <c r="AS517" s="1628" t="str">
        <f>IF(M421="Open Flange","Hide this row","")</f>
        <v>Hide this row</v>
      </c>
      <c r="AT517" s="143"/>
      <c r="AU517" s="143"/>
      <c r="AV517" s="143"/>
      <c r="AW517" s="143"/>
      <c r="AX517" s="143"/>
      <c r="AY517" s="143"/>
      <c r="AZ517" s="143"/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</row>
    <row r="518" spans="1:73" s="73" customFormat="1" ht="20.100000000000001" hidden="1" customHeight="1">
      <c r="A518" s="143"/>
      <c r="B518" s="134"/>
      <c r="C518" s="93" t="s">
        <v>1691</v>
      </c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4" t="s">
        <v>251</v>
      </c>
      <c r="V518" s="93"/>
      <c r="W518" s="93"/>
      <c r="X518" s="93"/>
      <c r="Y518" s="93"/>
      <c r="Z518" s="93"/>
      <c r="AA518" s="93"/>
      <c r="AB518" s="1022" t="s">
        <v>2716</v>
      </c>
      <c r="AC518" s="143"/>
      <c r="AD518" s="1309"/>
      <c r="AF518" s="1309"/>
      <c r="AS518" s="1628" t="str">
        <f>IF(M421="Open Flange","Hide this row","")</f>
        <v>Hide this row</v>
      </c>
      <c r="AT518" s="143"/>
      <c r="AU518" s="143"/>
      <c r="AV518" s="143"/>
      <c r="AW518" s="143"/>
      <c r="AX518" s="143"/>
      <c r="AY518" s="143"/>
      <c r="AZ518" s="143"/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</row>
    <row r="519" spans="1:73" s="73" customFormat="1" ht="20.100000000000001" hidden="1" customHeight="1">
      <c r="A519" s="143"/>
      <c r="B519" s="170"/>
      <c r="C519" s="110" t="s">
        <v>1692</v>
      </c>
      <c r="D519" s="110"/>
      <c r="E519" s="111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110" t="s">
        <v>1693</v>
      </c>
      <c r="V519" s="110"/>
      <c r="W519" s="110"/>
      <c r="X519" s="110"/>
      <c r="Y519" s="110"/>
      <c r="Z519" s="110"/>
      <c r="AA519" s="110"/>
      <c r="AB519" s="1440" t="s">
        <v>2717</v>
      </c>
      <c r="AC519" s="143"/>
      <c r="AD519" s="1309"/>
      <c r="AF519" s="1309"/>
      <c r="AS519" s="1628" t="str">
        <f>IF(M421="Open Flange","Hide this row","")</f>
        <v>Hide this row</v>
      </c>
      <c r="AT519" s="143"/>
      <c r="AU519" s="143"/>
      <c r="AV519" s="143"/>
      <c r="AW519" s="143"/>
      <c r="AX519" s="143"/>
      <c r="AY519" s="143"/>
      <c r="AZ519" s="143"/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</row>
    <row r="520" spans="1:73" s="73" customFormat="1" ht="20.100000000000001" hidden="1" customHeight="1">
      <c r="A520" s="143"/>
      <c r="B520" s="170"/>
      <c r="C520" s="145" t="s">
        <v>1694</v>
      </c>
      <c r="D520" s="145"/>
      <c r="E520" s="149"/>
      <c r="F520" s="145"/>
      <c r="G520" s="145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 t="s">
        <v>1695</v>
      </c>
      <c r="V520" s="145"/>
      <c r="W520" s="145"/>
      <c r="X520" s="145"/>
      <c r="Y520" s="145"/>
      <c r="Z520" s="145"/>
      <c r="AA520" s="145"/>
      <c r="AB520" s="261" t="s">
        <v>2718</v>
      </c>
      <c r="AC520" s="143"/>
      <c r="AD520" s="1309"/>
      <c r="AF520" s="1309"/>
      <c r="AS520" s="1628" t="str">
        <f>IF(M421="Open Flange","Hide this row","")</f>
        <v>Hide this row</v>
      </c>
      <c r="AT520" s="143"/>
      <c r="AU520" s="143"/>
      <c r="AV520" s="143"/>
      <c r="AW520" s="143"/>
      <c r="AX520" s="143"/>
      <c r="AY520" s="143"/>
      <c r="AZ520" s="143"/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</row>
    <row r="521" spans="1:73" s="73" customFormat="1" ht="15" hidden="1" customHeight="1">
      <c r="A521" s="170"/>
      <c r="B521" s="143"/>
      <c r="D521" s="170"/>
      <c r="E521" s="124"/>
      <c r="F521" s="170"/>
      <c r="G521" s="124"/>
      <c r="I521" s="1434"/>
      <c r="J521" s="1434"/>
      <c r="K521" s="1434"/>
      <c r="L521" s="1434"/>
      <c r="AS521" s="1628" t="str">
        <f>IF(M421="Open Flange","Hide this row","")</f>
        <v>Hide this row</v>
      </c>
      <c r="AT521" s="143"/>
      <c r="AU521" s="143"/>
      <c r="AV521" s="143"/>
      <c r="AW521" s="143"/>
      <c r="AX521" s="143"/>
      <c r="AY521" s="143"/>
      <c r="AZ521" s="143"/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</row>
    <row r="522" spans="1:73" s="73" customFormat="1" ht="15" hidden="1" customHeight="1">
      <c r="A522" s="170"/>
      <c r="B522" s="143"/>
      <c r="C522" s="170" t="s">
        <v>786</v>
      </c>
      <c r="D522" s="170"/>
      <c r="E522" s="170" t="s">
        <v>2701</v>
      </c>
      <c r="F522" s="170"/>
      <c r="G522" s="170"/>
      <c r="H522" s="170"/>
      <c r="I522" s="170"/>
      <c r="J522" s="170"/>
      <c r="K522" s="122"/>
      <c r="L522" s="170"/>
      <c r="M522" s="170"/>
      <c r="N522" s="170"/>
      <c r="O522" s="170"/>
      <c r="P522" s="170"/>
      <c r="AS522" s="1628" t="str">
        <f>IF(M421="Open Flange","Hide this row","")</f>
        <v>Hide this row</v>
      </c>
      <c r="AT522" s="143"/>
      <c r="AU522" s="143"/>
      <c r="AV522" s="143"/>
      <c r="AW522" s="143"/>
      <c r="AX522" s="143"/>
      <c r="AY522" s="143"/>
      <c r="AZ522" s="143"/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</row>
    <row r="523" spans="1:73" s="73" customFormat="1" ht="15" hidden="1" customHeight="1">
      <c r="A523" s="170"/>
      <c r="B523" s="143"/>
      <c r="D523" s="170"/>
      <c r="E523" s="170" t="s">
        <v>2655</v>
      </c>
      <c r="F523" s="170"/>
      <c r="H523" s="170"/>
      <c r="I523" s="170"/>
      <c r="J523" s="170" t="s">
        <v>332</v>
      </c>
      <c r="K523" s="122"/>
      <c r="L523" s="124" t="s">
        <v>324</v>
      </c>
      <c r="M523" s="1862">
        <f>Q479</f>
        <v>0</v>
      </c>
      <c r="N523" s="1862"/>
      <c r="O523" s="1862"/>
      <c r="AS523" s="1628" t="str">
        <f>IF(M421="Open Flange","Hide this row","")</f>
        <v>Hide this row</v>
      </c>
      <c r="AT523" s="143"/>
      <c r="AU523" s="143"/>
      <c r="AV523" s="143"/>
      <c r="AW523" s="143"/>
      <c r="AX523" s="143"/>
      <c r="AY523" s="143"/>
      <c r="AZ523" s="143"/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</row>
    <row r="524" spans="1:73" s="73" customFormat="1" ht="15" hidden="1" customHeight="1">
      <c r="A524" s="170"/>
      <c r="B524" s="143"/>
      <c r="D524" s="170"/>
      <c r="E524" s="1944" t="s">
        <v>2704</v>
      </c>
      <c r="F524" s="741"/>
      <c r="G524" s="2151" t="s">
        <v>2697</v>
      </c>
      <c r="H524" s="1435" t="s">
        <v>2702</v>
      </c>
      <c r="I524" s="1436"/>
      <c r="J524" s="1436"/>
      <c r="K524" s="1437"/>
      <c r="L524" s="1437"/>
      <c r="M524" s="1437"/>
      <c r="N524" s="1437"/>
      <c r="O524" s="1437"/>
      <c r="Q524" s="2111" t="s">
        <v>2705</v>
      </c>
      <c r="R524" s="2111"/>
      <c r="S524" s="2111"/>
      <c r="AS524" s="1628" t="str">
        <f>IF(M421="Open Flange","Hide this row","")</f>
        <v>Hide this row</v>
      </c>
      <c r="AT524" s="143"/>
      <c r="AU524" s="143"/>
      <c r="AV524" s="143"/>
      <c r="AW524" s="143"/>
      <c r="AX524" s="143"/>
      <c r="AY524" s="143"/>
      <c r="AZ524" s="143"/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</row>
    <row r="525" spans="1:73" s="73" customFormat="1" ht="15" hidden="1" customHeight="1">
      <c r="A525" s="170"/>
      <c r="B525" s="143"/>
      <c r="D525" s="170"/>
      <c r="E525" s="1944"/>
      <c r="F525" s="741"/>
      <c r="G525" s="2151"/>
      <c r="H525" s="1434"/>
      <c r="I525" s="1434"/>
      <c r="J525" s="1420" t="s">
        <v>2703</v>
      </c>
      <c r="Q525" s="2111"/>
      <c r="R525" s="2111"/>
      <c r="S525" s="2111"/>
      <c r="AS525" s="1628" t="str">
        <f>IF(M421="Open Flange","Hide this row","")</f>
        <v>Hide this row</v>
      </c>
      <c r="AT525" s="143"/>
      <c r="AU525" s="143"/>
      <c r="AV525" s="143"/>
      <c r="AW525" s="143"/>
      <c r="AX525" s="143"/>
      <c r="AY525" s="143"/>
      <c r="AZ525" s="143"/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</row>
    <row r="526" spans="1:73" s="73" customFormat="1" ht="15" hidden="1" customHeight="1">
      <c r="A526" s="170"/>
      <c r="B526" s="143"/>
      <c r="D526" s="170"/>
      <c r="E526" s="124"/>
      <c r="F526" s="170"/>
      <c r="G526" s="1871" t="s">
        <v>2697</v>
      </c>
      <c r="H526" s="1435" t="s">
        <v>2706</v>
      </c>
      <c r="I526" s="1435"/>
      <c r="J526" s="1435"/>
      <c r="K526" s="1437"/>
      <c r="L526" s="1437"/>
      <c r="M526" s="2148">
        <f>+AB480</f>
        <v>0</v>
      </c>
      <c r="N526" s="2148"/>
      <c r="O526" s="2148"/>
      <c r="P526" s="2148"/>
      <c r="Q526" s="1433" t="s">
        <v>2699</v>
      </c>
      <c r="R526" s="2149">
        <f>+R482</f>
        <v>600</v>
      </c>
      <c r="S526" s="2149"/>
      <c r="T526" s="2149"/>
      <c r="U526" s="1433" t="s">
        <v>2699</v>
      </c>
      <c r="V526" s="2149">
        <f>+R481</f>
        <v>40</v>
      </c>
      <c r="W526" s="2149"/>
      <c r="X526" s="1437" t="s">
        <v>2707</v>
      </c>
      <c r="Y526" s="1437"/>
      <c r="AA526" s="2122" t="s">
        <v>2697</v>
      </c>
      <c r="AC526" s="2110">
        <f>+(5.34+2.84*(M526/R526/V526^3)^(1/3))/(P527+1)^2</f>
        <v>5.34</v>
      </c>
      <c r="AD526" s="2110"/>
      <c r="AE526" s="2110"/>
      <c r="AF526" s="2111" t="str">
        <f>+IF(AC526&lt;AG526,"&lt;","&gt;")</f>
        <v>&gt;</v>
      </c>
      <c r="AG526" s="2111">
        <v>5.34</v>
      </c>
      <c r="AH526" s="2111"/>
      <c r="AI526" s="2111"/>
      <c r="AS526" s="1628" t="str">
        <f>IF(M421="Open Flange","Hide this row","")</f>
        <v>Hide this row</v>
      </c>
      <c r="AT526" s="143"/>
      <c r="AU526" s="143"/>
      <c r="AV526" s="143"/>
      <c r="AW526" s="143"/>
      <c r="AX526" s="143"/>
      <c r="AY526" s="143"/>
      <c r="AZ526" s="143"/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</row>
    <row r="527" spans="1:73" s="73" customFormat="1" ht="15" hidden="1" customHeight="1">
      <c r="A527" s="170"/>
      <c r="B527" s="143"/>
      <c r="D527" s="170"/>
      <c r="E527" s="124"/>
      <c r="F527" s="170"/>
      <c r="G527" s="1871"/>
      <c r="H527" s="1420"/>
      <c r="I527" s="1420"/>
      <c r="J527" s="1420"/>
      <c r="O527" s="76" t="s">
        <v>2708</v>
      </c>
      <c r="P527" s="1439">
        <f>+M523</f>
        <v>0</v>
      </c>
      <c r="Q527" s="76" t="s">
        <v>2709</v>
      </c>
      <c r="AA527" s="2111"/>
      <c r="AC527" s="2110"/>
      <c r="AD527" s="2110"/>
      <c r="AE527" s="2110"/>
      <c r="AF527" s="2111"/>
      <c r="AG527" s="2111"/>
      <c r="AH527" s="2111"/>
      <c r="AI527" s="2111"/>
      <c r="AS527" s="1628" t="str">
        <f>IF(M421="Open Flange","Hide this row","")</f>
        <v>Hide this row</v>
      </c>
      <c r="AT527" s="143"/>
      <c r="AU527" s="143"/>
      <c r="AV527" s="143"/>
      <c r="AW527" s="143"/>
      <c r="AX527" s="143"/>
      <c r="AY527" s="143"/>
      <c r="AZ527" s="143"/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</row>
    <row r="528" spans="1:73" s="73" customFormat="1" ht="15" hidden="1" customHeight="1">
      <c r="A528" s="170"/>
      <c r="B528" s="143"/>
      <c r="D528" s="124" t="s">
        <v>2710</v>
      </c>
      <c r="E528" s="124" t="s">
        <v>2704</v>
      </c>
      <c r="F528" s="170"/>
      <c r="G528" s="1438" t="s">
        <v>2697</v>
      </c>
      <c r="H528" s="2150">
        <f xml:space="preserve"> IF(M523=0,5.34,MIN(AC526,AG526))</f>
        <v>5.34</v>
      </c>
      <c r="I528" s="2150"/>
      <c r="J528" s="2150"/>
      <c r="AS528" s="1628" t="str">
        <f>IF(M421="Open Flange","Hide this row","")</f>
        <v>Hide this row</v>
      </c>
      <c r="AT528" s="143"/>
      <c r="AU528" s="143"/>
      <c r="AV528" s="143"/>
      <c r="AW528" s="143"/>
      <c r="AX528" s="143"/>
      <c r="AY528" s="143"/>
      <c r="AZ528" s="143"/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</row>
    <row r="529" spans="1:73" s="73" customFormat="1" ht="15" hidden="1" customHeight="1">
      <c r="A529" s="170"/>
      <c r="B529" s="143"/>
      <c r="C529" s="96" t="s">
        <v>2509</v>
      </c>
      <c r="D529" s="393" t="s">
        <v>2715</v>
      </c>
      <c r="E529" s="124"/>
      <c r="F529" s="170"/>
      <c r="G529" s="1438"/>
      <c r="H529" s="1307"/>
      <c r="I529" s="1307"/>
      <c r="J529" s="1307"/>
      <c r="AS529" s="1628" t="str">
        <f>IF(M421="Open Flange","Hide this row","")</f>
        <v>Hide this row</v>
      </c>
      <c r="AT529" s="143"/>
      <c r="AU529" s="143"/>
      <c r="AV529" s="143"/>
      <c r="AW529" s="143"/>
      <c r="AX529" s="143"/>
      <c r="AY529" s="143"/>
      <c r="AZ529" s="143"/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</row>
    <row r="530" spans="1:73" s="73" customFormat="1" ht="15" hidden="1" customHeight="1">
      <c r="A530" s="170"/>
      <c r="B530" s="143"/>
      <c r="D530" s="1441"/>
      <c r="E530" s="1442"/>
      <c r="F530" s="1443"/>
      <c r="G530" s="1442"/>
      <c r="H530" s="1442"/>
      <c r="I530" s="1444" t="s">
        <v>2651</v>
      </c>
      <c r="J530" s="1442"/>
      <c r="K530" s="1445" t="s">
        <v>2697</v>
      </c>
      <c r="L530" s="1442"/>
      <c r="M530" s="2146">
        <f>+I501</f>
        <v>15</v>
      </c>
      <c r="N530" s="2146"/>
      <c r="O530" s="2146"/>
      <c r="P530" s="1442"/>
      <c r="Q530" s="1442"/>
      <c r="R530" s="1442"/>
      <c r="S530" s="1442"/>
      <c r="T530" s="1442"/>
      <c r="U530" s="1442"/>
      <c r="V530" s="1442"/>
      <c r="W530" s="1442"/>
      <c r="X530" s="1442"/>
      <c r="Y530" s="1442"/>
      <c r="Z530" s="1442"/>
      <c r="AA530" s="1442"/>
      <c r="AB530" s="1442"/>
      <c r="AC530" s="1442"/>
      <c r="AD530" s="1446"/>
      <c r="AS530" s="1628" t="str">
        <f>IF(M421="Open Flange","Hide this row","")</f>
        <v>Hide this row</v>
      </c>
      <c r="AT530" s="143"/>
      <c r="AU530" s="143"/>
      <c r="AV530" s="143"/>
      <c r="AW530" s="143"/>
      <c r="AX530" s="143"/>
      <c r="AY530" s="143"/>
      <c r="AZ530" s="143"/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</row>
    <row r="531" spans="1:73" s="73" customFormat="1" ht="15" hidden="1" customHeight="1">
      <c r="A531" s="170"/>
      <c r="B531" s="143"/>
      <c r="D531" s="1210"/>
      <c r="E531" s="170" t="s">
        <v>2711</v>
      </c>
      <c r="F531" s="170"/>
      <c r="G531" s="124"/>
      <c r="H531" s="122"/>
      <c r="I531" s="122"/>
      <c r="J531" s="122"/>
      <c r="K531" s="74" t="s">
        <v>2697</v>
      </c>
      <c r="L531" s="122"/>
      <c r="M531" s="122" t="s">
        <v>2712</v>
      </c>
      <c r="N531" s="122"/>
      <c r="O531" s="122"/>
      <c r="P531" s="2142">
        <f>+R513</f>
        <v>210000</v>
      </c>
      <c r="Q531" s="2143"/>
      <c r="R531" s="2143"/>
      <c r="S531" s="2143"/>
      <c r="T531" s="74" t="s">
        <v>2686</v>
      </c>
      <c r="U531" s="2144">
        <f>+H528</f>
        <v>5.34</v>
      </c>
      <c r="V531" s="2143"/>
      <c r="W531" s="2143"/>
      <c r="X531" s="74" t="s">
        <v>2699</v>
      </c>
      <c r="Y531" s="2142">
        <f>+V507</f>
        <v>380</v>
      </c>
      <c r="Z531" s="2143"/>
      <c r="AA531" s="2143"/>
      <c r="AB531" s="74" t="s">
        <v>2692</v>
      </c>
      <c r="AC531" s="122"/>
      <c r="AD531" s="1447"/>
      <c r="AS531" s="1628" t="str">
        <f>IF(M421="Open Flange","Hide this row","")</f>
        <v>Hide this row</v>
      </c>
      <c r="AT531" s="143"/>
      <c r="AU531" s="143"/>
      <c r="AV531" s="143"/>
      <c r="AW531" s="143"/>
      <c r="AX531" s="143"/>
      <c r="AY531" s="143"/>
      <c r="AZ531" s="143"/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</row>
    <row r="532" spans="1:73" s="73" customFormat="1" ht="15" hidden="1" customHeight="1">
      <c r="A532" s="170"/>
      <c r="B532" s="143"/>
      <c r="D532" s="1210"/>
      <c r="E532" s="124"/>
      <c r="F532" s="170"/>
      <c r="G532" s="124"/>
      <c r="H532" s="122"/>
      <c r="I532" s="122"/>
      <c r="J532" s="122"/>
      <c r="K532" s="74" t="s">
        <v>2697</v>
      </c>
      <c r="L532" s="122"/>
      <c r="M532" s="2147">
        <f>1.12*SQRT(P531*U531/Y531)</f>
        <v>60.842422872964491</v>
      </c>
      <c r="N532" s="2147"/>
      <c r="O532" s="2147"/>
      <c r="P532" s="2147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447"/>
      <c r="AE532" s="73" t="s">
        <v>2710</v>
      </c>
      <c r="AG532" s="73" t="str">
        <f>IF(M530&lt;M532,"λf ≤ 1.12√(Eks/Fyc)",IF(M530&lt;M534,"1.12√(Eks/Fyc) &lt; λf ≤ 1.40(Eks/Fyc) ","λf &gt; 1.40√(Eks/Fyc)"))</f>
        <v>λf ≤ 1.12√(Eks/Fyc)</v>
      </c>
      <c r="AS532" s="1628" t="str">
        <f>IF(M421="Open Flange","Hide this row","")</f>
        <v>Hide this row</v>
      </c>
      <c r="AT532" s="143"/>
      <c r="AU532" s="143"/>
      <c r="AV532" s="143"/>
      <c r="AW532" s="143"/>
      <c r="AX532" s="143"/>
      <c r="AY532" s="143"/>
      <c r="AZ532" s="143"/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</row>
    <row r="533" spans="1:73" s="73" customFormat="1" ht="15" hidden="1" customHeight="1">
      <c r="A533" s="170"/>
      <c r="B533" s="143"/>
      <c r="D533" s="1210"/>
      <c r="E533" s="170" t="s">
        <v>2713</v>
      </c>
      <c r="F533" s="170"/>
      <c r="G533" s="124"/>
      <c r="H533" s="122"/>
      <c r="I533" s="221"/>
      <c r="J533" s="221"/>
      <c r="K533" s="74" t="s">
        <v>2697</v>
      </c>
      <c r="L533" s="221"/>
      <c r="M533" s="122" t="s">
        <v>2714</v>
      </c>
      <c r="N533" s="122"/>
      <c r="O533" s="122"/>
      <c r="P533" s="2142">
        <f>+P531</f>
        <v>210000</v>
      </c>
      <c r="Q533" s="2143"/>
      <c r="R533" s="2143"/>
      <c r="S533" s="2143"/>
      <c r="T533" s="74" t="s">
        <v>2686</v>
      </c>
      <c r="U533" s="2144">
        <f>+U531</f>
        <v>5.34</v>
      </c>
      <c r="V533" s="2143"/>
      <c r="W533" s="2143"/>
      <c r="X533" s="74" t="s">
        <v>2699</v>
      </c>
      <c r="Y533" s="2142">
        <f>+Y531</f>
        <v>380</v>
      </c>
      <c r="Z533" s="2143"/>
      <c r="AA533" s="2143"/>
      <c r="AB533" s="74" t="s">
        <v>2692</v>
      </c>
      <c r="AC533" s="122"/>
      <c r="AD533" s="1447"/>
      <c r="AG533" s="1422" t="str">
        <f>IF(M530&lt;M532,"(1)",IF(M530&lt;M534,"(2)","(3)"))</f>
        <v>(1)</v>
      </c>
      <c r="AI533" s="73" t="s">
        <v>2719</v>
      </c>
      <c r="AS533" s="1628" t="str">
        <f>IF(M421="Open Flange","Hide this row","")</f>
        <v>Hide this row</v>
      </c>
      <c r="AT533" s="143"/>
      <c r="AU533" s="143"/>
      <c r="AV533" s="143"/>
      <c r="AW533" s="143"/>
      <c r="AX533" s="143"/>
      <c r="AY533" s="143"/>
      <c r="AZ533" s="143"/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</row>
    <row r="534" spans="1:73" s="73" customFormat="1" ht="15" hidden="1" customHeight="1">
      <c r="A534" s="170"/>
      <c r="B534" s="143"/>
      <c r="D534" s="1448"/>
      <c r="E534" s="1335"/>
      <c r="F534" s="1333"/>
      <c r="G534" s="1335"/>
      <c r="H534" s="1437"/>
      <c r="I534" s="1435"/>
      <c r="J534" s="1435"/>
      <c r="K534" s="1435"/>
      <c r="L534" s="1435"/>
      <c r="M534" s="2145">
        <f>1.4*SQRT(P533*U533/Y533)</f>
        <v>76.053028591205603</v>
      </c>
      <c r="N534" s="2145"/>
      <c r="O534" s="2145"/>
      <c r="P534" s="2145"/>
      <c r="Q534" s="1437"/>
      <c r="R534" s="1437"/>
      <c r="S534" s="1437"/>
      <c r="T534" s="1437"/>
      <c r="U534" s="1437"/>
      <c r="V534" s="1437"/>
      <c r="W534" s="1437"/>
      <c r="X534" s="1437"/>
      <c r="Y534" s="1437"/>
      <c r="Z534" s="1437"/>
      <c r="AA534" s="1437"/>
      <c r="AB534" s="1437"/>
      <c r="AC534" s="1437"/>
      <c r="AD534" s="1449"/>
      <c r="AS534" s="1628" t="str">
        <f>IF(M421="Open Flange","Hide this row","")</f>
        <v>Hide this row</v>
      </c>
      <c r="AT534" s="143"/>
      <c r="AU534" s="143"/>
      <c r="AV534" s="143"/>
      <c r="AW534" s="143"/>
      <c r="AX534" s="143"/>
      <c r="AY534" s="143"/>
      <c r="AZ534" s="143"/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</row>
    <row r="535" spans="1:73" s="73" customFormat="1" ht="15" hidden="1" customHeight="1">
      <c r="A535" s="170"/>
      <c r="B535" s="143"/>
      <c r="D535" s="170"/>
      <c r="E535" s="124"/>
      <c r="F535" s="170"/>
      <c r="G535" s="124"/>
      <c r="I535" s="1420"/>
      <c r="J535" s="1420"/>
      <c r="K535" s="1420"/>
      <c r="L535" s="1420"/>
      <c r="M535" s="1420"/>
      <c r="N535" s="1420"/>
      <c r="O535" s="1420"/>
      <c r="P535" s="1420"/>
      <c r="AS535" s="1628" t="str">
        <f>IF(M421="Open Flange","Hide this row","")</f>
        <v>Hide this row</v>
      </c>
      <c r="AT535" s="143"/>
      <c r="AU535" s="143"/>
      <c r="AV535" s="143"/>
      <c r="AW535" s="143"/>
      <c r="AX535" s="143"/>
      <c r="AY535" s="143"/>
      <c r="AZ535" s="143"/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</row>
    <row r="536" spans="1:73" s="73" customFormat="1" ht="15" hidden="1" customHeight="1">
      <c r="A536" s="170"/>
      <c r="B536" s="143"/>
      <c r="D536" s="170"/>
      <c r="G536" s="73" t="s">
        <v>2710</v>
      </c>
      <c r="H536" s="124" t="s">
        <v>2726</v>
      </c>
      <c r="I536" s="170"/>
      <c r="K536" s="124" t="s">
        <v>2697</v>
      </c>
      <c r="M536" s="1420" t="s">
        <v>2725</v>
      </c>
      <c r="S536" s="76" t="s">
        <v>2697</v>
      </c>
      <c r="T536" s="2111">
        <v>0.57999999999999996</v>
      </c>
      <c r="U536" s="2111"/>
      <c r="V536" s="2111"/>
      <c r="W536" s="76" t="s">
        <v>2686</v>
      </c>
      <c r="X536" s="2118">
        <f>+Y533</f>
        <v>380</v>
      </c>
      <c r="Y536" s="2111"/>
      <c r="Z536" s="2111"/>
      <c r="AS536" s="1628" t="str">
        <f>IF(M421="Open Flange","Hide this row",IF(AG533&lt;&gt;"(1)","Hide this row",""))</f>
        <v>Hide this row</v>
      </c>
      <c r="AT536" s="143"/>
      <c r="AU536" s="143"/>
      <c r="AV536" s="143"/>
      <c r="AW536" s="143"/>
      <c r="AX536" s="143"/>
      <c r="AY536" s="143"/>
      <c r="AZ536" s="143"/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</row>
    <row r="537" spans="1:73" s="73" customFormat="1" ht="15" hidden="1" customHeight="1">
      <c r="A537" s="170"/>
      <c r="B537" s="143"/>
      <c r="D537" s="170"/>
      <c r="E537" s="124"/>
      <c r="F537" s="170"/>
      <c r="G537" s="124"/>
      <c r="I537" s="1420"/>
      <c r="J537" s="1420"/>
      <c r="K537" s="124" t="s">
        <v>2697</v>
      </c>
      <c r="L537" s="1420"/>
      <c r="M537" s="2124">
        <f>+T536*X536</f>
        <v>220.39999999999998</v>
      </c>
      <c r="N537" s="2124"/>
      <c r="O537" s="2124"/>
      <c r="P537" s="73" t="s">
        <v>2694</v>
      </c>
      <c r="AS537" s="1628" t="str">
        <f>IF(M421="Open Flange","Hide this row",IF(AG533&lt;&gt;"(1)","Hide this row",""))</f>
        <v>Hide this row</v>
      </c>
      <c r="AT537" s="143"/>
      <c r="AU537" s="143"/>
      <c r="AV537" s="143"/>
      <c r="AW537" s="143"/>
      <c r="AX537" s="143"/>
      <c r="AY537" s="143"/>
      <c r="AZ537" s="143"/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</row>
    <row r="538" spans="1:73" s="73" customFormat="1" ht="15" hidden="1" customHeight="1">
      <c r="A538" s="170"/>
      <c r="B538" s="143"/>
      <c r="D538" s="170"/>
      <c r="E538" s="124"/>
      <c r="F538" s="170"/>
      <c r="G538" s="73" t="s">
        <v>2710</v>
      </c>
      <c r="H538" s="124" t="s">
        <v>2726</v>
      </c>
      <c r="I538" s="170"/>
      <c r="K538" s="124" t="s">
        <v>2697</v>
      </c>
      <c r="M538" s="1420" t="s">
        <v>2720</v>
      </c>
      <c r="S538" s="76" t="s">
        <v>2697</v>
      </c>
      <c r="T538" s="1211" t="s">
        <v>2721</v>
      </c>
      <c r="U538" s="1211"/>
      <c r="V538" s="1211"/>
      <c r="W538" s="76"/>
      <c r="X538" s="2118">
        <f>+X536</f>
        <v>380</v>
      </c>
      <c r="Y538" s="2118"/>
      <c r="Z538" s="2118"/>
      <c r="AA538" s="76" t="s">
        <v>2686</v>
      </c>
      <c r="AB538" s="2118">
        <f>+P533</f>
        <v>210000</v>
      </c>
      <c r="AC538" s="2111"/>
      <c r="AD538" s="2111"/>
      <c r="AE538" s="2111"/>
      <c r="AF538" s="76" t="s">
        <v>2686</v>
      </c>
      <c r="AG538" s="2110">
        <f>+H528</f>
        <v>5.34</v>
      </c>
      <c r="AH538" s="2111"/>
      <c r="AI538" s="2111"/>
      <c r="AJ538" s="76" t="s">
        <v>2722</v>
      </c>
      <c r="AK538" s="2111">
        <f>+M530</f>
        <v>15</v>
      </c>
      <c r="AL538" s="2111"/>
      <c r="AM538" s="2111"/>
      <c r="AS538" s="1628" t="str">
        <f>IF(M421="Open Flange","Hide this row",IF(AG533&lt;&gt;"(2)","Hide this row",""))</f>
        <v>Hide this row</v>
      </c>
      <c r="AT538" s="143"/>
      <c r="AU538" s="143"/>
      <c r="AV538" s="143"/>
      <c r="AW538" s="143"/>
      <c r="AX538" s="143"/>
      <c r="AY538" s="143"/>
      <c r="AZ538" s="143"/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</row>
    <row r="539" spans="1:73" s="73" customFormat="1" ht="15" hidden="1" customHeight="1">
      <c r="A539" s="170"/>
      <c r="B539" s="143"/>
      <c r="D539" s="170"/>
      <c r="E539" s="124"/>
      <c r="F539" s="170"/>
      <c r="G539" s="124"/>
      <c r="I539" s="1420"/>
      <c r="J539" s="1420"/>
      <c r="K539" s="124" t="s">
        <v>2697</v>
      </c>
      <c r="L539" s="1420"/>
      <c r="M539" s="2124">
        <f>0.65*SQRT(X538*AB538*AG538)/AK538</f>
        <v>894.52847914418032</v>
      </c>
      <c r="N539" s="2124"/>
      <c r="O539" s="2124"/>
      <c r="P539" s="73" t="s">
        <v>2694</v>
      </c>
      <c r="AS539" s="1628" t="str">
        <f>IF(M421="Open Flange","Hide this row",IF(AG533&lt;&gt;"(2)","Hide this row",""))</f>
        <v>Hide this row</v>
      </c>
      <c r="AT539" s="143"/>
      <c r="AU539" s="143"/>
      <c r="AV539" s="143"/>
      <c r="AW539" s="143"/>
      <c r="AX539" s="143"/>
      <c r="AY539" s="143"/>
      <c r="AZ539" s="143"/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</row>
    <row r="540" spans="1:73" s="73" customFormat="1" ht="15" hidden="1" customHeight="1">
      <c r="A540" s="170"/>
      <c r="B540" s="143"/>
      <c r="D540" s="170"/>
      <c r="E540" s="124"/>
      <c r="F540" s="170"/>
      <c r="G540" s="73" t="s">
        <v>2710</v>
      </c>
      <c r="H540" s="124" t="s">
        <v>2726</v>
      </c>
      <c r="I540" s="170"/>
      <c r="K540" s="124" t="s">
        <v>2697</v>
      </c>
      <c r="M540" s="1420" t="s">
        <v>2723</v>
      </c>
      <c r="S540" s="76" t="s">
        <v>2697</v>
      </c>
      <c r="T540" s="1211" t="s">
        <v>2724</v>
      </c>
      <c r="U540" s="1211"/>
      <c r="V540" s="1211"/>
      <c r="W540" s="2118">
        <f>+AB538</f>
        <v>210000</v>
      </c>
      <c r="X540" s="2118"/>
      <c r="Y540" s="2118"/>
      <c r="Z540" s="2118"/>
      <c r="AA540" s="76" t="s">
        <v>2686</v>
      </c>
      <c r="AB540" s="2110">
        <f>+H528</f>
        <v>5.34</v>
      </c>
      <c r="AC540" s="2110"/>
      <c r="AD540" s="2110"/>
      <c r="AE540" s="1211"/>
      <c r="AF540" s="76" t="s">
        <v>2699</v>
      </c>
      <c r="AG540" s="2110">
        <f>+M530</f>
        <v>15</v>
      </c>
      <c r="AH540" s="2111"/>
      <c r="AI540" s="2111"/>
      <c r="AJ540" s="76" t="s">
        <v>2700</v>
      </c>
      <c r="AK540" s="1211"/>
      <c r="AL540" s="1211"/>
      <c r="AM540" s="1211"/>
      <c r="AS540" s="1628" t="str">
        <f>IF(M421="Open Flange","Hide this row",IF(AG533&lt;&gt;"(3)","Hide this row",""))</f>
        <v>Hide this row</v>
      </c>
      <c r="AT540" s="143"/>
      <c r="AU540" s="143"/>
      <c r="AV540" s="143"/>
      <c r="AW540" s="143"/>
      <c r="AX540" s="143"/>
      <c r="AY540" s="143"/>
      <c r="AZ540" s="143"/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</row>
    <row r="541" spans="1:73" s="73" customFormat="1" ht="15" hidden="1" customHeight="1">
      <c r="A541" s="170"/>
      <c r="B541" s="143"/>
      <c r="D541" s="170"/>
      <c r="E541" s="124"/>
      <c r="F541" s="170"/>
      <c r="G541" s="124"/>
      <c r="I541" s="1420"/>
      <c r="J541" s="1420"/>
      <c r="K541" s="124" t="s">
        <v>2697</v>
      </c>
      <c r="L541" s="1420"/>
      <c r="M541" s="2124">
        <f>0.9*W540*AB540/AG540/AG540</f>
        <v>4485.6000000000004</v>
      </c>
      <c r="N541" s="2124"/>
      <c r="O541" s="2124"/>
      <c r="P541" s="73" t="s">
        <v>2694</v>
      </c>
      <c r="AS541" s="1628" t="str">
        <f>IF(M421="Open Flange","Hide this row",IF(AG533&lt;&gt;"(3)","Hide this row",""))</f>
        <v>Hide this row</v>
      </c>
      <c r="AT541" s="143"/>
      <c r="AU541" s="143"/>
      <c r="AV541" s="143"/>
      <c r="AW541" s="143"/>
      <c r="AX541" s="143"/>
      <c r="AY541" s="143"/>
      <c r="AZ541" s="143"/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</row>
    <row r="542" spans="1:73" s="73" customFormat="1" ht="15" hidden="1" customHeight="1">
      <c r="A542" s="170"/>
      <c r="B542" s="143"/>
      <c r="D542" s="170"/>
      <c r="E542" s="124"/>
      <c r="F542" s="170"/>
      <c r="G542" s="124"/>
      <c r="I542" s="1434"/>
      <c r="J542" s="1434"/>
      <c r="K542" s="1434"/>
      <c r="L542" s="1434"/>
      <c r="AS542" s="1628" t="str">
        <f>IF(M421="Open Flange","Hide this row","")</f>
        <v>Hide this row</v>
      </c>
      <c r="AT542" s="143"/>
      <c r="AU542" s="143"/>
      <c r="AV542" s="143"/>
      <c r="AW542" s="143"/>
      <c r="AX542" s="143"/>
      <c r="AY542" s="143"/>
      <c r="AZ542" s="143"/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</row>
    <row r="543" spans="1:73" s="73" customFormat="1" ht="15" hidden="1" customHeight="1">
      <c r="A543" s="170"/>
      <c r="C543" s="1460"/>
      <c r="D543" s="170"/>
      <c r="E543" s="1461" t="s">
        <v>2731</v>
      </c>
      <c r="F543" s="170"/>
      <c r="G543" s="124" t="s">
        <v>2732</v>
      </c>
      <c r="I543" s="1434"/>
      <c r="J543" s="1434"/>
      <c r="K543" s="1434"/>
      <c r="L543" s="1434"/>
      <c r="AS543" s="1628" t="str">
        <f>IF(M421="Open Flange","Hide this row","")</f>
        <v>Hide this row</v>
      </c>
      <c r="AT543" s="143"/>
      <c r="AU543" s="143"/>
      <c r="AV543" s="143"/>
      <c r="AW543" s="143"/>
      <c r="AX543" s="143"/>
      <c r="AY543" s="143"/>
      <c r="AZ543" s="143"/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</row>
    <row r="544" spans="1:73" s="73" customFormat="1" ht="15" hidden="1" customHeight="1">
      <c r="A544" s="170"/>
      <c r="B544" s="143"/>
      <c r="D544" s="170"/>
      <c r="E544" s="124"/>
      <c r="F544" s="170"/>
      <c r="G544" s="124"/>
      <c r="I544" s="122" t="s">
        <v>2980</v>
      </c>
      <c r="J544" s="1463"/>
      <c r="K544" s="1462" t="s">
        <v>2930</v>
      </c>
      <c r="L544" s="1463"/>
      <c r="M544" s="122" t="s">
        <v>2979</v>
      </c>
      <c r="V544" s="76" t="s">
        <v>2697</v>
      </c>
      <c r="X544" s="2111">
        <f>+IF(I501&lt;=I505,I508,IF(I501&lt;=I503,I512,I514))</f>
        <v>379.70896106468712</v>
      </c>
      <c r="Y544" s="2111"/>
      <c r="Z544" s="2111"/>
      <c r="AA544" s="73" t="s">
        <v>2733</v>
      </c>
      <c r="AD544" s="2111">
        <f>+Z496</f>
        <v>-4.7315140845070415E-2</v>
      </c>
      <c r="AE544" s="2111"/>
      <c r="AF544" s="2111"/>
      <c r="AG544" s="76" t="s">
        <v>2699</v>
      </c>
      <c r="AH544" s="2111">
        <f>IF(M530&lt;M532,M537,IF(M530&lt;M534,M539,M541))</f>
        <v>220.39999999999998</v>
      </c>
      <c r="AI544" s="2111"/>
      <c r="AJ544" s="2111"/>
      <c r="AK544" s="76" t="s">
        <v>2734</v>
      </c>
      <c r="AS544" s="1628" t="str">
        <f>IF(M421="Open Flange","Hide this row","")</f>
        <v>Hide this row</v>
      </c>
      <c r="AT544" s="143"/>
      <c r="AU544" s="143"/>
      <c r="AV544" s="143"/>
      <c r="AW544" s="143"/>
      <c r="AX544" s="143"/>
      <c r="AY544" s="143"/>
      <c r="AZ544" s="143"/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</row>
    <row r="545" spans="1:73" s="73" customFormat="1" ht="20.100000000000001" hidden="1" customHeight="1" thickBot="1">
      <c r="A545" s="170"/>
      <c r="B545" s="143"/>
      <c r="D545" s="170"/>
      <c r="E545" s="124"/>
      <c r="F545" s="170"/>
      <c r="G545" s="124"/>
      <c r="H545" s="122"/>
      <c r="I545" s="323" t="s">
        <v>2735</v>
      </c>
      <c r="J545" s="323"/>
      <c r="K545" s="1464" t="s">
        <v>2697</v>
      </c>
      <c r="L545" s="1465"/>
      <c r="M545" s="2238">
        <f>+X544*SQRT(1-(AD544/AH544)^2)</f>
        <v>379.70895231489067</v>
      </c>
      <c r="N545" s="2238"/>
      <c r="O545" s="2238"/>
      <c r="P545" s="369"/>
      <c r="Q545" s="369" t="s">
        <v>2694</v>
      </c>
      <c r="R545" s="369"/>
      <c r="S545" s="122"/>
      <c r="T545" s="122"/>
      <c r="U545" s="122"/>
      <c r="AS545" s="1628" t="str">
        <f>IF(M421="Open Flange","Hide this row","")</f>
        <v>Hide this row</v>
      </c>
      <c r="AT545" s="143"/>
      <c r="AU545" s="143"/>
      <c r="AV545" s="143"/>
      <c r="AW545" s="143"/>
      <c r="AX545" s="143"/>
      <c r="AY545" s="143"/>
      <c r="AZ545" s="143"/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</row>
    <row r="546" spans="1:73" s="73" customFormat="1" ht="20.100000000000001" customHeight="1">
      <c r="A546" s="170"/>
      <c r="B546" s="143"/>
      <c r="D546" s="170"/>
      <c r="E546" s="124"/>
      <c r="F546" s="170"/>
      <c r="G546" s="124"/>
      <c r="H546" s="122"/>
      <c r="I546" s="221"/>
      <c r="J546" s="221"/>
      <c r="K546" s="1462"/>
      <c r="L546" s="1463"/>
      <c r="M546" s="55"/>
      <c r="N546" s="55"/>
      <c r="O546" s="55"/>
      <c r="P546" s="122"/>
      <c r="Q546" s="122"/>
      <c r="R546" s="122"/>
      <c r="S546" s="122"/>
      <c r="T546" s="122"/>
      <c r="U546" s="122"/>
      <c r="AS546" s="1627"/>
      <c r="AT546" s="143"/>
      <c r="AU546" s="143"/>
      <c r="AV546" s="143"/>
      <c r="AW546" s="143"/>
      <c r="AX546" s="143"/>
      <c r="AY546" s="143"/>
      <c r="AZ546" s="143"/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</row>
    <row r="547" spans="1:73" ht="15" customHeight="1" thickBot="1">
      <c r="A547" s="348"/>
      <c r="B547" s="207" t="s">
        <v>2622</v>
      </c>
      <c r="C547" s="170"/>
      <c r="D547" s="170"/>
      <c r="E547" s="170"/>
      <c r="F547" s="242"/>
      <c r="G547" s="242"/>
      <c r="H547" s="242"/>
      <c r="I547" s="220"/>
      <c r="J547" s="220"/>
      <c r="K547" s="348"/>
      <c r="L547" s="348"/>
      <c r="M547" s="242"/>
      <c r="N547" s="242"/>
      <c r="O547" s="242"/>
      <c r="P547" s="242"/>
      <c r="Q547" s="242"/>
      <c r="AB547" s="143"/>
      <c r="AD547" s="143"/>
      <c r="AE547" s="143"/>
      <c r="AF547" s="143"/>
      <c r="AG547" s="143"/>
      <c r="AH547" s="143"/>
      <c r="AI547" s="143"/>
      <c r="AJ547" s="143"/>
      <c r="AK547" s="143"/>
    </row>
    <row r="548" spans="1:73" ht="15" customHeight="1">
      <c r="A548" s="348"/>
      <c r="D548" s="388"/>
      <c r="E548" s="389"/>
      <c r="F548" s="389"/>
      <c r="G548" s="1225"/>
      <c r="H548" s="1225"/>
      <c r="I548" s="1225"/>
      <c r="J548" s="1225"/>
      <c r="K548" s="1225"/>
      <c r="L548" s="390"/>
      <c r="M548" s="391" t="s">
        <v>794</v>
      </c>
      <c r="N548" s="391"/>
      <c r="O548" s="391"/>
      <c r="P548" s="391"/>
      <c r="Q548" s="1225"/>
      <c r="R548" s="1225"/>
      <c r="S548" s="1225"/>
      <c r="T548" s="1225"/>
      <c r="U548" s="1225"/>
      <c r="V548" s="1225"/>
      <c r="W548" s="1225"/>
      <c r="X548" s="391" t="s">
        <v>795</v>
      </c>
      <c r="Y548" s="391"/>
      <c r="Z548" s="1225"/>
      <c r="AA548" s="1226"/>
      <c r="AB548" s="1225"/>
      <c r="AC548" s="1225"/>
      <c r="AD548" s="389"/>
      <c r="AE548" s="1225"/>
      <c r="AF548" s="392"/>
      <c r="AN548" s="143"/>
      <c r="AO548" s="143"/>
      <c r="AP548" s="143"/>
      <c r="AQ548" s="143"/>
      <c r="AR548" s="143"/>
    </row>
    <row r="549" spans="1:73" ht="15" customHeight="1">
      <c r="A549" s="207"/>
      <c r="D549" s="1931" t="s">
        <v>950</v>
      </c>
      <c r="E549" s="1932"/>
      <c r="F549" s="1932"/>
      <c r="G549" s="1932"/>
      <c r="H549" s="1932"/>
      <c r="I549" s="93"/>
      <c r="J549" s="93"/>
      <c r="K549" s="93"/>
      <c r="L549" s="372"/>
      <c r="M549" s="375" t="s">
        <v>1665</v>
      </c>
      <c r="N549" s="376"/>
      <c r="O549" s="376"/>
      <c r="P549" s="376"/>
      <c r="Q549" s="93"/>
      <c r="R549" s="93"/>
      <c r="S549" s="93"/>
      <c r="T549" s="93"/>
      <c r="U549" s="93"/>
      <c r="V549" s="93"/>
      <c r="W549" s="93"/>
      <c r="X549" s="375" t="s">
        <v>1973</v>
      </c>
      <c r="Y549" s="376"/>
      <c r="Z549" s="93"/>
      <c r="AA549" s="93"/>
      <c r="AB549" s="93"/>
      <c r="AC549" s="93"/>
      <c r="AD549" s="94"/>
      <c r="AE549" s="93"/>
      <c r="AF549" s="394"/>
      <c r="AN549" s="143"/>
      <c r="AO549" s="143"/>
      <c r="AP549" s="143"/>
      <c r="AQ549" s="143"/>
      <c r="AR549" s="143"/>
    </row>
    <row r="550" spans="1:73" ht="15" customHeight="1">
      <c r="A550" s="207"/>
      <c r="D550" s="1933"/>
      <c r="E550" s="1930"/>
      <c r="F550" s="1930"/>
      <c r="G550" s="1930"/>
      <c r="H550" s="1930"/>
      <c r="I550" s="118"/>
      <c r="J550" s="118"/>
      <c r="K550" s="118"/>
      <c r="L550" s="377"/>
      <c r="M550" s="152" t="s">
        <v>1666</v>
      </c>
      <c r="N550" s="378"/>
      <c r="O550" s="378"/>
      <c r="P550" s="37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  <c r="AA550" s="118"/>
      <c r="AB550" s="118"/>
      <c r="AC550" s="118"/>
      <c r="AD550" s="380"/>
      <c r="AE550" s="118"/>
      <c r="AF550" s="395"/>
      <c r="AN550" s="143"/>
      <c r="AO550" s="143"/>
      <c r="AP550" s="143"/>
      <c r="AQ550" s="143"/>
      <c r="AR550" s="143"/>
    </row>
    <row r="551" spans="1:73" ht="15" customHeight="1" thickBot="1">
      <c r="A551" s="207"/>
      <c r="D551" s="1934" t="s">
        <v>951</v>
      </c>
      <c r="E551" s="1935"/>
      <c r="F551" s="1935"/>
      <c r="G551" s="1935"/>
      <c r="H551" s="1935"/>
      <c r="I551" s="321"/>
      <c r="J551" s="321"/>
      <c r="K551" s="321"/>
      <c r="L551" s="373"/>
      <c r="M551" s="374" t="s">
        <v>1975</v>
      </c>
      <c r="N551" s="320"/>
      <c r="O551" s="320"/>
      <c r="P551" s="369"/>
      <c r="Q551" s="321"/>
      <c r="R551" s="321"/>
      <c r="S551" s="321"/>
      <c r="T551" s="321"/>
      <c r="U551" s="321"/>
      <c r="V551" s="321"/>
      <c r="W551" s="321"/>
      <c r="X551" s="387" t="s">
        <v>1974</v>
      </c>
      <c r="Y551" s="387"/>
      <c r="Z551" s="321"/>
      <c r="AA551" s="321"/>
      <c r="AB551" s="321"/>
      <c r="AC551" s="321"/>
      <c r="AD551" s="369"/>
      <c r="AE551" s="321"/>
      <c r="AF551" s="396"/>
      <c r="AL551" s="143"/>
      <c r="AM551" s="143"/>
      <c r="AN551" s="143"/>
      <c r="AO551" s="143"/>
      <c r="AP551" s="143"/>
      <c r="AQ551" s="143"/>
      <c r="AR551" s="143"/>
    </row>
    <row r="552" spans="1:73" ht="15" customHeight="1">
      <c r="A552" s="207"/>
      <c r="Y552" s="143"/>
      <c r="AD552" s="73"/>
      <c r="AF552" s="73"/>
      <c r="AL552" s="143"/>
      <c r="AM552" s="143"/>
      <c r="AN552" s="143"/>
      <c r="AO552" s="143"/>
      <c r="AP552" s="143"/>
      <c r="AQ552" s="143"/>
      <c r="AR552" s="143"/>
    </row>
    <row r="553" spans="1:73" ht="15" customHeight="1">
      <c r="A553" s="348"/>
      <c r="B553" s="393" t="s">
        <v>2627</v>
      </c>
      <c r="C553" s="170"/>
      <c r="E553" s="170"/>
      <c r="F553" s="242"/>
      <c r="G553" s="242"/>
      <c r="H553" s="242"/>
      <c r="I553" s="220"/>
      <c r="J553" s="220"/>
      <c r="K553" s="348"/>
      <c r="L553" s="348"/>
      <c r="M553" s="242"/>
      <c r="N553" s="242"/>
      <c r="O553" s="242"/>
      <c r="P553" s="242"/>
      <c r="Q553" s="242"/>
      <c r="R553" s="242"/>
      <c r="S553" s="348"/>
      <c r="T553" s="348"/>
      <c r="U553" s="348"/>
      <c r="V553" s="348"/>
      <c r="W553" s="348"/>
      <c r="X553" s="348"/>
      <c r="Y553" s="242"/>
      <c r="Z553" s="242"/>
      <c r="AD553" s="73"/>
      <c r="AF553" s="73"/>
      <c r="AL553" s="143"/>
      <c r="AM553" s="143"/>
      <c r="AN553" s="143"/>
      <c r="AO553" s="143"/>
      <c r="AP553" s="143"/>
      <c r="AQ553" s="143"/>
      <c r="AR553" s="143"/>
    </row>
    <row r="554" spans="1:73" ht="15" customHeight="1" thickBot="1">
      <c r="A554" s="1244"/>
      <c r="B554" s="124"/>
      <c r="C554" s="170"/>
      <c r="E554" s="170"/>
      <c r="F554" s="1237"/>
      <c r="G554" s="1237"/>
      <c r="H554" s="1237"/>
      <c r="I554" s="220"/>
      <c r="J554" s="220"/>
      <c r="K554" s="1244"/>
      <c r="L554" s="1244"/>
      <c r="M554" s="1237"/>
      <c r="N554" s="1237"/>
      <c r="O554" s="1237"/>
      <c r="P554" s="1237"/>
      <c r="Q554" s="1237"/>
      <c r="R554" s="1237"/>
      <c r="S554" s="1244"/>
      <c r="T554" s="1244"/>
      <c r="U554" s="1244"/>
      <c r="V554" s="1244"/>
      <c r="W554" s="1244"/>
      <c r="X554" s="1244"/>
      <c r="Y554" s="1237"/>
      <c r="Z554" s="1237"/>
      <c r="AD554" s="73"/>
      <c r="AF554" s="73"/>
      <c r="AL554" s="143"/>
      <c r="AM554" s="143"/>
      <c r="AN554" s="143"/>
      <c r="AO554" s="143"/>
      <c r="AP554" s="143"/>
      <c r="AQ554" s="143"/>
      <c r="AR554" s="143"/>
    </row>
    <row r="555" spans="1:73" ht="15" customHeight="1">
      <c r="A555" s="170"/>
      <c r="B555" s="170"/>
      <c r="D555" s="124"/>
      <c r="F555" s="1275"/>
      <c r="G555" s="36"/>
      <c r="H555" s="1276" t="s">
        <v>2623</v>
      </c>
      <c r="I555" s="224"/>
      <c r="J555" s="36"/>
      <c r="K555" s="36"/>
      <c r="L555" s="36"/>
      <c r="M555" s="36"/>
      <c r="N555" s="36"/>
      <c r="O555" s="36"/>
      <c r="P555" s="36"/>
      <c r="Q555" s="36"/>
      <c r="R555" s="36"/>
      <c r="S555" s="1294" t="s">
        <v>2615</v>
      </c>
      <c r="T555" s="1295" t="str">
        <f>IF(AND(AE254=2,AE249="Compression"),"Open Flange","Box Flange")</f>
        <v>Open Flange</v>
      </c>
      <c r="U555" s="36"/>
      <c r="V555" s="36"/>
      <c r="W555" s="36"/>
      <c r="X555" s="36"/>
      <c r="Y555" s="1294" t="s">
        <v>2612</v>
      </c>
      <c r="Z555" s="36"/>
      <c r="AA555" s="224"/>
      <c r="AB555" s="224"/>
      <c r="AC555" s="224"/>
      <c r="AD555" s="224"/>
      <c r="AE555" s="224"/>
      <c r="AF555" s="224"/>
      <c r="AG555" s="36"/>
      <c r="AH555" s="224"/>
      <c r="AI555" s="36"/>
      <c r="AJ555" s="36"/>
      <c r="AK555" s="36"/>
      <c r="AL555" s="43"/>
      <c r="AS555" s="1628" t="str">
        <f>IF(T555="Box Flange","Hide this row","")</f>
        <v/>
      </c>
    </row>
    <row r="556" spans="1:73" ht="20.100000000000001" customHeight="1">
      <c r="A556" s="206"/>
      <c r="B556" s="170"/>
      <c r="F556" s="1277"/>
      <c r="G556" s="9"/>
      <c r="H556" s="9"/>
      <c r="I556" s="9"/>
      <c r="J556" s="33" t="s">
        <v>2624</v>
      </c>
      <c r="K556" s="9"/>
      <c r="L556" s="9"/>
      <c r="M556" s="9"/>
      <c r="N556" s="33" t="s">
        <v>2592</v>
      </c>
      <c r="O556" s="9"/>
      <c r="P556" s="9"/>
      <c r="Q556" s="1291" t="s">
        <v>2625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33" t="s">
        <v>2509</v>
      </c>
      <c r="AI556" s="196"/>
      <c r="AJ556" s="2082" t="str">
        <f>+IF(Y557&lt;=Y558,"OK","NG")</f>
        <v>OK</v>
      </c>
      <c r="AK556" s="2082"/>
      <c r="AL556" s="2083"/>
      <c r="AM556" s="143"/>
      <c r="AN556" s="143"/>
      <c r="AO556" s="143"/>
      <c r="AP556" s="143"/>
      <c r="AQ556" s="143"/>
      <c r="AR556" s="143"/>
      <c r="AS556" s="1628" t="str">
        <f>IF(T555="Box Flange","Hide this row","")</f>
        <v/>
      </c>
    </row>
    <row r="557" spans="1:73" ht="20.100000000000001" customHeight="1">
      <c r="A557" s="206"/>
      <c r="B557" s="170"/>
      <c r="F557" s="1277"/>
      <c r="G557" s="9"/>
      <c r="H557" s="9"/>
      <c r="I557" s="9"/>
      <c r="J557" s="9" t="s">
        <v>2812</v>
      </c>
      <c r="K557" s="9"/>
      <c r="L557" s="9"/>
      <c r="M557" s="9"/>
      <c r="N557" s="31" t="s">
        <v>2697</v>
      </c>
      <c r="O557" s="2084">
        <f xml:space="preserve"> ABS(MIN(X399,X402))</f>
        <v>242.60209744070417</v>
      </c>
      <c r="P557" s="2085"/>
      <c r="Q557" s="2085"/>
      <c r="R557" s="31" t="s">
        <v>2626</v>
      </c>
      <c r="S557" s="2131">
        <f>+L373</f>
        <v>7.4547120043034276</v>
      </c>
      <c r="T557" s="2131"/>
      <c r="U557" s="2131"/>
      <c r="V557" s="9"/>
      <c r="W557" s="9"/>
      <c r="X557" s="31" t="s">
        <v>2697</v>
      </c>
      <c r="Y557" s="2132">
        <f>+O557+S557</f>
        <v>250.05680944500759</v>
      </c>
      <c r="Z557" s="2132"/>
      <c r="AA557" s="2132"/>
      <c r="AB557" s="1485" t="s">
        <v>2508</v>
      </c>
      <c r="AC557" s="9"/>
      <c r="AD557" s="9"/>
      <c r="AE557" s="9"/>
      <c r="AF557" s="9"/>
      <c r="AG557" s="1487" t="s">
        <v>2510</v>
      </c>
      <c r="AH557" s="196"/>
      <c r="AI557" s="9"/>
      <c r="AJ557" s="2086">
        <f>Y558/Y557</f>
        <v>1.5184907857835905</v>
      </c>
      <c r="AK557" s="2086"/>
      <c r="AL557" s="2087"/>
      <c r="AM557" s="143"/>
      <c r="AN557" s="143"/>
      <c r="AO557" s="143"/>
      <c r="AP557" s="143"/>
      <c r="AQ557" s="143"/>
      <c r="AR557" s="143"/>
      <c r="AS557" s="1628" t="str">
        <f>IF(T555="Box Flange","Hide this row","")</f>
        <v/>
      </c>
    </row>
    <row r="558" spans="1:73" ht="20.100000000000001" customHeight="1" thickBot="1">
      <c r="A558" s="170"/>
      <c r="F558" s="40"/>
      <c r="G558" s="41"/>
      <c r="H558" s="41"/>
      <c r="I558" s="41"/>
      <c r="J558" s="1491" t="s">
        <v>2813</v>
      </c>
      <c r="K558" s="1486"/>
      <c r="L558" s="41"/>
      <c r="M558" s="41"/>
      <c r="N558" s="1292" t="s">
        <v>2697</v>
      </c>
      <c r="O558" s="41" t="s">
        <v>2753</v>
      </c>
      <c r="P558" s="1293"/>
      <c r="Q558" s="2128">
        <f>+AJ416</f>
        <v>0.99923410806496615</v>
      </c>
      <c r="R558" s="2128"/>
      <c r="S558" s="2128"/>
      <c r="T558" s="1292" t="s">
        <v>2535</v>
      </c>
      <c r="U558" s="2088">
        <f>AE294</f>
        <v>380</v>
      </c>
      <c r="V558" s="2129"/>
      <c r="W558" s="2129"/>
      <c r="X558" s="1292" t="s">
        <v>2537</v>
      </c>
      <c r="Y558" s="2129">
        <f>+Q558*U558</f>
        <v>379.70896106468712</v>
      </c>
      <c r="Z558" s="2129"/>
      <c r="AA558" s="2129"/>
      <c r="AB558" s="1278" t="s">
        <v>2508</v>
      </c>
      <c r="AC558" s="41"/>
      <c r="AD558" s="41"/>
      <c r="AE558" s="41"/>
      <c r="AF558" s="41"/>
      <c r="AG558" s="41"/>
      <c r="AH558" s="41"/>
      <c r="AI558" s="41"/>
      <c r="AJ558" s="41"/>
      <c r="AK558" s="41"/>
      <c r="AL558" s="45"/>
      <c r="AM558" s="143"/>
      <c r="AN558" s="143"/>
      <c r="AO558" s="143"/>
      <c r="AP558" s="143"/>
      <c r="AQ558" s="143"/>
      <c r="AR558" s="143"/>
      <c r="AS558" s="1628" t="str">
        <f>IF(T555="Box Flange","Hide this row","")</f>
        <v/>
      </c>
    </row>
    <row r="559" spans="1:73" ht="20.100000000000001" customHeight="1" thickBot="1">
      <c r="A559" s="170"/>
      <c r="L559" s="143"/>
      <c r="Y559" s="143"/>
      <c r="AB559" s="143"/>
      <c r="AD559" s="143"/>
      <c r="AE559" s="143"/>
      <c r="AF559" s="143"/>
      <c r="AG559" s="143"/>
      <c r="AH559" s="143"/>
      <c r="AI559" s="143"/>
      <c r="AJ559" s="143"/>
      <c r="AK559" s="143"/>
      <c r="AL559" s="143"/>
      <c r="AM559" s="143"/>
      <c r="AN559" s="143"/>
      <c r="AO559" s="143"/>
      <c r="AP559" s="143"/>
      <c r="AQ559" s="143"/>
      <c r="AR559" s="143"/>
    </row>
    <row r="560" spans="1:73" ht="15" customHeight="1">
      <c r="A560" s="170"/>
      <c r="B560" s="170"/>
      <c r="D560" s="124"/>
      <c r="F560" s="1275"/>
      <c r="G560" s="36"/>
      <c r="H560" s="1276" t="s">
        <v>2623</v>
      </c>
      <c r="I560" s="224"/>
      <c r="J560" s="36"/>
      <c r="K560" s="36"/>
      <c r="L560" s="36"/>
      <c r="M560" s="36"/>
      <c r="N560" s="36"/>
      <c r="O560" s="36"/>
      <c r="P560" s="36"/>
      <c r="Q560" s="36"/>
      <c r="R560" s="36"/>
      <c r="S560" s="1294" t="s">
        <v>2506</v>
      </c>
      <c r="T560" s="1295" t="str">
        <f>IF(AND(AE254=2,AE249="Compression"),"Open Flange","Box Flange")</f>
        <v>Open Flange</v>
      </c>
      <c r="U560" s="36"/>
      <c r="V560" s="36"/>
      <c r="W560" s="36"/>
      <c r="X560" s="36"/>
      <c r="Y560" s="1294" t="s">
        <v>2512</v>
      </c>
      <c r="Z560" s="36"/>
      <c r="AA560" s="224"/>
      <c r="AB560" s="224"/>
      <c r="AC560" s="224"/>
      <c r="AD560" s="224"/>
      <c r="AE560" s="224"/>
      <c r="AF560" s="224"/>
      <c r="AG560" s="36"/>
      <c r="AH560" s="224"/>
      <c r="AI560" s="36"/>
      <c r="AJ560" s="36"/>
      <c r="AK560" s="36"/>
      <c r="AL560" s="43"/>
      <c r="AS560" s="1628" t="str">
        <f>IF(T560="Box Flange","Hide this row","")</f>
        <v/>
      </c>
    </row>
    <row r="561" spans="1:45" ht="20.100000000000001" customHeight="1">
      <c r="A561" s="206"/>
      <c r="B561" s="170"/>
      <c r="F561" s="1277"/>
      <c r="G561" s="9"/>
      <c r="H561" s="9"/>
      <c r="I561" s="9"/>
      <c r="J561" s="33" t="s">
        <v>2814</v>
      </c>
      <c r="K561" s="9"/>
      <c r="L561" s="9"/>
      <c r="M561" s="9"/>
      <c r="N561" s="33" t="s">
        <v>2592</v>
      </c>
      <c r="O561" s="9"/>
      <c r="P561" s="9"/>
      <c r="Q561" s="1291" t="s">
        <v>2815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33" t="s">
        <v>2509</v>
      </c>
      <c r="AI561" s="196"/>
      <c r="AJ561" s="2082" t="str">
        <f>+IF(Y562&lt;=Y563,"OK","NG")</f>
        <v>OK</v>
      </c>
      <c r="AK561" s="2082"/>
      <c r="AL561" s="2083"/>
      <c r="AM561" s="143"/>
      <c r="AN561" s="143"/>
      <c r="AO561" s="143"/>
      <c r="AP561" s="143"/>
      <c r="AQ561" s="143"/>
      <c r="AR561" s="143"/>
      <c r="AS561" s="1628" t="str">
        <f>IF(T560="Box Flange","Hide this row","")</f>
        <v/>
      </c>
    </row>
    <row r="562" spans="1:45" ht="20.100000000000001" customHeight="1">
      <c r="A562" s="206"/>
      <c r="B562" s="170"/>
      <c r="F562" s="1277"/>
      <c r="G562" s="9"/>
      <c r="H562" s="9"/>
      <c r="I562" s="9"/>
      <c r="J562" s="9" t="s">
        <v>2816</v>
      </c>
      <c r="K562" s="9"/>
      <c r="L562" s="9"/>
      <c r="M562" s="9"/>
      <c r="N562" s="31" t="s">
        <v>2697</v>
      </c>
      <c r="O562" s="2085">
        <f xml:space="preserve"> ABS(MIN(X399,X402))</f>
        <v>242.60209744070417</v>
      </c>
      <c r="P562" s="2085"/>
      <c r="Q562" s="2085"/>
      <c r="R562" s="31" t="s">
        <v>391</v>
      </c>
      <c r="S562" s="2131">
        <f>+S557/3</f>
        <v>2.4849040014344759</v>
      </c>
      <c r="T562" s="2131"/>
      <c r="U562" s="2131"/>
      <c r="V562" s="9"/>
      <c r="W562" s="9"/>
      <c r="X562" s="31" t="s">
        <v>2697</v>
      </c>
      <c r="Y562" s="2133">
        <f>+O562+S562</f>
        <v>245.08700144213864</v>
      </c>
      <c r="Z562" s="2133"/>
      <c r="AA562" s="2133"/>
      <c r="AB562" s="1485" t="s">
        <v>2508</v>
      </c>
      <c r="AC562" s="9"/>
      <c r="AD562" s="9"/>
      <c r="AE562" s="9"/>
      <c r="AF562" s="9"/>
      <c r="AG562" s="1487" t="s">
        <v>2510</v>
      </c>
      <c r="AH562" s="196"/>
      <c r="AI562" s="9"/>
      <c r="AJ562" s="2086">
        <f>Y563/Y562</f>
        <v>1.4840455304746993</v>
      </c>
      <c r="AK562" s="2086"/>
      <c r="AL562" s="2087"/>
      <c r="AM562" s="143"/>
      <c r="AN562" s="143"/>
      <c r="AO562" s="143"/>
      <c r="AP562" s="143"/>
      <c r="AQ562" s="143"/>
      <c r="AR562" s="143"/>
      <c r="AS562" s="1628" t="str">
        <f>IF(T560="Box Flange","Hide this row","")</f>
        <v/>
      </c>
    </row>
    <row r="563" spans="1:45" ht="20.100000000000001" customHeight="1" thickBot="1">
      <c r="A563" s="170"/>
      <c r="F563" s="40"/>
      <c r="G563" s="41"/>
      <c r="H563" s="41"/>
      <c r="I563" s="41"/>
      <c r="J563" s="41" t="s">
        <v>2817</v>
      </c>
      <c r="K563" s="1486"/>
      <c r="L563" s="41"/>
      <c r="M563" s="41"/>
      <c r="N563" s="1292" t="s">
        <v>2697</v>
      </c>
      <c r="O563" s="41" t="s">
        <v>2753</v>
      </c>
      <c r="P563" s="1293"/>
      <c r="Q563" s="2099">
        <f>K467</f>
        <v>363.72026906765205</v>
      </c>
      <c r="R563" s="2099"/>
      <c r="S563" s="2099"/>
      <c r="T563" s="1292"/>
      <c r="U563" s="1492"/>
      <c r="V563" s="1489"/>
      <c r="W563" s="1489"/>
      <c r="X563" s="1292" t="s">
        <v>324</v>
      </c>
      <c r="Y563" s="2099">
        <f>+Q563</f>
        <v>363.72026906765205</v>
      </c>
      <c r="Z563" s="2099"/>
      <c r="AA563" s="2099"/>
      <c r="AB563" s="1278" t="s">
        <v>2508</v>
      </c>
      <c r="AC563" s="41"/>
      <c r="AD563" s="41"/>
      <c r="AE563" s="41"/>
      <c r="AF563" s="41"/>
      <c r="AG563" s="41"/>
      <c r="AH563" s="41"/>
      <c r="AI563" s="41"/>
      <c r="AJ563" s="41"/>
      <c r="AK563" s="41"/>
      <c r="AL563" s="45"/>
      <c r="AM563" s="143"/>
      <c r="AN563" s="143"/>
      <c r="AO563" s="143"/>
      <c r="AP563" s="143"/>
      <c r="AQ563" s="143"/>
      <c r="AR563" s="143"/>
      <c r="AS563" s="1628" t="str">
        <f>IF(T560="Box Flange","Hide this row","")</f>
        <v/>
      </c>
    </row>
    <row r="564" spans="1:45" ht="20.100000000000001" customHeight="1">
      <c r="A564" s="170"/>
      <c r="L564" s="143"/>
      <c r="Y564" s="143"/>
      <c r="AB564" s="143"/>
      <c r="AD564" s="143"/>
      <c r="AE564" s="143"/>
      <c r="AF564" s="143"/>
      <c r="AG564" s="143"/>
      <c r="AH564" s="143"/>
      <c r="AI564" s="143"/>
      <c r="AJ564" s="143"/>
      <c r="AK564" s="143"/>
      <c r="AL564" s="143"/>
      <c r="AM564" s="143"/>
      <c r="AN564" s="143"/>
      <c r="AO564" s="143"/>
      <c r="AP564" s="143"/>
      <c r="AQ564" s="143"/>
      <c r="AR564" s="143"/>
    </row>
    <row r="565" spans="1:45" ht="15" hidden="1" customHeight="1">
      <c r="A565" s="170"/>
      <c r="B565" s="170"/>
      <c r="D565" s="124"/>
      <c r="F565" s="1275"/>
      <c r="G565" s="36"/>
      <c r="H565" s="1276" t="s">
        <v>2623</v>
      </c>
      <c r="I565" s="224"/>
      <c r="J565" s="36"/>
      <c r="K565" s="36"/>
      <c r="L565" s="36"/>
      <c r="M565" s="36"/>
      <c r="N565" s="36"/>
      <c r="O565" s="36"/>
      <c r="P565" s="36"/>
      <c r="Q565" s="36"/>
      <c r="R565" s="36"/>
      <c r="S565" s="1294" t="s">
        <v>2506</v>
      </c>
      <c r="T565" s="1295" t="str">
        <f>IF(AND(AE254=2,AE249="Compression"),"Open Flange","Box Flange")</f>
        <v>Open Flange</v>
      </c>
      <c r="U565" s="36"/>
      <c r="V565" s="36"/>
      <c r="W565" s="36"/>
      <c r="X565" s="36"/>
      <c r="Y565" s="1294" t="s">
        <v>2512</v>
      </c>
      <c r="Z565" s="36"/>
      <c r="AA565" s="224"/>
      <c r="AB565" s="224"/>
      <c r="AC565" s="224"/>
      <c r="AD565" s="224"/>
      <c r="AE565" s="224"/>
      <c r="AF565" s="224"/>
      <c r="AG565" s="36"/>
      <c r="AH565" s="224"/>
      <c r="AI565" s="36"/>
      <c r="AJ565" s="36"/>
      <c r="AK565" s="36"/>
      <c r="AL565" s="43"/>
      <c r="AS565" s="1628" t="str">
        <f>IF(T565="Open Flange","Hide this row","")</f>
        <v>Hide this row</v>
      </c>
    </row>
    <row r="566" spans="1:45" ht="20.100000000000001" hidden="1" customHeight="1">
      <c r="A566" s="206"/>
      <c r="B566" s="170"/>
      <c r="F566" s="1277"/>
      <c r="G566" s="9"/>
      <c r="H566" s="9"/>
      <c r="I566" s="9"/>
      <c r="J566" s="33" t="s">
        <v>2818</v>
      </c>
      <c r="K566" s="9"/>
      <c r="L566" s="9"/>
      <c r="M566" s="9"/>
      <c r="N566" s="33" t="s">
        <v>2592</v>
      </c>
      <c r="O566" s="9"/>
      <c r="P566" s="9"/>
      <c r="Q566" s="1291" t="s">
        <v>2815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33" t="s">
        <v>2509</v>
      </c>
      <c r="AI566" s="196"/>
      <c r="AJ566" s="2082" t="str">
        <f>+IF(Q567&lt;=Q568,"OK","NG")</f>
        <v>OK</v>
      </c>
      <c r="AK566" s="2082"/>
      <c r="AL566" s="2083"/>
      <c r="AM566" s="143"/>
      <c r="AN566" s="143"/>
      <c r="AO566" s="143"/>
      <c r="AP566" s="143"/>
      <c r="AQ566" s="143"/>
      <c r="AR566" s="143"/>
      <c r="AS566" s="1628" t="str">
        <f>IF(T565="Open Flange","Hide this row","")</f>
        <v>Hide this row</v>
      </c>
    </row>
    <row r="567" spans="1:45" ht="20.100000000000001" hidden="1" customHeight="1">
      <c r="A567" s="206"/>
      <c r="B567" s="170"/>
      <c r="F567" s="1277"/>
      <c r="G567" s="9"/>
      <c r="H567" s="9"/>
      <c r="I567" s="9"/>
      <c r="J567" s="9" t="s">
        <v>380</v>
      </c>
      <c r="K567" s="9"/>
      <c r="L567" s="9"/>
      <c r="M567" s="9"/>
      <c r="N567" s="31" t="s">
        <v>2697</v>
      </c>
      <c r="O567" s="9"/>
      <c r="P567" s="9"/>
      <c r="Q567" s="2085">
        <f xml:space="preserve"> ABS(MIN(X399,X402))</f>
        <v>242.60209744070417</v>
      </c>
      <c r="R567" s="2085"/>
      <c r="S567" s="2085"/>
      <c r="T567" s="1485" t="s">
        <v>2508</v>
      </c>
      <c r="U567" s="1488"/>
      <c r="V567" s="9"/>
      <c r="W567" s="9"/>
      <c r="X567" s="31"/>
      <c r="Y567" s="1493"/>
      <c r="Z567" s="1493"/>
      <c r="AA567" s="1493"/>
      <c r="AB567" s="9"/>
      <c r="AC567" s="9"/>
      <c r="AD567" s="9"/>
      <c r="AE567" s="9"/>
      <c r="AF567" s="9"/>
      <c r="AG567" s="1487" t="s">
        <v>2510</v>
      </c>
      <c r="AH567" s="196"/>
      <c r="AI567" s="9"/>
      <c r="AJ567" s="2086">
        <f>Q568/Q567</f>
        <v>1.565151152115235</v>
      </c>
      <c r="AK567" s="2086"/>
      <c r="AL567" s="2087"/>
      <c r="AM567" s="143"/>
      <c r="AN567" s="143"/>
      <c r="AO567" s="143"/>
      <c r="AP567" s="143"/>
      <c r="AQ567" s="143"/>
      <c r="AR567" s="143"/>
      <c r="AS567" s="1628" t="str">
        <f>IF(T565="Open Flange","Hide this row","")</f>
        <v>Hide this row</v>
      </c>
    </row>
    <row r="568" spans="1:45" ht="20.100000000000001" hidden="1" customHeight="1" thickBot="1">
      <c r="A568" s="170"/>
      <c r="F568" s="40"/>
      <c r="G568" s="41"/>
      <c r="H568" s="41"/>
      <c r="I568" s="41"/>
      <c r="J568" s="41" t="s">
        <v>2817</v>
      </c>
      <c r="K568" s="1486"/>
      <c r="L568" s="41"/>
      <c r="M568" s="41"/>
      <c r="N568" s="1292" t="s">
        <v>2697</v>
      </c>
      <c r="O568" s="41"/>
      <c r="P568" s="1293"/>
      <c r="Q568" s="2099">
        <f>+M545</f>
        <v>379.70895231489067</v>
      </c>
      <c r="R568" s="2099"/>
      <c r="S568" s="2099"/>
      <c r="T568" s="1278" t="s">
        <v>2508</v>
      </c>
      <c r="U568" s="1492"/>
      <c r="V568" s="1489"/>
      <c r="W568" s="1489"/>
      <c r="X568" s="1292"/>
      <c r="Y568" s="1494"/>
      <c r="Z568" s="1489"/>
      <c r="AA568" s="1489"/>
      <c r="AB568" s="1489"/>
      <c r="AC568" s="41"/>
      <c r="AD568" s="41"/>
      <c r="AE568" s="41"/>
      <c r="AF568" s="41"/>
      <c r="AG568" s="41"/>
      <c r="AH568" s="41"/>
      <c r="AI568" s="41"/>
      <c r="AJ568" s="41"/>
      <c r="AK568" s="41"/>
      <c r="AL568" s="45"/>
      <c r="AM568" s="143"/>
      <c r="AN568" s="143"/>
      <c r="AO568" s="143"/>
      <c r="AP568" s="143"/>
      <c r="AQ568" s="143"/>
      <c r="AR568" s="143"/>
      <c r="AS568" s="1628" t="str">
        <f>IF(T565="Open Flange","Hide this row","")</f>
        <v>Hide this row</v>
      </c>
    </row>
    <row r="569" spans="1:45" ht="20.100000000000001" customHeight="1">
      <c r="A569" s="170"/>
      <c r="L569" s="143"/>
      <c r="Y569" s="143"/>
      <c r="AB569" s="143"/>
      <c r="AD569" s="143"/>
      <c r="AE569" s="143"/>
      <c r="AF569" s="143"/>
      <c r="AG569" s="143"/>
      <c r="AH569" s="143"/>
      <c r="AI569" s="143"/>
      <c r="AJ569" s="143"/>
      <c r="AK569" s="143"/>
      <c r="AL569" s="143"/>
      <c r="AM569" s="143"/>
      <c r="AN569" s="143"/>
      <c r="AO569" s="143"/>
      <c r="AP569" s="143"/>
      <c r="AQ569" s="143"/>
      <c r="AR569" s="143"/>
      <c r="AS569" s="1628"/>
    </row>
    <row r="570" spans="1:45" ht="15" hidden="1" customHeight="1">
      <c r="A570" s="170"/>
      <c r="B570" s="170"/>
      <c r="D570" s="124"/>
      <c r="F570" s="1275"/>
      <c r="G570" s="36"/>
      <c r="H570" s="1276" t="s">
        <v>2819</v>
      </c>
      <c r="I570" s="224"/>
      <c r="J570" s="36"/>
      <c r="K570" s="36"/>
      <c r="L570" s="36"/>
      <c r="M570" s="36"/>
      <c r="N570" s="36"/>
      <c r="O570" s="36"/>
      <c r="P570" s="36"/>
      <c r="Q570" s="36"/>
      <c r="R570" s="36"/>
      <c r="S570" s="1294" t="s">
        <v>2506</v>
      </c>
      <c r="T570" s="1295" t="str">
        <f>IF(AND(AE254=2,AE249="Tension"),"Open Flange","Box Flange")</f>
        <v>Box Flange</v>
      </c>
      <c r="U570" s="36"/>
      <c r="V570" s="36"/>
      <c r="W570" s="36"/>
      <c r="X570" s="36"/>
      <c r="Y570" s="1294" t="s">
        <v>2512</v>
      </c>
      <c r="Z570" s="36"/>
      <c r="AA570" s="224"/>
      <c r="AB570" s="224"/>
      <c r="AC570" s="224"/>
      <c r="AD570" s="224"/>
      <c r="AE570" s="224"/>
      <c r="AF570" s="224"/>
      <c r="AG570" s="36"/>
      <c r="AH570" s="224"/>
      <c r="AI570" s="36"/>
      <c r="AJ570" s="36"/>
      <c r="AK570" s="36"/>
      <c r="AL570" s="43"/>
      <c r="AS570" s="1628" t="str">
        <f>IF(T570="Box Flange","Hide this row","")</f>
        <v>Hide this row</v>
      </c>
    </row>
    <row r="571" spans="1:45" ht="20.100000000000001" hidden="1" customHeight="1">
      <c r="A571" s="206"/>
      <c r="B571" s="170"/>
      <c r="F571" s="1277"/>
      <c r="G571" s="9"/>
      <c r="H571" s="9"/>
      <c r="I571" s="9"/>
      <c r="J571" s="33" t="s">
        <v>2624</v>
      </c>
      <c r="K571" s="9"/>
      <c r="L571" s="9"/>
      <c r="M571" s="9"/>
      <c r="N571" s="33" t="s">
        <v>2592</v>
      </c>
      <c r="O571" s="9"/>
      <c r="P571" s="9"/>
      <c r="Q571" s="1291" t="s">
        <v>2820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33" t="s">
        <v>2509</v>
      </c>
      <c r="AI571" s="196"/>
      <c r="AJ571" s="2082" t="str">
        <f>+IF(Y572&lt;=Y573,"OK","NG")</f>
        <v>OK</v>
      </c>
      <c r="AK571" s="2082"/>
      <c r="AL571" s="2083"/>
      <c r="AM571" s="143"/>
      <c r="AN571" s="143"/>
      <c r="AO571" s="143"/>
      <c r="AP571" s="143"/>
      <c r="AQ571" s="143"/>
      <c r="AR571" s="143"/>
      <c r="AS571" s="1628" t="str">
        <f>IF(T570="Box Flange","Hide this row","")</f>
        <v>Hide this row</v>
      </c>
    </row>
    <row r="572" spans="1:45" ht="20.100000000000001" hidden="1" customHeight="1">
      <c r="A572" s="206"/>
      <c r="B572" s="170"/>
      <c r="F572" s="1277"/>
      <c r="G572" s="9"/>
      <c r="H572" s="9"/>
      <c r="I572" s="9"/>
      <c r="J572" s="9" t="s">
        <v>2812</v>
      </c>
      <c r="K572" s="9"/>
      <c r="L572" s="9"/>
      <c r="M572" s="9"/>
      <c r="N572" s="31" t="s">
        <v>2697</v>
      </c>
      <c r="O572" s="2084">
        <f xml:space="preserve"> MAX(X399,X402)</f>
        <v>171.84009120012999</v>
      </c>
      <c r="P572" s="2085"/>
      <c r="Q572" s="2085"/>
      <c r="R572" s="31" t="s">
        <v>391</v>
      </c>
      <c r="S572" s="2131">
        <f>+S557</f>
        <v>7.4547120043034276</v>
      </c>
      <c r="T572" s="2131"/>
      <c r="U572" s="2131"/>
      <c r="V572" s="9"/>
      <c r="W572" s="9"/>
      <c r="X572" s="31" t="s">
        <v>2697</v>
      </c>
      <c r="Y572" s="2132">
        <f>+O572+S572</f>
        <v>179.29480320443341</v>
      </c>
      <c r="Z572" s="2132"/>
      <c r="AA572" s="2132"/>
      <c r="AB572" s="1485" t="s">
        <v>2508</v>
      </c>
      <c r="AC572" s="9"/>
      <c r="AD572" s="9"/>
      <c r="AE572" s="9"/>
      <c r="AF572" s="9"/>
      <c r="AG572" s="1487" t="s">
        <v>2510</v>
      </c>
      <c r="AH572" s="196"/>
      <c r="AI572" s="9"/>
      <c r="AJ572" s="2086">
        <f>Y573/Y572</f>
        <v>2.1177912258379283</v>
      </c>
      <c r="AK572" s="2086"/>
      <c r="AL572" s="2087"/>
      <c r="AM572" s="143"/>
      <c r="AN572" s="143"/>
      <c r="AO572" s="143"/>
      <c r="AP572" s="143"/>
      <c r="AQ572" s="143"/>
      <c r="AR572" s="143"/>
      <c r="AS572" s="1628" t="str">
        <f>IF(T570="Box Flange","Hide this row","")</f>
        <v>Hide this row</v>
      </c>
    </row>
    <row r="573" spans="1:45" ht="20.100000000000001" hidden="1" customHeight="1" thickBot="1">
      <c r="A573" s="170"/>
      <c r="F573" s="40"/>
      <c r="G573" s="41"/>
      <c r="H573" s="41"/>
      <c r="I573" s="41"/>
      <c r="J573" s="41" t="s">
        <v>2821</v>
      </c>
      <c r="K573" s="1486"/>
      <c r="L573" s="41"/>
      <c r="M573" s="41"/>
      <c r="N573" s="1292" t="s">
        <v>2697</v>
      </c>
      <c r="O573" s="41" t="s">
        <v>2753</v>
      </c>
      <c r="P573" s="1293"/>
      <c r="Q573" s="2128">
        <f>+AJ416</f>
        <v>0.99923410806496615</v>
      </c>
      <c r="R573" s="2128"/>
      <c r="S573" s="2128"/>
      <c r="T573" s="1292" t="s">
        <v>2489</v>
      </c>
      <c r="U573" s="2088">
        <f>+AE295</f>
        <v>380</v>
      </c>
      <c r="V573" s="2129"/>
      <c r="W573" s="2129"/>
      <c r="X573" s="1292" t="s">
        <v>324</v>
      </c>
      <c r="Y573" s="2129">
        <f>+Q573*U573</f>
        <v>379.70896106468712</v>
      </c>
      <c r="Z573" s="2129"/>
      <c r="AA573" s="2129"/>
      <c r="AB573" s="1278" t="s">
        <v>2508</v>
      </c>
      <c r="AC573" s="41"/>
      <c r="AD573" s="41"/>
      <c r="AE573" s="41"/>
      <c r="AF573" s="41"/>
      <c r="AG573" s="41"/>
      <c r="AH573" s="41"/>
      <c r="AI573" s="41"/>
      <c r="AJ573" s="41"/>
      <c r="AK573" s="41"/>
      <c r="AL573" s="45"/>
      <c r="AM573" s="143"/>
      <c r="AN573" s="143"/>
      <c r="AO573" s="143"/>
      <c r="AP573" s="143"/>
      <c r="AQ573" s="143"/>
      <c r="AR573" s="143"/>
      <c r="AS573" s="1628" t="str">
        <f>IF(T570="Box Flange","Hide this row","")</f>
        <v>Hide this row</v>
      </c>
    </row>
    <row r="574" spans="1:45" ht="20.100000000000001" customHeight="1" thickBot="1">
      <c r="A574" s="170"/>
      <c r="C574" s="73"/>
      <c r="D574" s="73"/>
      <c r="E574" s="73"/>
      <c r="F574" s="122"/>
      <c r="G574" s="122"/>
      <c r="H574" s="1233"/>
      <c r="I574" s="1233"/>
      <c r="J574" s="1233"/>
      <c r="K574" s="1205"/>
      <c r="L574" s="1289"/>
      <c r="M574" s="1289"/>
      <c r="N574" s="1289"/>
      <c r="O574" s="76"/>
      <c r="P574" s="1290"/>
      <c r="Q574" s="1290"/>
      <c r="R574" s="1290"/>
      <c r="S574" s="147"/>
      <c r="T574" s="73"/>
      <c r="U574" s="73"/>
      <c r="V574" s="1246"/>
      <c r="W574" s="1234"/>
      <c r="X574" s="1234"/>
      <c r="Y574" s="1234"/>
      <c r="Z574" s="76"/>
      <c r="AA574" s="1235"/>
      <c r="AB574" s="1230"/>
      <c r="AC574" s="1230"/>
      <c r="AD574" s="76"/>
      <c r="AE574" s="1236"/>
      <c r="AF574" s="1236"/>
      <c r="AG574" s="1236"/>
      <c r="AH574" s="143"/>
      <c r="AI574" s="143"/>
      <c r="AJ574" s="143"/>
    </row>
    <row r="575" spans="1:45" ht="15" customHeight="1">
      <c r="A575" s="170"/>
      <c r="B575" s="170"/>
      <c r="D575" s="124"/>
      <c r="F575" s="1275"/>
      <c r="G575" s="36"/>
      <c r="H575" s="1276" t="s">
        <v>2819</v>
      </c>
      <c r="I575" s="224"/>
      <c r="J575" s="36"/>
      <c r="K575" s="36"/>
      <c r="L575" s="36"/>
      <c r="M575" s="36"/>
      <c r="N575" s="36"/>
      <c r="O575" s="36"/>
      <c r="P575" s="36"/>
      <c r="Q575" s="36"/>
      <c r="R575" s="36"/>
      <c r="S575" s="1294" t="s">
        <v>2506</v>
      </c>
      <c r="T575" s="1295" t="str">
        <f>IF(AND(AE254=2,AE249="Tension"),"Open Flange","Box Flange")</f>
        <v>Box Flange</v>
      </c>
      <c r="U575" s="36"/>
      <c r="V575" s="36"/>
      <c r="W575" s="36"/>
      <c r="X575" s="36"/>
      <c r="Y575" s="1294" t="s">
        <v>2512</v>
      </c>
      <c r="Z575" s="36"/>
      <c r="AA575" s="224"/>
      <c r="AB575" s="224"/>
      <c r="AC575" s="224"/>
      <c r="AD575" s="224"/>
      <c r="AE575" s="224"/>
      <c r="AF575" s="224"/>
      <c r="AG575" s="36"/>
      <c r="AH575" s="224"/>
      <c r="AI575" s="36"/>
      <c r="AJ575" s="36"/>
      <c r="AK575" s="36"/>
      <c r="AL575" s="43"/>
      <c r="AS575" s="1628" t="str">
        <f>IF(T575="Open Flange","Hide this row","")</f>
        <v/>
      </c>
    </row>
    <row r="576" spans="1:45" ht="20.100000000000001" customHeight="1">
      <c r="A576" s="206"/>
      <c r="B576" s="170"/>
      <c r="F576" s="1277"/>
      <c r="G576" s="9"/>
      <c r="H576" s="9"/>
      <c r="I576" s="9"/>
      <c r="J576" s="33" t="s">
        <v>2818</v>
      </c>
      <c r="K576" s="9"/>
      <c r="L576" s="9"/>
      <c r="M576" s="9"/>
      <c r="N576" s="33" t="s">
        <v>2592</v>
      </c>
      <c r="O576" s="9"/>
      <c r="P576" s="9"/>
      <c r="Q576" s="1291" t="s">
        <v>2822</v>
      </c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33" t="s">
        <v>2509</v>
      </c>
      <c r="AI576" s="196"/>
      <c r="AJ576" s="2082" t="str">
        <f>+IF(O577&lt;=AC578,"OK","NG")</f>
        <v>OK</v>
      </c>
      <c r="AK576" s="2082"/>
      <c r="AL576" s="2083"/>
      <c r="AM576" s="143"/>
      <c r="AN576" s="143"/>
      <c r="AO576" s="143"/>
      <c r="AP576" s="143"/>
      <c r="AQ576" s="143"/>
      <c r="AR576" s="143"/>
      <c r="AS576" s="1628" t="str">
        <f>IF(T575="Open Flange","Hide this row","")</f>
        <v/>
      </c>
    </row>
    <row r="577" spans="1:45" ht="20.100000000000001" customHeight="1">
      <c r="A577" s="206"/>
      <c r="B577" s="170"/>
      <c r="F577" s="1277"/>
      <c r="G577" s="9"/>
      <c r="H577" s="9"/>
      <c r="I577" s="9"/>
      <c r="J577" s="9" t="s">
        <v>380</v>
      </c>
      <c r="K577" s="9"/>
      <c r="L577" s="9"/>
      <c r="M577" s="9"/>
      <c r="N577" s="31" t="s">
        <v>2697</v>
      </c>
      <c r="O577" s="2084">
        <f>+O572</f>
        <v>171.84009120012999</v>
      </c>
      <c r="P577" s="2085"/>
      <c r="Q577" s="2085"/>
      <c r="R577" s="1485" t="s">
        <v>2508</v>
      </c>
      <c r="S577" s="1488"/>
      <c r="T577" s="1488"/>
      <c r="U577" s="1488"/>
      <c r="V577" s="9"/>
      <c r="W577" s="9"/>
      <c r="X577" s="31"/>
      <c r="Y577" s="1495"/>
      <c r="Z577" s="1495"/>
      <c r="AA577" s="1495"/>
      <c r="AB577" s="9"/>
      <c r="AC577" s="9"/>
      <c r="AD577" s="9"/>
      <c r="AE577" s="9"/>
      <c r="AF577" s="9"/>
      <c r="AG577" s="1487" t="s">
        <v>2510</v>
      </c>
      <c r="AH577" s="196"/>
      <c r="AI577" s="9"/>
      <c r="AJ577" s="2086">
        <f>AC578/O577</f>
        <v>2.209664551906199</v>
      </c>
      <c r="AK577" s="2086"/>
      <c r="AL577" s="2087"/>
      <c r="AM577" s="143"/>
      <c r="AN577" s="143"/>
      <c r="AO577" s="143"/>
      <c r="AP577" s="143"/>
      <c r="AQ577" s="143"/>
      <c r="AR577" s="143"/>
      <c r="AS577" s="1628" t="str">
        <f>IF(T575="Open Flange","Hide this row","")</f>
        <v/>
      </c>
    </row>
    <row r="578" spans="1:45" ht="20.100000000000001" customHeight="1" thickBot="1">
      <c r="A578" s="170"/>
      <c r="F578" s="40"/>
      <c r="G578" s="41"/>
      <c r="H578" s="41"/>
      <c r="I578" s="41"/>
      <c r="J578" s="1491" t="s">
        <v>2823</v>
      </c>
      <c r="K578" s="1486"/>
      <c r="L578" s="41"/>
      <c r="M578" s="41"/>
      <c r="N578" s="1292" t="s">
        <v>2697</v>
      </c>
      <c r="O578" s="41" t="s">
        <v>2753</v>
      </c>
      <c r="P578" s="1293"/>
      <c r="Q578" s="2128">
        <f>+Q573</f>
        <v>0.99923410806496615</v>
      </c>
      <c r="R578" s="2128"/>
      <c r="S578" s="2128"/>
      <c r="T578" s="1292" t="s">
        <v>2489</v>
      </c>
      <c r="U578" s="2088">
        <f>+U573</f>
        <v>380</v>
      </c>
      <c r="V578" s="2129"/>
      <c r="W578" s="2129"/>
      <c r="X578" s="1292" t="s">
        <v>2489</v>
      </c>
      <c r="Y578" s="2128">
        <f>+AH497</f>
        <v>0.99999999224819058</v>
      </c>
      <c r="Z578" s="2129"/>
      <c r="AA578" s="2129"/>
      <c r="AB578" s="1292" t="s">
        <v>2697</v>
      </c>
      <c r="AC578" s="2129">
        <f>+Q578*U578*Y578</f>
        <v>379.70895812125559</v>
      </c>
      <c r="AD578" s="2129"/>
      <c r="AE578" s="2129"/>
      <c r="AF578" s="1278" t="s">
        <v>2508</v>
      </c>
      <c r="AG578" s="41"/>
      <c r="AH578" s="41"/>
      <c r="AI578" s="41"/>
      <c r="AJ578" s="41"/>
      <c r="AK578" s="41"/>
      <c r="AL578" s="45"/>
      <c r="AM578" s="143"/>
      <c r="AN578" s="143"/>
      <c r="AO578" s="143"/>
      <c r="AP578" s="143"/>
      <c r="AQ578" s="143"/>
      <c r="AR578" s="143"/>
      <c r="AS578" s="1628" t="str">
        <f>IF(T575="Open Flange","Hide this row","")</f>
        <v/>
      </c>
    </row>
    <row r="579" spans="1:45" ht="15" customHeight="1">
      <c r="A579" s="348"/>
      <c r="B579" s="348"/>
      <c r="C579" s="219"/>
      <c r="D579" s="219"/>
      <c r="E579" s="242"/>
      <c r="F579" s="242"/>
      <c r="G579" s="242"/>
      <c r="H579" s="242"/>
      <c r="I579" s="220"/>
      <c r="J579" s="220"/>
      <c r="K579" s="348"/>
      <c r="L579" s="348"/>
      <c r="M579" s="242"/>
      <c r="N579" s="242"/>
      <c r="O579" s="242"/>
      <c r="P579" s="242"/>
      <c r="Q579" s="242"/>
      <c r="R579" s="242"/>
      <c r="S579" s="348"/>
      <c r="T579" s="348"/>
      <c r="U579" s="348"/>
      <c r="V579" s="348"/>
      <c r="W579" s="348"/>
      <c r="X579" s="348"/>
      <c r="Y579" s="242"/>
      <c r="Z579" s="242"/>
    </row>
    <row r="580" spans="1:45" ht="15" customHeight="1">
      <c r="A580" s="134"/>
      <c r="B580" s="207" t="s">
        <v>449</v>
      </c>
      <c r="C580" s="136"/>
      <c r="D580" s="136"/>
      <c r="E580" s="136"/>
      <c r="F580" s="136"/>
      <c r="G580" s="136"/>
      <c r="H580" s="170"/>
      <c r="I580" s="170"/>
      <c r="J580" s="170"/>
      <c r="K580" s="170"/>
      <c r="L580" s="1186"/>
      <c r="M580" s="170"/>
      <c r="N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186"/>
      <c r="AR580" s="1529" t="s">
        <v>2908</v>
      </c>
    </row>
    <row r="581" spans="1:45" ht="15" customHeight="1" thickBot="1">
      <c r="A581" s="134"/>
      <c r="B581" s="207"/>
      <c r="C581" s="136"/>
      <c r="D581" s="136"/>
      <c r="E581" s="136"/>
      <c r="F581" s="136"/>
      <c r="G581" s="136"/>
      <c r="H581" s="170"/>
      <c r="I581" s="170"/>
      <c r="J581" s="170"/>
      <c r="K581" s="170"/>
      <c r="L581" s="1186"/>
      <c r="M581" s="170"/>
      <c r="N581" s="170"/>
      <c r="O581" s="170"/>
      <c r="P581" s="170"/>
      <c r="Q581" s="170"/>
      <c r="R581" s="170"/>
      <c r="S581" s="170"/>
      <c r="T581" s="170"/>
      <c r="U581" s="170"/>
      <c r="V581" s="170"/>
      <c r="W581" s="170"/>
      <c r="X581" s="170"/>
      <c r="Y581" s="1186"/>
      <c r="Z581" s="170"/>
      <c r="AA581" s="108"/>
    </row>
    <row r="582" spans="1:45" ht="20.100000000000001" customHeight="1" thickBot="1">
      <c r="A582" s="170"/>
      <c r="B582" s="168"/>
      <c r="C582" s="1297"/>
      <c r="D582" s="1268"/>
      <c r="E582" s="1271"/>
      <c r="F582" s="1271"/>
      <c r="G582" s="1279"/>
      <c r="H582" s="1288" t="s">
        <v>2818</v>
      </c>
      <c r="I582" s="1271"/>
      <c r="J582" s="1280" t="s">
        <v>2825</v>
      </c>
      <c r="K582" s="1282"/>
      <c r="L582" s="1496" t="s">
        <v>2824</v>
      </c>
      <c r="M582" s="1271"/>
      <c r="N582" s="1271"/>
      <c r="O582" s="1271"/>
      <c r="P582" s="1271"/>
      <c r="Q582" s="1271"/>
      <c r="R582" s="1271"/>
      <c r="S582" s="1271"/>
      <c r="T582" s="1271"/>
      <c r="U582" s="1271"/>
      <c r="V582" s="1271"/>
      <c r="W582" s="1271"/>
      <c r="X582" s="1271"/>
      <c r="Y582" s="1497"/>
      <c r="Z582" s="170"/>
      <c r="AA582" s="170"/>
      <c r="AD582" s="1309"/>
      <c r="AF582" s="1309"/>
    </row>
    <row r="583" spans="1:45" ht="15" customHeight="1">
      <c r="A583" s="134"/>
      <c r="B583" s="207"/>
      <c r="C583" s="223" t="s">
        <v>444</v>
      </c>
      <c r="D583" s="136"/>
      <c r="E583" s="136"/>
      <c r="F583" s="136"/>
      <c r="G583" s="136"/>
      <c r="H583" s="170"/>
      <c r="I583" s="170"/>
      <c r="J583" s="170"/>
      <c r="K583" s="170"/>
      <c r="L583" s="1186"/>
      <c r="M583" s="170"/>
      <c r="N583" s="170"/>
      <c r="O583" s="170"/>
      <c r="P583" s="170"/>
      <c r="Q583" s="170"/>
      <c r="R583" s="170"/>
      <c r="S583" s="170"/>
      <c r="T583" s="170"/>
      <c r="U583" s="170"/>
      <c r="V583" s="170"/>
      <c r="W583" s="170"/>
      <c r="X583" s="170"/>
      <c r="Y583" s="1186"/>
      <c r="Z583" s="170"/>
      <c r="AA583" s="108"/>
    </row>
    <row r="584" spans="1:45" ht="15" customHeight="1">
      <c r="A584" s="134"/>
      <c r="B584" s="207"/>
      <c r="D584" s="136"/>
      <c r="E584" s="136"/>
      <c r="F584" s="136"/>
      <c r="G584" s="136"/>
      <c r="H584" s="170"/>
      <c r="I584" s="170"/>
      <c r="J584" s="170"/>
      <c r="K584" s="170"/>
      <c r="L584" s="1186"/>
      <c r="M584" s="170"/>
      <c r="N584" s="170"/>
      <c r="O584" s="170"/>
      <c r="P584" s="170"/>
      <c r="Q584" s="170"/>
      <c r="R584" s="170"/>
      <c r="S584" s="170"/>
      <c r="T584" s="170"/>
      <c r="U584" s="170"/>
      <c r="V584" s="170"/>
      <c r="W584" s="170"/>
      <c r="X584" s="170"/>
      <c r="Y584" s="1186"/>
      <c r="Z584" s="170"/>
      <c r="AA584" s="108"/>
    </row>
    <row r="585" spans="1:45" ht="15" customHeight="1">
      <c r="A585" s="134"/>
      <c r="B585" s="1177" t="s">
        <v>2466</v>
      </c>
      <c r="C585" s="1188" t="s">
        <v>438</v>
      </c>
      <c r="D585" s="136"/>
      <c r="E585" s="136"/>
      <c r="F585" s="136"/>
      <c r="G585" s="136"/>
      <c r="H585" s="170"/>
      <c r="I585" s="170"/>
      <c r="J585" s="170"/>
      <c r="K585" s="170"/>
      <c r="L585" s="1186"/>
      <c r="M585" s="170"/>
      <c r="N585" s="170"/>
      <c r="O585" s="170"/>
      <c r="P585" s="170"/>
      <c r="Q585" s="170"/>
      <c r="R585" s="170"/>
      <c r="S585" s="170"/>
      <c r="T585" s="170"/>
      <c r="U585" s="170"/>
      <c r="V585" s="170"/>
      <c r="W585" s="170"/>
      <c r="X585" s="170"/>
      <c r="Y585" s="1186"/>
      <c r="Z585" s="170"/>
      <c r="AA585" s="108"/>
    </row>
    <row r="586" spans="1:45" ht="15" customHeight="1">
      <c r="A586" s="134"/>
      <c r="B586" s="207"/>
      <c r="C586" s="1242" t="s">
        <v>134</v>
      </c>
      <c r="D586" s="1242"/>
      <c r="E586" s="1242"/>
      <c r="F586" s="1242"/>
      <c r="G586" s="1242"/>
      <c r="H586" s="1242"/>
      <c r="I586" s="1242"/>
      <c r="J586" s="1242"/>
      <c r="K586" s="1242"/>
      <c r="L586" s="1242"/>
      <c r="M586" s="1242"/>
      <c r="N586" s="1242"/>
      <c r="O586" s="1242"/>
      <c r="P586" s="1242"/>
      <c r="Q586" s="1242"/>
      <c r="R586" s="1242" t="s">
        <v>439</v>
      </c>
      <c r="S586" s="1242"/>
      <c r="T586" s="1242"/>
      <c r="U586" s="1242"/>
      <c r="V586" s="1242"/>
      <c r="W586" s="1242"/>
      <c r="X586" s="1242"/>
      <c r="Y586" s="1242"/>
      <c r="Z586" s="1242"/>
      <c r="AA586" s="1242"/>
      <c r="AB586" s="1242"/>
      <c r="AC586" s="1242"/>
    </row>
    <row r="587" spans="1:45" ht="15" customHeight="1">
      <c r="A587" s="134"/>
      <c r="B587" s="207"/>
      <c r="C587" s="2125" t="s">
        <v>440</v>
      </c>
      <c r="D587" s="2125"/>
      <c r="E587" s="1936" t="s">
        <v>1701</v>
      </c>
      <c r="F587" s="1936"/>
      <c r="G587" s="1936"/>
      <c r="H587" s="1936"/>
      <c r="I587" s="1936"/>
      <c r="J587" s="170"/>
      <c r="K587" s="170"/>
      <c r="L587" s="1218"/>
      <c r="M587" s="170"/>
      <c r="N587" s="170"/>
      <c r="O587" s="170"/>
      <c r="P587" s="170"/>
      <c r="Q587" s="170"/>
      <c r="R587" s="1932" t="s">
        <v>442</v>
      </c>
      <c r="S587" s="1932"/>
      <c r="T587" s="1932"/>
      <c r="U587" s="1932"/>
      <c r="V587" s="1932"/>
      <c r="W587" s="1932"/>
      <c r="X587" s="1932"/>
      <c r="Y587" s="1932"/>
      <c r="Z587" s="1932"/>
      <c r="AA587" s="1932"/>
      <c r="AB587" s="1932"/>
      <c r="AC587" s="1932"/>
    </row>
    <row r="588" spans="1:45" ht="15" customHeight="1">
      <c r="A588" s="134"/>
      <c r="B588" s="207"/>
      <c r="C588" s="1936" t="s">
        <v>359</v>
      </c>
      <c r="D588" s="1936"/>
      <c r="E588" s="1862"/>
      <c r="F588" s="1862"/>
      <c r="G588" s="1862"/>
      <c r="H588" s="1862"/>
      <c r="I588" s="1862"/>
      <c r="J588" s="170"/>
      <c r="K588" s="170"/>
      <c r="L588" s="1218"/>
      <c r="M588" s="170"/>
      <c r="N588" s="170"/>
      <c r="O588" s="170"/>
      <c r="P588" s="170"/>
      <c r="Q588" s="170"/>
      <c r="R588" s="1870"/>
      <c r="S588" s="1870"/>
      <c r="T588" s="1870"/>
      <c r="U588" s="1870"/>
      <c r="V588" s="1870"/>
      <c r="W588" s="1870"/>
      <c r="X588" s="1870"/>
      <c r="Y588" s="1870"/>
      <c r="Z588" s="1870"/>
      <c r="AA588" s="1870"/>
      <c r="AB588" s="1870"/>
      <c r="AC588" s="1870"/>
    </row>
    <row r="589" spans="1:45" ht="15" customHeight="1">
      <c r="A589" s="134"/>
      <c r="B589" s="207"/>
      <c r="C589" s="2090" t="s">
        <v>440</v>
      </c>
      <c r="D589" s="2090"/>
      <c r="E589" s="1862" t="s">
        <v>1702</v>
      </c>
      <c r="F589" s="1862"/>
      <c r="G589" s="1862"/>
      <c r="H589" s="1862"/>
      <c r="I589" s="1862"/>
      <c r="J589" s="170"/>
      <c r="K589" s="170"/>
      <c r="L589" s="1218"/>
      <c r="M589" s="170"/>
      <c r="N589" s="170"/>
      <c r="O589" s="170"/>
      <c r="P589" s="170"/>
      <c r="Q589" s="170"/>
      <c r="R589" s="1870" t="s">
        <v>443</v>
      </c>
      <c r="S589" s="1870"/>
      <c r="T589" s="1870"/>
      <c r="U589" s="1870"/>
      <c r="V589" s="1870"/>
      <c r="W589" s="1870"/>
      <c r="X589" s="1870"/>
      <c r="Y589" s="1870"/>
      <c r="Z589" s="1870"/>
      <c r="AA589" s="1870"/>
      <c r="AB589" s="1870"/>
      <c r="AC589" s="1870"/>
    </row>
    <row r="590" spans="1:45" ht="15" customHeight="1">
      <c r="A590" s="134"/>
      <c r="B590" s="207"/>
      <c r="C590" s="2125" t="s">
        <v>359</v>
      </c>
      <c r="D590" s="2125"/>
      <c r="E590" s="2090"/>
      <c r="F590" s="2090"/>
      <c r="G590" s="2090"/>
      <c r="H590" s="2090"/>
      <c r="I590" s="2090"/>
      <c r="J590" s="145"/>
      <c r="K590" s="145"/>
      <c r="L590" s="1219"/>
      <c r="M590" s="145"/>
      <c r="N590" s="145"/>
      <c r="O590" s="145"/>
      <c r="P590" s="145"/>
      <c r="Q590" s="145"/>
      <c r="R590" s="2130"/>
      <c r="S590" s="2130"/>
      <c r="T590" s="2130"/>
      <c r="U590" s="2130"/>
      <c r="V590" s="2130"/>
      <c r="W590" s="2130"/>
      <c r="X590" s="2130"/>
      <c r="Y590" s="2130"/>
      <c r="Z590" s="2130"/>
      <c r="AA590" s="2130"/>
      <c r="AB590" s="2130"/>
      <c r="AC590" s="2130"/>
    </row>
    <row r="591" spans="1:45" ht="15" customHeight="1">
      <c r="A591" s="134"/>
      <c r="B591" s="207"/>
      <c r="C591" s="1296"/>
      <c r="D591" s="1296"/>
      <c r="E591" s="1296"/>
      <c r="F591" s="1296"/>
      <c r="G591" s="1296"/>
      <c r="H591" s="1296"/>
      <c r="I591" s="1296"/>
      <c r="J591" s="170"/>
      <c r="K591" s="170"/>
      <c r="L591" s="1296"/>
      <c r="M591" s="170"/>
      <c r="N591" s="170"/>
      <c r="O591" s="170"/>
      <c r="P591" s="170"/>
      <c r="Q591" s="170"/>
      <c r="R591" s="1297"/>
      <c r="S591" s="1297"/>
      <c r="T591" s="1297"/>
      <c r="U591" s="1297"/>
      <c r="V591" s="1297"/>
      <c r="W591" s="1297"/>
      <c r="X591" s="1297"/>
      <c r="Y591" s="1297"/>
      <c r="Z591" s="1297"/>
      <c r="AA591" s="1297"/>
      <c r="AB591" s="1297"/>
      <c r="AC591" s="1297"/>
      <c r="AD591" s="1309"/>
      <c r="AF591" s="1309"/>
    </row>
    <row r="592" spans="1:45" ht="15" customHeight="1">
      <c r="A592" s="134"/>
      <c r="B592" s="207"/>
      <c r="C592" s="1296"/>
      <c r="D592" s="1296"/>
      <c r="E592" s="115" t="s">
        <v>2828</v>
      </c>
      <c r="F592" s="1126"/>
      <c r="G592" s="76" t="s">
        <v>2697</v>
      </c>
      <c r="H592" s="115"/>
      <c r="I592" s="73" t="str">
        <f>IF(AE248="Positive","YU -ttop", "YL - tbot")</f>
        <v>YU -ttop</v>
      </c>
      <c r="J592" s="170"/>
      <c r="K592" s="115"/>
      <c r="L592" s="73"/>
      <c r="M592" s="115"/>
      <c r="N592" s="170" t="s">
        <v>2827</v>
      </c>
      <c r="P592" s="73"/>
      <c r="Q592" s="170"/>
      <c r="R592" s="170"/>
      <c r="V592" s="73"/>
      <c r="X592" s="170"/>
      <c r="Y592" s="1296"/>
      <c r="Z592" s="170"/>
      <c r="AA592" s="170"/>
      <c r="AC592" s="1297"/>
      <c r="AD592" s="1309"/>
      <c r="AF592" s="1309"/>
    </row>
    <row r="593" spans="1:73" ht="15" customHeight="1">
      <c r="A593" s="134"/>
      <c r="B593" s="207"/>
      <c r="C593" s="1296"/>
      <c r="D593" s="1296"/>
      <c r="E593" s="115"/>
      <c r="F593" s="1126"/>
      <c r="G593" s="76" t="s">
        <v>2697</v>
      </c>
      <c r="H593" s="115"/>
      <c r="I593" s="2111">
        <f>IF(AE248="Positive",AE285,AE290)</f>
        <v>1685.8661105921663</v>
      </c>
      <c r="J593" s="2111"/>
      <c r="K593" s="2111"/>
      <c r="L593" s="76" t="s">
        <v>2689</v>
      </c>
      <c r="M593" s="1862">
        <f>IF(AE248="Positive",AE256,AE258)</f>
        <v>40</v>
      </c>
      <c r="N593" s="1862"/>
      <c r="O593" s="1862"/>
      <c r="P593" s="76" t="s">
        <v>2697</v>
      </c>
      <c r="Q593" s="1862">
        <f>+I593-M593</f>
        <v>1645.8661105921663</v>
      </c>
      <c r="R593" s="1862"/>
      <c r="S593" s="1862"/>
      <c r="T593" s="143" t="s">
        <v>2829</v>
      </c>
      <c r="V593" s="73"/>
      <c r="X593" s="170"/>
      <c r="Y593" s="1296"/>
      <c r="Z593" s="170"/>
      <c r="AA593" s="170"/>
      <c r="AC593" s="1297"/>
      <c r="AD593" s="1309"/>
      <c r="AF593" s="1309"/>
    </row>
    <row r="594" spans="1:73" ht="15" customHeight="1">
      <c r="A594" s="134"/>
      <c r="B594" s="207"/>
      <c r="C594" s="1296"/>
      <c r="D594" s="1296"/>
      <c r="E594" s="115" t="s">
        <v>2852</v>
      </c>
      <c r="F594" s="1126"/>
      <c r="G594" s="76"/>
      <c r="H594" s="115"/>
      <c r="I594" s="1309"/>
      <c r="J594" s="1309"/>
      <c r="K594" s="1309"/>
      <c r="L594" s="76"/>
      <c r="M594" s="1296"/>
      <c r="N594" s="1296"/>
      <c r="O594" s="1296"/>
      <c r="P594" s="76"/>
      <c r="Q594" s="1296"/>
      <c r="R594" s="1296"/>
      <c r="S594" s="1862">
        <f>+Q593</f>
        <v>1645.8661105921663</v>
      </c>
      <c r="T594" s="1862"/>
      <c r="U594" s="1862"/>
      <c r="V594" s="1500" t="s">
        <v>2853</v>
      </c>
      <c r="W594" s="1321"/>
      <c r="X594" s="1302"/>
      <c r="Y594" s="1302"/>
      <c r="Z594" s="2095">
        <f>AE262</f>
        <v>0.125</v>
      </c>
      <c r="AA594" s="2095"/>
      <c r="AB594" s="2095"/>
      <c r="AC594" s="1303" t="s">
        <v>2800</v>
      </c>
      <c r="AD594" s="1308" t="s">
        <v>2697</v>
      </c>
      <c r="AE594" s="2111">
        <f>+Q593/COS(ATAN(Z594))</f>
        <v>1658.6746003479614</v>
      </c>
      <c r="AF594" s="2111"/>
      <c r="AG594" s="2111"/>
    </row>
    <row r="595" spans="1:73" ht="15" customHeight="1">
      <c r="A595" s="134"/>
      <c r="B595" s="207"/>
      <c r="E595" s="89" t="s">
        <v>2851</v>
      </c>
      <c r="F595" s="1296"/>
      <c r="G595" s="1303" t="s">
        <v>2697</v>
      </c>
      <c r="H595" s="1296"/>
      <c r="I595" s="115" t="s">
        <v>2770</v>
      </c>
      <c r="J595" s="115"/>
      <c r="K595" s="1862">
        <f>+AE594</f>
        <v>1658.6746003479614</v>
      </c>
      <c r="L595" s="1862"/>
      <c r="M595" s="1862"/>
      <c r="N595" s="124" t="s">
        <v>2699</v>
      </c>
      <c r="O595" s="2094">
        <f>+AE261</f>
        <v>12</v>
      </c>
      <c r="P595" s="1862"/>
      <c r="V595" s="124" t="s">
        <v>2697</v>
      </c>
      <c r="W595" s="1862">
        <f>2*K595/O595</f>
        <v>276.44576672466025</v>
      </c>
      <c r="X595" s="1862"/>
      <c r="Y595" s="1862"/>
      <c r="AA595" s="1938" t="s">
        <v>2710</v>
      </c>
      <c r="AB595" s="143"/>
      <c r="AC595" s="2120" t="str">
        <f>IF(W595&gt;W596,"Slender Web","Compact or Non-compact Web")</f>
        <v>Slender Web</v>
      </c>
      <c r="AD595" s="2120"/>
      <c r="AE595" s="2120"/>
      <c r="AF595" s="2120"/>
      <c r="AG595" s="2120"/>
      <c r="AH595" s="2120"/>
      <c r="AI595" s="2120"/>
      <c r="AJ595" s="2120"/>
      <c r="AK595" s="2120"/>
      <c r="AL595" s="2120"/>
      <c r="AM595" s="2120"/>
      <c r="AN595" s="2120"/>
      <c r="AO595" s="2120"/>
    </row>
    <row r="596" spans="1:73" ht="15" customHeight="1">
      <c r="A596" s="134"/>
      <c r="B596" s="207"/>
      <c r="C596" s="1296"/>
      <c r="D596" s="1296"/>
      <c r="E596" s="89" t="s">
        <v>2855</v>
      </c>
      <c r="F596" s="1296"/>
      <c r="G596" s="1303" t="s">
        <v>2697</v>
      </c>
      <c r="H596" s="1296"/>
      <c r="I596" s="1297" t="s">
        <v>2854</v>
      </c>
      <c r="J596" s="1297"/>
      <c r="K596" s="1297"/>
      <c r="L596" s="1297"/>
      <c r="M596" s="2096">
        <f>+AE291</f>
        <v>210000</v>
      </c>
      <c r="N596" s="1862"/>
      <c r="O596" s="1862"/>
      <c r="P596" s="1862"/>
      <c r="Q596" s="76" t="s">
        <v>2699</v>
      </c>
      <c r="R596" s="2118">
        <f>+AE294</f>
        <v>380</v>
      </c>
      <c r="S596" s="2111"/>
      <c r="T596" s="2111"/>
      <c r="U596" s="76" t="s">
        <v>2692</v>
      </c>
      <c r="V596" s="76" t="s">
        <v>2697</v>
      </c>
      <c r="W596" s="2119">
        <f>5.7*SQRT(M596/R596)</f>
        <v>133.99626860476377</v>
      </c>
      <c r="X596" s="2119"/>
      <c r="Y596" s="2119"/>
      <c r="Z596" s="1297"/>
      <c r="AA596" s="1938"/>
      <c r="AB596" s="1297"/>
      <c r="AC596" s="2120"/>
      <c r="AD596" s="2120"/>
      <c r="AE596" s="2120"/>
      <c r="AF596" s="2120"/>
      <c r="AG596" s="2120"/>
      <c r="AH596" s="2120"/>
      <c r="AI596" s="2120"/>
      <c r="AJ596" s="2120"/>
      <c r="AK596" s="2120"/>
      <c r="AL596" s="2120"/>
      <c r="AM596" s="2120"/>
      <c r="AN596" s="2120"/>
      <c r="AO596" s="2120"/>
    </row>
    <row r="597" spans="1:73" s="73" customFormat="1" ht="15" customHeight="1">
      <c r="A597" s="134"/>
      <c r="B597" s="207"/>
      <c r="C597" s="215"/>
      <c r="D597" s="136"/>
      <c r="E597" s="136"/>
      <c r="F597" s="136"/>
      <c r="G597" s="136"/>
      <c r="H597" s="170"/>
      <c r="I597" s="170"/>
      <c r="J597" s="170"/>
      <c r="K597" s="170"/>
      <c r="L597" s="1186"/>
      <c r="M597" s="170"/>
      <c r="N597" s="170"/>
      <c r="O597" s="170"/>
      <c r="P597" s="170"/>
      <c r="Q597" s="170"/>
      <c r="R597" s="170"/>
      <c r="S597" s="170"/>
      <c r="Y597" s="1186"/>
      <c r="Z597" s="170"/>
      <c r="AA597" s="108"/>
      <c r="AC597" s="143"/>
      <c r="AD597" s="1202"/>
      <c r="AF597" s="1202"/>
      <c r="AS597" s="1627"/>
      <c r="AT597" s="143"/>
      <c r="AU597" s="143"/>
      <c r="AV597" s="143"/>
      <c r="AW597" s="143"/>
      <c r="AX597" s="143"/>
      <c r="AY597" s="143"/>
      <c r="AZ597" s="143"/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</row>
    <row r="598" spans="1:73" s="73" customFormat="1" ht="15" customHeight="1">
      <c r="A598" s="134"/>
      <c r="B598" s="1177" t="s">
        <v>2466</v>
      </c>
      <c r="C598" s="170" t="s">
        <v>2144</v>
      </c>
      <c r="D598" s="136"/>
      <c r="E598" s="136"/>
      <c r="F598" s="136"/>
      <c r="G598" s="136"/>
      <c r="H598" s="170"/>
      <c r="I598" s="170"/>
      <c r="J598" s="170"/>
      <c r="K598" s="170"/>
      <c r="L598" s="1296"/>
      <c r="M598" s="170"/>
      <c r="N598" s="170"/>
      <c r="O598" s="170"/>
      <c r="P598" s="170"/>
      <c r="Q598" s="170"/>
      <c r="R598" s="170"/>
      <c r="S598" s="170"/>
      <c r="Y598" s="1296"/>
      <c r="Z598" s="170"/>
      <c r="AA598" s="108"/>
      <c r="AC598" s="143"/>
      <c r="AD598" s="1309"/>
      <c r="AF598" s="1309"/>
      <c r="AS598" s="1627"/>
      <c r="AT598" s="143"/>
      <c r="AU598" s="143"/>
      <c r="AV598" s="143"/>
      <c r="AW598" s="143"/>
      <c r="AX598" s="143"/>
      <c r="AY598" s="143"/>
      <c r="AZ598" s="143"/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</row>
    <row r="599" spans="1:73" s="73" customFormat="1" ht="15" customHeight="1">
      <c r="A599" s="134"/>
      <c r="B599" s="1177"/>
      <c r="C599" s="170" t="s">
        <v>2862</v>
      </c>
      <c r="D599" s="136"/>
      <c r="E599" s="136"/>
      <c r="F599" s="136"/>
      <c r="G599" s="136"/>
      <c r="H599" s="170"/>
      <c r="I599" s="170"/>
      <c r="J599" s="2094">
        <f>+AE272</f>
        <v>2</v>
      </c>
      <c r="K599" s="1862"/>
      <c r="L599" s="1862"/>
      <c r="M599" s="170"/>
      <c r="N599" s="170"/>
      <c r="O599" s="170"/>
      <c r="P599" s="170"/>
      <c r="Q599" s="170"/>
      <c r="R599" s="170"/>
      <c r="S599" s="170"/>
      <c r="Y599" s="1296"/>
      <c r="Z599" s="170"/>
      <c r="AA599" s="108"/>
      <c r="AC599" s="143"/>
      <c r="AD599" s="1309"/>
      <c r="AF599" s="1309"/>
      <c r="AS599" s="1627"/>
      <c r="AT599" s="143"/>
      <c r="AU599" s="143"/>
      <c r="AV599" s="143"/>
      <c r="AW599" s="143"/>
      <c r="AX599" s="143"/>
      <c r="AY599" s="143"/>
      <c r="AZ599" s="143"/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</row>
    <row r="600" spans="1:73" s="73" customFormat="1" ht="15" hidden="1" customHeight="1">
      <c r="A600" s="170"/>
      <c r="B600" s="134"/>
      <c r="C600" s="115" t="s">
        <v>2249</v>
      </c>
      <c r="D600" s="1126"/>
      <c r="E600" s="1126"/>
      <c r="F600" s="1126"/>
      <c r="H600" s="334"/>
      <c r="I600" s="334"/>
      <c r="J600" s="170"/>
      <c r="K600" s="170"/>
      <c r="N600" s="170"/>
      <c r="O600" s="143"/>
      <c r="Q600" s="170"/>
      <c r="R600" s="170"/>
      <c r="S600" s="143"/>
      <c r="T600" s="143"/>
      <c r="U600" s="143"/>
      <c r="V600" s="143"/>
      <c r="W600" s="143"/>
      <c r="X600" s="170"/>
      <c r="Y600" s="1186"/>
      <c r="Z600" s="170"/>
      <c r="AA600" s="170"/>
      <c r="AC600" s="143"/>
      <c r="AD600" s="1202"/>
      <c r="AF600" s="1202"/>
      <c r="AS600" s="1628" t="str">
        <f>IF(J599&lt;&gt;0,"Hide this row","")</f>
        <v>Hide this row</v>
      </c>
      <c r="AT600" s="143"/>
      <c r="AU600" s="143"/>
      <c r="AV600" s="143"/>
      <c r="AW600" s="143"/>
      <c r="AX600" s="143"/>
      <c r="AY600" s="143"/>
      <c r="AZ600" s="143"/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</row>
    <row r="601" spans="1:73" s="73" customFormat="1" ht="15" hidden="1" customHeight="1">
      <c r="A601" s="170"/>
      <c r="B601" s="134"/>
      <c r="C601" s="115"/>
      <c r="D601" s="1126"/>
      <c r="E601" s="115" t="s">
        <v>425</v>
      </c>
      <c r="F601" s="1126"/>
      <c r="G601" s="76" t="s">
        <v>2697</v>
      </c>
      <c r="I601" s="115" t="s">
        <v>2826</v>
      </c>
      <c r="J601" s="170"/>
      <c r="K601" s="115"/>
      <c r="M601" s="741" t="s">
        <v>2697</v>
      </c>
      <c r="N601" s="170" t="s">
        <v>2832</v>
      </c>
      <c r="O601" s="143"/>
      <c r="P601" s="2111">
        <f>+Q593</f>
        <v>1645.8661105921663</v>
      </c>
      <c r="Q601" s="2111"/>
      <c r="R601" s="2111"/>
      <c r="S601" s="138" t="s">
        <v>2699</v>
      </c>
      <c r="T601" s="2092">
        <f>+I602</f>
        <v>2800</v>
      </c>
      <c r="U601" s="1938"/>
      <c r="V601" s="1938"/>
      <c r="W601" s="138" t="s">
        <v>2833</v>
      </c>
      <c r="X601" s="170"/>
      <c r="Y601" s="1303" t="s">
        <v>2697</v>
      </c>
      <c r="Z601" s="170"/>
      <c r="AA601" s="2127">
        <f>9/(Q593/I602)^2</f>
        <v>26.047711091870671</v>
      </c>
      <c r="AB601" s="2127"/>
      <c r="AC601" s="2127"/>
      <c r="AD601" s="1309"/>
      <c r="AF601" s="1309"/>
      <c r="AS601" s="1628" t="str">
        <f>IF(J599&lt;&gt;0,"Hide this row","")</f>
        <v>Hide this row</v>
      </c>
      <c r="AT601" s="143"/>
      <c r="AU601" s="143"/>
      <c r="AV601" s="143"/>
      <c r="AW601" s="143"/>
      <c r="AX601" s="143"/>
      <c r="AY601" s="143"/>
      <c r="AZ601" s="143"/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</row>
    <row r="602" spans="1:73" s="73" customFormat="1" ht="15" hidden="1" customHeight="1">
      <c r="A602" s="170"/>
      <c r="B602" s="134"/>
      <c r="C602" s="115"/>
      <c r="D602" s="1126"/>
      <c r="E602" s="115" t="s">
        <v>2788</v>
      </c>
      <c r="F602" s="1126"/>
      <c r="G602" s="76" t="s">
        <v>2697</v>
      </c>
      <c r="H602" s="115"/>
      <c r="I602" s="2126">
        <f>+AE260</f>
        <v>2800</v>
      </c>
      <c r="J602" s="2111"/>
      <c r="K602" s="2111"/>
      <c r="L602" s="76" t="s">
        <v>2829</v>
      </c>
      <c r="M602" s="1296"/>
      <c r="N602" s="1296"/>
      <c r="O602" s="1296"/>
      <c r="P602" s="76"/>
      <c r="Q602" s="1296"/>
      <c r="R602" s="1296"/>
      <c r="S602" s="1296"/>
      <c r="T602" s="143"/>
      <c r="U602" s="143"/>
      <c r="W602" s="143"/>
      <c r="X602" s="170"/>
      <c r="Y602" s="1296"/>
      <c r="Z602" s="170"/>
      <c r="AA602" s="170"/>
      <c r="AC602" s="143"/>
      <c r="AD602" s="1309"/>
      <c r="AF602" s="1309"/>
      <c r="AS602" s="1628" t="str">
        <f>IF(J599&lt;&gt;0,"Hide this row","")</f>
        <v>Hide this row</v>
      </c>
      <c r="AT602" s="143"/>
      <c r="AU602" s="143"/>
      <c r="AV602" s="143"/>
      <c r="AW602" s="143"/>
      <c r="AX602" s="143"/>
      <c r="AY602" s="143"/>
      <c r="AZ602" s="143"/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</row>
    <row r="603" spans="1:73" s="73" customFormat="1" ht="15" hidden="1" customHeight="1">
      <c r="A603" s="170"/>
      <c r="B603" s="134"/>
      <c r="C603" s="145" t="s">
        <v>2225</v>
      </c>
      <c r="D603" s="140"/>
      <c r="E603" s="140"/>
      <c r="F603" s="140"/>
      <c r="G603" s="140"/>
      <c r="H603" s="140"/>
      <c r="I603" s="140"/>
      <c r="J603" s="170"/>
      <c r="K603" s="170"/>
      <c r="L603" s="170"/>
      <c r="M603" s="1186"/>
      <c r="N603" s="170"/>
      <c r="P603" s="170"/>
      <c r="Q603" s="170"/>
      <c r="R603" s="170"/>
      <c r="S603" s="143"/>
      <c r="T603" s="143"/>
      <c r="U603" s="143"/>
      <c r="V603" s="143"/>
      <c r="W603" s="143"/>
      <c r="X603" s="170"/>
      <c r="Y603" s="1186"/>
      <c r="Z603" s="170"/>
      <c r="AA603" s="170"/>
      <c r="AC603" s="108" t="s">
        <v>2224</v>
      </c>
      <c r="AD603" s="1202"/>
      <c r="AF603" s="1202"/>
      <c r="AS603" s="1628" t="str">
        <f>IF(J599&lt;&gt;1,"Hide this row","")</f>
        <v>Hide this row</v>
      </c>
      <c r="AT603" s="143"/>
      <c r="AU603" s="143"/>
      <c r="AV603" s="143"/>
      <c r="AW603" s="143"/>
      <c r="AX603" s="143"/>
      <c r="AY603" s="143"/>
      <c r="AZ603" s="143"/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</row>
    <row r="604" spans="1:73" s="73" customFormat="1" ht="20.100000000000001" hidden="1" customHeight="1">
      <c r="A604" s="170"/>
      <c r="B604" s="170"/>
      <c r="C604" s="148" t="s">
        <v>134</v>
      </c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 t="s">
        <v>129</v>
      </c>
      <c r="S604" s="148"/>
      <c r="T604" s="148"/>
      <c r="U604" s="148"/>
      <c r="V604" s="148"/>
      <c r="W604" s="148"/>
      <c r="X604" s="148"/>
      <c r="Y604" s="148"/>
      <c r="Z604" s="148"/>
      <c r="AA604" s="148"/>
      <c r="AB604" s="148"/>
      <c r="AC604" s="148"/>
      <c r="AS604" s="1628" t="str">
        <f>IF(J599&lt;&gt;1,"Hide this row","")</f>
        <v>Hide this row</v>
      </c>
      <c r="AT604" s="143"/>
      <c r="AU604" s="143"/>
      <c r="AV604" s="143"/>
      <c r="AW604" s="143"/>
      <c r="AX604" s="143"/>
      <c r="AY604" s="143"/>
      <c r="AZ604" s="143"/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</row>
    <row r="605" spans="1:73" s="73" customFormat="1" ht="20.100000000000001" hidden="1" customHeight="1">
      <c r="A605" s="170"/>
      <c r="B605" s="170"/>
      <c r="C605" s="122" t="s">
        <v>826</v>
      </c>
      <c r="D605" s="122"/>
      <c r="E605" s="122"/>
      <c r="F605" s="122"/>
      <c r="G605" s="122"/>
      <c r="H605" s="122"/>
      <c r="I605" s="122"/>
      <c r="J605" s="122"/>
      <c r="K605" s="122"/>
      <c r="L605" s="122"/>
      <c r="M605" s="122"/>
      <c r="N605" s="122"/>
      <c r="O605" s="122"/>
      <c r="P605" s="122"/>
      <c r="Q605" s="122"/>
      <c r="R605" s="1928">
        <v>7.2</v>
      </c>
      <c r="S605" s="1928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S605" s="1628" t="str">
        <f>IF(J599&lt;&gt;1,"Hide this row","")</f>
        <v>Hide this row</v>
      </c>
      <c r="AT605" s="143"/>
      <c r="AU605" s="143"/>
      <c r="AV605" s="143"/>
      <c r="AW605" s="143"/>
      <c r="AX605" s="143"/>
      <c r="AY605" s="143"/>
      <c r="AZ605" s="143"/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</row>
    <row r="606" spans="1:73" s="73" customFormat="1" ht="20.100000000000001" hidden="1" customHeight="1">
      <c r="A606" s="170"/>
      <c r="B606" s="170"/>
      <c r="C606" s="122" t="s">
        <v>827</v>
      </c>
      <c r="D606" s="122"/>
      <c r="E606" s="122"/>
      <c r="F606" s="122"/>
      <c r="G606" s="122"/>
      <c r="H606" s="122"/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S606" s="1628" t="str">
        <f>IF(J599&lt;&gt;1,"Hide this row","")</f>
        <v>Hide this row</v>
      </c>
      <c r="AT606" s="143"/>
      <c r="AU606" s="143"/>
      <c r="AV606" s="143"/>
      <c r="AW606" s="143"/>
      <c r="AX606" s="143"/>
      <c r="AY606" s="143"/>
      <c r="AZ606" s="143"/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</row>
    <row r="607" spans="1:73" s="73" customFormat="1" ht="20.100000000000001" hidden="1" customHeight="1">
      <c r="A607" s="143"/>
      <c r="B607" s="170"/>
      <c r="C607" s="143"/>
      <c r="D607" s="170" t="s">
        <v>1704</v>
      </c>
      <c r="E607" s="170"/>
      <c r="F607" s="170"/>
      <c r="G607" s="170"/>
      <c r="H607" s="170"/>
      <c r="I607" s="170"/>
      <c r="J607" s="170"/>
      <c r="K607" s="170"/>
      <c r="L607" s="170"/>
      <c r="M607" s="170"/>
      <c r="N607" s="170"/>
      <c r="O607" s="170"/>
      <c r="P607" s="170"/>
      <c r="Q607" s="170"/>
      <c r="R607" s="170" t="s">
        <v>1706</v>
      </c>
      <c r="S607" s="170"/>
      <c r="T607" s="170"/>
      <c r="U607" s="170"/>
      <c r="V607" s="170"/>
      <c r="W607" s="170"/>
      <c r="X607" s="170"/>
      <c r="Y607" s="170"/>
      <c r="Z607" s="170"/>
      <c r="AA607" s="170"/>
      <c r="AB607" s="170"/>
      <c r="AC607" s="170"/>
      <c r="AS607" s="1628" t="str">
        <f>IF(J599&lt;&gt;1,"Hide this row","")</f>
        <v>Hide this row</v>
      </c>
      <c r="AT607" s="143"/>
      <c r="AU607" s="143"/>
      <c r="AV607" s="143"/>
      <c r="AW607" s="143"/>
      <c r="AX607" s="143"/>
      <c r="AY607" s="143"/>
      <c r="AZ607" s="143"/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</row>
    <row r="608" spans="1:73" s="73" customFormat="1" ht="20.100000000000001" hidden="1" customHeight="1">
      <c r="A608" s="143"/>
      <c r="B608" s="170"/>
      <c r="C608" s="145"/>
      <c r="D608" s="145" t="s">
        <v>1705</v>
      </c>
      <c r="E608" s="145"/>
      <c r="F608" s="145"/>
      <c r="G608" s="145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 t="s">
        <v>264</v>
      </c>
      <c r="S608" s="145"/>
      <c r="T608" s="145"/>
      <c r="U608" s="145"/>
      <c r="V608" s="145"/>
      <c r="W608" s="145"/>
      <c r="X608" s="145"/>
      <c r="Y608" s="145"/>
      <c r="Z608" s="145"/>
      <c r="AA608" s="145"/>
      <c r="AB608" s="145"/>
      <c r="AC608" s="145"/>
      <c r="AS608" s="1628" t="str">
        <f>IF(J599&lt;&gt;1,"Hide this row","")</f>
        <v>Hide this row</v>
      </c>
      <c r="AT608" s="143"/>
      <c r="AU608" s="143"/>
      <c r="AV608" s="143"/>
      <c r="AW608" s="143"/>
      <c r="AX608" s="143"/>
      <c r="AY608" s="143"/>
      <c r="AZ608" s="143"/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</row>
    <row r="609" spans="1:73" s="73" customFormat="1" ht="15" hidden="1" customHeight="1">
      <c r="A609" s="143"/>
      <c r="B609" s="170"/>
      <c r="C609" s="170"/>
      <c r="D609" s="170"/>
      <c r="E609" s="170"/>
      <c r="F609" s="170"/>
      <c r="G609" s="170"/>
      <c r="H609" s="170"/>
      <c r="I609" s="170"/>
      <c r="J609" s="170"/>
      <c r="K609" s="170"/>
      <c r="L609" s="170"/>
      <c r="M609" s="170"/>
      <c r="N609" s="170"/>
      <c r="O609" s="170"/>
      <c r="P609" s="170"/>
      <c r="Q609" s="170"/>
      <c r="R609" s="170"/>
      <c r="S609" s="170"/>
      <c r="T609" s="170"/>
      <c r="U609" s="170"/>
      <c r="V609" s="170"/>
      <c r="W609" s="170"/>
      <c r="X609" s="170"/>
      <c r="Y609" s="170"/>
      <c r="Z609" s="170"/>
      <c r="AA609" s="170"/>
      <c r="AB609" s="170"/>
      <c r="AC609" s="170"/>
      <c r="AS609" s="1628" t="str">
        <f>IF(J599&lt;&gt;1,"Hide this row","")</f>
        <v>Hide this row</v>
      </c>
      <c r="AT609" s="143"/>
      <c r="AU609" s="143"/>
      <c r="AV609" s="143"/>
      <c r="AW609" s="143"/>
      <c r="AX609" s="143"/>
      <c r="AY609" s="143"/>
      <c r="AZ609" s="143"/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</row>
    <row r="610" spans="1:73" s="73" customFormat="1" ht="15" hidden="1" customHeight="1">
      <c r="A610" s="143"/>
      <c r="B610" s="170"/>
      <c r="C610" s="170"/>
      <c r="D610" s="170"/>
      <c r="E610" s="115" t="s">
        <v>2788</v>
      </c>
      <c r="F610" s="170"/>
      <c r="G610" s="76" t="s">
        <v>2697</v>
      </c>
      <c r="H610" s="170"/>
      <c r="I610" s="2126">
        <f>+AE260</f>
        <v>2800</v>
      </c>
      <c r="J610" s="2111"/>
      <c r="K610" s="2111"/>
      <c r="L610" s="170" t="s">
        <v>2829</v>
      </c>
      <c r="M610" s="170"/>
      <c r="N610" s="170"/>
      <c r="O610" s="170"/>
      <c r="P610" s="170"/>
      <c r="Q610" s="170"/>
      <c r="R610" s="170"/>
      <c r="S610" s="170"/>
      <c r="T610" s="170"/>
      <c r="U610" s="170"/>
      <c r="V610" s="170"/>
      <c r="W610" s="170"/>
      <c r="X610" s="170"/>
      <c r="Y610" s="170"/>
      <c r="Z610" s="170"/>
      <c r="AA610" s="170"/>
      <c r="AB610" s="170"/>
      <c r="AC610" s="170"/>
      <c r="AS610" s="1628" t="str">
        <f>IF(J599&lt;&gt;1,"Hide this row","")</f>
        <v>Hide this row</v>
      </c>
      <c r="AT610" s="143"/>
      <c r="AU610" s="143"/>
      <c r="AV610" s="143"/>
      <c r="AW610" s="143"/>
      <c r="AX610" s="143"/>
      <c r="AY610" s="143"/>
      <c r="AZ610" s="143"/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</row>
    <row r="611" spans="1:73" s="73" customFormat="1" ht="15" hidden="1" customHeight="1">
      <c r="A611" s="143"/>
      <c r="B611" s="143"/>
      <c r="C611" s="143"/>
      <c r="D611" s="143"/>
      <c r="E611" s="115" t="s">
        <v>2831</v>
      </c>
      <c r="F611" s="1126"/>
      <c r="G611" s="76" t="s">
        <v>2697</v>
      </c>
      <c r="H611" s="115"/>
      <c r="I611" s="1322" t="s">
        <v>2830</v>
      </c>
      <c r="J611" s="1309"/>
      <c r="K611" s="1309"/>
      <c r="L611" s="76"/>
      <c r="M611" s="1296"/>
      <c r="N611" s="2094">
        <f>+AE260</f>
        <v>2800</v>
      </c>
      <c r="O611" s="1862"/>
      <c r="P611" s="1862"/>
      <c r="Q611" s="76" t="s">
        <v>2697</v>
      </c>
      <c r="R611" s="1862">
        <f>0.2*N611</f>
        <v>560</v>
      </c>
      <c r="S611" s="1862"/>
      <c r="T611" s="1862"/>
      <c r="U611" s="143" t="s">
        <v>2829</v>
      </c>
      <c r="V611" s="143"/>
      <c r="W611" s="143"/>
      <c r="X611" s="170"/>
      <c r="Y611" s="1296"/>
      <c r="Z611" s="170"/>
      <c r="AA611" s="170"/>
      <c r="AC611" s="143"/>
      <c r="AS611" s="1628" t="str">
        <f>IF(J599&lt;&gt;1,"Hide this row","")</f>
        <v>Hide this row</v>
      </c>
      <c r="AT611" s="143"/>
      <c r="AU611" s="143"/>
      <c r="AV611" s="143"/>
      <c r="AW611" s="143"/>
      <c r="AX611" s="143"/>
      <c r="AY611" s="143"/>
      <c r="AZ611" s="143"/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</row>
    <row r="612" spans="1:73" s="73" customFormat="1" ht="15" hidden="1" customHeight="1">
      <c r="A612" s="143"/>
      <c r="B612" s="143"/>
      <c r="C612" s="143"/>
      <c r="D612" s="143"/>
      <c r="E612" s="115" t="s">
        <v>2850</v>
      </c>
      <c r="F612" s="1126"/>
      <c r="G612" s="76" t="s">
        <v>2697</v>
      </c>
      <c r="H612" s="115"/>
      <c r="I612" s="2111">
        <f>+R611</f>
        <v>560</v>
      </c>
      <c r="J612" s="2111"/>
      <c r="K612" s="2111"/>
      <c r="L612" s="76" t="s">
        <v>2699</v>
      </c>
      <c r="M612" s="1862">
        <f>+Q593</f>
        <v>1645.8661105921663</v>
      </c>
      <c r="N612" s="1862"/>
      <c r="O612" s="1862"/>
      <c r="P612" s="1296"/>
      <c r="Q612" s="76" t="s">
        <v>2697</v>
      </c>
      <c r="R612" s="2095">
        <f>+I612/M612</f>
        <v>0.34024638844925092</v>
      </c>
      <c r="S612" s="2095"/>
      <c r="T612" s="2095"/>
      <c r="U612" s="143" t="str">
        <f>IF(R612&lt;0.4,"&lt;   0.4","&gt;   0.4")</f>
        <v>&lt;   0.4</v>
      </c>
      <c r="V612" s="143"/>
      <c r="W612" s="143"/>
      <c r="X612" s="170"/>
      <c r="Y612" s="1296"/>
      <c r="Z612" s="170"/>
      <c r="AA612" s="170"/>
      <c r="AC612" s="143"/>
      <c r="AS612" s="1628" t="str">
        <f>IF(J599&lt;&gt;1,"Hide this row","")</f>
        <v>Hide this row</v>
      </c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</row>
    <row r="613" spans="1:73" s="73" customFormat="1" ht="15" hidden="1" customHeight="1">
      <c r="A613" s="143"/>
      <c r="B613" s="143"/>
      <c r="C613" s="143"/>
      <c r="D613" s="143"/>
      <c r="E613" s="115" t="s">
        <v>2834</v>
      </c>
      <c r="F613" s="1126"/>
      <c r="G613" s="76" t="s">
        <v>2697</v>
      </c>
      <c r="H613" s="115"/>
      <c r="I613" s="1322" t="s">
        <v>2837</v>
      </c>
      <c r="J613" s="1309"/>
      <c r="K613" s="1309"/>
      <c r="L613" s="76"/>
      <c r="M613" s="1296"/>
      <c r="N613" s="1296"/>
      <c r="O613" s="1296"/>
      <c r="P613" s="1296"/>
      <c r="Q613" s="76"/>
      <c r="R613" s="1498"/>
      <c r="S613" s="1317"/>
      <c r="T613" s="1317"/>
      <c r="U613" s="143"/>
      <c r="V613" s="143"/>
      <c r="W613" s="143"/>
      <c r="X613" s="170"/>
      <c r="Y613" s="1296"/>
      <c r="Z613" s="170"/>
      <c r="AA613" s="170"/>
      <c r="AC613" s="143"/>
      <c r="AS613" s="1628" t="str">
        <f>IF(J599&lt;&gt;1,"Hide this row","")</f>
        <v>Hide this row</v>
      </c>
      <c r="AT613" s="143"/>
      <c r="AU613" s="143"/>
      <c r="AV613" s="143"/>
      <c r="AW613" s="143"/>
      <c r="AX613" s="143"/>
      <c r="AY613" s="143"/>
      <c r="AZ613" s="143"/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</row>
    <row r="614" spans="1:73" s="73" customFormat="1" ht="15" hidden="1" customHeight="1">
      <c r="A614" s="143"/>
      <c r="B614" s="143"/>
      <c r="C614" s="143"/>
      <c r="D614" s="143"/>
      <c r="E614" s="115"/>
      <c r="F614" s="1126"/>
      <c r="G614" s="76" t="s">
        <v>2697</v>
      </c>
      <c r="H614" s="115"/>
      <c r="I614" s="1322" t="s">
        <v>2835</v>
      </c>
      <c r="J614" s="1309"/>
      <c r="K614" s="1309"/>
      <c r="L614" s="2122">
        <f>+R611</f>
        <v>560</v>
      </c>
      <c r="M614" s="2122"/>
      <c r="N614" s="2122"/>
      <c r="O614" s="1303" t="s">
        <v>2699</v>
      </c>
      <c r="P614" s="2094">
        <f>+I610</f>
        <v>2800</v>
      </c>
      <c r="Q614" s="1862"/>
      <c r="R614" s="1862"/>
      <c r="S614" s="1498" t="s">
        <v>2836</v>
      </c>
      <c r="T614" s="1498" t="s">
        <v>2697</v>
      </c>
      <c r="U614" s="1938">
        <f>5.17/(L614/P614)^2</f>
        <v>129.24999999999997</v>
      </c>
      <c r="V614" s="1938"/>
      <c r="W614" s="1938"/>
      <c r="Y614" s="97" t="str">
        <f>IF(U614&gt;AL614,"&gt;","&lt;")</f>
        <v>&gt;</v>
      </c>
      <c r="AA614" s="170" t="s">
        <v>2832</v>
      </c>
      <c r="AB614" s="143"/>
      <c r="AC614" s="2111">
        <f>+Q593</f>
        <v>1645.8661105921663</v>
      </c>
      <c r="AD614" s="2111"/>
      <c r="AE614" s="2111"/>
      <c r="AF614" s="138" t="s">
        <v>2699</v>
      </c>
      <c r="AG614" s="2092">
        <f>+I610</f>
        <v>2800</v>
      </c>
      <c r="AH614" s="1938"/>
      <c r="AI614" s="1938"/>
      <c r="AJ614" s="138" t="s">
        <v>2833</v>
      </c>
      <c r="AK614" s="1303" t="s">
        <v>2697</v>
      </c>
      <c r="AL614" s="2093">
        <f>9/(AG614/AC614)^2</f>
        <v>3.1096782252502631</v>
      </c>
      <c r="AM614" s="2093"/>
      <c r="AN614" s="2093"/>
      <c r="AS614" s="1628" t="str">
        <f>IF(J599&lt;&gt;1,"Hide this row","")</f>
        <v>Hide this row</v>
      </c>
      <c r="AT614" s="143"/>
      <c r="AU614" s="143"/>
      <c r="AV614" s="143"/>
      <c r="AW614" s="143"/>
      <c r="AX614" s="143"/>
      <c r="AY614" s="143"/>
      <c r="AZ614" s="143"/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</row>
    <row r="615" spans="1:73" s="73" customFormat="1" ht="15" hidden="1" customHeight="1">
      <c r="A615" s="143"/>
      <c r="B615" s="143"/>
      <c r="C615" s="143"/>
      <c r="D615" s="143"/>
      <c r="E615" s="115"/>
      <c r="F615" s="1126"/>
      <c r="G615" s="76" t="s">
        <v>2697</v>
      </c>
      <c r="H615" s="115"/>
      <c r="I615" s="2123">
        <f>+MAX(U614,AL614)</f>
        <v>129.24999999999997</v>
      </c>
      <c r="J615" s="2124"/>
      <c r="K615" s="2124"/>
      <c r="L615" s="76"/>
      <c r="M615" s="1296"/>
      <c r="N615" s="1296"/>
      <c r="O615" s="1296"/>
      <c r="P615" s="76"/>
      <c r="Q615" s="1296"/>
      <c r="R615" s="1296"/>
      <c r="S615" s="1296"/>
      <c r="T615" s="143"/>
      <c r="U615" s="143"/>
      <c r="W615" s="143"/>
      <c r="X615" s="170"/>
      <c r="Y615" s="1296"/>
      <c r="AS615" s="1628" t="str">
        <f>IF(J599&lt;&gt;1,"Hide this row","")</f>
        <v>Hide this row</v>
      </c>
      <c r="AT615" s="143"/>
      <c r="AU615" s="143"/>
      <c r="AV615" s="143"/>
      <c r="AW615" s="143"/>
      <c r="AX615" s="143"/>
      <c r="AY615" s="143"/>
      <c r="AZ615" s="143"/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</row>
    <row r="616" spans="1:73" s="73" customFormat="1" ht="15" hidden="1" customHeight="1">
      <c r="A616" s="143"/>
      <c r="B616" s="143"/>
      <c r="C616" s="143"/>
      <c r="D616" s="143"/>
      <c r="E616" s="115" t="s">
        <v>2834</v>
      </c>
      <c r="F616" s="1126"/>
      <c r="G616" s="76" t="s">
        <v>2697</v>
      </c>
      <c r="H616" s="115"/>
      <c r="I616" s="170" t="s">
        <v>264</v>
      </c>
      <c r="J616" s="1309"/>
      <c r="K616" s="1309"/>
      <c r="L616" s="76"/>
      <c r="M616" s="1296"/>
      <c r="N616" s="1296"/>
      <c r="O616" s="1296"/>
      <c r="P616" s="1296"/>
      <c r="Q616" s="76"/>
      <c r="R616" s="1498"/>
      <c r="S616" s="1317"/>
      <c r="T616" s="143"/>
      <c r="U616" s="143"/>
      <c r="W616" s="143"/>
      <c r="X616" s="170"/>
      <c r="Y616" s="1296"/>
      <c r="AS616" s="1628" t="str">
        <f>IF(J599&lt;&gt;1,"Hide this row","")</f>
        <v>Hide this row</v>
      </c>
      <c r="AT616" s="143"/>
      <c r="AU616" s="143"/>
      <c r="AV616" s="143"/>
      <c r="AW616" s="143"/>
      <c r="AX616" s="143"/>
      <c r="AY616" s="143"/>
      <c r="AZ616" s="143"/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</row>
    <row r="617" spans="1:73" s="73" customFormat="1" ht="15" hidden="1" customHeight="1">
      <c r="A617" s="143"/>
      <c r="B617" s="143"/>
      <c r="C617" s="143"/>
      <c r="D617" s="143"/>
      <c r="E617" s="115"/>
      <c r="F617" s="1126"/>
      <c r="G617" s="76" t="s">
        <v>2697</v>
      </c>
      <c r="H617" s="115"/>
      <c r="I617" s="1322" t="s">
        <v>2838</v>
      </c>
      <c r="J617" s="1309"/>
      <c r="K617" s="1309"/>
      <c r="L617" s="1415"/>
      <c r="M617" s="2122">
        <f>+Q593</f>
        <v>1645.8661105921663</v>
      </c>
      <c r="N617" s="2122"/>
      <c r="O617" s="2122"/>
      <c r="P617" s="1499" t="s">
        <v>2689</v>
      </c>
      <c r="Q617" s="1862">
        <f>+R611</f>
        <v>560</v>
      </c>
      <c r="R617" s="1862"/>
      <c r="S617" s="1862"/>
      <c r="T617" s="138" t="s">
        <v>2722</v>
      </c>
      <c r="U617" s="2092">
        <f>+I610</f>
        <v>2800</v>
      </c>
      <c r="V617" s="1938"/>
      <c r="W617" s="1938"/>
      <c r="X617" s="124" t="s">
        <v>2839</v>
      </c>
      <c r="Y617" s="1296"/>
      <c r="AS617" s="1628" t="str">
        <f>IF(J599&lt;&gt;1,"Hide this row","")</f>
        <v>Hide this row</v>
      </c>
      <c r="AT617" s="143"/>
      <c r="AU617" s="143"/>
      <c r="AV617" s="143"/>
      <c r="AW617" s="143"/>
      <c r="AX617" s="143"/>
      <c r="AY617" s="143"/>
      <c r="AZ617" s="143"/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</row>
    <row r="618" spans="1:73" s="73" customFormat="1" ht="15" hidden="1" customHeight="1">
      <c r="A618" s="143"/>
      <c r="B618" s="143"/>
      <c r="C618" s="170"/>
      <c r="D618" s="138"/>
      <c r="E618" s="115"/>
      <c r="F618" s="1126"/>
      <c r="G618" s="76" t="s">
        <v>2697</v>
      </c>
      <c r="H618" s="115"/>
      <c r="I618" s="2123">
        <f>11.64/((M617-Q617)/U617)^2</f>
        <v>77.395637993780525</v>
      </c>
      <c r="J618" s="2124"/>
      <c r="K618" s="2124"/>
      <c r="L618" s="76"/>
      <c r="M618" s="1296"/>
      <c r="N618" s="1296"/>
      <c r="O618" s="1296"/>
      <c r="P618" s="76"/>
      <c r="Q618" s="1296"/>
      <c r="R618" s="1296"/>
      <c r="S618" s="1296"/>
      <c r="T618" s="170"/>
      <c r="U618" s="170"/>
      <c r="V618" s="170"/>
      <c r="W618" s="170"/>
      <c r="X618" s="170"/>
      <c r="Y618" s="1186"/>
      <c r="Z618" s="170"/>
      <c r="AA618" s="170"/>
      <c r="AC618" s="143"/>
      <c r="AD618" s="1202"/>
      <c r="AF618" s="1202"/>
      <c r="AS618" s="1628" t="str">
        <f>IF(J599&lt;&gt;1,"Hide this row","")</f>
        <v>Hide this row</v>
      </c>
      <c r="AT618" s="143"/>
      <c r="AU618" s="143"/>
      <c r="AV618" s="143"/>
      <c r="AW618" s="143"/>
      <c r="AX618" s="143"/>
      <c r="AY618" s="143"/>
      <c r="AZ618" s="143"/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</row>
    <row r="619" spans="1:73" s="73" customFormat="1" ht="15" hidden="1" customHeight="1">
      <c r="A619" s="143"/>
      <c r="B619" s="143"/>
      <c r="C619" s="170"/>
      <c r="D619" s="170" t="s">
        <v>2250</v>
      </c>
      <c r="E619" s="115" t="s">
        <v>2834</v>
      </c>
      <c r="F619" s="143"/>
      <c r="G619" s="76" t="s">
        <v>2697</v>
      </c>
      <c r="H619" s="143"/>
      <c r="I619" s="2123">
        <f>+IF(R612&gt;=0.4,I615,I618)</f>
        <v>77.395637993780525</v>
      </c>
      <c r="J619" s="2124"/>
      <c r="K619" s="2124"/>
      <c r="L619" s="143"/>
      <c r="M619" s="143"/>
      <c r="N619" s="143"/>
      <c r="O619" s="143"/>
      <c r="P619" s="143"/>
      <c r="Q619" s="143"/>
      <c r="R619" s="170"/>
      <c r="S619" s="170"/>
      <c r="T619" s="170"/>
      <c r="U619" s="170"/>
      <c r="V619" s="170"/>
      <c r="W619" s="170"/>
      <c r="X619" s="170"/>
      <c r="Y619" s="1186"/>
      <c r="Z619" s="170"/>
      <c r="AA619" s="170"/>
      <c r="AC619" s="143"/>
      <c r="AD619" s="1202"/>
      <c r="AF619" s="1202"/>
      <c r="AS619" s="1628" t="str">
        <f>IF(J599&lt;&gt;1,"Hide this row","")</f>
        <v>Hide this row</v>
      </c>
      <c r="AT619" s="143"/>
      <c r="AU619" s="143"/>
      <c r="AV619" s="143"/>
      <c r="AW619" s="143"/>
      <c r="AX619" s="143"/>
      <c r="AY619" s="143"/>
      <c r="AZ619" s="143"/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</row>
    <row r="620" spans="1:73" s="73" customFormat="1" ht="15" customHeight="1">
      <c r="A620" s="143"/>
      <c r="B620" s="143"/>
      <c r="C620" s="170" t="s">
        <v>2250</v>
      </c>
      <c r="D620" s="138"/>
      <c r="E620" s="170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70"/>
      <c r="S620" s="170"/>
      <c r="T620" s="170"/>
      <c r="U620" s="170"/>
      <c r="V620" s="170"/>
      <c r="W620" s="170"/>
      <c r="X620" s="170"/>
      <c r="Y620" s="1186"/>
      <c r="Z620" s="170"/>
      <c r="AA620" s="170"/>
      <c r="AC620" s="143"/>
      <c r="AD620" s="1202"/>
      <c r="AF620" s="1202"/>
      <c r="AS620" s="1628" t="str">
        <f>IF(J599&lt;&gt;2,"Hide this row","")</f>
        <v/>
      </c>
      <c r="AT620" s="143"/>
      <c r="AU620" s="143"/>
      <c r="AV620" s="143"/>
      <c r="AW620" s="143"/>
      <c r="AX620" s="143"/>
      <c r="AY620" s="143"/>
      <c r="AZ620" s="143"/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</row>
    <row r="621" spans="1:73" s="73" customFormat="1" ht="15" customHeight="1">
      <c r="A621" s="143"/>
      <c r="B621" s="143"/>
      <c r="C621" s="334" t="s">
        <v>2226</v>
      </c>
      <c r="D621" s="138"/>
      <c r="E621" s="170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70"/>
      <c r="S621" s="170"/>
      <c r="T621" s="170"/>
      <c r="U621" s="170"/>
      <c r="V621" s="170"/>
      <c r="W621" s="170"/>
      <c r="X621" s="170"/>
      <c r="Y621" s="1186"/>
      <c r="Z621" s="170"/>
      <c r="AA621" s="170"/>
      <c r="AC621" s="143"/>
      <c r="AD621" s="1202"/>
      <c r="AF621" s="1202"/>
      <c r="AS621" s="1628" t="str">
        <f>IF(J599&lt;&gt;2,"Hide this row","")</f>
        <v/>
      </c>
      <c r="AT621" s="143"/>
      <c r="AU621" s="143"/>
      <c r="AV621" s="143"/>
      <c r="AW621" s="143"/>
      <c r="AX621" s="143"/>
      <c r="AY621" s="143"/>
      <c r="AZ621" s="143"/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</row>
    <row r="622" spans="1:73" s="73" customFormat="1" ht="15" customHeight="1">
      <c r="A622" s="143"/>
      <c r="B622" s="143"/>
      <c r="C622" s="334" t="s">
        <v>2227</v>
      </c>
      <c r="D622" s="138"/>
      <c r="E622" s="170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70"/>
      <c r="S622" s="170"/>
      <c r="T622" s="170"/>
      <c r="U622" s="170"/>
      <c r="V622" s="170"/>
      <c r="W622" s="170"/>
      <c r="X622" s="170"/>
      <c r="Y622" s="1186"/>
      <c r="Z622" s="170"/>
      <c r="AA622" s="170"/>
      <c r="AC622" s="143"/>
      <c r="AD622" s="1202"/>
      <c r="AF622" s="1202"/>
      <c r="AS622" s="1628" t="str">
        <f>IF(J599&lt;&gt;2,"Hide this row","")</f>
        <v/>
      </c>
      <c r="AT622" s="143"/>
      <c r="AU622" s="143"/>
      <c r="AV622" s="143"/>
      <c r="AW622" s="143"/>
      <c r="AX622" s="143"/>
      <c r="AY622" s="143"/>
      <c r="AZ622" s="143"/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</row>
    <row r="623" spans="1:73" s="73" customFormat="1" ht="20.100000000000001" customHeight="1">
      <c r="A623" s="170"/>
      <c r="B623" s="170"/>
      <c r="C623" s="1120" t="s">
        <v>134</v>
      </c>
      <c r="D623" s="1120"/>
      <c r="E623" s="1120"/>
      <c r="F623" s="1120"/>
      <c r="G623" s="1120"/>
      <c r="H623" s="1120"/>
      <c r="I623" s="1120"/>
      <c r="J623" s="1120"/>
      <c r="K623" s="1120"/>
      <c r="L623" s="1120"/>
      <c r="M623" s="1120"/>
      <c r="N623" s="1120"/>
      <c r="O623" s="1120"/>
      <c r="P623" s="1120"/>
      <c r="Q623" s="1120"/>
      <c r="R623" s="1120" t="s">
        <v>129</v>
      </c>
      <c r="S623" s="1120"/>
      <c r="T623" s="1120"/>
      <c r="U623" s="1120"/>
      <c r="V623" s="1120"/>
      <c r="W623" s="1120"/>
      <c r="X623" s="1120"/>
      <c r="Y623" s="1120"/>
      <c r="Z623" s="1120"/>
      <c r="AA623" s="1120"/>
      <c r="AB623" s="1120"/>
      <c r="AC623" s="1120"/>
      <c r="AS623" s="1628" t="str">
        <f>IF(J599&lt;&gt;2,"Hide this row","")</f>
        <v/>
      </c>
      <c r="AT623" s="143"/>
      <c r="AU623" s="143"/>
      <c r="AV623" s="143"/>
      <c r="AW623" s="143"/>
      <c r="AX623" s="143"/>
      <c r="AY623" s="143"/>
      <c r="AZ623" s="143"/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</row>
    <row r="624" spans="1:73" s="73" customFormat="1" ht="20.100000000000001" customHeight="1">
      <c r="A624" s="170"/>
      <c r="B624" s="170"/>
      <c r="C624" s="1125" t="s">
        <v>2243</v>
      </c>
      <c r="D624" s="170"/>
      <c r="G624" s="122"/>
      <c r="H624" s="122" t="s">
        <v>2228</v>
      </c>
      <c r="I624" s="122"/>
      <c r="J624" s="122"/>
      <c r="K624" s="122"/>
      <c r="L624" s="122"/>
      <c r="M624" s="122"/>
      <c r="N624" s="122"/>
      <c r="O624" s="122"/>
      <c r="P624" s="122"/>
      <c r="Q624" s="122"/>
      <c r="R624" s="53" t="s">
        <v>2242</v>
      </c>
      <c r="S624" s="53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S624" s="1628" t="str">
        <f>IF(J599&lt;&gt;2,"Hide this row","")</f>
        <v/>
      </c>
      <c r="AT624" s="143"/>
      <c r="AU624" s="143"/>
      <c r="AV624" s="143"/>
      <c r="AW624" s="143"/>
      <c r="AX624" s="143"/>
      <c r="AY624" s="143"/>
      <c r="AZ624" s="143"/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</row>
    <row r="625" spans="1:73" s="73" customFormat="1" ht="20.100000000000001" customHeight="1">
      <c r="A625" s="170"/>
      <c r="B625" s="170"/>
      <c r="C625" s="118"/>
      <c r="D625" s="118"/>
      <c r="E625" s="118"/>
      <c r="F625" s="118"/>
      <c r="G625" s="380"/>
      <c r="H625" s="380" t="s">
        <v>2229</v>
      </c>
      <c r="I625" s="380"/>
      <c r="J625" s="380"/>
      <c r="K625" s="380"/>
      <c r="L625" s="380"/>
      <c r="M625" s="380"/>
      <c r="N625" s="380"/>
      <c r="O625" s="380"/>
      <c r="P625" s="380"/>
      <c r="Q625" s="380"/>
      <c r="R625" s="1124" t="s">
        <v>2230</v>
      </c>
      <c r="S625" s="380"/>
      <c r="T625" s="380"/>
      <c r="U625" s="380"/>
      <c r="V625" s="380"/>
      <c r="W625" s="380"/>
      <c r="X625" s="380"/>
      <c r="Y625" s="380"/>
      <c r="Z625" s="380"/>
      <c r="AA625" s="380"/>
      <c r="AB625" s="380"/>
      <c r="AC625" s="380"/>
      <c r="AS625" s="1628" t="str">
        <f>IF(J599&lt;&gt;2,"Hide this row","")</f>
        <v/>
      </c>
      <c r="AT625" s="143"/>
      <c r="AU625" s="143"/>
      <c r="AV625" s="143"/>
      <c r="AW625" s="143"/>
      <c r="AX625" s="143"/>
      <c r="AY625" s="143"/>
      <c r="AZ625" s="143"/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</row>
    <row r="626" spans="1:73" s="73" customFormat="1" ht="20.100000000000001" customHeight="1">
      <c r="A626" s="170"/>
      <c r="B626" s="170"/>
      <c r="C626" s="669" t="s">
        <v>2244</v>
      </c>
      <c r="D626" s="149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121" t="s">
        <v>2245</v>
      </c>
      <c r="S626" s="149"/>
      <c r="T626" s="149"/>
      <c r="U626" s="149"/>
      <c r="V626" s="149"/>
      <c r="W626" s="149"/>
      <c r="X626" s="149"/>
      <c r="Y626" s="149"/>
      <c r="Z626" s="149"/>
      <c r="AA626" s="149"/>
      <c r="AB626" s="149"/>
      <c r="AC626" s="149"/>
      <c r="AS626" s="1628" t="str">
        <f>IF(J599&lt;&gt;2,"Hide this row","")</f>
        <v/>
      </c>
      <c r="AT626" s="143"/>
      <c r="AU626" s="143"/>
      <c r="AV626" s="143"/>
      <c r="AW626" s="143"/>
      <c r="AX626" s="143"/>
      <c r="AY626" s="143"/>
      <c r="AZ626" s="143"/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</row>
    <row r="627" spans="1:73" s="73" customFormat="1" ht="15" customHeight="1">
      <c r="A627" s="143"/>
      <c r="B627" s="143"/>
      <c r="C627" s="334"/>
      <c r="D627" s="138"/>
      <c r="E627" s="170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70"/>
      <c r="S627" s="170"/>
      <c r="T627" s="170"/>
      <c r="U627" s="170"/>
      <c r="V627" s="170"/>
      <c r="W627" s="170"/>
      <c r="X627" s="170"/>
      <c r="Y627" s="1186"/>
      <c r="Z627" s="170"/>
      <c r="AA627" s="170"/>
      <c r="AC627" s="143"/>
      <c r="AD627" s="1202"/>
      <c r="AF627" s="1202"/>
      <c r="AS627" s="1628" t="str">
        <f>IF(J599&lt;&gt;2,"Hide this row","")</f>
        <v/>
      </c>
      <c r="AT627" s="143"/>
      <c r="AU627" s="143"/>
      <c r="AV627" s="143"/>
      <c r="AW627" s="143"/>
      <c r="AX627" s="143"/>
      <c r="AY627" s="143"/>
      <c r="AZ627" s="143"/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</row>
    <row r="628" spans="1:73" s="73" customFormat="1" ht="15" customHeight="1">
      <c r="A628" s="143"/>
      <c r="B628" s="143"/>
      <c r="C628" s="334"/>
      <c r="D628" s="138"/>
      <c r="E628" s="115" t="s">
        <v>2841</v>
      </c>
      <c r="F628" s="170"/>
      <c r="G628" s="76" t="s">
        <v>2697</v>
      </c>
      <c r="H628" s="170"/>
      <c r="I628" s="1322" t="s">
        <v>2840</v>
      </c>
      <c r="J628" s="1309"/>
      <c r="K628" s="1309"/>
      <c r="L628" s="76"/>
      <c r="M628" s="1296"/>
      <c r="O628" s="2094">
        <f>+AE260</f>
        <v>2800</v>
      </c>
      <c r="P628" s="1862"/>
      <c r="Q628" s="1862"/>
      <c r="R628" s="76" t="s">
        <v>2697</v>
      </c>
      <c r="S628" s="1862">
        <f>0.25*O628</f>
        <v>700</v>
      </c>
      <c r="T628" s="1862"/>
      <c r="U628" s="1862"/>
      <c r="V628" s="143" t="s">
        <v>2829</v>
      </c>
      <c r="W628" s="143"/>
      <c r="X628" s="170"/>
      <c r="Y628" s="1296"/>
      <c r="Z628" s="170"/>
      <c r="AA628" s="170"/>
      <c r="AC628" s="143"/>
      <c r="AD628" s="1309"/>
      <c r="AF628" s="1309"/>
      <c r="AS628" s="1628" t="str">
        <f>IF(J599&lt;&gt;2,"Hide this row","")</f>
        <v/>
      </c>
      <c r="AT628" s="143"/>
      <c r="AU628" s="143"/>
      <c r="AV628" s="143"/>
      <c r="AW628" s="143"/>
      <c r="AX628" s="143"/>
      <c r="AY628" s="143"/>
      <c r="AZ628" s="143"/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</row>
    <row r="629" spans="1:73" s="73" customFormat="1" ht="15" customHeight="1">
      <c r="A629" s="143"/>
      <c r="B629" s="143"/>
      <c r="C629" s="334"/>
      <c r="D629" s="138"/>
      <c r="E629" s="1122" t="s">
        <v>2234</v>
      </c>
      <c r="F629" s="143"/>
      <c r="G629" s="138" t="s">
        <v>324</v>
      </c>
      <c r="H629" s="143"/>
      <c r="I629" s="170" t="s">
        <v>2236</v>
      </c>
      <c r="J629" s="143"/>
      <c r="K629" s="143"/>
      <c r="L629" s="143"/>
      <c r="M629" s="143"/>
      <c r="N629" s="143"/>
      <c r="W629" s="170"/>
      <c r="X629" s="170"/>
      <c r="Y629" s="1296"/>
      <c r="Z629" s="170"/>
      <c r="AA629" s="170"/>
      <c r="AC629" s="143"/>
      <c r="AD629" s="1309"/>
      <c r="AF629" s="1309"/>
      <c r="AS629" s="1628" t="str">
        <f>IF(J599&lt;&gt;2,"Hide this row","")</f>
        <v/>
      </c>
      <c r="AT629" s="143"/>
      <c r="AU629" s="143"/>
      <c r="AV629" s="143"/>
      <c r="AW629" s="143"/>
      <c r="AX629" s="143"/>
      <c r="AY629" s="143"/>
      <c r="AZ629" s="143"/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</row>
    <row r="630" spans="1:73" s="73" customFormat="1" ht="15" customHeight="1">
      <c r="A630" s="143"/>
      <c r="B630" s="143"/>
      <c r="C630" s="170"/>
      <c r="D630" s="138"/>
      <c r="E630" s="170"/>
      <c r="F630" s="143"/>
      <c r="G630" s="138" t="s">
        <v>324</v>
      </c>
      <c r="H630" s="143"/>
      <c r="I630" s="2097">
        <f>+ MAX(X399,X402)</f>
        <v>171.84009120012999</v>
      </c>
      <c r="J630" s="1938"/>
      <c r="K630" s="1938"/>
      <c r="L630" s="138" t="s">
        <v>2699</v>
      </c>
      <c r="M630" s="2097">
        <f>+MIN(X399,X402)</f>
        <v>-242.60209744070417</v>
      </c>
      <c r="N630" s="1938"/>
      <c r="O630" s="1938"/>
      <c r="P630" s="143"/>
      <c r="Q630" s="143"/>
      <c r="R630" s="124" t="s">
        <v>2697</v>
      </c>
      <c r="S630" s="1862">
        <f>+I630/M630</f>
        <v>-0.70832071533153362</v>
      </c>
      <c r="T630" s="1862"/>
      <c r="U630" s="1862"/>
      <c r="V630" s="170"/>
      <c r="W630" s="170" t="str">
        <f>IF(S630&gt;=-1, "&gt;  -1.0","&lt;   -1.0")</f>
        <v>&gt;  -1.0</v>
      </c>
      <c r="X630" s="170"/>
      <c r="Y630" s="1186"/>
      <c r="Z630" s="170"/>
      <c r="AA630" s="170"/>
      <c r="AC630" s="143"/>
      <c r="AD630" s="1202"/>
      <c r="AF630" s="1202"/>
      <c r="AS630" s="1628" t="str">
        <f>IF(J599&lt;&gt;2,"Hide this row","")</f>
        <v/>
      </c>
      <c r="AT630" s="143"/>
      <c r="AU630" s="143"/>
      <c r="AV630" s="143"/>
      <c r="AW630" s="143"/>
      <c r="AX630" s="143"/>
      <c r="AY630" s="143"/>
      <c r="AZ630" s="143"/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</row>
    <row r="631" spans="1:73" s="73" customFormat="1" ht="15" customHeight="1">
      <c r="A631" s="143"/>
      <c r="B631" s="143"/>
      <c r="C631" s="334"/>
      <c r="D631" s="138" t="s">
        <v>2842</v>
      </c>
      <c r="E631" s="170"/>
      <c r="F631" s="143"/>
      <c r="G631" s="138" t="s">
        <v>324</v>
      </c>
      <c r="H631" s="143"/>
      <c r="I631" s="1938">
        <f>+S628/Q593</f>
        <v>0.42530798556156368</v>
      </c>
      <c r="J631" s="1938"/>
      <c r="K631" s="1938"/>
      <c r="L631" s="143"/>
      <c r="M631" s="170" t="str">
        <f>IF(I631&gt;=0.4, "&gt;  0.4","&lt;   0.4")</f>
        <v>&gt;  0.4</v>
      </c>
      <c r="N631" s="170"/>
      <c r="O631" s="1296"/>
      <c r="P631" s="143"/>
      <c r="Q631" s="143"/>
      <c r="R631" s="170"/>
      <c r="S631" s="170"/>
      <c r="T631" s="170"/>
      <c r="U631" s="170"/>
      <c r="V631" s="170"/>
      <c r="W631" s="170"/>
      <c r="X631" s="170"/>
      <c r="Y631" s="1186"/>
      <c r="Z631" s="170"/>
      <c r="AA631" s="170"/>
      <c r="AC631" s="143"/>
      <c r="AD631" s="1202"/>
      <c r="AF631" s="1202"/>
      <c r="AS631" s="1628" t="str">
        <f>IF(J599&lt;&gt;2,"Hide this row",IF(S630&lt;-1,"Hide this row",""))</f>
        <v/>
      </c>
      <c r="AT631" s="143"/>
      <c r="AU631" s="143"/>
      <c r="AV631" s="143"/>
      <c r="AW631" s="143"/>
      <c r="AX631" s="143"/>
      <c r="AY631" s="143"/>
      <c r="AZ631" s="143"/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</row>
    <row r="632" spans="1:73" s="73" customFormat="1" ht="15" hidden="1" customHeight="1">
      <c r="A632" s="143"/>
      <c r="B632" s="143"/>
      <c r="C632" s="334"/>
      <c r="D632" s="138" t="s">
        <v>2710</v>
      </c>
      <c r="E632" s="170" t="s">
        <v>2834</v>
      </c>
      <c r="F632" s="143"/>
      <c r="G632" s="138" t="s">
        <v>324</v>
      </c>
      <c r="H632" s="143"/>
      <c r="I632" s="1312" t="s">
        <v>2843</v>
      </c>
      <c r="J632" s="1302"/>
      <c r="K632" s="1302"/>
      <c r="L632" s="143"/>
      <c r="M632" s="1862">
        <f>+S628</f>
        <v>700</v>
      </c>
      <c r="N632" s="1862"/>
      <c r="O632" s="1862"/>
      <c r="P632" s="138" t="s">
        <v>2699</v>
      </c>
      <c r="Q632" s="1938">
        <f>+Q593</f>
        <v>1645.8661105921663</v>
      </c>
      <c r="R632" s="1938"/>
      <c r="S632" s="1938"/>
      <c r="T632" s="124" t="s">
        <v>2844</v>
      </c>
      <c r="U632" s="170"/>
      <c r="V632" s="170"/>
      <c r="W632" s="170"/>
      <c r="X632" s="170"/>
      <c r="Y632" s="1862">
        <f>+S630</f>
        <v>-0.70832071533153362</v>
      </c>
      <c r="Z632" s="1862"/>
      <c r="AA632" s="1862"/>
      <c r="AB632" s="76" t="s">
        <v>2845</v>
      </c>
      <c r="AC632" s="143"/>
      <c r="AD632" s="1309"/>
      <c r="AF632" s="1309"/>
      <c r="AS632" s="1628" t="str">
        <f>IF(J599&lt;&gt;2,"Hide this row",IF(S630&lt;-1,"Hide this row",IF(I631&gt;=0.4,"Hide this row","")))</f>
        <v>Hide this row</v>
      </c>
      <c r="AT632" s="143"/>
      <c r="AU632" s="143"/>
      <c r="AV632" s="143"/>
      <c r="AW632" s="143"/>
      <c r="AX632" s="143"/>
      <c r="AY632" s="143"/>
      <c r="AZ632" s="143"/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</row>
    <row r="633" spans="1:73" s="73" customFormat="1" ht="15" hidden="1" customHeight="1">
      <c r="A633" s="143"/>
      <c r="B633" s="143"/>
      <c r="G633" s="138" t="s">
        <v>324</v>
      </c>
      <c r="I633" s="2124">
        <f>247.8*(M632/Q632)^1.8  *(1-Y632)^2.7</f>
        <v>225.79018963149457</v>
      </c>
      <c r="J633" s="2124"/>
      <c r="K633" s="2124"/>
      <c r="L633" s="143"/>
      <c r="M633" s="143"/>
      <c r="N633" s="143"/>
      <c r="O633" s="143"/>
      <c r="P633" s="143"/>
      <c r="Q633" s="143"/>
      <c r="R633" s="170"/>
      <c r="S633" s="170"/>
      <c r="T633" s="170"/>
      <c r="U633" s="170"/>
      <c r="V633" s="170"/>
      <c r="W633" s="170"/>
      <c r="X633" s="170"/>
      <c r="Y633" s="1186"/>
      <c r="Z633" s="170"/>
      <c r="AA633" s="170"/>
      <c r="AC633" s="143"/>
      <c r="AD633" s="1202"/>
      <c r="AF633" s="1202"/>
      <c r="AS633" s="1628" t="str">
        <f>IF(J599&lt;&gt;2,"Hide this row",IF(S630&lt;-1,"Hide this row",IF(I631&gt;=0.4,"Hide this row","")))</f>
        <v>Hide this row</v>
      </c>
      <c r="AT633" s="143"/>
      <c r="AU633" s="143"/>
      <c r="AV633" s="143"/>
      <c r="AW633" s="143"/>
      <c r="AX633" s="143"/>
      <c r="AY633" s="143"/>
      <c r="AZ633" s="143"/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</row>
    <row r="634" spans="1:73" s="73" customFormat="1" ht="15" customHeight="1">
      <c r="A634" s="143"/>
      <c r="B634" s="143"/>
      <c r="D634" s="138" t="s">
        <v>2710</v>
      </c>
      <c r="E634" s="170" t="s">
        <v>2834</v>
      </c>
      <c r="F634" s="143"/>
      <c r="G634" s="138" t="s">
        <v>324</v>
      </c>
      <c r="H634" s="143"/>
      <c r="I634" s="1312" t="s">
        <v>2846</v>
      </c>
      <c r="J634" s="1302"/>
      <c r="K634" s="1302"/>
      <c r="L634" s="1862">
        <f>+Q593</f>
        <v>1645.8661105921663</v>
      </c>
      <c r="M634" s="1862"/>
      <c r="N634" s="1862"/>
      <c r="O634" s="138" t="s">
        <v>2699</v>
      </c>
      <c r="P634" s="1938">
        <f>+S628</f>
        <v>700</v>
      </c>
      <c r="Q634" s="1938"/>
      <c r="R634" s="1938"/>
      <c r="S634" s="124" t="s">
        <v>2847</v>
      </c>
      <c r="U634" s="170"/>
      <c r="V634" s="170"/>
      <c r="W634" s="170"/>
      <c r="X634" s="1862">
        <f>+S630</f>
        <v>-0.70832071533153362</v>
      </c>
      <c r="Y634" s="1862"/>
      <c r="Z634" s="1862"/>
      <c r="AA634" s="76" t="s">
        <v>2845</v>
      </c>
      <c r="AC634" s="143"/>
      <c r="AD634" s="1309"/>
      <c r="AF634" s="1309"/>
      <c r="AS634" s="1628" t="str">
        <f>IF(J599&lt;&gt;2,"Hide this row",IF(S630&lt;-1,"Hide this row",IF(I631&lt;0.4,"Hide this row","")))</f>
        <v/>
      </c>
      <c r="AT634" s="143"/>
      <c r="AU634" s="143"/>
      <c r="AV634" s="143"/>
      <c r="AW634" s="143"/>
      <c r="AX634" s="143"/>
      <c r="AY634" s="143"/>
      <c r="AZ634" s="143"/>
      <c r="BA634" s="143"/>
      <c r="BB634" s="143"/>
      <c r="BC634" s="143"/>
      <c r="BD634" s="143"/>
      <c r="BE634" s="143"/>
      <c r="BF634" s="143"/>
      <c r="BG634" s="143"/>
      <c r="BH634" s="143"/>
      <c r="BI634" s="143"/>
      <c r="BJ634" s="143"/>
      <c r="BK634" s="143"/>
      <c r="BL634" s="143"/>
      <c r="BM634" s="143"/>
      <c r="BN634" s="143"/>
      <c r="BO634" s="143"/>
      <c r="BP634" s="143"/>
      <c r="BQ634" s="143"/>
      <c r="BR634" s="143"/>
      <c r="BS634" s="143"/>
      <c r="BT634" s="143"/>
      <c r="BU634" s="143"/>
    </row>
    <row r="635" spans="1:73" s="73" customFormat="1" ht="15" customHeight="1">
      <c r="A635" s="143"/>
      <c r="B635" s="143"/>
      <c r="G635" s="138" t="s">
        <v>324</v>
      </c>
      <c r="I635" s="2124">
        <f>4.82*(L634/P634)^2.5  *(1-X634)^2.7</f>
        <v>173.47048593697173</v>
      </c>
      <c r="J635" s="2124"/>
      <c r="K635" s="2124"/>
      <c r="L635" s="143"/>
      <c r="P635" s="143"/>
      <c r="T635" s="170"/>
      <c r="U635" s="170"/>
      <c r="V635" s="170"/>
      <c r="W635" s="170"/>
      <c r="X635" s="170"/>
      <c r="AC635" s="143"/>
      <c r="AD635" s="1309"/>
      <c r="AF635" s="1309"/>
      <c r="AS635" s="1628" t="str">
        <f>IF(J599&lt;&gt;2,"Hide this row",IF(S630&lt;-1,"Hide this row",IF(I631&lt;0.4,"Hide this row","")))</f>
        <v/>
      </c>
      <c r="AT635" s="143"/>
      <c r="AU635" s="143"/>
      <c r="AV635" s="143"/>
      <c r="AW635" s="143"/>
      <c r="AX635" s="143"/>
      <c r="AY635" s="143"/>
      <c r="AZ635" s="143"/>
      <c r="BA635" s="143"/>
      <c r="BB635" s="143"/>
      <c r="BC635" s="143"/>
      <c r="BD635" s="143"/>
      <c r="BE635" s="143"/>
      <c r="BF635" s="143"/>
      <c r="BG635" s="143"/>
      <c r="BH635" s="143"/>
      <c r="BI635" s="143"/>
      <c r="BJ635" s="143"/>
      <c r="BK635" s="143"/>
      <c r="BL635" s="143"/>
      <c r="BM635" s="143"/>
      <c r="BN635" s="143"/>
      <c r="BO635" s="143"/>
      <c r="BP635" s="143"/>
      <c r="BQ635" s="143"/>
      <c r="BR635" s="143"/>
      <c r="BS635" s="143"/>
      <c r="BT635" s="143"/>
      <c r="BU635" s="143"/>
    </row>
    <row r="636" spans="1:73" s="73" customFormat="1" ht="15" hidden="1" customHeight="1">
      <c r="A636" s="143"/>
      <c r="B636" s="143"/>
      <c r="D636" s="138" t="s">
        <v>2710</v>
      </c>
      <c r="E636" s="170" t="s">
        <v>2834</v>
      </c>
      <c r="F636" s="143"/>
      <c r="G636" s="138" t="s">
        <v>324</v>
      </c>
      <c r="I636" s="1322" t="s">
        <v>2848</v>
      </c>
      <c r="J636" s="1322"/>
      <c r="K636" s="1309"/>
      <c r="L636" s="143"/>
      <c r="O636" s="2111">
        <f>+S630</f>
        <v>-0.70832071533153362</v>
      </c>
      <c r="P636" s="2111"/>
      <c r="Q636" s="2111"/>
      <c r="R636" s="76" t="s">
        <v>2849</v>
      </c>
      <c r="T636" s="170"/>
      <c r="U636" s="170"/>
      <c r="V636" s="170"/>
      <c r="W636" s="170"/>
      <c r="X636" s="170"/>
      <c r="AC636" s="143"/>
      <c r="AD636" s="1309"/>
      <c r="AF636" s="1309"/>
      <c r="AS636" s="1628" t="str">
        <f>IF(J599&lt;&gt;2,"Hide this row",IF(S630&gt;=-1,"Hide this row",""))</f>
        <v>Hide this row</v>
      </c>
      <c r="AT636" s="143"/>
      <c r="AU636" s="143"/>
      <c r="AV636" s="143"/>
      <c r="AW636" s="143"/>
      <c r="AX636" s="143"/>
      <c r="AY636" s="143"/>
      <c r="AZ636" s="143"/>
      <c r="BA636" s="143"/>
      <c r="BB636" s="143"/>
      <c r="BC636" s="143"/>
      <c r="BD636" s="143"/>
      <c r="BE636" s="143"/>
      <c r="BF636" s="143"/>
      <c r="BG636" s="143"/>
      <c r="BH636" s="143"/>
      <c r="BI636" s="143"/>
      <c r="BJ636" s="143"/>
      <c r="BK636" s="143"/>
      <c r="BL636" s="143"/>
      <c r="BM636" s="143"/>
      <c r="BN636" s="143"/>
      <c r="BO636" s="143"/>
      <c r="BP636" s="143"/>
      <c r="BQ636" s="143"/>
      <c r="BR636" s="143"/>
      <c r="BS636" s="143"/>
      <c r="BT636" s="143"/>
      <c r="BU636" s="143"/>
    </row>
    <row r="637" spans="1:73" s="73" customFormat="1" ht="15" hidden="1" customHeight="1">
      <c r="A637" s="143"/>
      <c r="B637" s="143"/>
      <c r="G637" s="138" t="s">
        <v>324</v>
      </c>
      <c r="I637" s="2124">
        <f>247.8  *(1-O636)^0.32</f>
        <v>294.11929232611982</v>
      </c>
      <c r="J637" s="2124"/>
      <c r="K637" s="2124"/>
      <c r="L637" s="143"/>
      <c r="P637" s="143"/>
      <c r="T637" s="170"/>
      <c r="U637" s="170"/>
      <c r="V637" s="170"/>
      <c r="W637" s="170"/>
      <c r="X637" s="170"/>
      <c r="AC637" s="143"/>
      <c r="AD637" s="1309"/>
      <c r="AF637" s="1309"/>
      <c r="AS637" s="1628" t="str">
        <f>IF(J599&lt;&gt;2,"Hide this row",IF(S630&gt;=-1,"Hide this row",""))</f>
        <v>Hide this row</v>
      </c>
      <c r="AT637" s="143"/>
      <c r="AU637" s="143"/>
      <c r="AV637" s="143"/>
      <c r="AW637" s="143"/>
      <c r="AX637" s="143"/>
      <c r="AY637" s="143"/>
      <c r="AZ637" s="143"/>
      <c r="BA637" s="143"/>
      <c r="BB637" s="143"/>
      <c r="BC637" s="143"/>
      <c r="BD637" s="143"/>
      <c r="BE637" s="143"/>
      <c r="BF637" s="143"/>
      <c r="BG637" s="143"/>
      <c r="BH637" s="143"/>
      <c r="BI637" s="143"/>
      <c r="BJ637" s="143"/>
      <c r="BK637" s="143"/>
      <c r="BL637" s="143"/>
      <c r="BM637" s="143"/>
      <c r="BN637" s="143"/>
      <c r="BO637" s="143"/>
      <c r="BP637" s="143"/>
      <c r="BQ637" s="143"/>
      <c r="BR637" s="143"/>
      <c r="BS637" s="143"/>
      <c r="BT637" s="143"/>
      <c r="BU637" s="143"/>
    </row>
    <row r="638" spans="1:73" s="73" customFormat="1" ht="15" customHeight="1">
      <c r="A638" s="143"/>
      <c r="B638" s="143"/>
      <c r="C638" s="170"/>
      <c r="D638" s="170" t="s">
        <v>2250</v>
      </c>
      <c r="E638" s="115" t="s">
        <v>2834</v>
      </c>
      <c r="F638" s="143"/>
      <c r="G638" s="76" t="s">
        <v>2697</v>
      </c>
      <c r="H638" s="143"/>
      <c r="I638" s="2123">
        <f>+IF(S630&lt;-1,I637,IF(I631&gt;=0.4,I635,I633))</f>
        <v>173.47048593697173</v>
      </c>
      <c r="J638" s="2124"/>
      <c r="K638" s="2124"/>
      <c r="L638" s="143"/>
      <c r="M638" s="143"/>
      <c r="N638" s="143"/>
      <c r="O638" s="143"/>
      <c r="P638" s="143"/>
      <c r="Q638" s="143"/>
      <c r="R638" s="170"/>
      <c r="S638" s="170"/>
      <c r="T638" s="170"/>
      <c r="U638" s="170"/>
      <c r="V638" s="170"/>
      <c r="W638" s="170"/>
      <c r="X638" s="170"/>
      <c r="Y638" s="1296"/>
      <c r="Z638" s="170"/>
      <c r="AA638" s="170"/>
      <c r="AC638" s="143"/>
      <c r="AD638" s="1309"/>
      <c r="AF638" s="1309"/>
      <c r="AS638" s="1628" t="str">
        <f>IF(J599&lt;&gt;2,"Hide this row","")</f>
        <v/>
      </c>
      <c r="AT638" s="143"/>
      <c r="AU638" s="143"/>
      <c r="AV638" s="143"/>
      <c r="AW638" s="143"/>
      <c r="AX638" s="143"/>
      <c r="AY638" s="143"/>
      <c r="AZ638" s="143"/>
      <c r="BA638" s="143"/>
      <c r="BB638" s="143"/>
      <c r="BC638" s="143"/>
      <c r="BD638" s="143"/>
      <c r="BE638" s="143"/>
      <c r="BF638" s="143"/>
      <c r="BG638" s="143"/>
      <c r="BH638" s="143"/>
      <c r="BI638" s="143"/>
      <c r="BJ638" s="143"/>
      <c r="BK638" s="143"/>
      <c r="BL638" s="143"/>
      <c r="BM638" s="143"/>
      <c r="BN638" s="143"/>
      <c r="BO638" s="143"/>
      <c r="BP638" s="143"/>
      <c r="BQ638" s="143"/>
      <c r="BR638" s="143"/>
      <c r="BS638" s="143"/>
      <c r="BT638" s="143"/>
      <c r="BU638" s="143"/>
    </row>
    <row r="639" spans="1:73" ht="15" customHeight="1">
      <c r="A639" s="134"/>
      <c r="C639" s="170"/>
      <c r="D639" s="170"/>
      <c r="E639" s="138"/>
      <c r="F639" s="170"/>
      <c r="G639" s="100"/>
      <c r="H639" s="170"/>
      <c r="I639" s="170"/>
      <c r="J639" s="170"/>
      <c r="K639" s="170"/>
      <c r="L639" s="1218"/>
      <c r="M639" s="170"/>
      <c r="N639" s="170"/>
      <c r="O639" s="170"/>
      <c r="P639" s="170"/>
      <c r="Q639" s="170"/>
      <c r="R639" s="170"/>
      <c r="S639" s="170"/>
      <c r="T639" s="170"/>
      <c r="U639" s="170"/>
      <c r="V639" s="170"/>
      <c r="W639" s="170"/>
      <c r="X639" s="170"/>
      <c r="Y639" s="1218"/>
      <c r="Z639" s="170"/>
      <c r="AA639" s="170"/>
      <c r="AD639" s="1222"/>
      <c r="AF639" s="1222"/>
    </row>
    <row r="640" spans="1:73" ht="15" customHeight="1">
      <c r="B640" s="1177" t="s">
        <v>2856</v>
      </c>
      <c r="C640" s="170" t="s">
        <v>2857</v>
      </c>
      <c r="D640" s="136"/>
      <c r="E640" s="138"/>
      <c r="F640" s="170"/>
      <c r="G640" s="100"/>
      <c r="H640" s="170"/>
      <c r="I640" s="170"/>
      <c r="J640" s="170"/>
      <c r="K640" s="170"/>
      <c r="L640" s="1218"/>
      <c r="M640" s="170"/>
      <c r="N640" s="170"/>
      <c r="O640" s="170"/>
      <c r="P640" s="170"/>
      <c r="Q640" s="170"/>
      <c r="R640" s="170"/>
      <c r="S640" s="170"/>
      <c r="T640" s="170"/>
      <c r="U640" s="170"/>
      <c r="V640" s="170"/>
      <c r="W640" s="170"/>
      <c r="X640" s="170"/>
      <c r="Y640" s="1218"/>
      <c r="Z640" s="170"/>
      <c r="AA640" s="170"/>
      <c r="AD640" s="1222"/>
      <c r="AF640" s="1222"/>
    </row>
    <row r="641" spans="1:73" s="73" customFormat="1" ht="15" customHeight="1">
      <c r="A641" s="134"/>
      <c r="B641" s="207"/>
      <c r="E641" s="1938" t="s">
        <v>2858</v>
      </c>
      <c r="F641" s="1938"/>
      <c r="G641" s="2122" t="s">
        <v>2697</v>
      </c>
      <c r="I641" s="1940" t="s">
        <v>259</v>
      </c>
      <c r="J641" s="1940"/>
      <c r="K641" s="1940"/>
      <c r="M641" s="2121" t="s">
        <v>1703</v>
      </c>
      <c r="N641" s="2121"/>
      <c r="O641" s="2121"/>
      <c r="P641" s="2121"/>
      <c r="Q641" s="2121"/>
      <c r="R641" s="2121"/>
      <c r="S641" s="2121"/>
      <c r="T641" s="2121"/>
      <c r="U641" s="2121"/>
      <c r="V641" s="2121"/>
      <c r="W641" s="2121"/>
      <c r="Y641" s="143"/>
      <c r="Z641" s="143"/>
      <c r="AA641" s="143"/>
      <c r="AS641" s="1627"/>
      <c r="AT641" s="143"/>
      <c r="AU641" s="143"/>
      <c r="AV641" s="143"/>
      <c r="AW641" s="143"/>
      <c r="AX641" s="143"/>
      <c r="AY641" s="143"/>
      <c r="AZ641" s="143"/>
      <c r="BA641" s="143"/>
      <c r="BB641" s="143"/>
      <c r="BC641" s="143"/>
      <c r="BD641" s="143"/>
      <c r="BE641" s="143"/>
      <c r="BF641" s="143"/>
      <c r="BG641" s="143"/>
      <c r="BH641" s="143"/>
      <c r="BI641" s="143"/>
      <c r="BJ641" s="143"/>
      <c r="BK641" s="143"/>
      <c r="BL641" s="143"/>
      <c r="BM641" s="143"/>
      <c r="BN641" s="143"/>
      <c r="BO641" s="143"/>
      <c r="BP641" s="143"/>
      <c r="BQ641" s="143"/>
      <c r="BR641" s="143"/>
      <c r="BS641" s="143"/>
      <c r="BT641" s="143"/>
      <c r="BU641" s="143"/>
    </row>
    <row r="642" spans="1:73" s="73" customFormat="1" ht="15" customHeight="1">
      <c r="A642" s="88"/>
      <c r="B642" s="95"/>
      <c r="E642" s="1938"/>
      <c r="F642" s="1938"/>
      <c r="G642" s="2122"/>
      <c r="I642" s="1862" t="s">
        <v>261</v>
      </c>
      <c r="J642" s="1862"/>
      <c r="K642" s="1862"/>
      <c r="M642" s="2121"/>
      <c r="N642" s="2121"/>
      <c r="O642" s="2121"/>
      <c r="P642" s="2121"/>
      <c r="Q642" s="2121"/>
      <c r="R642" s="2121"/>
      <c r="S642" s="2121"/>
      <c r="T642" s="2121"/>
      <c r="U642" s="2121"/>
      <c r="V642" s="2121"/>
      <c r="W642" s="2121"/>
      <c r="Y642" s="143"/>
      <c r="Z642" s="143"/>
      <c r="AA642" s="143"/>
      <c r="AS642" s="1627"/>
      <c r="AT642" s="143"/>
      <c r="AU642" s="143"/>
      <c r="AV642" s="143"/>
      <c r="AW642" s="143"/>
      <c r="AX642" s="143"/>
      <c r="AY642" s="143"/>
      <c r="AZ642" s="143"/>
      <c r="BA642" s="143"/>
      <c r="BB642" s="143"/>
      <c r="BC642" s="143"/>
      <c r="BD642" s="143"/>
      <c r="BE642" s="143"/>
      <c r="BF642" s="143"/>
      <c r="BG642" s="143"/>
      <c r="BH642" s="143"/>
      <c r="BI642" s="143"/>
      <c r="BJ642" s="143"/>
      <c r="BK642" s="143"/>
      <c r="BL642" s="143"/>
      <c r="BM642" s="143"/>
      <c r="BN642" s="143"/>
      <c r="BO642" s="143"/>
      <c r="BP642" s="143"/>
      <c r="BQ642" s="143"/>
      <c r="BR642" s="143"/>
      <c r="BS642" s="143"/>
      <c r="BT642" s="143"/>
      <c r="BU642" s="143"/>
    </row>
    <row r="643" spans="1:73" s="73" customFormat="1" ht="15" customHeight="1">
      <c r="A643" s="88"/>
      <c r="B643" s="95"/>
      <c r="E643" s="1302" t="s">
        <v>2788</v>
      </c>
      <c r="F643" s="1302"/>
      <c r="G643" s="1423" t="s">
        <v>2697</v>
      </c>
      <c r="I643" s="1297" t="s">
        <v>2864</v>
      </c>
      <c r="J643" s="1296"/>
      <c r="K643" s="1296"/>
      <c r="M643" s="1312"/>
      <c r="N643" s="1312"/>
      <c r="O643" s="1312"/>
      <c r="P643" s="1312"/>
      <c r="Q643" s="1312"/>
      <c r="R643" s="1312"/>
      <c r="S643" s="1312"/>
      <c r="T643" s="1312"/>
      <c r="U643" s="1312"/>
      <c r="V643" s="1312"/>
      <c r="AS643" s="1627"/>
      <c r="AT643" s="143"/>
      <c r="AU643" s="143"/>
      <c r="AV643" s="143"/>
      <c r="AW643" s="143"/>
      <c r="AX643" s="143"/>
      <c r="AY643" s="143"/>
      <c r="AZ643" s="143"/>
      <c r="BA643" s="143"/>
      <c r="BB643" s="143"/>
      <c r="BC643" s="143"/>
      <c r="BD643" s="143"/>
      <c r="BE643" s="143"/>
      <c r="BF643" s="143"/>
      <c r="BG643" s="143"/>
      <c r="BH643" s="143"/>
      <c r="BI643" s="143"/>
      <c r="BJ643" s="143"/>
      <c r="BK643" s="143"/>
      <c r="BL643" s="143"/>
      <c r="BM643" s="143"/>
      <c r="BN643" s="143"/>
      <c r="BO643" s="143"/>
      <c r="BP643" s="143"/>
      <c r="BQ643" s="143"/>
      <c r="BR643" s="143"/>
      <c r="BS643" s="143"/>
      <c r="BT643" s="143"/>
      <c r="BU643" s="143"/>
    </row>
    <row r="644" spans="1:73" s="73" customFormat="1" ht="15" customHeight="1">
      <c r="A644" s="88"/>
      <c r="B644" s="95"/>
      <c r="E644" s="1302"/>
      <c r="F644" s="1302"/>
      <c r="G644" s="1423" t="s">
        <v>2697</v>
      </c>
      <c r="I644" s="2092">
        <f>+I610</f>
        <v>2800</v>
      </c>
      <c r="J644" s="1938"/>
      <c r="K644" s="1938"/>
      <c r="L644" s="1500" t="s">
        <v>2853</v>
      </c>
      <c r="M644" s="1321"/>
      <c r="N644" s="1302"/>
      <c r="O644" s="1302"/>
      <c r="P644" s="2095">
        <f>AE262</f>
        <v>0.125</v>
      </c>
      <c r="Q644" s="2095"/>
      <c r="R644" s="2095"/>
      <c r="S644" s="1303" t="s">
        <v>2800</v>
      </c>
      <c r="T644" s="1304" t="s">
        <v>2697</v>
      </c>
      <c r="U644" s="1938">
        <f>+I644/COS(ATAN(P644))</f>
        <v>2821.7902119044925</v>
      </c>
      <c r="V644" s="1938"/>
      <c r="W644" s="1938"/>
      <c r="Y644" s="143"/>
      <c r="Z644" s="143"/>
      <c r="AA644" s="143"/>
      <c r="AS644" s="1627"/>
      <c r="AT644" s="143"/>
      <c r="AU644" s="143"/>
      <c r="AV644" s="143"/>
      <c r="AW644" s="143"/>
      <c r="AX644" s="143"/>
      <c r="AY644" s="143"/>
      <c r="AZ644" s="143"/>
      <c r="BA644" s="143"/>
      <c r="BB644" s="143"/>
      <c r="BC644" s="143"/>
      <c r="BD644" s="143"/>
      <c r="BE644" s="143"/>
      <c r="BF644" s="143"/>
      <c r="BG644" s="143"/>
      <c r="BH644" s="143"/>
      <c r="BI644" s="143"/>
      <c r="BJ644" s="143"/>
      <c r="BK644" s="143"/>
      <c r="BL644" s="143"/>
      <c r="BM644" s="143"/>
      <c r="BN644" s="143"/>
      <c r="BO644" s="143"/>
      <c r="BP644" s="143"/>
      <c r="BQ644" s="143"/>
      <c r="BR644" s="143"/>
      <c r="BS644" s="143"/>
      <c r="BT644" s="143"/>
      <c r="BU644" s="143"/>
    </row>
    <row r="645" spans="1:73" ht="15" customHeight="1">
      <c r="A645" s="134"/>
      <c r="E645" s="1938" t="s">
        <v>2858</v>
      </c>
      <c r="F645" s="1938"/>
      <c r="G645" s="2115" t="s">
        <v>2697</v>
      </c>
      <c r="H645" s="170"/>
      <c r="I645" s="1333" t="s">
        <v>2863</v>
      </c>
      <c r="J645" s="1334"/>
      <c r="K645" s="2104">
        <f>+AE291</f>
        <v>210000</v>
      </c>
      <c r="L645" s="2090"/>
      <c r="M645" s="2090"/>
      <c r="N645" s="2090"/>
      <c r="O645" s="1335" t="s">
        <v>2686</v>
      </c>
      <c r="P645" s="2090">
        <f>IF(J599=0,AA601,IF(J599=1,I619,I638))</f>
        <v>173.47048593697173</v>
      </c>
      <c r="Q645" s="2090"/>
      <c r="R645" s="2090"/>
      <c r="T645" s="2116" t="s">
        <v>2697</v>
      </c>
      <c r="U645" s="2117">
        <f>0.9*K645*P645/(K646/O646)^2</f>
        <v>592.92593347072182</v>
      </c>
      <c r="V645" s="2117"/>
      <c r="W645" s="2117"/>
      <c r="X645" s="2117"/>
      <c r="Y645" s="1862" t="s">
        <v>2694</v>
      </c>
      <c r="Z645" s="1862"/>
      <c r="AA645" s="170"/>
      <c r="AD645" s="1222"/>
      <c r="AF645" s="1222"/>
    </row>
    <row r="646" spans="1:73" ht="15" customHeight="1">
      <c r="A646" s="134"/>
      <c r="E646" s="1938"/>
      <c r="F646" s="1938"/>
      <c r="G646" s="2115"/>
      <c r="H646" s="170"/>
      <c r="I646" s="170"/>
      <c r="J646" s="1303" t="s">
        <v>2708</v>
      </c>
      <c r="K646" s="2112">
        <f>+U644</f>
        <v>2821.7902119044925</v>
      </c>
      <c r="L646" s="1936"/>
      <c r="M646" s="1936"/>
      <c r="N646" s="124" t="s">
        <v>2699</v>
      </c>
      <c r="O646" s="2112">
        <f>+AE261</f>
        <v>12</v>
      </c>
      <c r="P646" s="1936"/>
      <c r="Q646" s="124" t="s">
        <v>2692</v>
      </c>
      <c r="R646" s="170"/>
      <c r="T646" s="1938"/>
      <c r="U646" s="2117"/>
      <c r="V646" s="2117"/>
      <c r="W646" s="2117"/>
      <c r="X646" s="2117"/>
      <c r="Y646" s="1862"/>
      <c r="Z646" s="1862"/>
      <c r="AA646" s="170"/>
      <c r="AD646" s="1222"/>
      <c r="AF646" s="1222"/>
    </row>
    <row r="647" spans="1:73" ht="15" customHeight="1">
      <c r="A647" s="134"/>
      <c r="C647" s="170"/>
      <c r="D647" s="170" t="s">
        <v>2250</v>
      </c>
      <c r="E647" s="138" t="s">
        <v>2858</v>
      </c>
      <c r="G647" s="138" t="s">
        <v>2697</v>
      </c>
      <c r="I647" s="73" t="s">
        <v>2859</v>
      </c>
      <c r="K647" s="2100">
        <f>+U645</f>
        <v>592.92593347072182</v>
      </c>
      <c r="L647" s="2100"/>
      <c r="M647" s="2100"/>
      <c r="N647" s="2100"/>
      <c r="O647" s="138" t="s">
        <v>2865</v>
      </c>
      <c r="P647" s="2101">
        <f>+AJ416</f>
        <v>0.99923410806496615</v>
      </c>
      <c r="Q647" s="1938"/>
      <c r="R647" s="1938"/>
      <c r="S647" s="138" t="s">
        <v>2686</v>
      </c>
      <c r="T647" s="2097">
        <f>+AE294</f>
        <v>380</v>
      </c>
      <c r="U647" s="1938"/>
      <c r="V647" s="1938"/>
      <c r="W647" s="124" t="s">
        <v>2865</v>
      </c>
      <c r="X647" s="2093">
        <f>+AE296</f>
        <v>355</v>
      </c>
      <c r="Y647" s="1862"/>
      <c r="Z647" s="1862"/>
      <c r="AA647" s="124" t="s">
        <v>2866</v>
      </c>
      <c r="AD647" s="1222"/>
      <c r="AF647" s="1222"/>
    </row>
    <row r="648" spans="1:73" ht="15" customHeight="1" thickBot="1">
      <c r="A648" s="134"/>
      <c r="C648" s="170"/>
      <c r="D648" s="170"/>
      <c r="E648" s="431" t="s">
        <v>2858</v>
      </c>
      <c r="F648" s="321"/>
      <c r="G648" s="431" t="s">
        <v>2697</v>
      </c>
      <c r="H648" s="321"/>
      <c r="I648" s="2098">
        <f>+MIN(K647,P647*T647,X647/0.7)</f>
        <v>379.70896106468712</v>
      </c>
      <c r="J648" s="2098"/>
      <c r="K648" s="2098"/>
      <c r="L648" s="321" t="s">
        <v>2694</v>
      </c>
      <c r="M648" s="321"/>
      <c r="U648" s="170"/>
      <c r="V648" s="170"/>
      <c r="W648" s="170"/>
      <c r="X648" s="170"/>
      <c r="Y648" s="1218"/>
      <c r="Z648" s="170"/>
      <c r="AA648" s="170"/>
      <c r="AD648" s="1222"/>
      <c r="AF648" s="1222"/>
    </row>
    <row r="649" spans="1:73" ht="15" customHeight="1" thickBot="1">
      <c r="A649" s="134"/>
      <c r="C649" s="170"/>
      <c r="D649" s="170"/>
      <c r="E649" s="138"/>
      <c r="F649" s="170"/>
      <c r="G649" s="100"/>
      <c r="H649" s="170"/>
      <c r="I649" s="170"/>
      <c r="J649" s="170"/>
      <c r="L649" s="143"/>
      <c r="U649" s="170"/>
      <c r="V649" s="170"/>
      <c r="W649" s="170"/>
      <c r="X649" s="170"/>
      <c r="Y649" s="1218"/>
      <c r="Z649" s="170"/>
      <c r="AA649" s="170"/>
      <c r="AD649" s="1222"/>
      <c r="AF649" s="1222"/>
    </row>
    <row r="650" spans="1:73" ht="15" customHeight="1">
      <c r="A650" s="170"/>
      <c r="B650" s="170"/>
      <c r="D650" s="124"/>
      <c r="F650" s="1275"/>
      <c r="G650" s="36"/>
      <c r="H650" s="1276" t="s">
        <v>2897</v>
      </c>
      <c r="I650" s="224"/>
      <c r="J650" s="36"/>
      <c r="K650" s="36"/>
      <c r="L650" s="36"/>
      <c r="M650" s="36"/>
      <c r="N650" s="36"/>
      <c r="O650" s="36"/>
      <c r="P650" s="36"/>
      <c r="Q650" s="36"/>
      <c r="R650" s="36"/>
      <c r="S650" s="1294"/>
      <c r="T650" s="1295"/>
      <c r="U650" s="36"/>
      <c r="V650" s="36"/>
      <c r="W650" s="36"/>
      <c r="X650" s="36"/>
      <c r="Y650" s="1294"/>
      <c r="Z650" s="36"/>
      <c r="AA650" s="224"/>
      <c r="AB650" s="224"/>
      <c r="AC650" s="224"/>
      <c r="AD650" s="224"/>
      <c r="AE650" s="224"/>
      <c r="AF650" s="224"/>
      <c r="AG650" s="36"/>
      <c r="AH650" s="224"/>
      <c r="AI650" s="36"/>
      <c r="AJ650" s="36"/>
      <c r="AK650" s="36"/>
      <c r="AL650" s="43"/>
      <c r="AS650" s="1628" t="str">
        <f>IF(AC595&lt;&gt;"Slender Web","Hide this row","")</f>
        <v/>
      </c>
    </row>
    <row r="651" spans="1:73" ht="20.100000000000001" customHeight="1">
      <c r="A651" s="206"/>
      <c r="B651" s="170"/>
      <c r="F651" s="1277"/>
      <c r="G651" s="9"/>
      <c r="H651" s="9"/>
      <c r="I651" s="9"/>
      <c r="J651" s="9"/>
      <c r="K651" s="33" t="s">
        <v>2818</v>
      </c>
      <c r="L651" s="9"/>
      <c r="M651" s="9"/>
      <c r="N651" s="33" t="s">
        <v>2592</v>
      </c>
      <c r="O651" s="9"/>
      <c r="P651" s="9"/>
      <c r="Q651" s="1291" t="s">
        <v>2867</v>
      </c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33" t="s">
        <v>2509</v>
      </c>
      <c r="AI651" s="196"/>
      <c r="AJ651" s="2082" t="str">
        <f>+IF(Q652&lt;=Q653,"OK","NG")</f>
        <v>OK</v>
      </c>
      <c r="AK651" s="2082"/>
      <c r="AL651" s="2083"/>
      <c r="AM651" s="143"/>
      <c r="AN651" s="143"/>
      <c r="AO651" s="143"/>
      <c r="AP651" s="143"/>
      <c r="AQ651" s="143"/>
      <c r="AR651" s="143"/>
      <c r="AS651" s="1628" t="str">
        <f>IF(AC595&lt;&gt;"Slender Web","Hide this row","")</f>
        <v/>
      </c>
    </row>
    <row r="652" spans="1:73" ht="20.100000000000001" customHeight="1">
      <c r="A652" s="206"/>
      <c r="B652" s="170"/>
      <c r="F652" s="1277"/>
      <c r="G652" s="9"/>
      <c r="H652" s="9"/>
      <c r="I652" s="9"/>
      <c r="J652" s="9"/>
      <c r="K652" s="9" t="s">
        <v>380</v>
      </c>
      <c r="L652" s="9"/>
      <c r="M652" s="9"/>
      <c r="N652" s="31" t="s">
        <v>2697</v>
      </c>
      <c r="O652" s="9"/>
      <c r="P652" s="9"/>
      <c r="Q652" s="2084">
        <f>+ ABS(MIN(X399,X402))</f>
        <v>242.60209744070417</v>
      </c>
      <c r="R652" s="2085"/>
      <c r="S652" s="2085"/>
      <c r="T652" s="1485" t="s">
        <v>2508</v>
      </c>
      <c r="U652" s="9"/>
      <c r="V652" s="9"/>
      <c r="W652" s="9"/>
      <c r="X652" s="31"/>
      <c r="Y652" s="1495"/>
      <c r="Z652" s="1495"/>
      <c r="AA652" s="1495"/>
      <c r="AB652" s="9"/>
      <c r="AC652" s="9"/>
      <c r="AD652" s="9"/>
      <c r="AE652" s="9"/>
      <c r="AF652" s="9"/>
      <c r="AG652" s="1487" t="s">
        <v>2510</v>
      </c>
      <c r="AH652" s="196"/>
      <c r="AI652" s="9"/>
      <c r="AJ652" s="2086">
        <f>Q653/Q652</f>
        <v>1.5651511881816853</v>
      </c>
      <c r="AK652" s="2086"/>
      <c r="AL652" s="2087"/>
      <c r="AM652" s="143"/>
      <c r="AN652" s="143"/>
      <c r="AO652" s="143"/>
      <c r="AP652" s="143"/>
      <c r="AQ652" s="143"/>
      <c r="AR652" s="143"/>
      <c r="AS652" s="1628" t="str">
        <f>IF(AC595&lt;&gt;"Slender Web","Hide this row","")</f>
        <v/>
      </c>
    </row>
    <row r="653" spans="1:73" ht="20.100000000000001" customHeight="1" thickBot="1">
      <c r="A653" s="170"/>
      <c r="F653" s="40"/>
      <c r="G653" s="41"/>
      <c r="H653" s="41"/>
      <c r="I653" s="41"/>
      <c r="J653" s="1491" t="s">
        <v>2868</v>
      </c>
      <c r="K653" s="1486"/>
      <c r="L653" s="41"/>
      <c r="M653" s="41"/>
      <c r="N653" s="1292" t="s">
        <v>2697</v>
      </c>
      <c r="O653" s="41"/>
      <c r="P653" s="1293"/>
      <c r="Q653" s="2099">
        <f>+I648</f>
        <v>379.70896106468712</v>
      </c>
      <c r="R653" s="2099"/>
      <c r="S653" s="2099"/>
      <c r="T653" s="1278" t="s">
        <v>2508</v>
      </c>
      <c r="U653" s="1492"/>
      <c r="V653" s="1489"/>
      <c r="W653" s="1489"/>
      <c r="X653" s="1292"/>
      <c r="Y653" s="1489"/>
      <c r="Z653" s="1489"/>
      <c r="AA653" s="1489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5"/>
      <c r="AM653" s="143"/>
      <c r="AN653" s="143"/>
      <c r="AO653" s="143"/>
      <c r="AP653" s="143"/>
      <c r="AQ653" s="143"/>
      <c r="AR653" s="143"/>
      <c r="AS653" s="1628" t="str">
        <f>IF(AC595&lt;&gt;"Slender Web","Hide this row","")</f>
        <v/>
      </c>
    </row>
    <row r="654" spans="1:73" ht="15" customHeight="1">
      <c r="A654" s="134"/>
      <c r="C654" s="170"/>
      <c r="D654" s="170"/>
      <c r="E654" s="138"/>
      <c r="F654" s="170"/>
      <c r="G654" s="100"/>
      <c r="H654" s="170"/>
      <c r="I654" s="170"/>
      <c r="J654" s="170"/>
      <c r="L654" s="143"/>
      <c r="U654" s="170"/>
      <c r="V654" s="170"/>
      <c r="W654" s="170"/>
      <c r="X654" s="170"/>
      <c r="Y654" s="1218"/>
      <c r="Z654" s="170"/>
      <c r="AA654" s="170"/>
      <c r="AD654" s="1222"/>
      <c r="AF654" s="1222"/>
    </row>
    <row r="655" spans="1:73" ht="15" hidden="1" customHeight="1">
      <c r="A655" s="170"/>
      <c r="B655" s="170"/>
      <c r="D655" s="124"/>
      <c r="F655" s="1275"/>
      <c r="G655" s="36"/>
      <c r="H655" s="1276" t="s">
        <v>2897</v>
      </c>
      <c r="I655" s="224"/>
      <c r="J655" s="36"/>
      <c r="K655" s="36"/>
      <c r="L655" s="36"/>
      <c r="M655" s="36"/>
      <c r="N655" s="36"/>
      <c r="O655" s="36"/>
      <c r="P655" s="36"/>
      <c r="Q655" s="36"/>
      <c r="R655" s="36"/>
      <c r="S655" s="1294"/>
      <c r="T655" s="1295"/>
      <c r="U655" s="36"/>
      <c r="V655" s="36"/>
      <c r="W655" s="36"/>
      <c r="X655" s="36"/>
      <c r="Y655" s="1294"/>
      <c r="Z655" s="36"/>
      <c r="AA655" s="224"/>
      <c r="AB655" s="224"/>
      <c r="AC655" s="224"/>
      <c r="AD655" s="224"/>
      <c r="AE655" s="224"/>
      <c r="AF655" s="224"/>
      <c r="AG655" s="36"/>
      <c r="AH655" s="224"/>
      <c r="AI655" s="36"/>
      <c r="AJ655" s="36"/>
      <c r="AK655" s="36"/>
      <c r="AL655" s="43"/>
      <c r="AS655" s="1628" t="str">
        <f>IF(AC595="Slender Web","Hide this row","")</f>
        <v>Hide this row</v>
      </c>
    </row>
    <row r="656" spans="1:73" ht="20.100000000000001" hidden="1" customHeight="1" thickBot="1">
      <c r="A656" s="206"/>
      <c r="B656" s="170"/>
      <c r="F656" s="1502"/>
      <c r="G656" s="41"/>
      <c r="H656" s="41" t="s">
        <v>2869</v>
      </c>
      <c r="I656" s="41"/>
      <c r="J656" s="41"/>
      <c r="K656" s="358"/>
      <c r="L656" s="41"/>
      <c r="M656" s="41"/>
      <c r="N656" s="358"/>
      <c r="O656" s="41"/>
      <c r="P656" s="41"/>
      <c r="Q656" s="1490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358"/>
      <c r="AI656" s="1316"/>
      <c r="AJ656" s="2108"/>
      <c r="AK656" s="2108"/>
      <c r="AL656" s="2109"/>
      <c r="AM656" s="143"/>
      <c r="AN656" s="143"/>
      <c r="AO656" s="143"/>
      <c r="AP656" s="143"/>
      <c r="AQ656" s="143"/>
      <c r="AR656" s="143"/>
      <c r="AS656" s="1628" t="str">
        <f>IF(AC595="Slender Web","Hide this row","")</f>
        <v>Hide this row</v>
      </c>
    </row>
    <row r="657" spans="1:73" ht="15" customHeight="1">
      <c r="A657" s="134"/>
      <c r="C657" s="170"/>
      <c r="D657" s="170"/>
      <c r="E657" s="138"/>
      <c r="F657" s="170"/>
      <c r="G657" s="100"/>
      <c r="H657" s="170"/>
      <c r="I657" s="170"/>
      <c r="J657" s="170"/>
      <c r="K657" s="170"/>
      <c r="L657" s="1218"/>
      <c r="M657" s="170"/>
      <c r="N657" s="170"/>
      <c r="O657" s="170"/>
      <c r="P657" s="170"/>
      <c r="Q657" s="170"/>
      <c r="R657" s="170"/>
      <c r="S657" s="170"/>
      <c r="T657" s="170"/>
      <c r="U657" s="170"/>
      <c r="V657" s="170"/>
      <c r="W657" s="170"/>
      <c r="X657" s="170"/>
      <c r="Y657" s="1218"/>
      <c r="Z657" s="170"/>
      <c r="AA657" s="170"/>
      <c r="AD657" s="1222"/>
      <c r="AF657" s="1222"/>
    </row>
    <row r="658" spans="1:73" s="73" customFormat="1" ht="15" customHeight="1">
      <c r="A658" s="143"/>
      <c r="B658" s="170"/>
      <c r="C658" s="170"/>
      <c r="D658" s="170"/>
      <c r="E658" s="170"/>
      <c r="F658" s="170"/>
      <c r="G658" s="100"/>
      <c r="H658" s="170"/>
      <c r="I658" s="170"/>
      <c r="J658" s="170"/>
      <c r="K658" s="170"/>
      <c r="L658" s="1186"/>
      <c r="M658" s="170"/>
      <c r="N658" s="170"/>
      <c r="O658" s="170"/>
      <c r="P658" s="170"/>
      <c r="Q658" s="170"/>
      <c r="R658" s="170"/>
      <c r="S658" s="170"/>
      <c r="T658" s="170"/>
      <c r="U658" s="170"/>
      <c r="V658" s="170"/>
      <c r="W658" s="170"/>
      <c r="X658" s="170"/>
      <c r="Y658" s="1186"/>
      <c r="Z658" s="170"/>
      <c r="AA658" s="170"/>
      <c r="AC658" s="143"/>
      <c r="AD658" s="1202"/>
      <c r="AF658" s="1202"/>
      <c r="AS658" s="1627"/>
      <c r="AT658" s="143"/>
      <c r="AU658" s="143"/>
      <c r="AV658" s="143"/>
      <c r="AW658" s="143"/>
      <c r="AX658" s="143"/>
      <c r="AY658" s="143"/>
      <c r="AZ658" s="143"/>
      <c r="BA658" s="143"/>
      <c r="BB658" s="143"/>
      <c r="BC658" s="143"/>
      <c r="BD658" s="143"/>
      <c r="BE658" s="143"/>
      <c r="BF658" s="143"/>
      <c r="BG658" s="143"/>
      <c r="BH658" s="143"/>
      <c r="BI658" s="143"/>
      <c r="BJ658" s="143"/>
      <c r="BK658" s="143"/>
      <c r="BL658" s="143"/>
      <c r="BM658" s="143"/>
      <c r="BN658" s="143"/>
      <c r="BO658" s="143"/>
      <c r="BP658" s="143"/>
      <c r="BQ658" s="143"/>
      <c r="BR658" s="143"/>
      <c r="BS658" s="143"/>
      <c r="BT658" s="143"/>
      <c r="BU658" s="143"/>
    </row>
    <row r="659" spans="1:73" s="73" customFormat="1" ht="15" customHeight="1">
      <c r="A659" s="1182" t="s">
        <v>990</v>
      </c>
      <c r="B659" s="96"/>
      <c r="C659" s="170"/>
      <c r="D659" s="170"/>
      <c r="E659" s="170"/>
      <c r="F659" s="170"/>
      <c r="G659" s="100"/>
      <c r="H659" s="170"/>
      <c r="I659" s="170"/>
      <c r="J659" s="170"/>
      <c r="K659" s="170"/>
      <c r="L659" s="1186"/>
      <c r="M659" s="170"/>
      <c r="N659" s="170"/>
      <c r="P659" s="170"/>
      <c r="Q659" s="170"/>
      <c r="R659" s="170"/>
      <c r="S659" s="170"/>
      <c r="T659" s="170"/>
      <c r="U659" s="170"/>
      <c r="V659" s="170"/>
      <c r="W659" s="170"/>
      <c r="X659" s="170"/>
      <c r="Y659" s="1186"/>
      <c r="Z659" s="170"/>
      <c r="AA659" s="143"/>
      <c r="AC659" s="143"/>
      <c r="AD659" s="1202"/>
      <c r="AF659" s="1202"/>
      <c r="AR659" s="1529" t="s">
        <v>2910</v>
      </c>
      <c r="AS659" s="1627"/>
      <c r="AT659" s="143"/>
      <c r="AU659" s="143"/>
      <c r="AV659" s="143"/>
      <c r="AW659" s="143"/>
      <c r="AX659" s="143"/>
      <c r="AY659" s="143"/>
      <c r="AZ659" s="143"/>
      <c r="BA659" s="143"/>
      <c r="BB659" s="143"/>
      <c r="BC659" s="143"/>
      <c r="BD659" s="143"/>
      <c r="BE659" s="143"/>
      <c r="BF659" s="143"/>
      <c r="BG659" s="143"/>
      <c r="BH659" s="143"/>
      <c r="BI659" s="143"/>
      <c r="BJ659" s="143"/>
      <c r="BK659" s="143"/>
      <c r="BL659" s="143"/>
      <c r="BM659" s="143"/>
      <c r="BN659" s="143"/>
      <c r="BO659" s="143"/>
      <c r="BP659" s="143"/>
      <c r="BQ659" s="143"/>
      <c r="BR659" s="143"/>
      <c r="BS659" s="143"/>
      <c r="BT659" s="143"/>
      <c r="BU659" s="143"/>
    </row>
    <row r="660" spans="1:73" s="73" customFormat="1" ht="15" customHeight="1" thickBot="1">
      <c r="A660" s="207"/>
      <c r="B660" s="96"/>
      <c r="C660" s="170"/>
      <c r="D660" s="170"/>
      <c r="E660" s="170"/>
      <c r="F660" s="170"/>
      <c r="G660" s="100"/>
      <c r="H660" s="170"/>
      <c r="I660" s="170"/>
      <c r="J660" s="170"/>
      <c r="K660" s="170"/>
      <c r="L660" s="1186"/>
      <c r="M660" s="170"/>
      <c r="N660" s="170"/>
      <c r="O660" s="170"/>
      <c r="P660" s="170"/>
      <c r="Q660" s="170"/>
      <c r="R660" s="170"/>
      <c r="S660" s="170"/>
      <c r="T660" s="170"/>
      <c r="U660" s="170"/>
      <c r="V660" s="170"/>
      <c r="W660" s="170"/>
      <c r="X660" s="170"/>
      <c r="Y660" s="1186"/>
      <c r="Z660" s="170"/>
      <c r="AA660" s="170"/>
      <c r="AC660" s="143"/>
      <c r="AD660" s="1202"/>
      <c r="AF660" s="1202"/>
      <c r="AS660" s="1627"/>
      <c r="AT660" s="143"/>
      <c r="AU660" s="143"/>
      <c r="AV660" s="143"/>
      <c r="AW660" s="143"/>
      <c r="AX660" s="143"/>
      <c r="AY660" s="143"/>
      <c r="AZ660" s="143"/>
      <c r="BA660" s="143"/>
      <c r="BB660" s="143"/>
      <c r="BC660" s="143"/>
      <c r="BD660" s="143"/>
      <c r="BE660" s="143"/>
      <c r="BF660" s="143"/>
      <c r="BG660" s="143"/>
      <c r="BH660" s="143"/>
      <c r="BI660" s="143"/>
      <c r="BJ660" s="143"/>
      <c r="BK660" s="143"/>
      <c r="BL660" s="143"/>
      <c r="BM660" s="143"/>
      <c r="BN660" s="143"/>
      <c r="BO660" s="143"/>
      <c r="BP660" s="143"/>
      <c r="BQ660" s="143"/>
      <c r="BR660" s="143"/>
      <c r="BS660" s="143"/>
      <c r="BT660" s="143"/>
      <c r="BU660" s="143"/>
    </row>
    <row r="661" spans="1:73" ht="20.100000000000001" customHeight="1" thickBot="1">
      <c r="A661" s="170"/>
      <c r="B661" s="168"/>
      <c r="C661" s="1297"/>
      <c r="D661" s="1268"/>
      <c r="E661" s="1271"/>
      <c r="F661" s="1271"/>
      <c r="G661" s="1279"/>
      <c r="H661" s="1288" t="s">
        <v>2870</v>
      </c>
      <c r="I661" s="1271"/>
      <c r="J661" s="1280" t="s">
        <v>2825</v>
      </c>
      <c r="K661" s="1282"/>
      <c r="L661" s="1503" t="s">
        <v>2998</v>
      </c>
      <c r="M661" s="1271"/>
      <c r="N661" s="1271"/>
      <c r="O661" s="1271"/>
      <c r="P661" s="1271"/>
      <c r="Q661" s="1271"/>
      <c r="R661" s="1271"/>
      <c r="S661" s="1271"/>
      <c r="T661" s="1271"/>
      <c r="U661" s="1271"/>
      <c r="V661" s="1271"/>
      <c r="W661" s="1271"/>
      <c r="X661" s="1271"/>
      <c r="Y661" s="1497"/>
      <c r="Z661" s="170"/>
      <c r="AA661" s="170"/>
      <c r="AD661" s="1309"/>
      <c r="AF661" s="1309"/>
    </row>
    <row r="662" spans="1:73" s="73" customFormat="1" ht="15" customHeight="1">
      <c r="A662" s="170"/>
      <c r="B662" s="170"/>
      <c r="C662" s="147"/>
      <c r="D662" s="170"/>
      <c r="E662" s="170"/>
      <c r="F662" s="170"/>
      <c r="G662" s="100"/>
      <c r="H662" s="170"/>
      <c r="I662" s="170"/>
      <c r="J662" s="170"/>
      <c r="K662" s="170"/>
      <c r="L662" s="1186"/>
      <c r="M662" s="170"/>
      <c r="N662" s="170"/>
      <c r="O662" s="170"/>
      <c r="P662" s="170"/>
      <c r="Q662" s="170"/>
      <c r="R662" s="170"/>
      <c r="S662" s="170"/>
      <c r="T662" s="170"/>
      <c r="U662" s="170"/>
      <c r="V662" s="170"/>
      <c r="W662" s="170"/>
      <c r="X662" s="170"/>
      <c r="Y662" s="1186"/>
      <c r="Z662" s="170"/>
      <c r="AA662" s="170"/>
      <c r="AC662" s="143"/>
      <c r="AD662" s="1202"/>
      <c r="AF662" s="1202"/>
      <c r="AS662" s="1627"/>
      <c r="AT662" s="143"/>
      <c r="AU662" s="143"/>
      <c r="AV662" s="143"/>
      <c r="AW662" s="143"/>
      <c r="AX662" s="143"/>
      <c r="AY662" s="143"/>
      <c r="AZ662" s="143"/>
      <c r="BA662" s="143"/>
      <c r="BB662" s="143"/>
      <c r="BC662" s="143"/>
      <c r="BD662" s="143"/>
      <c r="BE662" s="143"/>
      <c r="BF662" s="143"/>
      <c r="BG662" s="143"/>
      <c r="BH662" s="143"/>
      <c r="BI662" s="143"/>
      <c r="BJ662" s="143"/>
      <c r="BK662" s="143"/>
      <c r="BL662" s="143"/>
      <c r="BM662" s="143"/>
      <c r="BN662" s="143"/>
      <c r="BO662" s="143"/>
      <c r="BP662" s="143"/>
      <c r="BQ662" s="143"/>
      <c r="BR662" s="143"/>
      <c r="BS662" s="143"/>
      <c r="BT662" s="143"/>
      <c r="BU662" s="143"/>
    </row>
    <row r="663" spans="1:73" s="73" customFormat="1" ht="15" customHeight="1">
      <c r="A663" s="170"/>
      <c r="B663" s="143"/>
      <c r="C663" s="1177" t="s">
        <v>2856</v>
      </c>
      <c r="D663" s="170" t="s">
        <v>2877</v>
      </c>
      <c r="E663" s="136"/>
      <c r="F663" s="170"/>
      <c r="G663" s="100"/>
      <c r="H663" s="170"/>
      <c r="I663" s="170"/>
      <c r="J663" s="170"/>
      <c r="K663" s="170"/>
      <c r="L663" s="1296"/>
      <c r="M663" s="170"/>
      <c r="N663" s="170"/>
      <c r="O663" s="170"/>
      <c r="P663" s="170"/>
      <c r="Q663" s="170"/>
      <c r="R663" s="170"/>
      <c r="S663" s="170"/>
      <c r="T663" s="170"/>
      <c r="U663" s="170"/>
      <c r="V663" s="170"/>
      <c r="W663" s="170"/>
      <c r="X663" s="170"/>
      <c r="Y663" s="1296"/>
      <c r="Z663" s="170"/>
      <c r="AA663" s="170"/>
      <c r="AC663" s="143"/>
      <c r="AD663" s="1309"/>
      <c r="AF663" s="1309"/>
      <c r="AS663" s="1627"/>
      <c r="AT663" s="143"/>
      <c r="AU663" s="143"/>
      <c r="AV663" s="143"/>
      <c r="AW663" s="143"/>
      <c r="AX663" s="143"/>
      <c r="AY663" s="143"/>
      <c r="AZ663" s="143"/>
      <c r="BA663" s="143"/>
      <c r="BB663" s="143"/>
      <c r="BC663" s="143"/>
      <c r="BD663" s="143"/>
      <c r="BE663" s="143"/>
      <c r="BF663" s="143"/>
      <c r="BG663" s="143"/>
      <c r="BH663" s="143"/>
      <c r="BI663" s="143"/>
      <c r="BJ663" s="143"/>
      <c r="BK663" s="143"/>
      <c r="BL663" s="143"/>
      <c r="BM663" s="143"/>
      <c r="BN663" s="143"/>
      <c r="BO663" s="143"/>
      <c r="BP663" s="143"/>
      <c r="BQ663" s="143"/>
      <c r="BR663" s="143"/>
      <c r="BS663" s="143"/>
      <c r="BT663" s="143"/>
      <c r="BU663" s="143"/>
    </row>
    <row r="664" spans="1:73" s="73" customFormat="1" ht="15" customHeight="1">
      <c r="A664" s="170"/>
      <c r="B664" s="170"/>
      <c r="C664" s="147"/>
      <c r="D664" s="170"/>
      <c r="E664" s="170" t="s">
        <v>2875</v>
      </c>
      <c r="F664" s="170"/>
      <c r="G664" s="1423" t="s">
        <v>2697</v>
      </c>
      <c r="H664" s="170"/>
      <c r="I664" s="170" t="s">
        <v>2871</v>
      </c>
      <c r="J664" s="170"/>
      <c r="K664" s="170"/>
      <c r="L664" s="1296"/>
      <c r="M664" s="170"/>
      <c r="N664" s="170"/>
      <c r="O664" s="170"/>
      <c r="P664" s="170"/>
      <c r="Q664" s="170"/>
      <c r="R664" s="170"/>
      <c r="S664" s="124" t="s">
        <v>2697</v>
      </c>
      <c r="T664" s="170"/>
      <c r="U664" s="170" t="s">
        <v>2872</v>
      </c>
      <c r="V664" s="170"/>
      <c r="W664" s="170"/>
      <c r="X664" s="1862">
        <f>+AE277</f>
        <v>28.58</v>
      </c>
      <c r="Y664" s="1862"/>
      <c r="Z664" s="1862"/>
      <c r="AA664" s="124" t="s">
        <v>2791</v>
      </c>
      <c r="AB664" s="1862">
        <f>+AE278</f>
        <v>0.8</v>
      </c>
      <c r="AC664" s="1862"/>
      <c r="AD664" s="1862"/>
      <c r="AE664" s="76" t="s">
        <v>2791</v>
      </c>
      <c r="AF664" s="1862">
        <f>+AE279</f>
        <v>8.2100000000000009</v>
      </c>
      <c r="AG664" s="1862"/>
      <c r="AH664" s="1862"/>
      <c r="AI664" s="76" t="s">
        <v>2692</v>
      </c>
      <c r="AS664" s="1627"/>
      <c r="AT664" s="143"/>
      <c r="AU664" s="143"/>
      <c r="AV664" s="143"/>
      <c r="AW664" s="143"/>
      <c r="AX664" s="143"/>
      <c r="AY664" s="143"/>
      <c r="AZ664" s="143"/>
      <c r="BA664" s="143"/>
      <c r="BB664" s="143"/>
      <c r="BC664" s="143"/>
      <c r="BD664" s="143"/>
      <c r="BE664" s="143"/>
      <c r="BF664" s="143"/>
      <c r="BG664" s="143"/>
      <c r="BH664" s="143"/>
      <c r="BI664" s="143"/>
      <c r="BJ664" s="143"/>
      <c r="BK664" s="143"/>
      <c r="BL664" s="143"/>
      <c r="BM664" s="143"/>
      <c r="BN664" s="143"/>
      <c r="BO664" s="143"/>
      <c r="BP664" s="143"/>
      <c r="BQ664" s="143"/>
      <c r="BR664" s="143"/>
      <c r="BS664" s="143"/>
      <c r="BT664" s="143"/>
      <c r="BU664" s="143"/>
    </row>
    <row r="665" spans="1:73" s="73" customFormat="1" ht="15" customHeight="1">
      <c r="A665" s="170"/>
      <c r="B665" s="170"/>
      <c r="C665" s="147"/>
      <c r="D665" s="170"/>
      <c r="E665" s="170"/>
      <c r="F665" s="170"/>
      <c r="G665" s="1423" t="s">
        <v>2697</v>
      </c>
      <c r="H665" s="170"/>
      <c r="I665" s="1862">
        <f>1.25*(X664+AB664+AF664)</f>
        <v>46.987500000000004</v>
      </c>
      <c r="J665" s="1862"/>
      <c r="K665" s="1862"/>
      <c r="L665" s="1862"/>
      <c r="M665" s="170" t="s">
        <v>2873</v>
      </c>
      <c r="N665" s="170"/>
      <c r="O665" s="170"/>
      <c r="P665" s="170"/>
      <c r="Q665" s="170"/>
      <c r="R665" s="170"/>
      <c r="S665" s="124"/>
      <c r="T665" s="170"/>
      <c r="U665" s="170"/>
      <c r="V665" s="170"/>
      <c r="W665" s="170"/>
      <c r="AA665" s="170"/>
      <c r="AC665" s="143"/>
      <c r="AD665" s="1309"/>
      <c r="AF665" s="1309"/>
      <c r="AS665" s="1627"/>
      <c r="AT665" s="143"/>
      <c r="AU665" s="143"/>
      <c r="AV665" s="143"/>
      <c r="AW665" s="143"/>
      <c r="AX665" s="143"/>
      <c r="AY665" s="143"/>
      <c r="AZ665" s="143"/>
      <c r="BA665" s="143"/>
      <c r="BB665" s="143"/>
      <c r="BC665" s="143"/>
      <c r="BD665" s="143"/>
      <c r="BE665" s="143"/>
      <c r="BF665" s="143"/>
      <c r="BG665" s="143"/>
      <c r="BH665" s="143"/>
      <c r="BI665" s="143"/>
      <c r="BJ665" s="143"/>
      <c r="BK665" s="143"/>
      <c r="BL665" s="143"/>
      <c r="BM665" s="143"/>
      <c r="BN665" s="143"/>
      <c r="BO665" s="143"/>
      <c r="BP665" s="143"/>
      <c r="BQ665" s="143"/>
      <c r="BR665" s="143"/>
      <c r="BS665" s="143"/>
      <c r="BT665" s="143"/>
      <c r="BU665" s="143"/>
    </row>
    <row r="666" spans="1:73" s="73" customFormat="1" ht="15" customHeight="1">
      <c r="A666" s="170"/>
      <c r="B666" s="170"/>
      <c r="C666" s="147"/>
      <c r="D666" s="170"/>
      <c r="E666" s="170" t="s">
        <v>2876</v>
      </c>
      <c r="F666" s="170"/>
      <c r="G666" s="1423" t="s">
        <v>2697</v>
      </c>
      <c r="H666" s="170"/>
      <c r="I666" s="1297" t="s">
        <v>2994</v>
      </c>
      <c r="J666" s="1296"/>
      <c r="K666" s="1296"/>
      <c r="L666" s="1296"/>
      <c r="M666" s="170"/>
      <c r="N666" s="170"/>
      <c r="O666" s="170"/>
      <c r="P666" s="170"/>
      <c r="Q666" s="170"/>
      <c r="R666" s="170"/>
      <c r="S666" s="124" t="s">
        <v>2697</v>
      </c>
      <c r="T666" s="170"/>
      <c r="U666" s="1862">
        <f>+I665</f>
        <v>46.987500000000004</v>
      </c>
      <c r="V666" s="1862"/>
      <c r="W666" s="1862"/>
      <c r="X666" s="1862"/>
      <c r="Y666" s="76" t="s">
        <v>2874</v>
      </c>
      <c r="AA666" s="170"/>
      <c r="AC666" s="143"/>
      <c r="AD666" s="1309"/>
      <c r="AF666" s="2110">
        <f>+Z594</f>
        <v>0.125</v>
      </c>
      <c r="AG666" s="2111"/>
      <c r="AH666" s="2111"/>
      <c r="AI666" s="76" t="s">
        <v>2800</v>
      </c>
      <c r="AS666" s="1627"/>
      <c r="AT666" s="143"/>
      <c r="AU666" s="143"/>
      <c r="AV666" s="143"/>
      <c r="AW666" s="143"/>
      <c r="AX666" s="143"/>
      <c r="AY666" s="143"/>
      <c r="AZ666" s="143"/>
      <c r="BA666" s="143"/>
      <c r="BB666" s="143"/>
      <c r="BC666" s="143"/>
      <c r="BD666" s="143"/>
      <c r="BE666" s="143"/>
      <c r="BF666" s="143"/>
      <c r="BG666" s="143"/>
      <c r="BH666" s="143"/>
      <c r="BI666" s="143"/>
      <c r="BJ666" s="143"/>
      <c r="BK666" s="143"/>
      <c r="BL666" s="143"/>
      <c r="BM666" s="143"/>
      <c r="BN666" s="143"/>
      <c r="BO666" s="143"/>
      <c r="BP666" s="143"/>
      <c r="BQ666" s="143"/>
      <c r="BR666" s="143"/>
      <c r="BS666" s="143"/>
      <c r="BT666" s="143"/>
      <c r="BU666" s="143"/>
    </row>
    <row r="667" spans="1:73" s="73" customFormat="1" ht="15" customHeight="1">
      <c r="A667" s="170"/>
      <c r="B667" s="170"/>
      <c r="C667" s="147"/>
      <c r="D667" s="170"/>
      <c r="E667" s="170"/>
      <c r="F667" s="170"/>
      <c r="G667" s="1423" t="s">
        <v>2697</v>
      </c>
      <c r="H667" s="170"/>
      <c r="I667" s="1862">
        <f>+I665/2/COS(ATAN(AF666))</f>
        <v>23.676583496761133</v>
      </c>
      <c r="J667" s="1862"/>
      <c r="K667" s="1862"/>
      <c r="L667" s="1862"/>
      <c r="M667" s="170" t="s">
        <v>2873</v>
      </c>
      <c r="N667" s="170"/>
      <c r="O667" s="170"/>
      <c r="P667" s="170"/>
      <c r="Q667" s="170"/>
      <c r="R667" s="170"/>
      <c r="S667" s="170"/>
      <c r="T667" s="170"/>
      <c r="U667" s="170"/>
      <c r="V667" s="170"/>
      <c r="W667" s="170"/>
      <c r="AA667" s="170"/>
      <c r="AC667" s="143"/>
      <c r="AD667" s="1309"/>
      <c r="AF667" s="1309"/>
      <c r="AS667" s="1627"/>
      <c r="AT667" s="143"/>
      <c r="AU667" s="143"/>
      <c r="AV667" s="143"/>
      <c r="AW667" s="143"/>
      <c r="AX667" s="143"/>
      <c r="AY667" s="143"/>
      <c r="AZ667" s="143"/>
      <c r="BA667" s="143"/>
      <c r="BB667" s="143"/>
      <c r="BC667" s="143"/>
      <c r="BD667" s="143"/>
      <c r="BE667" s="143"/>
      <c r="BF667" s="143"/>
      <c r="BG667" s="143"/>
      <c r="BH667" s="143"/>
      <c r="BI667" s="143"/>
      <c r="BJ667" s="143"/>
      <c r="BK667" s="143"/>
      <c r="BL667" s="143"/>
      <c r="BM667" s="143"/>
      <c r="BN667" s="143"/>
      <c r="BO667" s="143"/>
      <c r="BP667" s="143"/>
      <c r="BQ667" s="143"/>
      <c r="BR667" s="143"/>
      <c r="BS667" s="143"/>
      <c r="BT667" s="143"/>
      <c r="BU667" s="143"/>
    </row>
    <row r="668" spans="1:73" s="73" customFormat="1" ht="15" customHeight="1">
      <c r="A668" s="170"/>
      <c r="B668" s="170"/>
      <c r="C668" s="147"/>
      <c r="D668" s="170"/>
      <c r="E668" s="170"/>
      <c r="F668" s="170"/>
      <c r="G668" s="1423"/>
      <c r="H668" s="170"/>
      <c r="I668" s="1296"/>
      <c r="J668" s="1296"/>
      <c r="K668" s="1296"/>
      <c r="L668" s="1296"/>
      <c r="M668" s="170"/>
      <c r="N668" s="170"/>
      <c r="O668" s="170"/>
      <c r="P668" s="170"/>
      <c r="Q668" s="170"/>
      <c r="R668" s="170"/>
      <c r="S668" s="170"/>
      <c r="T668" s="170"/>
      <c r="U668" s="170"/>
      <c r="V668" s="170"/>
      <c r="W668" s="170"/>
      <c r="AA668" s="170"/>
      <c r="AC668" s="143"/>
      <c r="AD668" s="1309"/>
      <c r="AF668" s="1309"/>
      <c r="AS668" s="1627"/>
      <c r="AT668" s="143"/>
      <c r="AU668" s="143"/>
      <c r="AV668" s="143"/>
      <c r="AW668" s="143"/>
      <c r="AX668" s="143"/>
      <c r="AY668" s="143"/>
      <c r="AZ668" s="143"/>
      <c r="BA668" s="143"/>
      <c r="BB668" s="143"/>
      <c r="BC668" s="143"/>
      <c r="BD668" s="143"/>
      <c r="BE668" s="143"/>
      <c r="BF668" s="143"/>
      <c r="BG668" s="143"/>
      <c r="BH668" s="143"/>
      <c r="BI668" s="143"/>
      <c r="BJ668" s="143"/>
      <c r="BK668" s="143"/>
      <c r="BL668" s="143"/>
      <c r="BM668" s="143"/>
      <c r="BN668" s="143"/>
      <c r="BO668" s="143"/>
      <c r="BP668" s="143"/>
      <c r="BQ668" s="143"/>
      <c r="BR668" s="143"/>
      <c r="BS668" s="143"/>
      <c r="BT668" s="143"/>
      <c r="BU668" s="143"/>
    </row>
    <row r="669" spans="1:73" s="73" customFormat="1" ht="15" customHeight="1">
      <c r="A669" s="170"/>
      <c r="B669" s="143"/>
      <c r="C669" s="1177" t="s">
        <v>2856</v>
      </c>
      <c r="D669" s="170" t="s">
        <v>2999</v>
      </c>
      <c r="E669" s="136"/>
      <c r="F669" s="170"/>
      <c r="G669" s="100"/>
      <c r="H669" s="170"/>
      <c r="I669" s="170"/>
      <c r="J669" s="170"/>
      <c r="K669" s="170"/>
      <c r="L669" s="1296"/>
      <c r="M669" s="170"/>
      <c r="N669" s="170"/>
      <c r="O669" s="170"/>
      <c r="P669" s="170"/>
      <c r="Q669" s="170"/>
      <c r="R669" s="170"/>
      <c r="S669" s="170"/>
      <c r="T669" s="170"/>
      <c r="U669" s="170"/>
      <c r="V669" s="170"/>
      <c r="W669" s="170"/>
      <c r="X669" s="170"/>
      <c r="Y669" s="1296"/>
      <c r="Z669" s="170"/>
      <c r="AA669" s="170"/>
      <c r="AC669" s="143"/>
      <c r="AD669" s="1309"/>
      <c r="AF669" s="1309"/>
      <c r="AS669" s="1627"/>
      <c r="AT669" s="143"/>
      <c r="AU669" s="143"/>
      <c r="AV669" s="143"/>
      <c r="AW669" s="143"/>
      <c r="AX669" s="143"/>
      <c r="AY669" s="143"/>
      <c r="AZ669" s="143"/>
      <c r="BA669" s="143"/>
      <c r="BB669" s="143"/>
      <c r="BC669" s="143"/>
      <c r="BD669" s="143"/>
      <c r="BE669" s="143"/>
      <c r="BF669" s="143"/>
      <c r="BG669" s="143"/>
      <c r="BH669" s="143"/>
      <c r="BI669" s="143"/>
      <c r="BJ669" s="143"/>
      <c r="BK669" s="143"/>
      <c r="BL669" s="143"/>
      <c r="BM669" s="143"/>
      <c r="BN669" s="143"/>
      <c r="BO669" s="143"/>
      <c r="BP669" s="143"/>
      <c r="BQ669" s="143"/>
      <c r="BR669" s="143"/>
      <c r="BS669" s="143"/>
      <c r="BT669" s="143"/>
      <c r="BU669" s="143"/>
    </row>
    <row r="670" spans="1:73" s="73" customFormat="1" ht="15" customHeight="1">
      <c r="A670" s="134"/>
      <c r="B670" s="143"/>
      <c r="C670" s="143"/>
      <c r="D670" s="170"/>
      <c r="E670" s="170" t="s">
        <v>898</v>
      </c>
      <c r="F670" s="170"/>
      <c r="G670" s="1423" t="s">
        <v>2697</v>
      </c>
      <c r="H670" s="170"/>
      <c r="I670" s="170" t="s">
        <v>2878</v>
      </c>
      <c r="J670" s="170"/>
      <c r="K670" s="124"/>
      <c r="L670" s="1303"/>
      <c r="M670" s="170"/>
      <c r="O670" s="170"/>
      <c r="P670" s="170"/>
      <c r="Q670" s="170"/>
      <c r="R670" s="170"/>
      <c r="S670" s="170"/>
      <c r="T670" s="170"/>
      <c r="U670" s="170"/>
      <c r="V670" s="170"/>
      <c r="W670" s="170"/>
      <c r="X670" s="170"/>
      <c r="Y670" s="1296"/>
      <c r="Z670" s="170"/>
      <c r="AA670" s="170"/>
      <c r="AC670" s="143"/>
      <c r="AD670" s="1309"/>
      <c r="AF670" s="1309"/>
      <c r="AS670" s="1627"/>
      <c r="AT670" s="143"/>
      <c r="AU670" s="143"/>
      <c r="AV670" s="143"/>
      <c r="AW670" s="143"/>
      <c r="AX670" s="143"/>
      <c r="AY670" s="143"/>
      <c r="AZ670" s="143"/>
      <c r="BA670" s="143"/>
      <c r="BB670" s="143"/>
      <c r="BC670" s="143"/>
      <c r="BD670" s="143"/>
      <c r="BE670" s="143"/>
      <c r="BF670" s="143"/>
      <c r="BG670" s="143"/>
      <c r="BH670" s="143"/>
      <c r="BI670" s="143"/>
      <c r="BJ670" s="143"/>
      <c r="BK670" s="143"/>
      <c r="BL670" s="143"/>
      <c r="BM670" s="143"/>
      <c r="BN670" s="143"/>
      <c r="BO670" s="143"/>
      <c r="BP670" s="143"/>
      <c r="BQ670" s="143"/>
      <c r="BR670" s="143"/>
      <c r="BS670" s="143"/>
      <c r="BT670" s="143"/>
      <c r="BU670" s="143"/>
    </row>
    <row r="671" spans="1:73" s="73" customFormat="1" ht="15" customHeight="1">
      <c r="A671" s="134"/>
      <c r="B671" s="143"/>
      <c r="C671" s="143"/>
      <c r="D671" s="170"/>
      <c r="E671" s="170" t="s">
        <v>2879</v>
      </c>
      <c r="F671" s="170"/>
      <c r="G671" s="1423" t="s">
        <v>2697</v>
      </c>
      <c r="H671" s="170"/>
      <c r="I671" s="170" t="s">
        <v>2880</v>
      </c>
      <c r="J671" s="170"/>
      <c r="K671" s="124"/>
      <c r="L671" s="1303"/>
      <c r="M671" s="170"/>
      <c r="N671" s="124" t="s">
        <v>2697</v>
      </c>
      <c r="O671" s="170" t="s">
        <v>2896</v>
      </c>
      <c r="P671" s="170"/>
      <c r="Q671" s="170"/>
      <c r="R671" s="2093">
        <f>+AE296</f>
        <v>355</v>
      </c>
      <c r="S671" s="1862"/>
      <c r="T671" s="1862"/>
      <c r="U671" s="124" t="s">
        <v>2686</v>
      </c>
      <c r="V671" s="1862">
        <f>+I697</f>
        <v>2821.7902119044925</v>
      </c>
      <c r="W671" s="1862"/>
      <c r="X671" s="1862"/>
      <c r="Y671" s="1303" t="s">
        <v>2686</v>
      </c>
      <c r="Z671" s="2094">
        <f>+AE261</f>
        <v>12</v>
      </c>
      <c r="AA671" s="1862"/>
      <c r="AC671" s="143"/>
      <c r="AD671" s="1309"/>
      <c r="AF671" s="1309"/>
      <c r="AS671" s="1627"/>
      <c r="AT671" s="143"/>
      <c r="AU671" s="143"/>
      <c r="AV671" s="143"/>
      <c r="AW671" s="143"/>
      <c r="AX671" s="143"/>
      <c r="AY671" s="143"/>
      <c r="AZ671" s="143"/>
      <c r="BA671" s="143"/>
      <c r="BB671" s="143"/>
      <c r="BC671" s="143"/>
      <c r="BD671" s="143"/>
      <c r="BE671" s="143"/>
      <c r="BF671" s="143"/>
      <c r="BG671" s="143"/>
      <c r="BH671" s="143"/>
      <c r="BI671" s="143"/>
      <c r="BJ671" s="143"/>
      <c r="BK671" s="143"/>
      <c r="BL671" s="143"/>
      <c r="BM671" s="143"/>
      <c r="BN671" s="143"/>
      <c r="BO671" s="143"/>
      <c r="BP671" s="143"/>
      <c r="BQ671" s="143"/>
      <c r="BR671" s="143"/>
      <c r="BS671" s="143"/>
      <c r="BT671" s="143"/>
      <c r="BU671" s="143"/>
    </row>
    <row r="672" spans="1:73" s="73" customFormat="1" ht="15" customHeight="1">
      <c r="A672" s="134"/>
      <c r="B672" s="143"/>
      <c r="C672" s="143"/>
      <c r="D672" s="170"/>
      <c r="E672" s="170"/>
      <c r="F672" s="170"/>
      <c r="G672" s="1423" t="s">
        <v>2697</v>
      </c>
      <c r="H672" s="170"/>
      <c r="I672" s="1862">
        <f>0.58*R671*V671*Z671/10^3</f>
        <v>6972.0792555736189</v>
      </c>
      <c r="J672" s="1862"/>
      <c r="K672" s="1862"/>
      <c r="L672" s="1298" t="s">
        <v>2873</v>
      </c>
      <c r="M672" s="170"/>
      <c r="N672" s="124"/>
      <c r="O672" s="170"/>
      <c r="P672" s="170"/>
      <c r="Q672" s="170"/>
      <c r="R672" s="1313"/>
      <c r="S672" s="1296"/>
      <c r="T672" s="1296"/>
      <c r="U672" s="124"/>
      <c r="V672" s="1296"/>
      <c r="W672" s="1296"/>
      <c r="X672" s="1296"/>
      <c r="Y672" s="1303"/>
      <c r="Z672" s="1319"/>
      <c r="AA672" s="1296"/>
      <c r="AC672" s="143"/>
      <c r="AD672" s="1309"/>
      <c r="AF672" s="1309"/>
      <c r="AS672" s="1627"/>
      <c r="AT672" s="143"/>
      <c r="AU672" s="143"/>
      <c r="AV672" s="143"/>
      <c r="AW672" s="143"/>
      <c r="AX672" s="143"/>
      <c r="AY672" s="143"/>
      <c r="AZ672" s="143"/>
      <c r="BA672" s="143"/>
      <c r="BB672" s="143"/>
      <c r="BC672" s="143"/>
      <c r="BD672" s="143"/>
      <c r="BE672" s="143"/>
      <c r="BF672" s="143"/>
      <c r="BG672" s="143"/>
      <c r="BH672" s="143"/>
      <c r="BI672" s="143"/>
      <c r="BJ672" s="143"/>
      <c r="BK672" s="143"/>
      <c r="BL672" s="143"/>
      <c r="BM672" s="143"/>
      <c r="BN672" s="143"/>
      <c r="BO672" s="143"/>
      <c r="BP672" s="143"/>
      <c r="BQ672" s="143"/>
      <c r="BR672" s="143"/>
      <c r="BS672" s="143"/>
      <c r="BT672" s="143"/>
      <c r="BU672" s="143"/>
    </row>
    <row r="673" spans="1:73" s="73" customFormat="1" ht="15" customHeight="1">
      <c r="A673" s="134"/>
      <c r="B673" s="143"/>
      <c r="C673" s="143"/>
      <c r="D673" s="170"/>
      <c r="E673" s="170"/>
      <c r="F673" s="170"/>
      <c r="G673" s="1423"/>
      <c r="H673" s="170"/>
      <c r="I673" s="1296"/>
      <c r="J673" s="1296"/>
      <c r="K673" s="1296"/>
      <c r="L673" s="1298"/>
      <c r="M673" s="170"/>
      <c r="N673" s="124"/>
      <c r="O673" s="170"/>
      <c r="P673" s="170"/>
      <c r="Q673" s="170"/>
      <c r="R673" s="1313"/>
      <c r="S673" s="1296"/>
      <c r="T673" s="1296"/>
      <c r="U673" s="124"/>
      <c r="V673" s="1296"/>
      <c r="W673" s="1296"/>
      <c r="X673" s="1296"/>
      <c r="Y673" s="1303"/>
      <c r="Z673" s="1319"/>
      <c r="AA673" s="1296"/>
      <c r="AC673" s="143"/>
      <c r="AD673" s="1309"/>
      <c r="AF673" s="1309"/>
      <c r="AS673" s="1627"/>
      <c r="AT673" s="143"/>
      <c r="AU673" s="143"/>
      <c r="AV673" s="143"/>
      <c r="AW673" s="143"/>
      <c r="AX673" s="143"/>
      <c r="AY673" s="143"/>
      <c r="AZ673" s="143"/>
      <c r="BA673" s="143"/>
      <c r="BB673" s="143"/>
      <c r="BC673" s="143"/>
      <c r="BD673" s="143"/>
      <c r="BE673" s="143"/>
      <c r="BF673" s="143"/>
      <c r="BG673" s="143"/>
      <c r="BH673" s="143"/>
      <c r="BI673" s="143"/>
      <c r="BJ673" s="143"/>
      <c r="BK673" s="143"/>
      <c r="BL673" s="143"/>
      <c r="BM673" s="143"/>
      <c r="BN673" s="143"/>
      <c r="BO673" s="143"/>
      <c r="BP673" s="143"/>
      <c r="BQ673" s="143"/>
      <c r="BR673" s="143"/>
      <c r="BS673" s="143"/>
      <c r="BT673" s="143"/>
      <c r="BU673" s="143"/>
    </row>
    <row r="674" spans="1:73" s="73" customFormat="1" ht="15" customHeight="1">
      <c r="A674" s="170"/>
      <c r="B674" s="143"/>
      <c r="C674" s="1177" t="s">
        <v>2856</v>
      </c>
      <c r="D674" s="170" t="s">
        <v>2881</v>
      </c>
      <c r="E674" s="136"/>
      <c r="F674" s="170"/>
      <c r="G674" s="100"/>
      <c r="H674" s="170"/>
      <c r="I674" s="170"/>
      <c r="J674" s="170"/>
      <c r="K674" s="170"/>
      <c r="L674" s="1296"/>
      <c r="M674" s="170"/>
      <c r="N674" s="170"/>
      <c r="O674" s="170"/>
      <c r="P674" s="170"/>
      <c r="Q674" s="170"/>
      <c r="R674" s="170"/>
      <c r="S674" s="170"/>
      <c r="T674" s="170"/>
      <c r="U674" s="170"/>
      <c r="V674" s="170"/>
      <c r="W674" s="170"/>
      <c r="X674" s="170"/>
      <c r="Y674" s="1296"/>
      <c r="Z674" s="170"/>
      <c r="AA674" s="170"/>
      <c r="AC674" s="143"/>
      <c r="AD674" s="1309"/>
      <c r="AF674" s="1309"/>
      <c r="AS674" s="1627"/>
      <c r="AT674" s="143"/>
      <c r="AU674" s="143"/>
      <c r="AV674" s="143"/>
      <c r="AW674" s="143"/>
      <c r="AX674" s="143"/>
      <c r="AY674" s="143"/>
      <c r="AZ674" s="143"/>
      <c r="BA674" s="143"/>
      <c r="BB674" s="143"/>
      <c r="BC674" s="143"/>
      <c r="BD674" s="143"/>
      <c r="BE674" s="143"/>
      <c r="BF674" s="143"/>
      <c r="BG674" s="143"/>
      <c r="BH674" s="143"/>
      <c r="BI674" s="143"/>
      <c r="BJ674" s="143"/>
      <c r="BK674" s="143"/>
      <c r="BL674" s="143"/>
      <c r="BM674" s="143"/>
      <c r="BN674" s="143"/>
      <c r="BO674" s="143"/>
      <c r="BP674" s="143"/>
      <c r="BQ674" s="143"/>
      <c r="BR674" s="143"/>
      <c r="BS674" s="143"/>
      <c r="BT674" s="143"/>
      <c r="BU674" s="143"/>
    </row>
    <row r="675" spans="1:73" s="73" customFormat="1" ht="20.100000000000001" customHeight="1">
      <c r="A675" s="143"/>
      <c r="B675" s="143"/>
      <c r="C675" s="148" t="s">
        <v>134</v>
      </c>
      <c r="D675" s="141"/>
      <c r="E675" s="148"/>
      <c r="F675" s="148"/>
      <c r="G675" s="148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8" t="s">
        <v>128</v>
      </c>
      <c r="S675" s="141"/>
      <c r="T675" s="141"/>
      <c r="U675" s="141"/>
      <c r="V675" s="141"/>
      <c r="W675" s="141"/>
      <c r="X675" s="141"/>
      <c r="Y675" s="141"/>
      <c r="Z675" s="141"/>
      <c r="AA675" s="141"/>
      <c r="AC675" s="143"/>
      <c r="AD675" s="1309"/>
      <c r="AF675" s="1309"/>
      <c r="AS675" s="1627"/>
      <c r="AT675" s="143"/>
      <c r="AU675" s="143"/>
      <c r="AV675" s="143"/>
      <c r="AW675" s="143"/>
      <c r="AX675" s="143"/>
      <c r="AY675" s="143"/>
      <c r="AZ675" s="143"/>
      <c r="BA675" s="143"/>
      <c r="BB675" s="143"/>
      <c r="BC675" s="143"/>
      <c r="BD675" s="143"/>
      <c r="BE675" s="143"/>
      <c r="BF675" s="143"/>
      <c r="BG675" s="143"/>
      <c r="BH675" s="143"/>
      <c r="BI675" s="143"/>
      <c r="BJ675" s="143"/>
      <c r="BK675" s="143"/>
      <c r="BL675" s="143"/>
      <c r="BM675" s="143"/>
      <c r="BN675" s="143"/>
      <c r="BO675" s="143"/>
      <c r="BP675" s="143"/>
      <c r="BQ675" s="143"/>
      <c r="BR675" s="143"/>
      <c r="BS675" s="143"/>
      <c r="BT675" s="143"/>
      <c r="BU675" s="143"/>
    </row>
    <row r="676" spans="1:73" s="73" customFormat="1" ht="20.100000000000001" customHeight="1">
      <c r="A676" s="143"/>
      <c r="B676" s="143"/>
      <c r="C676" s="170" t="s">
        <v>1707</v>
      </c>
      <c r="D676" s="170"/>
      <c r="E676" s="170"/>
      <c r="F676" s="170"/>
      <c r="G676" s="170"/>
      <c r="H676" s="170"/>
      <c r="J676" s="170"/>
      <c r="K676" s="170"/>
      <c r="L676" s="1302"/>
      <c r="M676" s="143"/>
      <c r="N676" s="143"/>
      <c r="O676" s="143"/>
      <c r="Q676" s="143"/>
      <c r="R676" s="2106">
        <v>1</v>
      </c>
      <c r="S676" s="2106"/>
      <c r="T676" s="2106"/>
      <c r="U676" s="143"/>
      <c r="V676" s="143"/>
      <c r="W676" s="143"/>
      <c r="X676" s="143"/>
      <c r="Y676" s="1302"/>
      <c r="Z676" s="143"/>
      <c r="AA676" s="76" t="s">
        <v>2716</v>
      </c>
      <c r="AC676" s="143"/>
      <c r="AD676" s="1309"/>
      <c r="AF676" s="1309"/>
      <c r="AS676" s="1627"/>
      <c r="AT676" s="143"/>
      <c r="AU676" s="143"/>
      <c r="AV676" s="143"/>
      <c r="AW676" s="143"/>
      <c r="AX676" s="143"/>
      <c r="AY676" s="143"/>
      <c r="AZ676" s="143"/>
      <c r="BA676" s="143"/>
      <c r="BB676" s="143"/>
      <c r="BC676" s="143"/>
      <c r="BD676" s="143"/>
      <c r="BE676" s="143"/>
      <c r="BF676" s="143"/>
      <c r="BG676" s="143"/>
      <c r="BH676" s="143"/>
      <c r="BI676" s="143"/>
      <c r="BJ676" s="143"/>
      <c r="BK676" s="143"/>
      <c r="BL676" s="143"/>
      <c r="BM676" s="143"/>
      <c r="BN676" s="143"/>
      <c r="BO676" s="143"/>
      <c r="BP676" s="143"/>
      <c r="BQ676" s="143"/>
      <c r="BR676" s="143"/>
      <c r="BS676" s="143"/>
      <c r="BT676" s="143"/>
      <c r="BU676" s="143"/>
    </row>
    <row r="677" spans="1:73" ht="20.100000000000001" customHeight="1">
      <c r="C677" s="170" t="s">
        <v>1708</v>
      </c>
      <c r="D677" s="170"/>
      <c r="E677" s="147"/>
      <c r="F677" s="170"/>
      <c r="G677" s="170"/>
      <c r="H677" s="170"/>
      <c r="J677" s="170"/>
      <c r="K677" s="170"/>
      <c r="L677" s="1302"/>
      <c r="R677" s="170" t="s">
        <v>1709</v>
      </c>
      <c r="Y677" s="1302"/>
      <c r="AA677" s="138" t="s">
        <v>2717</v>
      </c>
      <c r="AD677" s="1309"/>
      <c r="AF677" s="1309"/>
    </row>
    <row r="678" spans="1:73" ht="20.100000000000001" customHeight="1">
      <c r="C678" s="145" t="s">
        <v>1710</v>
      </c>
      <c r="D678" s="145"/>
      <c r="E678" s="149"/>
      <c r="F678" s="145"/>
      <c r="G678" s="145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 t="s">
        <v>1711</v>
      </c>
      <c r="S678" s="145"/>
      <c r="T678" s="145"/>
      <c r="U678" s="145"/>
      <c r="V678" s="145"/>
      <c r="W678" s="145"/>
      <c r="X678" s="145"/>
      <c r="Y678" s="145"/>
      <c r="Z678" s="145"/>
      <c r="AA678" s="261" t="s">
        <v>2718</v>
      </c>
      <c r="AD678" s="1309"/>
      <c r="AF678" s="1309"/>
    </row>
    <row r="679" spans="1:73" s="73" customFormat="1" ht="15" customHeight="1">
      <c r="A679" s="170"/>
      <c r="B679" s="143"/>
      <c r="C679" s="1177"/>
      <c r="D679" s="170"/>
      <c r="E679" s="136"/>
      <c r="F679" s="170"/>
      <c r="G679" s="100"/>
      <c r="H679" s="170"/>
      <c r="I679" s="170"/>
      <c r="J679" s="170"/>
      <c r="K679" s="170"/>
      <c r="L679" s="1296"/>
      <c r="M679" s="170"/>
      <c r="N679" s="170"/>
      <c r="O679" s="170"/>
      <c r="P679" s="170"/>
      <c r="Q679" s="170"/>
      <c r="R679" s="170"/>
      <c r="S679" s="170"/>
      <c r="T679" s="170"/>
      <c r="U679" s="170"/>
      <c r="V679" s="170"/>
      <c r="W679" s="170"/>
      <c r="X679" s="170"/>
      <c r="Y679" s="1296"/>
      <c r="Z679" s="170"/>
      <c r="AA679" s="170"/>
      <c r="AC679" s="143"/>
      <c r="AD679" s="1309"/>
      <c r="AF679" s="1309"/>
      <c r="AS679" s="1627"/>
      <c r="AT679" s="143"/>
      <c r="AU679" s="143"/>
      <c r="AV679" s="143"/>
      <c r="AW679" s="143"/>
      <c r="AX679" s="143"/>
      <c r="AY679" s="143"/>
      <c r="AZ679" s="143"/>
      <c r="BA679" s="143"/>
      <c r="BB679" s="143"/>
      <c r="BC679" s="143"/>
      <c r="BD679" s="143"/>
      <c r="BE679" s="143"/>
      <c r="BF679" s="143"/>
      <c r="BG679" s="143"/>
      <c r="BH679" s="143"/>
      <c r="BI679" s="143"/>
      <c r="BJ679" s="143"/>
      <c r="BK679" s="143"/>
      <c r="BL679" s="143"/>
      <c r="BM679" s="143"/>
      <c r="BN679" s="143"/>
      <c r="BO679" s="143"/>
      <c r="BP679" s="143"/>
      <c r="BQ679" s="143"/>
      <c r="BR679" s="143"/>
      <c r="BS679" s="143"/>
      <c r="BT679" s="143"/>
      <c r="BU679" s="143"/>
    </row>
    <row r="680" spans="1:73" ht="15" customHeight="1">
      <c r="C680" s="1177" t="s">
        <v>2856</v>
      </c>
      <c r="D680" s="143" t="s">
        <v>2146</v>
      </c>
      <c r="E680" s="147"/>
      <c r="F680" s="136"/>
      <c r="G680" s="136"/>
      <c r="H680" s="170"/>
      <c r="I680" s="170"/>
      <c r="L680" s="1427"/>
      <c r="Y680" s="1427"/>
      <c r="Z680" s="1427"/>
      <c r="AB680" s="1427"/>
      <c r="AD680" s="73"/>
      <c r="AE680" s="1428"/>
      <c r="AF680" s="73"/>
      <c r="AR680" s="143"/>
    </row>
    <row r="681" spans="1:73" ht="20.100000000000001" customHeight="1">
      <c r="A681" s="170"/>
      <c r="C681" s="148" t="s">
        <v>134</v>
      </c>
      <c r="D681" s="141"/>
      <c r="E681" s="148"/>
      <c r="F681" s="148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8" t="s">
        <v>425</v>
      </c>
      <c r="S681" s="141"/>
      <c r="T681" s="141"/>
      <c r="U681" s="141"/>
      <c r="V681" s="141"/>
      <c r="W681" s="141"/>
      <c r="X681" s="141"/>
      <c r="Y681" s="141"/>
      <c r="Z681" s="141"/>
      <c r="AA681" s="141"/>
      <c r="AB681" s="1427"/>
      <c r="AD681" s="73"/>
      <c r="AE681" s="1428"/>
      <c r="AF681" s="73"/>
      <c r="AR681" s="143"/>
    </row>
    <row r="682" spans="1:73" ht="20.100000000000001" customHeight="1">
      <c r="A682" s="170"/>
      <c r="C682" s="170" t="s">
        <v>992</v>
      </c>
      <c r="D682" s="170"/>
      <c r="E682" s="170"/>
      <c r="F682" s="170"/>
      <c r="G682" s="170"/>
      <c r="H682" s="170"/>
      <c r="I682" s="170"/>
      <c r="J682" s="170"/>
      <c r="K682" s="170"/>
      <c r="L682" s="170"/>
      <c r="M682" s="170"/>
      <c r="N682" s="170"/>
      <c r="O682" s="170"/>
      <c r="P682" s="170"/>
      <c r="Q682" s="170"/>
      <c r="R682" s="2102">
        <v>5</v>
      </c>
      <c r="S682" s="2102"/>
      <c r="T682" s="170"/>
      <c r="U682" s="170"/>
      <c r="V682" s="170"/>
      <c r="W682" s="170"/>
      <c r="X682" s="170"/>
      <c r="Y682" s="170"/>
      <c r="Z682" s="170"/>
      <c r="AA682" s="170"/>
      <c r="AB682" s="143"/>
      <c r="AD682" s="1428"/>
      <c r="AF682" s="1428"/>
      <c r="AR682" s="143"/>
    </row>
    <row r="683" spans="1:73" ht="20.100000000000001" customHeight="1">
      <c r="A683" s="170"/>
      <c r="C683" s="145" t="s">
        <v>993</v>
      </c>
      <c r="D683" s="145"/>
      <c r="E683" s="98"/>
      <c r="F683" s="145"/>
      <c r="G683" s="145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 t="s">
        <v>1777</v>
      </c>
      <c r="S683" s="145"/>
      <c r="T683" s="145"/>
      <c r="U683" s="145"/>
      <c r="V683" s="145"/>
      <c r="W683" s="145"/>
      <c r="X683" s="145"/>
      <c r="Y683" s="145"/>
      <c r="Z683" s="145"/>
      <c r="AA683" s="145"/>
      <c r="AB683" s="143"/>
      <c r="AD683" s="1428"/>
      <c r="AF683" s="1428"/>
      <c r="AR683" s="143"/>
    </row>
    <row r="684" spans="1:73" ht="20.100000000000001" customHeight="1">
      <c r="A684" s="170"/>
      <c r="C684" s="170"/>
      <c r="D684" s="170"/>
      <c r="E684" s="147"/>
      <c r="F684" s="170"/>
      <c r="G684" s="170"/>
      <c r="H684" s="170"/>
      <c r="I684" s="170"/>
      <c r="J684" s="170"/>
      <c r="K684" s="170"/>
      <c r="L684" s="170"/>
      <c r="M684" s="170"/>
      <c r="N684" s="170"/>
      <c r="O684" s="170"/>
      <c r="P684" s="170"/>
      <c r="Q684" s="170"/>
      <c r="R684" s="170"/>
      <c r="S684" s="170"/>
      <c r="T684" s="170"/>
      <c r="U684" s="170"/>
      <c r="V684" s="170"/>
      <c r="W684" s="170"/>
      <c r="X684" s="170"/>
      <c r="Y684" s="170"/>
      <c r="Z684" s="170"/>
      <c r="AA684" s="170"/>
      <c r="AB684" s="143"/>
      <c r="AD684" s="1428"/>
      <c r="AF684" s="1428"/>
      <c r="AR684" s="143"/>
    </row>
    <row r="685" spans="1:73" ht="15" customHeight="1">
      <c r="C685" s="1177" t="s">
        <v>2856</v>
      </c>
      <c r="D685" s="170" t="s">
        <v>133</v>
      </c>
      <c r="E685" s="170"/>
      <c r="F685" s="170"/>
      <c r="G685" s="170"/>
      <c r="H685" s="116"/>
      <c r="I685" s="116"/>
      <c r="J685" s="116"/>
      <c r="L685" s="143"/>
      <c r="M685" s="1427"/>
      <c r="Y685" s="143"/>
      <c r="Z685" s="1427"/>
      <c r="AB685" s="1427"/>
      <c r="AD685" s="73"/>
      <c r="AE685" s="1428"/>
      <c r="AF685" s="73"/>
      <c r="AR685" s="1529" t="s">
        <v>806</v>
      </c>
    </row>
    <row r="686" spans="1:73" ht="20.100000000000001" customHeight="1">
      <c r="C686" s="141" t="s">
        <v>134</v>
      </c>
      <c r="D686" s="141"/>
      <c r="E686" s="141"/>
      <c r="F686" s="141"/>
      <c r="G686" s="141"/>
      <c r="H686" s="250"/>
      <c r="I686" s="250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250" t="s">
        <v>138</v>
      </c>
      <c r="V686" s="250"/>
      <c r="W686" s="250"/>
      <c r="X686" s="250"/>
      <c r="Y686" s="250"/>
      <c r="Z686" s="250"/>
      <c r="AA686" s="250"/>
      <c r="AB686" s="1427"/>
      <c r="AD686" s="73"/>
      <c r="AE686" s="1428"/>
      <c r="AF686" s="73"/>
      <c r="AR686" s="143"/>
    </row>
    <row r="687" spans="1:73" ht="20.100000000000001" customHeight="1">
      <c r="C687" s="170" t="s">
        <v>847</v>
      </c>
      <c r="D687" s="170"/>
      <c r="E687" s="170"/>
      <c r="F687" s="170"/>
      <c r="G687" s="170"/>
      <c r="H687" s="116"/>
      <c r="I687" s="116"/>
      <c r="J687" s="170"/>
      <c r="K687" s="170"/>
      <c r="L687" s="170"/>
      <c r="M687" s="170"/>
      <c r="N687" s="170"/>
      <c r="O687" s="170"/>
      <c r="P687" s="170"/>
      <c r="Q687" s="170"/>
      <c r="R687" s="170"/>
      <c r="S687" s="170"/>
      <c r="T687" s="170"/>
      <c r="U687" s="116" t="s">
        <v>135</v>
      </c>
      <c r="V687" s="116"/>
      <c r="W687" s="116"/>
      <c r="X687" s="116"/>
      <c r="Y687" s="116"/>
      <c r="Z687" s="116"/>
      <c r="AA687" s="116"/>
      <c r="AB687" s="1427"/>
      <c r="AD687" s="73"/>
      <c r="AE687" s="1428"/>
      <c r="AF687" s="73"/>
      <c r="AR687" s="143"/>
    </row>
    <row r="688" spans="1:73" ht="20.100000000000001" customHeight="1">
      <c r="C688" s="170" t="s">
        <v>3001</v>
      </c>
      <c r="D688" s="170"/>
      <c r="E688" s="170"/>
      <c r="F688" s="170"/>
      <c r="G688" s="170"/>
      <c r="H688" s="116"/>
      <c r="I688" s="116"/>
      <c r="J688" s="170"/>
      <c r="K688" s="170"/>
      <c r="L688" s="170"/>
      <c r="M688" s="170"/>
      <c r="N688" s="170"/>
      <c r="O688" s="170"/>
      <c r="P688" s="170"/>
      <c r="Q688" s="170"/>
      <c r="R688" s="170"/>
      <c r="S688" s="170"/>
      <c r="T688" s="170"/>
      <c r="U688" s="116" t="s">
        <v>135</v>
      </c>
      <c r="V688" s="116"/>
      <c r="W688" s="116"/>
      <c r="X688" s="116"/>
      <c r="Y688" s="116"/>
      <c r="Z688" s="116"/>
      <c r="AA688" s="116"/>
      <c r="AB688" s="1427"/>
      <c r="AD688" s="73"/>
      <c r="AE688" s="1428"/>
      <c r="AF688" s="73"/>
      <c r="AR688" s="143"/>
    </row>
    <row r="689" spans="1:73" ht="20.100000000000001" customHeight="1">
      <c r="C689" s="145" t="s">
        <v>136</v>
      </c>
      <c r="D689" s="145"/>
      <c r="E689" s="145"/>
      <c r="F689" s="145"/>
      <c r="G689" s="145"/>
      <c r="H689" s="117"/>
      <c r="I689" s="117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17" t="s">
        <v>137</v>
      </c>
      <c r="V689" s="117"/>
      <c r="W689" s="117"/>
      <c r="X689" s="117"/>
      <c r="Y689" s="117"/>
      <c r="Z689" s="117"/>
      <c r="AA689" s="117"/>
      <c r="AB689" s="1427"/>
      <c r="AD689" s="73"/>
      <c r="AE689" s="1428"/>
      <c r="AF689" s="73"/>
      <c r="AR689" s="143"/>
    </row>
    <row r="690" spans="1:73" ht="20.100000000000001" customHeight="1">
      <c r="C690" s="170"/>
      <c r="D690" s="170"/>
      <c r="E690" s="170"/>
      <c r="F690" s="170"/>
      <c r="G690" s="170"/>
      <c r="H690" s="116"/>
      <c r="I690" s="116"/>
      <c r="J690" s="170"/>
      <c r="K690" s="170"/>
      <c r="L690" s="170"/>
      <c r="M690" s="170"/>
      <c r="N690" s="170"/>
      <c r="O690" s="170"/>
      <c r="P690" s="170"/>
      <c r="Q690" s="170"/>
      <c r="R690" s="170"/>
      <c r="S690" s="170"/>
      <c r="T690" s="170"/>
      <c r="U690" s="116"/>
      <c r="V690" s="116"/>
      <c r="W690" s="116"/>
      <c r="X690" s="116"/>
      <c r="Y690" s="116"/>
      <c r="Z690" s="116"/>
      <c r="AA690" s="116"/>
      <c r="AB690" s="1427"/>
      <c r="AD690" s="73"/>
      <c r="AE690" s="1428"/>
      <c r="AF690" s="73"/>
      <c r="AR690" s="143"/>
    </row>
    <row r="691" spans="1:73" s="73" customFormat="1" ht="15" customHeight="1">
      <c r="A691" s="170"/>
      <c r="B691" s="1441"/>
      <c r="C691" s="1632"/>
      <c r="D691" s="1443"/>
      <c r="E691" s="1443" t="s">
        <v>2887</v>
      </c>
      <c r="F691" s="1443"/>
      <c r="G691" s="1633" t="s">
        <v>2697</v>
      </c>
      <c r="H691" s="1443"/>
      <c r="I691" s="2113">
        <f>+AE273</f>
        <v>2500</v>
      </c>
      <c r="J691" s="2114"/>
      <c r="K691" s="2114"/>
      <c r="L691" s="1452" t="s">
        <v>2829</v>
      </c>
      <c r="M691" s="1443"/>
      <c r="N691" s="1443"/>
      <c r="O691" s="1634"/>
      <c r="P691" s="170"/>
      <c r="Q691" s="170"/>
      <c r="R691" s="170"/>
      <c r="S691" s="170"/>
      <c r="T691" s="170"/>
      <c r="U691" s="170"/>
      <c r="V691" s="170"/>
      <c r="W691" s="170"/>
      <c r="X691" s="170"/>
      <c r="Y691" s="1296"/>
      <c r="Z691" s="170"/>
      <c r="AA691" s="170"/>
      <c r="AC691" s="143"/>
      <c r="AD691" s="1309"/>
      <c r="AF691" s="1309"/>
      <c r="AS691" s="1627"/>
      <c r="AT691" s="143"/>
      <c r="AU691" s="143"/>
      <c r="AV691" s="143"/>
      <c r="AW691" s="143"/>
      <c r="AX691" s="143"/>
      <c r="AY691" s="143"/>
      <c r="AZ691" s="143"/>
      <c r="BA691" s="143"/>
      <c r="BB691" s="143"/>
      <c r="BC691" s="143"/>
      <c r="BD691" s="143"/>
      <c r="BE691" s="143"/>
      <c r="BF691" s="143"/>
      <c r="BG691" s="143"/>
      <c r="BH691" s="143"/>
      <c r="BI691" s="143"/>
      <c r="BJ691" s="143"/>
      <c r="BK691" s="143"/>
      <c r="BL691" s="143"/>
      <c r="BM691" s="143"/>
      <c r="BN691" s="143"/>
      <c r="BO691" s="143"/>
      <c r="BP691" s="143"/>
      <c r="BQ691" s="143"/>
      <c r="BR691" s="143"/>
      <c r="BS691" s="143"/>
      <c r="BT691" s="143"/>
      <c r="BU691" s="143"/>
    </row>
    <row r="692" spans="1:73" s="73" customFormat="1" ht="15" customHeight="1">
      <c r="A692" s="170"/>
      <c r="B692" s="1210"/>
      <c r="C692" s="1635"/>
      <c r="D692" s="170"/>
      <c r="E692" s="89" t="str">
        <f>IF(I693="있음","3.0D","1.5D")</f>
        <v>3.0D</v>
      </c>
      <c r="F692" s="170"/>
      <c r="G692" s="1423" t="s">
        <v>324</v>
      </c>
      <c r="H692" s="170"/>
      <c r="I692" s="2103">
        <f>IF(I693="있음",3*AE260,1.5*AE260)</f>
        <v>8400</v>
      </c>
      <c r="J692" s="1870"/>
      <c r="K692" s="1870"/>
      <c r="L692" s="1425" t="s">
        <v>999</v>
      </c>
      <c r="M692" s="170"/>
      <c r="N692" s="170"/>
      <c r="O692" s="419"/>
      <c r="P692" s="170"/>
      <c r="Q692" s="73" t="s">
        <v>2462</v>
      </c>
      <c r="S692" s="1422" t="str">
        <f>+IF(I691&lt;=I692,"Stiffened web","Unstiffened web")</f>
        <v>Stiffened web</v>
      </c>
      <c r="U692" s="170"/>
      <c r="V692" s="170"/>
      <c r="AA692" s="170"/>
      <c r="AC692" s="143"/>
      <c r="AD692" s="1428"/>
      <c r="AF692" s="1428"/>
      <c r="AS692" s="1627"/>
      <c r="AT692" s="143"/>
      <c r="AU692" s="143"/>
      <c r="AV692" s="143"/>
      <c r="AW692" s="143"/>
      <c r="AX692" s="143"/>
      <c r="AY692" s="143"/>
      <c r="AZ692" s="143"/>
      <c r="BA692" s="143"/>
      <c r="BB692" s="143"/>
      <c r="BC692" s="143"/>
      <c r="BD692" s="143"/>
      <c r="BE692" s="143"/>
      <c r="BF692" s="143"/>
      <c r="BG692" s="143"/>
      <c r="BH692" s="143"/>
      <c r="BI692" s="143"/>
      <c r="BJ692" s="143"/>
      <c r="BK692" s="143"/>
      <c r="BL692" s="143"/>
      <c r="BM692" s="143"/>
      <c r="BN692" s="143"/>
      <c r="BO692" s="143"/>
      <c r="BP692" s="143"/>
      <c r="BQ692" s="143"/>
      <c r="BR692" s="143"/>
      <c r="BS692" s="143"/>
      <c r="BT692" s="143"/>
      <c r="BU692" s="143"/>
    </row>
    <row r="693" spans="1:73" s="73" customFormat="1" ht="15" customHeight="1">
      <c r="A693" s="170"/>
      <c r="B693" s="1448"/>
      <c r="C693" s="1636"/>
      <c r="D693" s="1333"/>
      <c r="E693" s="1512" t="s">
        <v>3000</v>
      </c>
      <c r="F693" s="1333"/>
      <c r="G693" s="1637" t="s">
        <v>324</v>
      </c>
      <c r="H693" s="1333"/>
      <c r="I693" s="1638" t="str">
        <f>IF(AE272&gt;0,"있음","없음")</f>
        <v>있음</v>
      </c>
      <c r="J693" s="1476"/>
      <c r="K693" s="1476"/>
      <c r="L693" s="1476"/>
      <c r="M693" s="1333"/>
      <c r="N693" s="1333"/>
      <c r="O693" s="740"/>
      <c r="P693" s="170"/>
      <c r="Q693" s="170"/>
      <c r="R693" s="170"/>
      <c r="S693" s="170"/>
      <c r="T693" s="170"/>
      <c r="U693" s="170"/>
      <c r="V693" s="170"/>
      <c r="W693" s="170"/>
      <c r="X693" s="170"/>
      <c r="Y693" s="1424"/>
      <c r="Z693" s="170"/>
      <c r="AA693" s="170"/>
      <c r="AC693" s="143"/>
      <c r="AD693" s="1428"/>
      <c r="AF693" s="1428"/>
      <c r="AS693" s="1627"/>
      <c r="AT693" s="143"/>
      <c r="AU693" s="143"/>
      <c r="AV693" s="143"/>
      <c r="AW693" s="143"/>
      <c r="AX693" s="143"/>
      <c r="AY693" s="143"/>
      <c r="AZ693" s="143"/>
      <c r="BA693" s="143"/>
      <c r="BB693" s="143"/>
      <c r="BC693" s="143"/>
      <c r="BD693" s="143"/>
      <c r="BE693" s="143"/>
      <c r="BF693" s="143"/>
      <c r="BG693" s="143"/>
      <c r="BH693" s="143"/>
      <c r="BI693" s="143"/>
      <c r="BJ693" s="143"/>
      <c r="BK693" s="143"/>
      <c r="BL693" s="143"/>
      <c r="BM693" s="143"/>
      <c r="BN693" s="143"/>
      <c r="BO693" s="143"/>
      <c r="BP693" s="143"/>
      <c r="BQ693" s="143"/>
      <c r="BR693" s="143"/>
      <c r="BS693" s="143"/>
      <c r="BT693" s="143"/>
      <c r="BU693" s="143"/>
    </row>
    <row r="694" spans="1:73" s="73" customFormat="1" ht="15" hidden="1" customHeight="1">
      <c r="A694" s="170"/>
      <c r="B694" s="170"/>
      <c r="C694" s="1635"/>
      <c r="D694" s="170" t="s">
        <v>2985</v>
      </c>
      <c r="E694" s="143" t="s">
        <v>425</v>
      </c>
      <c r="F694" s="170"/>
      <c r="G694" s="1423" t="s">
        <v>324</v>
      </c>
      <c r="H694" s="170"/>
      <c r="I694" s="2089">
        <v>5</v>
      </c>
      <c r="J694" s="2089"/>
      <c r="K694" s="1425"/>
      <c r="L694" s="1425"/>
      <c r="M694" s="170"/>
      <c r="N694" s="170"/>
      <c r="O694" s="170"/>
      <c r="P694" s="170"/>
      <c r="Q694" s="170"/>
      <c r="R694" s="170"/>
      <c r="S694" s="170"/>
      <c r="T694" s="170"/>
      <c r="U694" s="170"/>
      <c r="V694" s="170"/>
      <c r="W694" s="170"/>
      <c r="X694" s="170"/>
      <c r="Y694" s="1424"/>
      <c r="Z694" s="170"/>
      <c r="AA694" s="170"/>
      <c r="AC694" s="143"/>
      <c r="AD694" s="1428"/>
      <c r="AF694" s="1428"/>
      <c r="AS694" s="1628" t="str">
        <f>IF(S692="Stiffened web","Hide this row","")</f>
        <v>Hide this row</v>
      </c>
      <c r="AT694" s="143"/>
      <c r="AU694" s="143"/>
      <c r="AV694" s="143"/>
      <c r="AW694" s="143"/>
      <c r="AX694" s="143"/>
      <c r="AY694" s="143"/>
      <c r="AZ694" s="143"/>
      <c r="BA694" s="143"/>
      <c r="BB694" s="143"/>
      <c r="BC694" s="143"/>
      <c r="BD694" s="143"/>
      <c r="BE694" s="143"/>
      <c r="BF694" s="143"/>
      <c r="BG694" s="143"/>
      <c r="BH694" s="143"/>
      <c r="BI694" s="143"/>
      <c r="BJ694" s="143"/>
      <c r="BK694" s="143"/>
      <c r="BL694" s="143"/>
      <c r="BM694" s="143"/>
      <c r="BN694" s="143"/>
      <c r="BO694" s="143"/>
      <c r="BP694" s="143"/>
      <c r="BQ694" s="143"/>
      <c r="BR694" s="143"/>
      <c r="BS694" s="143"/>
      <c r="BT694" s="143"/>
      <c r="BU694" s="143"/>
    </row>
    <row r="695" spans="1:73" s="73" customFormat="1" ht="15" customHeight="1">
      <c r="A695" s="170"/>
      <c r="B695" s="143"/>
      <c r="C695" s="1505"/>
      <c r="D695" s="170" t="s">
        <v>2985</v>
      </c>
      <c r="E695" s="143" t="s">
        <v>2834</v>
      </c>
      <c r="F695" s="170"/>
      <c r="G695" s="1423" t="s">
        <v>2697</v>
      </c>
      <c r="H695" s="170"/>
      <c r="I695" s="170" t="s">
        <v>2886</v>
      </c>
      <c r="J695" s="170"/>
      <c r="K695" s="170"/>
      <c r="L695" s="1296"/>
      <c r="M695" s="170"/>
      <c r="N695" s="170"/>
      <c r="O695" s="124" t="s">
        <v>2697</v>
      </c>
      <c r="P695" s="170" t="s">
        <v>2888</v>
      </c>
      <c r="Q695" s="170"/>
      <c r="R695" s="170"/>
      <c r="S695" s="170"/>
      <c r="T695" s="2094">
        <f>+I691</f>
        <v>2500</v>
      </c>
      <c r="U695" s="1862"/>
      <c r="V695" s="1862"/>
      <c r="W695" s="124" t="s">
        <v>2699</v>
      </c>
      <c r="X695" s="2094">
        <f>+AE260</f>
        <v>2800</v>
      </c>
      <c r="Y695" s="1862"/>
      <c r="Z695" s="1862"/>
      <c r="AA695" s="124" t="s">
        <v>2836</v>
      </c>
      <c r="AC695" s="143"/>
      <c r="AD695" s="1309"/>
      <c r="AF695" s="1309"/>
      <c r="AS695" s="1628" t="str">
        <f>IF(S692&lt;&gt;"Stiffened web","Hide this row","")</f>
        <v/>
      </c>
      <c r="AT695" s="143"/>
      <c r="AU695" s="143"/>
      <c r="AV695" s="143"/>
      <c r="AW695" s="143"/>
      <c r="AX695" s="143"/>
      <c r="AY695" s="143"/>
      <c r="AZ695" s="143"/>
      <c r="BA695" s="143"/>
      <c r="BB695" s="143"/>
      <c r="BC695" s="143"/>
      <c r="BD695" s="143"/>
      <c r="BE695" s="143"/>
      <c r="BF695" s="143"/>
      <c r="BG695" s="143"/>
      <c r="BH695" s="143"/>
      <c r="BI695" s="143"/>
      <c r="BJ695" s="143"/>
      <c r="BK695" s="143"/>
      <c r="BL695" s="143"/>
      <c r="BM695" s="143"/>
      <c r="BN695" s="143"/>
      <c r="BO695" s="143"/>
      <c r="BP695" s="143"/>
      <c r="BQ695" s="143"/>
      <c r="BR695" s="143"/>
      <c r="BS695" s="143"/>
      <c r="BT695" s="143"/>
      <c r="BU695" s="143"/>
    </row>
    <row r="696" spans="1:73" s="73" customFormat="1" ht="15" customHeight="1">
      <c r="A696" s="170"/>
      <c r="B696" s="143"/>
      <c r="C696" s="1505"/>
      <c r="D696" s="170"/>
      <c r="E696" s="143"/>
      <c r="F696" s="170"/>
      <c r="G696" s="1423" t="s">
        <v>2697</v>
      </c>
      <c r="H696" s="170"/>
      <c r="I696" s="1862">
        <f>5+5/(T695/X695)^2</f>
        <v>11.271999999999998</v>
      </c>
      <c r="J696" s="1862"/>
      <c r="K696" s="1862"/>
      <c r="L696" s="1296"/>
      <c r="M696" s="170"/>
      <c r="N696" s="170"/>
      <c r="O696" s="124"/>
      <c r="P696" s="170"/>
      <c r="Q696" s="170"/>
      <c r="R696" s="170"/>
      <c r="S696" s="170"/>
      <c r="T696" s="1319"/>
      <c r="U696" s="1296"/>
      <c r="V696" s="1296"/>
      <c r="W696" s="124"/>
      <c r="X696" s="1319"/>
      <c r="Y696" s="1296"/>
      <c r="Z696" s="1296"/>
      <c r="AA696" s="124"/>
      <c r="AC696" s="143"/>
      <c r="AD696" s="1309"/>
      <c r="AF696" s="1309"/>
      <c r="AS696" s="1628" t="str">
        <f>IF(S692&lt;&gt;"Stiffened web","Hide this row","")</f>
        <v/>
      </c>
      <c r="AT696" s="143"/>
      <c r="AU696" s="143"/>
      <c r="AV696" s="143"/>
      <c r="AW696" s="143"/>
      <c r="AX696" s="143"/>
      <c r="AY696" s="143"/>
      <c r="AZ696" s="143"/>
      <c r="BA696" s="143"/>
      <c r="BB696" s="143"/>
      <c r="BC696" s="143"/>
      <c r="BD696" s="143"/>
      <c r="BE696" s="143"/>
      <c r="BF696" s="143"/>
      <c r="BG696" s="143"/>
      <c r="BH696" s="143"/>
      <c r="BI696" s="143"/>
      <c r="BJ696" s="143"/>
      <c r="BK696" s="143"/>
      <c r="BL696" s="143"/>
      <c r="BM696" s="143"/>
      <c r="BN696" s="143"/>
      <c r="BO696" s="143"/>
      <c r="BP696" s="143"/>
      <c r="BQ696" s="143"/>
      <c r="BR696" s="143"/>
      <c r="BS696" s="143"/>
      <c r="BT696" s="143"/>
      <c r="BU696" s="143"/>
    </row>
    <row r="697" spans="1:73" s="73" customFormat="1" ht="15" customHeight="1">
      <c r="A697" s="421"/>
      <c r="B697" s="93"/>
      <c r="C697" s="93"/>
      <c r="D697" s="1507"/>
      <c r="E697" s="1508" t="s">
        <v>2882</v>
      </c>
      <c r="F697" s="1507"/>
      <c r="G697" s="1509" t="s">
        <v>2697</v>
      </c>
      <c r="H697" s="1507"/>
      <c r="I697" s="1936">
        <f>+U644</f>
        <v>2821.7902119044925</v>
      </c>
      <c r="J697" s="1936"/>
      <c r="K697" s="1936"/>
      <c r="L697" s="1510" t="s">
        <v>2699</v>
      </c>
      <c r="M697" s="2112">
        <f>+O646</f>
        <v>12</v>
      </c>
      <c r="N697" s="1936"/>
      <c r="O697" s="94"/>
      <c r="P697" s="94"/>
      <c r="Q697" s="94"/>
      <c r="R697" s="94"/>
      <c r="S697" s="93"/>
      <c r="T697" s="93"/>
      <c r="U697" s="93"/>
      <c r="V697" s="93"/>
      <c r="W697" s="93"/>
      <c r="X697" s="93"/>
      <c r="Y697" s="1300"/>
      <c r="Z697" s="1022" t="s">
        <v>2697</v>
      </c>
      <c r="AA697" s="1936">
        <f>+I697/M697</f>
        <v>235.14918432537436</v>
      </c>
      <c r="AB697" s="1936"/>
      <c r="AC697" s="1936"/>
      <c r="AD697" s="1473"/>
      <c r="AF697" s="1309"/>
      <c r="AS697" s="1627"/>
      <c r="AT697" s="143"/>
      <c r="AU697" s="143"/>
      <c r="AV697" s="143"/>
      <c r="AW697" s="143"/>
      <c r="AX697" s="143"/>
      <c r="AY697" s="143"/>
      <c r="AZ697" s="143"/>
      <c r="BA697" s="143"/>
      <c r="BB697" s="143"/>
      <c r="BC697" s="143"/>
      <c r="BD697" s="143"/>
      <c r="BE697" s="143"/>
      <c r="BF697" s="143"/>
      <c r="BG697" s="143"/>
      <c r="BH697" s="143"/>
      <c r="BI697" s="143"/>
      <c r="BJ697" s="143"/>
      <c r="BK697" s="143"/>
      <c r="BL697" s="143"/>
      <c r="BM697" s="143"/>
      <c r="BN697" s="143"/>
      <c r="BO697" s="143"/>
      <c r="BP697" s="143"/>
      <c r="BQ697" s="143"/>
      <c r="BR697" s="143"/>
      <c r="BS697" s="143"/>
      <c r="BT697" s="143"/>
      <c r="BU697" s="143"/>
    </row>
    <row r="698" spans="1:73" s="73" customFormat="1" ht="15" customHeight="1">
      <c r="A698" s="1210"/>
      <c r="B698" s="170"/>
      <c r="C698" s="170"/>
      <c r="D698" s="169"/>
      <c r="E698" s="89" t="s">
        <v>2883</v>
      </c>
      <c r="F698" s="169"/>
      <c r="G698" s="1504" t="s">
        <v>2697</v>
      </c>
      <c r="H698" s="169"/>
      <c r="I698" s="170" t="s">
        <v>2884</v>
      </c>
      <c r="J698" s="170"/>
      <c r="K698" s="170"/>
      <c r="L698" s="1296"/>
      <c r="M698" s="2096">
        <f>+AE291</f>
        <v>210000</v>
      </c>
      <c r="N698" s="1862"/>
      <c r="O698" s="1862"/>
      <c r="P698" s="1862"/>
      <c r="Q698" s="124" t="s">
        <v>2686</v>
      </c>
      <c r="R698" s="1862">
        <f>IF(S692="Stiffened web",I696,I694)</f>
        <v>11.271999999999998</v>
      </c>
      <c r="S698" s="1862"/>
      <c r="T698" s="1862"/>
      <c r="U698" s="124" t="s">
        <v>2699</v>
      </c>
      <c r="V698" s="2093">
        <f>+AE296</f>
        <v>355</v>
      </c>
      <c r="W698" s="1862"/>
      <c r="X698" s="1862"/>
      <c r="Y698" s="1303" t="s">
        <v>2692</v>
      </c>
      <c r="Z698" s="124" t="s">
        <v>2697</v>
      </c>
      <c r="AA698" s="1862">
        <f>1.12*SQRT(M698*R698/V698)</f>
        <v>91.456375007855328</v>
      </c>
      <c r="AB698" s="1862"/>
      <c r="AC698" s="1862"/>
      <c r="AD698" s="1456"/>
      <c r="AF698" s="73" t="s">
        <v>2710</v>
      </c>
      <c r="AH698" s="1422" t="str">
        <f>+IF(AA697&lt;=AA698,"(1)",IF(AA697&lt;=AA699,"(2)","(3)"))</f>
        <v>(3)</v>
      </c>
      <c r="AJ698" s="73" t="s">
        <v>2719</v>
      </c>
      <c r="AS698" s="1627"/>
      <c r="AT698" s="143"/>
      <c r="AU698" s="143"/>
      <c r="AV698" s="143"/>
      <c r="AW698" s="143"/>
      <c r="AX698" s="143"/>
      <c r="AY698" s="143"/>
      <c r="AZ698" s="143"/>
      <c r="BA698" s="143"/>
      <c r="BB698" s="143"/>
      <c r="BC698" s="143"/>
      <c r="BD698" s="143"/>
      <c r="BE698" s="143"/>
      <c r="BF698" s="143"/>
      <c r="BG698" s="143"/>
      <c r="BH698" s="143"/>
      <c r="BI698" s="143"/>
      <c r="BJ698" s="143"/>
      <c r="BK698" s="143"/>
      <c r="BL698" s="143"/>
      <c r="BM698" s="143"/>
      <c r="BN698" s="143"/>
      <c r="BO698" s="143"/>
      <c r="BP698" s="143"/>
      <c r="BQ698" s="143"/>
      <c r="BR698" s="143"/>
      <c r="BS698" s="143"/>
      <c r="BT698" s="143"/>
      <c r="BU698" s="143"/>
    </row>
    <row r="699" spans="1:73" s="73" customFormat="1" ht="15" customHeight="1">
      <c r="A699" s="1448"/>
      <c r="B699" s="1333"/>
      <c r="C699" s="1333"/>
      <c r="D699" s="1511"/>
      <c r="E699" s="1512" t="s">
        <v>2889</v>
      </c>
      <c r="F699" s="1511"/>
      <c r="G699" s="1513" t="s">
        <v>2697</v>
      </c>
      <c r="H699" s="1511"/>
      <c r="I699" s="1333" t="s">
        <v>2890</v>
      </c>
      <c r="J699" s="1333"/>
      <c r="K699" s="1333"/>
      <c r="L699" s="1334"/>
      <c r="M699" s="2104">
        <f>+M698</f>
        <v>210000</v>
      </c>
      <c r="N699" s="2090"/>
      <c r="O699" s="2090"/>
      <c r="P699" s="2090"/>
      <c r="Q699" s="1335" t="s">
        <v>2686</v>
      </c>
      <c r="R699" s="2090">
        <f>IF(S692="Stiffened web",I696,I694)</f>
        <v>11.271999999999998</v>
      </c>
      <c r="S699" s="2090"/>
      <c r="T699" s="2090"/>
      <c r="U699" s="1335" t="s">
        <v>2699</v>
      </c>
      <c r="V699" s="2105">
        <f>+V698</f>
        <v>355</v>
      </c>
      <c r="W699" s="2090"/>
      <c r="X699" s="2090"/>
      <c r="Y699" s="1480" t="s">
        <v>2692</v>
      </c>
      <c r="Z699" s="1335" t="s">
        <v>2697</v>
      </c>
      <c r="AA699" s="2090">
        <f>1.4*SQRT(M699*R699/V699)</f>
        <v>114.32046875981914</v>
      </c>
      <c r="AB699" s="2090"/>
      <c r="AC699" s="2090"/>
      <c r="AD699" s="1459"/>
      <c r="AF699" s="1309"/>
      <c r="AS699" s="1627"/>
      <c r="AT699" s="143"/>
      <c r="AU699" s="143"/>
      <c r="AV699" s="143"/>
      <c r="AW699" s="143"/>
      <c r="AX699" s="143"/>
      <c r="AY699" s="143"/>
      <c r="AZ699" s="143"/>
      <c r="BA699" s="143"/>
      <c r="BB699" s="143"/>
      <c r="BC699" s="143"/>
      <c r="BD699" s="143"/>
      <c r="BE699" s="143"/>
      <c r="BF699" s="143"/>
      <c r="BG699" s="143"/>
      <c r="BH699" s="143"/>
      <c r="BI699" s="143"/>
      <c r="BJ699" s="143"/>
      <c r="BK699" s="143"/>
      <c r="BL699" s="143"/>
      <c r="BM699" s="143"/>
      <c r="BN699" s="143"/>
      <c r="BO699" s="143"/>
      <c r="BP699" s="143"/>
      <c r="BQ699" s="143"/>
      <c r="BR699" s="143"/>
      <c r="BS699" s="143"/>
      <c r="BT699" s="143"/>
      <c r="BU699" s="143"/>
    </row>
    <row r="700" spans="1:73" s="73" customFormat="1" ht="15" customHeight="1">
      <c r="A700" s="170"/>
      <c r="B700" s="170"/>
      <c r="C700" s="170"/>
      <c r="D700" s="169"/>
      <c r="E700" s="89"/>
      <c r="F700" s="169"/>
      <c r="G700" s="1504"/>
      <c r="H700" s="169"/>
      <c r="I700" s="170"/>
      <c r="J700" s="170"/>
      <c r="K700" s="170"/>
      <c r="L700" s="1296"/>
      <c r="M700" s="1320"/>
      <c r="N700" s="1296"/>
      <c r="O700" s="1296"/>
      <c r="P700" s="1296"/>
      <c r="Q700" s="124"/>
      <c r="R700" s="1296"/>
      <c r="S700" s="1296"/>
      <c r="T700" s="1296"/>
      <c r="U700" s="124"/>
      <c r="V700" s="1313"/>
      <c r="W700" s="1296"/>
      <c r="X700" s="1296"/>
      <c r="Y700" s="1303"/>
      <c r="Z700" s="124"/>
      <c r="AA700" s="1296"/>
      <c r="AB700" s="1296"/>
      <c r="AC700" s="1296"/>
      <c r="AD700" s="1325"/>
      <c r="AF700" s="1309"/>
      <c r="AS700" s="1627"/>
      <c r="AT700" s="143"/>
      <c r="AU700" s="143"/>
      <c r="AV700" s="143"/>
      <c r="AW700" s="143"/>
      <c r="AX700" s="143"/>
      <c r="AY700" s="143"/>
      <c r="AZ700" s="143"/>
      <c r="BA700" s="143"/>
      <c r="BB700" s="143"/>
      <c r="BC700" s="143"/>
      <c r="BD700" s="143"/>
      <c r="BE700" s="143"/>
      <c r="BF700" s="143"/>
      <c r="BG700" s="143"/>
      <c r="BH700" s="143"/>
      <c r="BI700" s="143"/>
      <c r="BJ700" s="143"/>
      <c r="BK700" s="143"/>
      <c r="BL700" s="143"/>
      <c r="BM700" s="143"/>
      <c r="BN700" s="143"/>
      <c r="BO700" s="143"/>
      <c r="BP700" s="143"/>
      <c r="BQ700" s="143"/>
      <c r="BR700" s="143"/>
      <c r="BS700" s="143"/>
      <c r="BT700" s="143"/>
      <c r="BU700" s="143"/>
    </row>
    <row r="701" spans="1:73" s="73" customFormat="1" ht="15" hidden="1" customHeight="1">
      <c r="A701" s="143"/>
      <c r="B701" s="143"/>
      <c r="C701" s="143"/>
      <c r="D701" s="449" t="s">
        <v>2710</v>
      </c>
      <c r="E701" s="122" t="s">
        <v>2891</v>
      </c>
      <c r="F701" s="136"/>
      <c r="G701" s="1504" t="s">
        <v>2697</v>
      </c>
      <c r="H701" s="136"/>
      <c r="I701" s="2107">
        <v>1</v>
      </c>
      <c r="J701" s="2107"/>
      <c r="K701" s="170"/>
      <c r="L701" s="1302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302"/>
      <c r="Z701" s="143"/>
      <c r="AA701" s="143"/>
      <c r="AC701" s="143"/>
      <c r="AD701" s="1309"/>
      <c r="AF701" s="1309"/>
      <c r="AS701" s="1628" t="str">
        <f>IF(AH698&lt;&gt;"(1)","Hide this row","")</f>
        <v>Hide this row</v>
      </c>
      <c r="AT701" s="143"/>
      <c r="AU701" s="143"/>
      <c r="AV701" s="143"/>
      <c r="AW701" s="143"/>
      <c r="AX701" s="143"/>
      <c r="AY701" s="143"/>
      <c r="AZ701" s="143"/>
      <c r="BA701" s="143"/>
      <c r="BB701" s="143"/>
      <c r="BC701" s="143"/>
      <c r="BD701" s="143"/>
      <c r="BE701" s="143"/>
      <c r="BF701" s="143"/>
      <c r="BG701" s="143"/>
      <c r="BH701" s="143"/>
      <c r="BI701" s="143"/>
      <c r="BJ701" s="143"/>
      <c r="BK701" s="143"/>
      <c r="BL701" s="143"/>
      <c r="BM701" s="143"/>
      <c r="BN701" s="143"/>
      <c r="BO701" s="143"/>
      <c r="BP701" s="143"/>
      <c r="BQ701" s="143"/>
      <c r="BR701" s="143"/>
      <c r="BS701" s="143"/>
      <c r="BT701" s="143"/>
      <c r="BU701" s="143"/>
    </row>
    <row r="702" spans="1:73" s="73" customFormat="1" ht="15" hidden="1" customHeight="1">
      <c r="A702" s="143"/>
      <c r="B702" s="143"/>
      <c r="C702" s="143"/>
      <c r="D702" s="449" t="s">
        <v>2710</v>
      </c>
      <c r="E702" s="122" t="s">
        <v>2891</v>
      </c>
      <c r="F702" s="136"/>
      <c r="G702" s="1504" t="s">
        <v>2697</v>
      </c>
      <c r="H702" s="136"/>
      <c r="I702" s="58" t="s">
        <v>2892</v>
      </c>
      <c r="J702" s="58"/>
      <c r="K702" s="170"/>
      <c r="L702" s="1938">
        <f>+I697</f>
        <v>2821.7902119044925</v>
      </c>
      <c r="M702" s="1938"/>
      <c r="N702" s="1938"/>
      <c r="O702" s="138" t="s">
        <v>2699</v>
      </c>
      <c r="P702" s="2092">
        <f>+M697</f>
        <v>12</v>
      </c>
      <c r="Q702" s="1938"/>
      <c r="R702" s="138" t="s">
        <v>2893</v>
      </c>
      <c r="S702" s="143"/>
      <c r="T702" s="2096">
        <f>+M698</f>
        <v>210000</v>
      </c>
      <c r="U702" s="1862"/>
      <c r="V702" s="1862"/>
      <c r="W702" s="1862"/>
      <c r="X702" s="124" t="s">
        <v>2686</v>
      </c>
      <c r="Y702" s="1862">
        <f>+R698</f>
        <v>11.271999999999998</v>
      </c>
      <c r="Z702" s="1862"/>
      <c r="AA702" s="1862"/>
      <c r="AB702" s="124" t="s">
        <v>2699</v>
      </c>
      <c r="AC702" s="2093">
        <f>+V698</f>
        <v>355</v>
      </c>
      <c r="AD702" s="1862"/>
      <c r="AE702" s="1862"/>
      <c r="AF702" s="1303" t="s">
        <v>2692</v>
      </c>
      <c r="AS702" s="1628" t="str">
        <f>IF(AH698&lt;&gt;"(2)","Hide this row","")</f>
        <v>Hide this row</v>
      </c>
      <c r="AT702" s="143"/>
      <c r="AU702" s="143"/>
      <c r="AV702" s="143"/>
      <c r="AW702" s="143"/>
      <c r="AX702" s="143"/>
      <c r="AY702" s="143"/>
      <c r="AZ702" s="143"/>
      <c r="BA702" s="143"/>
      <c r="BB702" s="143"/>
      <c r="BC702" s="143"/>
      <c r="BD702" s="143"/>
      <c r="BE702" s="143"/>
      <c r="BF702" s="143"/>
      <c r="BG702" s="143"/>
      <c r="BH702" s="143"/>
      <c r="BI702" s="143"/>
      <c r="BJ702" s="143"/>
      <c r="BK702" s="143"/>
      <c r="BL702" s="143"/>
      <c r="BM702" s="143"/>
      <c r="BN702" s="143"/>
      <c r="BO702" s="143"/>
      <c r="BP702" s="143"/>
      <c r="BQ702" s="143"/>
      <c r="BR702" s="143"/>
      <c r="BS702" s="143"/>
      <c r="BT702" s="143"/>
      <c r="BU702" s="143"/>
    </row>
    <row r="703" spans="1:73" s="73" customFormat="1" ht="15" hidden="1" customHeight="1">
      <c r="A703" s="143"/>
      <c r="B703" s="143"/>
      <c r="C703" s="143"/>
      <c r="D703" s="136"/>
      <c r="E703" s="147"/>
      <c r="F703" s="136"/>
      <c r="G703" s="124" t="s">
        <v>2697</v>
      </c>
      <c r="H703" s="136"/>
      <c r="I703" s="2091">
        <f>+AA698/AA697</f>
        <v>0.38892916116310128</v>
      </c>
      <c r="J703" s="2091"/>
      <c r="K703" s="2091"/>
      <c r="L703" s="693"/>
      <c r="M703" s="143"/>
      <c r="N703" s="143"/>
      <c r="R703" s="143"/>
      <c r="S703" s="143"/>
      <c r="T703" s="143"/>
      <c r="U703" s="143"/>
      <c r="V703" s="143"/>
      <c r="W703" s="143"/>
      <c r="X703" s="143"/>
      <c r="Y703" s="1302"/>
      <c r="Z703" s="143"/>
      <c r="AA703" s="143"/>
      <c r="AC703" s="143"/>
      <c r="AD703" s="1309"/>
      <c r="AF703" s="1309"/>
      <c r="AS703" s="1628" t="str">
        <f>IF(AH698&lt;&gt;"(2)","Hide this row","")</f>
        <v>Hide this row</v>
      </c>
      <c r="AT703" s="143"/>
      <c r="AU703" s="143"/>
      <c r="AV703" s="143"/>
      <c r="AW703" s="143"/>
      <c r="AX703" s="143"/>
      <c r="AY703" s="143"/>
      <c r="AZ703" s="143"/>
      <c r="BA703" s="143"/>
      <c r="BB703" s="143"/>
      <c r="BC703" s="143"/>
      <c r="BD703" s="143"/>
      <c r="BE703" s="143"/>
      <c r="BF703" s="143"/>
      <c r="BG703" s="143"/>
      <c r="BH703" s="143"/>
      <c r="BI703" s="143"/>
      <c r="BJ703" s="143"/>
      <c r="BK703" s="143"/>
      <c r="BL703" s="143"/>
      <c r="BM703" s="143"/>
      <c r="BN703" s="143"/>
      <c r="BO703" s="143"/>
      <c r="BP703" s="143"/>
      <c r="BQ703" s="143"/>
      <c r="BR703" s="143"/>
      <c r="BS703" s="143"/>
      <c r="BT703" s="143"/>
      <c r="BU703" s="143"/>
    </row>
    <row r="704" spans="1:73" s="73" customFormat="1" ht="15" customHeight="1">
      <c r="A704" s="143"/>
      <c r="B704" s="143"/>
      <c r="C704" s="143"/>
      <c r="D704" s="449" t="s">
        <v>2710</v>
      </c>
      <c r="E704" s="122" t="s">
        <v>2891</v>
      </c>
      <c r="F704" s="136"/>
      <c r="G704" s="1504" t="s">
        <v>2697</v>
      </c>
      <c r="H704" s="136"/>
      <c r="I704" s="58" t="s">
        <v>2894</v>
      </c>
      <c r="J704" s="58"/>
      <c r="L704" s="2096">
        <f>+T702</f>
        <v>210000</v>
      </c>
      <c r="M704" s="1862"/>
      <c r="N704" s="1862"/>
      <c r="O704" s="1862"/>
      <c r="P704" s="124" t="s">
        <v>2686</v>
      </c>
      <c r="Q704" s="1862">
        <f>+Y702</f>
        <v>11.271999999999998</v>
      </c>
      <c r="R704" s="1862"/>
      <c r="S704" s="1862"/>
      <c r="T704" s="124" t="s">
        <v>2699</v>
      </c>
      <c r="U704" s="2093">
        <f>+AC702</f>
        <v>355</v>
      </c>
      <c r="V704" s="1862"/>
      <c r="W704" s="1862"/>
      <c r="X704" s="76" t="s">
        <v>2895</v>
      </c>
      <c r="Z704" s="1938">
        <f>+L702</f>
        <v>2821.7902119044925</v>
      </c>
      <c r="AA704" s="1938"/>
      <c r="AB704" s="1938"/>
      <c r="AC704" s="138" t="s">
        <v>2699</v>
      </c>
      <c r="AD704" s="2092">
        <f>+P702</f>
        <v>12</v>
      </c>
      <c r="AE704" s="1938"/>
      <c r="AF704" s="138" t="s">
        <v>2836</v>
      </c>
      <c r="AS704" s="1628" t="str">
        <f>IF(AH698&lt;&gt;"(3)","Hide this row","")</f>
        <v/>
      </c>
      <c r="AT704" s="143"/>
      <c r="AU704" s="143"/>
      <c r="AV704" s="143"/>
      <c r="AW704" s="143"/>
      <c r="AX704" s="143"/>
      <c r="AY704" s="143"/>
      <c r="AZ704" s="143"/>
      <c r="BA704" s="143"/>
      <c r="BB704" s="143"/>
      <c r="BC704" s="143"/>
      <c r="BD704" s="143"/>
      <c r="BE704" s="143"/>
      <c r="BF704" s="143"/>
      <c r="BG704" s="143"/>
      <c r="BH704" s="143"/>
      <c r="BI704" s="143"/>
      <c r="BJ704" s="143"/>
      <c r="BK704" s="143"/>
      <c r="BL704" s="143"/>
      <c r="BM704" s="143"/>
      <c r="BN704" s="143"/>
      <c r="BO704" s="143"/>
      <c r="BP704" s="143"/>
      <c r="BQ704" s="143"/>
      <c r="BR704" s="143"/>
      <c r="BS704" s="143"/>
      <c r="BT704" s="143"/>
      <c r="BU704" s="143"/>
    </row>
    <row r="705" spans="1:73" s="73" customFormat="1" ht="15" customHeight="1">
      <c r="A705" s="143"/>
      <c r="B705" s="143"/>
      <c r="C705" s="143"/>
      <c r="D705" s="136"/>
      <c r="E705" s="147"/>
      <c r="F705" s="136"/>
      <c r="G705" s="124" t="s">
        <v>2697</v>
      </c>
      <c r="H705" s="136"/>
      <c r="I705" s="2091">
        <f>1.57*(L704*Q704/U704)/AA697^2</f>
        <v>0.18932354199040394</v>
      </c>
      <c r="J705" s="2091"/>
      <c r="K705" s="2091"/>
      <c r="L705" s="693"/>
      <c r="M705" s="143"/>
      <c r="N705" s="143"/>
      <c r="AD705" s="1309"/>
      <c r="AF705" s="1309"/>
      <c r="AS705" s="1628" t="str">
        <f>IF(AH698&lt;&gt;"(3)","Hide this row","")</f>
        <v/>
      </c>
      <c r="AT705" s="143"/>
      <c r="AU705" s="143"/>
      <c r="AV705" s="143"/>
      <c r="AW705" s="143"/>
      <c r="AX705" s="143"/>
      <c r="AY705" s="143"/>
      <c r="AZ705" s="143"/>
      <c r="BA705" s="143"/>
      <c r="BB705" s="143"/>
      <c r="BC705" s="143"/>
      <c r="BD705" s="143"/>
      <c r="BE705" s="143"/>
      <c r="BF705" s="143"/>
      <c r="BG705" s="143"/>
      <c r="BH705" s="143"/>
      <c r="BI705" s="143"/>
      <c r="BJ705" s="143"/>
      <c r="BK705" s="143"/>
      <c r="BL705" s="143"/>
      <c r="BM705" s="143"/>
      <c r="BN705" s="143"/>
      <c r="BO705" s="143"/>
      <c r="BP705" s="143"/>
      <c r="BQ705" s="143"/>
      <c r="BR705" s="143"/>
      <c r="BS705" s="143"/>
      <c r="BT705" s="143"/>
      <c r="BU705" s="143"/>
    </row>
    <row r="706" spans="1:73" s="73" customFormat="1" ht="15" customHeight="1">
      <c r="A706" s="143"/>
      <c r="B706" s="143"/>
      <c r="C706" s="143"/>
      <c r="D706" s="136"/>
      <c r="E706" s="147"/>
      <c r="F706" s="136"/>
      <c r="G706" s="124"/>
      <c r="H706" s="136"/>
      <c r="I706" s="1515"/>
      <c r="J706" s="1515"/>
      <c r="K706" s="1515"/>
      <c r="L706" s="693"/>
      <c r="M706" s="143"/>
      <c r="N706" s="143"/>
      <c r="AD706" s="1309"/>
      <c r="AF706" s="1309"/>
      <c r="AS706" s="1627"/>
      <c r="AT706" s="143"/>
      <c r="AU706" s="143"/>
      <c r="AV706" s="143"/>
      <c r="AW706" s="143"/>
      <c r="AX706" s="143"/>
      <c r="AY706" s="143"/>
      <c r="AZ706" s="143"/>
      <c r="BA706" s="143"/>
      <c r="BB706" s="143"/>
      <c r="BC706" s="143"/>
      <c r="BD706" s="143"/>
      <c r="BE706" s="143"/>
      <c r="BF706" s="143"/>
      <c r="BG706" s="143"/>
      <c r="BH706" s="143"/>
      <c r="BI706" s="143"/>
      <c r="BJ706" s="143"/>
      <c r="BK706" s="143"/>
      <c r="BL706" s="143"/>
      <c r="BM706" s="143"/>
      <c r="BN706" s="143"/>
      <c r="BO706" s="143"/>
      <c r="BP706" s="143"/>
      <c r="BQ706" s="143"/>
      <c r="BR706" s="143"/>
      <c r="BS706" s="143"/>
      <c r="BT706" s="143"/>
      <c r="BU706" s="143"/>
    </row>
    <row r="707" spans="1:73" s="73" customFormat="1" ht="15" customHeight="1">
      <c r="A707" s="143"/>
      <c r="B707" s="143"/>
      <c r="C707" s="143"/>
      <c r="D707" s="449" t="s">
        <v>2731</v>
      </c>
      <c r="E707" s="170" t="s">
        <v>898</v>
      </c>
      <c r="F707" s="136"/>
      <c r="G707" s="1504" t="s">
        <v>2697</v>
      </c>
      <c r="H707" s="136"/>
      <c r="I707" s="2095">
        <f>+IF(AA697&lt;=AA698,I701,IF(AA697&lt;=AA699,I703,I705))</f>
        <v>0.18932354199040394</v>
      </c>
      <c r="J707" s="2095"/>
      <c r="K707" s="2095"/>
      <c r="L707" s="1516" t="s">
        <v>2686</v>
      </c>
      <c r="M707" s="1938">
        <f>+I672</f>
        <v>6972.0792555736189</v>
      </c>
      <c r="N707" s="1938"/>
      <c r="O707" s="1938"/>
      <c r="AD707" s="1309"/>
      <c r="AF707" s="1309"/>
      <c r="AS707" s="1627"/>
      <c r="AT707" s="143"/>
      <c r="AU707" s="143"/>
      <c r="AV707" s="143"/>
      <c r="AW707" s="143"/>
      <c r="AX707" s="143"/>
      <c r="AY707" s="143"/>
      <c r="AZ707" s="143"/>
      <c r="BA707" s="143"/>
      <c r="BB707" s="143"/>
      <c r="BC707" s="143"/>
      <c r="BD707" s="143"/>
      <c r="BE707" s="143"/>
      <c r="BF707" s="143"/>
      <c r="BG707" s="143"/>
      <c r="BH707" s="143"/>
      <c r="BI707" s="143"/>
      <c r="BJ707" s="143"/>
      <c r="BK707" s="143"/>
      <c r="BL707" s="143"/>
      <c r="BM707" s="143"/>
      <c r="BN707" s="143"/>
      <c r="BO707" s="143"/>
      <c r="BP707" s="143"/>
      <c r="BQ707" s="143"/>
      <c r="BR707" s="143"/>
      <c r="BS707" s="143"/>
      <c r="BT707" s="143"/>
      <c r="BU707" s="143"/>
    </row>
    <row r="708" spans="1:73" s="73" customFormat="1" ht="15" customHeight="1" thickBot="1">
      <c r="A708" s="143"/>
      <c r="B708" s="143"/>
      <c r="C708" s="143"/>
      <c r="D708" s="1517"/>
      <c r="E708" s="321" t="s">
        <v>898</v>
      </c>
      <c r="F708" s="1518"/>
      <c r="G708" s="1519" t="s">
        <v>2697</v>
      </c>
      <c r="H708" s="1518"/>
      <c r="I708" s="2081">
        <f>+I707*M707</f>
        <v>1319.9787397030163</v>
      </c>
      <c r="J708" s="2081"/>
      <c r="K708" s="2081"/>
      <c r="L708" s="2081"/>
      <c r="M708" s="1520" t="s">
        <v>2873</v>
      </c>
      <c r="N708" s="404"/>
      <c r="O708" s="1302"/>
      <c r="AD708" s="1309"/>
      <c r="AF708" s="1309"/>
      <c r="AS708" s="1627"/>
      <c r="AT708" s="143"/>
      <c r="AU708" s="143"/>
      <c r="AV708" s="143"/>
      <c r="AW708" s="143"/>
      <c r="AX708" s="143"/>
      <c r="AY708" s="143"/>
      <c r="AZ708" s="143"/>
      <c r="BA708" s="143"/>
      <c r="BB708" s="143"/>
      <c r="BC708" s="143"/>
      <c r="BD708" s="143"/>
      <c r="BE708" s="143"/>
      <c r="BF708" s="143"/>
      <c r="BG708" s="143"/>
      <c r="BH708" s="143"/>
      <c r="BI708" s="143"/>
      <c r="BJ708" s="143"/>
      <c r="BK708" s="143"/>
      <c r="BL708" s="143"/>
      <c r="BM708" s="143"/>
      <c r="BN708" s="143"/>
      <c r="BO708" s="143"/>
      <c r="BP708" s="143"/>
      <c r="BQ708" s="143"/>
      <c r="BR708" s="143"/>
      <c r="BS708" s="143"/>
      <c r="BT708" s="143"/>
      <c r="BU708" s="143"/>
    </row>
    <row r="709" spans="1:73" s="73" customFormat="1" ht="15" customHeight="1" thickBot="1">
      <c r="A709" s="143"/>
      <c r="B709" s="143"/>
      <c r="C709" s="143"/>
      <c r="D709" s="1521"/>
      <c r="E709" s="170"/>
      <c r="F709" s="169"/>
      <c r="G709" s="1504"/>
      <c r="H709" s="169"/>
      <c r="I709" s="1522"/>
      <c r="J709" s="1522"/>
      <c r="K709" s="1522"/>
      <c r="L709" s="1522"/>
      <c r="M709" s="1516"/>
      <c r="N709" s="1296"/>
      <c r="O709" s="1302"/>
      <c r="AD709" s="1309"/>
      <c r="AF709" s="1309"/>
      <c r="AS709" s="1627"/>
      <c r="AT709" s="143"/>
      <c r="AU709" s="143"/>
      <c r="AV709" s="143"/>
      <c r="AW709" s="143"/>
      <c r="AX709" s="143"/>
      <c r="AY709" s="143"/>
      <c r="AZ709" s="143"/>
      <c r="BA709" s="143"/>
      <c r="BB709" s="143"/>
      <c r="BC709" s="143"/>
      <c r="BD709" s="143"/>
      <c r="BE709" s="143"/>
      <c r="BF709" s="143"/>
      <c r="BG709" s="143"/>
      <c r="BH709" s="143"/>
      <c r="BI709" s="143"/>
      <c r="BJ709" s="143"/>
      <c r="BK709" s="143"/>
      <c r="BL709" s="143"/>
      <c r="BM709" s="143"/>
      <c r="BN709" s="143"/>
      <c r="BO709" s="143"/>
      <c r="BP709" s="143"/>
      <c r="BQ709" s="143"/>
      <c r="BR709" s="143"/>
      <c r="BS709" s="143"/>
      <c r="BT709" s="143"/>
      <c r="BU709" s="143"/>
    </row>
    <row r="710" spans="1:73" ht="15" customHeight="1">
      <c r="A710" s="170"/>
      <c r="B710" s="170"/>
      <c r="D710" s="124"/>
      <c r="F710" s="1275"/>
      <c r="G710" s="36"/>
      <c r="H710" s="1276" t="s">
        <v>2898</v>
      </c>
      <c r="I710" s="224"/>
      <c r="J710" s="36"/>
      <c r="K710" s="36"/>
      <c r="L710" s="36"/>
      <c r="M710" s="36"/>
      <c r="N710" s="36"/>
      <c r="O710" s="36"/>
      <c r="P710" s="36"/>
      <c r="Q710" s="36"/>
      <c r="R710" s="36"/>
      <c r="S710" s="1294"/>
      <c r="T710" s="1295"/>
      <c r="U710" s="36"/>
      <c r="V710" s="36"/>
      <c r="W710" s="36"/>
      <c r="X710" s="36"/>
      <c r="Y710" s="1294"/>
      <c r="Z710" s="36"/>
      <c r="AA710" s="224"/>
      <c r="AB710" s="224"/>
      <c r="AC710" s="224"/>
      <c r="AD710" s="224"/>
      <c r="AE710" s="224"/>
      <c r="AF710" s="224"/>
      <c r="AG710" s="36"/>
      <c r="AH710" s="224"/>
      <c r="AI710" s="36"/>
      <c r="AJ710" s="36"/>
      <c r="AK710" s="36"/>
      <c r="AL710" s="43"/>
    </row>
    <row r="711" spans="1:73" ht="20.100000000000001" customHeight="1">
      <c r="A711" s="206"/>
      <c r="B711" s="170"/>
      <c r="F711" s="1277"/>
      <c r="G711" s="9"/>
      <c r="H711" s="9"/>
      <c r="I711" s="9"/>
      <c r="J711" s="9"/>
      <c r="K711" s="33" t="s">
        <v>2870</v>
      </c>
      <c r="L711" s="9"/>
      <c r="M711" s="9"/>
      <c r="N711" s="33" t="s">
        <v>2592</v>
      </c>
      <c r="O711" s="9"/>
      <c r="P711" s="9"/>
      <c r="Q711" s="1523" t="s">
        <v>3002</v>
      </c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33" t="s">
        <v>2509</v>
      </c>
      <c r="AI711" s="196"/>
      <c r="AJ711" s="2082" t="str">
        <f>+IF(Q712&lt;=Q713,"OK","NG")</f>
        <v>OK</v>
      </c>
      <c r="AK711" s="2082"/>
      <c r="AL711" s="2083"/>
      <c r="AM711" s="143"/>
      <c r="AN711" s="143"/>
      <c r="AO711" s="143"/>
      <c r="AP711" s="143"/>
      <c r="AQ711" s="143"/>
      <c r="AR711" s="143"/>
    </row>
    <row r="712" spans="1:73" ht="20.100000000000001" customHeight="1">
      <c r="A712" s="206"/>
      <c r="B712" s="170"/>
      <c r="F712" s="1277"/>
      <c r="G712" s="9"/>
      <c r="H712" s="9"/>
      <c r="I712" s="9"/>
      <c r="J712" s="9"/>
      <c r="K712" s="9" t="s">
        <v>423</v>
      </c>
      <c r="L712" s="9"/>
      <c r="M712" s="9"/>
      <c r="N712" s="31" t="s">
        <v>2697</v>
      </c>
      <c r="O712" s="9"/>
      <c r="P712" s="9"/>
      <c r="Q712" s="2084">
        <f>+ABS(I667)</f>
        <v>23.676583496761133</v>
      </c>
      <c r="R712" s="2085"/>
      <c r="S712" s="2085"/>
      <c r="T712" s="1485" t="s">
        <v>1005</v>
      </c>
      <c r="U712" s="9"/>
      <c r="V712" s="9"/>
      <c r="W712" s="9"/>
      <c r="X712" s="31"/>
      <c r="Y712" s="1495"/>
      <c r="Z712" s="1495"/>
      <c r="AA712" s="1495"/>
      <c r="AB712" s="9"/>
      <c r="AC712" s="9"/>
      <c r="AD712" s="9"/>
      <c r="AE712" s="9"/>
      <c r="AF712" s="9"/>
      <c r="AG712" s="1487" t="s">
        <v>2510</v>
      </c>
      <c r="AH712" s="196"/>
      <c r="AI712" s="9"/>
      <c r="AJ712" s="2086">
        <f>Q713/Q712</f>
        <v>55.750388981737352</v>
      </c>
      <c r="AK712" s="2086"/>
      <c r="AL712" s="2087"/>
      <c r="AM712" s="143"/>
      <c r="AN712" s="143"/>
      <c r="AO712" s="143"/>
      <c r="AP712" s="143"/>
      <c r="AQ712" s="143"/>
      <c r="AR712" s="143"/>
    </row>
    <row r="713" spans="1:73" ht="20.100000000000001" customHeight="1" thickBot="1">
      <c r="A713" s="170"/>
      <c r="F713" s="40"/>
      <c r="G713" s="41"/>
      <c r="H713" s="41"/>
      <c r="I713" s="41"/>
      <c r="J713" s="1524" t="s">
        <v>3003</v>
      </c>
      <c r="K713" s="1486"/>
      <c r="L713" s="41"/>
      <c r="M713" s="41"/>
      <c r="N713" s="1292" t="s">
        <v>2697</v>
      </c>
      <c r="O713" s="41"/>
      <c r="P713" s="1293"/>
      <c r="Q713" s="2088">
        <f>+I708</f>
        <v>1319.9787397030163</v>
      </c>
      <c r="R713" s="2088"/>
      <c r="S713" s="2088"/>
      <c r="T713" s="1278" t="s">
        <v>1005</v>
      </c>
      <c r="U713" s="1492"/>
      <c r="V713" s="1489"/>
      <c r="W713" s="1489"/>
      <c r="X713" s="1292"/>
      <c r="Y713" s="1489"/>
      <c r="Z713" s="1489"/>
      <c r="AA713" s="1489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5"/>
      <c r="AM713" s="143"/>
      <c r="AN713" s="143"/>
      <c r="AO713" s="143"/>
      <c r="AP713" s="143"/>
      <c r="AQ713" s="143"/>
      <c r="AR713" s="143"/>
    </row>
    <row r="714" spans="1:73" s="73" customFormat="1" ht="15" customHeight="1">
      <c r="A714" s="143"/>
      <c r="B714" s="143"/>
      <c r="C714" s="143"/>
      <c r="D714" s="136"/>
      <c r="E714" s="147"/>
      <c r="F714" s="136"/>
      <c r="G714" s="124"/>
      <c r="H714" s="136"/>
      <c r="I714" s="1515"/>
      <c r="J714" s="1515"/>
      <c r="K714" s="1515"/>
      <c r="L714" s="693"/>
      <c r="M714" s="143"/>
      <c r="N714" s="143"/>
      <c r="AD714" s="1309"/>
      <c r="AF714" s="1309"/>
      <c r="AS714" s="1627"/>
      <c r="AT714" s="143"/>
      <c r="AU714" s="143"/>
      <c r="AV714" s="143"/>
      <c r="AW714" s="143"/>
      <c r="AX714" s="143"/>
      <c r="AY714" s="143"/>
      <c r="AZ714" s="143"/>
      <c r="BA714" s="143"/>
      <c r="BB714" s="143"/>
      <c r="BC714" s="143"/>
      <c r="BD714" s="143"/>
      <c r="BE714" s="143"/>
      <c r="BF714" s="143"/>
      <c r="BG714" s="143"/>
      <c r="BH714" s="143"/>
      <c r="BI714" s="143"/>
      <c r="BJ714" s="143"/>
      <c r="BK714" s="143"/>
      <c r="BL714" s="143"/>
      <c r="BM714" s="143"/>
      <c r="BN714" s="143"/>
      <c r="BO714" s="143"/>
      <c r="BP714" s="143"/>
      <c r="BQ714" s="143"/>
      <c r="BR714" s="143"/>
      <c r="BS714" s="143"/>
      <c r="BT714" s="143"/>
      <c r="BU714" s="143"/>
    </row>
  </sheetData>
  <autoFilter ref="AS1:AS715" xr:uid="{AEC871A1-E786-49AC-ADD0-4E51345BE30B}">
    <filterColumn colId="0">
      <filters blank="1"/>
    </filterColumn>
  </autoFilter>
  <mergeCells count="640">
    <mergeCell ref="AM502:AO502"/>
    <mergeCell ref="I503:K503"/>
    <mergeCell ref="G140:G141"/>
    <mergeCell ref="E140:F141"/>
    <mergeCell ref="Y166:AA166"/>
    <mergeCell ref="AF167:AH168"/>
    <mergeCell ref="R179:AB180"/>
    <mergeCell ref="R181:AB182"/>
    <mergeCell ref="K351:S351"/>
    <mergeCell ref="AF431:AG432"/>
    <mergeCell ref="AH431:AH432"/>
    <mergeCell ref="R478:S478"/>
    <mergeCell ref="AE495:AG495"/>
    <mergeCell ref="AI495:AK495"/>
    <mergeCell ref="R496:T496"/>
    <mergeCell ref="Z496:AB496"/>
    <mergeCell ref="R485:U485"/>
    <mergeCell ref="AG485:AI485"/>
    <mergeCell ref="R492:T492"/>
    <mergeCell ref="AG493:AI493"/>
    <mergeCell ref="T227:U227"/>
    <mergeCell ref="T233:U233"/>
    <mergeCell ref="U297:V297"/>
    <mergeCell ref="W297:AB297"/>
    <mergeCell ref="Q568:S568"/>
    <mergeCell ref="AG526:AI527"/>
    <mergeCell ref="AF526:AF527"/>
    <mergeCell ref="AC526:AE527"/>
    <mergeCell ref="AG538:AI538"/>
    <mergeCell ref="X544:Z544"/>
    <mergeCell ref="AD544:AF544"/>
    <mergeCell ref="AH544:AJ544"/>
    <mergeCell ref="M545:O545"/>
    <mergeCell ref="R507:T507"/>
    <mergeCell ref="V507:X507"/>
    <mergeCell ref="I508:K508"/>
    <mergeCell ref="W504:Z504"/>
    <mergeCell ref="AB504:AD504"/>
    <mergeCell ref="AF504:AH504"/>
    <mergeCell ref="I512:L512"/>
    <mergeCell ref="O513:P513"/>
    <mergeCell ref="Q567:S567"/>
    <mergeCell ref="R513:U513"/>
    <mergeCell ref="Y513:AA513"/>
    <mergeCell ref="AC513:AE513"/>
    <mergeCell ref="S510:U511"/>
    <mergeCell ref="W510:Y511"/>
    <mergeCell ref="AA510:AC510"/>
    <mergeCell ref="I514:K514"/>
    <mergeCell ref="M523:O523"/>
    <mergeCell ref="AJ504:AL504"/>
    <mergeCell ref="I505:K505"/>
    <mergeCell ref="O500:Q500"/>
    <mergeCell ref="S500:U500"/>
    <mergeCell ref="I501:K501"/>
    <mergeCell ref="Q479:S479"/>
    <mergeCell ref="AB480:AE480"/>
    <mergeCell ref="U480:V480"/>
    <mergeCell ref="X480:Z480"/>
    <mergeCell ref="R481:T481"/>
    <mergeCell ref="S484:U484"/>
    <mergeCell ref="W484:Z484"/>
    <mergeCell ref="R482:T482"/>
    <mergeCell ref="AC484:AE484"/>
    <mergeCell ref="U497:W497"/>
    <mergeCell ref="Y497:AA497"/>
    <mergeCell ref="AH497:AJ497"/>
    <mergeCell ref="W502:Z502"/>
    <mergeCell ref="AB502:AD502"/>
    <mergeCell ref="AG502:AI502"/>
    <mergeCell ref="AG484:AH484"/>
    <mergeCell ref="AI490:AK490"/>
    <mergeCell ref="AE250:AJ250"/>
    <mergeCell ref="Z324:AB324"/>
    <mergeCell ref="AC316:AC317"/>
    <mergeCell ref="AE246:AJ246"/>
    <mergeCell ref="AE247:AJ247"/>
    <mergeCell ref="AE274:AJ274"/>
    <mergeCell ref="AE275:AJ275"/>
    <mergeCell ref="AE276:AJ276"/>
    <mergeCell ref="AE283:AJ283"/>
    <mergeCell ref="AE284:AJ284"/>
    <mergeCell ref="AE292:AJ292"/>
    <mergeCell ref="AE293:AJ293"/>
    <mergeCell ref="AE291:AJ291"/>
    <mergeCell ref="AE257:AJ257"/>
    <mergeCell ref="AE258:AJ258"/>
    <mergeCell ref="AE259:AJ259"/>
    <mergeCell ref="AE287:AJ287"/>
    <mergeCell ref="AE288:AJ288"/>
    <mergeCell ref="AE289:AJ289"/>
    <mergeCell ref="AE290:AJ290"/>
    <mergeCell ref="AE266:AJ266"/>
    <mergeCell ref="AE267:AJ267"/>
    <mergeCell ref="AE268:AJ268"/>
    <mergeCell ref="AE269:AJ269"/>
    <mergeCell ref="E84:E85"/>
    <mergeCell ref="G84:G85"/>
    <mergeCell ref="I84:K84"/>
    <mergeCell ref="I85:K85"/>
    <mergeCell ref="S308:T308"/>
    <mergeCell ref="O310:Q310"/>
    <mergeCell ref="E86:E87"/>
    <mergeCell ref="G86:G87"/>
    <mergeCell ref="G244:J244"/>
    <mergeCell ref="S310:U310"/>
    <mergeCell ref="L308:N308"/>
    <mergeCell ref="E391:F392"/>
    <mergeCell ref="G358:G359"/>
    <mergeCell ref="Q317:S317"/>
    <mergeCell ref="U317:W317"/>
    <mergeCell ref="G351:G352"/>
    <mergeCell ref="I351:I352"/>
    <mergeCell ref="K347:M347"/>
    <mergeCell ref="L350:N350"/>
    <mergeCell ref="Y352:AA352"/>
    <mergeCell ref="W350:Y350"/>
    <mergeCell ref="G316:H317"/>
    <mergeCell ref="F316:F317"/>
    <mergeCell ref="Q318:S318"/>
    <mergeCell ref="U318:W318"/>
    <mergeCell ref="N319:P319"/>
    <mergeCell ref="Y317:AA317"/>
    <mergeCell ref="K339:N339"/>
    <mergeCell ref="K319:L319"/>
    <mergeCell ref="Q324:R324"/>
    <mergeCell ref="E341:E342"/>
    <mergeCell ref="Y315:Z315"/>
    <mergeCell ref="P316:P317"/>
    <mergeCell ref="W324:X324"/>
    <mergeCell ref="K326:M326"/>
    <mergeCell ref="AE285:AJ285"/>
    <mergeCell ref="AE286:AJ286"/>
    <mergeCell ref="AE295:AJ295"/>
    <mergeCell ref="AE296:AJ296"/>
    <mergeCell ref="AF400:AH400"/>
    <mergeCell ref="G391:M391"/>
    <mergeCell ref="AD316:AF317"/>
    <mergeCell ref="AD318:AF318"/>
    <mergeCell ref="O408:Q408"/>
    <mergeCell ref="K35:O36"/>
    <mergeCell ref="T35:V35"/>
    <mergeCell ref="W35:Z36"/>
    <mergeCell ref="T36:V36"/>
    <mergeCell ref="AE249:AJ249"/>
    <mergeCell ref="AE248:AJ248"/>
    <mergeCell ref="AE252:AJ252"/>
    <mergeCell ref="AE253:AJ253"/>
    <mergeCell ref="AE264:AJ264"/>
    <mergeCell ref="AE260:AJ260"/>
    <mergeCell ref="AE254:AJ254"/>
    <mergeCell ref="L166:M166"/>
    <mergeCell ref="AE255:AJ255"/>
    <mergeCell ref="AE256:AJ256"/>
    <mergeCell ref="AE261:AJ261"/>
    <mergeCell ref="AE262:AJ262"/>
    <mergeCell ref="AE263:AJ263"/>
    <mergeCell ref="AA247:AC247"/>
    <mergeCell ref="S108:U108"/>
    <mergeCell ref="V308:X308"/>
    <mergeCell ref="K309:M309"/>
    <mergeCell ref="AE294:AJ294"/>
    <mergeCell ref="AE270:AJ270"/>
    <mergeCell ref="AK493:AM493"/>
    <mergeCell ref="W436:X436"/>
    <mergeCell ref="U438:W438"/>
    <mergeCell ref="Y438:AA438"/>
    <mergeCell ref="Z416:AA416"/>
    <mergeCell ref="T411:V411"/>
    <mergeCell ref="AJ458:AJ459"/>
    <mergeCell ref="AE458:AE459"/>
    <mergeCell ref="AJ416:AL417"/>
    <mergeCell ref="AC416:AD416"/>
    <mergeCell ref="AI416:AI417"/>
    <mergeCell ref="AC445:AC446"/>
    <mergeCell ref="AD445:AE446"/>
    <mergeCell ref="AE412:AG412"/>
    <mergeCell ref="L373:N373"/>
    <mergeCell ref="AC352:AD352"/>
    <mergeCell ref="N391:N392"/>
    <mergeCell ref="E397:K398"/>
    <mergeCell ref="AE265:AJ265"/>
    <mergeCell ref="AE251:AJ251"/>
    <mergeCell ref="T324:U324"/>
    <mergeCell ref="I341:I342"/>
    <mergeCell ref="K341:L341"/>
    <mergeCell ref="R341:S341"/>
    <mergeCell ref="Y341:Z341"/>
    <mergeCell ref="P350:Q350"/>
    <mergeCell ref="AE271:AJ271"/>
    <mergeCell ref="AC331:AE331"/>
    <mergeCell ref="AG331:AJ331"/>
    <mergeCell ref="AE273:AJ273"/>
    <mergeCell ref="S315:T315"/>
    <mergeCell ref="AD315:AF315"/>
    <mergeCell ref="K320:M320"/>
    <mergeCell ref="K311:M311"/>
    <mergeCell ref="K327:M327"/>
    <mergeCell ref="O326:Q326"/>
    <mergeCell ref="Y318:Z318"/>
    <mergeCell ref="V315:W315"/>
    <mergeCell ref="AO493:AQ493"/>
    <mergeCell ref="R494:U494"/>
    <mergeCell ref="Y495:AA495"/>
    <mergeCell ref="R605:S605"/>
    <mergeCell ref="I43:J43"/>
    <mergeCell ref="I44:J44"/>
    <mergeCell ref="I77:J77"/>
    <mergeCell ref="K310:M310"/>
    <mergeCell ref="K316:O316"/>
    <mergeCell ref="L395:O395"/>
    <mergeCell ref="R338:S338"/>
    <mergeCell ref="K325:L325"/>
    <mergeCell ref="N365:Q366"/>
    <mergeCell ref="L371:M371"/>
    <mergeCell ref="S397:U397"/>
    <mergeCell ref="Q316:AA316"/>
    <mergeCell ref="R416:S416"/>
    <mergeCell ref="U416:W416"/>
    <mergeCell ref="P416:P417"/>
    <mergeCell ref="U440:W440"/>
    <mergeCell ref="Y440:AA440"/>
    <mergeCell ref="K453:M453"/>
    <mergeCell ref="K451:M451"/>
    <mergeCell ref="K450:M450"/>
    <mergeCell ref="AN341:AP342"/>
    <mergeCell ref="R359:T359"/>
    <mergeCell ref="O371:Q371"/>
    <mergeCell ref="O397:Q397"/>
    <mergeCell ref="AB397:AD397"/>
    <mergeCell ref="AB398:AH398"/>
    <mergeCell ref="U354:W354"/>
    <mergeCell ref="AA354:AC354"/>
    <mergeCell ref="X371:Z371"/>
    <mergeCell ref="AF341:AG341"/>
    <mergeCell ref="AC350:AE350"/>
    <mergeCell ref="AL352:AM352"/>
    <mergeCell ref="AB365:AE366"/>
    <mergeCell ref="AM341:AM342"/>
    <mergeCell ref="V342:X342"/>
    <mergeCell ref="AF397:AH397"/>
    <mergeCell ref="AJ377:AL377"/>
    <mergeCell ref="AB358:AB359"/>
    <mergeCell ref="T377:V377"/>
    <mergeCell ref="T378:V378"/>
    <mergeCell ref="N341:P341"/>
    <mergeCell ref="U341:W341"/>
    <mergeCell ref="AB341:AD341"/>
    <mergeCell ref="AI341:AK341"/>
    <mergeCell ref="AJ413:AL413"/>
    <mergeCell ref="Y413:Z413"/>
    <mergeCell ref="U413:W413"/>
    <mergeCell ref="AB413:AD413"/>
    <mergeCell ref="AF413:AG413"/>
    <mergeCell ref="X411:Z411"/>
    <mergeCell ref="S415:U415"/>
    <mergeCell ref="W415:X415"/>
    <mergeCell ref="Z415:AB415"/>
    <mergeCell ref="AE411:AG411"/>
    <mergeCell ref="AC462:AC463"/>
    <mergeCell ref="AE462:AG463"/>
    <mergeCell ref="O458:O459"/>
    <mergeCell ref="P458:P459"/>
    <mergeCell ref="T459:U459"/>
    <mergeCell ref="Z435:AB435"/>
    <mergeCell ref="AN460:AP460"/>
    <mergeCell ref="V466:X466"/>
    <mergeCell ref="Z466:AB466"/>
    <mergeCell ref="AK458:AL459"/>
    <mergeCell ref="M463:O463"/>
    <mergeCell ref="Q463:S463"/>
    <mergeCell ref="X462:X463"/>
    <mergeCell ref="Y462:AB463"/>
    <mergeCell ref="M462:O462"/>
    <mergeCell ref="S462:V462"/>
    <mergeCell ref="Q459:R459"/>
    <mergeCell ref="AD458:AD459"/>
    <mergeCell ref="AF458:AF459"/>
    <mergeCell ref="AM458:AM459"/>
    <mergeCell ref="W458:Y458"/>
    <mergeCell ref="AA458:AC458"/>
    <mergeCell ref="W459:Y459"/>
    <mergeCell ref="AA459:AC459"/>
    <mergeCell ref="AG458:AI459"/>
    <mergeCell ref="Q458:U458"/>
    <mergeCell ref="AO490:AP490"/>
    <mergeCell ref="K354:M354"/>
    <mergeCell ref="N363:V364"/>
    <mergeCell ref="Z363:AA364"/>
    <mergeCell ref="X366:AA366"/>
    <mergeCell ref="X365:AA365"/>
    <mergeCell ref="F364:L365"/>
    <mergeCell ref="U558:W558"/>
    <mergeCell ref="Y558:AA558"/>
    <mergeCell ref="P354:S354"/>
    <mergeCell ref="K358:N358"/>
    <mergeCell ref="K359:N359"/>
    <mergeCell ref="W358:Z358"/>
    <mergeCell ref="V359:X359"/>
    <mergeCell ref="D549:H550"/>
    <mergeCell ref="D551:H551"/>
    <mergeCell ref="R491:U491"/>
    <mergeCell ref="O400:Q400"/>
    <mergeCell ref="R490:T490"/>
    <mergeCell ref="V490:X490"/>
    <mergeCell ref="AA490:AB490"/>
    <mergeCell ref="AF490:AG490"/>
    <mergeCell ref="E400:L401"/>
    <mergeCell ref="K437:M437"/>
    <mergeCell ref="C101:D102"/>
    <mergeCell ref="E101:K101"/>
    <mergeCell ref="L101:L102"/>
    <mergeCell ref="M101:P101"/>
    <mergeCell ref="M102:P102"/>
    <mergeCell ref="C179:D179"/>
    <mergeCell ref="E179:I180"/>
    <mergeCell ref="C180:D180"/>
    <mergeCell ref="C181:D181"/>
    <mergeCell ref="E181:I182"/>
    <mergeCell ref="C182:D182"/>
    <mergeCell ref="K467:N467"/>
    <mergeCell ref="K353:M353"/>
    <mergeCell ref="P358:P359"/>
    <mergeCell ref="K445:N446"/>
    <mergeCell ref="E418:F418"/>
    <mergeCell ref="O446:P446"/>
    <mergeCell ref="R446:T446"/>
    <mergeCell ref="V445:X445"/>
    <mergeCell ref="K439:M439"/>
    <mergeCell ref="K441:M441"/>
    <mergeCell ref="I462:I463"/>
    <mergeCell ref="O445:T445"/>
    <mergeCell ref="I445:I446"/>
    <mergeCell ref="I447:I448"/>
    <mergeCell ref="K447:M448"/>
    <mergeCell ref="S400:U400"/>
    <mergeCell ref="K458:K459"/>
    <mergeCell ref="L458:L459"/>
    <mergeCell ref="M458:M459"/>
    <mergeCell ref="N458:N459"/>
    <mergeCell ref="V458:V459"/>
    <mergeCell ref="W414:X414"/>
    <mergeCell ref="L396:O396"/>
    <mergeCell ref="O391:R391"/>
    <mergeCell ref="AB400:AD400"/>
    <mergeCell ref="AB401:AH401"/>
    <mergeCell ref="AA400:AA401"/>
    <mergeCell ref="T412:V412"/>
    <mergeCell ref="X412:Z412"/>
    <mergeCell ref="Y417:Z417"/>
    <mergeCell ref="U445:U446"/>
    <mergeCell ref="C185:D186"/>
    <mergeCell ref="E185:G185"/>
    <mergeCell ref="I185:S186"/>
    <mergeCell ref="E186:G186"/>
    <mergeCell ref="R194:S194"/>
    <mergeCell ref="I316:I317"/>
    <mergeCell ref="K332:M332"/>
    <mergeCell ref="U338:W338"/>
    <mergeCell ref="AE414:AG414"/>
    <mergeCell ref="G341:H342"/>
    <mergeCell ref="AA397:AA398"/>
    <mergeCell ref="Y395:AB395"/>
    <mergeCell ref="Y396:AB396"/>
    <mergeCell ref="AB371:AD371"/>
    <mergeCell ref="O392:R392"/>
    <mergeCell ref="I358:I359"/>
    <mergeCell ref="F371:H371"/>
    <mergeCell ref="AC452:AE452"/>
    <mergeCell ref="S455:U455"/>
    <mergeCell ref="W455:Y455"/>
    <mergeCell ref="K456:M456"/>
    <mergeCell ref="K464:M464"/>
    <mergeCell ref="Q436:S436"/>
    <mergeCell ref="V446:X446"/>
    <mergeCell ref="AE277:AJ277"/>
    <mergeCell ref="AE278:AJ278"/>
    <mergeCell ref="AE279:AJ279"/>
    <mergeCell ref="AE280:AJ280"/>
    <mergeCell ref="AE281:AJ281"/>
    <mergeCell ref="AE282:AJ282"/>
    <mergeCell ref="AF445:AH446"/>
    <mergeCell ref="AE415:AG415"/>
    <mergeCell ref="T351:T352"/>
    <mergeCell ref="AH352:AJ352"/>
    <mergeCell ref="U351:AN351"/>
    <mergeCell ref="AC358:AF359"/>
    <mergeCell ref="AG358:AI359"/>
    <mergeCell ref="AG371:AJ371"/>
    <mergeCell ref="Z446:AB446"/>
    <mergeCell ref="AJ376:AL376"/>
    <mergeCell ref="Z445:AB445"/>
    <mergeCell ref="I510:J511"/>
    <mergeCell ref="K510:M511"/>
    <mergeCell ref="N510:N511"/>
    <mergeCell ref="O510:Q511"/>
    <mergeCell ref="R510:R511"/>
    <mergeCell ref="V510:V511"/>
    <mergeCell ref="Z510:Z511"/>
    <mergeCell ref="AE272:AJ272"/>
    <mergeCell ref="AI445:AI446"/>
    <mergeCell ref="AJ445:AL446"/>
    <mergeCell ref="K335:M335"/>
    <mergeCell ref="U331:W331"/>
    <mergeCell ref="Y331:AA331"/>
    <mergeCell ref="AF510:AG511"/>
    <mergeCell ref="AH510:AJ510"/>
    <mergeCell ref="AL510:AN510"/>
    <mergeCell ref="AH511:AJ511"/>
    <mergeCell ref="AL511:AN511"/>
    <mergeCell ref="S442:U442"/>
    <mergeCell ref="W442:Y442"/>
    <mergeCell ref="K443:M443"/>
    <mergeCell ref="N447:O448"/>
    <mergeCell ref="S452:U452"/>
    <mergeCell ref="X452:AA452"/>
    <mergeCell ref="G526:G527"/>
    <mergeCell ref="M530:O530"/>
    <mergeCell ref="P531:S531"/>
    <mergeCell ref="U531:W531"/>
    <mergeCell ref="Y531:AA531"/>
    <mergeCell ref="M532:P532"/>
    <mergeCell ref="E524:E525"/>
    <mergeCell ref="M526:P526"/>
    <mergeCell ref="R526:T526"/>
    <mergeCell ref="V526:W526"/>
    <mergeCell ref="H528:J528"/>
    <mergeCell ref="AA526:AA527"/>
    <mergeCell ref="G524:G525"/>
    <mergeCell ref="Q524:S525"/>
    <mergeCell ref="AK538:AM538"/>
    <mergeCell ref="AG540:AI540"/>
    <mergeCell ref="M541:O541"/>
    <mergeCell ref="W540:Z540"/>
    <mergeCell ref="AB540:AD540"/>
    <mergeCell ref="P533:S533"/>
    <mergeCell ref="U533:W533"/>
    <mergeCell ref="Y533:AA533"/>
    <mergeCell ref="M534:P534"/>
    <mergeCell ref="T536:V536"/>
    <mergeCell ref="X536:Z536"/>
    <mergeCell ref="M537:O537"/>
    <mergeCell ref="X538:Z538"/>
    <mergeCell ref="M539:O539"/>
    <mergeCell ref="AB538:AE538"/>
    <mergeCell ref="I458:I459"/>
    <mergeCell ref="AA511:AE511"/>
    <mergeCell ref="AQ458:AR459"/>
    <mergeCell ref="K460:M460"/>
    <mergeCell ref="B391:B392"/>
    <mergeCell ref="W397:Y397"/>
    <mergeCell ref="M397:M398"/>
    <mergeCell ref="C397:C398"/>
    <mergeCell ref="C400:C401"/>
    <mergeCell ref="M400:M401"/>
    <mergeCell ref="W400:Y400"/>
    <mergeCell ref="O398:Z398"/>
    <mergeCell ref="O401:Z401"/>
    <mergeCell ref="O399:R399"/>
    <mergeCell ref="X399:Z399"/>
    <mergeCell ref="O402:R402"/>
    <mergeCell ref="X402:Z402"/>
    <mergeCell ref="S414:U414"/>
    <mergeCell ref="E416:E417"/>
    <mergeCell ref="G416:G417"/>
    <mergeCell ref="C416:C417"/>
    <mergeCell ref="AN458:AP459"/>
    <mergeCell ref="AO510:AO511"/>
    <mergeCell ref="G510:G511"/>
    <mergeCell ref="AJ571:AL571"/>
    <mergeCell ref="AJ572:AL572"/>
    <mergeCell ref="Q573:S573"/>
    <mergeCell ref="O572:Q572"/>
    <mergeCell ref="S572:U572"/>
    <mergeCell ref="Y572:AA572"/>
    <mergeCell ref="Y573:AA573"/>
    <mergeCell ref="AJ576:AL576"/>
    <mergeCell ref="AJ556:AL556"/>
    <mergeCell ref="AJ557:AL557"/>
    <mergeCell ref="AJ561:AL561"/>
    <mergeCell ref="O562:Q562"/>
    <mergeCell ref="S562:U562"/>
    <mergeCell ref="Y562:AA562"/>
    <mergeCell ref="AJ562:AL562"/>
    <mergeCell ref="AJ566:AL566"/>
    <mergeCell ref="AJ567:AL567"/>
    <mergeCell ref="Y557:AA557"/>
    <mergeCell ref="S557:U557"/>
    <mergeCell ref="U573:W573"/>
    <mergeCell ref="O557:Q557"/>
    <mergeCell ref="Q558:S558"/>
    <mergeCell ref="Q563:S563"/>
    <mergeCell ref="Y563:AA563"/>
    <mergeCell ref="I602:K602"/>
    <mergeCell ref="P601:R601"/>
    <mergeCell ref="T601:V601"/>
    <mergeCell ref="AA601:AC601"/>
    <mergeCell ref="O577:Q577"/>
    <mergeCell ref="AJ577:AL577"/>
    <mergeCell ref="Q578:S578"/>
    <mergeCell ref="U578:W578"/>
    <mergeCell ref="AC578:AE578"/>
    <mergeCell ref="Y578:AA578"/>
    <mergeCell ref="I593:K593"/>
    <mergeCell ref="M593:O593"/>
    <mergeCell ref="Q593:S593"/>
    <mergeCell ref="R589:AC590"/>
    <mergeCell ref="R587:AC588"/>
    <mergeCell ref="Z594:AB594"/>
    <mergeCell ref="I612:K612"/>
    <mergeCell ref="M612:O612"/>
    <mergeCell ref="R612:T612"/>
    <mergeCell ref="L614:N614"/>
    <mergeCell ref="P614:R614"/>
    <mergeCell ref="I610:K610"/>
    <mergeCell ref="U614:W614"/>
    <mergeCell ref="AC614:AE614"/>
    <mergeCell ref="AG614:AI614"/>
    <mergeCell ref="N611:P611"/>
    <mergeCell ref="R611:T611"/>
    <mergeCell ref="I630:K630"/>
    <mergeCell ref="M630:O630"/>
    <mergeCell ref="S630:U630"/>
    <mergeCell ref="I631:K631"/>
    <mergeCell ref="M632:O632"/>
    <mergeCell ref="Q632:S632"/>
    <mergeCell ref="AL614:AN614"/>
    <mergeCell ref="I615:K615"/>
    <mergeCell ref="I618:K618"/>
    <mergeCell ref="M617:O617"/>
    <mergeCell ref="Q617:S617"/>
    <mergeCell ref="U617:W617"/>
    <mergeCell ref="O628:Q628"/>
    <mergeCell ref="S628:U628"/>
    <mergeCell ref="Y632:AA632"/>
    <mergeCell ref="I633:K633"/>
    <mergeCell ref="L634:N634"/>
    <mergeCell ref="P634:R634"/>
    <mergeCell ref="X634:Z634"/>
    <mergeCell ref="I635:K635"/>
    <mergeCell ref="O636:Q636"/>
    <mergeCell ref="I637:K637"/>
    <mergeCell ref="P644:R644"/>
    <mergeCell ref="U644:W644"/>
    <mergeCell ref="C590:D590"/>
    <mergeCell ref="C588:D588"/>
    <mergeCell ref="C589:D589"/>
    <mergeCell ref="C587:D587"/>
    <mergeCell ref="E589:I590"/>
    <mergeCell ref="E587:I588"/>
    <mergeCell ref="K595:M595"/>
    <mergeCell ref="O595:P595"/>
    <mergeCell ref="W595:Y595"/>
    <mergeCell ref="S594:U594"/>
    <mergeCell ref="E645:F646"/>
    <mergeCell ref="G645:G646"/>
    <mergeCell ref="O646:P646"/>
    <mergeCell ref="T645:T646"/>
    <mergeCell ref="U645:X646"/>
    <mergeCell ref="AE594:AG594"/>
    <mergeCell ref="M596:P596"/>
    <mergeCell ref="R596:T596"/>
    <mergeCell ref="W596:Y596"/>
    <mergeCell ref="AA595:AA596"/>
    <mergeCell ref="AC595:AO596"/>
    <mergeCell ref="E641:F642"/>
    <mergeCell ref="I641:K641"/>
    <mergeCell ref="M641:W642"/>
    <mergeCell ref="I642:K642"/>
    <mergeCell ref="G641:G642"/>
    <mergeCell ref="J599:L599"/>
    <mergeCell ref="I619:K619"/>
    <mergeCell ref="I638:K638"/>
    <mergeCell ref="K645:N645"/>
    <mergeCell ref="P645:R645"/>
    <mergeCell ref="Y645:Z646"/>
    <mergeCell ref="K646:M646"/>
    <mergeCell ref="I644:K644"/>
    <mergeCell ref="M699:P699"/>
    <mergeCell ref="R699:T699"/>
    <mergeCell ref="V699:X699"/>
    <mergeCell ref="AA699:AC699"/>
    <mergeCell ref="R676:T676"/>
    <mergeCell ref="I701:J701"/>
    <mergeCell ref="L702:N702"/>
    <mergeCell ref="AJ656:AL656"/>
    <mergeCell ref="X664:Z664"/>
    <mergeCell ref="AB664:AD664"/>
    <mergeCell ref="AF664:AH664"/>
    <mergeCell ref="I665:L665"/>
    <mergeCell ref="U666:X666"/>
    <mergeCell ref="AF666:AH666"/>
    <mergeCell ref="I667:L667"/>
    <mergeCell ref="I697:K697"/>
    <mergeCell ref="M697:N697"/>
    <mergeCell ref="AA697:AC697"/>
    <mergeCell ref="M698:P698"/>
    <mergeCell ref="I691:K691"/>
    <mergeCell ref="T695:V695"/>
    <mergeCell ref="X695:Z695"/>
    <mergeCell ref="I696:K696"/>
    <mergeCell ref="R698:T698"/>
    <mergeCell ref="V698:X698"/>
    <mergeCell ref="AA698:AC698"/>
    <mergeCell ref="T647:V647"/>
    <mergeCell ref="X647:Z647"/>
    <mergeCell ref="I648:K648"/>
    <mergeCell ref="AJ651:AL651"/>
    <mergeCell ref="Q652:S652"/>
    <mergeCell ref="AJ652:AL652"/>
    <mergeCell ref="Q653:S653"/>
    <mergeCell ref="K647:N647"/>
    <mergeCell ref="P647:R647"/>
    <mergeCell ref="R682:S682"/>
    <mergeCell ref="I692:K692"/>
    <mergeCell ref="I694:J694"/>
    <mergeCell ref="I708:L708"/>
    <mergeCell ref="AJ711:AL711"/>
    <mergeCell ref="Q712:S712"/>
    <mergeCell ref="AJ712:AL712"/>
    <mergeCell ref="Q713:S713"/>
    <mergeCell ref="I46:J46"/>
    <mergeCell ref="I86:Q86"/>
    <mergeCell ref="I705:K705"/>
    <mergeCell ref="Z704:AB704"/>
    <mergeCell ref="AD704:AE704"/>
    <mergeCell ref="R671:T671"/>
    <mergeCell ref="V671:X671"/>
    <mergeCell ref="Z671:AA671"/>
    <mergeCell ref="I672:K672"/>
    <mergeCell ref="I707:K707"/>
    <mergeCell ref="M707:O707"/>
    <mergeCell ref="P702:Q702"/>
    <mergeCell ref="T702:W702"/>
    <mergeCell ref="Y702:AA702"/>
    <mergeCell ref="AC702:AE702"/>
    <mergeCell ref="I703:K703"/>
    <mergeCell ref="L704:O704"/>
    <mergeCell ref="Q704:S704"/>
    <mergeCell ref="U704:W704"/>
  </mergeCells>
  <phoneticPr fontId="34" type="noConversion"/>
  <conditionalFormatting sqref="A694:I694 K694:XFD694 A695:XFD706 A675:AR679 AT675:XFD679 AS675:AS690 E226:AR226 E225:XFD225 A225:B240 AS231:XFD232 E228:AR232 E227:T227 V227:AR227 E233:T233 V233:XFD233 E234:XFD240 AS300:XFD491 A300:AR489 A490:AF491 A492:XFD674 A680:XFD693 AS226:AS240 AG491:AR491">
    <cfRule type="expression" dxfId="73" priority="92">
      <formula>$AS225="Hide this row"</formula>
    </cfRule>
  </conditionalFormatting>
  <conditionalFormatting sqref="C680">
    <cfRule type="expression" dxfId="72" priority="87">
      <formula>$AS680="Hide this row"</formula>
    </cfRule>
  </conditionalFormatting>
  <conditionalFormatting sqref="AR685">
    <cfRule type="expression" dxfId="71" priority="86">
      <formula>$AS685="Hide this row"</formula>
    </cfRule>
  </conditionalFormatting>
  <conditionalFormatting sqref="C685">
    <cfRule type="expression" dxfId="70" priority="85">
      <formula>$AS685="Hide this row"</formula>
    </cfRule>
  </conditionalFormatting>
  <conditionalFormatting sqref="AT226:XFD230">
    <cfRule type="expression" dxfId="69" priority="75">
      <formula>$AS226="Hide this row"</formula>
    </cfRule>
  </conditionalFormatting>
  <conditionalFormatting sqref="E231">
    <cfRule type="expression" dxfId="68" priority="74">
      <formula>$AS231="Hide this row"</formula>
    </cfRule>
  </conditionalFormatting>
  <conditionalFormatting sqref="AR236">
    <cfRule type="expression" dxfId="67" priority="73">
      <formula>$AS236="Hide this row"</formula>
    </cfRule>
  </conditionalFormatting>
  <conditionalFormatting sqref="E236">
    <cfRule type="expression" dxfId="66" priority="72">
      <formula>$AS236="Hide this row"</formula>
    </cfRule>
  </conditionalFormatting>
  <conditionalFormatting sqref="AF490:AG490">
    <cfRule type="expression" dxfId="65" priority="206">
      <formula>$AS490="Hide this row"</formula>
    </cfRule>
  </conditionalFormatting>
  <conditionalFormatting sqref="AH490:AR490">
    <cfRule type="expression" dxfId="64" priority="208">
      <formula>$AS490="Hide this row"</formula>
    </cfRule>
  </conditionalFormatting>
  <conditionalFormatting sqref="F711:AL711">
    <cfRule type="expression" dxfId="63" priority="11">
      <formula>$AJ711="NG"</formula>
    </cfRule>
  </conditionalFormatting>
  <conditionalFormatting sqref="F651:AL651">
    <cfRule type="expression" dxfId="62" priority="10">
      <formula>$AJ651="NG"</formula>
    </cfRule>
  </conditionalFormatting>
  <conditionalFormatting sqref="F576:AL576">
    <cfRule type="expression" dxfId="61" priority="9">
      <formula>$AJ576="NG"</formula>
    </cfRule>
  </conditionalFormatting>
  <conditionalFormatting sqref="F571:AL571">
    <cfRule type="expression" dxfId="60" priority="8">
      <formula>$AJ571="NG"</formula>
    </cfRule>
  </conditionalFormatting>
  <conditionalFormatting sqref="F561:AL561">
    <cfRule type="expression" dxfId="59" priority="6">
      <formula>$AJ561="NG"</formula>
    </cfRule>
  </conditionalFormatting>
  <conditionalFormatting sqref="F556:AL556">
    <cfRule type="expression" dxfId="58" priority="5">
      <formula>$AJ556="NG"</formula>
    </cfRule>
  </conditionalFormatting>
  <conditionalFormatting sqref="F566:AL566">
    <cfRule type="expression" dxfId="57" priority="4">
      <formula>$AJ566="NG"</formula>
    </cfRule>
  </conditionalFormatting>
  <conditionalFormatting sqref="F376:AL376">
    <cfRule type="expression" dxfId="56" priority="3">
      <formula>$AJ376="NG"</formula>
    </cfRule>
  </conditionalFormatting>
  <conditionalFormatting sqref="AS266:AS271">
    <cfRule type="expression" dxfId="55" priority="2">
      <formula>$AS266="Hide this row"</formula>
    </cfRule>
  </conditionalFormatting>
  <conditionalFormatting sqref="A266:XFD271">
    <cfRule type="expression" dxfId="54" priority="1">
      <formula>$AS266="Hide this row"</formula>
    </cfRule>
  </conditionalFormatting>
  <dataValidations count="1">
    <dataValidation type="list" allowBlank="1" showInputMessage="1" showErrorMessage="1" sqref="F245 G244" xr:uid="{55F3AF83-A487-4C93-BA1B-7A666517F26E}">
      <formula1>$AT$247:$AT$251</formula1>
    </dataValidation>
  </dataValidations>
  <pageMargins left="0.59055118110236227" right="0.59055118110236227" top="0.74803149606299213" bottom="0.74803149606299213" header="0.31496062992125984" footer="0.31496062992125984"/>
  <pageSetup paperSize="9" orientation="portrait" r:id="rId1"/>
  <rowBreaks count="8" manualBreakCount="8">
    <brk id="27" max="45" man="1"/>
    <brk id="90" max="43" man="1"/>
    <brk id="215" max="43" man="1"/>
    <brk id="241" max="43" man="1"/>
    <brk id="297" max="45" man="1"/>
    <brk id="380" max="45" man="1"/>
    <brk id="579" max="45" man="1"/>
    <brk id="658" max="45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8BA6A-93CC-46BD-9020-3EEA4DA79372}">
  <dimension ref="A2:BU1279"/>
  <sheetViews>
    <sheetView showGridLines="0" topLeftCell="A463" zoomScaleNormal="100" zoomScaleSheetLayoutView="100" workbookViewId="0">
      <selection activeCell="AE484" sqref="AE484:AJ484"/>
    </sheetView>
  </sheetViews>
  <sheetFormatPr defaultColWidth="9.77734375" defaultRowHeight="15" customHeight="1"/>
  <cols>
    <col min="1" max="8" width="1.77734375" style="143" customWidth="1"/>
    <col min="9" max="9" width="1.6640625" style="143" customWidth="1"/>
    <col min="10" max="11" width="1.77734375" style="143" customWidth="1"/>
    <col min="12" max="12" width="1.77734375" style="1547" customWidth="1"/>
    <col min="13" max="24" width="1.77734375" style="143" customWidth="1"/>
    <col min="25" max="25" width="1.77734375" style="1547" customWidth="1"/>
    <col min="26" max="27" width="1.77734375" style="143" customWidth="1"/>
    <col min="28" max="28" width="1.77734375" style="73" customWidth="1"/>
    <col min="29" max="29" width="1.77734375" style="143" customWidth="1"/>
    <col min="30" max="30" width="1.77734375" style="1561" customWidth="1"/>
    <col min="31" max="31" width="1.77734375" style="73" customWidth="1"/>
    <col min="32" max="32" width="1.77734375" style="1561" customWidth="1"/>
    <col min="33" max="44" width="1.77734375" style="73" customWidth="1"/>
    <col min="45" max="45" width="10.109375" style="1627" customWidth="1"/>
    <col min="46" max="52" width="4.77734375" style="143" customWidth="1"/>
    <col min="53" max="73" width="5.77734375" style="143" customWidth="1"/>
    <col min="74" max="16384" width="9.77734375" style="143"/>
  </cols>
  <sheetData>
    <row r="2" spans="1:48" ht="21.75" customHeight="1">
      <c r="A2" s="1528"/>
      <c r="B2" s="1525"/>
      <c r="C2" s="1526"/>
      <c r="D2" s="1525"/>
      <c r="E2" s="1527" t="s">
        <v>2899</v>
      </c>
      <c r="F2" s="1525"/>
      <c r="G2" s="1537"/>
      <c r="H2" s="1538" t="s">
        <v>2900</v>
      </c>
      <c r="I2" s="1537"/>
      <c r="J2" s="1537"/>
      <c r="K2" s="1537"/>
      <c r="L2" s="1537"/>
      <c r="M2" s="1537"/>
      <c r="N2" s="1537"/>
      <c r="O2" s="1537"/>
      <c r="P2" s="1537"/>
      <c r="Q2" s="1537"/>
      <c r="R2" s="1537"/>
      <c r="S2" s="1537"/>
      <c r="T2" s="1537"/>
      <c r="U2" s="1537"/>
      <c r="V2" s="1537"/>
      <c r="W2" s="1537"/>
      <c r="X2" s="1537"/>
      <c r="Y2" s="1537"/>
      <c r="Z2" s="1537"/>
      <c r="AA2" s="1537"/>
      <c r="AB2" s="1537"/>
      <c r="AC2" s="1537"/>
      <c r="AD2" s="1537"/>
      <c r="AE2" s="1537"/>
      <c r="AF2" s="1537"/>
      <c r="AG2" s="1537"/>
      <c r="AH2" s="1537"/>
      <c r="AI2" s="1537"/>
      <c r="AJ2" s="1537"/>
      <c r="AK2" s="1537"/>
      <c r="AL2" s="1537"/>
      <c r="AM2" s="1537"/>
      <c r="AN2" s="1537"/>
      <c r="AO2" s="1537"/>
      <c r="AP2" s="1537"/>
      <c r="AQ2" s="1537"/>
      <c r="AR2" s="1537"/>
    </row>
    <row r="3" spans="1:48" ht="14.25" customHeight="1">
      <c r="A3" s="159"/>
      <c r="B3" s="160"/>
      <c r="C3" s="16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D3" s="73"/>
      <c r="AF3" s="73"/>
      <c r="AV3" s="168" t="s">
        <v>2987</v>
      </c>
    </row>
    <row r="4" spans="1:48" ht="15" customHeight="1">
      <c r="A4" s="1182" t="s">
        <v>451</v>
      </c>
      <c r="AM4" s="76"/>
      <c r="AR4" s="1529" t="s">
        <v>3007</v>
      </c>
      <c r="AV4" s="168" t="s">
        <v>2988</v>
      </c>
    </row>
    <row r="5" spans="1:48" ht="15" customHeight="1">
      <c r="A5" s="139"/>
      <c r="B5" s="170"/>
      <c r="C5" s="170"/>
      <c r="D5" s="170"/>
      <c r="E5" s="170"/>
      <c r="F5" s="89"/>
      <c r="G5" s="63"/>
      <c r="H5" s="170"/>
      <c r="I5" s="170"/>
      <c r="J5" s="170"/>
      <c r="AJ5" s="505"/>
      <c r="AM5" s="76"/>
    </row>
    <row r="6" spans="1:48" ht="15" customHeight="1" thickBot="1">
      <c r="A6" s="133"/>
      <c r="F6" s="64" t="s">
        <v>121</v>
      </c>
      <c r="G6" s="170"/>
      <c r="H6" s="170"/>
      <c r="I6" s="170"/>
      <c r="J6" s="170"/>
      <c r="K6" s="170"/>
      <c r="L6" s="170"/>
      <c r="M6" s="170"/>
      <c r="N6" s="170"/>
      <c r="O6" s="1539"/>
      <c r="P6" s="170"/>
      <c r="Q6" s="170"/>
      <c r="R6" s="170"/>
      <c r="S6" s="170"/>
      <c r="T6" s="170"/>
      <c r="U6" s="170"/>
      <c r="V6" s="170"/>
      <c r="W6" s="170"/>
      <c r="X6" s="170"/>
      <c r="Y6" s="143"/>
      <c r="Z6" s="170"/>
      <c r="AA6" s="170"/>
      <c r="AB6" s="1539"/>
      <c r="AC6" s="170"/>
      <c r="AD6" s="170"/>
      <c r="AF6" s="143"/>
      <c r="AG6" s="1561"/>
      <c r="AI6" s="1561"/>
      <c r="AJ6" s="505"/>
      <c r="AM6" s="76"/>
    </row>
    <row r="7" spans="1:48" ht="15" customHeight="1">
      <c r="A7" s="133"/>
      <c r="F7" s="35" t="s">
        <v>139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224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43"/>
      <c r="AJ7" s="505"/>
      <c r="AM7" s="76"/>
    </row>
    <row r="8" spans="1:48" ht="15" customHeight="1">
      <c r="A8" s="133"/>
      <c r="F8" s="225"/>
      <c r="G8" s="9"/>
      <c r="H8" s="9"/>
      <c r="I8" s="9"/>
      <c r="J8" s="31"/>
      <c r="K8" s="31"/>
      <c r="L8" s="31"/>
      <c r="M8" s="31"/>
      <c r="N8" s="31"/>
      <c r="O8" s="31"/>
      <c r="P8" s="31"/>
      <c r="Q8" s="31"/>
      <c r="R8" s="31"/>
      <c r="S8" s="33" t="s">
        <v>627</v>
      </c>
      <c r="T8" s="195"/>
      <c r="U8" s="9"/>
      <c r="V8" s="198"/>
      <c r="W8" s="198"/>
      <c r="X8" s="198"/>
      <c r="Y8" s="198"/>
      <c r="Z8" s="198"/>
      <c r="AA8" s="198"/>
      <c r="AB8" s="198"/>
      <c r="AC8" s="198"/>
      <c r="AD8" s="198"/>
      <c r="AE8" s="198"/>
      <c r="AF8" s="198"/>
      <c r="AG8" s="198"/>
      <c r="AH8" s="9"/>
      <c r="AI8" s="38" t="s">
        <v>177</v>
      </c>
      <c r="AJ8" s="505"/>
      <c r="AM8" s="76"/>
    </row>
    <row r="9" spans="1:48" ht="15" customHeight="1">
      <c r="A9" s="133"/>
      <c r="F9" s="226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34"/>
      <c r="T9" s="197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227"/>
      <c r="AJ9" s="505"/>
      <c r="AM9" s="76"/>
    </row>
    <row r="10" spans="1:48" ht="15" customHeight="1">
      <c r="A10" s="133"/>
      <c r="F10" s="72" t="s">
        <v>217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62"/>
      <c r="T10" s="196"/>
      <c r="U10" s="9"/>
      <c r="V10" s="198"/>
      <c r="W10" s="198"/>
      <c r="X10" s="198"/>
      <c r="Y10" s="198"/>
      <c r="Z10" s="198"/>
      <c r="AA10" s="198"/>
      <c r="AB10" s="198"/>
      <c r="AC10" s="198"/>
      <c r="AD10" s="198"/>
      <c r="AE10" s="198"/>
      <c r="AF10" s="198"/>
      <c r="AG10" s="198"/>
      <c r="AH10" s="9"/>
      <c r="AI10" s="228"/>
      <c r="AJ10" s="505"/>
      <c r="AM10" s="76"/>
    </row>
    <row r="11" spans="1:48" ht="15" customHeight="1">
      <c r="A11" s="133"/>
      <c r="F11" s="229"/>
      <c r="G11" s="9"/>
      <c r="H11" s="9"/>
      <c r="I11" s="9"/>
      <c r="J11" s="31"/>
      <c r="K11" s="31"/>
      <c r="L11" s="31"/>
      <c r="M11" s="31"/>
      <c r="N11" s="31"/>
      <c r="O11" s="31"/>
      <c r="P11" s="31"/>
      <c r="Q11" s="31"/>
      <c r="R11" s="31"/>
      <c r="S11" s="33" t="s">
        <v>1713</v>
      </c>
      <c r="T11" s="195"/>
      <c r="U11" s="9"/>
      <c r="V11" s="198"/>
      <c r="W11" s="198"/>
      <c r="X11" s="198"/>
      <c r="Y11" s="198"/>
      <c r="Z11" s="198"/>
      <c r="AA11" s="198"/>
      <c r="AB11" s="198"/>
      <c r="AC11" s="198"/>
      <c r="AD11" s="198"/>
      <c r="AE11" s="198"/>
      <c r="AF11" s="198"/>
      <c r="AG11" s="198"/>
      <c r="AH11" s="9"/>
      <c r="AI11" s="77" t="s">
        <v>202</v>
      </c>
      <c r="AJ11" s="505"/>
      <c r="AM11" s="76"/>
    </row>
    <row r="12" spans="1:48" ht="15" customHeight="1">
      <c r="A12" s="133"/>
      <c r="F12" s="37"/>
      <c r="G12" s="9"/>
      <c r="H12" s="9"/>
      <c r="I12" s="9"/>
      <c r="J12" s="31"/>
      <c r="K12" s="31"/>
      <c r="L12" s="31"/>
      <c r="M12" s="31"/>
      <c r="N12" s="31"/>
      <c r="O12" s="31"/>
      <c r="P12" s="31"/>
      <c r="Q12" s="31"/>
      <c r="R12" s="31"/>
      <c r="S12" s="33" t="s">
        <v>219</v>
      </c>
      <c r="T12" s="195"/>
      <c r="U12" s="9"/>
      <c r="V12" s="198"/>
      <c r="W12" s="198"/>
      <c r="X12" s="198"/>
      <c r="Y12" s="198"/>
      <c r="Z12" s="198"/>
      <c r="AA12" s="198"/>
      <c r="AB12" s="198"/>
      <c r="AC12" s="198"/>
      <c r="AD12" s="198"/>
      <c r="AE12" s="198"/>
      <c r="AF12" s="198"/>
      <c r="AG12" s="198"/>
      <c r="AH12" s="9"/>
      <c r="AI12" s="38"/>
      <c r="AJ12" s="505"/>
      <c r="AM12" s="76"/>
    </row>
    <row r="13" spans="1:48" ht="15" customHeight="1">
      <c r="A13" s="133"/>
      <c r="F13" s="233"/>
      <c r="G13" s="11"/>
      <c r="H13" s="11"/>
      <c r="I13" s="11"/>
      <c r="J13" s="234"/>
      <c r="K13" s="234"/>
      <c r="L13" s="234"/>
      <c r="M13" s="234"/>
      <c r="N13" s="234"/>
      <c r="O13" s="234"/>
      <c r="P13" s="234"/>
      <c r="Q13" s="234"/>
      <c r="R13" s="2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236"/>
      <c r="AJ13" s="505"/>
      <c r="AM13" s="76"/>
    </row>
    <row r="14" spans="1:48" ht="15" customHeight="1">
      <c r="A14" s="133"/>
      <c r="F14" s="71" t="s">
        <v>220</v>
      </c>
      <c r="G14" s="9"/>
      <c r="H14" s="9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198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9"/>
      <c r="AI14" s="38" t="s">
        <v>181</v>
      </c>
      <c r="AJ14" s="505"/>
      <c r="AM14" s="76"/>
    </row>
    <row r="15" spans="1:48" ht="15" customHeight="1">
      <c r="A15" s="133"/>
      <c r="F15" s="71" t="s">
        <v>118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33" t="s">
        <v>1714</v>
      </c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9"/>
      <c r="AI15" s="38" t="s">
        <v>182</v>
      </c>
      <c r="AJ15" s="505"/>
      <c r="AM15" s="76"/>
    </row>
    <row r="16" spans="1:48" ht="15" customHeight="1">
      <c r="A16" s="133"/>
      <c r="F16" s="39" t="s">
        <v>119</v>
      </c>
      <c r="G16" s="9"/>
      <c r="H16" s="9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3" t="s">
        <v>1715</v>
      </c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9"/>
      <c r="AI16" s="38"/>
      <c r="AJ16" s="505"/>
      <c r="AM16" s="76"/>
    </row>
    <row r="17" spans="1:73" ht="15" customHeight="1">
      <c r="A17" s="133"/>
      <c r="F17" s="37"/>
      <c r="G17" s="9"/>
      <c r="H17" s="9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3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9"/>
      <c r="AI17" s="38"/>
      <c r="AJ17" s="505"/>
      <c r="AM17" s="76"/>
    </row>
    <row r="18" spans="1:73" ht="15" customHeight="1">
      <c r="A18" s="133"/>
      <c r="F18" s="46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34"/>
      <c r="T18" s="197"/>
      <c r="U18" s="197"/>
      <c r="V18" s="197"/>
      <c r="W18" s="197"/>
      <c r="X18" s="197"/>
      <c r="Y18" s="197"/>
      <c r="Z18" s="197"/>
      <c r="AA18" s="197"/>
      <c r="AB18" s="197"/>
      <c r="AC18" s="197"/>
      <c r="AD18" s="197"/>
      <c r="AE18" s="197"/>
      <c r="AF18" s="197"/>
      <c r="AG18" s="197"/>
      <c r="AH18" s="11"/>
      <c r="AI18" s="227"/>
      <c r="AJ18" s="505"/>
      <c r="AM18" s="76"/>
    </row>
    <row r="19" spans="1:73" ht="15" customHeight="1">
      <c r="F19" s="72" t="s">
        <v>221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33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9"/>
      <c r="AI19" s="228"/>
      <c r="AJ19" s="505"/>
      <c r="AM19" s="76"/>
    </row>
    <row r="20" spans="1:73" ht="15" customHeight="1">
      <c r="F20" s="230"/>
      <c r="G20" s="9"/>
      <c r="H20" s="9"/>
      <c r="I20" s="9"/>
      <c r="J20" s="31"/>
      <c r="K20" s="31"/>
      <c r="L20" s="31"/>
      <c r="M20" s="31"/>
      <c r="N20" s="31"/>
      <c r="O20" s="31"/>
      <c r="P20" s="31"/>
      <c r="Q20" s="31"/>
      <c r="R20" s="31"/>
      <c r="S20" s="33" t="s">
        <v>1716</v>
      </c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9"/>
      <c r="AI20" s="38" t="s">
        <v>218</v>
      </c>
      <c r="AJ20" s="505"/>
      <c r="AM20" s="76"/>
    </row>
    <row r="21" spans="1:73" ht="15" customHeight="1">
      <c r="F21" s="46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34"/>
      <c r="T21" s="197"/>
      <c r="U21" s="197"/>
      <c r="V21" s="197"/>
      <c r="W21" s="197"/>
      <c r="X21" s="197"/>
      <c r="Y21" s="197"/>
      <c r="Z21" s="197"/>
      <c r="AA21" s="197"/>
      <c r="AB21" s="197"/>
      <c r="AC21" s="197"/>
      <c r="AD21" s="197"/>
      <c r="AE21" s="197"/>
      <c r="AF21" s="197"/>
      <c r="AG21" s="197"/>
      <c r="AH21" s="11"/>
      <c r="AI21" s="227"/>
      <c r="AJ21" s="505"/>
      <c r="AM21" s="76"/>
    </row>
    <row r="22" spans="1:73" ht="15" customHeight="1">
      <c r="F22" s="39" t="s">
        <v>120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33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9"/>
      <c r="AI22" s="228"/>
      <c r="AJ22" s="505"/>
      <c r="AM22" s="76"/>
    </row>
    <row r="23" spans="1:73" ht="15" customHeight="1">
      <c r="F23" s="37"/>
      <c r="G23" s="9"/>
      <c r="H23" s="9"/>
      <c r="I23" s="9"/>
      <c r="J23" s="31"/>
      <c r="K23" s="31"/>
      <c r="L23" s="31"/>
      <c r="M23" s="31"/>
      <c r="N23" s="31"/>
      <c r="O23" s="31"/>
      <c r="P23" s="31"/>
      <c r="Q23" s="31"/>
      <c r="R23" s="31"/>
      <c r="S23" s="33" t="s">
        <v>1717</v>
      </c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9"/>
      <c r="AI23" s="38" t="s">
        <v>183</v>
      </c>
      <c r="AJ23" s="505"/>
      <c r="AM23" s="76"/>
    </row>
    <row r="24" spans="1:73" ht="15" customHeight="1" thickBot="1">
      <c r="F24" s="40"/>
      <c r="G24" s="41"/>
      <c r="H24" s="41"/>
      <c r="I24" s="41"/>
      <c r="J24" s="42"/>
      <c r="K24" s="42"/>
      <c r="L24" s="42"/>
      <c r="M24" s="42"/>
      <c r="N24" s="42"/>
      <c r="O24" s="42"/>
      <c r="P24" s="42"/>
      <c r="Q24" s="42"/>
      <c r="R24" s="42"/>
      <c r="S24" s="41"/>
      <c r="T24" s="1576"/>
      <c r="U24" s="1576"/>
      <c r="V24" s="1576"/>
      <c r="W24" s="1576"/>
      <c r="X24" s="1576"/>
      <c r="Y24" s="1576"/>
      <c r="Z24" s="1576"/>
      <c r="AA24" s="1576"/>
      <c r="AB24" s="1576"/>
      <c r="AC24" s="1576"/>
      <c r="AD24" s="1576"/>
      <c r="AE24" s="1576"/>
      <c r="AF24" s="1576"/>
      <c r="AG24" s="1576"/>
      <c r="AH24" s="41"/>
      <c r="AI24" s="45"/>
      <c r="AJ24" s="505"/>
      <c r="AM24" s="76"/>
    </row>
    <row r="25" spans="1:73" s="1627" customFormat="1" ht="15" customHeight="1">
      <c r="A25" s="143"/>
      <c r="B25" s="143"/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87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73"/>
      <c r="AF25" s="1561"/>
      <c r="AG25" s="73"/>
      <c r="AH25" s="73"/>
      <c r="AI25" s="73"/>
      <c r="AJ25" s="505"/>
      <c r="AK25" s="73"/>
      <c r="AL25" s="73"/>
      <c r="AM25" s="76"/>
      <c r="AN25" s="73"/>
      <c r="AO25" s="73"/>
      <c r="AP25" s="73"/>
      <c r="AQ25" s="73"/>
      <c r="AR25" s="73"/>
      <c r="AT25" s="143"/>
      <c r="AU25" s="143"/>
      <c r="AV25" s="143"/>
      <c r="AW25" s="143"/>
      <c r="AX25" s="143"/>
      <c r="AY25" s="143"/>
      <c r="AZ25" s="143"/>
      <c r="BA25" s="14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</row>
    <row r="26" spans="1:73" ht="15" customHeight="1">
      <c r="A26" s="206"/>
      <c r="B26" s="133"/>
      <c r="C26" s="122"/>
      <c r="D26" s="122"/>
      <c r="E26" s="122"/>
      <c r="F26" s="122"/>
      <c r="G26" s="87"/>
      <c r="H26" s="122"/>
      <c r="I26" s="122"/>
      <c r="J26" s="122"/>
      <c r="K26" s="122"/>
      <c r="L26" s="1584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Y26" s="143"/>
      <c r="Z26" s="1547"/>
      <c r="AA26" s="137"/>
      <c r="AB26" s="1547"/>
      <c r="AD26" s="73"/>
      <c r="AE26" s="1561"/>
      <c r="AF26" s="73"/>
      <c r="AR26" s="143"/>
      <c r="AY26" s="138"/>
    </row>
    <row r="27" spans="1:73" ht="15" customHeight="1">
      <c r="A27" s="206"/>
      <c r="B27" s="133"/>
      <c r="C27" s="122"/>
      <c r="D27" s="122"/>
      <c r="E27" s="122"/>
      <c r="F27" s="122"/>
      <c r="G27" s="87"/>
      <c r="H27" s="122"/>
      <c r="I27" s="122"/>
      <c r="J27" s="122"/>
      <c r="K27" s="122"/>
      <c r="L27" s="1584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Y27" s="143"/>
      <c r="Z27" s="1547"/>
      <c r="AA27" s="137"/>
      <c r="AB27" s="1547"/>
      <c r="AD27" s="73"/>
      <c r="AE27" s="1561"/>
      <c r="AF27" s="73"/>
      <c r="AR27" s="143"/>
      <c r="AY27" s="138"/>
    </row>
    <row r="28" spans="1:73" ht="15" customHeight="1">
      <c r="A28" s="206"/>
      <c r="B28" s="133"/>
      <c r="C28" s="122"/>
      <c r="D28" s="122"/>
      <c r="E28" s="122"/>
      <c r="F28" s="122"/>
      <c r="G28" s="87"/>
      <c r="H28" s="122"/>
      <c r="I28" s="122"/>
      <c r="J28" s="122"/>
      <c r="K28" s="122"/>
      <c r="L28" s="1584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Y28" s="143"/>
      <c r="Z28" s="1547"/>
      <c r="AA28" s="137"/>
      <c r="AB28" s="1547"/>
      <c r="AD28" s="73"/>
      <c r="AE28" s="1561"/>
      <c r="AF28" s="73"/>
      <c r="AR28" s="143"/>
      <c r="AY28" s="138"/>
    </row>
    <row r="29" spans="1:73" ht="15" customHeight="1">
      <c r="A29" s="206"/>
      <c r="B29" s="133"/>
      <c r="C29" s="122"/>
      <c r="D29" s="122"/>
      <c r="E29" s="122"/>
      <c r="F29" s="122"/>
      <c r="G29" s="87"/>
      <c r="H29" s="122"/>
      <c r="I29" s="122"/>
      <c r="J29" s="122"/>
      <c r="K29" s="122"/>
      <c r="L29" s="1584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Y29" s="143"/>
      <c r="Z29" s="1547"/>
      <c r="AA29" s="137"/>
      <c r="AB29" s="1547"/>
      <c r="AD29" s="73"/>
      <c r="AE29" s="1561"/>
      <c r="AF29" s="73"/>
      <c r="AR29" s="143"/>
      <c r="AY29" s="138"/>
    </row>
    <row r="30" spans="1:73" ht="15" customHeight="1">
      <c r="A30" s="206"/>
      <c r="B30" s="133"/>
      <c r="C30" s="122"/>
      <c r="D30" s="122"/>
      <c r="E30" s="122"/>
      <c r="F30" s="122"/>
      <c r="G30" s="87"/>
      <c r="H30" s="122"/>
      <c r="I30" s="122"/>
      <c r="J30" s="122"/>
      <c r="K30" s="122"/>
      <c r="L30" s="1584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Y30" s="143"/>
      <c r="Z30" s="1547"/>
      <c r="AA30" s="137"/>
      <c r="AB30" s="1547"/>
      <c r="AD30" s="73"/>
      <c r="AE30" s="1561"/>
      <c r="AF30" s="73"/>
      <c r="AR30" s="143"/>
      <c r="AY30" s="138"/>
    </row>
    <row r="31" spans="1:73" ht="15" customHeight="1">
      <c r="A31" s="206"/>
      <c r="B31" s="133"/>
      <c r="C31" s="122"/>
      <c r="D31" s="122"/>
      <c r="E31" s="122"/>
      <c r="F31" s="122"/>
      <c r="G31" s="87"/>
      <c r="H31" s="122"/>
      <c r="I31" s="122"/>
      <c r="J31" s="122"/>
      <c r="K31" s="122"/>
      <c r="L31" s="1584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Y31" s="143"/>
      <c r="Z31" s="1547"/>
      <c r="AA31" s="137"/>
      <c r="AB31" s="1547"/>
      <c r="AD31" s="73"/>
      <c r="AE31" s="1561"/>
      <c r="AF31" s="73"/>
      <c r="AR31" s="143"/>
      <c r="AY31" s="138"/>
    </row>
    <row r="32" spans="1:73" ht="15" customHeight="1">
      <c r="A32" s="206"/>
      <c r="B32" s="133"/>
      <c r="C32" s="122"/>
      <c r="D32" s="122"/>
      <c r="E32" s="122"/>
      <c r="F32" s="122"/>
      <c r="G32" s="87"/>
      <c r="H32" s="122"/>
      <c r="I32" s="122"/>
      <c r="J32" s="122"/>
      <c r="K32" s="122"/>
      <c r="L32" s="1584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Y32" s="143"/>
      <c r="Z32" s="1547"/>
      <c r="AA32" s="137"/>
      <c r="AB32" s="1547"/>
      <c r="AD32" s="73"/>
      <c r="AE32" s="1561"/>
      <c r="AF32" s="73"/>
      <c r="AR32" s="143"/>
      <c r="AY32" s="138"/>
    </row>
    <row r="33" spans="1:51" ht="15" customHeight="1">
      <c r="A33" s="206"/>
      <c r="B33" s="133"/>
      <c r="C33" s="122"/>
      <c r="D33" s="122"/>
      <c r="E33" s="122"/>
      <c r="F33" s="122"/>
      <c r="G33" s="87"/>
      <c r="H33" s="122"/>
      <c r="I33" s="122"/>
      <c r="J33" s="122"/>
      <c r="K33" s="122"/>
      <c r="L33" s="1584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Y33" s="143"/>
      <c r="Z33" s="1547"/>
      <c r="AA33" s="137"/>
      <c r="AB33" s="1547"/>
      <c r="AD33" s="73"/>
      <c r="AE33" s="1561"/>
      <c r="AF33" s="73"/>
      <c r="AR33" s="143"/>
      <c r="AY33" s="138"/>
    </row>
    <row r="34" spans="1:51" ht="15" customHeight="1">
      <c r="A34" s="206"/>
      <c r="B34" s="133"/>
      <c r="C34" s="122"/>
      <c r="D34" s="122"/>
      <c r="E34" s="122"/>
      <c r="F34" s="122"/>
      <c r="G34" s="87"/>
      <c r="H34" s="122"/>
      <c r="I34" s="122"/>
      <c r="J34" s="122"/>
      <c r="K34" s="122"/>
      <c r="L34" s="1584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Y34" s="143"/>
      <c r="Z34" s="1547"/>
      <c r="AA34" s="137"/>
      <c r="AB34" s="1547"/>
      <c r="AD34" s="73"/>
      <c r="AE34" s="1561"/>
      <c r="AF34" s="73"/>
      <c r="AR34" s="143"/>
      <c r="AY34" s="138"/>
    </row>
    <row r="35" spans="1:51" ht="15" customHeight="1">
      <c r="A35" s="206"/>
      <c r="B35" s="133"/>
      <c r="C35" s="122"/>
      <c r="D35" s="122"/>
      <c r="E35" s="122"/>
      <c r="F35" s="122"/>
      <c r="G35" s="87"/>
      <c r="H35" s="122"/>
      <c r="I35" s="122"/>
      <c r="J35" s="122"/>
      <c r="K35" s="122"/>
      <c r="L35" s="1584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Y35" s="143"/>
      <c r="Z35" s="1547"/>
      <c r="AA35" s="137"/>
      <c r="AB35" s="1547"/>
      <c r="AD35" s="73"/>
      <c r="AE35" s="1561"/>
      <c r="AF35" s="73"/>
      <c r="AR35" s="143"/>
      <c r="AY35" s="138"/>
    </row>
    <row r="36" spans="1:51" ht="15" customHeight="1">
      <c r="A36" s="206"/>
      <c r="B36" s="133"/>
      <c r="Y36" s="143"/>
      <c r="Z36" s="1547"/>
      <c r="AA36" s="137"/>
      <c r="AB36" s="1547"/>
      <c r="AD36" s="73"/>
      <c r="AE36" s="1561"/>
      <c r="AF36" s="73"/>
      <c r="AR36" s="143"/>
      <c r="AY36" s="138"/>
    </row>
    <row r="37" spans="1:51" ht="15" customHeight="1">
      <c r="Y37" s="143"/>
      <c r="Z37" s="1547"/>
      <c r="AB37" s="1547"/>
      <c r="AD37" s="73"/>
      <c r="AE37" s="1561"/>
      <c r="AF37" s="73"/>
      <c r="AQ37" s="143"/>
      <c r="AR37" s="1529" t="s">
        <v>741</v>
      </c>
    </row>
    <row r="38" spans="1:51" ht="15" customHeight="1">
      <c r="A38" s="1182" t="s">
        <v>3088</v>
      </c>
      <c r="B38" s="1569"/>
      <c r="G38" s="4"/>
      <c r="H38" s="4"/>
      <c r="I38" s="4"/>
      <c r="Y38" s="143"/>
      <c r="Z38" s="1547"/>
      <c r="AB38" s="1547"/>
      <c r="AD38" s="73"/>
      <c r="AE38" s="1561"/>
      <c r="AF38" s="73"/>
      <c r="AR38" s="143"/>
    </row>
    <row r="39" spans="1:51" ht="15" customHeight="1">
      <c r="A39" s="207"/>
      <c r="B39" s="1569"/>
      <c r="G39" s="4"/>
      <c r="H39" s="4"/>
      <c r="I39" s="4"/>
      <c r="N39" s="137"/>
      <c r="Y39" s="143"/>
      <c r="Z39" s="1547"/>
      <c r="AB39" s="1547"/>
      <c r="AD39" s="73"/>
      <c r="AE39" s="1561"/>
      <c r="AF39" s="73"/>
      <c r="AR39" s="143"/>
    </row>
    <row r="40" spans="1:51" ht="15" customHeight="1">
      <c r="A40" s="170"/>
      <c r="B40" s="170"/>
      <c r="G40" s="4"/>
      <c r="H40" s="4"/>
      <c r="I40" s="4"/>
      <c r="Y40" s="143"/>
      <c r="Z40" s="1547"/>
      <c r="AB40" s="1547"/>
      <c r="AD40" s="73"/>
      <c r="AE40" s="1561"/>
      <c r="AF40" s="73"/>
      <c r="AR40" s="143"/>
    </row>
    <row r="41" spans="1:51" ht="15" customHeight="1">
      <c r="A41" s="170"/>
      <c r="B41" s="170"/>
      <c r="G41" s="4"/>
      <c r="H41" s="4"/>
      <c r="I41" s="4"/>
      <c r="Y41" s="143"/>
      <c r="Z41" s="1547"/>
      <c r="AB41" s="1547"/>
      <c r="AD41" s="73"/>
      <c r="AE41" s="1561"/>
      <c r="AF41" s="73"/>
      <c r="AR41" s="143"/>
    </row>
    <row r="42" spans="1:51" ht="15" customHeight="1">
      <c r="A42" s="170"/>
      <c r="B42" s="170"/>
      <c r="G42" s="4"/>
      <c r="H42" s="4"/>
      <c r="I42" s="4"/>
      <c r="Y42" s="143"/>
      <c r="Z42" s="1547"/>
      <c r="AB42" s="1547"/>
      <c r="AD42" s="73"/>
      <c r="AE42" s="1561"/>
      <c r="AF42" s="73"/>
      <c r="AR42" s="143"/>
    </row>
    <row r="43" spans="1:51" ht="15" customHeight="1">
      <c r="A43" s="170"/>
      <c r="B43" s="170"/>
      <c r="G43" s="4"/>
      <c r="H43" s="4"/>
      <c r="I43" s="4"/>
      <c r="Y43" s="143"/>
      <c r="Z43" s="1547"/>
      <c r="AB43" s="1547"/>
      <c r="AD43" s="73"/>
      <c r="AE43" s="1561"/>
      <c r="AF43" s="73"/>
      <c r="AR43" s="143"/>
    </row>
    <row r="44" spans="1:51" ht="15" customHeight="1">
      <c r="A44" s="170"/>
      <c r="B44" s="170"/>
      <c r="G44" s="4"/>
      <c r="H44" s="4"/>
      <c r="I44" s="4"/>
      <c r="Y44" s="143"/>
      <c r="Z44" s="1547"/>
      <c r="AB44" s="1547"/>
      <c r="AD44" s="73"/>
      <c r="AE44" s="1561"/>
      <c r="AF44" s="73"/>
      <c r="AR44" s="143"/>
    </row>
    <row r="45" spans="1:51" ht="15" customHeight="1">
      <c r="A45" s="170"/>
      <c r="B45" s="170"/>
      <c r="G45" s="4"/>
      <c r="H45" s="4"/>
      <c r="I45" s="4"/>
      <c r="Y45" s="143"/>
      <c r="Z45" s="1547"/>
      <c r="AB45" s="1547"/>
      <c r="AD45" s="73"/>
      <c r="AE45" s="1561"/>
      <c r="AF45" s="73"/>
      <c r="AR45" s="143"/>
    </row>
    <row r="46" spans="1:51" ht="15" customHeight="1">
      <c r="A46" s="170"/>
      <c r="B46" s="170"/>
      <c r="G46" s="4"/>
      <c r="H46" s="4"/>
      <c r="I46" s="4"/>
      <c r="Y46" s="143"/>
      <c r="Z46" s="1547"/>
      <c r="AB46" s="1547"/>
      <c r="AD46" s="73"/>
      <c r="AE46" s="1561"/>
      <c r="AF46" s="73"/>
      <c r="AR46" s="143"/>
    </row>
    <row r="47" spans="1:51" ht="15" customHeight="1">
      <c r="A47" s="170"/>
      <c r="B47" s="170"/>
      <c r="G47" s="4"/>
      <c r="H47" s="4"/>
      <c r="I47" s="4"/>
      <c r="Y47" s="143"/>
      <c r="Z47" s="1547"/>
      <c r="AB47" s="1547"/>
      <c r="AD47" s="73"/>
      <c r="AE47" s="1561"/>
      <c r="AF47" s="73"/>
      <c r="AR47" s="143"/>
    </row>
    <row r="48" spans="1:51" ht="15" customHeight="1">
      <c r="A48" s="170"/>
      <c r="B48" s="170"/>
      <c r="G48" s="4"/>
      <c r="H48" s="4"/>
      <c r="I48" s="4"/>
      <c r="Y48" s="143"/>
      <c r="Z48" s="1547"/>
      <c r="AB48" s="1547"/>
      <c r="AD48" s="73"/>
      <c r="AE48" s="637"/>
      <c r="AF48" s="73"/>
      <c r="AR48" s="143"/>
    </row>
    <row r="49" spans="1:44" ht="15" customHeight="1">
      <c r="A49" s="170"/>
      <c r="B49" s="170"/>
      <c r="G49" s="4"/>
      <c r="H49" s="4"/>
      <c r="I49" s="4"/>
      <c r="Y49" s="143"/>
      <c r="Z49" s="1547"/>
      <c r="AB49" s="1547"/>
      <c r="AD49" s="73"/>
      <c r="AE49" s="637"/>
      <c r="AF49" s="73"/>
      <c r="AR49" s="143"/>
    </row>
    <row r="50" spans="1:44" ht="15" customHeight="1">
      <c r="A50" s="170"/>
      <c r="B50" s="170"/>
      <c r="G50" s="4"/>
      <c r="H50" s="4"/>
      <c r="I50" s="4"/>
      <c r="Y50" s="143"/>
      <c r="Z50" s="1547"/>
      <c r="AB50" s="1547"/>
      <c r="AD50" s="73"/>
      <c r="AE50" s="637"/>
      <c r="AF50" s="73"/>
      <c r="AR50" s="143"/>
    </row>
    <row r="51" spans="1:44" ht="15" customHeight="1">
      <c r="A51" s="170"/>
      <c r="E51" s="170" t="s">
        <v>509</v>
      </c>
      <c r="I51" s="138" t="s">
        <v>324</v>
      </c>
      <c r="L51" s="143" t="s">
        <v>510</v>
      </c>
      <c r="R51" s="143" t="s">
        <v>1341</v>
      </c>
      <c r="Y51" s="143"/>
      <c r="Z51" s="1547"/>
      <c r="AB51" s="1547"/>
      <c r="AD51" s="73"/>
      <c r="AE51" s="637"/>
      <c r="AF51" s="73"/>
      <c r="AR51" s="143"/>
    </row>
    <row r="52" spans="1:44" ht="15" customHeight="1">
      <c r="A52" s="170"/>
      <c r="E52" s="170" t="s">
        <v>511</v>
      </c>
      <c r="I52" s="138" t="s">
        <v>324</v>
      </c>
      <c r="L52" s="143" t="s">
        <v>512</v>
      </c>
      <c r="R52" s="143" t="s">
        <v>1342</v>
      </c>
      <c r="Y52" s="143"/>
      <c r="Z52" s="1547"/>
      <c r="AB52" s="1547"/>
      <c r="AD52" s="73"/>
      <c r="AE52" s="637"/>
      <c r="AF52" s="73"/>
      <c r="AR52" s="143"/>
    </row>
    <row r="53" spans="1:44" ht="15" customHeight="1">
      <c r="A53" s="170"/>
      <c r="E53" s="170" t="s">
        <v>1340</v>
      </c>
      <c r="I53" s="138" t="s">
        <v>324</v>
      </c>
      <c r="L53" s="143" t="s">
        <v>3008</v>
      </c>
      <c r="R53" s="143" t="s">
        <v>513</v>
      </c>
      <c r="Y53" s="143"/>
      <c r="Z53" s="1547"/>
      <c r="AB53" s="1547"/>
      <c r="AD53" s="73"/>
      <c r="AE53" s="637"/>
      <c r="AF53" s="73"/>
      <c r="AR53" s="143"/>
    </row>
    <row r="54" spans="1:44" ht="15" customHeight="1">
      <c r="A54" s="170"/>
      <c r="E54" s="170" t="s">
        <v>3265</v>
      </c>
      <c r="I54" s="138" t="s">
        <v>324</v>
      </c>
      <c r="L54" s="143" t="s">
        <v>3266</v>
      </c>
      <c r="R54" s="143" t="s">
        <v>347</v>
      </c>
      <c r="Y54" s="143"/>
      <c r="Z54" s="1547"/>
      <c r="AB54" s="1547"/>
      <c r="AD54" s="73"/>
      <c r="AE54" s="637"/>
      <c r="AF54" s="73"/>
      <c r="AR54" s="143"/>
    </row>
    <row r="55" spans="1:44" ht="15" customHeight="1">
      <c r="A55" s="170"/>
      <c r="E55" s="170" t="s">
        <v>516</v>
      </c>
      <c r="I55" s="138" t="s">
        <v>324</v>
      </c>
      <c r="L55" s="143" t="s">
        <v>517</v>
      </c>
      <c r="R55" s="143" t="s">
        <v>577</v>
      </c>
      <c r="Y55" s="143"/>
      <c r="Z55" s="1547"/>
      <c r="AB55" s="1547"/>
      <c r="AD55" s="73"/>
      <c r="AE55" s="637"/>
      <c r="AF55" s="73"/>
      <c r="AR55" s="143"/>
    </row>
    <row r="56" spans="1:44" ht="15" customHeight="1">
      <c r="A56" s="170"/>
      <c r="E56" s="170" t="s">
        <v>1336</v>
      </c>
      <c r="I56" s="138" t="s">
        <v>324</v>
      </c>
      <c r="L56" s="143" t="s">
        <v>1339</v>
      </c>
      <c r="R56" s="143" t="s">
        <v>518</v>
      </c>
      <c r="Y56" s="143"/>
      <c r="Z56" s="1547"/>
      <c r="AB56" s="1547"/>
      <c r="AD56" s="73"/>
      <c r="AE56" s="637"/>
      <c r="AF56" s="73"/>
      <c r="AR56" s="143"/>
    </row>
    <row r="57" spans="1:44" ht="15" customHeight="1">
      <c r="A57" s="170"/>
      <c r="E57" s="170" t="s">
        <v>1337</v>
      </c>
      <c r="I57" s="138" t="s">
        <v>324</v>
      </c>
      <c r="L57" s="143" t="s">
        <v>1338</v>
      </c>
      <c r="R57" s="143" t="s">
        <v>519</v>
      </c>
      <c r="Y57" s="143"/>
      <c r="Z57" s="1547"/>
      <c r="AB57" s="1547"/>
      <c r="AD57" s="73"/>
      <c r="AE57" s="637"/>
      <c r="AF57" s="73"/>
      <c r="AR57" s="143"/>
    </row>
    <row r="58" spans="1:44" ht="15" customHeight="1">
      <c r="A58" s="170"/>
      <c r="E58" s="170" t="s">
        <v>1332</v>
      </c>
      <c r="I58" s="138" t="s">
        <v>324</v>
      </c>
      <c r="L58" s="143" t="s">
        <v>1334</v>
      </c>
      <c r="R58" s="143" t="s">
        <v>520</v>
      </c>
      <c r="Y58" s="143"/>
      <c r="Z58" s="1547"/>
      <c r="AB58" s="1547"/>
      <c r="AD58" s="73"/>
      <c r="AE58" s="637"/>
      <c r="AF58" s="73"/>
      <c r="AR58" s="143"/>
    </row>
    <row r="59" spans="1:44" ht="15" customHeight="1">
      <c r="A59" s="170"/>
      <c r="E59" s="170" t="s">
        <v>1333</v>
      </c>
      <c r="I59" s="138" t="s">
        <v>324</v>
      </c>
      <c r="L59" s="143" t="s">
        <v>1335</v>
      </c>
      <c r="R59" s="143" t="s">
        <v>521</v>
      </c>
      <c r="Y59" s="143"/>
      <c r="Z59" s="1547"/>
      <c r="AB59" s="1547"/>
      <c r="AD59" s="73"/>
      <c r="AE59" s="1561"/>
      <c r="AF59" s="73"/>
      <c r="AR59" s="143"/>
    </row>
    <row r="60" spans="1:44" ht="15" customHeight="1">
      <c r="A60" s="170"/>
      <c r="E60" s="170" t="s">
        <v>1718</v>
      </c>
      <c r="I60" s="138" t="s">
        <v>324</v>
      </c>
      <c r="L60" s="143"/>
      <c r="R60" s="143" t="s">
        <v>1719</v>
      </c>
      <c r="Y60" s="143"/>
      <c r="Z60" s="1547"/>
      <c r="AB60" s="1547"/>
      <c r="AD60" s="73"/>
      <c r="AE60" s="1561"/>
      <c r="AF60" s="73"/>
      <c r="AR60" s="143"/>
    </row>
    <row r="61" spans="1:44" ht="15" customHeight="1">
      <c r="A61" s="170"/>
      <c r="E61" s="170" t="s">
        <v>1355</v>
      </c>
      <c r="I61" s="138" t="s">
        <v>324</v>
      </c>
      <c r="L61" s="143"/>
      <c r="R61" s="143" t="s">
        <v>1356</v>
      </c>
      <c r="Y61" s="143"/>
      <c r="Z61" s="1547"/>
      <c r="AB61" s="1547"/>
      <c r="AD61" s="73"/>
      <c r="AE61" s="1561"/>
      <c r="AF61" s="73"/>
      <c r="AR61" s="143"/>
    </row>
    <row r="62" spans="1:44" ht="15" customHeight="1">
      <c r="A62" s="170"/>
      <c r="E62" s="170" t="s">
        <v>414</v>
      </c>
      <c r="I62" s="138" t="s">
        <v>324</v>
      </c>
      <c r="L62" s="143"/>
      <c r="R62" s="143" t="s">
        <v>580</v>
      </c>
      <c r="Y62" s="143"/>
      <c r="Z62" s="1547"/>
      <c r="AB62" s="1547"/>
      <c r="AD62" s="73"/>
      <c r="AE62" s="1561"/>
      <c r="AF62" s="73"/>
      <c r="AR62" s="143"/>
    </row>
    <row r="63" spans="1:44" ht="15" customHeight="1">
      <c r="A63" s="170"/>
      <c r="E63" s="170" t="s">
        <v>1608</v>
      </c>
      <c r="I63" s="138" t="s">
        <v>324</v>
      </c>
      <c r="L63" s="143"/>
      <c r="R63" s="143" t="s">
        <v>581</v>
      </c>
      <c r="Y63" s="143"/>
      <c r="Z63" s="1547"/>
      <c r="AB63" s="1547"/>
      <c r="AD63" s="73"/>
      <c r="AE63" s="1561"/>
      <c r="AF63" s="73"/>
      <c r="AR63" s="143"/>
    </row>
    <row r="64" spans="1:44" ht="15" customHeight="1">
      <c r="A64" s="170"/>
      <c r="E64" s="170" t="s">
        <v>579</v>
      </c>
      <c r="I64" s="138" t="s">
        <v>324</v>
      </c>
      <c r="L64" s="143"/>
      <c r="R64" s="143" t="s">
        <v>582</v>
      </c>
      <c r="Y64" s="143"/>
      <c r="Z64" s="1547"/>
      <c r="AB64" s="1547"/>
      <c r="AD64" s="73"/>
      <c r="AE64" s="1561"/>
      <c r="AF64" s="73"/>
      <c r="AR64" s="143"/>
    </row>
    <row r="65" spans="1:44" ht="15" customHeight="1">
      <c r="A65" s="170"/>
      <c r="E65" s="170" t="s">
        <v>1330</v>
      </c>
      <c r="I65" s="138" t="s">
        <v>324</v>
      </c>
      <c r="L65" s="143"/>
      <c r="R65" s="143" t="s">
        <v>1239</v>
      </c>
      <c r="Y65" s="143"/>
      <c r="Z65" s="1547"/>
      <c r="AB65" s="1547"/>
      <c r="AD65" s="73"/>
      <c r="AE65" s="1561"/>
      <c r="AF65" s="73"/>
      <c r="AR65" s="143"/>
    </row>
    <row r="66" spans="1:44" ht="15" customHeight="1">
      <c r="A66" s="170"/>
      <c r="E66" s="170" t="s">
        <v>1726</v>
      </c>
      <c r="I66" s="138" t="s">
        <v>324</v>
      </c>
      <c r="L66" s="143" t="s">
        <v>1728</v>
      </c>
      <c r="R66" s="143" t="s">
        <v>1729</v>
      </c>
      <c r="Y66" s="143"/>
      <c r="Z66" s="1547"/>
      <c r="AB66" s="1547"/>
      <c r="AD66" s="73"/>
      <c r="AE66" s="1561"/>
      <c r="AF66" s="73"/>
      <c r="AR66" s="143"/>
    </row>
    <row r="67" spans="1:44" ht="15" customHeight="1">
      <c r="A67" s="170"/>
      <c r="B67" s="170"/>
      <c r="C67" s="138"/>
      <c r="Y67" s="143"/>
      <c r="Z67" s="1547"/>
      <c r="AB67" s="1547"/>
      <c r="AD67" s="73"/>
      <c r="AE67" s="1561"/>
      <c r="AF67" s="73"/>
      <c r="AR67" s="143"/>
    </row>
    <row r="68" spans="1:44" ht="15" customHeight="1">
      <c r="A68" s="170"/>
      <c r="H68" s="4"/>
      <c r="I68" s="4"/>
      <c r="Y68" s="143"/>
      <c r="Z68" s="1547"/>
      <c r="AB68" s="1547"/>
      <c r="AD68" s="73"/>
      <c r="AE68" s="1561"/>
      <c r="AF68" s="73"/>
      <c r="AR68" s="143"/>
    </row>
    <row r="69" spans="1:44" ht="15" customHeight="1">
      <c r="A69" s="170"/>
      <c r="B69" s="170"/>
      <c r="C69" s="138"/>
      <c r="H69" s="4"/>
      <c r="I69" s="4"/>
      <c r="Y69" s="143"/>
      <c r="Z69" s="1547"/>
      <c r="AB69" s="1547"/>
      <c r="AD69" s="73"/>
      <c r="AE69" s="1561"/>
      <c r="AF69" s="73"/>
      <c r="AR69" s="143"/>
    </row>
    <row r="70" spans="1:44" ht="15" customHeight="1">
      <c r="A70" s="170"/>
      <c r="B70" s="170"/>
      <c r="C70" s="138"/>
      <c r="H70" s="4"/>
      <c r="I70" s="4"/>
      <c r="Y70" s="143"/>
      <c r="Z70" s="1547"/>
      <c r="AB70" s="1547"/>
      <c r="AD70" s="73"/>
      <c r="AE70" s="1561"/>
      <c r="AF70" s="73"/>
      <c r="AR70" s="143"/>
    </row>
    <row r="71" spans="1:44" ht="15" customHeight="1">
      <c r="A71" s="170"/>
      <c r="B71" s="170"/>
      <c r="C71" s="138"/>
      <c r="H71" s="4"/>
      <c r="I71" s="4"/>
      <c r="Y71" s="143"/>
      <c r="Z71" s="1547"/>
      <c r="AB71" s="1547"/>
      <c r="AD71" s="73"/>
      <c r="AE71" s="1561"/>
      <c r="AF71" s="73"/>
      <c r="AR71" s="143"/>
    </row>
    <row r="72" spans="1:44" ht="15" customHeight="1">
      <c r="A72" s="170"/>
      <c r="B72" s="170"/>
      <c r="C72" s="138"/>
      <c r="H72" s="4"/>
      <c r="I72" s="4"/>
      <c r="Y72" s="143"/>
      <c r="Z72" s="1547"/>
      <c r="AB72" s="1547"/>
      <c r="AD72" s="73"/>
      <c r="AE72" s="1561"/>
      <c r="AF72" s="73"/>
      <c r="AR72" s="143"/>
    </row>
    <row r="73" spans="1:44" ht="15" customHeight="1">
      <c r="A73" s="170"/>
      <c r="B73" s="170"/>
      <c r="C73" s="138"/>
      <c r="H73" s="4"/>
      <c r="I73" s="4"/>
      <c r="Y73" s="143"/>
      <c r="Z73" s="1547"/>
      <c r="AB73" s="1547"/>
      <c r="AD73" s="73"/>
      <c r="AE73" s="1561"/>
      <c r="AF73" s="73"/>
      <c r="AR73" s="143"/>
    </row>
    <row r="74" spans="1:44" ht="15" customHeight="1">
      <c r="A74" s="170"/>
      <c r="B74" s="170"/>
      <c r="C74" s="138"/>
      <c r="H74" s="4"/>
      <c r="I74" s="4"/>
      <c r="Y74" s="143"/>
      <c r="Z74" s="1547"/>
      <c r="AB74" s="1547"/>
      <c r="AD74" s="73"/>
      <c r="AE74" s="1561"/>
      <c r="AF74" s="73"/>
      <c r="AR74" s="143"/>
    </row>
    <row r="75" spans="1:44" ht="15" customHeight="1">
      <c r="A75" s="170"/>
      <c r="B75" s="170"/>
      <c r="C75" s="138"/>
      <c r="H75" s="450"/>
      <c r="I75" s="4"/>
      <c r="Y75" s="143"/>
      <c r="Z75" s="1547"/>
      <c r="AB75" s="1547"/>
      <c r="AD75" s="73"/>
      <c r="AE75" s="1561"/>
      <c r="AF75" s="73"/>
      <c r="AR75" s="143"/>
    </row>
    <row r="76" spans="1:44" ht="15" customHeight="1">
      <c r="A76" s="170"/>
      <c r="B76" s="170"/>
      <c r="C76" s="138"/>
      <c r="H76" s="4"/>
      <c r="I76" s="4"/>
      <c r="Y76" s="143"/>
      <c r="Z76" s="1547"/>
      <c r="AB76" s="1547"/>
      <c r="AD76" s="73"/>
      <c r="AE76" s="1561"/>
      <c r="AF76" s="73"/>
      <c r="AR76" s="143"/>
    </row>
    <row r="77" spans="1:44" ht="15" customHeight="1">
      <c r="A77" s="170"/>
      <c r="B77" s="170"/>
      <c r="C77" s="138"/>
      <c r="H77" s="4"/>
      <c r="I77" s="4"/>
      <c r="Y77" s="143"/>
      <c r="Z77" s="1547"/>
      <c r="AB77" s="1547"/>
      <c r="AD77" s="73"/>
      <c r="AE77" s="1561"/>
      <c r="AF77" s="73"/>
      <c r="AR77" s="143"/>
    </row>
    <row r="78" spans="1:44" ht="15" customHeight="1">
      <c r="A78" s="170"/>
      <c r="B78" s="170"/>
      <c r="C78" s="138"/>
      <c r="H78" s="4"/>
      <c r="I78" s="4"/>
      <c r="Y78" s="143"/>
      <c r="Z78" s="1547"/>
      <c r="AB78" s="1547"/>
      <c r="AD78" s="73"/>
      <c r="AE78" s="1561"/>
      <c r="AF78" s="73"/>
      <c r="AR78" s="143"/>
    </row>
    <row r="79" spans="1:44" ht="15" customHeight="1">
      <c r="A79" s="170"/>
      <c r="B79" s="170"/>
      <c r="C79" s="138"/>
      <c r="H79" s="4"/>
      <c r="I79" s="4"/>
      <c r="Y79" s="143"/>
      <c r="Z79" s="1547"/>
      <c r="AB79" s="1547"/>
      <c r="AD79" s="73"/>
      <c r="AE79" s="1561"/>
      <c r="AF79" s="73"/>
      <c r="AR79" s="143"/>
    </row>
    <row r="80" spans="1:44" ht="15" customHeight="1">
      <c r="A80" s="170"/>
      <c r="B80" s="170"/>
      <c r="C80" s="138"/>
      <c r="H80" s="4"/>
      <c r="I80" s="4"/>
      <c r="Y80" s="143"/>
      <c r="Z80" s="1547"/>
      <c r="AB80" s="1547"/>
      <c r="AD80" s="73"/>
      <c r="AE80" s="1561"/>
      <c r="AF80" s="73"/>
      <c r="AR80" s="143"/>
    </row>
    <row r="81" spans="1:51" ht="15" customHeight="1">
      <c r="A81" s="170"/>
      <c r="B81" s="96" t="s">
        <v>583</v>
      </c>
      <c r="C81" s="138"/>
      <c r="H81" s="4"/>
      <c r="I81" s="4"/>
      <c r="Y81" s="143"/>
      <c r="Z81" s="1547"/>
      <c r="AB81" s="1547"/>
      <c r="AD81" s="73"/>
      <c r="AE81" s="1561"/>
      <c r="AF81" s="73"/>
      <c r="AR81" s="143"/>
    </row>
    <row r="82" spans="1:51" ht="15" customHeight="1">
      <c r="A82" s="96"/>
      <c r="B82" s="96" t="s">
        <v>507</v>
      </c>
      <c r="L82" s="143"/>
      <c r="P82" s="170"/>
      <c r="Y82" s="143"/>
      <c r="Z82" s="1547"/>
      <c r="AB82" s="1547"/>
      <c r="AD82" s="73"/>
      <c r="AE82" s="1561"/>
      <c r="AF82" s="73"/>
      <c r="AR82" s="143"/>
      <c r="AV82" s="137"/>
      <c r="AY82" s="138"/>
    </row>
    <row r="83" spans="1:51" ht="15" customHeight="1">
      <c r="A83" s="1666"/>
      <c r="B83" s="1242" t="s">
        <v>506</v>
      </c>
      <c r="C83" s="1242"/>
      <c r="D83" s="1242"/>
      <c r="E83" s="1242"/>
      <c r="F83" s="1242" t="s">
        <v>523</v>
      </c>
      <c r="G83" s="1667"/>
      <c r="H83" s="1242"/>
      <c r="I83" s="1242"/>
      <c r="J83" s="1242"/>
      <c r="K83" s="1667"/>
      <c r="L83" s="1667"/>
      <c r="M83" s="1667"/>
      <c r="N83" s="1242"/>
      <c r="O83" s="1667"/>
      <c r="P83" s="1667"/>
      <c r="Q83" s="1667"/>
      <c r="R83" s="1667"/>
      <c r="S83" s="1667"/>
      <c r="T83" s="1667"/>
      <c r="U83" s="1667"/>
      <c r="V83" s="1667"/>
      <c r="W83" s="1667"/>
      <c r="X83" s="1667"/>
      <c r="Y83" s="1667"/>
      <c r="Z83" s="1668"/>
      <c r="AA83" s="1667"/>
      <c r="AB83" s="1668"/>
      <c r="AC83" s="1667"/>
      <c r="AD83" s="1667"/>
      <c r="AE83" s="1668"/>
      <c r="AF83" s="1242" t="s">
        <v>593</v>
      </c>
      <c r="AG83" s="1667"/>
      <c r="AH83" s="1667"/>
      <c r="AI83" s="1667"/>
      <c r="AJ83" s="1669"/>
      <c r="AK83" s="1669"/>
      <c r="AL83" s="1669"/>
      <c r="AM83" s="1669"/>
      <c r="AN83" s="1669"/>
      <c r="AO83" s="1669"/>
      <c r="AP83" s="1669"/>
      <c r="AQ83" s="1669"/>
      <c r="AR83" s="1669"/>
      <c r="AS83" s="1727"/>
      <c r="AT83" s="115"/>
      <c r="AU83" s="115"/>
      <c r="AV83" s="115"/>
      <c r="AY83" s="138"/>
    </row>
    <row r="84" spans="1:51" ht="15" customHeight="1">
      <c r="A84" s="1655" t="s">
        <v>417</v>
      </c>
      <c r="B84" s="170"/>
      <c r="C84" s="170"/>
      <c r="D84" s="170"/>
      <c r="E84" s="1656" t="s">
        <v>203</v>
      </c>
      <c r="H84" s="170"/>
      <c r="I84" s="170"/>
      <c r="J84" s="170"/>
      <c r="L84" s="143"/>
      <c r="N84" s="170"/>
      <c r="Y84" s="143"/>
      <c r="Z84" s="1547"/>
      <c r="AB84" s="1547"/>
      <c r="AD84" s="73"/>
      <c r="AE84" s="1561"/>
      <c r="AF84" s="170" t="s">
        <v>594</v>
      </c>
      <c r="AG84" s="1547"/>
      <c r="AH84" s="143"/>
      <c r="AI84" s="143"/>
      <c r="AJ84" s="53"/>
      <c r="AK84" s="53"/>
      <c r="AL84" s="53"/>
      <c r="AM84" s="53"/>
      <c r="AN84" s="53"/>
      <c r="AO84" s="53"/>
      <c r="AP84" s="53"/>
      <c r="AQ84" s="53"/>
      <c r="AR84" s="115"/>
      <c r="AS84" s="1727"/>
      <c r="AT84" s="115"/>
      <c r="AU84" s="115"/>
      <c r="AV84" s="115"/>
      <c r="AW84" s="170"/>
      <c r="AX84" s="170"/>
      <c r="AY84" s="138"/>
    </row>
    <row r="85" spans="1:51" ht="15" customHeight="1">
      <c r="A85" s="1656" t="s">
        <v>3009</v>
      </c>
      <c r="C85" s="170"/>
      <c r="D85" s="170"/>
      <c r="E85" s="1656" t="s">
        <v>1346</v>
      </c>
      <c r="F85" s="170"/>
      <c r="H85" s="170"/>
      <c r="I85" s="170"/>
      <c r="J85" s="170"/>
      <c r="L85" s="143"/>
      <c r="N85" s="170"/>
      <c r="Y85" s="143"/>
      <c r="Z85" s="1547"/>
      <c r="AB85" s="1547"/>
      <c r="AD85" s="73"/>
      <c r="AE85" s="1561"/>
      <c r="AF85" s="170" t="s">
        <v>595</v>
      </c>
      <c r="AG85" s="1547"/>
      <c r="AH85" s="143"/>
      <c r="AI85" s="143"/>
      <c r="AJ85" s="53"/>
      <c r="AK85" s="53"/>
      <c r="AL85" s="53"/>
      <c r="AM85" s="53"/>
      <c r="AN85" s="53"/>
      <c r="AO85" s="53"/>
      <c r="AP85" s="53"/>
      <c r="AQ85" s="53"/>
      <c r="AR85" s="115"/>
      <c r="AS85" s="1727"/>
      <c r="AT85" s="115"/>
      <c r="AU85" s="115"/>
      <c r="AV85" s="115"/>
      <c r="AW85" s="170"/>
      <c r="AX85" s="170"/>
      <c r="AY85" s="138"/>
    </row>
    <row r="86" spans="1:51" ht="15" customHeight="1">
      <c r="A86" s="1655"/>
      <c r="B86" s="170"/>
      <c r="C86" s="170"/>
      <c r="D86" s="170"/>
      <c r="E86" s="1656"/>
      <c r="F86" s="170"/>
      <c r="H86" s="170"/>
      <c r="I86" s="170"/>
      <c r="J86" s="170"/>
      <c r="L86" s="143"/>
      <c r="N86" s="170"/>
      <c r="Y86" s="143"/>
      <c r="Z86" s="1547"/>
      <c r="AB86" s="1547"/>
      <c r="AD86" s="73"/>
      <c r="AE86" s="1561"/>
      <c r="AF86" s="170" t="s">
        <v>1981</v>
      </c>
      <c r="AG86" s="1547"/>
      <c r="AH86" s="143"/>
      <c r="AI86" s="143"/>
      <c r="AJ86" s="53"/>
      <c r="AK86" s="53"/>
      <c r="AL86" s="53"/>
      <c r="AM86" s="53"/>
      <c r="AN86" s="53"/>
      <c r="AO86" s="53"/>
      <c r="AP86" s="53"/>
      <c r="AQ86" s="53"/>
      <c r="AR86" s="115"/>
      <c r="AS86" s="1727"/>
      <c r="AT86" s="115"/>
      <c r="AU86" s="115"/>
      <c r="AV86" s="115"/>
      <c r="AW86" s="170"/>
      <c r="AX86" s="170"/>
      <c r="AY86" s="138"/>
    </row>
    <row r="87" spans="1:51" ht="15" customHeight="1">
      <c r="A87" s="1655" t="s">
        <v>3010</v>
      </c>
      <c r="B87" s="170"/>
      <c r="C87" s="170"/>
      <c r="D87" s="170"/>
      <c r="E87" s="1655" t="s">
        <v>3197</v>
      </c>
      <c r="F87" s="170"/>
      <c r="G87" s="170"/>
      <c r="H87" s="170"/>
      <c r="I87" s="170"/>
      <c r="J87" s="170"/>
      <c r="L87" s="143"/>
      <c r="N87" s="170"/>
      <c r="Y87" s="143"/>
      <c r="Z87" s="1547"/>
      <c r="AB87" s="1547"/>
      <c r="AD87" s="73"/>
      <c r="AE87" s="1561"/>
      <c r="AF87" s="170" t="s">
        <v>1982</v>
      </c>
      <c r="AG87" s="1547"/>
      <c r="AH87" s="143"/>
      <c r="AI87" s="143"/>
      <c r="AJ87" s="53"/>
      <c r="AK87" s="53"/>
      <c r="AL87" s="53"/>
      <c r="AM87" s="53"/>
      <c r="AN87" s="53"/>
      <c r="AO87" s="53"/>
      <c r="AP87" s="53"/>
      <c r="AQ87" s="53"/>
      <c r="AR87" s="115"/>
      <c r="AS87" s="1727"/>
      <c r="AT87" s="115"/>
      <c r="AU87" s="115"/>
      <c r="AV87" s="115"/>
      <c r="AW87" s="170"/>
      <c r="AX87" s="170"/>
      <c r="AY87" s="138"/>
    </row>
    <row r="88" spans="1:51" ht="15" customHeight="1">
      <c r="A88" s="1655"/>
      <c r="B88" s="170"/>
      <c r="C88" s="170"/>
      <c r="D88" s="170"/>
      <c r="E88" s="1656"/>
      <c r="F88" s="170"/>
      <c r="G88" s="170"/>
      <c r="H88" s="170"/>
      <c r="I88" s="170"/>
      <c r="J88" s="170"/>
      <c r="L88" s="143"/>
      <c r="N88" s="170"/>
      <c r="Y88" s="143"/>
      <c r="Z88" s="1547"/>
      <c r="AB88" s="1547"/>
      <c r="AD88" s="73"/>
      <c r="AE88" s="1561"/>
      <c r="AF88" s="170" t="s">
        <v>1983</v>
      </c>
      <c r="AG88" s="1547"/>
      <c r="AH88" s="143"/>
      <c r="AI88" s="143"/>
      <c r="AJ88" s="53"/>
      <c r="AK88" s="53"/>
      <c r="AL88" s="53"/>
      <c r="AM88" s="53"/>
      <c r="AN88" s="53"/>
      <c r="AO88" s="53"/>
      <c r="AP88" s="53"/>
      <c r="AQ88" s="53"/>
      <c r="AR88" s="115"/>
      <c r="AS88" s="1727"/>
      <c r="AT88" s="115"/>
      <c r="AU88" s="115"/>
      <c r="AV88" s="115"/>
      <c r="AW88" s="170"/>
      <c r="AX88" s="170"/>
      <c r="AY88" s="138"/>
    </row>
    <row r="89" spans="1:51" ht="15" customHeight="1">
      <c r="A89" s="1655" t="s">
        <v>3011</v>
      </c>
      <c r="B89" s="170"/>
      <c r="C89" s="170"/>
      <c r="D89" s="170"/>
      <c r="E89" s="1655" t="s">
        <v>3012</v>
      </c>
      <c r="F89" s="170"/>
      <c r="G89" s="170"/>
      <c r="H89" s="170"/>
      <c r="I89" s="170"/>
      <c r="J89" s="170"/>
      <c r="L89" s="143"/>
      <c r="N89" s="170"/>
      <c r="Y89" s="143"/>
      <c r="Z89" s="1547"/>
      <c r="AB89" s="1547"/>
      <c r="AD89" s="73"/>
      <c r="AE89" s="1561"/>
      <c r="AF89" s="170" t="s">
        <v>1984</v>
      </c>
      <c r="AG89" s="1547"/>
      <c r="AH89" s="143"/>
      <c r="AI89" s="143"/>
      <c r="AJ89" s="53"/>
      <c r="AK89" s="53"/>
      <c r="AL89" s="53"/>
      <c r="AM89" s="53"/>
      <c r="AN89" s="53"/>
      <c r="AO89" s="53"/>
      <c r="AP89" s="53"/>
      <c r="AQ89" s="53"/>
      <c r="AR89" s="115"/>
      <c r="AS89" s="1727"/>
      <c r="AT89" s="115"/>
      <c r="AU89" s="115"/>
      <c r="AV89" s="115"/>
      <c r="AW89" s="170"/>
      <c r="AX89" s="170"/>
      <c r="AY89" s="138"/>
    </row>
    <row r="90" spans="1:51" ht="15" customHeight="1">
      <c r="A90" s="1655"/>
      <c r="B90" s="170"/>
      <c r="C90" s="170"/>
      <c r="D90" s="170"/>
      <c r="E90" s="1655" t="s">
        <v>3013</v>
      </c>
      <c r="F90" s="170"/>
      <c r="G90" s="170"/>
      <c r="H90" s="170"/>
      <c r="I90" s="170"/>
      <c r="J90" s="170"/>
      <c r="L90" s="143"/>
      <c r="N90" s="170"/>
      <c r="Y90" s="143"/>
      <c r="Z90" s="1547"/>
      <c r="AB90" s="1547"/>
      <c r="AD90" s="73"/>
      <c r="AE90" s="1561"/>
      <c r="AF90" s="170" t="s">
        <v>1985</v>
      </c>
      <c r="AG90" s="1547"/>
      <c r="AH90" s="143"/>
      <c r="AI90" s="143"/>
      <c r="AJ90" s="53"/>
      <c r="AK90" s="53"/>
      <c r="AL90" s="53"/>
      <c r="AM90" s="53"/>
      <c r="AN90" s="53"/>
      <c r="AO90" s="53"/>
      <c r="AP90" s="53"/>
      <c r="AQ90" s="53"/>
      <c r="AR90" s="115"/>
      <c r="AS90" s="1727"/>
      <c r="AT90" s="115"/>
      <c r="AU90" s="115"/>
      <c r="AV90" s="115"/>
      <c r="AW90" s="170"/>
      <c r="AX90" s="170"/>
      <c r="AY90" s="138"/>
    </row>
    <row r="91" spans="1:51" ht="15" customHeight="1">
      <c r="A91" s="1657"/>
      <c r="B91" s="1333"/>
      <c r="C91" s="1333"/>
      <c r="D91" s="1333"/>
      <c r="E91" s="1657"/>
      <c r="F91" s="1333"/>
      <c r="G91" s="1333"/>
      <c r="H91" s="1333"/>
      <c r="I91" s="1333"/>
      <c r="J91" s="1333"/>
      <c r="K91" s="1333"/>
      <c r="L91" s="1333"/>
      <c r="M91" s="1333"/>
      <c r="N91" s="1333"/>
      <c r="O91" s="1333"/>
      <c r="P91" s="1333"/>
      <c r="Q91" s="1333"/>
      <c r="R91" s="1333"/>
      <c r="S91" s="1333"/>
      <c r="T91" s="1333"/>
      <c r="U91" s="1333"/>
      <c r="V91" s="1333"/>
      <c r="W91" s="1333"/>
      <c r="X91" s="1333"/>
      <c r="Y91" s="1333"/>
      <c r="Z91" s="1554"/>
      <c r="AA91" s="1333"/>
      <c r="AB91" s="1554"/>
      <c r="AC91" s="1333"/>
      <c r="AD91" s="1437"/>
      <c r="AE91" s="1589"/>
      <c r="AF91" s="1333" t="s">
        <v>1720</v>
      </c>
      <c r="AG91" s="1554"/>
      <c r="AH91" s="1333"/>
      <c r="AI91" s="1333"/>
      <c r="AJ91" s="1432"/>
      <c r="AK91" s="1432"/>
      <c r="AL91" s="1432"/>
      <c r="AM91" s="1432"/>
      <c r="AN91" s="1432"/>
      <c r="AO91" s="1432"/>
      <c r="AP91" s="1432"/>
      <c r="AQ91" s="1432"/>
      <c r="AR91" s="1620"/>
      <c r="AS91" s="1727"/>
      <c r="AT91" s="115"/>
      <c r="AU91" s="115"/>
      <c r="AV91" s="115"/>
      <c r="AW91" s="170"/>
      <c r="AX91" s="170"/>
      <c r="AY91" s="138"/>
    </row>
    <row r="92" spans="1:51" ht="15" customHeight="1">
      <c r="A92" s="1655" t="s">
        <v>447</v>
      </c>
      <c r="B92" s="170"/>
      <c r="C92" s="170"/>
      <c r="D92" s="170"/>
      <c r="E92" s="1656" t="s">
        <v>230</v>
      </c>
      <c r="F92" s="170"/>
      <c r="H92" s="170"/>
      <c r="I92" s="170"/>
      <c r="J92" s="170"/>
      <c r="L92" s="143"/>
      <c r="N92" s="170"/>
      <c r="Y92" s="143"/>
      <c r="Z92" s="1547"/>
      <c r="AB92" s="1547"/>
      <c r="AD92" s="73"/>
      <c r="AE92" s="1561"/>
      <c r="AF92" s="170" t="s">
        <v>596</v>
      </c>
      <c r="AG92" s="1547"/>
      <c r="AH92" s="143"/>
      <c r="AI92" s="143"/>
      <c r="AJ92" s="53"/>
      <c r="AK92" s="53"/>
      <c r="AL92" s="53"/>
      <c r="AM92" s="53"/>
      <c r="AN92" s="53"/>
      <c r="AO92" s="53"/>
      <c r="AP92" s="53"/>
      <c r="AQ92" s="53"/>
      <c r="AR92" s="115"/>
      <c r="AS92" s="1727"/>
      <c r="AT92" s="115"/>
      <c r="AU92" s="115"/>
      <c r="AV92" s="115"/>
      <c r="AW92" s="170"/>
      <c r="AX92" s="170"/>
      <c r="AY92" s="138"/>
    </row>
    <row r="93" spans="1:51" ht="15" customHeight="1">
      <c r="A93" s="1656" t="s">
        <v>3009</v>
      </c>
      <c r="B93" s="170"/>
      <c r="C93" s="170"/>
      <c r="D93" s="170"/>
      <c r="E93" s="1656" t="s">
        <v>1344</v>
      </c>
      <c r="F93" s="170"/>
      <c r="G93" s="170"/>
      <c r="H93" s="170"/>
      <c r="I93" s="170"/>
      <c r="J93" s="170"/>
      <c r="L93" s="143"/>
      <c r="N93" s="170"/>
      <c r="Y93" s="143"/>
      <c r="Z93" s="1547"/>
      <c r="AB93" s="1547"/>
      <c r="AD93" s="73"/>
      <c r="AE93" s="1561"/>
      <c r="AF93" s="170" t="s">
        <v>597</v>
      </c>
      <c r="AG93" s="1547"/>
      <c r="AH93" s="143"/>
      <c r="AI93" s="143"/>
      <c r="AJ93" s="53"/>
      <c r="AK93" s="53"/>
      <c r="AL93" s="53"/>
      <c r="AM93" s="53"/>
      <c r="AN93" s="53"/>
      <c r="AO93" s="53"/>
      <c r="AP93" s="53"/>
      <c r="AQ93" s="53"/>
      <c r="AR93" s="115"/>
      <c r="AS93" s="1727"/>
      <c r="AT93" s="115"/>
      <c r="AU93" s="115"/>
      <c r="AV93" s="115"/>
      <c r="AW93" s="170"/>
      <c r="AX93" s="170"/>
      <c r="AY93" s="138"/>
    </row>
    <row r="94" spans="1:51" ht="15" customHeight="1">
      <c r="A94" s="1655"/>
      <c r="B94" s="170"/>
      <c r="C94" s="170"/>
      <c r="D94" s="170"/>
      <c r="E94" s="1656"/>
      <c r="F94" s="170"/>
      <c r="G94" s="170"/>
      <c r="H94" s="170"/>
      <c r="I94" s="170"/>
      <c r="J94" s="170"/>
      <c r="L94" s="143"/>
      <c r="N94" s="170"/>
      <c r="Y94" s="143"/>
      <c r="Z94" s="1547"/>
      <c r="AB94" s="1547"/>
      <c r="AD94" s="73"/>
      <c r="AE94" s="1561"/>
      <c r="AF94" s="170" t="s">
        <v>1986</v>
      </c>
      <c r="AG94" s="1547"/>
      <c r="AH94" s="143"/>
      <c r="AI94" s="143"/>
      <c r="AJ94" s="53"/>
      <c r="AK94" s="53"/>
      <c r="AL94" s="53"/>
      <c r="AM94" s="53"/>
      <c r="AN94" s="53"/>
      <c r="AO94" s="53"/>
      <c r="AP94" s="53"/>
      <c r="AQ94" s="53"/>
      <c r="AR94" s="115"/>
      <c r="AS94" s="1727"/>
      <c r="AT94" s="115"/>
      <c r="AU94" s="115"/>
      <c r="AV94" s="115"/>
      <c r="AW94" s="170"/>
      <c r="AX94" s="170"/>
      <c r="AY94" s="138"/>
    </row>
    <row r="95" spans="1:51" ht="15" customHeight="1">
      <c r="A95" s="1655" t="s">
        <v>3010</v>
      </c>
      <c r="B95" s="170"/>
      <c r="C95" s="170"/>
      <c r="D95" s="170"/>
      <c r="E95" s="1655" t="s">
        <v>3014</v>
      </c>
      <c r="F95" s="170"/>
      <c r="G95" s="170"/>
      <c r="H95" s="170"/>
      <c r="I95" s="170"/>
      <c r="J95" s="170"/>
      <c r="L95" s="143"/>
      <c r="N95" s="170"/>
      <c r="Y95" s="143"/>
      <c r="Z95" s="1547"/>
      <c r="AB95" s="1547"/>
      <c r="AD95" s="73"/>
      <c r="AE95" s="1561"/>
      <c r="AF95" s="170" t="s">
        <v>1987</v>
      </c>
      <c r="AG95" s="1547"/>
      <c r="AH95" s="143"/>
      <c r="AI95" s="143"/>
      <c r="AJ95" s="53"/>
      <c r="AK95" s="53"/>
      <c r="AL95" s="53"/>
      <c r="AM95" s="53"/>
      <c r="AN95" s="53"/>
      <c r="AO95" s="53"/>
      <c r="AP95" s="53"/>
      <c r="AQ95" s="53"/>
      <c r="AR95" s="115"/>
      <c r="AS95" s="1727"/>
      <c r="AT95" s="115"/>
      <c r="AU95" s="115"/>
      <c r="AV95" s="115"/>
      <c r="AW95" s="170"/>
      <c r="AX95" s="170"/>
      <c r="AY95" s="138"/>
    </row>
    <row r="96" spans="1:51" ht="15" customHeight="1">
      <c r="A96" s="1655"/>
      <c r="B96" s="170"/>
      <c r="C96" s="170"/>
      <c r="D96" s="170"/>
      <c r="E96" s="1656"/>
      <c r="F96" s="170"/>
      <c r="G96" s="170"/>
      <c r="H96" s="170"/>
      <c r="I96" s="170"/>
      <c r="J96" s="170"/>
      <c r="L96" s="143"/>
      <c r="N96" s="170"/>
      <c r="Y96" s="143"/>
      <c r="Z96" s="1547"/>
      <c r="AB96" s="1547"/>
      <c r="AD96" s="73"/>
      <c r="AE96" s="1561"/>
      <c r="AF96" s="170" t="s">
        <v>1988</v>
      </c>
      <c r="AG96" s="1547"/>
      <c r="AH96" s="143"/>
      <c r="AI96" s="143"/>
      <c r="AJ96" s="53"/>
      <c r="AK96" s="53"/>
      <c r="AL96" s="53"/>
      <c r="AM96" s="53"/>
      <c r="AN96" s="53"/>
      <c r="AO96" s="53"/>
      <c r="AP96" s="53"/>
      <c r="AQ96" s="53"/>
      <c r="AR96" s="115"/>
      <c r="AS96" s="1727"/>
      <c r="AT96" s="115"/>
      <c r="AU96" s="115"/>
      <c r="AV96" s="115"/>
      <c r="AW96" s="170"/>
      <c r="AX96" s="170"/>
      <c r="AY96" s="138"/>
    </row>
    <row r="97" spans="1:51" ht="15" customHeight="1">
      <c r="A97" s="1655" t="s">
        <v>3011</v>
      </c>
      <c r="B97" s="170"/>
      <c r="C97" s="170"/>
      <c r="D97" s="170"/>
      <c r="E97" s="1655" t="s">
        <v>3015</v>
      </c>
      <c r="F97" s="170"/>
      <c r="G97" s="170"/>
      <c r="H97" s="170"/>
      <c r="I97" s="170"/>
      <c r="J97" s="170"/>
      <c r="L97" s="143"/>
      <c r="N97" s="170"/>
      <c r="Y97" s="143"/>
      <c r="Z97" s="1547"/>
      <c r="AB97" s="1547"/>
      <c r="AD97" s="73"/>
      <c r="AE97" s="1561"/>
      <c r="AF97" s="170" t="s">
        <v>1989</v>
      </c>
      <c r="AG97" s="1547"/>
      <c r="AH97" s="143"/>
      <c r="AI97" s="143"/>
      <c r="AJ97" s="53"/>
      <c r="AK97" s="53"/>
      <c r="AL97" s="53"/>
      <c r="AM97" s="53"/>
      <c r="AN97" s="53"/>
      <c r="AO97" s="53"/>
      <c r="AP97" s="53"/>
      <c r="AQ97" s="53"/>
      <c r="AR97" s="115"/>
      <c r="AS97" s="1727"/>
      <c r="AT97" s="115"/>
      <c r="AU97" s="115"/>
      <c r="AV97" s="115"/>
      <c r="AW97" s="170"/>
      <c r="AX97" s="170"/>
      <c r="AY97" s="138"/>
    </row>
    <row r="98" spans="1:51" ht="15" customHeight="1">
      <c r="A98" s="1656"/>
      <c r="B98" s="170"/>
      <c r="C98" s="170"/>
      <c r="D98" s="170"/>
      <c r="E98" s="1655" t="s">
        <v>3013</v>
      </c>
      <c r="F98" s="170"/>
      <c r="G98" s="170"/>
      <c r="H98" s="170"/>
      <c r="I98" s="170"/>
      <c r="J98" s="170"/>
      <c r="L98" s="143"/>
      <c r="N98" s="170"/>
      <c r="Y98" s="143"/>
      <c r="Z98" s="1547"/>
      <c r="AB98" s="1547"/>
      <c r="AD98" s="73"/>
      <c r="AE98" s="1561"/>
      <c r="AF98" s="170" t="s">
        <v>1990</v>
      </c>
      <c r="AG98" s="1547"/>
      <c r="AH98" s="143"/>
      <c r="AI98" s="143"/>
      <c r="AJ98" s="53"/>
      <c r="AK98" s="53"/>
      <c r="AL98" s="53"/>
      <c r="AM98" s="53"/>
      <c r="AN98" s="53"/>
      <c r="AO98" s="53"/>
      <c r="AP98" s="53"/>
      <c r="AQ98" s="53"/>
      <c r="AR98" s="115"/>
      <c r="AS98" s="1727"/>
      <c r="AT98" s="115"/>
      <c r="AU98" s="115"/>
      <c r="AV98" s="115"/>
      <c r="AW98" s="170"/>
      <c r="AX98" s="170"/>
      <c r="AY98" s="138"/>
    </row>
    <row r="99" spans="1:51" ht="15" customHeight="1">
      <c r="A99" s="1657"/>
      <c r="B99" s="1333"/>
      <c r="C99" s="1333"/>
      <c r="D99" s="1333"/>
      <c r="E99" s="1657"/>
      <c r="F99" s="1333"/>
      <c r="G99" s="1333"/>
      <c r="H99" s="1333"/>
      <c r="I99" s="1333"/>
      <c r="J99" s="1333"/>
      <c r="K99" s="1333"/>
      <c r="L99" s="1333"/>
      <c r="M99" s="1333"/>
      <c r="N99" s="1333"/>
      <c r="O99" s="1333"/>
      <c r="P99" s="1333"/>
      <c r="Q99" s="1333"/>
      <c r="R99" s="1333"/>
      <c r="S99" s="1333"/>
      <c r="T99" s="1333"/>
      <c r="U99" s="1333"/>
      <c r="V99" s="1333"/>
      <c r="W99" s="1333"/>
      <c r="X99" s="1333"/>
      <c r="Y99" s="1333"/>
      <c r="Z99" s="1554"/>
      <c r="AA99" s="1333"/>
      <c r="AB99" s="1554"/>
      <c r="AC99" s="1333"/>
      <c r="AD99" s="1437"/>
      <c r="AE99" s="1589"/>
      <c r="AF99" s="1333" t="s">
        <v>1721</v>
      </c>
      <c r="AG99" s="1554"/>
      <c r="AH99" s="1333"/>
      <c r="AI99" s="1333"/>
      <c r="AJ99" s="1432"/>
      <c r="AK99" s="1432"/>
      <c r="AL99" s="1432"/>
      <c r="AM99" s="1432"/>
      <c r="AN99" s="1432"/>
      <c r="AO99" s="1432"/>
      <c r="AP99" s="1432"/>
      <c r="AQ99" s="1432"/>
      <c r="AR99" s="1620"/>
      <c r="AS99" s="1727"/>
      <c r="AT99" s="115"/>
      <c r="AU99" s="115"/>
      <c r="AV99" s="115"/>
      <c r="AW99" s="170"/>
      <c r="AX99" s="170"/>
      <c r="AY99" s="138"/>
    </row>
    <row r="100" spans="1:51" ht="15" customHeight="1">
      <c r="A100" s="1655" t="s">
        <v>448</v>
      </c>
      <c r="B100" s="170"/>
      <c r="C100" s="170"/>
      <c r="D100" s="170"/>
      <c r="E100" s="1656" t="s">
        <v>222</v>
      </c>
      <c r="F100" s="170"/>
      <c r="H100" s="170"/>
      <c r="I100" s="170"/>
      <c r="J100" s="170"/>
      <c r="L100" s="143"/>
      <c r="N100" s="170"/>
      <c r="Y100" s="143"/>
      <c r="Z100" s="1547"/>
      <c r="AB100" s="1547"/>
      <c r="AD100" s="73"/>
      <c r="AE100" s="1561"/>
      <c r="AF100" s="170" t="s">
        <v>1993</v>
      </c>
      <c r="AG100" s="1547"/>
      <c r="AH100" s="143"/>
      <c r="AI100" s="143"/>
      <c r="AJ100" s="53"/>
      <c r="AK100" s="53"/>
      <c r="AL100" s="53"/>
      <c r="AM100" s="53"/>
      <c r="AN100" s="53"/>
      <c r="AO100" s="53"/>
      <c r="AP100" s="53"/>
      <c r="AQ100" s="53"/>
      <c r="AR100" s="115"/>
      <c r="AS100" s="1727"/>
      <c r="AT100" s="115"/>
      <c r="AU100" s="115"/>
      <c r="AV100" s="115"/>
      <c r="AW100" s="170"/>
      <c r="AX100" s="170"/>
      <c r="AY100" s="138"/>
    </row>
    <row r="101" spans="1:51" ht="15" customHeight="1">
      <c r="A101" s="1656" t="s">
        <v>3009</v>
      </c>
      <c r="B101" s="170"/>
      <c r="C101" s="170"/>
      <c r="D101" s="170"/>
      <c r="E101" s="1656" t="s">
        <v>1345</v>
      </c>
      <c r="F101" s="170"/>
      <c r="G101" s="170"/>
      <c r="H101" s="170"/>
      <c r="I101" s="170"/>
      <c r="J101" s="170"/>
      <c r="L101" s="143"/>
      <c r="N101" s="170"/>
      <c r="Y101" s="143"/>
      <c r="Z101" s="1547"/>
      <c r="AB101" s="1547"/>
      <c r="AD101" s="73"/>
      <c r="AE101" s="1561"/>
      <c r="AF101" s="170" t="s">
        <v>1994</v>
      </c>
      <c r="AG101" s="1547"/>
      <c r="AH101" s="143"/>
      <c r="AI101" s="143"/>
      <c r="AJ101" s="53"/>
      <c r="AK101" s="53"/>
      <c r="AL101" s="53"/>
      <c r="AM101" s="53"/>
      <c r="AN101" s="53"/>
      <c r="AO101" s="53"/>
      <c r="AP101" s="53"/>
      <c r="AQ101" s="53"/>
      <c r="AR101" s="115"/>
      <c r="AS101" s="1727"/>
      <c r="AT101" s="115"/>
      <c r="AU101" s="115"/>
      <c r="AV101" s="115"/>
      <c r="AW101" s="170"/>
      <c r="AX101" s="170"/>
      <c r="AY101" s="138"/>
    </row>
    <row r="102" spans="1:51" ht="15" customHeight="1">
      <c r="A102" s="1655"/>
      <c r="B102" s="170"/>
      <c r="C102" s="170"/>
      <c r="D102" s="170"/>
      <c r="E102" s="1656"/>
      <c r="F102" s="170"/>
      <c r="G102" s="170"/>
      <c r="H102" s="170"/>
      <c r="I102" s="170"/>
      <c r="J102" s="170"/>
      <c r="L102" s="143"/>
      <c r="N102" s="170"/>
      <c r="Y102" s="143"/>
      <c r="Z102" s="1547"/>
      <c r="AB102" s="1547"/>
      <c r="AD102" s="73"/>
      <c r="AE102" s="1561"/>
      <c r="AF102" s="170" t="s">
        <v>1995</v>
      </c>
      <c r="AG102" s="1547"/>
      <c r="AH102" s="143"/>
      <c r="AI102" s="143"/>
      <c r="AJ102" s="53"/>
      <c r="AK102" s="53"/>
      <c r="AL102" s="53"/>
      <c r="AM102" s="53"/>
      <c r="AN102" s="53"/>
      <c r="AO102" s="53"/>
      <c r="AP102" s="53"/>
      <c r="AQ102" s="53"/>
      <c r="AR102" s="115"/>
      <c r="AS102" s="1727"/>
      <c r="AT102" s="115"/>
      <c r="AU102" s="115"/>
      <c r="AV102" s="115"/>
      <c r="AW102" s="170"/>
      <c r="AX102" s="170"/>
      <c r="AY102" s="138"/>
    </row>
    <row r="103" spans="1:51" ht="15" customHeight="1">
      <c r="A103" s="1655" t="s">
        <v>3010</v>
      </c>
      <c r="B103" s="170"/>
      <c r="C103" s="170"/>
      <c r="D103" s="170"/>
      <c r="E103" s="1655" t="s">
        <v>3016</v>
      </c>
      <c r="F103" s="170"/>
      <c r="G103" s="170"/>
      <c r="H103" s="170"/>
      <c r="I103" s="170"/>
      <c r="J103" s="170"/>
      <c r="L103" s="143"/>
      <c r="N103" s="170"/>
      <c r="Y103" s="143"/>
      <c r="Z103" s="1547"/>
      <c r="AB103" s="1547"/>
      <c r="AD103" s="73"/>
      <c r="AE103" s="1561"/>
      <c r="AF103" s="170" t="s">
        <v>1996</v>
      </c>
      <c r="AG103" s="1547"/>
      <c r="AH103" s="143"/>
      <c r="AI103" s="143"/>
      <c r="AJ103" s="53"/>
      <c r="AK103" s="53"/>
      <c r="AL103" s="53"/>
      <c r="AM103" s="53"/>
      <c r="AN103" s="53"/>
      <c r="AO103" s="53"/>
      <c r="AP103" s="53"/>
      <c r="AQ103" s="53"/>
      <c r="AR103" s="115"/>
      <c r="AS103" s="1727"/>
      <c r="AT103" s="115"/>
      <c r="AU103" s="115"/>
      <c r="AV103" s="115"/>
      <c r="AW103" s="170"/>
      <c r="AX103" s="170"/>
      <c r="AY103" s="138"/>
    </row>
    <row r="104" spans="1:51" ht="15" customHeight="1">
      <c r="A104" s="1655"/>
      <c r="B104" s="170"/>
      <c r="C104" s="170"/>
      <c r="D104" s="170"/>
      <c r="E104" s="1656"/>
      <c r="F104" s="170"/>
      <c r="G104" s="170"/>
      <c r="H104" s="170"/>
      <c r="I104" s="170"/>
      <c r="J104" s="170"/>
      <c r="L104" s="143"/>
      <c r="N104" s="170"/>
      <c r="Y104" s="143"/>
      <c r="Z104" s="1547"/>
      <c r="AB104" s="1547"/>
      <c r="AD104" s="73"/>
      <c r="AE104" s="1561"/>
      <c r="AF104" s="170" t="s">
        <v>1997</v>
      </c>
      <c r="AG104" s="1547"/>
      <c r="AH104" s="143"/>
      <c r="AI104" s="143"/>
      <c r="AJ104" s="53"/>
      <c r="AK104" s="53"/>
      <c r="AL104" s="53"/>
      <c r="AM104" s="53"/>
      <c r="AN104" s="53"/>
      <c r="AO104" s="53"/>
      <c r="AP104" s="53"/>
      <c r="AQ104" s="53"/>
      <c r="AR104" s="115"/>
      <c r="AS104" s="1727"/>
      <c r="AT104" s="115"/>
      <c r="AU104" s="115"/>
      <c r="AV104" s="115"/>
      <c r="AW104" s="170"/>
      <c r="AX104" s="170"/>
      <c r="AY104" s="138"/>
    </row>
    <row r="105" spans="1:51" ht="15" customHeight="1">
      <c r="A105" s="1655" t="s">
        <v>3011</v>
      </c>
      <c r="B105" s="170"/>
      <c r="C105" s="170"/>
      <c r="D105" s="170"/>
      <c r="E105" s="1655" t="s">
        <v>3017</v>
      </c>
      <c r="F105" s="170"/>
      <c r="G105" s="170"/>
      <c r="H105" s="170"/>
      <c r="I105" s="170"/>
      <c r="J105" s="170"/>
      <c r="L105" s="143"/>
      <c r="N105" s="170"/>
      <c r="Y105" s="143"/>
      <c r="Z105" s="1547"/>
      <c r="AB105" s="1547"/>
      <c r="AD105" s="73"/>
      <c r="AE105" s="1561"/>
      <c r="AF105" s="170" t="s">
        <v>598</v>
      </c>
      <c r="AG105" s="1547"/>
      <c r="AH105" s="143"/>
      <c r="AI105" s="143"/>
      <c r="AJ105" s="53"/>
      <c r="AK105" s="53"/>
      <c r="AL105" s="53"/>
      <c r="AM105" s="53"/>
      <c r="AN105" s="53"/>
      <c r="AO105" s="53"/>
      <c r="AP105" s="53"/>
      <c r="AQ105" s="53"/>
      <c r="AR105" s="115"/>
      <c r="AS105" s="1727"/>
      <c r="AT105" s="115"/>
      <c r="AU105" s="115"/>
      <c r="AV105" s="115"/>
      <c r="AW105" s="170"/>
      <c r="AX105" s="170"/>
      <c r="AY105" s="138"/>
    </row>
    <row r="106" spans="1:51" ht="15" customHeight="1">
      <c r="A106" s="1656"/>
      <c r="B106" s="170"/>
      <c r="C106" s="170"/>
      <c r="D106" s="170"/>
      <c r="E106" s="1655" t="s">
        <v>3013</v>
      </c>
      <c r="F106" s="170"/>
      <c r="G106" s="170"/>
      <c r="H106" s="170"/>
      <c r="I106" s="170"/>
      <c r="J106" s="170"/>
      <c r="L106" s="143"/>
      <c r="N106" s="170"/>
      <c r="Y106" s="143"/>
      <c r="Z106" s="1547"/>
      <c r="AB106" s="1547"/>
      <c r="AD106" s="73"/>
      <c r="AE106" s="1561"/>
      <c r="AF106" s="170" t="s">
        <v>599</v>
      </c>
      <c r="AG106" s="1547"/>
      <c r="AH106" s="143"/>
      <c r="AI106" s="143"/>
      <c r="AJ106" s="53"/>
      <c r="AK106" s="53"/>
      <c r="AL106" s="53"/>
      <c r="AM106" s="53"/>
      <c r="AN106" s="53"/>
      <c r="AO106" s="53"/>
      <c r="AP106" s="53"/>
      <c r="AQ106" s="53"/>
      <c r="AR106" s="115"/>
      <c r="AS106" s="1727"/>
      <c r="AT106" s="115"/>
      <c r="AU106" s="115"/>
      <c r="AV106" s="115"/>
      <c r="AW106" s="170"/>
      <c r="AX106" s="170"/>
      <c r="AY106" s="138"/>
    </row>
    <row r="107" spans="1:51" ht="15" customHeight="1">
      <c r="A107" s="1657"/>
      <c r="B107" s="1333"/>
      <c r="C107" s="1333"/>
      <c r="D107" s="1333"/>
      <c r="E107" s="1657"/>
      <c r="F107" s="1333"/>
      <c r="G107" s="1333"/>
      <c r="H107" s="1333"/>
      <c r="I107" s="1333"/>
      <c r="J107" s="1333"/>
      <c r="K107" s="1333"/>
      <c r="L107" s="1333"/>
      <c r="M107" s="1333"/>
      <c r="N107" s="1333"/>
      <c r="O107" s="1333"/>
      <c r="P107" s="1333"/>
      <c r="Q107" s="1333"/>
      <c r="R107" s="1333"/>
      <c r="S107" s="1333"/>
      <c r="T107" s="1333"/>
      <c r="U107" s="1333"/>
      <c r="V107" s="1333"/>
      <c r="W107" s="1333"/>
      <c r="X107" s="1333"/>
      <c r="Y107" s="1333"/>
      <c r="Z107" s="1554"/>
      <c r="AA107" s="1333"/>
      <c r="AB107" s="1554"/>
      <c r="AC107" s="1333"/>
      <c r="AD107" s="1437"/>
      <c r="AE107" s="1589"/>
      <c r="AF107" s="1333" t="s">
        <v>1998</v>
      </c>
      <c r="AG107" s="1554"/>
      <c r="AH107" s="1333"/>
      <c r="AI107" s="1333"/>
      <c r="AJ107" s="1432"/>
      <c r="AK107" s="1432"/>
      <c r="AL107" s="1432"/>
      <c r="AM107" s="1432"/>
      <c r="AN107" s="1432"/>
      <c r="AO107" s="1432"/>
      <c r="AP107" s="1432"/>
      <c r="AQ107" s="1432"/>
      <c r="AR107" s="1620"/>
      <c r="AS107" s="1727"/>
      <c r="AT107" s="115"/>
      <c r="AU107" s="115"/>
      <c r="AV107" s="115"/>
      <c r="AW107" s="170"/>
      <c r="AX107" s="170"/>
      <c r="AY107" s="138"/>
    </row>
    <row r="108" spans="1:51" ht="15" customHeight="1">
      <c r="A108" s="1655" t="s">
        <v>585</v>
      </c>
      <c r="B108" s="170"/>
      <c r="C108" s="170"/>
      <c r="D108" s="170"/>
      <c r="E108" s="1656" t="s">
        <v>223</v>
      </c>
      <c r="F108" s="170"/>
      <c r="H108" s="170"/>
      <c r="I108" s="170"/>
      <c r="J108" s="170"/>
      <c r="L108" s="143"/>
      <c r="N108" s="170"/>
      <c r="Y108" s="143"/>
      <c r="Z108" s="1547"/>
      <c r="AB108" s="1547"/>
      <c r="AD108" s="73"/>
      <c r="AE108" s="1561"/>
      <c r="AF108" s="170" t="s">
        <v>1993</v>
      </c>
      <c r="AG108" s="1547"/>
      <c r="AH108" s="143"/>
      <c r="AI108" s="143"/>
      <c r="AJ108" s="53"/>
      <c r="AK108" s="53"/>
      <c r="AL108" s="53"/>
      <c r="AM108" s="53"/>
      <c r="AN108" s="53"/>
      <c r="AO108" s="53"/>
      <c r="AP108" s="53"/>
      <c r="AQ108" s="53"/>
      <c r="AR108" s="115"/>
      <c r="AS108" s="1727"/>
      <c r="AT108" s="115"/>
      <c r="AU108" s="115"/>
      <c r="AV108" s="115"/>
      <c r="AW108" s="170"/>
      <c r="AX108" s="170"/>
      <c r="AY108" s="138"/>
    </row>
    <row r="109" spans="1:51" ht="15" customHeight="1">
      <c r="A109" s="1656" t="s">
        <v>3009</v>
      </c>
      <c r="B109" s="170"/>
      <c r="C109" s="170"/>
      <c r="D109" s="170"/>
      <c r="E109" s="1656" t="s">
        <v>1347</v>
      </c>
      <c r="F109" s="170"/>
      <c r="G109" s="170"/>
      <c r="H109" s="170"/>
      <c r="I109" s="170"/>
      <c r="J109" s="170"/>
      <c r="L109" s="143"/>
      <c r="N109" s="170"/>
      <c r="Y109" s="143"/>
      <c r="Z109" s="1547"/>
      <c r="AB109" s="1547"/>
      <c r="AD109" s="73"/>
      <c r="AE109" s="1561"/>
      <c r="AF109" s="170" t="s">
        <v>1994</v>
      </c>
      <c r="AG109" s="1547"/>
      <c r="AH109" s="143"/>
      <c r="AI109" s="143"/>
      <c r="AJ109" s="53"/>
      <c r="AK109" s="53"/>
      <c r="AL109" s="53"/>
      <c r="AM109" s="53"/>
      <c r="AN109" s="53"/>
      <c r="AO109" s="53"/>
      <c r="AP109" s="53"/>
      <c r="AQ109" s="53"/>
      <c r="AR109" s="115"/>
      <c r="AS109" s="1727"/>
      <c r="AT109" s="115"/>
      <c r="AU109" s="115"/>
      <c r="AV109" s="115"/>
      <c r="AW109" s="170"/>
      <c r="AX109" s="170"/>
      <c r="AY109" s="138"/>
    </row>
    <row r="110" spans="1:51" ht="15" customHeight="1">
      <c r="A110" s="1655"/>
      <c r="B110" s="170"/>
      <c r="C110" s="170"/>
      <c r="D110" s="170"/>
      <c r="E110" s="1656"/>
      <c r="F110" s="170"/>
      <c r="G110" s="170"/>
      <c r="H110" s="170"/>
      <c r="I110" s="170"/>
      <c r="J110" s="170"/>
      <c r="L110" s="143"/>
      <c r="N110" s="170"/>
      <c r="Y110" s="143"/>
      <c r="Z110" s="1547"/>
      <c r="AB110" s="1547"/>
      <c r="AD110" s="73"/>
      <c r="AE110" s="1561"/>
      <c r="AF110" s="170" t="s">
        <v>1995</v>
      </c>
      <c r="AG110" s="1547"/>
      <c r="AH110" s="143"/>
      <c r="AI110" s="143"/>
      <c r="AJ110" s="53"/>
      <c r="AK110" s="53"/>
      <c r="AL110" s="53"/>
      <c r="AM110" s="53"/>
      <c r="AN110" s="53"/>
      <c r="AO110" s="53"/>
      <c r="AP110" s="53"/>
      <c r="AQ110" s="53"/>
      <c r="AR110" s="115"/>
      <c r="AS110" s="1727"/>
      <c r="AT110" s="115"/>
      <c r="AU110" s="115"/>
      <c r="AV110" s="115"/>
      <c r="AW110" s="170"/>
      <c r="AX110" s="170"/>
      <c r="AY110" s="138"/>
    </row>
    <row r="111" spans="1:51" ht="15" customHeight="1">
      <c r="A111" s="1655" t="s">
        <v>3010</v>
      </c>
      <c r="B111" s="170"/>
      <c r="C111" s="170"/>
      <c r="D111" s="170"/>
      <c r="E111" s="1656" t="s">
        <v>3018</v>
      </c>
      <c r="F111" s="170"/>
      <c r="G111" s="170"/>
      <c r="H111" s="170"/>
      <c r="I111" s="170"/>
      <c r="J111" s="170"/>
      <c r="L111" s="143"/>
      <c r="N111" s="170"/>
      <c r="Y111" s="143"/>
      <c r="Z111" s="1547"/>
      <c r="AB111" s="1547"/>
      <c r="AD111" s="73"/>
      <c r="AE111" s="1561"/>
      <c r="AF111" s="170" t="s">
        <v>1996</v>
      </c>
      <c r="AG111" s="1547"/>
      <c r="AH111" s="143"/>
      <c r="AI111" s="143"/>
      <c r="AJ111" s="53"/>
      <c r="AK111" s="53"/>
      <c r="AL111" s="53"/>
      <c r="AM111" s="53"/>
      <c r="AN111" s="53"/>
      <c r="AO111" s="53"/>
      <c r="AP111" s="53"/>
      <c r="AQ111" s="53"/>
      <c r="AR111" s="115"/>
      <c r="AS111" s="1727"/>
      <c r="AT111" s="115"/>
      <c r="AU111" s="115"/>
      <c r="AV111" s="115"/>
      <c r="AW111" s="170"/>
      <c r="AX111" s="170"/>
      <c r="AY111" s="138"/>
    </row>
    <row r="112" spans="1:51" ht="15" customHeight="1">
      <c r="A112" s="1655"/>
      <c r="B112" s="170"/>
      <c r="C112" s="170"/>
      <c r="D112" s="170"/>
      <c r="E112" s="1656"/>
      <c r="F112" s="170"/>
      <c r="G112" s="170"/>
      <c r="H112" s="170"/>
      <c r="I112" s="170"/>
      <c r="J112" s="170"/>
      <c r="L112" s="143"/>
      <c r="N112" s="170"/>
      <c r="Y112" s="143"/>
      <c r="Z112" s="1547"/>
      <c r="AB112" s="1547"/>
      <c r="AD112" s="73"/>
      <c r="AE112" s="1561"/>
      <c r="AF112" s="170" t="s">
        <v>1997</v>
      </c>
      <c r="AG112" s="1547"/>
      <c r="AH112" s="143"/>
      <c r="AI112" s="143"/>
      <c r="AJ112" s="53"/>
      <c r="AK112" s="53"/>
      <c r="AL112" s="53"/>
      <c r="AM112" s="53"/>
      <c r="AN112" s="53"/>
      <c r="AO112" s="53"/>
      <c r="AP112" s="53"/>
      <c r="AQ112" s="53"/>
      <c r="AR112" s="115"/>
      <c r="AS112" s="1727"/>
      <c r="AT112" s="115"/>
      <c r="AU112" s="115"/>
      <c r="AV112" s="115"/>
      <c r="AW112" s="170"/>
      <c r="AX112" s="170"/>
      <c r="AY112" s="138"/>
    </row>
    <row r="113" spans="1:51" ht="15" customHeight="1">
      <c r="A113" s="1655" t="s">
        <v>3011</v>
      </c>
      <c r="B113" s="170"/>
      <c r="C113" s="170"/>
      <c r="D113" s="170"/>
      <c r="E113" s="1655" t="s">
        <v>3019</v>
      </c>
      <c r="F113" s="170"/>
      <c r="G113" s="170"/>
      <c r="H113" s="170"/>
      <c r="I113" s="170"/>
      <c r="J113" s="170"/>
      <c r="L113" s="143"/>
      <c r="N113" s="170"/>
      <c r="Y113" s="143"/>
      <c r="Z113" s="1547"/>
      <c r="AB113" s="1547"/>
      <c r="AD113" s="73"/>
      <c r="AE113" s="1561"/>
      <c r="AF113" s="170" t="s">
        <v>599</v>
      </c>
      <c r="AG113" s="1547"/>
      <c r="AH113" s="143"/>
      <c r="AI113" s="143"/>
      <c r="AJ113" s="53"/>
      <c r="AK113" s="53"/>
      <c r="AL113" s="53"/>
      <c r="AM113" s="53"/>
      <c r="AN113" s="53"/>
      <c r="AO113" s="53"/>
      <c r="AP113" s="53"/>
      <c r="AQ113" s="53"/>
      <c r="AR113" s="115"/>
      <c r="AS113" s="1727"/>
      <c r="AT113" s="115"/>
      <c r="AU113" s="115"/>
      <c r="AV113" s="115"/>
      <c r="AW113" s="170"/>
      <c r="AX113" s="170"/>
      <c r="AY113" s="138"/>
    </row>
    <row r="114" spans="1:51" ht="15" customHeight="1">
      <c r="A114" s="1657"/>
      <c r="B114" s="1333"/>
      <c r="C114" s="1333"/>
      <c r="D114" s="1333"/>
      <c r="E114" s="1657"/>
      <c r="F114" s="1333"/>
      <c r="G114" s="1333"/>
      <c r="H114" s="1333"/>
      <c r="I114" s="1333"/>
      <c r="J114" s="1333"/>
      <c r="K114" s="1333"/>
      <c r="L114" s="1333"/>
      <c r="M114" s="1333"/>
      <c r="N114" s="1333"/>
      <c r="O114" s="1333"/>
      <c r="P114" s="1333"/>
      <c r="Q114" s="1333"/>
      <c r="R114" s="1333"/>
      <c r="S114" s="1333"/>
      <c r="T114" s="1333"/>
      <c r="U114" s="1333"/>
      <c r="V114" s="1333"/>
      <c r="W114" s="1333"/>
      <c r="X114" s="1333"/>
      <c r="Y114" s="1333"/>
      <c r="Z114" s="1554"/>
      <c r="AA114" s="1333"/>
      <c r="AB114" s="1554"/>
      <c r="AC114" s="1333"/>
      <c r="AD114" s="1437"/>
      <c r="AE114" s="1589"/>
      <c r="AF114" s="1333" t="s">
        <v>1999</v>
      </c>
      <c r="AG114" s="1554"/>
      <c r="AH114" s="1333"/>
      <c r="AI114" s="1333"/>
      <c r="AJ114" s="1432"/>
      <c r="AK114" s="1432"/>
      <c r="AL114" s="1432"/>
      <c r="AM114" s="1432"/>
      <c r="AN114" s="1432"/>
      <c r="AO114" s="1432"/>
      <c r="AP114" s="1432"/>
      <c r="AQ114" s="1432"/>
      <c r="AR114" s="1620"/>
      <c r="AS114" s="1727"/>
      <c r="AT114" s="115"/>
      <c r="AU114" s="115"/>
      <c r="AV114" s="115"/>
      <c r="AW114" s="170"/>
      <c r="AX114" s="170"/>
      <c r="AY114" s="138"/>
    </row>
    <row r="115" spans="1:51" ht="15" customHeight="1">
      <c r="A115" s="1655" t="s">
        <v>586</v>
      </c>
      <c r="B115" s="170"/>
      <c r="C115" s="170"/>
      <c r="D115" s="170"/>
      <c r="E115" s="1656" t="s">
        <v>224</v>
      </c>
      <c r="F115" s="170"/>
      <c r="H115" s="170"/>
      <c r="I115" s="170"/>
      <c r="J115" s="170"/>
      <c r="L115" s="143"/>
      <c r="N115" s="170"/>
      <c r="Y115" s="143"/>
      <c r="Z115" s="1547"/>
      <c r="AB115" s="1547"/>
      <c r="AD115" s="73"/>
      <c r="AE115" s="1561"/>
      <c r="AF115" s="170" t="s">
        <v>1993</v>
      </c>
      <c r="AG115" s="1547"/>
      <c r="AH115" s="143"/>
      <c r="AI115" s="143"/>
      <c r="AJ115" s="53"/>
      <c r="AK115" s="53"/>
      <c r="AL115" s="53"/>
      <c r="AM115" s="53"/>
      <c r="AN115" s="53"/>
      <c r="AO115" s="53"/>
      <c r="AP115" s="53"/>
      <c r="AQ115" s="53"/>
      <c r="AR115" s="115"/>
      <c r="AS115" s="1727"/>
      <c r="AT115" s="115"/>
      <c r="AU115" s="115"/>
      <c r="AV115" s="115"/>
      <c r="AW115" s="170"/>
      <c r="AX115" s="170"/>
      <c r="AY115" s="138"/>
    </row>
    <row r="116" spans="1:51" ht="15" customHeight="1">
      <c r="A116" s="1656" t="s">
        <v>3009</v>
      </c>
      <c r="B116" s="170"/>
      <c r="C116" s="170"/>
      <c r="D116" s="170"/>
      <c r="E116" s="1656" t="s">
        <v>1348</v>
      </c>
      <c r="F116" s="170"/>
      <c r="G116" s="170"/>
      <c r="H116" s="170"/>
      <c r="I116" s="170"/>
      <c r="J116" s="170"/>
      <c r="L116" s="143"/>
      <c r="N116" s="170"/>
      <c r="Y116" s="143"/>
      <c r="Z116" s="1547"/>
      <c r="AB116" s="1547"/>
      <c r="AD116" s="73"/>
      <c r="AE116" s="1561"/>
      <c r="AF116" s="170" t="s">
        <v>1994</v>
      </c>
      <c r="AG116" s="1547"/>
      <c r="AH116" s="143"/>
      <c r="AI116" s="143"/>
      <c r="AJ116" s="53"/>
      <c r="AK116" s="53"/>
      <c r="AL116" s="53"/>
      <c r="AM116" s="53"/>
      <c r="AN116" s="53"/>
      <c r="AO116" s="53"/>
      <c r="AP116" s="53"/>
      <c r="AQ116" s="53"/>
      <c r="AR116" s="115"/>
      <c r="AS116" s="1727"/>
      <c r="AT116" s="115"/>
      <c r="AU116" s="115"/>
      <c r="AV116" s="115"/>
      <c r="AW116" s="170"/>
      <c r="AX116" s="170"/>
      <c r="AY116" s="138"/>
    </row>
    <row r="117" spans="1:51" ht="15" customHeight="1">
      <c r="A117" s="1655"/>
      <c r="B117" s="170"/>
      <c r="C117" s="170"/>
      <c r="D117" s="170"/>
      <c r="E117" s="1656"/>
      <c r="F117" s="170"/>
      <c r="G117" s="170"/>
      <c r="H117" s="170"/>
      <c r="I117" s="170"/>
      <c r="J117" s="170"/>
      <c r="L117" s="143"/>
      <c r="N117" s="170"/>
      <c r="Y117" s="143"/>
      <c r="Z117" s="1547"/>
      <c r="AB117" s="1547"/>
      <c r="AD117" s="73"/>
      <c r="AE117" s="1561"/>
      <c r="AF117" s="170" t="s">
        <v>1995</v>
      </c>
      <c r="AG117" s="1547"/>
      <c r="AH117" s="143"/>
      <c r="AI117" s="143"/>
      <c r="AJ117" s="53"/>
      <c r="AK117" s="53"/>
      <c r="AL117" s="53"/>
      <c r="AM117" s="53"/>
      <c r="AN117" s="53"/>
      <c r="AO117" s="53"/>
      <c r="AP117" s="53"/>
      <c r="AQ117" s="53"/>
      <c r="AR117" s="115"/>
      <c r="AS117" s="1727"/>
      <c r="AT117" s="115"/>
      <c r="AU117" s="115"/>
      <c r="AV117" s="115"/>
      <c r="AW117" s="170"/>
      <c r="AX117" s="170"/>
      <c r="AY117" s="138"/>
    </row>
    <row r="118" spans="1:51" ht="15" customHeight="1">
      <c r="A118" s="1655" t="s">
        <v>3010</v>
      </c>
      <c r="B118" s="170"/>
      <c r="C118" s="170"/>
      <c r="D118" s="170"/>
      <c r="E118" s="1655" t="s">
        <v>3020</v>
      </c>
      <c r="F118" s="170"/>
      <c r="G118" s="170"/>
      <c r="H118" s="170"/>
      <c r="I118" s="170"/>
      <c r="J118" s="170"/>
      <c r="L118" s="143"/>
      <c r="N118" s="170"/>
      <c r="Y118" s="143"/>
      <c r="Z118" s="1547"/>
      <c r="AB118" s="1547"/>
      <c r="AD118" s="73"/>
      <c r="AE118" s="1561"/>
      <c r="AF118" s="170" t="s">
        <v>1997</v>
      </c>
      <c r="AG118" s="1547"/>
      <c r="AH118" s="143"/>
      <c r="AI118" s="143"/>
      <c r="AJ118" s="53"/>
      <c r="AK118" s="53"/>
      <c r="AL118" s="53"/>
      <c r="AM118" s="53"/>
      <c r="AN118" s="53"/>
      <c r="AO118" s="53"/>
      <c r="AP118" s="53"/>
      <c r="AQ118" s="53"/>
      <c r="AR118" s="115"/>
      <c r="AS118" s="1727"/>
      <c r="AT118" s="115"/>
      <c r="AU118" s="115"/>
      <c r="AV118" s="115"/>
      <c r="AW118" s="170"/>
      <c r="AX118" s="170"/>
      <c r="AY118" s="138"/>
    </row>
    <row r="119" spans="1:51" ht="15" customHeight="1">
      <c r="A119" s="1655"/>
      <c r="B119" s="170"/>
      <c r="C119" s="170"/>
      <c r="D119" s="170"/>
      <c r="E119" s="1656"/>
      <c r="F119" s="170"/>
      <c r="G119" s="170"/>
      <c r="H119" s="170"/>
      <c r="I119" s="170"/>
      <c r="J119" s="170"/>
      <c r="L119" s="143"/>
      <c r="N119" s="170"/>
      <c r="Y119" s="143"/>
      <c r="Z119" s="1547"/>
      <c r="AB119" s="1547"/>
      <c r="AD119" s="73"/>
      <c r="AE119" s="1561"/>
      <c r="AF119" s="170" t="s">
        <v>2005</v>
      </c>
      <c r="AG119" s="1547"/>
      <c r="AH119" s="143"/>
      <c r="AI119" s="143"/>
      <c r="AJ119" s="53"/>
      <c r="AK119" s="53"/>
      <c r="AL119" s="53"/>
      <c r="AM119" s="53"/>
      <c r="AN119" s="53"/>
      <c r="AO119" s="53"/>
      <c r="AP119" s="53"/>
      <c r="AQ119" s="53"/>
      <c r="AR119" s="115"/>
      <c r="AS119" s="1727"/>
      <c r="AT119" s="115"/>
      <c r="AU119" s="115"/>
      <c r="AV119" s="115"/>
      <c r="AW119" s="170"/>
      <c r="AX119" s="170"/>
      <c r="AY119" s="138"/>
    </row>
    <row r="120" spans="1:51" ht="15" customHeight="1">
      <c r="A120" s="1655" t="s">
        <v>3011</v>
      </c>
      <c r="B120" s="170"/>
      <c r="C120" s="170"/>
      <c r="D120" s="170"/>
      <c r="E120" s="1655" t="s">
        <v>3017</v>
      </c>
      <c r="F120" s="170"/>
      <c r="G120" s="170"/>
      <c r="H120" s="170"/>
      <c r="I120" s="170"/>
      <c r="J120" s="170"/>
      <c r="L120" s="143"/>
      <c r="N120" s="170"/>
      <c r="Y120" s="143"/>
      <c r="Z120" s="1547"/>
      <c r="AB120" s="1547"/>
      <c r="AD120" s="73"/>
      <c r="AE120" s="1561"/>
      <c r="AF120" s="170" t="s">
        <v>600</v>
      </c>
      <c r="AG120" s="1547"/>
      <c r="AH120" s="143"/>
      <c r="AI120" s="143"/>
      <c r="AJ120" s="53"/>
      <c r="AK120" s="53"/>
      <c r="AL120" s="53"/>
      <c r="AM120" s="53"/>
      <c r="AN120" s="53"/>
      <c r="AO120" s="53"/>
      <c r="AP120" s="53"/>
      <c r="AQ120" s="53"/>
      <c r="AR120" s="115"/>
      <c r="AS120" s="1727"/>
      <c r="AT120" s="115"/>
      <c r="AU120" s="115"/>
      <c r="AV120" s="115"/>
      <c r="AW120" s="170"/>
      <c r="AX120" s="170"/>
      <c r="AY120" s="138"/>
    </row>
    <row r="121" spans="1:51" ht="15" customHeight="1">
      <c r="A121" s="1655"/>
      <c r="B121" s="170"/>
      <c r="C121" s="170"/>
      <c r="D121" s="170"/>
      <c r="E121" s="1655" t="s">
        <v>3013</v>
      </c>
      <c r="F121" s="170"/>
      <c r="G121" s="170"/>
      <c r="H121" s="170"/>
      <c r="I121" s="170"/>
      <c r="J121" s="170"/>
      <c r="L121" s="143"/>
      <c r="N121" s="170"/>
      <c r="Y121" s="143"/>
      <c r="Z121" s="1547"/>
      <c r="AB121" s="1547"/>
      <c r="AD121" s="73"/>
      <c r="AE121" s="1561"/>
      <c r="AF121" s="170" t="s">
        <v>599</v>
      </c>
      <c r="AG121" s="1547"/>
      <c r="AH121" s="143"/>
      <c r="AI121" s="143"/>
      <c r="AJ121" s="53"/>
      <c r="AK121" s="53"/>
      <c r="AL121" s="53"/>
      <c r="AM121" s="53"/>
      <c r="AN121" s="53"/>
      <c r="AO121" s="53"/>
      <c r="AP121" s="53"/>
      <c r="AQ121" s="53"/>
      <c r="AR121" s="115"/>
      <c r="AS121" s="1727"/>
      <c r="AT121" s="115"/>
      <c r="AU121" s="115"/>
      <c r="AV121" s="115"/>
      <c r="AW121" s="170"/>
      <c r="AX121" s="170"/>
      <c r="AY121" s="138"/>
    </row>
    <row r="122" spans="1:51" ht="15" customHeight="1">
      <c r="A122" s="1657"/>
      <c r="B122" s="1333"/>
      <c r="C122" s="1333"/>
      <c r="D122" s="1333"/>
      <c r="E122" s="1657"/>
      <c r="F122" s="1333"/>
      <c r="G122" s="1333"/>
      <c r="H122" s="1333"/>
      <c r="I122" s="1333"/>
      <c r="J122" s="1333"/>
      <c r="K122" s="1333"/>
      <c r="L122" s="1333"/>
      <c r="M122" s="1333"/>
      <c r="N122" s="1333"/>
      <c r="O122" s="1333"/>
      <c r="P122" s="1333"/>
      <c r="Q122" s="1333"/>
      <c r="R122" s="1333"/>
      <c r="S122" s="1333"/>
      <c r="T122" s="1333"/>
      <c r="U122" s="1333"/>
      <c r="V122" s="1333"/>
      <c r="W122" s="1333"/>
      <c r="X122" s="1333"/>
      <c r="Y122" s="1333"/>
      <c r="Z122" s="1554"/>
      <c r="AA122" s="1333"/>
      <c r="AB122" s="1554"/>
      <c r="AC122" s="1333"/>
      <c r="AD122" s="1437"/>
      <c r="AE122" s="1589"/>
      <c r="AF122" s="1333" t="s">
        <v>1998</v>
      </c>
      <c r="AG122" s="1554"/>
      <c r="AH122" s="1333"/>
      <c r="AI122" s="1333"/>
      <c r="AJ122" s="1432"/>
      <c r="AK122" s="1432"/>
      <c r="AL122" s="1432"/>
      <c r="AM122" s="1432"/>
      <c r="AN122" s="1432"/>
      <c r="AO122" s="1432"/>
      <c r="AP122" s="1432"/>
      <c r="AQ122" s="1432"/>
      <c r="AR122" s="1620"/>
      <c r="AS122" s="1727"/>
      <c r="AT122" s="115"/>
      <c r="AU122" s="115"/>
      <c r="AV122" s="115"/>
      <c r="AW122" s="170"/>
      <c r="AX122" s="170"/>
      <c r="AY122" s="138"/>
    </row>
    <row r="123" spans="1:51" ht="15" customHeight="1">
      <c r="A123" s="1655" t="s">
        <v>500</v>
      </c>
      <c r="B123" s="170"/>
      <c r="C123" s="170"/>
      <c r="D123" s="170"/>
      <c r="E123" s="1656" t="s">
        <v>225</v>
      </c>
      <c r="F123" s="170"/>
      <c r="H123" s="170"/>
      <c r="I123" s="170"/>
      <c r="J123" s="170"/>
      <c r="L123" s="143"/>
      <c r="N123" s="170"/>
      <c r="Y123" s="143"/>
      <c r="Z123" s="1547"/>
      <c r="AB123" s="1547"/>
      <c r="AD123" s="73"/>
      <c r="AE123" s="1561"/>
      <c r="AF123" s="170" t="s">
        <v>1993</v>
      </c>
      <c r="AG123" s="1547"/>
      <c r="AH123" s="143"/>
      <c r="AI123" s="143"/>
      <c r="AJ123" s="53"/>
      <c r="AK123" s="53"/>
      <c r="AL123" s="53"/>
      <c r="AM123" s="53"/>
      <c r="AN123" s="53"/>
      <c r="AO123" s="53"/>
      <c r="AP123" s="53"/>
      <c r="AQ123" s="53"/>
      <c r="AR123" s="115"/>
      <c r="AS123" s="1727"/>
      <c r="AT123" s="115"/>
      <c r="AU123" s="115"/>
      <c r="AV123" s="115"/>
      <c r="AW123" s="170"/>
      <c r="AX123" s="170"/>
      <c r="AY123" s="138"/>
    </row>
    <row r="124" spans="1:51" ht="15" customHeight="1">
      <c r="A124" s="1656" t="s">
        <v>3009</v>
      </c>
      <c r="B124" s="170"/>
      <c r="C124" s="170"/>
      <c r="D124" s="170"/>
      <c r="E124" s="1656" t="s">
        <v>1349</v>
      </c>
      <c r="F124" s="170"/>
      <c r="G124" s="170"/>
      <c r="H124" s="170"/>
      <c r="I124" s="170"/>
      <c r="J124" s="170"/>
      <c r="L124" s="143"/>
      <c r="N124" s="170"/>
      <c r="Y124" s="143"/>
      <c r="Z124" s="1547"/>
      <c r="AB124" s="1547"/>
      <c r="AD124" s="73"/>
      <c r="AE124" s="1561"/>
      <c r="AF124" s="170" t="s">
        <v>1994</v>
      </c>
      <c r="AG124" s="1547"/>
      <c r="AH124" s="143"/>
      <c r="AI124" s="143"/>
      <c r="AJ124" s="53"/>
      <c r="AK124" s="53"/>
      <c r="AL124" s="53"/>
      <c r="AM124" s="53"/>
      <c r="AN124" s="53"/>
      <c r="AO124" s="53"/>
      <c r="AP124" s="53"/>
      <c r="AQ124" s="53"/>
      <c r="AR124" s="115"/>
      <c r="AS124" s="1727"/>
      <c r="AT124" s="115"/>
      <c r="AU124" s="115"/>
      <c r="AV124" s="115"/>
      <c r="AW124" s="170"/>
      <c r="AX124" s="170"/>
      <c r="AY124" s="138"/>
    </row>
    <row r="125" spans="1:51" ht="15" customHeight="1">
      <c r="A125" s="1655"/>
      <c r="B125" s="170"/>
      <c r="C125" s="170"/>
      <c r="D125" s="170"/>
      <c r="E125" s="1656"/>
      <c r="F125" s="170"/>
      <c r="G125" s="170"/>
      <c r="H125" s="170"/>
      <c r="I125" s="170"/>
      <c r="J125" s="170"/>
      <c r="L125" s="143"/>
      <c r="N125" s="170"/>
      <c r="Y125" s="143"/>
      <c r="Z125" s="1547"/>
      <c r="AB125" s="1547"/>
      <c r="AD125" s="73"/>
      <c r="AE125" s="1561"/>
      <c r="AF125" s="170" t="s">
        <v>1995</v>
      </c>
      <c r="AG125" s="1547"/>
      <c r="AH125" s="143"/>
      <c r="AI125" s="143"/>
      <c r="AJ125" s="53"/>
      <c r="AK125" s="53"/>
      <c r="AL125" s="53"/>
      <c r="AM125" s="53"/>
      <c r="AN125" s="53"/>
      <c r="AO125" s="53"/>
      <c r="AP125" s="53"/>
      <c r="AQ125" s="53"/>
      <c r="AR125" s="115"/>
      <c r="AS125" s="1727"/>
      <c r="AT125" s="115"/>
      <c r="AU125" s="115"/>
      <c r="AV125" s="115"/>
      <c r="AW125" s="170"/>
      <c r="AX125" s="170"/>
      <c r="AY125" s="138"/>
    </row>
    <row r="126" spans="1:51" ht="15" customHeight="1">
      <c r="A126" s="1655" t="s">
        <v>3010</v>
      </c>
      <c r="B126" s="170"/>
      <c r="C126" s="170"/>
      <c r="D126" s="170"/>
      <c r="E126" s="1655" t="s">
        <v>3021</v>
      </c>
      <c r="F126" s="170"/>
      <c r="G126" s="170"/>
      <c r="H126" s="170"/>
      <c r="I126" s="170"/>
      <c r="J126" s="170"/>
      <c r="L126" s="143"/>
      <c r="N126" s="170"/>
      <c r="Y126" s="143"/>
      <c r="Z126" s="1547"/>
      <c r="AB126" s="1547"/>
      <c r="AD126" s="73"/>
      <c r="AE126" s="1561"/>
      <c r="AF126" s="170" t="s">
        <v>2004</v>
      </c>
      <c r="AG126" s="1547"/>
      <c r="AH126" s="143"/>
      <c r="AI126" s="143"/>
      <c r="AJ126" s="53"/>
      <c r="AK126" s="53"/>
      <c r="AL126" s="53"/>
      <c r="AM126" s="53"/>
      <c r="AN126" s="53"/>
      <c r="AO126" s="53"/>
      <c r="AP126" s="53"/>
      <c r="AQ126" s="53"/>
      <c r="AR126" s="115"/>
      <c r="AS126" s="1727"/>
      <c r="AT126" s="115"/>
      <c r="AU126" s="115"/>
      <c r="AV126" s="115"/>
      <c r="AW126" s="170"/>
      <c r="AX126" s="170"/>
      <c r="AY126" s="138"/>
    </row>
    <row r="127" spans="1:51" ht="15" customHeight="1">
      <c r="A127" s="1655"/>
      <c r="B127" s="170"/>
      <c r="C127" s="170"/>
      <c r="D127" s="170"/>
      <c r="E127" s="1656"/>
      <c r="F127" s="170"/>
      <c r="G127" s="170"/>
      <c r="H127" s="170"/>
      <c r="I127" s="170"/>
      <c r="J127" s="170"/>
      <c r="L127" s="143"/>
      <c r="N127" s="170"/>
      <c r="Y127" s="143"/>
      <c r="Z127" s="1547"/>
      <c r="AB127" s="1547"/>
      <c r="AD127" s="73"/>
      <c r="AE127" s="1561"/>
      <c r="AF127" s="170" t="s">
        <v>2006</v>
      </c>
      <c r="AG127" s="1547"/>
      <c r="AH127" s="143"/>
      <c r="AI127" s="143"/>
      <c r="AJ127" s="53"/>
      <c r="AK127" s="53"/>
      <c r="AL127" s="53"/>
      <c r="AM127" s="53"/>
      <c r="AN127" s="53"/>
      <c r="AO127" s="53"/>
      <c r="AP127" s="53"/>
      <c r="AQ127" s="53"/>
      <c r="AR127" s="115"/>
      <c r="AS127" s="1727"/>
      <c r="AT127" s="115"/>
      <c r="AU127" s="115"/>
      <c r="AV127" s="115"/>
      <c r="AW127" s="170"/>
      <c r="AX127" s="170"/>
      <c r="AY127" s="138"/>
    </row>
    <row r="128" spans="1:51" ht="15" customHeight="1">
      <c r="A128" s="1655" t="s">
        <v>3011</v>
      </c>
      <c r="B128" s="170"/>
      <c r="C128" s="170"/>
      <c r="D128" s="170"/>
      <c r="E128" s="1655" t="s">
        <v>3022</v>
      </c>
      <c r="F128" s="170"/>
      <c r="G128" s="170"/>
      <c r="H128" s="170"/>
      <c r="I128" s="170"/>
      <c r="J128" s="170"/>
      <c r="L128" s="143"/>
      <c r="N128" s="170"/>
      <c r="Y128" s="143"/>
      <c r="Z128" s="1547"/>
      <c r="AB128" s="1547"/>
      <c r="AD128" s="73"/>
      <c r="AE128" s="1561"/>
      <c r="AF128" s="170" t="s">
        <v>601</v>
      </c>
      <c r="AG128" s="1547"/>
      <c r="AH128" s="143"/>
      <c r="AI128" s="143"/>
      <c r="AJ128" s="53"/>
      <c r="AK128" s="53"/>
      <c r="AL128" s="53"/>
      <c r="AM128" s="53"/>
      <c r="AN128" s="53"/>
      <c r="AO128" s="53"/>
      <c r="AP128" s="53"/>
      <c r="AQ128" s="53"/>
      <c r="AR128" s="115"/>
      <c r="AS128" s="1727"/>
      <c r="AT128" s="115"/>
      <c r="AU128" s="115"/>
      <c r="AV128" s="115"/>
      <c r="AW128" s="170"/>
      <c r="AX128" s="170"/>
      <c r="AY128" s="138"/>
    </row>
    <row r="129" spans="1:51" ht="15" customHeight="1">
      <c r="A129" s="1658"/>
      <c r="B129" s="1333"/>
      <c r="C129" s="1333"/>
      <c r="D129" s="1333"/>
      <c r="E129" s="1657"/>
      <c r="F129" s="1333"/>
      <c r="G129" s="1333"/>
      <c r="H129" s="1333"/>
      <c r="I129" s="1333"/>
      <c r="J129" s="1333"/>
      <c r="K129" s="1333"/>
      <c r="L129" s="1333"/>
      <c r="M129" s="1333"/>
      <c r="N129" s="1333"/>
      <c r="O129" s="1333"/>
      <c r="P129" s="1333"/>
      <c r="Q129" s="1333"/>
      <c r="R129" s="1333"/>
      <c r="S129" s="1333"/>
      <c r="T129" s="1333"/>
      <c r="U129" s="1333"/>
      <c r="V129" s="1333"/>
      <c r="W129" s="1333"/>
      <c r="X129" s="1333"/>
      <c r="Y129" s="1333"/>
      <c r="Z129" s="1554"/>
      <c r="AA129" s="1333"/>
      <c r="AB129" s="1554"/>
      <c r="AC129" s="1333"/>
      <c r="AD129" s="1437"/>
      <c r="AE129" s="1589"/>
      <c r="AF129" s="1333" t="s">
        <v>1998</v>
      </c>
      <c r="AG129" s="1554"/>
      <c r="AH129" s="1333"/>
      <c r="AI129" s="1333"/>
      <c r="AJ129" s="1432"/>
      <c r="AK129" s="1432"/>
      <c r="AL129" s="1432"/>
      <c r="AM129" s="1432"/>
      <c r="AN129" s="1432"/>
      <c r="AO129" s="1432"/>
      <c r="AP129" s="1432"/>
      <c r="AQ129" s="1432"/>
      <c r="AR129" s="1620"/>
      <c r="AS129" s="1727"/>
      <c r="AT129" s="115"/>
      <c r="AU129" s="115"/>
      <c r="AV129" s="115"/>
      <c r="AW129" s="170"/>
      <c r="AX129" s="170"/>
      <c r="AY129" s="138"/>
    </row>
    <row r="130" spans="1:51" ht="15" customHeight="1">
      <c r="A130" s="1670" t="s">
        <v>587</v>
      </c>
      <c r="B130" s="170"/>
      <c r="C130" s="170"/>
      <c r="D130" s="170"/>
      <c r="E130" s="1671" t="s">
        <v>226</v>
      </c>
      <c r="F130" s="170"/>
      <c r="G130" s="170"/>
      <c r="H130" s="170"/>
      <c r="I130" s="170"/>
      <c r="J130" s="170"/>
      <c r="L130" s="143"/>
      <c r="N130" s="170"/>
      <c r="Y130" s="143"/>
      <c r="Z130" s="1547"/>
      <c r="AB130" s="1547"/>
      <c r="AD130" s="73"/>
      <c r="AE130" s="1561"/>
      <c r="AF130" s="170" t="s">
        <v>1993</v>
      </c>
      <c r="AG130" s="1539"/>
      <c r="AH130" s="170"/>
      <c r="AI130" s="143"/>
      <c r="AJ130" s="53"/>
      <c r="AK130" s="53"/>
      <c r="AL130" s="53"/>
      <c r="AM130" s="53"/>
      <c r="AN130" s="53"/>
      <c r="AO130" s="53"/>
      <c r="AP130" s="53"/>
      <c r="AQ130" s="53"/>
      <c r="AR130" s="115"/>
      <c r="AS130" s="1727"/>
      <c r="AT130" s="115"/>
      <c r="AU130" s="115"/>
      <c r="AV130" s="115"/>
      <c r="AW130" s="170"/>
      <c r="AX130" s="170"/>
      <c r="AY130" s="138"/>
    </row>
    <row r="131" spans="1:51" ht="15" customHeight="1">
      <c r="A131" s="1656" t="s">
        <v>3009</v>
      </c>
      <c r="B131" s="170"/>
      <c r="C131" s="170"/>
      <c r="D131" s="170"/>
      <c r="E131" s="1656" t="s">
        <v>1350</v>
      </c>
      <c r="F131" s="170"/>
      <c r="G131" s="170"/>
      <c r="H131" s="170"/>
      <c r="I131" s="170"/>
      <c r="J131" s="170"/>
      <c r="L131" s="143"/>
      <c r="N131" s="170"/>
      <c r="Y131" s="143"/>
      <c r="Z131" s="1547"/>
      <c r="AB131" s="1547"/>
      <c r="AD131" s="73"/>
      <c r="AE131" s="1561"/>
      <c r="AF131" s="170" t="s">
        <v>1994</v>
      </c>
      <c r="AG131" s="1547"/>
      <c r="AH131" s="143"/>
      <c r="AI131" s="143"/>
      <c r="AJ131" s="53"/>
      <c r="AK131" s="53"/>
      <c r="AL131" s="53"/>
      <c r="AM131" s="53"/>
      <c r="AN131" s="53"/>
      <c r="AO131" s="53"/>
      <c r="AP131" s="53"/>
      <c r="AQ131" s="53"/>
      <c r="AR131" s="115"/>
      <c r="AS131" s="1727"/>
      <c r="AT131" s="115"/>
      <c r="AU131" s="115"/>
      <c r="AV131" s="115"/>
      <c r="AW131" s="170"/>
      <c r="AX131" s="170"/>
      <c r="AY131" s="138"/>
    </row>
    <row r="132" spans="1:51" ht="15" customHeight="1">
      <c r="A132" s="1655"/>
      <c r="B132" s="170"/>
      <c r="C132" s="170"/>
      <c r="D132" s="170"/>
      <c r="E132" s="1656"/>
      <c r="F132" s="170"/>
      <c r="G132" s="170"/>
      <c r="H132" s="170"/>
      <c r="I132" s="170"/>
      <c r="J132" s="170"/>
      <c r="L132" s="143"/>
      <c r="N132" s="170"/>
      <c r="Y132" s="143"/>
      <c r="Z132" s="1547"/>
      <c r="AB132" s="1547"/>
      <c r="AD132" s="73"/>
      <c r="AE132" s="1561"/>
      <c r="AF132" s="170" t="s">
        <v>1995</v>
      </c>
      <c r="AG132" s="1547"/>
      <c r="AH132" s="143"/>
      <c r="AI132" s="143"/>
      <c r="AJ132" s="53"/>
      <c r="AK132" s="53"/>
      <c r="AL132" s="53"/>
      <c r="AM132" s="53"/>
      <c r="AN132" s="53"/>
      <c r="AO132" s="53"/>
      <c r="AP132" s="53"/>
      <c r="AQ132" s="53"/>
      <c r="AR132" s="115"/>
      <c r="AS132" s="1727"/>
      <c r="AT132" s="115"/>
      <c r="AU132" s="115"/>
      <c r="AV132" s="115"/>
      <c r="AW132" s="170"/>
      <c r="AX132" s="170"/>
      <c r="AY132" s="138"/>
    </row>
    <row r="133" spans="1:51" ht="15" customHeight="1">
      <c r="A133" s="1655" t="s">
        <v>3010</v>
      </c>
      <c r="B133" s="170"/>
      <c r="C133" s="170"/>
      <c r="D133" s="170"/>
      <c r="E133" s="1655" t="s">
        <v>3023</v>
      </c>
      <c r="F133" s="170"/>
      <c r="G133" s="170"/>
      <c r="H133" s="170"/>
      <c r="I133" s="170"/>
      <c r="J133" s="170"/>
      <c r="L133" s="143"/>
      <c r="N133" s="170"/>
      <c r="Y133" s="143"/>
      <c r="Z133" s="1547"/>
      <c r="AB133" s="1547"/>
      <c r="AD133" s="73"/>
      <c r="AE133" s="1561"/>
      <c r="AF133" s="170" t="s">
        <v>1997</v>
      </c>
      <c r="AG133" s="1547"/>
      <c r="AH133" s="143"/>
      <c r="AI133" s="143"/>
      <c r="AJ133" s="53"/>
      <c r="AK133" s="53"/>
      <c r="AL133" s="53"/>
      <c r="AM133" s="53"/>
      <c r="AN133" s="53"/>
      <c r="AO133" s="53"/>
      <c r="AP133" s="53"/>
      <c r="AQ133" s="53"/>
      <c r="AR133" s="115"/>
      <c r="AS133" s="1727"/>
      <c r="AT133" s="115"/>
      <c r="AU133" s="115"/>
      <c r="AV133" s="115"/>
      <c r="AW133" s="170"/>
      <c r="AX133" s="170"/>
      <c r="AY133" s="138"/>
    </row>
    <row r="134" spans="1:51" ht="15" customHeight="1">
      <c r="A134" s="1655"/>
      <c r="B134" s="170"/>
      <c r="C134" s="170"/>
      <c r="D134" s="170"/>
      <c r="E134" s="1656"/>
      <c r="F134" s="170"/>
      <c r="G134" s="170"/>
      <c r="H134" s="170"/>
      <c r="I134" s="170"/>
      <c r="J134" s="170"/>
      <c r="L134" s="143"/>
      <c r="N134" s="170"/>
      <c r="Y134" s="143"/>
      <c r="Z134" s="1547"/>
      <c r="AB134" s="1547"/>
      <c r="AD134" s="73"/>
      <c r="AE134" s="1561"/>
      <c r="AF134" s="170" t="s">
        <v>1996</v>
      </c>
      <c r="AG134" s="1547"/>
      <c r="AH134" s="143"/>
      <c r="AI134" s="143"/>
      <c r="AJ134" s="53"/>
      <c r="AK134" s="53"/>
      <c r="AL134" s="53"/>
      <c r="AM134" s="53"/>
      <c r="AN134" s="53"/>
      <c r="AO134" s="53"/>
      <c r="AP134" s="53"/>
      <c r="AQ134" s="53"/>
      <c r="AR134" s="115"/>
      <c r="AS134" s="1727"/>
      <c r="AT134" s="115"/>
      <c r="AU134" s="115"/>
      <c r="AV134" s="115"/>
      <c r="AW134" s="170"/>
      <c r="AX134" s="170"/>
      <c r="AY134" s="138"/>
    </row>
    <row r="135" spans="1:51" ht="15" customHeight="1">
      <c r="A135" s="1655" t="s">
        <v>3011</v>
      </c>
      <c r="B135" s="170"/>
      <c r="C135" s="170"/>
      <c r="D135" s="170"/>
      <c r="E135" s="1655" t="s">
        <v>3017</v>
      </c>
      <c r="F135" s="170"/>
      <c r="G135" s="170"/>
      <c r="H135" s="170"/>
      <c r="I135" s="170"/>
      <c r="J135" s="170"/>
      <c r="L135" s="143"/>
      <c r="N135" s="170"/>
      <c r="Y135" s="143"/>
      <c r="Z135" s="1547"/>
      <c r="AB135" s="1547"/>
      <c r="AD135" s="73"/>
      <c r="AE135" s="1561"/>
      <c r="AF135" s="170" t="s">
        <v>600</v>
      </c>
      <c r="AG135" s="1547"/>
      <c r="AH135" s="143"/>
      <c r="AI135" s="143"/>
      <c r="AJ135" s="53"/>
      <c r="AK135" s="53"/>
      <c r="AL135" s="53"/>
      <c r="AM135" s="53"/>
      <c r="AN135" s="53"/>
      <c r="AO135" s="53"/>
      <c r="AP135" s="53"/>
      <c r="AQ135" s="53"/>
      <c r="AR135" s="115"/>
      <c r="AS135" s="1727"/>
      <c r="AT135" s="115"/>
      <c r="AU135" s="115"/>
      <c r="AV135" s="115"/>
      <c r="AW135" s="170"/>
      <c r="AX135" s="170"/>
      <c r="AY135" s="138"/>
    </row>
    <row r="136" spans="1:51" ht="15" customHeight="1">
      <c r="A136" s="1655"/>
      <c r="B136" s="170"/>
      <c r="C136" s="170"/>
      <c r="D136" s="170"/>
      <c r="E136" s="1655" t="s">
        <v>3013</v>
      </c>
      <c r="F136" s="170"/>
      <c r="G136" s="170"/>
      <c r="H136" s="170"/>
      <c r="I136" s="170"/>
      <c r="J136" s="170"/>
      <c r="L136" s="143"/>
      <c r="N136" s="170"/>
      <c r="Y136" s="143"/>
      <c r="Z136" s="1547"/>
      <c r="AB136" s="1547"/>
      <c r="AD136" s="73"/>
      <c r="AE136" s="1561"/>
      <c r="AF136" s="170" t="s">
        <v>602</v>
      </c>
      <c r="AG136" s="1547"/>
      <c r="AH136" s="143"/>
      <c r="AI136" s="143"/>
      <c r="AJ136" s="53"/>
      <c r="AK136" s="53"/>
      <c r="AL136" s="53"/>
      <c r="AM136" s="53"/>
      <c r="AN136" s="53"/>
      <c r="AO136" s="53"/>
      <c r="AP136" s="53"/>
      <c r="AQ136" s="53"/>
      <c r="AR136" s="115"/>
      <c r="AS136" s="1727"/>
      <c r="AT136" s="115"/>
      <c r="AU136" s="115"/>
      <c r="AV136" s="115"/>
      <c r="AW136" s="170"/>
      <c r="AX136" s="170"/>
      <c r="AY136" s="138"/>
    </row>
    <row r="137" spans="1:51" ht="15" customHeight="1">
      <c r="A137" s="1659"/>
      <c r="B137" s="1333"/>
      <c r="C137" s="1333"/>
      <c r="D137" s="1333"/>
      <c r="E137" s="1657"/>
      <c r="F137" s="1333"/>
      <c r="G137" s="1333"/>
      <c r="H137" s="1333"/>
      <c r="I137" s="1333"/>
      <c r="J137" s="1333"/>
      <c r="K137" s="1333"/>
      <c r="L137" s="1333"/>
      <c r="M137" s="1333"/>
      <c r="N137" s="1333"/>
      <c r="O137" s="1333"/>
      <c r="P137" s="1333"/>
      <c r="Q137" s="1333"/>
      <c r="R137" s="1333"/>
      <c r="S137" s="1333"/>
      <c r="T137" s="1333"/>
      <c r="U137" s="1333"/>
      <c r="V137" s="1333"/>
      <c r="W137" s="1333"/>
      <c r="X137" s="1333"/>
      <c r="Y137" s="1333"/>
      <c r="Z137" s="1554"/>
      <c r="AA137" s="1333"/>
      <c r="AB137" s="1554"/>
      <c r="AC137" s="1333"/>
      <c r="AD137" s="1437"/>
      <c r="AE137" s="1589"/>
      <c r="AF137" s="1333" t="s">
        <v>1998</v>
      </c>
      <c r="AG137" s="1554"/>
      <c r="AH137" s="1333"/>
      <c r="AI137" s="1333"/>
      <c r="AJ137" s="1432"/>
      <c r="AK137" s="1432"/>
      <c r="AL137" s="1432"/>
      <c r="AM137" s="1432"/>
      <c r="AN137" s="1432"/>
      <c r="AO137" s="1432"/>
      <c r="AP137" s="1432"/>
      <c r="AQ137" s="1432"/>
      <c r="AR137" s="1620"/>
      <c r="AS137" s="1727"/>
      <c r="AT137" s="115"/>
      <c r="AU137" s="115"/>
      <c r="AV137" s="115"/>
      <c r="AW137" s="170"/>
      <c r="AX137" s="170"/>
      <c r="AY137" s="138"/>
    </row>
    <row r="138" spans="1:51" ht="15" customHeight="1">
      <c r="A138" s="134"/>
      <c r="B138" s="170"/>
      <c r="C138" s="170"/>
      <c r="D138" s="170"/>
      <c r="E138" s="170"/>
      <c r="F138" s="170"/>
      <c r="G138" s="170"/>
      <c r="H138" s="170"/>
      <c r="I138" s="170"/>
      <c r="J138" s="170"/>
      <c r="L138" s="143"/>
      <c r="N138" s="170"/>
      <c r="P138" s="170"/>
      <c r="Y138" s="143"/>
      <c r="Z138" s="1547"/>
      <c r="AB138" s="1547"/>
      <c r="AD138" s="73"/>
      <c r="AE138" s="1561"/>
      <c r="AF138" s="170"/>
      <c r="AG138" s="170"/>
      <c r="AH138" s="170"/>
      <c r="AI138" s="143"/>
      <c r="AJ138" s="53"/>
      <c r="AK138" s="53"/>
      <c r="AL138" s="53"/>
      <c r="AM138" s="53"/>
      <c r="AN138" s="53"/>
      <c r="AO138" s="53"/>
      <c r="AP138" s="53"/>
      <c r="AQ138" s="53"/>
      <c r="AR138" s="115"/>
      <c r="AS138" s="1727"/>
      <c r="AT138" s="115"/>
      <c r="AU138" s="115"/>
      <c r="AV138" s="115"/>
      <c r="AW138" s="170"/>
      <c r="AX138" s="170"/>
      <c r="AY138" s="138"/>
    </row>
    <row r="139" spans="1:51" ht="15" customHeight="1">
      <c r="A139" s="96" t="s">
        <v>508</v>
      </c>
      <c r="B139" s="170"/>
      <c r="C139" s="170"/>
      <c r="D139" s="170"/>
      <c r="E139" s="170"/>
      <c r="F139" s="170"/>
      <c r="G139" s="170"/>
      <c r="H139" s="170"/>
      <c r="I139" s="170"/>
      <c r="J139" s="170"/>
      <c r="L139" s="143"/>
      <c r="N139" s="170"/>
      <c r="Y139" s="143"/>
      <c r="Z139" s="1547"/>
      <c r="AB139" s="1547"/>
      <c r="AD139" s="73"/>
      <c r="AE139" s="1561"/>
      <c r="AF139" s="170"/>
      <c r="AG139" s="170"/>
      <c r="AH139" s="170"/>
      <c r="AI139" s="143"/>
      <c r="AJ139" s="53"/>
      <c r="AK139" s="53"/>
      <c r="AL139" s="53"/>
      <c r="AM139" s="53"/>
      <c r="AN139" s="53"/>
      <c r="AO139" s="53"/>
      <c r="AP139" s="53"/>
      <c r="AQ139" s="53"/>
      <c r="AR139" s="115"/>
      <c r="AS139" s="1727"/>
      <c r="AT139" s="115"/>
      <c r="AU139" s="115"/>
      <c r="AV139" s="115"/>
      <c r="AW139" s="170"/>
      <c r="AX139" s="170"/>
      <c r="AY139" s="138"/>
    </row>
    <row r="140" spans="1:51" ht="15" customHeight="1">
      <c r="A140" s="1666"/>
      <c r="B140" s="1242" t="s">
        <v>506</v>
      </c>
      <c r="C140" s="1242"/>
      <c r="D140" s="1242"/>
      <c r="E140" s="1242"/>
      <c r="F140" s="1242" t="s">
        <v>505</v>
      </c>
      <c r="G140" s="1667"/>
      <c r="H140" s="1242"/>
      <c r="I140" s="1242"/>
      <c r="J140" s="1242"/>
      <c r="K140" s="1667"/>
      <c r="L140" s="1667"/>
      <c r="M140" s="1667"/>
      <c r="N140" s="1242"/>
      <c r="O140" s="1667"/>
      <c r="P140" s="1667"/>
      <c r="Q140" s="1667"/>
      <c r="R140" s="1667"/>
      <c r="S140" s="1667"/>
      <c r="T140" s="1667"/>
      <c r="U140" s="1667"/>
      <c r="V140" s="1667"/>
      <c r="W140" s="1667"/>
      <c r="X140" s="1667"/>
      <c r="Y140" s="1667"/>
      <c r="Z140" s="1668"/>
      <c r="AA140" s="1667"/>
      <c r="AB140" s="1668"/>
      <c r="AC140" s="1667"/>
      <c r="AD140" s="1667"/>
      <c r="AE140" s="1668"/>
      <c r="AF140" s="1242" t="s">
        <v>593</v>
      </c>
      <c r="AG140" s="1667"/>
      <c r="AH140" s="1667"/>
      <c r="AI140" s="1667"/>
      <c r="AJ140" s="1669"/>
      <c r="AK140" s="1669"/>
      <c r="AL140" s="1669"/>
      <c r="AM140" s="1669"/>
      <c r="AN140" s="1669"/>
      <c r="AO140" s="1669"/>
      <c r="AP140" s="1669"/>
      <c r="AQ140" s="1669"/>
      <c r="AR140" s="1669"/>
      <c r="AS140" s="1727"/>
      <c r="AT140" s="115"/>
      <c r="AU140" s="115"/>
      <c r="AV140" s="115"/>
      <c r="AW140" s="170"/>
      <c r="AX140" s="170"/>
      <c r="AY140" s="138"/>
    </row>
    <row r="141" spans="1:51" ht="15" customHeight="1">
      <c r="A141" s="1655" t="s">
        <v>528</v>
      </c>
      <c r="B141" s="170"/>
      <c r="C141" s="170"/>
      <c r="D141" s="170"/>
      <c r="E141" s="1656" t="s">
        <v>203</v>
      </c>
      <c r="F141" s="170"/>
      <c r="H141" s="170"/>
      <c r="I141" s="170"/>
      <c r="J141" s="170"/>
      <c r="L141" s="143"/>
      <c r="N141" s="170"/>
      <c r="Y141" s="143"/>
      <c r="Z141" s="1547"/>
      <c r="AB141" s="1547"/>
      <c r="AD141" s="73"/>
      <c r="AE141" s="1561"/>
      <c r="AF141" s="170" t="s">
        <v>603</v>
      </c>
      <c r="AG141" s="1547"/>
      <c r="AH141" s="143"/>
      <c r="AI141" s="143"/>
      <c r="AJ141" s="53"/>
      <c r="AK141" s="53"/>
      <c r="AL141" s="53"/>
      <c r="AM141" s="53"/>
      <c r="AN141" s="53"/>
      <c r="AO141" s="53"/>
      <c r="AP141" s="53"/>
      <c r="AQ141" s="53"/>
      <c r="AR141" s="115"/>
      <c r="AS141" s="1727"/>
      <c r="AT141" s="115"/>
      <c r="AU141" s="115"/>
      <c r="AV141" s="115"/>
      <c r="AW141" s="170"/>
      <c r="AX141" s="170"/>
      <c r="AY141" s="138"/>
    </row>
    <row r="142" spans="1:51" ht="15" customHeight="1">
      <c r="A142" s="1656" t="s">
        <v>3009</v>
      </c>
      <c r="B142" s="170"/>
      <c r="C142" s="170"/>
      <c r="D142" s="170"/>
      <c r="E142" s="1656" t="s">
        <v>3247</v>
      </c>
      <c r="F142" s="170"/>
      <c r="G142" s="170"/>
      <c r="H142" s="170"/>
      <c r="I142" s="170"/>
      <c r="J142" s="170"/>
      <c r="L142" s="143"/>
      <c r="N142" s="170"/>
      <c r="P142" s="170"/>
      <c r="Y142" s="143"/>
      <c r="Z142" s="1547"/>
      <c r="AB142" s="1547"/>
      <c r="AD142" s="73"/>
      <c r="AE142" s="1561"/>
      <c r="AF142" s="170" t="s">
        <v>604</v>
      </c>
      <c r="AG142" s="1547"/>
      <c r="AH142" s="143"/>
      <c r="AI142" s="143"/>
      <c r="AJ142" s="53"/>
      <c r="AK142" s="53"/>
      <c r="AL142" s="53"/>
      <c r="AM142" s="53"/>
      <c r="AN142" s="53"/>
      <c r="AO142" s="53"/>
      <c r="AP142" s="53"/>
      <c r="AQ142" s="53"/>
      <c r="AR142" s="115"/>
      <c r="AS142" s="1727"/>
      <c r="AT142" s="115"/>
      <c r="AU142" s="115"/>
      <c r="AV142" s="115"/>
      <c r="AW142" s="170"/>
      <c r="AX142" s="170"/>
      <c r="AY142" s="138"/>
    </row>
    <row r="143" spans="1:51" ht="15" customHeight="1">
      <c r="A143" s="1655"/>
      <c r="B143" s="170"/>
      <c r="C143" s="170"/>
      <c r="D143" s="170"/>
      <c r="E143" s="1656"/>
      <c r="F143" s="170"/>
      <c r="G143" s="170"/>
      <c r="H143" s="170"/>
      <c r="I143" s="170"/>
      <c r="J143" s="170"/>
      <c r="L143" s="143"/>
      <c r="N143" s="170"/>
      <c r="P143" s="170"/>
      <c r="Y143" s="143"/>
      <c r="Z143" s="1547"/>
      <c r="AB143" s="1547"/>
      <c r="AD143" s="73"/>
      <c r="AE143" s="1561"/>
      <c r="AF143" s="170" t="s">
        <v>1982</v>
      </c>
      <c r="AG143" s="1547"/>
      <c r="AH143" s="143"/>
      <c r="AI143" s="143"/>
      <c r="AJ143" s="53"/>
      <c r="AK143" s="53"/>
      <c r="AL143" s="53"/>
      <c r="AM143" s="53"/>
      <c r="AN143" s="53"/>
      <c r="AO143" s="53"/>
      <c r="AP143" s="53"/>
      <c r="AQ143" s="53"/>
      <c r="AR143" s="115"/>
      <c r="AS143" s="1727"/>
      <c r="AT143" s="115"/>
      <c r="AU143" s="115"/>
      <c r="AV143" s="115"/>
      <c r="AW143" s="170"/>
      <c r="AX143" s="170"/>
      <c r="AY143" s="138"/>
    </row>
    <row r="144" spans="1:51" ht="15" customHeight="1">
      <c r="A144" s="1655" t="s">
        <v>3010</v>
      </c>
      <c r="B144" s="170"/>
      <c r="C144" s="170"/>
      <c r="D144" s="170"/>
      <c r="E144" s="1655" t="s">
        <v>3248</v>
      </c>
      <c r="F144" s="170"/>
      <c r="G144" s="170"/>
      <c r="H144" s="170"/>
      <c r="I144" s="170"/>
      <c r="J144" s="170"/>
      <c r="L144" s="143"/>
      <c r="N144" s="170"/>
      <c r="P144" s="170"/>
      <c r="Y144" s="143"/>
      <c r="Z144" s="1547"/>
      <c r="AB144" s="1547"/>
      <c r="AD144" s="73"/>
      <c r="AE144" s="1561"/>
      <c r="AF144" s="170" t="s">
        <v>1981</v>
      </c>
      <c r="AG144" s="1547"/>
      <c r="AH144" s="143"/>
      <c r="AI144" s="143"/>
      <c r="AJ144" s="53"/>
      <c r="AK144" s="53"/>
      <c r="AL144" s="53"/>
      <c r="AM144" s="53"/>
      <c r="AN144" s="53"/>
      <c r="AO144" s="53"/>
      <c r="AP144" s="53"/>
      <c r="AQ144" s="53"/>
      <c r="AR144" s="115"/>
      <c r="AS144" s="1727"/>
      <c r="AT144" s="115"/>
      <c r="AU144" s="115"/>
      <c r="AV144" s="115"/>
      <c r="AW144" s="170"/>
      <c r="AX144" s="170"/>
      <c r="AY144" s="138"/>
    </row>
    <row r="145" spans="1:51" ht="15" customHeight="1">
      <c r="A145" s="1655"/>
      <c r="B145" s="170"/>
      <c r="C145" s="170"/>
      <c r="D145" s="170"/>
      <c r="E145" s="1656"/>
      <c r="F145" s="170"/>
      <c r="G145" s="170"/>
      <c r="H145" s="170"/>
      <c r="I145" s="170"/>
      <c r="J145" s="170"/>
      <c r="L145" s="143"/>
      <c r="N145" s="170"/>
      <c r="P145" s="170"/>
      <c r="Y145" s="143"/>
      <c r="Z145" s="1547"/>
      <c r="AB145" s="1547"/>
      <c r="AD145" s="73"/>
      <c r="AE145" s="1561"/>
      <c r="AF145" s="170" t="s">
        <v>1992</v>
      </c>
      <c r="AG145" s="1547"/>
      <c r="AH145" s="143"/>
      <c r="AI145" s="143"/>
      <c r="AJ145" s="53"/>
      <c r="AK145" s="53"/>
      <c r="AL145" s="53"/>
      <c r="AM145" s="53"/>
      <c r="AN145" s="53"/>
      <c r="AO145" s="53"/>
      <c r="AP145" s="53"/>
      <c r="AQ145" s="53"/>
      <c r="AR145" s="115"/>
      <c r="AS145" s="1727"/>
      <c r="AT145" s="115"/>
      <c r="AU145" s="115"/>
      <c r="AV145" s="115"/>
      <c r="AW145" s="170"/>
      <c r="AX145" s="170"/>
      <c r="AY145" s="138"/>
    </row>
    <row r="146" spans="1:51" ht="15" customHeight="1">
      <c r="A146" s="1655" t="s">
        <v>3011</v>
      </c>
      <c r="B146" s="170"/>
      <c r="C146" s="170"/>
      <c r="D146" s="170"/>
      <c r="E146" s="1655" t="s">
        <v>3249</v>
      </c>
      <c r="F146" s="170"/>
      <c r="G146" s="170"/>
      <c r="H146" s="170"/>
      <c r="I146" s="170"/>
      <c r="J146" s="170"/>
      <c r="L146" s="143"/>
      <c r="N146" s="170"/>
      <c r="P146" s="170"/>
      <c r="Y146" s="143"/>
      <c r="Z146" s="1547"/>
      <c r="AB146" s="1547"/>
      <c r="AD146" s="73"/>
      <c r="AE146" s="1561"/>
      <c r="AF146" s="170" t="s">
        <v>1985</v>
      </c>
      <c r="AG146" s="1547"/>
      <c r="AH146" s="143"/>
      <c r="AI146" s="143"/>
      <c r="AJ146" s="53"/>
      <c r="AK146" s="53"/>
      <c r="AL146" s="53"/>
      <c r="AM146" s="53"/>
      <c r="AN146" s="53"/>
      <c r="AO146" s="53"/>
      <c r="AP146" s="53"/>
      <c r="AQ146" s="53"/>
      <c r="AR146" s="115"/>
      <c r="AS146" s="1727"/>
      <c r="AT146" s="115"/>
      <c r="AU146" s="115"/>
      <c r="AV146" s="115"/>
      <c r="AW146" s="170"/>
      <c r="AX146" s="170"/>
      <c r="AY146" s="138"/>
    </row>
    <row r="147" spans="1:51" ht="15" customHeight="1">
      <c r="A147" s="1655"/>
      <c r="B147" s="170"/>
      <c r="C147" s="170"/>
      <c r="D147" s="170"/>
      <c r="E147" s="1655" t="s">
        <v>3013</v>
      </c>
      <c r="F147" s="170"/>
      <c r="G147" s="170"/>
      <c r="H147" s="170"/>
      <c r="I147" s="170"/>
      <c r="J147" s="170"/>
      <c r="L147" s="143"/>
      <c r="P147" s="170"/>
      <c r="Y147" s="143"/>
      <c r="Z147" s="1547"/>
      <c r="AB147" s="1547"/>
      <c r="AD147" s="73"/>
      <c r="AE147" s="1561"/>
      <c r="AF147" s="170" t="s">
        <v>3250</v>
      </c>
      <c r="AG147" s="1547"/>
      <c r="AH147" s="143"/>
      <c r="AI147" s="143"/>
      <c r="AJ147" s="53"/>
      <c r="AK147" s="53"/>
      <c r="AL147" s="53"/>
      <c r="AM147" s="53"/>
      <c r="AN147" s="53"/>
      <c r="AO147" s="53"/>
      <c r="AP147" s="53"/>
      <c r="AQ147" s="53"/>
      <c r="AR147" s="115"/>
      <c r="AS147" s="1727"/>
      <c r="AT147" s="115"/>
      <c r="AU147" s="115"/>
      <c r="AV147" s="115"/>
      <c r="AW147" s="170"/>
      <c r="AX147" s="170"/>
      <c r="AY147" s="138"/>
    </row>
    <row r="148" spans="1:51" ht="15" customHeight="1">
      <c r="A148" s="1657"/>
      <c r="B148" s="1333"/>
      <c r="C148" s="1333"/>
      <c r="D148" s="1333"/>
      <c r="E148" s="1657"/>
      <c r="F148" s="1333"/>
      <c r="G148" s="1333"/>
      <c r="H148" s="1333"/>
      <c r="I148" s="1333"/>
      <c r="J148" s="1333"/>
      <c r="K148" s="1333"/>
      <c r="L148" s="1333"/>
      <c r="M148" s="1333"/>
      <c r="N148" s="1333"/>
      <c r="O148" s="1333"/>
      <c r="P148" s="1333"/>
      <c r="Q148" s="1333"/>
      <c r="R148" s="1333"/>
      <c r="S148" s="1333"/>
      <c r="T148" s="1333"/>
      <c r="U148" s="1333"/>
      <c r="V148" s="1333"/>
      <c r="W148" s="1333"/>
      <c r="X148" s="1333"/>
      <c r="Y148" s="1333"/>
      <c r="Z148" s="1554"/>
      <c r="AA148" s="1333"/>
      <c r="AB148" s="1554"/>
      <c r="AC148" s="1333"/>
      <c r="AD148" s="1437"/>
      <c r="AE148" s="1589"/>
      <c r="AF148" s="1333" t="s">
        <v>1720</v>
      </c>
      <c r="AG148" s="1554"/>
      <c r="AH148" s="1333"/>
      <c r="AI148" s="1333"/>
      <c r="AJ148" s="1432"/>
      <c r="AK148" s="1432"/>
      <c r="AL148" s="1432"/>
      <c r="AM148" s="1432"/>
      <c r="AN148" s="1432"/>
      <c r="AO148" s="1432"/>
      <c r="AP148" s="1432"/>
      <c r="AQ148" s="1432"/>
      <c r="AR148" s="1620"/>
      <c r="AS148" s="1727"/>
      <c r="AT148" s="115"/>
      <c r="AU148" s="115"/>
      <c r="AV148" s="115"/>
      <c r="AW148" s="170"/>
      <c r="AX148" s="170"/>
      <c r="AY148" s="138"/>
    </row>
    <row r="149" spans="1:51" ht="15" customHeight="1">
      <c r="A149" s="1655" t="s">
        <v>588</v>
      </c>
      <c r="B149" s="170"/>
      <c r="C149" s="170"/>
      <c r="D149" s="170"/>
      <c r="E149" s="1656" t="s">
        <v>504</v>
      </c>
      <c r="F149" s="170"/>
      <c r="H149" s="170"/>
      <c r="I149" s="170"/>
      <c r="J149" s="170"/>
      <c r="L149" s="143"/>
      <c r="N149" s="170"/>
      <c r="Y149" s="143"/>
      <c r="Z149" s="1547"/>
      <c r="AB149" s="1547"/>
      <c r="AD149" s="73"/>
      <c r="AE149" s="1561"/>
      <c r="AF149" s="170" t="s">
        <v>605</v>
      </c>
      <c r="AG149" s="1547"/>
      <c r="AH149" s="143"/>
      <c r="AI149" s="143"/>
      <c r="AJ149" s="53"/>
      <c r="AK149" s="53"/>
      <c r="AL149" s="53"/>
      <c r="AM149" s="53"/>
      <c r="AN149" s="53"/>
      <c r="AO149" s="53"/>
      <c r="AP149" s="53"/>
      <c r="AQ149" s="53"/>
      <c r="AR149" s="115"/>
      <c r="AS149" s="1727"/>
      <c r="AT149" s="115"/>
      <c r="AU149" s="115"/>
      <c r="AV149" s="115"/>
      <c r="AW149" s="170"/>
      <c r="AX149" s="170"/>
      <c r="AY149" s="138"/>
    </row>
    <row r="150" spans="1:51" ht="15" customHeight="1">
      <c r="A150" s="1656" t="s">
        <v>3009</v>
      </c>
      <c r="B150" s="170"/>
      <c r="C150" s="170"/>
      <c r="D150" s="170"/>
      <c r="E150" s="1656" t="s">
        <v>3251</v>
      </c>
      <c r="F150" s="170"/>
      <c r="G150" s="170"/>
      <c r="H150" s="170"/>
      <c r="I150" s="170"/>
      <c r="J150" s="170"/>
      <c r="L150" s="143"/>
      <c r="N150" s="170"/>
      <c r="O150" s="170"/>
      <c r="Y150" s="143"/>
      <c r="Z150" s="1547"/>
      <c r="AB150" s="1547"/>
      <c r="AD150" s="73"/>
      <c r="AE150" s="1561"/>
      <c r="AF150" s="170" t="s">
        <v>606</v>
      </c>
      <c r="AG150" s="1547"/>
      <c r="AH150" s="143"/>
      <c r="AI150" s="143"/>
      <c r="AJ150" s="122"/>
      <c r="AK150" s="122"/>
      <c r="AL150" s="122"/>
      <c r="AM150" s="122"/>
      <c r="AN150" s="122"/>
      <c r="AO150" s="122"/>
      <c r="AP150" s="122"/>
      <c r="AQ150" s="1584"/>
      <c r="AR150" s="170"/>
      <c r="AS150" s="1728"/>
      <c r="AT150" s="170"/>
      <c r="AU150" s="170"/>
      <c r="AV150" s="170"/>
      <c r="AW150" s="170"/>
      <c r="AX150" s="170"/>
      <c r="AY150" s="138"/>
    </row>
    <row r="151" spans="1:51" ht="15" customHeight="1">
      <c r="A151" s="1655"/>
      <c r="B151" s="170"/>
      <c r="C151" s="170"/>
      <c r="D151" s="170"/>
      <c r="E151" s="1656"/>
      <c r="F151" s="170"/>
      <c r="G151" s="170"/>
      <c r="H151" s="170"/>
      <c r="I151" s="170"/>
      <c r="J151" s="170"/>
      <c r="L151" s="143"/>
      <c r="N151" s="170"/>
      <c r="O151" s="170"/>
      <c r="Y151" s="143"/>
      <c r="Z151" s="1547"/>
      <c r="AB151" s="1547"/>
      <c r="AD151" s="73"/>
      <c r="AE151" s="1561"/>
      <c r="AF151" s="170" t="s">
        <v>2010</v>
      </c>
      <c r="AG151" s="1547"/>
      <c r="AH151" s="143"/>
      <c r="AI151" s="143"/>
      <c r="AJ151" s="122"/>
      <c r="AK151" s="122"/>
      <c r="AL151" s="122"/>
      <c r="AM151" s="122"/>
      <c r="AN151" s="122"/>
      <c r="AO151" s="122"/>
      <c r="AP151" s="122"/>
      <c r="AQ151" s="1584"/>
      <c r="AR151" s="170"/>
      <c r="AS151" s="1728"/>
      <c r="AT151" s="170"/>
      <c r="AU151" s="170"/>
      <c r="AV151" s="170"/>
      <c r="AW151" s="170"/>
      <c r="AX151" s="170"/>
      <c r="AY151" s="138"/>
    </row>
    <row r="152" spans="1:51" ht="15" customHeight="1">
      <c r="A152" s="1655" t="s">
        <v>3010</v>
      </c>
      <c r="B152" s="170"/>
      <c r="C152" s="170"/>
      <c r="D152" s="170"/>
      <c r="E152" s="1655" t="s">
        <v>3246</v>
      </c>
      <c r="F152" s="170"/>
      <c r="G152" s="170"/>
      <c r="H152" s="170"/>
      <c r="I152" s="170"/>
      <c r="J152" s="170"/>
      <c r="L152" s="143"/>
      <c r="N152" s="170"/>
      <c r="O152" s="170"/>
      <c r="Y152" s="143"/>
      <c r="Z152" s="1547"/>
      <c r="AB152" s="1547"/>
      <c r="AD152" s="73"/>
      <c r="AE152" s="1561"/>
      <c r="AF152" s="170" t="s">
        <v>2008</v>
      </c>
      <c r="AG152" s="1547"/>
      <c r="AH152" s="143"/>
      <c r="AI152" s="143"/>
      <c r="AJ152" s="122"/>
      <c r="AK152" s="122"/>
      <c r="AL152" s="122"/>
      <c r="AM152" s="122"/>
      <c r="AN152" s="122"/>
      <c r="AO152" s="122"/>
      <c r="AP152" s="122"/>
      <c r="AQ152" s="1584"/>
      <c r="AR152" s="170"/>
      <c r="AS152" s="1728"/>
      <c r="AT152" s="170"/>
      <c r="AU152" s="170"/>
      <c r="AV152" s="170"/>
      <c r="AW152" s="170"/>
      <c r="AX152" s="170"/>
      <c r="AY152" s="138"/>
    </row>
    <row r="153" spans="1:51" ht="15" customHeight="1">
      <c r="A153" s="1655"/>
      <c r="B153" s="170"/>
      <c r="C153" s="170"/>
      <c r="D153" s="170"/>
      <c r="E153" s="1656"/>
      <c r="F153" s="170"/>
      <c r="G153" s="170"/>
      <c r="H153" s="170"/>
      <c r="I153" s="170"/>
      <c r="J153" s="170"/>
      <c r="L153" s="143"/>
      <c r="N153" s="170"/>
      <c r="O153" s="170"/>
      <c r="Y153" s="143"/>
      <c r="Z153" s="1547"/>
      <c r="AB153" s="1547"/>
      <c r="AD153" s="73"/>
      <c r="AE153" s="1561"/>
      <c r="AF153" s="170" t="s">
        <v>2009</v>
      </c>
      <c r="AG153" s="1547"/>
      <c r="AH153" s="143"/>
      <c r="AI153" s="143"/>
      <c r="AJ153" s="122"/>
      <c r="AK153" s="122"/>
      <c r="AL153" s="122"/>
      <c r="AM153" s="122"/>
      <c r="AN153" s="122"/>
      <c r="AO153" s="122"/>
      <c r="AP153" s="122"/>
      <c r="AQ153" s="1584"/>
      <c r="AR153" s="170"/>
      <c r="AS153" s="1728"/>
      <c r="AT153" s="170"/>
      <c r="AU153" s="170"/>
      <c r="AV153" s="170"/>
      <c r="AW153" s="170"/>
      <c r="AX153" s="170"/>
      <c r="AY153" s="138"/>
    </row>
    <row r="154" spans="1:51" ht="15" customHeight="1">
      <c r="A154" s="1655" t="s">
        <v>3011</v>
      </c>
      <c r="B154" s="170"/>
      <c r="C154" s="170"/>
      <c r="D154" s="170"/>
      <c r="E154" s="1655" t="s">
        <v>3252</v>
      </c>
      <c r="F154" s="170"/>
      <c r="G154" s="170"/>
      <c r="H154" s="170"/>
      <c r="I154" s="170"/>
      <c r="J154" s="170"/>
      <c r="L154" s="143"/>
      <c r="N154" s="170"/>
      <c r="O154" s="170"/>
      <c r="Y154" s="143"/>
      <c r="Z154" s="1547"/>
      <c r="AB154" s="1547"/>
      <c r="AD154" s="73"/>
      <c r="AE154" s="1561"/>
      <c r="AF154" s="170" t="s">
        <v>2011</v>
      </c>
      <c r="AG154" s="1547"/>
      <c r="AH154" s="143"/>
      <c r="AI154" s="143"/>
      <c r="AJ154" s="122"/>
      <c r="AK154" s="122"/>
      <c r="AL154" s="122"/>
      <c r="AM154" s="122"/>
      <c r="AN154" s="122"/>
      <c r="AO154" s="122"/>
      <c r="AP154" s="122"/>
      <c r="AQ154" s="1584"/>
      <c r="AR154" s="170"/>
      <c r="AS154" s="1728"/>
      <c r="AT154" s="170"/>
      <c r="AU154" s="170"/>
      <c r="AV154" s="170"/>
      <c r="AW154" s="170"/>
      <c r="AX154" s="170"/>
      <c r="AY154" s="138"/>
    </row>
    <row r="155" spans="1:51" ht="15" customHeight="1">
      <c r="A155" s="1655"/>
      <c r="B155" s="170"/>
      <c r="C155" s="170"/>
      <c r="D155" s="170"/>
      <c r="E155" s="1655" t="s">
        <v>3013</v>
      </c>
      <c r="F155" s="170"/>
      <c r="G155" s="170"/>
      <c r="H155" s="170"/>
      <c r="I155" s="170"/>
      <c r="J155" s="170"/>
      <c r="L155" s="143"/>
      <c r="O155" s="170"/>
      <c r="Y155" s="143"/>
      <c r="Z155" s="1547"/>
      <c r="AB155" s="1547"/>
      <c r="AD155" s="73"/>
      <c r="AE155" s="1561"/>
      <c r="AF155" s="170" t="s">
        <v>607</v>
      </c>
      <c r="AG155" s="1547"/>
      <c r="AH155" s="143"/>
      <c r="AI155" s="143"/>
      <c r="AJ155" s="122"/>
      <c r="AK155" s="122"/>
      <c r="AL155" s="122"/>
      <c r="AM155" s="122"/>
      <c r="AN155" s="122"/>
      <c r="AO155" s="122"/>
      <c r="AP155" s="122"/>
      <c r="AQ155" s="1584"/>
      <c r="AR155" s="170"/>
      <c r="AS155" s="1728"/>
      <c r="AT155" s="170"/>
      <c r="AU155" s="170"/>
      <c r="AV155" s="170"/>
      <c r="AW155" s="170"/>
      <c r="AX155" s="170"/>
      <c r="AY155" s="138"/>
    </row>
    <row r="156" spans="1:51" ht="15" customHeight="1">
      <c r="A156" s="1658"/>
      <c r="B156" s="1333"/>
      <c r="C156" s="1333"/>
      <c r="D156" s="1333"/>
      <c r="E156" s="1333"/>
      <c r="F156" s="1333"/>
      <c r="G156" s="1333"/>
      <c r="H156" s="1333"/>
      <c r="I156" s="1333"/>
      <c r="J156" s="1333"/>
      <c r="K156" s="1333"/>
      <c r="L156" s="1333"/>
      <c r="M156" s="1333"/>
      <c r="N156" s="1333"/>
      <c r="O156" s="1333"/>
      <c r="P156" s="1333"/>
      <c r="Q156" s="1333"/>
      <c r="R156" s="1333"/>
      <c r="S156" s="1333"/>
      <c r="T156" s="1333"/>
      <c r="U156" s="1333"/>
      <c r="V156" s="1333"/>
      <c r="W156" s="1333"/>
      <c r="X156" s="1333"/>
      <c r="Y156" s="1333"/>
      <c r="Z156" s="1554"/>
      <c r="AA156" s="1333"/>
      <c r="AB156" s="1554"/>
      <c r="AC156" s="1333"/>
      <c r="AD156" s="1437"/>
      <c r="AE156" s="1589"/>
      <c r="AF156" s="1333" t="s">
        <v>3253</v>
      </c>
      <c r="AG156" s="1554"/>
      <c r="AH156" s="1333"/>
      <c r="AI156" s="1333"/>
      <c r="AJ156" s="1437"/>
      <c r="AK156" s="1437"/>
      <c r="AL156" s="1437"/>
      <c r="AM156" s="1437"/>
      <c r="AN156" s="1437"/>
      <c r="AO156" s="1437"/>
      <c r="AP156" s="1437"/>
      <c r="AQ156" s="1589"/>
      <c r="AR156" s="1333"/>
      <c r="AS156" s="1728"/>
      <c r="AT156" s="170"/>
      <c r="AU156" s="170"/>
      <c r="AV156" s="170"/>
      <c r="AW156" s="170"/>
      <c r="AX156" s="170"/>
      <c r="AY156" s="138"/>
    </row>
    <row r="157" spans="1:51" ht="15" customHeight="1">
      <c r="A157" s="124"/>
      <c r="B157" s="170"/>
      <c r="C157" s="170"/>
      <c r="D157" s="170"/>
      <c r="E157" s="170"/>
      <c r="F157" s="170"/>
      <c r="G157" s="170"/>
      <c r="H157" s="170"/>
      <c r="I157" s="170"/>
      <c r="J157" s="170"/>
      <c r="L157" s="143"/>
      <c r="N157" s="170"/>
      <c r="Y157" s="143"/>
      <c r="Z157" s="1547"/>
      <c r="AB157" s="1547"/>
      <c r="AD157" s="73"/>
      <c r="AE157" s="1561"/>
      <c r="AF157" s="170"/>
      <c r="AG157" s="1547"/>
      <c r="AH157" s="170"/>
      <c r="AI157" s="143"/>
      <c r="AJ157" s="122"/>
      <c r="AK157" s="122"/>
      <c r="AL157" s="122"/>
      <c r="AM157" s="122"/>
      <c r="AN157" s="122"/>
      <c r="AO157" s="122"/>
      <c r="AP157" s="122"/>
      <c r="AQ157" s="1584"/>
      <c r="AR157" s="170"/>
      <c r="AS157" s="1728"/>
      <c r="AT157" s="170"/>
      <c r="AU157" s="170"/>
      <c r="AV157" s="170"/>
      <c r="AW157" s="170"/>
      <c r="AX157" s="170"/>
      <c r="AY157" s="138"/>
    </row>
    <row r="158" spans="1:51" ht="15" customHeight="1">
      <c r="A158" s="124"/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547"/>
      <c r="AD158" s="73"/>
      <c r="AE158" s="1561"/>
      <c r="AF158" s="73"/>
      <c r="AH158" s="1584"/>
      <c r="AI158" s="1584"/>
      <c r="AJ158" s="122"/>
      <c r="AK158" s="122"/>
      <c r="AL158" s="122"/>
      <c r="AM158" s="122"/>
      <c r="AN158" s="122"/>
      <c r="AO158" s="122"/>
      <c r="AP158" s="122"/>
      <c r="AQ158" s="1584"/>
      <c r="AR158" s="170"/>
      <c r="AS158" s="1728"/>
      <c r="AT158" s="170"/>
      <c r="AU158" s="170"/>
      <c r="AV158" s="170"/>
      <c r="AW158" s="170"/>
      <c r="AX158" s="170"/>
      <c r="AY158" s="138"/>
    </row>
    <row r="159" spans="1:51" ht="15" customHeight="1">
      <c r="A159" s="124"/>
      <c r="B159" s="96" t="s">
        <v>589</v>
      </c>
      <c r="C159" s="170"/>
      <c r="D159" s="170"/>
      <c r="E159" s="170"/>
      <c r="F159" s="170"/>
      <c r="G159" s="170"/>
      <c r="H159" s="170"/>
      <c r="I159" s="170"/>
      <c r="J159" s="170"/>
      <c r="K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547"/>
      <c r="AD159" s="73"/>
      <c r="AE159" s="1561"/>
      <c r="AF159" s="73"/>
      <c r="AH159" s="1584"/>
      <c r="AI159" s="1584"/>
      <c r="AJ159" s="122"/>
      <c r="AK159" s="122"/>
      <c r="AL159" s="122"/>
      <c r="AM159" s="122"/>
      <c r="AN159" s="122"/>
      <c r="AO159" s="122"/>
      <c r="AP159" s="122"/>
      <c r="AQ159" s="1584"/>
      <c r="AR159" s="170"/>
      <c r="AS159" s="1728"/>
      <c r="AT159" s="170"/>
      <c r="AU159" s="170"/>
      <c r="AV159" s="170"/>
      <c r="AW159" s="170"/>
      <c r="AX159" s="170"/>
      <c r="AY159" s="138"/>
    </row>
    <row r="160" spans="1:51" ht="15" customHeight="1">
      <c r="A160" s="96"/>
      <c r="B160" s="96" t="s">
        <v>507</v>
      </c>
      <c r="L160" s="1548"/>
      <c r="O160" s="170"/>
      <c r="P160" s="170"/>
      <c r="Q160" s="170"/>
      <c r="R160" s="170"/>
      <c r="S160" s="170"/>
      <c r="T160" s="170"/>
      <c r="U160" s="170"/>
      <c r="V160" s="170"/>
      <c r="W160" s="170"/>
      <c r="X160" s="170"/>
      <c r="Y160" s="170"/>
      <c r="Z160" s="1539"/>
      <c r="AA160" s="170"/>
      <c r="AB160" s="1547"/>
      <c r="AD160" s="73"/>
      <c r="AE160" s="1561"/>
      <c r="AF160" s="73"/>
      <c r="AR160" s="143"/>
      <c r="AV160" s="137"/>
      <c r="AY160" s="138"/>
    </row>
    <row r="161" spans="1:51" ht="15" customHeight="1">
      <c r="A161" s="1666"/>
      <c r="B161" s="1242" t="s">
        <v>506</v>
      </c>
      <c r="C161" s="1242"/>
      <c r="D161" s="1242"/>
      <c r="E161" s="1242"/>
      <c r="F161" s="1242" t="s">
        <v>523</v>
      </c>
      <c r="G161" s="1667"/>
      <c r="H161" s="1242"/>
      <c r="I161" s="1242"/>
      <c r="J161" s="1242"/>
      <c r="K161" s="1667"/>
      <c r="L161" s="1667"/>
      <c r="M161" s="1667"/>
      <c r="N161" s="1242"/>
      <c r="O161" s="1667"/>
      <c r="P161" s="1667"/>
      <c r="Q161" s="1667"/>
      <c r="R161" s="1667"/>
      <c r="S161" s="1667"/>
      <c r="T161" s="1667"/>
      <c r="U161" s="1667"/>
      <c r="V161" s="1667"/>
      <c r="W161" s="1667"/>
      <c r="X161" s="1667"/>
      <c r="Y161" s="1667"/>
      <c r="Z161" s="1668"/>
      <c r="AA161" s="1667"/>
      <c r="AB161" s="1668"/>
      <c r="AC161" s="1667"/>
      <c r="AD161" s="1667"/>
      <c r="AE161" s="1668"/>
      <c r="AF161" s="1242" t="s">
        <v>593</v>
      </c>
      <c r="AG161" s="1667"/>
      <c r="AH161" s="1667"/>
      <c r="AI161" s="1667"/>
      <c r="AJ161" s="1669"/>
      <c r="AK161" s="1669"/>
      <c r="AL161" s="1669"/>
      <c r="AM161" s="1669"/>
      <c r="AN161" s="1669"/>
      <c r="AO161" s="1669"/>
      <c r="AP161" s="1669"/>
      <c r="AQ161" s="1669"/>
      <c r="AR161" s="1669"/>
      <c r="AS161" s="1727"/>
      <c r="AT161" s="115"/>
      <c r="AU161" s="115"/>
      <c r="AV161" s="115"/>
      <c r="AY161" s="138"/>
    </row>
    <row r="162" spans="1:51" ht="15" customHeight="1">
      <c r="A162" s="1655" t="s">
        <v>590</v>
      </c>
      <c r="B162" s="170"/>
      <c r="C162" s="170"/>
      <c r="D162" s="170"/>
      <c r="E162" s="1656" t="s">
        <v>501</v>
      </c>
      <c r="F162" s="1656"/>
      <c r="G162" s="1656"/>
      <c r="H162" s="1656"/>
      <c r="I162" s="1656"/>
      <c r="J162" s="1656"/>
      <c r="K162" s="1656"/>
      <c r="L162" s="1656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539"/>
      <c r="AA162" s="170"/>
      <c r="AB162" s="1547"/>
      <c r="AD162" s="73"/>
      <c r="AE162" s="1561"/>
      <c r="AF162" s="170" t="s">
        <v>594</v>
      </c>
      <c r="AG162" s="1547"/>
      <c r="AH162" s="143"/>
      <c r="AI162" s="170"/>
      <c r="AJ162" s="170"/>
      <c r="AK162" s="53"/>
      <c r="AL162" s="53"/>
      <c r="AM162" s="53"/>
      <c r="AN162" s="53"/>
      <c r="AO162" s="53"/>
      <c r="AP162" s="53"/>
      <c r="AQ162" s="53"/>
      <c r="AR162" s="115"/>
      <c r="AS162" s="1727"/>
      <c r="AT162" s="115"/>
      <c r="AU162" s="115"/>
      <c r="AV162" s="115"/>
      <c r="AW162" s="170"/>
      <c r="AX162" s="170"/>
      <c r="AY162" s="138"/>
    </row>
    <row r="163" spans="1:51" ht="15" customHeight="1">
      <c r="A163" s="1656" t="s">
        <v>3009</v>
      </c>
      <c r="B163" s="170"/>
      <c r="C163" s="170"/>
      <c r="D163" s="170"/>
      <c r="E163" s="1661" t="s">
        <v>1353</v>
      </c>
      <c r="F163" s="1656"/>
      <c r="G163" s="1656"/>
      <c r="H163" s="1656"/>
      <c r="I163" s="1656"/>
      <c r="J163" s="1656"/>
      <c r="K163" s="1656"/>
      <c r="L163" s="1656"/>
      <c r="P163" s="170"/>
      <c r="Q163" s="170"/>
      <c r="R163" s="170"/>
      <c r="S163" s="170"/>
      <c r="T163" s="170"/>
      <c r="U163" s="170"/>
      <c r="V163" s="170"/>
      <c r="W163" s="170"/>
      <c r="X163" s="170"/>
      <c r="Y163" s="170"/>
      <c r="Z163" s="170"/>
      <c r="AA163" s="170"/>
      <c r="AB163" s="1547"/>
      <c r="AD163" s="73"/>
      <c r="AE163" s="1561"/>
      <c r="AF163" s="170" t="s">
        <v>595</v>
      </c>
      <c r="AG163" s="1547"/>
      <c r="AH163" s="143"/>
      <c r="AI163" s="170"/>
      <c r="AJ163" s="170"/>
      <c r="AK163" s="53"/>
      <c r="AL163" s="53"/>
      <c r="AM163" s="53"/>
      <c r="AN163" s="53"/>
      <c r="AO163" s="53"/>
      <c r="AP163" s="53"/>
      <c r="AQ163" s="53"/>
      <c r="AR163" s="115"/>
      <c r="AS163" s="1727"/>
      <c r="AT163" s="115"/>
      <c r="AU163" s="115"/>
      <c r="AV163" s="115"/>
      <c r="AW163" s="170"/>
      <c r="AX163" s="170"/>
      <c r="AY163" s="138"/>
    </row>
    <row r="164" spans="1:51" ht="15" customHeight="1">
      <c r="A164" s="2268" t="s">
        <v>3010</v>
      </c>
      <c r="B164" s="2268"/>
      <c r="C164" s="2268"/>
      <c r="D164" s="170"/>
      <c r="E164" s="1664" t="s">
        <v>3024</v>
      </c>
      <c r="F164" s="1662"/>
      <c r="G164" s="1662"/>
      <c r="H164" s="1662"/>
      <c r="I164" s="1662"/>
      <c r="J164" s="1662"/>
      <c r="K164" s="1657"/>
      <c r="L164" s="1657"/>
      <c r="M164" s="1333"/>
      <c r="N164" s="1333"/>
      <c r="O164" s="1333"/>
      <c r="P164" s="1333"/>
      <c r="Q164" s="1333"/>
      <c r="R164" s="1333"/>
      <c r="S164" s="1333"/>
      <c r="T164" s="170"/>
      <c r="U164" s="170"/>
      <c r="V164" s="170"/>
      <c r="W164" s="170"/>
      <c r="X164" s="170"/>
      <c r="Y164" s="170"/>
      <c r="Z164" s="1539"/>
      <c r="AA164" s="170"/>
      <c r="AB164" s="1547"/>
      <c r="AD164" s="73"/>
      <c r="AE164" s="1561"/>
      <c r="AF164" s="170" t="s">
        <v>1981</v>
      </c>
      <c r="AG164" s="1547"/>
      <c r="AH164" s="143"/>
      <c r="AI164" s="170"/>
      <c r="AJ164" s="170"/>
      <c r="AK164" s="53"/>
      <c r="AL164" s="53"/>
      <c r="AM164" s="53"/>
      <c r="AN164" s="53"/>
      <c r="AO164" s="53"/>
      <c r="AP164" s="53"/>
      <c r="AQ164" s="53"/>
      <c r="AR164" s="115"/>
      <c r="AS164" s="1727"/>
      <c r="AT164" s="115"/>
      <c r="AU164" s="115"/>
      <c r="AV164" s="115"/>
      <c r="AW164" s="170"/>
      <c r="AX164" s="170"/>
      <c r="AY164" s="138"/>
    </row>
    <row r="165" spans="1:51" ht="15" customHeight="1">
      <c r="A165" s="2268"/>
      <c r="B165" s="2268"/>
      <c r="C165" s="2268"/>
      <c r="D165" s="170"/>
      <c r="F165" s="1663"/>
      <c r="G165" s="1663"/>
      <c r="H165" s="1661" t="s">
        <v>3025</v>
      </c>
      <c r="I165" s="1663"/>
      <c r="J165" s="1663"/>
      <c r="K165" s="1656"/>
      <c r="L165" s="1656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547"/>
      <c r="AD165" s="73"/>
      <c r="AE165" s="1561"/>
      <c r="AF165" s="170" t="s">
        <v>1983</v>
      </c>
      <c r="AG165" s="1547"/>
      <c r="AH165" s="143"/>
      <c r="AI165" s="170"/>
      <c r="AJ165" s="170"/>
      <c r="AK165" s="53"/>
      <c r="AL165" s="53"/>
      <c r="AM165" s="53"/>
      <c r="AN165" s="53"/>
      <c r="AO165" s="53"/>
      <c r="AP165" s="53"/>
      <c r="AQ165" s="53"/>
      <c r="AR165" s="115"/>
      <c r="AS165" s="1727"/>
      <c r="AT165" s="115"/>
      <c r="AU165" s="115"/>
      <c r="AV165" s="115"/>
      <c r="AW165" s="170"/>
      <c r="AX165" s="170"/>
      <c r="AY165" s="138"/>
    </row>
    <row r="166" spans="1:51" ht="15" customHeight="1">
      <c r="A166" s="1655" t="s">
        <v>3011</v>
      </c>
      <c r="B166" s="170"/>
      <c r="C166" s="170"/>
      <c r="D166" s="170"/>
      <c r="E166" s="1655" t="s">
        <v>3026</v>
      </c>
      <c r="F166" s="1656"/>
      <c r="G166" s="1656"/>
      <c r="H166" s="1656"/>
      <c r="I166" s="1656"/>
      <c r="J166" s="1656"/>
      <c r="K166" s="1656"/>
      <c r="L166" s="1656"/>
      <c r="P166" s="170"/>
      <c r="Q166" s="170"/>
      <c r="R166" s="170"/>
      <c r="S166" s="170"/>
      <c r="T166" s="170"/>
      <c r="U166" s="170"/>
      <c r="V166" s="170"/>
      <c r="W166" s="170"/>
      <c r="X166" s="170"/>
      <c r="Y166" s="170"/>
      <c r="Z166" s="1539"/>
      <c r="AA166" s="170"/>
      <c r="AB166" s="1547"/>
      <c r="AD166" s="73"/>
      <c r="AE166" s="1561"/>
      <c r="AF166" s="170" t="s">
        <v>1991</v>
      </c>
      <c r="AG166" s="1547"/>
      <c r="AH166" s="143"/>
      <c r="AI166" s="170"/>
      <c r="AJ166" s="170"/>
      <c r="AK166" s="53"/>
      <c r="AL166" s="53"/>
      <c r="AM166" s="53"/>
      <c r="AN166" s="53"/>
      <c r="AO166" s="53"/>
      <c r="AP166" s="53"/>
      <c r="AQ166" s="53"/>
      <c r="AR166" s="115"/>
      <c r="AS166" s="1727"/>
      <c r="AT166" s="115"/>
      <c r="AU166" s="115"/>
      <c r="AV166" s="115"/>
      <c r="AW166" s="170"/>
      <c r="AX166" s="170"/>
      <c r="AY166" s="138"/>
    </row>
    <row r="167" spans="1:51" ht="15" customHeight="1">
      <c r="A167" s="1655"/>
      <c r="B167" s="170"/>
      <c r="C167" s="170"/>
      <c r="D167" s="170"/>
      <c r="E167" s="1655" t="s">
        <v>3027</v>
      </c>
      <c r="F167" s="1656"/>
      <c r="G167" s="1656"/>
      <c r="H167" s="1656"/>
      <c r="I167" s="1656"/>
      <c r="J167" s="1656"/>
      <c r="K167" s="1656"/>
      <c r="L167" s="1656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547"/>
      <c r="AD167" s="73"/>
      <c r="AE167" s="1561"/>
      <c r="AF167" s="170" t="s">
        <v>1992</v>
      </c>
      <c r="AG167" s="143"/>
      <c r="AH167" s="143"/>
      <c r="AI167" s="143"/>
      <c r="AJ167" s="170"/>
      <c r="AK167" s="53"/>
      <c r="AL167" s="53"/>
      <c r="AM167" s="53"/>
      <c r="AN167" s="53"/>
      <c r="AO167" s="53"/>
      <c r="AP167" s="53"/>
      <c r="AQ167" s="53"/>
      <c r="AR167" s="115"/>
      <c r="AS167" s="1727"/>
      <c r="AT167" s="115"/>
      <c r="AU167" s="115"/>
      <c r="AV167" s="115"/>
      <c r="AW167" s="170"/>
      <c r="AX167" s="170"/>
      <c r="AY167" s="138"/>
    </row>
    <row r="168" spans="1:51" ht="15" customHeight="1">
      <c r="A168" s="1657"/>
      <c r="B168" s="1333"/>
      <c r="C168" s="1333"/>
      <c r="D168" s="1333"/>
      <c r="E168" s="1657"/>
      <c r="F168" s="1657"/>
      <c r="G168" s="1657"/>
      <c r="H168" s="1657"/>
      <c r="I168" s="1657"/>
      <c r="J168" s="1657"/>
      <c r="K168" s="1657"/>
      <c r="L168" s="1657"/>
      <c r="M168" s="1333"/>
      <c r="N168" s="1333"/>
      <c r="O168" s="1333"/>
      <c r="P168" s="1333"/>
      <c r="Q168" s="1333"/>
      <c r="R168" s="1333"/>
      <c r="S168" s="1333"/>
      <c r="T168" s="1333"/>
      <c r="U168" s="1333"/>
      <c r="V168" s="1333"/>
      <c r="W168" s="1333"/>
      <c r="X168" s="1333"/>
      <c r="Y168" s="1333"/>
      <c r="Z168" s="1554"/>
      <c r="AA168" s="1333"/>
      <c r="AB168" s="1554"/>
      <c r="AC168" s="1333"/>
      <c r="AD168" s="1437"/>
      <c r="AE168" s="1589"/>
      <c r="AF168" s="1333" t="s">
        <v>1720</v>
      </c>
      <c r="AG168" s="1333"/>
      <c r="AH168" s="1333"/>
      <c r="AI168" s="1333"/>
      <c r="AJ168" s="1333"/>
      <c r="AK168" s="1432"/>
      <c r="AL168" s="1432"/>
      <c r="AM168" s="1432"/>
      <c r="AN168" s="1432"/>
      <c r="AO168" s="1432"/>
      <c r="AP168" s="1432"/>
      <c r="AQ168" s="1432"/>
      <c r="AR168" s="1620"/>
      <c r="AS168" s="1727"/>
      <c r="AT168" s="115"/>
      <c r="AU168" s="115"/>
      <c r="AV168" s="115"/>
      <c r="AW168" s="170"/>
      <c r="AX168" s="170"/>
      <c r="AY168" s="138"/>
    </row>
    <row r="169" spans="1:51" ht="15" customHeight="1">
      <c r="A169" s="134"/>
      <c r="B169" s="170"/>
      <c r="C169" s="170"/>
      <c r="D169" s="170"/>
      <c r="E169" s="170"/>
      <c r="F169" s="170"/>
      <c r="G169" s="170"/>
      <c r="H169" s="170"/>
      <c r="I169" s="170"/>
      <c r="J169" s="170"/>
      <c r="L169" s="143"/>
      <c r="P169" s="170"/>
      <c r="Q169" s="170"/>
      <c r="R169" s="170"/>
      <c r="S169" s="170"/>
      <c r="T169" s="170"/>
      <c r="U169" s="170"/>
      <c r="V169" s="170"/>
      <c r="W169" s="170"/>
      <c r="X169" s="170"/>
      <c r="Y169" s="170"/>
      <c r="Z169" s="170"/>
      <c r="AA169" s="170"/>
      <c r="AB169" s="1547"/>
      <c r="AD169" s="73"/>
      <c r="AE169" s="1561"/>
      <c r="AF169" s="170"/>
      <c r="AG169" s="170"/>
      <c r="AH169" s="170"/>
      <c r="AI169" s="170"/>
      <c r="AJ169" s="170"/>
      <c r="AK169" s="53"/>
      <c r="AL169" s="53"/>
      <c r="AM169" s="53"/>
      <c r="AN169" s="53"/>
      <c r="AO169" s="53"/>
      <c r="AP169" s="53"/>
      <c r="AQ169" s="53"/>
      <c r="AR169" s="115"/>
      <c r="AS169" s="1727"/>
      <c r="AT169" s="115"/>
      <c r="AU169" s="115"/>
      <c r="AV169" s="115"/>
      <c r="AW169" s="170"/>
      <c r="AX169" s="170"/>
      <c r="AY169" s="138"/>
    </row>
    <row r="170" spans="1:51" ht="15" customHeight="1">
      <c r="A170" s="96"/>
      <c r="B170" s="170"/>
      <c r="C170" s="170"/>
      <c r="D170" s="170"/>
      <c r="E170" s="170"/>
      <c r="F170" s="170"/>
      <c r="G170" s="170"/>
      <c r="H170" s="170"/>
      <c r="I170" s="170"/>
      <c r="J170" s="170"/>
      <c r="L170" s="143"/>
      <c r="P170" s="170"/>
      <c r="Q170" s="170"/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/>
      <c r="AB170" s="1547"/>
      <c r="AD170" s="73"/>
      <c r="AE170" s="1561"/>
      <c r="AF170" s="170"/>
      <c r="AG170" s="170"/>
      <c r="AH170" s="170"/>
      <c r="AI170" s="170"/>
      <c r="AJ170" s="170"/>
      <c r="AK170" s="53"/>
      <c r="AL170" s="53"/>
      <c r="AM170" s="53"/>
      <c r="AN170" s="53"/>
      <c r="AO170" s="53"/>
      <c r="AP170" s="53"/>
      <c r="AQ170" s="53"/>
      <c r="AR170" s="115"/>
      <c r="AS170" s="1727"/>
      <c r="AT170" s="115"/>
      <c r="AU170" s="115"/>
      <c r="AV170" s="115"/>
      <c r="AW170" s="170"/>
      <c r="AX170" s="170"/>
      <c r="AY170" s="138"/>
    </row>
    <row r="171" spans="1:51" ht="15" customHeight="1">
      <c r="A171" s="1666"/>
      <c r="B171" s="1242" t="s">
        <v>506</v>
      </c>
      <c r="C171" s="1242"/>
      <c r="D171" s="1242"/>
      <c r="E171" s="1242"/>
      <c r="F171" s="1242" t="s">
        <v>505</v>
      </c>
      <c r="G171" s="1667"/>
      <c r="H171" s="1242"/>
      <c r="I171" s="1242"/>
      <c r="J171" s="1242"/>
      <c r="K171" s="1667"/>
      <c r="L171" s="1667"/>
      <c r="M171" s="1667"/>
      <c r="N171" s="1242"/>
      <c r="O171" s="1667"/>
      <c r="P171" s="1667"/>
      <c r="Q171" s="1667"/>
      <c r="R171" s="1667"/>
      <c r="S171" s="1667"/>
      <c r="T171" s="1667"/>
      <c r="U171" s="1667"/>
      <c r="V171" s="1667"/>
      <c r="W171" s="1667"/>
      <c r="X171" s="1667"/>
      <c r="Y171" s="1667"/>
      <c r="Z171" s="1668"/>
      <c r="AA171" s="1667"/>
      <c r="AB171" s="1668"/>
      <c r="AC171" s="1667"/>
      <c r="AD171" s="1667"/>
      <c r="AE171" s="1668"/>
      <c r="AF171" s="1242" t="s">
        <v>593</v>
      </c>
      <c r="AG171" s="1667"/>
      <c r="AH171" s="1667"/>
      <c r="AI171" s="1667"/>
      <c r="AJ171" s="1669"/>
      <c r="AK171" s="1669"/>
      <c r="AL171" s="1669"/>
      <c r="AM171" s="1669"/>
      <c r="AN171" s="1669"/>
      <c r="AO171" s="1669"/>
      <c r="AP171" s="1669"/>
      <c r="AQ171" s="1669"/>
      <c r="AR171" s="1669"/>
      <c r="AS171" s="1727"/>
      <c r="AT171" s="115"/>
      <c r="AU171" s="115"/>
      <c r="AV171" s="115"/>
      <c r="AW171" s="170"/>
      <c r="AX171" s="170"/>
      <c r="AY171" s="138"/>
    </row>
    <row r="172" spans="1:51" ht="15" customHeight="1">
      <c r="A172" s="1655" t="s">
        <v>591</v>
      </c>
      <c r="B172" s="170"/>
      <c r="C172" s="170"/>
      <c r="D172" s="170"/>
      <c r="E172" s="1656" t="s">
        <v>502</v>
      </c>
      <c r="F172" s="1656"/>
      <c r="G172" s="1656"/>
      <c r="H172" s="1656"/>
      <c r="I172" s="1656"/>
      <c r="J172" s="1656"/>
      <c r="K172" s="1656"/>
      <c r="L172" s="1656"/>
      <c r="M172" s="1656"/>
      <c r="Q172" s="170"/>
      <c r="R172" s="170"/>
      <c r="S172" s="170"/>
      <c r="T172" s="170"/>
      <c r="U172" s="170"/>
      <c r="V172" s="170"/>
      <c r="W172" s="170"/>
      <c r="X172" s="170"/>
      <c r="Y172" s="170"/>
      <c r="Z172" s="170"/>
      <c r="AA172" s="170"/>
      <c r="AB172" s="1547"/>
      <c r="AD172" s="73"/>
      <c r="AE172" s="1561"/>
      <c r="AF172" s="170" t="s">
        <v>603</v>
      </c>
      <c r="AG172" s="1547"/>
      <c r="AH172" s="143"/>
      <c r="AI172" s="170"/>
      <c r="AJ172" s="143"/>
      <c r="AK172" s="53"/>
      <c r="AL172" s="53"/>
      <c r="AM172" s="53"/>
      <c r="AN172" s="53"/>
      <c r="AO172" s="53"/>
      <c r="AP172" s="53"/>
      <c r="AQ172" s="53"/>
      <c r="AR172" s="115"/>
      <c r="AS172" s="1727"/>
      <c r="AT172" s="115"/>
      <c r="AU172" s="115"/>
      <c r="AV172" s="115"/>
      <c r="AW172" s="170"/>
      <c r="AX172" s="170"/>
      <c r="AY172" s="138"/>
    </row>
    <row r="173" spans="1:51" ht="15" customHeight="1">
      <c r="A173" s="1656" t="s">
        <v>3009</v>
      </c>
      <c r="B173" s="170"/>
      <c r="C173" s="170"/>
      <c r="D173" s="170"/>
      <c r="E173" s="1656" t="s">
        <v>3254</v>
      </c>
      <c r="F173" s="1656"/>
      <c r="G173" s="1656"/>
      <c r="H173" s="1656"/>
      <c r="I173" s="1656"/>
      <c r="J173" s="1656"/>
      <c r="K173" s="1656"/>
      <c r="L173" s="1656"/>
      <c r="M173" s="1656"/>
      <c r="Q173" s="170"/>
      <c r="R173" s="170"/>
      <c r="S173" s="170"/>
      <c r="T173" s="170"/>
      <c r="U173" s="170"/>
      <c r="V173" s="170"/>
      <c r="W173" s="170"/>
      <c r="X173" s="170"/>
      <c r="Y173" s="170"/>
      <c r="Z173" s="170"/>
      <c r="AA173" s="170"/>
      <c r="AB173" s="1547"/>
      <c r="AD173" s="73"/>
      <c r="AE173" s="1561"/>
      <c r="AF173" s="170" t="s">
        <v>604</v>
      </c>
      <c r="AG173" s="1547"/>
      <c r="AH173" s="143"/>
      <c r="AI173" s="170"/>
      <c r="AJ173" s="143"/>
      <c r="AK173" s="53"/>
      <c r="AL173" s="53"/>
      <c r="AM173" s="53"/>
      <c r="AN173" s="53"/>
      <c r="AO173" s="53"/>
      <c r="AP173" s="53"/>
      <c r="AQ173" s="53"/>
      <c r="AR173" s="115"/>
      <c r="AS173" s="1727"/>
      <c r="AT173" s="115"/>
      <c r="AU173" s="115"/>
      <c r="AV173" s="115"/>
      <c r="AW173" s="170"/>
      <c r="AX173" s="170"/>
      <c r="AY173" s="138"/>
    </row>
    <row r="174" spans="1:51" ht="15" customHeight="1">
      <c r="A174" s="2268" t="s">
        <v>3010</v>
      </c>
      <c r="B174" s="2268"/>
      <c r="C174" s="2268"/>
      <c r="D174" s="170"/>
      <c r="E174" s="1664" t="s">
        <v>3255</v>
      </c>
      <c r="F174" s="1662"/>
      <c r="G174" s="1662"/>
      <c r="H174" s="1662"/>
      <c r="I174" s="1662"/>
      <c r="J174" s="1662"/>
      <c r="K174" s="1662"/>
      <c r="L174" s="1657"/>
      <c r="M174" s="1657"/>
      <c r="N174" s="1333"/>
      <c r="O174" s="1333"/>
      <c r="P174" s="1333"/>
      <c r="Q174" s="1333"/>
      <c r="R174" s="1333"/>
      <c r="S174" s="1333"/>
      <c r="T174" s="1333"/>
      <c r="U174" s="1333"/>
      <c r="V174" s="1333"/>
      <c r="W174" s="1333"/>
      <c r="X174" s="1333"/>
      <c r="Y174" s="170"/>
      <c r="Z174" s="170"/>
      <c r="AA174" s="170"/>
      <c r="AB174" s="1547"/>
      <c r="AD174" s="73"/>
      <c r="AE174" s="1561"/>
      <c r="AF174" s="170" t="s">
        <v>1982</v>
      </c>
      <c r="AG174" s="1547"/>
      <c r="AH174" s="143"/>
      <c r="AI174" s="170"/>
      <c r="AJ174" s="170"/>
      <c r="AK174" s="53"/>
      <c r="AL174" s="53"/>
      <c r="AM174" s="53"/>
      <c r="AN174" s="53"/>
      <c r="AO174" s="53"/>
      <c r="AP174" s="53"/>
      <c r="AQ174" s="53"/>
      <c r="AR174" s="115"/>
      <c r="AS174" s="1727"/>
      <c r="AT174" s="115"/>
      <c r="AU174" s="115"/>
      <c r="AV174" s="115"/>
      <c r="AW174" s="170"/>
      <c r="AX174" s="170"/>
      <c r="AY174" s="138"/>
    </row>
    <row r="175" spans="1:51" ht="15" customHeight="1">
      <c r="A175" s="2268"/>
      <c r="B175" s="2268"/>
      <c r="C175" s="2268"/>
      <c r="D175" s="170"/>
      <c r="F175" s="1663"/>
      <c r="G175" s="1663"/>
      <c r="H175" s="1661" t="s">
        <v>3256</v>
      </c>
      <c r="I175" s="1663"/>
      <c r="J175" s="1663"/>
      <c r="K175" s="1656"/>
      <c r="L175" s="1656"/>
      <c r="M175" s="1656"/>
      <c r="Q175" s="170"/>
      <c r="R175" s="170"/>
      <c r="S175" s="170"/>
      <c r="T175" s="170"/>
      <c r="U175" s="170"/>
      <c r="V175" s="170"/>
      <c r="W175" s="170"/>
      <c r="X175" s="170"/>
      <c r="Y175" s="170"/>
      <c r="Z175" s="170"/>
      <c r="AA175" s="170"/>
      <c r="AB175" s="1547"/>
      <c r="AD175" s="73"/>
      <c r="AE175" s="1561"/>
      <c r="AF175" s="170" t="s">
        <v>1992</v>
      </c>
      <c r="AG175" s="1547"/>
      <c r="AH175" s="143"/>
      <c r="AI175" s="170"/>
      <c r="AJ175" s="170"/>
      <c r="AK175" s="53"/>
      <c r="AL175" s="53"/>
      <c r="AM175" s="53"/>
      <c r="AN175" s="53"/>
      <c r="AO175" s="53"/>
      <c r="AP175" s="53"/>
      <c r="AQ175" s="53"/>
      <c r="AR175" s="115"/>
      <c r="AS175" s="1727"/>
      <c r="AT175" s="115"/>
      <c r="AU175" s="115"/>
      <c r="AV175" s="115"/>
      <c r="AW175" s="170"/>
      <c r="AX175" s="170"/>
      <c r="AY175" s="138"/>
    </row>
    <row r="176" spans="1:51" ht="15" customHeight="1">
      <c r="A176" s="1655" t="s">
        <v>3011</v>
      </c>
      <c r="B176" s="170"/>
      <c r="C176" s="170"/>
      <c r="D176" s="170"/>
      <c r="E176" s="1655" t="s">
        <v>3031</v>
      </c>
      <c r="F176" s="1656"/>
      <c r="G176" s="1656"/>
      <c r="H176" s="1656"/>
      <c r="I176" s="1656"/>
      <c r="J176" s="1656"/>
      <c r="K176" s="1656"/>
      <c r="L176" s="1656"/>
      <c r="M176" s="1656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547"/>
      <c r="AD176" s="73"/>
      <c r="AE176" s="1561"/>
      <c r="AF176" s="170" t="s">
        <v>1985</v>
      </c>
      <c r="AG176" s="1547"/>
      <c r="AH176" s="143"/>
      <c r="AI176" s="170"/>
      <c r="AJ176" s="170"/>
      <c r="AK176" s="53"/>
      <c r="AL176" s="53"/>
      <c r="AM176" s="53"/>
      <c r="AN176" s="53"/>
      <c r="AO176" s="53"/>
      <c r="AP176" s="53"/>
      <c r="AQ176" s="53"/>
      <c r="AR176" s="115"/>
      <c r="AS176" s="1727"/>
      <c r="AT176" s="115"/>
      <c r="AU176" s="115"/>
      <c r="AV176" s="115"/>
      <c r="AW176" s="170"/>
      <c r="AX176" s="170"/>
      <c r="AY176" s="138"/>
    </row>
    <row r="177" spans="1:51" ht="15" customHeight="1">
      <c r="A177" s="1655"/>
      <c r="B177" s="170"/>
      <c r="C177" s="170"/>
      <c r="D177" s="170"/>
      <c r="E177" s="1655" t="s">
        <v>3257</v>
      </c>
      <c r="F177" s="1656"/>
      <c r="G177" s="1656"/>
      <c r="H177" s="1656"/>
      <c r="I177" s="1656"/>
      <c r="J177" s="1656"/>
      <c r="K177" s="1656"/>
      <c r="L177" s="1656"/>
      <c r="M177" s="1656"/>
      <c r="Q177" s="170"/>
      <c r="R177" s="170"/>
      <c r="S177" s="170"/>
      <c r="T177" s="170"/>
      <c r="U177" s="170"/>
      <c r="V177" s="170"/>
      <c r="W177" s="170"/>
      <c r="X177" s="170"/>
      <c r="Y177" s="170"/>
      <c r="Z177" s="170"/>
      <c r="AA177" s="170"/>
      <c r="AB177" s="1547"/>
      <c r="AD177" s="73"/>
      <c r="AE177" s="1561"/>
      <c r="AF177" s="170" t="s">
        <v>1720</v>
      </c>
      <c r="AG177" s="1547"/>
      <c r="AH177" s="143"/>
      <c r="AI177" s="170"/>
      <c r="AJ177" s="170"/>
      <c r="AK177" s="53"/>
      <c r="AL177" s="53"/>
      <c r="AM177" s="53"/>
      <c r="AN177" s="53"/>
      <c r="AO177" s="53"/>
      <c r="AP177" s="53"/>
      <c r="AQ177" s="53"/>
      <c r="AR177" s="115"/>
      <c r="AS177" s="1727"/>
      <c r="AT177" s="115"/>
      <c r="AU177" s="115"/>
      <c r="AV177" s="115"/>
      <c r="AW177" s="170"/>
      <c r="AX177" s="170"/>
      <c r="AY177" s="138"/>
    </row>
    <row r="178" spans="1:51" ht="15" customHeight="1">
      <c r="A178" s="1658"/>
      <c r="B178" s="1333"/>
      <c r="C178" s="1333"/>
      <c r="D178" s="1333"/>
      <c r="E178" s="1657"/>
      <c r="F178" s="1657"/>
      <c r="G178" s="1657"/>
      <c r="H178" s="1657"/>
      <c r="I178" s="1657"/>
      <c r="J178" s="1657"/>
      <c r="K178" s="1657"/>
      <c r="L178" s="1657"/>
      <c r="M178" s="1657"/>
      <c r="N178" s="1333"/>
      <c r="O178" s="1333"/>
      <c r="P178" s="1333"/>
      <c r="Q178" s="1333"/>
      <c r="R178" s="1333"/>
      <c r="S178" s="1333"/>
      <c r="T178" s="1333"/>
      <c r="U178" s="1333"/>
      <c r="V178" s="1333"/>
      <c r="W178" s="1333"/>
      <c r="X178" s="1333"/>
      <c r="Y178" s="1333"/>
      <c r="Z178" s="1333"/>
      <c r="AA178" s="1333"/>
      <c r="AB178" s="1554"/>
      <c r="AC178" s="1333"/>
      <c r="AD178" s="1437"/>
      <c r="AE178" s="1589"/>
      <c r="AF178" s="1333"/>
      <c r="AG178" s="1333"/>
      <c r="AH178" s="1333"/>
      <c r="AI178" s="1333"/>
      <c r="AJ178" s="1333"/>
      <c r="AK178" s="1432"/>
      <c r="AL178" s="1432"/>
      <c r="AM178" s="1432"/>
      <c r="AN178" s="1432"/>
      <c r="AO178" s="1432"/>
      <c r="AP178" s="1432"/>
      <c r="AQ178" s="1432"/>
      <c r="AR178" s="1620"/>
      <c r="AS178" s="1727"/>
      <c r="AT178" s="115"/>
      <c r="AU178" s="115"/>
      <c r="AV178" s="115"/>
      <c r="AW178" s="170"/>
      <c r="AX178" s="170"/>
      <c r="AY178" s="138"/>
    </row>
    <row r="179" spans="1:51" ht="15" customHeight="1">
      <c r="A179" s="1655" t="s">
        <v>592</v>
      </c>
      <c r="B179" s="1655"/>
      <c r="C179" s="170"/>
      <c r="D179" s="170"/>
      <c r="E179" s="1656" t="s">
        <v>503</v>
      </c>
      <c r="F179" s="1656"/>
      <c r="G179" s="1656"/>
      <c r="H179" s="1656"/>
      <c r="I179" s="1656"/>
      <c r="J179" s="1656"/>
      <c r="K179" s="1656"/>
      <c r="L179" s="1656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547"/>
      <c r="AD179" s="73"/>
      <c r="AE179" s="1561"/>
      <c r="AF179" s="170" t="s">
        <v>603</v>
      </c>
      <c r="AG179" s="1547"/>
      <c r="AH179" s="143"/>
      <c r="AI179" s="170"/>
      <c r="AJ179" s="170"/>
      <c r="AK179" s="53"/>
      <c r="AL179" s="53"/>
      <c r="AM179" s="53"/>
      <c r="AN179" s="53"/>
      <c r="AO179" s="53"/>
      <c r="AP179" s="53"/>
      <c r="AQ179" s="53"/>
      <c r="AR179" s="115"/>
      <c r="AS179" s="1727"/>
      <c r="AT179" s="115"/>
      <c r="AU179" s="115"/>
      <c r="AV179" s="115"/>
      <c r="AW179" s="170"/>
      <c r="AX179" s="170"/>
      <c r="AY179" s="138"/>
    </row>
    <row r="180" spans="1:51" ht="15" customHeight="1">
      <c r="A180" s="1656" t="s">
        <v>3009</v>
      </c>
      <c r="B180" s="1656"/>
      <c r="C180" s="170"/>
      <c r="D180" s="170"/>
      <c r="E180" s="1656" t="s">
        <v>3258</v>
      </c>
      <c r="F180" s="1656"/>
      <c r="G180" s="1656"/>
      <c r="H180" s="1656"/>
      <c r="I180" s="1656"/>
      <c r="J180" s="1656"/>
      <c r="K180" s="1656"/>
      <c r="L180" s="1656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547"/>
      <c r="AD180" s="73"/>
      <c r="AE180" s="1561"/>
      <c r="AF180" s="170" t="s">
        <v>604</v>
      </c>
      <c r="AG180" s="1547"/>
      <c r="AH180" s="143"/>
      <c r="AI180" s="170"/>
      <c r="AJ180" s="170"/>
      <c r="AK180" s="53"/>
      <c r="AL180" s="53"/>
      <c r="AM180" s="53"/>
      <c r="AN180" s="53"/>
      <c r="AO180" s="53"/>
      <c r="AP180" s="53"/>
      <c r="AQ180" s="53"/>
      <c r="AR180" s="115"/>
      <c r="AS180" s="1727"/>
      <c r="AT180" s="115"/>
      <c r="AU180" s="115"/>
      <c r="AV180" s="115"/>
      <c r="AW180" s="170"/>
      <c r="AX180" s="170"/>
      <c r="AY180" s="138"/>
    </row>
    <row r="181" spans="1:51" ht="15" customHeight="1">
      <c r="A181" s="2268" t="s">
        <v>3010</v>
      </c>
      <c r="B181" s="2268"/>
      <c r="C181" s="2268"/>
      <c r="D181" s="170"/>
      <c r="E181" s="1664" t="s">
        <v>3259</v>
      </c>
      <c r="F181" s="1662"/>
      <c r="G181" s="1662"/>
      <c r="H181" s="1662"/>
      <c r="I181" s="1662"/>
      <c r="J181" s="1662"/>
      <c r="K181" s="1657"/>
      <c r="L181" s="1657"/>
      <c r="M181" s="1333"/>
      <c r="N181" s="1333"/>
      <c r="O181" s="1333"/>
      <c r="P181" s="1333"/>
      <c r="Q181" s="1333"/>
      <c r="R181" s="1333"/>
      <c r="S181" s="1333"/>
      <c r="T181" s="170"/>
      <c r="U181" s="170"/>
      <c r="V181" s="170"/>
      <c r="W181" s="170"/>
      <c r="X181" s="170"/>
      <c r="Y181" s="170"/>
      <c r="Z181" s="170"/>
      <c r="AA181" s="170"/>
      <c r="AB181" s="1547"/>
      <c r="AD181" s="73"/>
      <c r="AE181" s="1561"/>
      <c r="AF181" s="170" t="s">
        <v>1982</v>
      </c>
      <c r="AG181" s="1547"/>
      <c r="AH181" s="143"/>
      <c r="AI181" s="170"/>
      <c r="AJ181" s="170"/>
      <c r="AK181" s="53"/>
      <c r="AL181" s="53"/>
      <c r="AM181" s="53"/>
      <c r="AN181" s="53"/>
      <c r="AO181" s="53"/>
      <c r="AP181" s="53"/>
      <c r="AQ181" s="53"/>
      <c r="AR181" s="115"/>
      <c r="AS181" s="1727"/>
      <c r="AT181" s="115"/>
      <c r="AU181" s="115"/>
      <c r="AV181" s="115"/>
      <c r="AW181" s="170"/>
      <c r="AX181" s="170"/>
      <c r="AY181" s="138"/>
    </row>
    <row r="182" spans="1:51" ht="15" customHeight="1">
      <c r="A182" s="2268"/>
      <c r="B182" s="2268"/>
      <c r="C182" s="2268"/>
      <c r="D182" s="170"/>
      <c r="F182" s="1663"/>
      <c r="G182" s="1663"/>
      <c r="H182" s="1661" t="s">
        <v>3260</v>
      </c>
      <c r="I182" s="1663"/>
      <c r="J182" s="1663"/>
      <c r="K182" s="1656"/>
      <c r="L182" s="1656"/>
      <c r="P182" s="170"/>
      <c r="Q182" s="170"/>
      <c r="R182" s="170"/>
      <c r="S182" s="170"/>
      <c r="T182" s="170"/>
      <c r="U182" s="170"/>
      <c r="V182" s="170"/>
      <c r="W182" s="170"/>
      <c r="X182" s="170"/>
      <c r="Y182" s="170"/>
      <c r="Z182" s="170"/>
      <c r="AA182" s="170"/>
      <c r="AB182" s="1547"/>
      <c r="AD182" s="73"/>
      <c r="AE182" s="1561"/>
      <c r="AF182" s="170" t="s">
        <v>1981</v>
      </c>
      <c r="AG182" s="1547"/>
      <c r="AH182" s="143"/>
      <c r="AI182" s="170"/>
      <c r="AJ182" s="170"/>
      <c r="AK182" s="53"/>
      <c r="AL182" s="53"/>
      <c r="AM182" s="53"/>
      <c r="AN182" s="53"/>
      <c r="AO182" s="53"/>
      <c r="AP182" s="53"/>
      <c r="AQ182" s="53"/>
      <c r="AR182" s="115"/>
      <c r="AS182" s="1727"/>
      <c r="AT182" s="115"/>
      <c r="AU182" s="115"/>
      <c r="AV182" s="115"/>
      <c r="AW182" s="170"/>
      <c r="AX182" s="170"/>
      <c r="AY182" s="138"/>
    </row>
    <row r="183" spans="1:51" ht="15" customHeight="1">
      <c r="A183" s="1655" t="s">
        <v>3011</v>
      </c>
      <c r="B183" s="1655"/>
      <c r="C183" s="170"/>
      <c r="D183" s="170"/>
      <c r="E183" s="1655" t="s">
        <v>3261</v>
      </c>
      <c r="F183" s="1656"/>
      <c r="G183" s="1656"/>
      <c r="H183" s="1656"/>
      <c r="I183" s="1656"/>
      <c r="J183" s="1656"/>
      <c r="K183" s="1656"/>
      <c r="L183" s="1656"/>
      <c r="P183" s="170"/>
      <c r="Q183" s="170"/>
      <c r="R183" s="170"/>
      <c r="S183" s="170"/>
      <c r="T183" s="170"/>
      <c r="U183" s="170"/>
      <c r="V183" s="170"/>
      <c r="W183" s="170"/>
      <c r="X183" s="170"/>
      <c r="Y183" s="170"/>
      <c r="Z183" s="170"/>
      <c r="AA183" s="170"/>
      <c r="AB183" s="1547"/>
      <c r="AD183" s="73"/>
      <c r="AE183" s="1561"/>
      <c r="AF183" s="170" t="s">
        <v>1992</v>
      </c>
      <c r="AG183" s="1547"/>
      <c r="AH183" s="143"/>
      <c r="AI183" s="170"/>
      <c r="AJ183" s="170"/>
      <c r="AK183" s="53"/>
      <c r="AL183" s="53"/>
      <c r="AM183" s="53"/>
      <c r="AN183" s="53"/>
      <c r="AO183" s="53"/>
      <c r="AP183" s="53"/>
      <c r="AQ183" s="53"/>
      <c r="AR183" s="115"/>
      <c r="AS183" s="1727"/>
      <c r="AT183" s="115"/>
      <c r="AU183" s="115"/>
      <c r="AV183" s="115"/>
      <c r="AW183" s="170"/>
      <c r="AX183" s="170"/>
      <c r="AY183" s="138"/>
    </row>
    <row r="184" spans="1:51" ht="15" customHeight="1">
      <c r="A184" s="1655"/>
      <c r="B184" s="1655"/>
      <c r="C184" s="170"/>
      <c r="D184" s="170"/>
      <c r="E184" s="1655" t="s">
        <v>3028</v>
      </c>
      <c r="F184" s="1656"/>
      <c r="G184" s="1656"/>
      <c r="H184" s="1656"/>
      <c r="I184" s="1656"/>
      <c r="J184" s="1656"/>
      <c r="K184" s="1656"/>
      <c r="L184" s="1656"/>
      <c r="P184" s="170"/>
      <c r="Q184" s="170"/>
      <c r="R184" s="170"/>
      <c r="S184" s="170"/>
      <c r="T184" s="170"/>
      <c r="U184" s="170"/>
      <c r="V184" s="170"/>
      <c r="W184" s="170"/>
      <c r="X184" s="170"/>
      <c r="Y184" s="170"/>
      <c r="Z184" s="170"/>
      <c r="AA184" s="170"/>
      <c r="AB184" s="1547"/>
      <c r="AD184" s="73"/>
      <c r="AE184" s="1561"/>
      <c r="AF184" s="170" t="s">
        <v>1985</v>
      </c>
      <c r="AG184" s="1547"/>
      <c r="AH184" s="143"/>
      <c r="AI184" s="170"/>
      <c r="AJ184" s="170"/>
      <c r="AK184" s="53"/>
      <c r="AL184" s="53"/>
      <c r="AM184" s="53"/>
      <c r="AN184" s="53"/>
      <c r="AO184" s="53"/>
      <c r="AP184" s="53"/>
      <c r="AQ184" s="53"/>
      <c r="AR184" s="115"/>
      <c r="AS184" s="1727"/>
      <c r="AT184" s="115"/>
      <c r="AU184" s="115"/>
      <c r="AV184" s="115"/>
      <c r="AW184" s="170"/>
      <c r="AX184" s="170"/>
      <c r="AY184" s="138"/>
    </row>
    <row r="185" spans="1:51" ht="15" customHeight="1">
      <c r="A185" s="1655"/>
      <c r="B185" s="1655"/>
      <c r="C185" s="170"/>
      <c r="D185" s="170"/>
      <c r="E185" s="1656"/>
      <c r="F185" s="1656"/>
      <c r="G185" s="1656"/>
      <c r="H185" s="1656"/>
      <c r="I185" s="1656"/>
      <c r="J185" s="1656"/>
      <c r="K185" s="1656"/>
      <c r="L185" s="1656"/>
      <c r="P185" s="170"/>
      <c r="Q185" s="170"/>
      <c r="R185" s="170"/>
      <c r="S185" s="170"/>
      <c r="T185" s="170"/>
      <c r="U185" s="170"/>
      <c r="V185" s="170"/>
      <c r="W185" s="170"/>
      <c r="X185" s="170"/>
      <c r="Y185" s="170"/>
      <c r="Z185" s="170"/>
      <c r="AA185" s="170"/>
      <c r="AB185" s="1547"/>
      <c r="AD185" s="73"/>
      <c r="AE185" s="1561"/>
      <c r="AF185" s="170" t="s">
        <v>1720</v>
      </c>
      <c r="AG185" s="143"/>
      <c r="AH185" s="170"/>
      <c r="AI185" s="143"/>
      <c r="AJ185" s="170"/>
      <c r="AK185" s="53"/>
      <c r="AL185" s="53"/>
      <c r="AM185" s="53"/>
      <c r="AN185" s="53"/>
      <c r="AO185" s="53"/>
      <c r="AP185" s="53"/>
      <c r="AQ185" s="53"/>
      <c r="AR185" s="115"/>
      <c r="AS185" s="1727"/>
      <c r="AT185" s="115"/>
      <c r="AU185" s="115"/>
      <c r="AV185" s="115"/>
      <c r="AW185" s="170"/>
      <c r="AX185" s="170"/>
      <c r="AY185" s="138"/>
    </row>
    <row r="186" spans="1:51" ht="15" customHeight="1">
      <c r="A186" s="1658"/>
      <c r="B186" s="1658"/>
      <c r="C186" s="1333"/>
      <c r="D186" s="1333"/>
      <c r="E186" s="1657"/>
      <c r="F186" s="1657"/>
      <c r="G186" s="1657"/>
      <c r="H186" s="1657"/>
      <c r="I186" s="1657"/>
      <c r="J186" s="1657"/>
      <c r="K186" s="1657"/>
      <c r="L186" s="1657"/>
      <c r="M186" s="1333"/>
      <c r="N186" s="1333"/>
      <c r="O186" s="1333"/>
      <c r="P186" s="1333"/>
      <c r="Q186" s="1333"/>
      <c r="R186" s="1333"/>
      <c r="S186" s="1333"/>
      <c r="T186" s="1333"/>
      <c r="U186" s="1333"/>
      <c r="V186" s="1333"/>
      <c r="W186" s="1333"/>
      <c r="X186" s="1333"/>
      <c r="Y186" s="1333"/>
      <c r="Z186" s="1333"/>
      <c r="AA186" s="1333"/>
      <c r="AB186" s="1554"/>
      <c r="AC186" s="1333"/>
      <c r="AD186" s="1437"/>
      <c r="AE186" s="1589"/>
      <c r="AF186" s="1333"/>
      <c r="AG186" s="1333"/>
      <c r="AH186" s="1333"/>
      <c r="AI186" s="1333"/>
      <c r="AJ186" s="1333"/>
      <c r="AK186" s="1432"/>
      <c r="AL186" s="1432"/>
      <c r="AM186" s="1432"/>
      <c r="AN186" s="1432"/>
      <c r="AO186" s="1432"/>
      <c r="AP186" s="1432"/>
      <c r="AQ186" s="1432"/>
      <c r="AR186" s="1620"/>
      <c r="AS186" s="1727"/>
      <c r="AT186" s="115"/>
      <c r="AU186" s="115"/>
      <c r="AV186" s="115"/>
      <c r="AW186" s="170"/>
      <c r="AX186" s="170"/>
      <c r="AY186" s="138"/>
    </row>
    <row r="187" spans="1:51" ht="15" customHeight="1">
      <c r="A187" s="1655" t="s">
        <v>613</v>
      </c>
      <c r="B187" s="1655"/>
      <c r="C187" s="170"/>
      <c r="D187" s="170"/>
      <c r="E187" s="1656" t="s">
        <v>501</v>
      </c>
      <c r="F187" s="1656"/>
      <c r="G187" s="1656"/>
      <c r="H187" s="1656"/>
      <c r="I187" s="1656"/>
      <c r="J187" s="1656"/>
      <c r="K187" s="1656"/>
      <c r="L187" s="1656"/>
      <c r="P187" s="170"/>
      <c r="Q187" s="170"/>
      <c r="R187" s="170"/>
      <c r="S187" s="170"/>
      <c r="T187" s="170"/>
      <c r="U187" s="170"/>
      <c r="V187" s="170"/>
      <c r="W187" s="170"/>
      <c r="X187" s="170"/>
      <c r="Y187" s="170"/>
      <c r="Z187" s="170"/>
      <c r="AA187" s="170"/>
      <c r="AB187" s="1547"/>
      <c r="AD187" s="73"/>
      <c r="AE187" s="1561"/>
      <c r="AF187" s="170" t="s">
        <v>603</v>
      </c>
      <c r="AG187" s="1547"/>
      <c r="AH187" s="143"/>
      <c r="AI187" s="170"/>
      <c r="AJ187" s="170"/>
      <c r="AK187" s="53"/>
      <c r="AL187" s="53"/>
      <c r="AM187" s="53"/>
      <c r="AN187" s="53"/>
      <c r="AO187" s="53"/>
      <c r="AP187" s="53"/>
      <c r="AQ187" s="53"/>
      <c r="AR187" s="115"/>
      <c r="AS187" s="1727"/>
      <c r="AT187" s="115"/>
      <c r="AU187" s="115"/>
      <c r="AV187" s="115"/>
      <c r="AW187" s="170"/>
      <c r="AX187" s="170"/>
      <c r="AY187" s="138"/>
    </row>
    <row r="188" spans="1:51" ht="15" customHeight="1">
      <c r="A188" s="1656" t="s">
        <v>3009</v>
      </c>
      <c r="B188" s="1656"/>
      <c r="C188" s="170"/>
      <c r="D188" s="170"/>
      <c r="E188" s="1656" t="s">
        <v>3262</v>
      </c>
      <c r="F188" s="1656"/>
      <c r="G188" s="1656"/>
      <c r="H188" s="1656"/>
      <c r="I188" s="1656"/>
      <c r="J188" s="1656"/>
      <c r="K188" s="1656"/>
      <c r="L188" s="1656"/>
      <c r="P188" s="170"/>
      <c r="Q188" s="170"/>
      <c r="R188" s="170"/>
      <c r="S188" s="170"/>
      <c r="T188" s="170"/>
      <c r="U188" s="170"/>
      <c r="V188" s="170"/>
      <c r="W188" s="170"/>
      <c r="X188" s="170"/>
      <c r="Y188" s="170"/>
      <c r="Z188" s="170"/>
      <c r="AA188" s="170"/>
      <c r="AB188" s="1547"/>
      <c r="AD188" s="73"/>
      <c r="AE188" s="1561"/>
      <c r="AF188" s="170" t="s">
        <v>604</v>
      </c>
      <c r="AG188" s="1547"/>
      <c r="AH188" s="143"/>
      <c r="AI188" s="170"/>
      <c r="AJ188" s="170"/>
      <c r="AK188" s="53"/>
      <c r="AL188" s="53"/>
      <c r="AM188" s="53"/>
      <c r="AN188" s="53"/>
      <c r="AO188" s="53"/>
      <c r="AP188" s="53"/>
      <c r="AQ188" s="53"/>
      <c r="AR188" s="115"/>
      <c r="AS188" s="1727"/>
      <c r="AT188" s="115"/>
      <c r="AU188" s="115"/>
      <c r="AV188" s="115"/>
      <c r="AW188" s="170"/>
      <c r="AX188" s="170"/>
      <c r="AY188" s="138"/>
    </row>
    <row r="189" spans="1:51" ht="15" customHeight="1">
      <c r="A189" s="2268" t="s">
        <v>3010</v>
      </c>
      <c r="B189" s="2268"/>
      <c r="C189" s="2268"/>
      <c r="D189" s="170"/>
      <c r="E189" s="1664" t="s">
        <v>3263</v>
      </c>
      <c r="F189" s="1662"/>
      <c r="G189" s="1662"/>
      <c r="H189" s="1662"/>
      <c r="I189" s="1662"/>
      <c r="J189" s="1662"/>
      <c r="K189" s="1657"/>
      <c r="L189" s="1657"/>
      <c r="M189" s="1333"/>
      <c r="N189" s="1333"/>
      <c r="O189" s="1333"/>
      <c r="P189" s="1333"/>
      <c r="Q189" s="1333"/>
      <c r="R189" s="1333"/>
      <c r="S189" s="1333"/>
      <c r="T189" s="1333"/>
      <c r="U189" s="170"/>
      <c r="V189" s="170"/>
      <c r="W189" s="170"/>
      <c r="X189" s="170"/>
      <c r="Y189" s="170"/>
      <c r="Z189" s="170"/>
      <c r="AA189" s="170"/>
      <c r="AB189" s="1547"/>
      <c r="AD189" s="73"/>
      <c r="AE189" s="1561"/>
      <c r="AF189" s="170" t="s">
        <v>1981</v>
      </c>
      <c r="AG189" s="1547"/>
      <c r="AH189" s="143"/>
      <c r="AI189" s="170"/>
      <c r="AJ189" s="170"/>
      <c r="AK189" s="53"/>
      <c r="AL189" s="53"/>
      <c r="AM189" s="53"/>
      <c r="AN189" s="53"/>
      <c r="AO189" s="53"/>
      <c r="AP189" s="53"/>
      <c r="AQ189" s="53"/>
      <c r="AR189" s="115"/>
      <c r="AS189" s="1727"/>
      <c r="AT189" s="115"/>
      <c r="AU189" s="115"/>
      <c r="AV189" s="115"/>
      <c r="AW189" s="170"/>
      <c r="AX189" s="170"/>
      <c r="AY189" s="138"/>
    </row>
    <row r="190" spans="1:51" ht="15" customHeight="1">
      <c r="A190" s="2268"/>
      <c r="B190" s="2268"/>
      <c r="C190" s="2268"/>
      <c r="D190" s="170"/>
      <c r="F190" s="1663"/>
      <c r="G190" s="1663"/>
      <c r="I190" s="1661" t="s">
        <v>3029</v>
      </c>
      <c r="J190" s="1663"/>
      <c r="K190" s="1656"/>
      <c r="L190" s="1656"/>
      <c r="P190" s="170"/>
      <c r="Q190" s="170"/>
      <c r="R190" s="170"/>
      <c r="S190" s="170"/>
      <c r="T190" s="170"/>
      <c r="U190" s="170"/>
      <c r="V190" s="170"/>
      <c r="W190" s="170"/>
      <c r="X190" s="170"/>
      <c r="Y190" s="170"/>
      <c r="Z190" s="170"/>
      <c r="AA190" s="170"/>
      <c r="AB190" s="1547"/>
      <c r="AD190" s="73"/>
      <c r="AE190" s="1561"/>
      <c r="AF190" s="170" t="s">
        <v>1992</v>
      </c>
      <c r="AG190" s="1547"/>
      <c r="AH190" s="143"/>
      <c r="AI190" s="170"/>
      <c r="AJ190" s="170"/>
      <c r="AK190" s="53"/>
      <c r="AL190" s="53"/>
      <c r="AM190" s="53"/>
      <c r="AN190" s="53"/>
      <c r="AO190" s="53"/>
      <c r="AP190" s="53"/>
      <c r="AQ190" s="53"/>
      <c r="AR190" s="115"/>
      <c r="AS190" s="1727"/>
      <c r="AT190" s="115"/>
      <c r="AU190" s="115"/>
      <c r="AV190" s="115"/>
      <c r="AW190" s="170"/>
      <c r="AX190" s="170"/>
      <c r="AY190" s="138"/>
    </row>
    <row r="191" spans="1:51" ht="15" customHeight="1">
      <c r="A191" s="1655" t="s">
        <v>3011</v>
      </c>
      <c r="B191" s="1655"/>
      <c r="C191" s="170"/>
      <c r="D191" s="170"/>
      <c r="E191" s="1655" t="s">
        <v>3030</v>
      </c>
      <c r="F191" s="1656"/>
      <c r="G191" s="1656"/>
      <c r="H191" s="1656"/>
      <c r="I191" s="1656"/>
      <c r="J191" s="1656"/>
      <c r="K191" s="1656"/>
      <c r="L191" s="1656"/>
      <c r="P191" s="170"/>
      <c r="Q191" s="170"/>
      <c r="R191" s="170"/>
      <c r="S191" s="170"/>
      <c r="T191" s="170"/>
      <c r="U191" s="170"/>
      <c r="V191" s="170"/>
      <c r="W191" s="170"/>
      <c r="X191" s="170"/>
      <c r="Y191" s="170"/>
      <c r="Z191" s="170"/>
      <c r="AA191" s="170"/>
      <c r="AB191" s="1547"/>
      <c r="AD191" s="73"/>
      <c r="AE191" s="1561"/>
      <c r="AF191" s="170" t="s">
        <v>1985</v>
      </c>
      <c r="AG191" s="1547"/>
      <c r="AH191" s="143"/>
      <c r="AI191" s="170"/>
      <c r="AJ191" s="170"/>
      <c r="AK191" s="53"/>
      <c r="AL191" s="53"/>
      <c r="AM191" s="53"/>
      <c r="AN191" s="53"/>
      <c r="AO191" s="53"/>
      <c r="AP191" s="53"/>
      <c r="AQ191" s="53"/>
      <c r="AR191" s="115"/>
      <c r="AS191" s="1727"/>
      <c r="AT191" s="115"/>
      <c r="AU191" s="115"/>
      <c r="AV191" s="115"/>
      <c r="AW191" s="170"/>
      <c r="AX191" s="170"/>
      <c r="AY191" s="138"/>
    </row>
    <row r="192" spans="1:51" ht="15" customHeight="1">
      <c r="A192" s="1655"/>
      <c r="B192" s="1655"/>
      <c r="C192" s="170"/>
      <c r="D192" s="170"/>
      <c r="E192" s="1655" t="s">
        <v>3264</v>
      </c>
      <c r="F192" s="1656"/>
      <c r="G192" s="1656"/>
      <c r="H192" s="1656"/>
      <c r="I192" s="1656"/>
      <c r="J192" s="1656"/>
      <c r="K192" s="1656"/>
      <c r="L192" s="1656"/>
      <c r="P192" s="170"/>
      <c r="Q192" s="170"/>
      <c r="R192" s="170"/>
      <c r="S192" s="170"/>
      <c r="T192" s="170"/>
      <c r="U192" s="170"/>
      <c r="V192" s="170"/>
      <c r="W192" s="170"/>
      <c r="X192" s="170"/>
      <c r="Y192" s="170"/>
      <c r="Z192" s="170"/>
      <c r="AA192" s="170"/>
      <c r="AB192" s="1547"/>
      <c r="AD192" s="73"/>
      <c r="AE192" s="1561"/>
      <c r="AF192" s="170" t="s">
        <v>3250</v>
      </c>
      <c r="AG192" s="1547"/>
      <c r="AH192" s="143"/>
      <c r="AI192" s="170"/>
      <c r="AJ192" s="170"/>
      <c r="AK192" s="53"/>
      <c r="AL192" s="53"/>
      <c r="AM192" s="53"/>
      <c r="AN192" s="53"/>
      <c r="AO192" s="53"/>
      <c r="AP192" s="53"/>
      <c r="AQ192" s="53"/>
      <c r="AR192" s="115"/>
      <c r="AS192" s="1727"/>
      <c r="AT192" s="115"/>
      <c r="AU192" s="115"/>
      <c r="AV192" s="115"/>
      <c r="AW192" s="170"/>
      <c r="AX192" s="170"/>
      <c r="AY192" s="138"/>
    </row>
    <row r="193" spans="1:51" ht="15" customHeight="1">
      <c r="A193" s="1655"/>
      <c r="B193" s="1655"/>
      <c r="C193" s="170"/>
      <c r="D193" s="170"/>
      <c r="E193" s="1656"/>
      <c r="F193" s="1656"/>
      <c r="G193" s="1656"/>
      <c r="H193" s="1656"/>
      <c r="I193" s="1656"/>
      <c r="J193" s="1656"/>
      <c r="K193" s="1656"/>
      <c r="L193" s="1656"/>
      <c r="P193" s="170"/>
      <c r="Q193" s="170"/>
      <c r="R193" s="170"/>
      <c r="S193" s="170"/>
      <c r="T193" s="170"/>
      <c r="U193" s="170"/>
      <c r="V193" s="170"/>
      <c r="W193" s="170"/>
      <c r="X193" s="170"/>
      <c r="Y193" s="170"/>
      <c r="Z193" s="170"/>
      <c r="AA193" s="170"/>
      <c r="AB193" s="1547"/>
      <c r="AD193" s="73"/>
      <c r="AE193" s="1561"/>
      <c r="AF193" s="170" t="s">
        <v>1720</v>
      </c>
      <c r="AG193" s="143"/>
      <c r="AH193" s="143"/>
      <c r="AI193" s="170"/>
      <c r="AJ193" s="170"/>
      <c r="AK193" s="53"/>
      <c r="AL193" s="53"/>
      <c r="AM193" s="53"/>
      <c r="AN193" s="53"/>
      <c r="AO193" s="53"/>
      <c r="AP193" s="53"/>
      <c r="AQ193" s="53"/>
      <c r="AR193" s="115"/>
      <c r="AS193" s="1727"/>
      <c r="AT193" s="115"/>
      <c r="AU193" s="115"/>
      <c r="AV193" s="115"/>
      <c r="AW193" s="170"/>
      <c r="AX193" s="170"/>
      <c r="AY193" s="138"/>
    </row>
    <row r="194" spans="1:51" ht="15" customHeight="1">
      <c r="A194" s="1658"/>
      <c r="B194" s="1658"/>
      <c r="C194" s="1333"/>
      <c r="D194" s="1333"/>
      <c r="E194" s="1333"/>
      <c r="F194" s="1333"/>
      <c r="G194" s="1333"/>
      <c r="H194" s="1333"/>
      <c r="I194" s="1333"/>
      <c r="J194" s="1333"/>
      <c r="K194" s="1333"/>
      <c r="L194" s="1333"/>
      <c r="M194" s="1333"/>
      <c r="N194" s="1333"/>
      <c r="O194" s="1333"/>
      <c r="P194" s="1333"/>
      <c r="Q194" s="1333"/>
      <c r="R194" s="1333"/>
      <c r="S194" s="1333"/>
      <c r="T194" s="1333"/>
      <c r="U194" s="1333"/>
      <c r="V194" s="1333"/>
      <c r="W194" s="1333"/>
      <c r="X194" s="1333"/>
      <c r="Y194" s="1333"/>
      <c r="Z194" s="1333"/>
      <c r="AA194" s="1333"/>
      <c r="AB194" s="1554"/>
      <c r="AC194" s="1333"/>
      <c r="AD194" s="1437"/>
      <c r="AE194" s="1589"/>
      <c r="AF194" s="1333"/>
      <c r="AG194" s="1333"/>
      <c r="AH194" s="1333"/>
      <c r="AI194" s="1333"/>
      <c r="AJ194" s="1333"/>
      <c r="AK194" s="1432"/>
      <c r="AL194" s="1432"/>
      <c r="AM194" s="1432"/>
      <c r="AN194" s="1432"/>
      <c r="AO194" s="1432"/>
      <c r="AP194" s="1432"/>
      <c r="AQ194" s="1432"/>
      <c r="AR194" s="1620"/>
      <c r="AS194" s="1727"/>
      <c r="AT194" s="115"/>
      <c r="AU194" s="115"/>
      <c r="AV194" s="115"/>
      <c r="AW194" s="170"/>
      <c r="AX194" s="170"/>
      <c r="AY194" s="138"/>
    </row>
    <row r="195" spans="1:51" ht="15" customHeight="1">
      <c r="A195" s="124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0"/>
      <c r="V195" s="170"/>
      <c r="W195" s="170"/>
      <c r="X195" s="170"/>
      <c r="Y195" s="170"/>
      <c r="Z195" s="170"/>
      <c r="AA195" s="170"/>
      <c r="AB195" s="1547"/>
      <c r="AD195" s="73"/>
      <c r="AE195" s="1561"/>
      <c r="AF195" s="7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115"/>
      <c r="AS195" s="1727"/>
      <c r="AT195" s="115"/>
      <c r="AU195" s="115"/>
      <c r="AV195" s="115"/>
      <c r="AW195" s="170"/>
      <c r="AX195" s="170"/>
      <c r="AY195" s="138"/>
    </row>
    <row r="196" spans="1:51" ht="15" customHeight="1">
      <c r="A196" s="124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1547"/>
      <c r="AD196" s="73"/>
      <c r="AE196" s="1561"/>
      <c r="AF196" s="7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115"/>
      <c r="AS196" s="1727"/>
      <c r="AT196" s="115"/>
      <c r="AU196" s="115"/>
      <c r="AV196" s="115"/>
      <c r="AW196" s="170"/>
      <c r="AX196" s="170"/>
      <c r="AY196" s="138"/>
    </row>
    <row r="197" spans="1:51" s="1675" customFormat="1" ht="15" customHeight="1">
      <c r="A197" s="1820" t="s">
        <v>3089</v>
      </c>
      <c r="B197" s="1673"/>
      <c r="C197" s="1656"/>
      <c r="D197" s="1656"/>
      <c r="E197" s="1656"/>
      <c r="F197" s="143"/>
      <c r="G197" s="4"/>
      <c r="H197" s="4"/>
      <c r="I197" s="4"/>
      <c r="J197" s="143"/>
      <c r="K197" s="143"/>
      <c r="L197" s="1547"/>
      <c r="M197" s="143"/>
      <c r="O197" s="170"/>
      <c r="AR197" s="1674" t="s">
        <v>3032</v>
      </c>
      <c r="AS197" s="1729"/>
    </row>
    <row r="198" spans="1:51" s="1675" customFormat="1" ht="15" customHeight="1">
      <c r="A198" s="1672"/>
      <c r="B198" s="1673"/>
      <c r="C198" s="1656"/>
      <c r="D198" s="1656"/>
      <c r="E198" s="1656"/>
      <c r="F198" s="143"/>
      <c r="G198" s="4"/>
      <c r="H198" s="4"/>
      <c r="I198" s="4"/>
      <c r="J198" s="143"/>
      <c r="K198" s="143"/>
      <c r="L198" s="1547"/>
      <c r="M198" s="143"/>
      <c r="O198" s="170"/>
      <c r="AS198" s="1729"/>
    </row>
    <row r="199" spans="1:51" s="1675" customFormat="1" ht="15" customHeight="1">
      <c r="D199" s="1676" t="s">
        <v>2466</v>
      </c>
      <c r="E199" s="143" t="s">
        <v>3033</v>
      </c>
      <c r="F199" s="143"/>
      <c r="G199" s="143"/>
      <c r="H199" s="143"/>
      <c r="I199" s="143"/>
      <c r="J199" s="4"/>
      <c r="K199" s="4"/>
      <c r="L199" s="1547"/>
      <c r="M199" s="143"/>
      <c r="N199" s="143"/>
      <c r="O199" s="170"/>
      <c r="AS199" s="1729"/>
    </row>
    <row r="200" spans="1:51" s="1675" customFormat="1" ht="15" customHeight="1">
      <c r="D200" s="206"/>
      <c r="E200" s="143"/>
      <c r="F200" s="143"/>
      <c r="I200" s="143" t="s">
        <v>3034</v>
      </c>
      <c r="K200" s="138" t="s">
        <v>3035</v>
      </c>
      <c r="M200" s="143" t="s">
        <v>3036</v>
      </c>
      <c r="N200" s="1547"/>
      <c r="O200" s="143"/>
      <c r="P200" s="143"/>
      <c r="Q200" s="170"/>
      <c r="AS200" s="1729"/>
    </row>
    <row r="201" spans="1:51" s="1675" customFormat="1" ht="15" customHeight="1">
      <c r="D201" s="206"/>
      <c r="E201" s="143"/>
      <c r="F201" s="143"/>
      <c r="I201" s="143" t="s">
        <v>3037</v>
      </c>
      <c r="K201" s="138" t="s">
        <v>3035</v>
      </c>
      <c r="M201" s="143" t="s">
        <v>3038</v>
      </c>
      <c r="N201" s="1547"/>
      <c r="O201" s="143"/>
      <c r="P201" s="143"/>
      <c r="Q201" s="170"/>
      <c r="AS201" s="1729"/>
    </row>
    <row r="202" spans="1:51" s="1675" customFormat="1" ht="15" customHeight="1">
      <c r="D202" s="206"/>
      <c r="E202" s="143"/>
      <c r="F202" s="143"/>
      <c r="I202" s="143" t="s">
        <v>753</v>
      </c>
      <c r="K202" s="138" t="s">
        <v>3035</v>
      </c>
      <c r="M202" s="143" t="s">
        <v>3039</v>
      </c>
      <c r="N202" s="1547"/>
      <c r="O202" s="143"/>
      <c r="P202" s="143"/>
      <c r="Q202" s="170"/>
      <c r="AS202" s="1729"/>
    </row>
    <row r="203" spans="1:51" s="1675" customFormat="1" ht="15" customHeight="1">
      <c r="D203" s="206"/>
      <c r="E203" s="143"/>
      <c r="F203" s="143"/>
      <c r="I203" s="143"/>
      <c r="J203" s="138"/>
      <c r="K203" s="143"/>
      <c r="L203" s="4"/>
      <c r="M203" s="4"/>
      <c r="N203" s="1547"/>
      <c r="O203" s="143"/>
      <c r="P203" s="143"/>
      <c r="Q203" s="170"/>
      <c r="AS203" s="1729"/>
    </row>
    <row r="204" spans="1:51" s="1675" customFormat="1" ht="15" customHeight="1">
      <c r="D204" s="206"/>
      <c r="F204" s="143"/>
      <c r="I204" s="143" t="s">
        <v>323</v>
      </c>
      <c r="J204" s="143"/>
      <c r="M204" s="143" t="s">
        <v>729</v>
      </c>
      <c r="N204" s="143"/>
      <c r="P204" s="4"/>
      <c r="Q204" s="1547"/>
      <c r="R204" s="143"/>
      <c r="AS204" s="1729"/>
    </row>
    <row r="205" spans="1:51" s="1675" customFormat="1" ht="15" customHeight="1">
      <c r="D205" s="206"/>
      <c r="E205" s="143"/>
      <c r="F205" s="143"/>
      <c r="I205" s="143"/>
      <c r="J205" s="143"/>
      <c r="M205" s="143" t="s">
        <v>730</v>
      </c>
      <c r="N205" s="143"/>
      <c r="P205" s="4"/>
      <c r="Q205" s="1547"/>
      <c r="R205" s="143"/>
      <c r="AS205" s="1729"/>
    </row>
    <row r="206" spans="1:51" s="1675" customFormat="1" ht="15" customHeight="1">
      <c r="D206" s="206"/>
      <c r="E206" s="143"/>
      <c r="F206" s="143"/>
      <c r="I206" s="143"/>
      <c r="J206" s="143"/>
      <c r="M206" s="143" t="s">
        <v>731</v>
      </c>
      <c r="N206" s="143"/>
      <c r="P206" s="4"/>
      <c r="Q206" s="1547"/>
      <c r="R206" s="143"/>
      <c r="AS206" s="1729"/>
    </row>
    <row r="207" spans="1:51" s="1675" customFormat="1" ht="15" customHeight="1">
      <c r="D207" s="1676" t="s">
        <v>2466</v>
      </c>
      <c r="E207" s="143" t="s">
        <v>3040</v>
      </c>
      <c r="F207" s="143"/>
      <c r="G207" s="143"/>
      <c r="H207" s="143"/>
      <c r="L207" s="1547"/>
      <c r="M207" s="143"/>
      <c r="N207" s="143"/>
      <c r="O207" s="170"/>
      <c r="AS207" s="1729"/>
    </row>
    <row r="208" spans="1:51" s="1675" customFormat="1" ht="15" customHeight="1">
      <c r="D208" s="206"/>
      <c r="E208" s="143"/>
      <c r="F208" s="143"/>
      <c r="H208" s="143"/>
      <c r="I208" s="143" t="s">
        <v>727</v>
      </c>
      <c r="J208" s="4"/>
      <c r="K208" s="4"/>
      <c r="L208" s="1547"/>
      <c r="M208" s="143"/>
      <c r="N208" s="143"/>
      <c r="O208" s="170"/>
      <c r="AS208" s="1729"/>
    </row>
    <row r="209" spans="1:51" ht="15" customHeight="1">
      <c r="A209" s="124"/>
      <c r="B209" s="170"/>
      <c r="C209" s="170"/>
      <c r="D209" s="170"/>
      <c r="E209" s="170"/>
      <c r="F209" s="170"/>
      <c r="G209" s="170"/>
      <c r="H209" s="170"/>
      <c r="I209" s="170"/>
      <c r="J209" s="170"/>
      <c r="K209" s="170"/>
      <c r="L209" s="170"/>
      <c r="M209" s="170"/>
      <c r="N209" s="170"/>
      <c r="O209" s="170"/>
      <c r="P209" s="170"/>
      <c r="Q209" s="170"/>
      <c r="R209" s="170"/>
      <c r="S209" s="170"/>
      <c r="T209" s="170"/>
      <c r="U209" s="170"/>
      <c r="V209" s="170"/>
      <c r="W209" s="170"/>
      <c r="X209" s="170"/>
      <c r="Y209" s="170"/>
      <c r="Z209" s="170"/>
      <c r="AA209" s="170"/>
      <c r="AB209" s="1547"/>
      <c r="AD209" s="73"/>
      <c r="AE209" s="1561"/>
      <c r="AF209" s="7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115"/>
      <c r="AS209" s="1727"/>
      <c r="AT209" s="115"/>
      <c r="AU209" s="115"/>
      <c r="AV209" s="115"/>
      <c r="AW209" s="170"/>
      <c r="AX209" s="170"/>
      <c r="AY209" s="138"/>
    </row>
    <row r="210" spans="1:51" ht="15" customHeight="1">
      <c r="A210" s="1723" t="s">
        <v>3041</v>
      </c>
      <c r="G210" s="4"/>
      <c r="H210" s="4"/>
      <c r="I210" s="4"/>
      <c r="O210" s="170"/>
      <c r="Y210" s="143"/>
      <c r="Z210" s="1547"/>
      <c r="AB210" s="206"/>
      <c r="AD210" s="143"/>
      <c r="AE210" s="1547"/>
      <c r="AF210" s="14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674" t="s">
        <v>3042</v>
      </c>
    </row>
    <row r="211" spans="1:51" ht="15" customHeight="1">
      <c r="A211" s="1672"/>
      <c r="G211" s="4"/>
      <c r="H211" s="4"/>
      <c r="I211" s="4"/>
      <c r="O211" s="170"/>
      <c r="Y211" s="143"/>
      <c r="Z211" s="1547"/>
      <c r="AB211" s="206"/>
      <c r="AD211" s="143"/>
      <c r="AE211" s="1547"/>
      <c r="AF211" s="14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</row>
    <row r="212" spans="1:51" ht="15" customHeight="1">
      <c r="D212" s="1676" t="s">
        <v>2466</v>
      </c>
      <c r="E212" s="143" t="s">
        <v>629</v>
      </c>
      <c r="O212" s="170"/>
      <c r="Y212" s="143"/>
      <c r="Z212" s="1547"/>
      <c r="AB212" s="1547"/>
      <c r="AD212" s="143"/>
      <c r="AE212" s="1547"/>
      <c r="AF212" s="143"/>
      <c r="AG212" s="143"/>
      <c r="AH212" s="143"/>
      <c r="AI212" s="143"/>
      <c r="AJ212" s="143"/>
      <c r="AK212" s="143"/>
      <c r="AL212" s="143"/>
      <c r="AM212" s="143"/>
      <c r="AN212" s="143"/>
      <c r="AO212" s="143"/>
      <c r="AP212" s="143"/>
      <c r="AQ212" s="143"/>
      <c r="AR212" s="143"/>
    </row>
    <row r="213" spans="1:51" ht="15" customHeight="1">
      <c r="I213" s="95" t="s">
        <v>630</v>
      </c>
      <c r="O213" s="170"/>
      <c r="Y213" s="143"/>
      <c r="Z213" s="1547"/>
      <c r="AB213" s="1547"/>
      <c r="AD213" s="143"/>
      <c r="AE213" s="1547"/>
      <c r="AF213" s="143"/>
      <c r="AG213" s="143"/>
      <c r="AH213" s="143"/>
      <c r="AI213" s="143"/>
      <c r="AJ213" s="143"/>
      <c r="AK213" s="143"/>
      <c r="AL213" s="143"/>
      <c r="AM213" s="143"/>
      <c r="AN213" s="143"/>
      <c r="AO213" s="143"/>
      <c r="AP213" s="143"/>
      <c r="AQ213" s="143"/>
      <c r="AR213" s="143"/>
    </row>
    <row r="214" spans="1:51" ht="15" customHeight="1">
      <c r="D214" s="1676" t="s">
        <v>2466</v>
      </c>
      <c r="E214" s="143" t="s">
        <v>632</v>
      </c>
      <c r="G214" s="95"/>
      <c r="O214" s="170"/>
      <c r="Y214" s="143"/>
      <c r="Z214" s="1547"/>
      <c r="AB214" s="1547"/>
      <c r="AD214" s="143"/>
      <c r="AE214" s="1547"/>
      <c r="AF214" s="143"/>
      <c r="AG214" s="143"/>
      <c r="AH214" s="143"/>
      <c r="AI214" s="143"/>
      <c r="AJ214" s="143"/>
      <c r="AK214" s="143"/>
      <c r="AL214" s="143"/>
      <c r="AM214" s="143"/>
      <c r="AN214" s="143"/>
      <c r="AO214" s="143"/>
      <c r="AP214" s="143"/>
      <c r="AQ214" s="143"/>
      <c r="AR214" s="143"/>
    </row>
    <row r="215" spans="1:51" ht="15" customHeight="1">
      <c r="F215" s="1677"/>
      <c r="I215" s="95" t="s">
        <v>627</v>
      </c>
      <c r="J215" s="1678"/>
      <c r="L215" s="165"/>
      <c r="M215" s="165"/>
      <c r="N215" s="1583"/>
      <c r="O215" s="170"/>
      <c r="R215" s="1678"/>
      <c r="Y215" s="143"/>
      <c r="Z215" s="1547"/>
      <c r="AB215" s="1547"/>
      <c r="AD215" s="143"/>
      <c r="AE215" s="1547"/>
      <c r="AF215" s="143"/>
      <c r="AG215" s="143"/>
      <c r="AH215" s="143"/>
      <c r="AI215" s="143"/>
      <c r="AJ215" s="143"/>
      <c r="AK215" s="143"/>
      <c r="AL215" s="143"/>
      <c r="AM215" s="143"/>
      <c r="AN215" s="143"/>
      <c r="AO215" s="143"/>
      <c r="AP215" s="143"/>
      <c r="AQ215" s="143"/>
      <c r="AR215" s="143"/>
    </row>
    <row r="216" spans="1:51" ht="15" customHeight="1">
      <c r="B216" s="95"/>
      <c r="D216" s="1678"/>
      <c r="G216" s="4"/>
      <c r="H216" s="4"/>
      <c r="I216" s="4"/>
      <c r="O216" s="170"/>
      <c r="Y216" s="143"/>
      <c r="Z216" s="1547"/>
      <c r="AB216" s="1547"/>
      <c r="AD216" s="143"/>
      <c r="AE216" s="1547"/>
      <c r="AF216" s="14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</row>
    <row r="217" spans="1:51" ht="15" customHeight="1">
      <c r="E217" s="143" t="s">
        <v>323</v>
      </c>
      <c r="G217" s="1678"/>
      <c r="H217" s="4"/>
      <c r="I217" s="4"/>
      <c r="O217" s="170"/>
      <c r="Y217" s="143"/>
      <c r="Z217" s="1547"/>
      <c r="AB217" s="1547"/>
      <c r="AD217" s="143"/>
      <c r="AE217" s="1547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</row>
    <row r="218" spans="1:51" ht="15" customHeight="1">
      <c r="H218" s="4"/>
      <c r="I218" s="143" t="s">
        <v>1240</v>
      </c>
      <c r="J218" s="138" t="s">
        <v>324</v>
      </c>
      <c r="K218" s="143" t="s">
        <v>1242</v>
      </c>
      <c r="O218" s="170"/>
      <c r="Y218" s="143"/>
      <c r="Z218" s="1547"/>
      <c r="AB218" s="1547"/>
      <c r="AD218" s="143"/>
      <c r="AE218" s="1547"/>
      <c r="AF218" s="143"/>
      <c r="AG218" s="143"/>
      <c r="AH218" s="143"/>
      <c r="AI218" s="143"/>
      <c r="AJ218" s="143"/>
      <c r="AK218" s="143"/>
      <c r="AL218" s="143"/>
      <c r="AM218" s="143"/>
      <c r="AN218" s="143"/>
      <c r="AO218" s="143"/>
      <c r="AP218" s="143"/>
      <c r="AQ218" s="143"/>
      <c r="AR218" s="143"/>
    </row>
    <row r="219" spans="1:51" ht="15" customHeight="1">
      <c r="H219" s="4"/>
      <c r="I219" s="143" t="s">
        <v>475</v>
      </c>
      <c r="J219" s="138" t="s">
        <v>324</v>
      </c>
      <c r="K219" s="143" t="s">
        <v>718</v>
      </c>
      <c r="O219" s="170"/>
      <c r="Y219" s="143"/>
      <c r="Z219" s="1547"/>
      <c r="AB219" s="1547"/>
      <c r="AD219" s="143"/>
      <c r="AE219" s="1547"/>
      <c r="AF219" s="143"/>
      <c r="AG219" s="143"/>
      <c r="AH219" s="143"/>
      <c r="AI219" s="143"/>
      <c r="AJ219" s="143"/>
      <c r="AK219" s="143"/>
      <c r="AL219" s="143"/>
      <c r="AM219" s="143"/>
      <c r="AN219" s="143"/>
      <c r="AO219" s="143"/>
      <c r="AP219" s="143"/>
      <c r="AQ219" s="143"/>
      <c r="AR219" s="143"/>
    </row>
    <row r="220" spans="1:51" ht="15" customHeight="1">
      <c r="D220" s="138"/>
      <c r="G220" s="4"/>
      <c r="H220" s="4"/>
      <c r="I220" s="4"/>
      <c r="O220" s="170"/>
      <c r="Y220" s="143"/>
      <c r="Z220" s="1547"/>
      <c r="AB220" s="1547"/>
      <c r="AD220" s="143"/>
      <c r="AE220" s="1547"/>
      <c r="AF220" s="143"/>
      <c r="AG220" s="143"/>
      <c r="AH220" s="143"/>
      <c r="AI220" s="143"/>
      <c r="AJ220" s="143"/>
      <c r="AK220" s="143"/>
      <c r="AL220" s="143"/>
      <c r="AM220" s="143"/>
      <c r="AN220" s="143"/>
      <c r="AO220" s="143"/>
      <c r="AP220" s="143"/>
      <c r="AQ220" s="143"/>
      <c r="AR220" s="143"/>
    </row>
    <row r="221" spans="1:51" ht="15" customHeight="1">
      <c r="D221" s="138"/>
      <c r="G221" s="4"/>
      <c r="H221" s="4"/>
      <c r="I221" s="4"/>
      <c r="O221" s="170"/>
      <c r="Y221" s="143"/>
      <c r="Z221" s="1547"/>
      <c r="AB221" s="1547"/>
      <c r="AD221" s="143"/>
      <c r="AE221" s="1547"/>
      <c r="AF221" s="143"/>
      <c r="AG221" s="143"/>
      <c r="AH221" s="143"/>
      <c r="AI221" s="143"/>
      <c r="AJ221" s="143"/>
      <c r="AK221" s="143"/>
      <c r="AL221" s="143"/>
      <c r="AM221" s="143"/>
      <c r="AN221" s="143"/>
      <c r="AO221" s="143"/>
      <c r="AP221" s="143"/>
      <c r="AQ221" s="143"/>
      <c r="AR221" s="143"/>
    </row>
    <row r="222" spans="1:51" ht="15" customHeight="1">
      <c r="D222" s="138"/>
      <c r="G222" s="4"/>
      <c r="H222" s="4"/>
      <c r="I222" s="4"/>
      <c r="O222" s="170"/>
      <c r="Y222" s="143"/>
      <c r="Z222" s="1547"/>
      <c r="AB222" s="1547"/>
      <c r="AD222" s="143"/>
      <c r="AE222" s="1547"/>
      <c r="AF222" s="143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43"/>
    </row>
    <row r="223" spans="1:51" ht="15" customHeight="1">
      <c r="D223" s="138"/>
      <c r="G223" s="4"/>
      <c r="H223" s="4"/>
      <c r="I223" s="4"/>
      <c r="O223" s="170"/>
      <c r="Y223" s="143"/>
      <c r="Z223" s="1547"/>
      <c r="AB223" s="1547"/>
      <c r="AD223" s="143"/>
      <c r="AE223" s="1547"/>
      <c r="AF223" s="143"/>
      <c r="AG223" s="143"/>
      <c r="AH223" s="143"/>
      <c r="AI223" s="143"/>
      <c r="AJ223" s="143"/>
      <c r="AK223" s="143"/>
      <c r="AL223" s="143"/>
      <c r="AM223" s="143"/>
      <c r="AN223" s="143"/>
      <c r="AO223" s="143"/>
      <c r="AP223" s="143"/>
      <c r="AQ223" s="143"/>
      <c r="AR223" s="143"/>
    </row>
    <row r="224" spans="1:51" ht="15" customHeight="1">
      <c r="D224" s="138"/>
      <c r="G224" s="4"/>
      <c r="H224" s="4"/>
      <c r="I224" s="4"/>
      <c r="O224" s="170"/>
      <c r="Y224" s="143"/>
      <c r="Z224" s="1547"/>
      <c r="AB224" s="1547"/>
      <c r="AD224" s="143"/>
      <c r="AE224" s="1547"/>
      <c r="AF224" s="143"/>
      <c r="AG224" s="143"/>
      <c r="AH224" s="143"/>
      <c r="AI224" s="143"/>
      <c r="AJ224" s="143"/>
      <c r="AK224" s="143"/>
      <c r="AL224" s="143"/>
      <c r="AM224" s="143"/>
      <c r="AN224" s="143"/>
      <c r="AO224" s="143"/>
      <c r="AP224" s="143"/>
      <c r="AQ224" s="143"/>
      <c r="AR224" s="143"/>
    </row>
    <row r="225" spans="1:51" ht="15" customHeight="1">
      <c r="D225" s="138"/>
      <c r="G225" s="4"/>
      <c r="H225" s="4"/>
      <c r="I225" s="4"/>
      <c r="O225" s="170"/>
      <c r="Y225" s="143"/>
      <c r="Z225" s="1547"/>
      <c r="AB225" s="1547"/>
      <c r="AD225" s="143"/>
      <c r="AE225" s="1547"/>
      <c r="AF225" s="143"/>
      <c r="AG225" s="143"/>
      <c r="AH225" s="143"/>
      <c r="AI225" s="143"/>
      <c r="AJ225" s="143"/>
      <c r="AK225" s="143"/>
      <c r="AL225" s="143"/>
      <c r="AM225" s="143"/>
      <c r="AN225" s="143"/>
      <c r="AO225" s="143"/>
      <c r="AP225" s="143"/>
      <c r="AQ225" s="143"/>
      <c r="AR225" s="143"/>
    </row>
    <row r="226" spans="1:51" ht="15" customHeight="1">
      <c r="D226" s="138"/>
      <c r="G226" s="4"/>
      <c r="H226" s="4"/>
      <c r="I226" s="4"/>
      <c r="O226" s="170"/>
      <c r="Y226" s="143"/>
      <c r="Z226" s="1547"/>
      <c r="AB226" s="1547"/>
      <c r="AD226" s="143"/>
      <c r="AE226" s="1547"/>
      <c r="AF226" s="143"/>
      <c r="AG226" s="143"/>
      <c r="AH226" s="143"/>
      <c r="AI226" s="143"/>
      <c r="AJ226" s="143"/>
      <c r="AK226" s="143"/>
      <c r="AL226" s="143"/>
      <c r="AM226" s="143"/>
      <c r="AN226" s="143"/>
      <c r="AO226" s="143"/>
      <c r="AP226" s="143"/>
      <c r="AQ226" s="143"/>
      <c r="AR226" s="143"/>
    </row>
    <row r="227" spans="1:51" ht="15" customHeight="1">
      <c r="D227" s="138"/>
      <c r="G227" s="4"/>
      <c r="H227" s="4"/>
      <c r="I227" s="4"/>
      <c r="O227" s="170"/>
      <c r="Y227" s="143"/>
      <c r="Z227" s="1547"/>
      <c r="AB227" s="1547"/>
      <c r="AD227" s="143"/>
      <c r="AE227" s="1547"/>
      <c r="AF227" s="143"/>
      <c r="AG227" s="143"/>
      <c r="AH227" s="143"/>
      <c r="AI227" s="143"/>
      <c r="AJ227" s="143"/>
      <c r="AK227" s="143"/>
      <c r="AL227" s="143"/>
      <c r="AM227" s="143"/>
      <c r="AN227" s="143"/>
      <c r="AO227" s="143"/>
      <c r="AP227" s="143"/>
      <c r="AQ227" s="143"/>
      <c r="AR227" s="143"/>
    </row>
    <row r="228" spans="1:51" ht="15" customHeight="1">
      <c r="D228" s="138"/>
      <c r="G228" s="4"/>
      <c r="H228" s="4"/>
      <c r="I228" s="4"/>
      <c r="O228" s="170"/>
      <c r="Y228" s="143"/>
      <c r="Z228" s="1547"/>
      <c r="AB228" s="1547"/>
      <c r="AD228" s="143"/>
      <c r="AE228" s="1547"/>
      <c r="AF228" s="143"/>
      <c r="AG228" s="143"/>
      <c r="AH228" s="143"/>
      <c r="AI228" s="143"/>
      <c r="AJ228" s="143"/>
      <c r="AK228" s="143"/>
      <c r="AL228" s="143"/>
      <c r="AM228" s="143"/>
      <c r="AN228" s="143"/>
      <c r="AO228" s="143"/>
      <c r="AP228" s="143"/>
      <c r="AQ228" s="143"/>
      <c r="AR228" s="143"/>
    </row>
    <row r="229" spans="1:51" ht="15" customHeight="1">
      <c r="A229" s="124"/>
      <c r="B229" s="170"/>
      <c r="C229" s="170"/>
      <c r="D229" s="170"/>
      <c r="E229" s="170"/>
      <c r="F229" s="170"/>
      <c r="G229" s="170"/>
      <c r="H229" s="170"/>
      <c r="I229" s="170"/>
      <c r="J229" s="170"/>
      <c r="K229" s="170"/>
      <c r="L229" s="170"/>
      <c r="M229" s="170"/>
      <c r="N229" s="170"/>
      <c r="O229" s="170"/>
      <c r="P229" s="170"/>
      <c r="Q229" s="170"/>
      <c r="R229" s="170"/>
      <c r="S229" s="170"/>
      <c r="T229" s="170"/>
      <c r="U229" s="170"/>
      <c r="V229" s="170"/>
      <c r="W229" s="170"/>
      <c r="X229" s="170"/>
      <c r="Y229" s="170"/>
      <c r="Z229" s="170"/>
      <c r="AA229" s="170"/>
      <c r="AB229" s="1547"/>
      <c r="AD229" s="73"/>
      <c r="AE229" s="1561"/>
      <c r="AF229" s="7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115"/>
      <c r="AS229" s="1727"/>
      <c r="AT229" s="115"/>
      <c r="AU229" s="115"/>
      <c r="AV229" s="115"/>
      <c r="AW229" s="170"/>
      <c r="AX229" s="170"/>
      <c r="AY229" s="138"/>
    </row>
    <row r="230" spans="1:51" ht="15" customHeight="1">
      <c r="A230" s="124"/>
      <c r="B230" s="170"/>
      <c r="C230" s="170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  <c r="N230" s="170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547"/>
      <c r="AD230" s="73"/>
      <c r="AE230" s="1561"/>
      <c r="AF230" s="7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115"/>
      <c r="AS230" s="1727"/>
      <c r="AT230" s="115"/>
      <c r="AU230" s="115"/>
      <c r="AV230" s="115"/>
      <c r="AW230" s="170"/>
      <c r="AX230" s="170"/>
      <c r="AY230" s="138"/>
    </row>
    <row r="231" spans="1:51" ht="15" customHeight="1">
      <c r="A231" s="1723" t="s">
        <v>3043</v>
      </c>
      <c r="G231" s="4"/>
      <c r="H231" s="4"/>
      <c r="I231" s="4"/>
      <c r="O231" s="170"/>
      <c r="Y231" s="143"/>
      <c r="Z231" s="1547"/>
      <c r="AB231" s="206"/>
      <c r="AD231" s="143"/>
      <c r="AE231" s="1547"/>
      <c r="AF231" s="143"/>
      <c r="AG231" s="143"/>
      <c r="AH231" s="143"/>
      <c r="AI231" s="143"/>
      <c r="AJ231" s="143"/>
      <c r="AK231" s="143"/>
      <c r="AL231" s="143"/>
      <c r="AM231" s="143"/>
      <c r="AN231" s="143"/>
      <c r="AO231" s="143"/>
      <c r="AP231" s="143"/>
      <c r="AQ231" s="143"/>
      <c r="AR231" s="143"/>
    </row>
    <row r="232" spans="1:51" ht="15" customHeight="1">
      <c r="D232" s="1676" t="s">
        <v>2466</v>
      </c>
      <c r="E232" s="143" t="s">
        <v>635</v>
      </c>
      <c r="G232" s="4"/>
      <c r="H232" s="4"/>
      <c r="I232" s="4"/>
      <c r="O232" s="170"/>
      <c r="Y232" s="143"/>
      <c r="Z232" s="1547"/>
      <c r="AB232" s="206"/>
      <c r="AD232" s="143"/>
      <c r="AE232" s="1547"/>
      <c r="AF232" s="143"/>
      <c r="AG232" s="143"/>
      <c r="AH232" s="143"/>
      <c r="AI232" s="143"/>
      <c r="AJ232" s="143"/>
      <c r="AK232" s="143"/>
      <c r="AL232" s="143"/>
      <c r="AM232" s="143"/>
      <c r="AN232" s="143"/>
      <c r="AO232" s="143"/>
      <c r="AP232" s="143"/>
      <c r="AQ232" s="143"/>
      <c r="AR232" s="1674" t="s">
        <v>3044</v>
      </c>
    </row>
    <row r="233" spans="1:51" ht="15" customHeight="1">
      <c r="D233" s="1676" t="s">
        <v>2466</v>
      </c>
      <c r="E233" s="143" t="s">
        <v>637</v>
      </c>
      <c r="G233" s="4"/>
      <c r="H233" s="4"/>
      <c r="I233" s="4"/>
      <c r="O233" s="170"/>
      <c r="Y233" s="143"/>
      <c r="Z233" s="1547"/>
      <c r="AB233" s="206"/>
      <c r="AD233" s="143"/>
      <c r="AE233" s="1547"/>
      <c r="AF233" s="143"/>
      <c r="AG233" s="143"/>
      <c r="AH233" s="143"/>
      <c r="AI233" s="143"/>
      <c r="AJ233" s="143"/>
      <c r="AK233" s="143"/>
      <c r="AL233" s="143"/>
      <c r="AM233" s="143"/>
      <c r="AN233" s="143"/>
      <c r="AO233" s="143"/>
      <c r="AP233" s="143"/>
      <c r="AQ233" s="143"/>
      <c r="AR233" s="52"/>
    </row>
    <row r="234" spans="1:51" ht="15" customHeight="1">
      <c r="A234" s="206"/>
      <c r="H234" s="2121" t="s">
        <v>3045</v>
      </c>
      <c r="I234" s="2121"/>
      <c r="J234" s="2121"/>
      <c r="K234" s="1573" t="s">
        <v>3046</v>
      </c>
      <c r="L234" s="1679"/>
      <c r="M234" s="1680"/>
      <c r="N234" s="1680"/>
      <c r="O234" s="1685"/>
      <c r="P234" s="1333"/>
      <c r="Q234" s="1333"/>
      <c r="R234" s="1333"/>
      <c r="S234" s="1333"/>
      <c r="Y234" s="143"/>
      <c r="Z234" s="1547"/>
      <c r="AB234" s="206"/>
      <c r="AD234" s="143"/>
      <c r="AE234" s="1547"/>
      <c r="AF234" s="143"/>
      <c r="AG234" s="143"/>
      <c r="AH234" s="143"/>
      <c r="AI234" s="143"/>
      <c r="AJ234" s="143"/>
      <c r="AK234" s="143"/>
      <c r="AL234" s="143"/>
      <c r="AM234" s="143"/>
      <c r="AN234" s="143"/>
      <c r="AO234" s="143"/>
      <c r="AP234" s="143"/>
      <c r="AQ234" s="143"/>
      <c r="AR234" s="52"/>
    </row>
    <row r="235" spans="1:51" ht="15" customHeight="1">
      <c r="H235" s="2121"/>
      <c r="I235" s="2121"/>
      <c r="J235" s="2121"/>
      <c r="L235" s="1682"/>
      <c r="N235" s="1681" t="s">
        <v>3047</v>
      </c>
      <c r="O235" s="4"/>
      <c r="Y235" s="143"/>
      <c r="Z235" s="1547"/>
      <c r="AB235" s="1547"/>
      <c r="AD235" s="143"/>
      <c r="AE235" s="1547"/>
      <c r="AF235" s="143"/>
      <c r="AG235" s="143"/>
      <c r="AH235" s="143"/>
      <c r="AI235" s="143"/>
      <c r="AJ235" s="143"/>
      <c r="AK235" s="143"/>
      <c r="AL235" s="143"/>
      <c r="AM235" s="143"/>
      <c r="AN235" s="143"/>
      <c r="AO235" s="143"/>
      <c r="AP235" s="143"/>
      <c r="AQ235" s="143"/>
      <c r="AR235" s="52"/>
    </row>
    <row r="236" spans="1:51" ht="15" customHeight="1">
      <c r="H236" s="2121" t="s">
        <v>3048</v>
      </c>
      <c r="I236" s="2121"/>
      <c r="J236" s="2121"/>
      <c r="K236" s="1573" t="s">
        <v>3049</v>
      </c>
      <c r="L236" s="1684"/>
      <c r="M236" s="1333"/>
      <c r="N236" s="1333"/>
      <c r="O236" s="2116" t="s">
        <v>3050</v>
      </c>
      <c r="P236" s="1679" t="s">
        <v>3046</v>
      </c>
      <c r="Q236" s="1679"/>
      <c r="R236" s="1680"/>
      <c r="S236" s="1680"/>
      <c r="T236" s="1554"/>
      <c r="U236" s="1333"/>
      <c r="V236" s="1333"/>
      <c r="Y236" s="143"/>
      <c r="AB236" s="143"/>
      <c r="AD236" s="143"/>
      <c r="AE236" s="143"/>
      <c r="AF236" s="143"/>
      <c r="AG236" s="143"/>
      <c r="AH236" s="143"/>
      <c r="AI236" s="143"/>
      <c r="AJ236" s="143"/>
      <c r="AK236" s="143"/>
      <c r="AL236" s="143"/>
      <c r="AM236" s="143"/>
      <c r="AN236" s="143"/>
      <c r="AO236" s="143"/>
      <c r="AP236" s="143"/>
      <c r="AQ236" s="143"/>
      <c r="AR236" s="52"/>
    </row>
    <row r="237" spans="1:51" ht="15" customHeight="1">
      <c r="H237" s="2121"/>
      <c r="I237" s="2121"/>
      <c r="J237" s="2121"/>
      <c r="K237" s="1686" t="s">
        <v>3051</v>
      </c>
      <c r="L237" s="1683"/>
      <c r="O237" s="1938"/>
      <c r="Q237" s="1681" t="s">
        <v>3052</v>
      </c>
      <c r="R237" s="1683"/>
      <c r="S237" s="1683"/>
      <c r="T237" s="1547"/>
      <c r="Y237" s="143"/>
      <c r="AB237" s="143"/>
      <c r="AD237" s="143"/>
      <c r="AE237" s="143"/>
      <c r="AF237" s="143"/>
      <c r="AG237" s="143"/>
      <c r="AH237" s="143"/>
      <c r="AI237" s="143"/>
      <c r="AJ237" s="143"/>
      <c r="AK237" s="143"/>
      <c r="AL237" s="143"/>
      <c r="AM237" s="143"/>
      <c r="AN237" s="143"/>
      <c r="AO237" s="143"/>
      <c r="AP237" s="143"/>
      <c r="AQ237" s="143"/>
      <c r="AR237" s="52"/>
    </row>
    <row r="238" spans="1:51" ht="15" customHeight="1">
      <c r="B238" s="138"/>
      <c r="E238" s="4"/>
      <c r="F238" s="4"/>
      <c r="G238" s="4"/>
      <c r="J238" s="1547"/>
      <c r="L238" s="143"/>
      <c r="O238" s="170"/>
      <c r="Y238" s="143"/>
      <c r="Z238" s="1547"/>
      <c r="AB238" s="1547"/>
      <c r="AD238" s="143"/>
      <c r="AE238" s="1547"/>
      <c r="AF238" s="143"/>
      <c r="AG238" s="143"/>
      <c r="AH238" s="143"/>
      <c r="AI238" s="143"/>
      <c r="AJ238" s="143"/>
      <c r="AK238" s="143"/>
      <c r="AL238" s="143"/>
      <c r="AM238" s="143"/>
      <c r="AN238" s="143"/>
      <c r="AO238" s="143"/>
      <c r="AP238" s="143"/>
      <c r="AQ238" s="143"/>
      <c r="AR238" s="52"/>
    </row>
    <row r="239" spans="1:51" ht="15" customHeight="1">
      <c r="D239" s="1676" t="s">
        <v>2466</v>
      </c>
      <c r="E239" s="143" t="s">
        <v>639</v>
      </c>
      <c r="H239" s="4"/>
      <c r="I239" s="4"/>
      <c r="O239" s="170"/>
      <c r="Y239" s="143"/>
      <c r="Z239" s="1547"/>
      <c r="AB239" s="1547"/>
      <c r="AD239" s="143"/>
      <c r="AE239" s="1547"/>
      <c r="AF239" s="143"/>
      <c r="AG239" s="143"/>
      <c r="AH239" s="143"/>
      <c r="AI239" s="143"/>
      <c r="AJ239" s="143"/>
      <c r="AK239" s="143"/>
      <c r="AL239" s="143"/>
      <c r="AM239" s="143"/>
      <c r="AN239" s="143"/>
      <c r="AO239" s="143"/>
      <c r="AP239" s="143"/>
      <c r="AQ239" s="143"/>
      <c r="AR239" s="1674" t="s">
        <v>3053</v>
      </c>
    </row>
    <row r="240" spans="1:51" ht="15" customHeight="1">
      <c r="D240" s="138"/>
      <c r="G240" s="4"/>
      <c r="H240" s="143" t="s">
        <v>641</v>
      </c>
      <c r="I240" s="4"/>
      <c r="O240" s="170"/>
      <c r="Y240" s="143"/>
      <c r="AB240" s="1547"/>
      <c r="AD240" s="143"/>
      <c r="AE240" s="1547"/>
      <c r="AF240" s="143"/>
      <c r="AG240" s="143"/>
      <c r="AH240" s="143"/>
      <c r="AI240" s="143"/>
      <c r="AJ240" s="143"/>
      <c r="AK240" s="143"/>
      <c r="AL240" s="143"/>
      <c r="AM240" s="143"/>
      <c r="AN240" s="143"/>
      <c r="AO240" s="143"/>
      <c r="AP240" s="143"/>
      <c r="AQ240" s="143"/>
      <c r="AR240" s="143"/>
    </row>
    <row r="241" spans="1:51" ht="15" customHeight="1">
      <c r="A241" s="124"/>
      <c r="B241" s="170"/>
      <c r="C241" s="170"/>
      <c r="D241" s="170"/>
      <c r="E241" s="170"/>
      <c r="F241" s="170"/>
      <c r="G241" s="170"/>
      <c r="H241" s="170"/>
      <c r="I241" s="170"/>
      <c r="J241" s="170"/>
      <c r="K241" s="170"/>
      <c r="L241" s="170"/>
      <c r="M241" s="170"/>
      <c r="N241" s="170"/>
      <c r="O241" s="170"/>
      <c r="P241" s="170"/>
      <c r="Q241" s="170"/>
      <c r="R241" s="170"/>
      <c r="S241" s="170"/>
      <c r="T241" s="170"/>
      <c r="U241" s="170"/>
      <c r="V241" s="170"/>
      <c r="W241" s="170"/>
      <c r="X241" s="170"/>
      <c r="Y241" s="170"/>
      <c r="Z241" s="170"/>
      <c r="AA241" s="170"/>
      <c r="AB241" s="1547"/>
      <c r="AD241" s="73"/>
      <c r="AE241" s="1561"/>
      <c r="AF241" s="7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115"/>
      <c r="AS241" s="1727"/>
      <c r="AT241" s="115"/>
      <c r="AU241" s="115"/>
      <c r="AV241" s="115"/>
      <c r="AW241" s="170"/>
      <c r="AX241" s="170"/>
      <c r="AY241" s="138"/>
    </row>
    <row r="242" spans="1:51" ht="15" customHeight="1">
      <c r="A242" s="1723" t="s">
        <v>3054</v>
      </c>
      <c r="G242" s="4"/>
      <c r="H242" s="4"/>
      <c r="I242" s="4"/>
      <c r="O242" s="170"/>
      <c r="Y242" s="143"/>
      <c r="Z242" s="1547"/>
      <c r="AB242" s="1547"/>
      <c r="AD242" s="143"/>
      <c r="AE242" s="1547"/>
      <c r="AF242" s="143"/>
      <c r="AG242" s="143"/>
      <c r="AH242" s="143"/>
      <c r="AI242" s="143"/>
      <c r="AJ242" s="143"/>
      <c r="AK242" s="143"/>
      <c r="AL242" s="143"/>
      <c r="AM242" s="143"/>
      <c r="AN242" s="143"/>
      <c r="AO242" s="143"/>
      <c r="AP242" s="143"/>
      <c r="AQ242" s="143"/>
      <c r="AR242" s="143"/>
    </row>
    <row r="243" spans="1:51" ht="15" customHeight="1" thickBot="1">
      <c r="A243" s="206"/>
      <c r="G243" s="4"/>
      <c r="H243" s="4"/>
      <c r="I243" s="4"/>
      <c r="O243" s="170"/>
      <c r="Y243" s="143"/>
      <c r="Z243" s="1570"/>
      <c r="AB243" s="1547"/>
      <c r="AD243" s="143"/>
      <c r="AE243" s="1547"/>
      <c r="AF243" s="143"/>
      <c r="AG243" s="143"/>
      <c r="AH243" s="143"/>
      <c r="AI243" s="143"/>
      <c r="AJ243" s="143"/>
      <c r="AK243" s="143"/>
      <c r="AL243" s="143"/>
      <c r="AM243" s="143"/>
      <c r="AN243" s="143"/>
      <c r="AO243" s="143"/>
      <c r="AP243" s="143"/>
      <c r="AQ243" s="143"/>
      <c r="AR243" s="143"/>
    </row>
    <row r="244" spans="1:51" ht="15" customHeight="1">
      <c r="A244" s="206"/>
      <c r="D244" s="1717"/>
      <c r="E244" s="1718"/>
      <c r="F244" s="1718"/>
      <c r="G244" s="1706"/>
      <c r="H244" s="1706"/>
      <c r="I244" s="1706"/>
      <c r="J244" s="1718"/>
      <c r="K244" s="1718"/>
      <c r="L244" s="1708" t="s">
        <v>792</v>
      </c>
      <c r="M244" s="1718"/>
      <c r="N244" s="1718"/>
      <c r="O244" s="1718"/>
      <c r="P244" s="1718"/>
      <c r="Q244" s="1718"/>
      <c r="R244" s="1718"/>
      <c r="S244" s="1708"/>
      <c r="T244" s="1718"/>
      <c r="U244" s="1718"/>
      <c r="V244" s="1706"/>
      <c r="W244" s="1706"/>
      <c r="X244" s="1706"/>
      <c r="Y244" s="1718"/>
      <c r="Z244" s="1718"/>
      <c r="AA244" s="1718"/>
      <c r="AB244" s="1719"/>
      <c r="AC244" s="2278" t="s">
        <v>793</v>
      </c>
      <c r="AD244" s="2279"/>
      <c r="AE244" s="2279"/>
      <c r="AF244" s="2279"/>
      <c r="AG244" s="2279"/>
      <c r="AH244" s="2279"/>
      <c r="AI244" s="2279"/>
      <c r="AJ244" s="2279"/>
      <c r="AK244" s="2280"/>
      <c r="AL244" s="143"/>
      <c r="AM244" s="143"/>
      <c r="AN244" s="143"/>
      <c r="AO244" s="143"/>
      <c r="AP244" s="143"/>
      <c r="AQ244" s="143"/>
      <c r="AR244" s="143"/>
    </row>
    <row r="245" spans="1:51" ht="15" customHeight="1">
      <c r="A245" s="206"/>
      <c r="D245" s="46"/>
      <c r="E245" s="1714"/>
      <c r="F245" s="1709" t="s">
        <v>794</v>
      </c>
      <c r="G245" s="1707"/>
      <c r="H245" s="1707"/>
      <c r="I245" s="1707"/>
      <c r="J245" s="1714"/>
      <c r="K245" s="1714"/>
      <c r="L245" s="1714"/>
      <c r="M245" s="1714"/>
      <c r="N245" s="1714"/>
      <c r="O245" s="1714"/>
      <c r="P245" s="1714"/>
      <c r="Q245" s="1720"/>
      <c r="R245" s="1714"/>
      <c r="S245" s="1715" t="s">
        <v>795</v>
      </c>
      <c r="T245" s="1714"/>
      <c r="U245" s="1714"/>
      <c r="V245" s="1716"/>
      <c r="W245" s="1716"/>
      <c r="X245" s="1716"/>
      <c r="Y245" s="1714"/>
      <c r="Z245" s="1714"/>
      <c r="AA245" s="1714"/>
      <c r="AB245" s="1714"/>
      <c r="AC245" s="2281"/>
      <c r="AD245" s="2282"/>
      <c r="AE245" s="2282"/>
      <c r="AF245" s="2282"/>
      <c r="AG245" s="2282"/>
      <c r="AH245" s="2282"/>
      <c r="AI245" s="2282"/>
      <c r="AJ245" s="2282"/>
      <c r="AK245" s="2283"/>
      <c r="AL245" s="143"/>
      <c r="AM245" s="143"/>
      <c r="AN245" s="143"/>
      <c r="AO245" s="143"/>
      <c r="AP245" s="143"/>
      <c r="AQ245" s="143"/>
      <c r="AR245" s="143"/>
    </row>
    <row r="246" spans="1:51" ht="15" customHeight="1">
      <c r="A246" s="206"/>
      <c r="D246" s="428"/>
      <c r="E246" s="170"/>
      <c r="F246" s="1711" t="s">
        <v>798</v>
      </c>
      <c r="G246" s="1712"/>
      <c r="H246" s="1712"/>
      <c r="I246" s="1712"/>
      <c r="J246" s="170"/>
      <c r="K246" s="170"/>
      <c r="L246" s="170"/>
      <c r="M246" s="170"/>
      <c r="N246" s="170"/>
      <c r="O246" s="170"/>
      <c r="P246" s="170"/>
      <c r="Q246" s="1721"/>
      <c r="R246" s="170"/>
      <c r="S246" s="1711" t="s">
        <v>797</v>
      </c>
      <c r="T246" s="170"/>
      <c r="U246" s="170"/>
      <c r="V246" s="1712"/>
      <c r="W246" s="1712"/>
      <c r="X246" s="1712"/>
      <c r="Y246" s="170"/>
      <c r="Z246" s="170"/>
      <c r="AA246" s="170"/>
      <c r="AB246" s="170"/>
      <c r="AC246" s="1210"/>
      <c r="AD246" s="1711" t="s">
        <v>796</v>
      </c>
      <c r="AE246" s="170"/>
      <c r="AF246" s="170"/>
      <c r="AG246" s="170"/>
      <c r="AH246" s="1711"/>
      <c r="AI246" s="1712"/>
      <c r="AJ246" s="1712"/>
      <c r="AK246" s="1132"/>
      <c r="AL246" s="143"/>
      <c r="AM246" s="143"/>
      <c r="AN246" s="143"/>
      <c r="AO246" s="143"/>
      <c r="AP246" s="143"/>
      <c r="AQ246" s="143"/>
      <c r="AR246" s="143"/>
    </row>
    <row r="247" spans="1:51" ht="15" customHeight="1">
      <c r="A247" s="206"/>
      <c r="D247" s="428"/>
      <c r="E247" s="170"/>
      <c r="F247" s="1569" t="s">
        <v>1714</v>
      </c>
      <c r="G247" s="1283"/>
      <c r="H247" s="1283"/>
      <c r="I247" s="1283"/>
      <c r="J247" s="170"/>
      <c r="K247" s="170"/>
      <c r="L247" s="170"/>
      <c r="M247" s="170"/>
      <c r="N247" s="170"/>
      <c r="O247" s="170"/>
      <c r="P247" s="170"/>
      <c r="Q247" s="1721"/>
      <c r="R247" s="170"/>
      <c r="S247" s="1569" t="s">
        <v>1715</v>
      </c>
      <c r="T247" s="170"/>
      <c r="U247" s="170"/>
      <c r="V247" s="1283"/>
      <c r="W247" s="1283"/>
      <c r="X247" s="1283"/>
      <c r="Y247" s="170"/>
      <c r="Z247" s="170"/>
      <c r="AA247" s="170"/>
      <c r="AB247" s="170"/>
      <c r="AC247" s="1210"/>
      <c r="AD247" s="1569" t="s">
        <v>1716</v>
      </c>
      <c r="AE247" s="170"/>
      <c r="AF247" s="170"/>
      <c r="AG247" s="170"/>
      <c r="AH247" s="1569"/>
      <c r="AI247" s="1283"/>
      <c r="AJ247" s="1283"/>
      <c r="AK247" s="1132"/>
      <c r="AL247" s="143"/>
      <c r="AM247" s="143"/>
      <c r="AN247" s="143"/>
      <c r="AO247" s="143"/>
      <c r="AP247" s="143"/>
      <c r="AQ247" s="143"/>
      <c r="AR247" s="143"/>
    </row>
    <row r="248" spans="1:51" ht="15" customHeight="1" thickBot="1">
      <c r="A248" s="206"/>
      <c r="D248" s="319"/>
      <c r="E248" s="321"/>
      <c r="F248" s="1544"/>
      <c r="G248" s="1687"/>
      <c r="H248" s="1687"/>
      <c r="I248" s="1687"/>
      <c r="J248" s="321"/>
      <c r="K248" s="321"/>
      <c r="L248" s="321"/>
      <c r="M248" s="321"/>
      <c r="N248" s="321"/>
      <c r="O248" s="321"/>
      <c r="P248" s="321"/>
      <c r="Q248" s="1722"/>
      <c r="R248" s="321"/>
      <c r="S248" s="1688"/>
      <c r="T248" s="321"/>
      <c r="U248" s="321"/>
      <c r="V248" s="1688"/>
      <c r="W248" s="1688"/>
      <c r="X248" s="1688"/>
      <c r="Y248" s="321"/>
      <c r="Z248" s="321"/>
      <c r="AA248" s="321"/>
      <c r="AB248" s="321"/>
      <c r="AC248" s="1713"/>
      <c r="AD248" s="1710"/>
      <c r="AE248" s="321"/>
      <c r="AF248" s="321"/>
      <c r="AG248" s="321"/>
      <c r="AH248" s="1710"/>
      <c r="AI248" s="321"/>
      <c r="AJ248" s="321"/>
      <c r="AK248" s="325"/>
      <c r="AL248" s="143"/>
      <c r="AM248" s="143"/>
      <c r="AN248" s="143"/>
      <c r="AO248" s="143"/>
      <c r="AP248" s="143"/>
      <c r="AQ248" s="143"/>
      <c r="AR248" s="143"/>
    </row>
    <row r="249" spans="1:51" ht="15" customHeight="1">
      <c r="A249" s="206"/>
      <c r="E249" s="1566"/>
      <c r="F249" s="1566"/>
      <c r="G249" s="1566"/>
      <c r="J249" s="1574"/>
      <c r="K249" s="1599"/>
      <c r="L249" s="1566"/>
      <c r="M249" s="1566"/>
      <c r="O249" s="170"/>
      <c r="P249" s="1566"/>
      <c r="Y249" s="143"/>
      <c r="AB249" s="143"/>
      <c r="AD249" s="143"/>
      <c r="AE249" s="143"/>
      <c r="AF249" s="143"/>
      <c r="AG249" s="143"/>
      <c r="AH249" s="143"/>
      <c r="AI249" s="143"/>
      <c r="AJ249" s="143"/>
      <c r="AK249" s="143"/>
      <c r="AL249" s="143"/>
      <c r="AM249" s="143"/>
      <c r="AN249" s="143"/>
      <c r="AO249" s="143"/>
      <c r="AP249" s="143"/>
      <c r="AQ249" s="143"/>
      <c r="AR249" s="143"/>
    </row>
    <row r="250" spans="1:51" ht="15" customHeight="1">
      <c r="A250" s="206"/>
      <c r="H250" s="1574"/>
      <c r="I250" s="1599"/>
      <c r="J250" s="1566"/>
      <c r="K250" s="1566"/>
      <c r="L250" s="1566"/>
      <c r="M250" s="1566"/>
      <c r="O250" s="170"/>
      <c r="Y250" s="143"/>
      <c r="Z250" s="1570"/>
      <c r="AB250" s="1547"/>
      <c r="AD250" s="143"/>
      <c r="AE250" s="1547"/>
      <c r="AF250" s="143"/>
      <c r="AG250" s="143"/>
      <c r="AH250" s="143"/>
      <c r="AI250" s="143"/>
      <c r="AJ250" s="143"/>
      <c r="AK250" s="143"/>
      <c r="AL250" s="143"/>
      <c r="AM250" s="143"/>
      <c r="AN250" s="143"/>
      <c r="AO250" s="143"/>
      <c r="AP250" s="143"/>
      <c r="AQ250" s="143"/>
      <c r="AR250" s="143"/>
    </row>
    <row r="251" spans="1:51" ht="15" customHeight="1">
      <c r="A251" s="206"/>
      <c r="B251" s="95" t="s">
        <v>799</v>
      </c>
      <c r="G251" s="4"/>
      <c r="H251" s="4"/>
      <c r="I251" s="4"/>
      <c r="O251" s="170"/>
      <c r="Y251" s="143"/>
      <c r="Z251" s="1570"/>
      <c r="AB251" s="1547"/>
      <c r="AD251" s="143"/>
      <c r="AE251" s="1547"/>
      <c r="AF251" s="143"/>
      <c r="AG251" s="143"/>
      <c r="AH251" s="143"/>
      <c r="AI251" s="143"/>
      <c r="AJ251" s="143"/>
      <c r="AK251" s="143"/>
      <c r="AL251" s="143"/>
      <c r="AM251" s="143"/>
      <c r="AN251" s="143"/>
      <c r="AO251" s="143"/>
      <c r="AP251" s="143"/>
      <c r="AQ251" s="143"/>
      <c r="AR251" s="143"/>
    </row>
    <row r="252" spans="1:51" ht="15" customHeight="1">
      <c r="A252" s="206"/>
      <c r="B252" s="95"/>
      <c r="C252" s="143" t="s">
        <v>3055</v>
      </c>
      <c r="G252" s="4"/>
      <c r="H252" s="4"/>
      <c r="I252" s="4"/>
      <c r="O252" s="170"/>
      <c r="Y252" s="143"/>
      <c r="Z252" s="1570"/>
      <c r="AB252" s="1547"/>
      <c r="AD252" s="143"/>
      <c r="AE252" s="1547"/>
      <c r="AF252" s="143"/>
      <c r="AG252" s="143"/>
      <c r="AH252" s="143"/>
      <c r="AI252" s="143"/>
      <c r="AJ252" s="143"/>
      <c r="AK252" s="143"/>
      <c r="AL252" s="143"/>
      <c r="AM252" s="143"/>
      <c r="AN252" s="143"/>
      <c r="AO252" s="143"/>
      <c r="AP252" s="143"/>
      <c r="AQ252" s="143"/>
      <c r="AR252" s="143"/>
    </row>
    <row r="253" spans="1:51" ht="15" customHeight="1">
      <c r="A253" s="206"/>
      <c r="B253" s="95"/>
      <c r="G253" s="4"/>
      <c r="H253" s="4"/>
      <c r="I253" s="4"/>
      <c r="O253" s="170"/>
      <c r="Y253" s="143"/>
      <c r="Z253" s="1570"/>
      <c r="AB253" s="1547"/>
      <c r="AD253" s="143"/>
      <c r="AE253" s="1547"/>
      <c r="AF253" s="143"/>
      <c r="AG253" s="143"/>
      <c r="AH253" s="143"/>
      <c r="AI253" s="143"/>
      <c r="AJ253" s="143"/>
      <c r="AK253" s="143"/>
      <c r="AL253" s="143"/>
      <c r="AM253" s="143"/>
      <c r="AN253" s="143"/>
      <c r="AO253" s="143"/>
      <c r="AP253" s="143"/>
      <c r="AQ253" s="143"/>
      <c r="AR253" s="143"/>
    </row>
    <row r="254" spans="1:51" ht="15" customHeight="1">
      <c r="A254" s="139"/>
      <c r="B254" s="1689" t="s">
        <v>421</v>
      </c>
      <c r="C254" s="95"/>
      <c r="D254" s="1690"/>
      <c r="E254" s="1691"/>
      <c r="F254" s="1678"/>
      <c r="H254" s="4"/>
      <c r="I254" s="4"/>
      <c r="O254" s="170"/>
      <c r="Y254" s="143"/>
      <c r="Z254" s="1570"/>
      <c r="AA254" s="137"/>
      <c r="AB254" s="1547"/>
      <c r="AD254" s="143"/>
      <c r="AE254" s="1547"/>
      <c r="AF254" s="143"/>
      <c r="AG254" s="143"/>
      <c r="AH254" s="143"/>
      <c r="AI254" s="143"/>
      <c r="AJ254" s="143"/>
      <c r="AK254" s="143"/>
      <c r="AL254" s="143"/>
      <c r="AM254" s="143"/>
      <c r="AN254" s="143"/>
      <c r="AO254" s="143"/>
      <c r="AP254" s="143"/>
      <c r="AQ254" s="143"/>
      <c r="AR254" s="143"/>
    </row>
    <row r="255" spans="1:51" ht="15" customHeight="1">
      <c r="B255" s="138"/>
      <c r="C255" s="95"/>
      <c r="E255" s="1678"/>
      <c r="G255" s="4"/>
      <c r="H255" s="4"/>
      <c r="I255" s="4"/>
      <c r="O255" s="170"/>
      <c r="Y255" s="143"/>
      <c r="Z255" s="1570"/>
      <c r="AB255" s="1547"/>
      <c r="AD255" s="143"/>
      <c r="AE255" s="1547"/>
      <c r="AF255" s="143"/>
      <c r="AG255" s="143"/>
      <c r="AH255" s="143"/>
      <c r="AI255" s="143"/>
      <c r="AJ255" s="143"/>
      <c r="AK255" s="143"/>
      <c r="AL255" s="143"/>
      <c r="AM255" s="143"/>
      <c r="AN255" s="143"/>
      <c r="AO255" s="143"/>
      <c r="AP255" s="143"/>
      <c r="AQ255" s="143"/>
      <c r="AR255" s="143"/>
    </row>
    <row r="256" spans="1:51" ht="20.100000000000001" customHeight="1">
      <c r="C256" s="1667" t="s">
        <v>269</v>
      </c>
      <c r="D256" s="1667"/>
      <c r="E256" s="1667"/>
      <c r="F256" s="1667"/>
      <c r="G256" s="1667"/>
      <c r="H256" s="1667"/>
      <c r="I256" s="1667"/>
      <c r="J256" s="1667"/>
      <c r="K256" s="1667"/>
      <c r="L256" s="1667"/>
      <c r="M256" s="1667"/>
      <c r="N256" s="1667"/>
      <c r="O256" s="1667"/>
      <c r="P256" s="1667"/>
      <c r="Q256" s="1667"/>
      <c r="R256" s="1667"/>
      <c r="S256" s="1667"/>
      <c r="T256" s="1667"/>
      <c r="U256" s="1667"/>
      <c r="V256" s="1667"/>
      <c r="W256" s="1692" t="s">
        <v>270</v>
      </c>
      <c r="X256" s="1667"/>
      <c r="Y256" s="1667"/>
      <c r="Z256" s="1667"/>
      <c r="AA256" s="1667"/>
      <c r="AB256" s="1667"/>
      <c r="AC256" s="1667"/>
      <c r="AD256" s="1667"/>
      <c r="AE256" s="1667"/>
      <c r="AF256" s="1667"/>
      <c r="AG256" s="1667"/>
      <c r="AH256" s="1667"/>
      <c r="AI256" s="1667"/>
      <c r="AJ256" s="1667"/>
      <c r="AK256" s="1667"/>
      <c r="AL256" s="143"/>
      <c r="AM256" s="143"/>
      <c r="AN256" s="143"/>
      <c r="AO256" s="143"/>
      <c r="AP256" s="143"/>
      <c r="AQ256" s="143"/>
      <c r="AR256" s="143"/>
    </row>
    <row r="257" spans="1:73" ht="20.100000000000001" customHeight="1">
      <c r="C257" s="1693" t="s">
        <v>719</v>
      </c>
      <c r="L257" s="143"/>
      <c r="W257" s="1693" t="s">
        <v>720</v>
      </c>
      <c r="Y257" s="143"/>
      <c r="Z257" s="1547"/>
      <c r="AB257" s="1547"/>
      <c r="AD257" s="143"/>
      <c r="AE257" s="1547"/>
      <c r="AF257" s="143"/>
      <c r="AG257" s="143"/>
      <c r="AH257" s="143"/>
      <c r="AI257" s="143"/>
      <c r="AJ257" s="143"/>
      <c r="AK257" s="143"/>
      <c r="AL257" s="143"/>
      <c r="AM257" s="143"/>
      <c r="AN257" s="143"/>
      <c r="AO257" s="143"/>
      <c r="AP257" s="143"/>
      <c r="AQ257" s="143"/>
      <c r="AR257" s="143"/>
    </row>
    <row r="258" spans="1:73" ht="20.100000000000001" customHeight="1">
      <c r="C258" s="143" t="s">
        <v>271</v>
      </c>
      <c r="H258" s="1694"/>
      <c r="I258" s="1694"/>
      <c r="J258" s="143" t="s">
        <v>453</v>
      </c>
      <c r="K258" s="1694"/>
      <c r="L258" s="1694"/>
      <c r="M258" s="1694"/>
      <c r="N258" s="1694"/>
      <c r="O258" s="1694"/>
      <c r="P258" s="1694"/>
      <c r="Q258" s="1694"/>
      <c r="R258" s="1694"/>
      <c r="S258" s="1694"/>
      <c r="T258" s="1694"/>
      <c r="U258" s="1694"/>
      <c r="V258" s="1694"/>
      <c r="W258" s="2121" t="s">
        <v>3056</v>
      </c>
      <c r="X258" s="2121"/>
      <c r="Y258" s="2121"/>
      <c r="Z258" s="2121"/>
      <c r="AA258" s="2121"/>
      <c r="AB258" s="2121"/>
      <c r="AC258" s="2121"/>
      <c r="AD258" s="2121"/>
      <c r="AE258" s="2121"/>
      <c r="AF258" s="2121"/>
      <c r="AG258" s="2121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</row>
    <row r="259" spans="1:73" ht="20.100000000000001" customHeight="1">
      <c r="C259" s="1333" t="s">
        <v>273</v>
      </c>
      <c r="D259" s="1333"/>
      <c r="E259" s="1333"/>
      <c r="F259" s="1333"/>
      <c r="G259" s="1333"/>
      <c r="H259" s="1695"/>
      <c r="I259" s="1695"/>
      <c r="J259" s="1333" t="s">
        <v>274</v>
      </c>
      <c r="K259" s="1695"/>
      <c r="L259" s="1695"/>
      <c r="M259" s="1695"/>
      <c r="N259" s="1695"/>
      <c r="O259" s="1695"/>
      <c r="P259" s="1695"/>
      <c r="Q259" s="1695"/>
      <c r="R259" s="1695"/>
      <c r="S259" s="1695"/>
      <c r="T259" s="1695"/>
      <c r="U259" s="1695"/>
      <c r="V259" s="1695"/>
      <c r="W259" s="2130"/>
      <c r="X259" s="2130"/>
      <c r="Y259" s="2130"/>
      <c r="Z259" s="2130"/>
      <c r="AA259" s="2130"/>
      <c r="AB259" s="2130"/>
      <c r="AC259" s="2130"/>
      <c r="AD259" s="2130"/>
      <c r="AE259" s="2130"/>
      <c r="AF259" s="2130"/>
      <c r="AG259" s="2130"/>
      <c r="AH259" s="1333"/>
      <c r="AI259" s="1333"/>
      <c r="AJ259" s="1333"/>
      <c r="AK259" s="1333"/>
      <c r="AL259" s="143"/>
      <c r="AM259" s="143"/>
      <c r="AN259" s="143"/>
      <c r="AO259" s="143"/>
      <c r="AP259" s="143"/>
      <c r="AQ259" s="143"/>
      <c r="AR259" s="143"/>
    </row>
    <row r="260" spans="1:73" ht="15" customHeight="1">
      <c r="E260" s="1570" t="s">
        <v>3099</v>
      </c>
      <c r="G260" s="138" t="s">
        <v>324</v>
      </c>
      <c r="H260" s="1694"/>
      <c r="I260" s="1570" t="s">
        <v>3100</v>
      </c>
      <c r="L260" s="143"/>
      <c r="M260" s="1547"/>
      <c r="O260" s="170"/>
      <c r="P260" s="52"/>
      <c r="Y260" s="143"/>
      <c r="Z260" s="1570"/>
      <c r="AB260" s="1547"/>
      <c r="AD260" s="143"/>
      <c r="AE260" s="1547"/>
      <c r="AF260" s="143"/>
      <c r="AG260" s="143"/>
      <c r="AH260" s="143"/>
      <c r="AI260" s="143"/>
      <c r="AJ260" s="143"/>
      <c r="AK260" s="143"/>
      <c r="AL260" s="143"/>
      <c r="AM260" s="143"/>
      <c r="AN260" s="143"/>
      <c r="AO260" s="143"/>
      <c r="AP260" s="143"/>
      <c r="AQ260" s="143"/>
      <c r="AR260" s="143"/>
    </row>
    <row r="261" spans="1:73" ht="15" customHeight="1">
      <c r="E261" s="1702" t="s">
        <v>3101</v>
      </c>
      <c r="G261" s="138" t="s">
        <v>324</v>
      </c>
      <c r="I261" s="218" t="s">
        <v>3102</v>
      </c>
      <c r="L261" s="143"/>
      <c r="M261" s="1547"/>
      <c r="O261" s="170"/>
      <c r="P261" s="52"/>
      <c r="Y261" s="143"/>
      <c r="Z261" s="1570"/>
      <c r="AB261" s="1547"/>
      <c r="AD261" s="143"/>
      <c r="AE261" s="1547"/>
      <c r="AF261" s="143"/>
      <c r="AG261" s="143"/>
      <c r="AH261" s="143"/>
      <c r="AI261" s="143"/>
      <c r="AJ261" s="143"/>
      <c r="AK261" s="143"/>
      <c r="AL261" s="143"/>
      <c r="AM261" s="143"/>
      <c r="AN261" s="143"/>
      <c r="AO261" s="143"/>
      <c r="AP261" s="143"/>
      <c r="AQ261" s="143"/>
      <c r="AR261" s="143"/>
    </row>
    <row r="262" spans="1:73" ht="15" customHeight="1">
      <c r="E262" s="143" t="s">
        <v>400</v>
      </c>
      <c r="G262" s="138" t="s">
        <v>324</v>
      </c>
      <c r="I262" s="143" t="s">
        <v>402</v>
      </c>
      <c r="O262" s="170"/>
      <c r="P262" s="52"/>
      <c r="Y262" s="143"/>
      <c r="Z262" s="1570"/>
      <c r="AB262" s="1547"/>
      <c r="AD262" s="143"/>
      <c r="AE262" s="1547"/>
      <c r="AF262" s="143"/>
      <c r="AG262" s="143"/>
      <c r="AH262" s="143"/>
      <c r="AI262" s="143"/>
      <c r="AJ262" s="143"/>
      <c r="AK262" s="143"/>
      <c r="AL262" s="143"/>
      <c r="AM262" s="143"/>
      <c r="AN262" s="143"/>
      <c r="AO262" s="143"/>
      <c r="AP262" s="143"/>
      <c r="AQ262" s="143"/>
      <c r="AR262" s="143"/>
    </row>
    <row r="263" spans="1:73" ht="15" customHeight="1">
      <c r="A263" s="139"/>
      <c r="B263" s="138"/>
      <c r="C263" s="218"/>
      <c r="E263" s="143" t="s">
        <v>976</v>
      </c>
      <c r="G263" s="138" t="s">
        <v>324</v>
      </c>
      <c r="H263" s="4"/>
      <c r="I263" s="143" t="s">
        <v>403</v>
      </c>
      <c r="O263" s="170"/>
      <c r="U263" s="1547"/>
      <c r="Y263" s="143"/>
      <c r="Z263" s="1570"/>
      <c r="AB263" s="1547"/>
      <c r="AD263" s="143"/>
      <c r="AE263" s="1547"/>
      <c r="AF263" s="143"/>
      <c r="AG263" s="143"/>
      <c r="AH263" s="143"/>
      <c r="AI263" s="143"/>
      <c r="AJ263" s="143"/>
      <c r="AK263" s="143"/>
      <c r="AL263" s="143"/>
      <c r="AM263" s="143"/>
      <c r="AN263" s="143"/>
      <c r="AO263" s="143"/>
      <c r="AP263" s="143"/>
      <c r="AQ263" s="143"/>
      <c r="AR263" s="143"/>
    </row>
    <row r="264" spans="1:73" ht="15" customHeight="1">
      <c r="A264" s="139"/>
      <c r="B264" s="138"/>
      <c r="C264" s="95"/>
      <c r="O264" s="170"/>
      <c r="U264" s="1547"/>
      <c r="Y264" s="143"/>
      <c r="Z264" s="1570"/>
      <c r="AB264" s="1547"/>
      <c r="AD264" s="143"/>
      <c r="AE264" s="1547"/>
      <c r="AF264" s="143"/>
      <c r="AG264" s="143"/>
      <c r="AH264" s="143"/>
      <c r="AI264" s="143"/>
      <c r="AJ264" s="143"/>
      <c r="AK264" s="143"/>
      <c r="AL264" s="143"/>
      <c r="AM264" s="143"/>
      <c r="AN264" s="143"/>
      <c r="AO264" s="143"/>
      <c r="AP264" s="143"/>
      <c r="AQ264" s="143"/>
      <c r="AR264" s="143"/>
    </row>
    <row r="265" spans="1:73" ht="15" customHeight="1">
      <c r="C265" s="1177" t="s">
        <v>2466</v>
      </c>
      <c r="D265" s="143" t="s">
        <v>275</v>
      </c>
      <c r="F265" s="95"/>
      <c r="K265" s="136"/>
      <c r="O265" s="170"/>
      <c r="U265" s="1547"/>
      <c r="Y265" s="143"/>
      <c r="Z265" s="1570"/>
      <c r="AB265" s="1547"/>
      <c r="AD265" s="143"/>
      <c r="AE265" s="1547"/>
      <c r="AF265" s="143"/>
      <c r="AG265" s="143"/>
      <c r="AH265" s="143"/>
      <c r="AI265" s="143"/>
      <c r="AJ265" s="143"/>
      <c r="AK265" s="143"/>
      <c r="AL265" s="143"/>
      <c r="AM265" s="143"/>
      <c r="AN265" s="143"/>
      <c r="AO265" s="143"/>
      <c r="AP265" s="143"/>
      <c r="AQ265" s="143"/>
      <c r="AR265" s="1674" t="s">
        <v>3057</v>
      </c>
    </row>
    <row r="266" spans="1:73" ht="20.100000000000001" customHeight="1">
      <c r="C266" s="139"/>
      <c r="D266" s="1242" t="s">
        <v>134</v>
      </c>
      <c r="E266" s="1667"/>
      <c r="F266" s="1667"/>
      <c r="G266" s="1667"/>
      <c r="H266" s="1667"/>
      <c r="I266" s="1667"/>
      <c r="J266" s="1667"/>
      <c r="K266" s="1667"/>
      <c r="L266" s="1667"/>
      <c r="M266" s="1667"/>
      <c r="N266" s="1667"/>
      <c r="O266" s="1667"/>
      <c r="P266" s="1667"/>
      <c r="Q266" s="1667"/>
      <c r="R266" s="1667"/>
      <c r="S266" s="1667"/>
      <c r="T266" s="1667"/>
      <c r="U266" s="1667"/>
      <c r="V266" s="1667"/>
      <c r="W266" s="1242" t="s">
        <v>236</v>
      </c>
      <c r="X266" s="1667"/>
      <c r="Y266" s="1696"/>
      <c r="Z266" s="1667"/>
      <c r="AA266" s="1667"/>
      <c r="AB266" s="1667"/>
      <c r="AC266" s="1667"/>
      <c r="AD266" s="1667"/>
      <c r="AE266" s="1667"/>
      <c r="AF266" s="1667"/>
      <c r="AG266" s="1667"/>
      <c r="AH266" s="1667"/>
      <c r="AI266" s="1667"/>
      <c r="AJ266" s="1667"/>
      <c r="AK266" s="1667"/>
      <c r="AL266" s="143"/>
      <c r="AM266" s="143"/>
      <c r="AN266" s="143"/>
      <c r="AO266" s="143"/>
      <c r="AP266" s="143"/>
      <c r="AQ266" s="143"/>
      <c r="AR266" s="143"/>
    </row>
    <row r="267" spans="1:73" ht="20.100000000000001" customHeight="1">
      <c r="C267" s="139"/>
      <c r="D267" s="143" t="s">
        <v>690</v>
      </c>
      <c r="L267" s="143"/>
      <c r="W267" s="2284">
        <v>1</v>
      </c>
      <c r="X267" s="2284"/>
      <c r="Y267" s="136"/>
      <c r="AB267" s="143"/>
      <c r="AD267" s="143"/>
      <c r="AE267" s="143"/>
      <c r="AF267" s="143"/>
      <c r="AG267" s="143"/>
      <c r="AH267" s="143"/>
      <c r="AI267" s="143"/>
      <c r="AJ267" s="143"/>
      <c r="AK267" s="143"/>
      <c r="AL267" s="143"/>
      <c r="AM267" s="143"/>
      <c r="AN267" s="143"/>
      <c r="AO267" s="143"/>
      <c r="AP267" s="143"/>
      <c r="AQ267" s="143"/>
      <c r="AR267" s="143"/>
    </row>
    <row r="268" spans="1:73" ht="20.100000000000001" customHeight="1">
      <c r="C268" s="139"/>
      <c r="D268" s="1333" t="s">
        <v>136</v>
      </c>
      <c r="E268" s="1333"/>
      <c r="F268" s="1333"/>
      <c r="G268" s="1333"/>
      <c r="H268" s="1333"/>
      <c r="I268" s="1333"/>
      <c r="J268" s="1333"/>
      <c r="K268" s="1333"/>
      <c r="L268" s="1333"/>
      <c r="M268" s="1333"/>
      <c r="N268" s="1333"/>
      <c r="O268" s="1333"/>
      <c r="P268" s="1333"/>
      <c r="Q268" s="1333"/>
      <c r="R268" s="1333"/>
      <c r="S268" s="1333"/>
      <c r="T268" s="1333"/>
      <c r="U268" s="1333"/>
      <c r="V268" s="1333"/>
      <c r="W268" s="1333" t="s">
        <v>1739</v>
      </c>
      <c r="X268" s="1333"/>
      <c r="Y268" s="1511"/>
      <c r="Z268" s="1333"/>
      <c r="AA268" s="1333"/>
      <c r="AB268" s="1333"/>
      <c r="AC268" s="1333"/>
      <c r="AD268" s="1333"/>
      <c r="AE268" s="1333"/>
      <c r="AF268" s="1333"/>
      <c r="AG268" s="1333"/>
      <c r="AH268" s="1333"/>
      <c r="AI268" s="1333"/>
      <c r="AJ268" s="1333"/>
      <c r="AK268" s="1333"/>
      <c r="AL268" s="143"/>
      <c r="AM268" s="143"/>
      <c r="AN268" s="143"/>
      <c r="AO268" s="143"/>
      <c r="AP268" s="143"/>
      <c r="AQ268" s="143"/>
      <c r="AR268" s="143"/>
    </row>
    <row r="269" spans="1:73" s="73" customFormat="1" ht="15" customHeight="1">
      <c r="A269" s="143"/>
      <c r="B269" s="143"/>
      <c r="D269" s="120"/>
      <c r="E269" s="1413" t="s">
        <v>687</v>
      </c>
      <c r="F269" s="143"/>
      <c r="G269" s="138" t="s">
        <v>324</v>
      </c>
      <c r="H269" s="143"/>
      <c r="I269" s="170" t="s">
        <v>2926</v>
      </c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70"/>
      <c r="U269" s="1539"/>
      <c r="V269" s="170"/>
      <c r="W269" s="143"/>
      <c r="X269" s="143"/>
      <c r="Y269" s="143"/>
      <c r="Z269" s="1570"/>
      <c r="AA269" s="143"/>
      <c r="AB269" s="1561"/>
      <c r="AC269" s="143"/>
      <c r="AE269" s="1561"/>
      <c r="AS269" s="1627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</row>
    <row r="270" spans="1:73" s="73" customFormat="1" ht="15" customHeight="1">
      <c r="B270" s="76"/>
      <c r="D270" s="120"/>
      <c r="E270" s="1540" t="s">
        <v>686</v>
      </c>
      <c r="F270" s="143"/>
      <c r="G270" s="138" t="s">
        <v>324</v>
      </c>
      <c r="H270" s="4"/>
      <c r="I270" s="1540" t="s">
        <v>2927</v>
      </c>
      <c r="J270" s="143"/>
      <c r="K270" s="143"/>
      <c r="L270" s="1547"/>
      <c r="M270" s="143"/>
      <c r="N270" s="143"/>
      <c r="O270" s="52"/>
      <c r="P270" s="170"/>
      <c r="Q270" s="170"/>
      <c r="R270" s="170"/>
      <c r="S270" s="143"/>
      <c r="T270" s="170"/>
      <c r="U270" s="1539"/>
      <c r="V270" s="170"/>
      <c r="W270" s="143"/>
      <c r="X270" s="143"/>
      <c r="Y270" s="143"/>
      <c r="Z270" s="1570"/>
      <c r="AA270" s="143"/>
      <c r="AB270" s="1561"/>
      <c r="AC270" s="143"/>
      <c r="AE270" s="1561"/>
      <c r="AS270" s="1627"/>
      <c r="AT270" s="143"/>
      <c r="AU270" s="143"/>
      <c r="AV270" s="143"/>
      <c r="AW270" s="143"/>
      <c r="AX270" s="143"/>
      <c r="AY270" s="143"/>
      <c r="AZ270" s="143"/>
      <c r="BA270" s="143"/>
      <c r="BB270" s="143"/>
      <c r="BC270" s="143"/>
      <c r="BD270" s="143"/>
      <c r="BE270" s="143"/>
      <c r="BF270" s="143"/>
      <c r="BG270" s="143"/>
      <c r="BH270" s="143"/>
      <c r="BI270" s="143"/>
      <c r="BJ270" s="143"/>
      <c r="BK270" s="143"/>
      <c r="BL270" s="143"/>
      <c r="BM270" s="143"/>
      <c r="BN270" s="143"/>
      <c r="BO270" s="143"/>
      <c r="BP270" s="143"/>
      <c r="BQ270" s="143"/>
      <c r="BR270" s="143"/>
      <c r="BS270" s="143"/>
      <c r="BT270" s="143"/>
      <c r="BU270" s="143"/>
    </row>
    <row r="271" spans="1:73" s="73" customFormat="1" ht="15" customHeight="1">
      <c r="B271" s="143"/>
      <c r="D271" s="120"/>
      <c r="E271" s="1413" t="s">
        <v>360</v>
      </c>
      <c r="F271" s="143"/>
      <c r="G271" s="138" t="s">
        <v>324</v>
      </c>
      <c r="H271" s="4"/>
      <c r="I271" s="170" t="s">
        <v>2769</v>
      </c>
      <c r="J271" s="143"/>
      <c r="K271" s="143"/>
      <c r="L271" s="1547"/>
      <c r="M271" s="143"/>
      <c r="N271" s="143"/>
      <c r="O271" s="52"/>
      <c r="P271" s="143"/>
      <c r="Q271" s="170"/>
      <c r="R271" s="170"/>
      <c r="S271" s="143"/>
      <c r="T271" s="170"/>
      <c r="U271" s="1539"/>
      <c r="V271" s="170"/>
      <c r="W271" s="143"/>
      <c r="X271" s="143"/>
      <c r="Y271" s="143"/>
      <c r="Z271" s="1570"/>
      <c r="AA271" s="143"/>
      <c r="AB271" s="1561"/>
      <c r="AC271" s="143"/>
      <c r="AE271" s="1561"/>
      <c r="AS271" s="1627"/>
      <c r="AT271" s="143"/>
      <c r="AU271" s="143"/>
      <c r="AV271" s="143"/>
      <c r="AW271" s="143"/>
      <c r="AX271" s="143"/>
      <c r="AY271" s="143"/>
      <c r="AZ271" s="143"/>
      <c r="BA271" s="143"/>
      <c r="BB271" s="143"/>
      <c r="BC271" s="143"/>
      <c r="BD271" s="143"/>
      <c r="BE271" s="143"/>
      <c r="BF271" s="143"/>
      <c r="BG271" s="143"/>
      <c r="BH271" s="143"/>
      <c r="BI271" s="143"/>
      <c r="BJ271" s="143"/>
      <c r="BK271" s="143"/>
      <c r="BL271" s="143"/>
      <c r="BM271" s="143"/>
      <c r="BN271" s="143"/>
      <c r="BO271" s="143"/>
      <c r="BP271" s="143"/>
      <c r="BQ271" s="143"/>
      <c r="BR271" s="143"/>
      <c r="BS271" s="143"/>
      <c r="BT271" s="143"/>
      <c r="BU271" s="143"/>
    </row>
    <row r="272" spans="1:73" s="73" customFormat="1" ht="15" customHeight="1">
      <c r="B272" s="143"/>
      <c r="D272" s="120"/>
      <c r="E272" s="170" t="s">
        <v>684</v>
      </c>
      <c r="F272" s="143"/>
      <c r="G272" s="138" t="s">
        <v>324</v>
      </c>
      <c r="H272" s="4"/>
      <c r="I272" s="170" t="s">
        <v>2928</v>
      </c>
      <c r="J272" s="143"/>
      <c r="K272" s="143"/>
      <c r="L272" s="1547"/>
      <c r="M272" s="143"/>
      <c r="N272" s="143"/>
      <c r="O272" s="143"/>
      <c r="P272" s="143"/>
      <c r="Q272" s="170"/>
      <c r="R272" s="170"/>
      <c r="S272" s="143"/>
      <c r="T272" s="170"/>
      <c r="U272" s="1539"/>
      <c r="V272" s="170"/>
      <c r="W272" s="143"/>
      <c r="X272" s="143"/>
      <c r="Y272" s="143"/>
      <c r="Z272" s="1570"/>
      <c r="AA272" s="143"/>
      <c r="AB272" s="1561"/>
      <c r="AC272" s="143"/>
      <c r="AE272" s="1561"/>
      <c r="AS272" s="1627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</row>
    <row r="273" spans="2:73" s="73" customFormat="1" ht="15" customHeight="1">
      <c r="B273" s="143"/>
      <c r="D273" s="120"/>
      <c r="E273" s="170" t="s">
        <v>685</v>
      </c>
      <c r="F273" s="143"/>
      <c r="G273" s="138" t="s">
        <v>324</v>
      </c>
      <c r="H273" s="4"/>
      <c r="I273" s="170" t="s">
        <v>2929</v>
      </c>
      <c r="J273" s="143"/>
      <c r="K273" s="143"/>
      <c r="L273" s="1547"/>
      <c r="M273" s="143"/>
      <c r="N273" s="143"/>
      <c r="O273" s="143"/>
      <c r="P273" s="143"/>
      <c r="Q273" s="170"/>
      <c r="R273" s="170"/>
      <c r="S273" s="143"/>
      <c r="T273" s="170"/>
      <c r="U273" s="1539"/>
      <c r="V273" s="170"/>
      <c r="W273" s="143"/>
      <c r="X273" s="143"/>
      <c r="Y273" s="143"/>
      <c r="Z273" s="1570"/>
      <c r="AA273" s="143"/>
      <c r="AB273" s="1561"/>
      <c r="AC273" s="143"/>
      <c r="AE273" s="1561"/>
      <c r="AS273" s="1627"/>
      <c r="AT273" s="143"/>
      <c r="AU273" s="143"/>
      <c r="AV273" s="143"/>
      <c r="AW273" s="143"/>
      <c r="AX273" s="143"/>
      <c r="AY273" s="143"/>
      <c r="AZ273" s="143"/>
      <c r="BA273" s="143"/>
      <c r="BB273" s="143"/>
      <c r="BC273" s="143"/>
      <c r="BD273" s="143"/>
      <c r="BE273" s="143"/>
      <c r="BF273" s="143"/>
      <c r="BG273" s="143"/>
      <c r="BH273" s="143"/>
      <c r="BI273" s="143"/>
      <c r="BJ273" s="143"/>
      <c r="BK273" s="143"/>
      <c r="BL273" s="143"/>
      <c r="BM273" s="143"/>
      <c r="BN273" s="143"/>
      <c r="BO273" s="143"/>
      <c r="BP273" s="143"/>
      <c r="BQ273" s="143"/>
      <c r="BR273" s="143"/>
      <c r="BS273" s="143"/>
      <c r="BT273" s="143"/>
      <c r="BU273" s="143"/>
    </row>
    <row r="274" spans="2:73" ht="15" customHeight="1">
      <c r="C274" s="95"/>
      <c r="E274" s="1678"/>
      <c r="H274" s="4"/>
      <c r="I274" s="4"/>
      <c r="O274" s="170"/>
      <c r="U274" s="1547"/>
      <c r="Y274" s="143"/>
      <c r="Z274" s="1570"/>
      <c r="AB274" s="1547"/>
      <c r="AD274" s="143"/>
      <c r="AE274" s="1547"/>
      <c r="AF274" s="143"/>
      <c r="AG274" s="143"/>
      <c r="AH274" s="143"/>
      <c r="AI274" s="143"/>
      <c r="AJ274" s="143"/>
      <c r="AK274" s="143"/>
      <c r="AL274" s="143"/>
      <c r="AM274" s="143"/>
      <c r="AN274" s="143"/>
      <c r="AO274" s="143"/>
      <c r="AP274" s="143"/>
      <c r="AQ274" s="143"/>
      <c r="AR274" s="143"/>
    </row>
    <row r="275" spans="2:73" ht="15" customHeight="1">
      <c r="C275" s="1177" t="s">
        <v>2466</v>
      </c>
      <c r="D275" s="143" t="s">
        <v>278</v>
      </c>
      <c r="I275" s="1694"/>
      <c r="L275" s="143"/>
      <c r="O275" s="170"/>
      <c r="U275" s="1547"/>
      <c r="Y275" s="143"/>
      <c r="Z275" s="1570"/>
      <c r="AB275" s="1547"/>
      <c r="AD275" s="143"/>
      <c r="AE275" s="1547"/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674" t="s">
        <v>3058</v>
      </c>
    </row>
    <row r="276" spans="2:73" ht="20.100000000000001" customHeight="1">
      <c r="D276" s="1242" t="s">
        <v>134</v>
      </c>
      <c r="E276" s="1667"/>
      <c r="F276" s="1667"/>
      <c r="G276" s="1667"/>
      <c r="H276" s="1667"/>
      <c r="I276" s="1692"/>
      <c r="J276" s="1667"/>
      <c r="K276" s="1667"/>
      <c r="L276" s="1667"/>
      <c r="M276" s="1667"/>
      <c r="N276" s="1667"/>
      <c r="O276" s="1667"/>
      <c r="P276" s="1667"/>
      <c r="Q276" s="1667"/>
      <c r="R276" s="1667"/>
      <c r="S276" s="1667"/>
      <c r="T276" s="1667"/>
      <c r="U276" s="1667"/>
      <c r="V276" s="1667"/>
      <c r="W276" s="1667" t="s">
        <v>114</v>
      </c>
      <c r="X276" s="1667"/>
      <c r="Y276" s="1667"/>
      <c r="Z276" s="1667"/>
      <c r="AA276" s="1667"/>
      <c r="AB276" s="1667"/>
      <c r="AC276" s="1667"/>
      <c r="AD276" s="1667"/>
      <c r="AE276" s="1667"/>
      <c r="AF276" s="1667"/>
      <c r="AG276" s="1667"/>
      <c r="AH276" s="1667"/>
      <c r="AI276" s="1667"/>
      <c r="AJ276" s="1667"/>
      <c r="AK276" s="1667"/>
      <c r="AL276" s="143"/>
      <c r="AM276" s="143"/>
      <c r="AN276" s="143"/>
      <c r="AO276" s="143"/>
      <c r="AP276" s="143"/>
      <c r="AQ276" s="143"/>
      <c r="AR276" s="143"/>
    </row>
    <row r="277" spans="2:73" ht="20.100000000000001" customHeight="1">
      <c r="D277" s="146" t="s">
        <v>2135</v>
      </c>
      <c r="E277" s="146"/>
      <c r="F277" s="146"/>
      <c r="G277" s="146"/>
      <c r="H277" s="146"/>
      <c r="I277" s="146"/>
      <c r="J277" s="146"/>
      <c r="K277" s="146"/>
      <c r="L277" s="146"/>
      <c r="M277" s="146" t="s">
        <v>276</v>
      </c>
      <c r="N277" s="146"/>
      <c r="O277" s="146"/>
      <c r="P277" s="146"/>
      <c r="Q277" s="146"/>
      <c r="R277" s="146"/>
      <c r="S277" s="146"/>
      <c r="T277" s="146"/>
      <c r="U277" s="146"/>
      <c r="V277" s="146"/>
      <c r="W277" s="2277">
        <v>1</v>
      </c>
      <c r="X277" s="2277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3"/>
      <c r="AM277" s="143"/>
      <c r="AN277" s="143"/>
      <c r="AO277" s="143"/>
      <c r="AP277" s="143"/>
      <c r="AQ277" s="143"/>
      <c r="AR277" s="143"/>
    </row>
    <row r="278" spans="2:73" ht="20.100000000000001" customHeight="1">
      <c r="D278" s="143" t="s">
        <v>1742</v>
      </c>
      <c r="L278" s="143"/>
      <c r="O278" s="170"/>
      <c r="U278" s="1547"/>
      <c r="W278" s="216"/>
      <c r="Y278" s="143"/>
      <c r="AB278" s="143"/>
      <c r="AD278" s="143"/>
      <c r="AE278" s="143"/>
      <c r="AF278" s="143"/>
      <c r="AG278" s="143"/>
      <c r="AH278" s="143"/>
      <c r="AI278" s="143"/>
      <c r="AJ278" s="143"/>
      <c r="AK278" s="143"/>
      <c r="AL278" s="143"/>
      <c r="AM278" s="143"/>
      <c r="AN278" s="143"/>
      <c r="AO278" s="143"/>
      <c r="AP278" s="143"/>
      <c r="AQ278" s="143"/>
      <c r="AR278" s="143"/>
    </row>
    <row r="279" spans="2:73" ht="20.100000000000001" customHeight="1">
      <c r="D279" s="143" t="s">
        <v>1743</v>
      </c>
      <c r="L279" s="143"/>
      <c r="M279" s="143" t="s">
        <v>276</v>
      </c>
      <c r="O279" s="170"/>
      <c r="U279" s="1547"/>
      <c r="W279" s="2219">
        <v>1</v>
      </c>
      <c r="X279" s="2219"/>
      <c r="Y279" s="143"/>
      <c r="AB279" s="143"/>
      <c r="AD279" s="143"/>
      <c r="AE279" s="143"/>
      <c r="AF279" s="143"/>
      <c r="AG279" s="143"/>
      <c r="AH279" s="143"/>
      <c r="AI279" s="143"/>
      <c r="AJ279" s="143"/>
      <c r="AK279" s="143"/>
      <c r="AL279" s="143"/>
      <c r="AM279" s="143"/>
      <c r="AN279" s="143"/>
      <c r="AO279" s="143"/>
      <c r="AP279" s="143"/>
      <c r="AQ279" s="143"/>
      <c r="AR279" s="143"/>
    </row>
    <row r="280" spans="2:73" ht="20.100000000000001" customHeight="1">
      <c r="D280" s="118" t="s">
        <v>1744</v>
      </c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697"/>
      <c r="X280" s="118"/>
      <c r="Y280" s="118"/>
      <c r="Z280" s="118"/>
      <c r="AA280" s="118"/>
      <c r="AB280" s="118"/>
      <c r="AC280" s="118"/>
      <c r="AD280" s="118"/>
      <c r="AE280" s="118"/>
      <c r="AF280" s="118"/>
      <c r="AG280" s="118"/>
      <c r="AH280" s="118"/>
      <c r="AI280" s="118"/>
      <c r="AJ280" s="118"/>
      <c r="AK280" s="118"/>
      <c r="AL280" s="143"/>
      <c r="AM280" s="143"/>
      <c r="AN280" s="143"/>
      <c r="AO280" s="143"/>
      <c r="AP280" s="143"/>
      <c r="AQ280" s="143"/>
      <c r="AR280" s="143"/>
    </row>
    <row r="281" spans="2:73" ht="20.100000000000001" customHeight="1">
      <c r="D281" s="110" t="s">
        <v>1745</v>
      </c>
      <c r="E281" s="110"/>
      <c r="F281" s="110"/>
      <c r="I281" s="110"/>
      <c r="J281" s="110"/>
      <c r="K281" s="110"/>
      <c r="L281" s="110"/>
      <c r="M281" s="110" t="s">
        <v>277</v>
      </c>
      <c r="N281" s="110"/>
      <c r="O281" s="110"/>
      <c r="P281" s="110"/>
      <c r="Q281" s="110"/>
      <c r="R281" s="110"/>
      <c r="S281" s="110"/>
      <c r="T281" s="110"/>
      <c r="U281" s="110"/>
      <c r="V281" s="110"/>
      <c r="W281" s="2276">
        <v>1</v>
      </c>
      <c r="X281" s="2276"/>
      <c r="Y281" s="110"/>
      <c r="Z281" s="110"/>
      <c r="AA281" s="110"/>
      <c r="AB281" s="110"/>
      <c r="AC281" s="110"/>
      <c r="AD281" s="110"/>
      <c r="AE281" s="110"/>
      <c r="AF281" s="110"/>
      <c r="AG281" s="110"/>
      <c r="AH281" s="110"/>
      <c r="AI281" s="110"/>
      <c r="AJ281" s="110"/>
      <c r="AK281" s="110"/>
      <c r="AL281" s="143"/>
      <c r="AM281" s="143"/>
      <c r="AN281" s="143"/>
      <c r="AO281" s="143"/>
      <c r="AP281" s="143"/>
      <c r="AQ281" s="143"/>
      <c r="AR281" s="143"/>
    </row>
    <row r="282" spans="2:73" ht="20.100000000000001" customHeight="1">
      <c r="D282" s="110" t="s">
        <v>1746</v>
      </c>
      <c r="E282" s="110"/>
      <c r="F282" s="110"/>
      <c r="G282" s="110"/>
      <c r="H282" s="110"/>
      <c r="I282" s="101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2276">
        <v>1</v>
      </c>
      <c r="X282" s="2276"/>
      <c r="Y282" s="110"/>
      <c r="Z282" s="110"/>
      <c r="AA282" s="110"/>
      <c r="AB282" s="110"/>
      <c r="AC282" s="110"/>
      <c r="AD282" s="110"/>
      <c r="AE282" s="110"/>
      <c r="AF282" s="110"/>
      <c r="AG282" s="110"/>
      <c r="AH282" s="110"/>
      <c r="AI282" s="110"/>
      <c r="AJ282" s="110"/>
      <c r="AK282" s="110"/>
      <c r="AL282" s="143"/>
      <c r="AM282" s="143"/>
      <c r="AN282" s="143"/>
      <c r="AO282" s="143"/>
      <c r="AP282" s="143"/>
      <c r="AQ282" s="143"/>
      <c r="AR282" s="143"/>
    </row>
    <row r="283" spans="2:73" ht="20.100000000000001" customHeight="1">
      <c r="D283" s="1698" t="s">
        <v>136</v>
      </c>
      <c r="E283" s="1698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 t="s">
        <v>3059</v>
      </c>
      <c r="X283" s="91"/>
      <c r="Y283" s="91"/>
      <c r="Z283" s="1698"/>
      <c r="AA283" s="91"/>
      <c r="AB283" s="1596"/>
      <c r="AC283" s="91"/>
      <c r="AD283" s="91"/>
      <c r="AE283" s="1596"/>
      <c r="AF283" s="91"/>
      <c r="AG283" s="91"/>
      <c r="AH283" s="91"/>
      <c r="AI283" s="91"/>
      <c r="AJ283" s="91"/>
      <c r="AK283" s="91"/>
      <c r="AL283" s="143"/>
      <c r="AM283" s="143"/>
      <c r="AN283" s="143"/>
      <c r="AO283" s="143"/>
      <c r="AP283" s="143"/>
      <c r="AQ283" s="143"/>
      <c r="AR283" s="143"/>
    </row>
    <row r="284" spans="2:73" ht="15" customHeight="1">
      <c r="D284" s="1570" t="s">
        <v>2136</v>
      </c>
      <c r="E284" s="1570"/>
      <c r="I284" s="1694"/>
      <c r="L284" s="143"/>
      <c r="O284" s="170"/>
      <c r="U284" s="1547"/>
      <c r="Y284" s="143"/>
      <c r="Z284" s="1570"/>
      <c r="AB284" s="1547"/>
      <c r="AD284" s="143"/>
      <c r="AE284" s="1547"/>
      <c r="AF284" s="143"/>
      <c r="AG284" s="143"/>
      <c r="AH284" s="143"/>
      <c r="AI284" s="143"/>
      <c r="AJ284" s="143"/>
      <c r="AK284" s="143"/>
      <c r="AL284" s="143"/>
      <c r="AM284" s="143"/>
      <c r="AN284" s="143"/>
      <c r="AO284" s="143"/>
      <c r="AP284" s="143"/>
      <c r="AQ284" s="143"/>
      <c r="AR284" s="143"/>
    </row>
    <row r="285" spans="2:73" ht="15" customHeight="1">
      <c r="C285" s="95"/>
      <c r="E285" s="1678"/>
      <c r="H285" s="4"/>
      <c r="I285" s="4"/>
      <c r="O285" s="170"/>
      <c r="U285" s="1547"/>
      <c r="Y285" s="143"/>
      <c r="Z285" s="1570"/>
      <c r="AB285" s="1547"/>
      <c r="AD285" s="143"/>
      <c r="AE285" s="1547"/>
      <c r="AF285" s="143"/>
      <c r="AG285" s="143"/>
      <c r="AH285" s="143"/>
      <c r="AI285" s="143"/>
      <c r="AJ285" s="143"/>
      <c r="AK285" s="143"/>
      <c r="AL285" s="143"/>
      <c r="AM285" s="143"/>
      <c r="AN285" s="143"/>
      <c r="AO285" s="143"/>
      <c r="AP285" s="143"/>
      <c r="AQ285" s="143"/>
      <c r="AR285" s="143"/>
    </row>
    <row r="286" spans="2:73" ht="15" customHeight="1">
      <c r="C286" s="1177" t="s">
        <v>2466</v>
      </c>
      <c r="D286" s="1333" t="s">
        <v>2144</v>
      </c>
      <c r="E286" s="1699"/>
      <c r="F286" s="1699"/>
      <c r="G286" s="1699"/>
      <c r="H286" s="1699"/>
      <c r="I286" s="1699"/>
      <c r="O286" s="170"/>
      <c r="Q286" s="1547"/>
      <c r="T286" s="1547"/>
      <c r="Y286" s="143"/>
      <c r="AB286" s="143"/>
      <c r="AD286" s="143"/>
      <c r="AE286" s="143"/>
      <c r="AF286" s="143"/>
      <c r="AG286" s="143"/>
      <c r="AH286" s="143"/>
      <c r="AI286" s="143"/>
      <c r="AJ286" s="143"/>
      <c r="AK286" s="143"/>
      <c r="AL286" s="143"/>
      <c r="AM286" s="143"/>
      <c r="AN286" s="143"/>
      <c r="AO286" s="143"/>
      <c r="AP286" s="143"/>
      <c r="AQ286" s="143"/>
      <c r="AR286" s="1674" t="s">
        <v>3060</v>
      </c>
    </row>
    <row r="287" spans="2:73" ht="20.100000000000001" customHeight="1">
      <c r="D287" s="1242" t="s">
        <v>134</v>
      </c>
      <c r="E287" s="1242"/>
      <c r="F287" s="1242"/>
      <c r="G287" s="1242"/>
      <c r="H287" s="1242"/>
      <c r="I287" s="1242"/>
      <c r="J287" s="1242"/>
      <c r="K287" s="1242"/>
      <c r="L287" s="1242"/>
      <c r="M287" s="1242"/>
      <c r="N287" s="1242"/>
      <c r="O287" s="1242"/>
      <c r="P287" s="1242"/>
      <c r="Q287" s="1242"/>
      <c r="R287" s="1242"/>
      <c r="S287" s="1242"/>
      <c r="T287" s="1242"/>
      <c r="U287" s="1242"/>
      <c r="V287" s="1242"/>
      <c r="W287" s="1242"/>
      <c r="X287" s="1242" t="s">
        <v>129</v>
      </c>
      <c r="Y287" s="1242"/>
      <c r="Z287" s="1242"/>
      <c r="AA287" s="1242"/>
      <c r="AB287" s="1242"/>
      <c r="AC287" s="1242"/>
      <c r="AD287" s="1242"/>
      <c r="AE287" s="1242"/>
      <c r="AF287" s="1242"/>
      <c r="AG287" s="1242"/>
      <c r="AH287" s="1242"/>
      <c r="AI287" s="1242"/>
      <c r="AJ287" s="1242"/>
      <c r="AK287" s="1242"/>
      <c r="AL287" s="143"/>
      <c r="AM287" s="143"/>
      <c r="AN287" s="143"/>
      <c r="AO287" s="143"/>
      <c r="AP287" s="143"/>
      <c r="AQ287" s="143"/>
      <c r="AR287" s="143"/>
    </row>
    <row r="288" spans="2:73" ht="15" customHeight="1">
      <c r="D288" s="143" t="s">
        <v>826</v>
      </c>
      <c r="E288" s="95"/>
      <c r="F288" s="95"/>
      <c r="G288" s="95"/>
      <c r="H288" s="95"/>
      <c r="O288" s="170"/>
      <c r="T288" s="1547"/>
      <c r="W288" s="95"/>
      <c r="X288" s="2114">
        <v>7.2</v>
      </c>
      <c r="Y288" s="2114"/>
      <c r="Z288" s="1443"/>
      <c r="AA288" s="1443"/>
      <c r="AB288" s="143"/>
      <c r="AD288" s="143"/>
      <c r="AE288" s="143"/>
      <c r="AF288" s="143"/>
      <c r="AG288" s="143"/>
      <c r="AH288" s="143"/>
      <c r="AI288" s="143"/>
      <c r="AJ288" s="143"/>
      <c r="AK288" s="143"/>
      <c r="AL288" s="143"/>
      <c r="AM288" s="143"/>
      <c r="AN288" s="143"/>
      <c r="AO288" s="143"/>
      <c r="AP288" s="143"/>
      <c r="AQ288" s="143"/>
      <c r="AR288" s="143"/>
    </row>
    <row r="289" spans="2:44" ht="15" customHeight="1">
      <c r="D289" s="143" t="s">
        <v>827</v>
      </c>
      <c r="E289" s="95"/>
      <c r="F289" s="95"/>
      <c r="G289" s="95"/>
      <c r="H289" s="95"/>
      <c r="O289" s="170"/>
      <c r="T289" s="1547"/>
      <c r="W289" s="95"/>
      <c r="X289" s="95"/>
      <c r="Y289" s="95"/>
      <c r="Z289" s="95"/>
      <c r="AA289" s="95"/>
      <c r="AB289" s="143"/>
      <c r="AD289" s="143"/>
      <c r="AE289" s="143"/>
      <c r="AF289" s="143"/>
      <c r="AG289" s="143"/>
      <c r="AH289" s="143"/>
      <c r="AI289" s="143"/>
      <c r="AJ289" s="143"/>
      <c r="AK289" s="143"/>
      <c r="AL289" s="143"/>
      <c r="AM289" s="143"/>
      <c r="AN289" s="143"/>
      <c r="AO289" s="143"/>
      <c r="AP289" s="143"/>
      <c r="AQ289" s="143"/>
      <c r="AR289" s="143"/>
    </row>
    <row r="290" spans="2:44" ht="15" customHeight="1">
      <c r="F290" s="143" t="s">
        <v>262</v>
      </c>
      <c r="O290" s="170"/>
      <c r="T290" s="1547"/>
      <c r="X290" s="143" t="s">
        <v>1748</v>
      </c>
      <c r="Y290" s="143"/>
      <c r="AB290" s="143"/>
      <c r="AD290" s="143"/>
      <c r="AE290" s="143"/>
      <c r="AF290" s="143"/>
      <c r="AG290" s="143"/>
      <c r="AH290" s="143"/>
      <c r="AI290" s="143"/>
      <c r="AJ290" s="143"/>
      <c r="AK290" s="143"/>
      <c r="AL290" s="143"/>
      <c r="AM290" s="143"/>
      <c r="AN290" s="143"/>
      <c r="AO290" s="143"/>
      <c r="AP290" s="143"/>
      <c r="AQ290" s="143"/>
      <c r="AR290" s="143"/>
    </row>
    <row r="291" spans="2:44" ht="15" customHeight="1">
      <c r="F291" s="143" t="s">
        <v>1704</v>
      </c>
      <c r="O291" s="170"/>
      <c r="X291" s="143" t="s">
        <v>1747</v>
      </c>
      <c r="Y291" s="143"/>
      <c r="AB291" s="143"/>
      <c r="AD291" s="143"/>
      <c r="AE291" s="143"/>
      <c r="AF291" s="143"/>
      <c r="AG291" s="143"/>
      <c r="AH291" s="143"/>
      <c r="AI291" s="143"/>
      <c r="AJ291" s="143"/>
      <c r="AK291" s="143"/>
      <c r="AL291" s="143"/>
      <c r="AM291" s="143"/>
      <c r="AN291" s="143"/>
      <c r="AO291" s="143"/>
      <c r="AP291" s="143"/>
      <c r="AQ291" s="143"/>
      <c r="AR291" s="143"/>
    </row>
    <row r="292" spans="2:44" ht="15" customHeight="1">
      <c r="D292" s="1333"/>
      <c r="E292" s="1333"/>
      <c r="F292" s="1333" t="s">
        <v>263</v>
      </c>
      <c r="G292" s="1333"/>
      <c r="H292" s="1333"/>
      <c r="I292" s="1333"/>
      <c r="J292" s="1333"/>
      <c r="K292" s="1333"/>
      <c r="L292" s="1554"/>
      <c r="M292" s="1333"/>
      <c r="N292" s="1333"/>
      <c r="O292" s="1333"/>
      <c r="P292" s="1333"/>
      <c r="Q292" s="1333"/>
      <c r="R292" s="1333"/>
      <c r="S292" s="1333"/>
      <c r="T292" s="1333"/>
      <c r="U292" s="1333"/>
      <c r="V292" s="1333"/>
      <c r="W292" s="1333"/>
      <c r="X292" s="1333" t="s">
        <v>1749</v>
      </c>
      <c r="Y292" s="1333"/>
      <c r="Z292" s="1333"/>
      <c r="AA292" s="1333"/>
      <c r="AB292" s="1333"/>
      <c r="AC292" s="1333"/>
      <c r="AD292" s="1333"/>
      <c r="AE292" s="1333"/>
      <c r="AF292" s="1333"/>
      <c r="AG292" s="1333"/>
      <c r="AH292" s="1333"/>
      <c r="AI292" s="1333"/>
      <c r="AJ292" s="1333"/>
      <c r="AK292" s="1333"/>
      <c r="AL292" s="143"/>
      <c r="AM292" s="143"/>
      <c r="AN292" s="143"/>
      <c r="AO292" s="143"/>
      <c r="AP292" s="143"/>
      <c r="AQ292" s="143"/>
      <c r="AR292" s="143"/>
    </row>
    <row r="293" spans="2:44" ht="15" customHeight="1">
      <c r="B293" s="138"/>
      <c r="C293" s="95"/>
      <c r="E293" s="143" t="s">
        <v>433</v>
      </c>
      <c r="G293" s="1204" t="s">
        <v>324</v>
      </c>
      <c r="H293" s="4"/>
      <c r="I293" s="143" t="s">
        <v>435</v>
      </c>
      <c r="O293" s="170"/>
      <c r="W293" s="4"/>
      <c r="Y293" s="143"/>
      <c r="Z293" s="1547"/>
      <c r="AB293" s="143"/>
      <c r="AD293" s="143"/>
      <c r="AE293" s="1547"/>
      <c r="AF293" s="143"/>
      <c r="AG293" s="143"/>
      <c r="AH293" s="143"/>
      <c r="AI293" s="143"/>
      <c r="AJ293" s="143"/>
      <c r="AK293" s="143"/>
      <c r="AL293" s="143"/>
      <c r="AM293" s="143"/>
      <c r="AN293" s="143"/>
      <c r="AO293" s="143"/>
      <c r="AP293" s="143"/>
      <c r="AQ293" s="143"/>
      <c r="AR293" s="143"/>
    </row>
    <row r="294" spans="2:44" ht="15" customHeight="1">
      <c r="B294" s="138"/>
      <c r="C294" s="95"/>
      <c r="E294" s="1678"/>
      <c r="G294" s="4"/>
      <c r="H294" s="4"/>
      <c r="O294" s="170"/>
      <c r="W294" s="4"/>
      <c r="Y294" s="143"/>
      <c r="Z294" s="1547"/>
      <c r="AB294" s="143"/>
      <c r="AD294" s="143"/>
      <c r="AE294" s="1547"/>
      <c r="AF294" s="143"/>
      <c r="AG294" s="143"/>
      <c r="AH294" s="143"/>
      <c r="AI294" s="143"/>
      <c r="AJ294" s="143"/>
      <c r="AK294" s="143"/>
      <c r="AL294" s="143"/>
      <c r="AM294" s="143"/>
      <c r="AN294" s="143"/>
      <c r="AO294" s="143"/>
      <c r="AP294" s="143"/>
      <c r="AQ294" s="143"/>
      <c r="AR294" s="1674" t="s">
        <v>3058</v>
      </c>
    </row>
    <row r="295" spans="2:44" ht="15" customHeight="1">
      <c r="B295" s="138"/>
      <c r="C295" s="1177" t="s">
        <v>2466</v>
      </c>
      <c r="D295" s="1333" t="s">
        <v>279</v>
      </c>
      <c r="G295" s="1547"/>
      <c r="O295" s="170"/>
      <c r="W295" s="1700"/>
      <c r="Y295" s="1570"/>
      <c r="AB295" s="143"/>
      <c r="AD295" s="143"/>
      <c r="AE295" s="1547"/>
      <c r="AF295" s="143"/>
      <c r="AG295" s="143"/>
      <c r="AH295" s="143"/>
      <c r="AI295" s="143"/>
      <c r="AJ295" s="143"/>
      <c r="AK295" s="143"/>
      <c r="AL295" s="143"/>
      <c r="AM295" s="143"/>
      <c r="AN295" s="143"/>
      <c r="AO295" s="143"/>
      <c r="AP295" s="143"/>
      <c r="AQ295" s="143"/>
      <c r="AR295" s="143"/>
    </row>
    <row r="296" spans="2:44" ht="20.100000000000001" customHeight="1">
      <c r="B296" s="138"/>
      <c r="C296" s="95"/>
      <c r="D296" s="1242" t="s">
        <v>134</v>
      </c>
      <c r="E296" s="1242"/>
      <c r="F296" s="1242"/>
      <c r="G296" s="1242"/>
      <c r="H296" s="1242"/>
      <c r="I296" s="1242"/>
      <c r="J296" s="1242"/>
      <c r="K296" s="1242"/>
      <c r="L296" s="1242"/>
      <c r="M296" s="1242"/>
      <c r="N296" s="1242"/>
      <c r="O296" s="1242"/>
      <c r="P296" s="1242"/>
      <c r="Q296" s="1242"/>
      <c r="R296" s="1242"/>
      <c r="S296" s="1242"/>
      <c r="T296" s="1242"/>
      <c r="U296" s="1242"/>
      <c r="V296" s="1242"/>
      <c r="W296" s="1242"/>
      <c r="X296" s="1242" t="s">
        <v>280</v>
      </c>
      <c r="Y296" s="1242"/>
      <c r="Z296" s="1242"/>
      <c r="AA296" s="1242"/>
      <c r="AB296" s="1242"/>
      <c r="AC296" s="1242"/>
      <c r="AD296" s="1242"/>
      <c r="AE296" s="1242"/>
      <c r="AF296" s="1242"/>
      <c r="AG296" s="1242"/>
      <c r="AH296" s="1242"/>
      <c r="AI296" s="1242"/>
      <c r="AJ296" s="1242"/>
      <c r="AK296" s="1242"/>
      <c r="AL296" s="143"/>
      <c r="AM296" s="143"/>
      <c r="AN296" s="143"/>
      <c r="AO296" s="143"/>
      <c r="AP296" s="143"/>
      <c r="AQ296" s="143"/>
      <c r="AR296" s="143"/>
    </row>
    <row r="297" spans="2:44" ht="20.100000000000001" customHeight="1">
      <c r="B297" s="138"/>
      <c r="C297" s="95"/>
      <c r="D297" s="143" t="s">
        <v>277</v>
      </c>
      <c r="L297" s="143"/>
      <c r="X297" s="1665"/>
      <c r="Y297" s="1594"/>
      <c r="Z297" s="1665"/>
      <c r="AA297" s="2175" t="s">
        <v>281</v>
      </c>
      <c r="AB297" s="2175"/>
      <c r="AC297" s="2175"/>
      <c r="AD297" s="2175"/>
      <c r="AE297" s="1333"/>
      <c r="AF297" s="1554"/>
      <c r="AG297" s="1333"/>
      <c r="AL297" s="143"/>
    </row>
    <row r="298" spans="2:44" ht="20.100000000000001" customHeight="1">
      <c r="B298" s="138"/>
      <c r="C298" s="95"/>
      <c r="D298" s="118" t="s">
        <v>204</v>
      </c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 t="s">
        <v>282</v>
      </c>
      <c r="Y298" s="1595"/>
      <c r="Z298" s="118"/>
      <c r="AA298" s="118"/>
      <c r="AB298" s="118"/>
      <c r="AC298" s="118"/>
      <c r="AD298" s="118"/>
      <c r="AE298" s="118"/>
      <c r="AF298" s="118"/>
      <c r="AG298" s="118"/>
      <c r="AH298" s="118"/>
      <c r="AI298" s="118"/>
      <c r="AJ298" s="118"/>
      <c r="AK298" s="118"/>
      <c r="AL298" s="143"/>
    </row>
    <row r="299" spans="2:44" ht="20.100000000000001" customHeight="1">
      <c r="B299" s="138"/>
      <c r="C299" s="95"/>
      <c r="D299" s="1333" t="s">
        <v>136</v>
      </c>
      <c r="E299" s="1333"/>
      <c r="F299" s="1333"/>
      <c r="G299" s="1333"/>
      <c r="H299" s="1333"/>
      <c r="I299" s="1333"/>
      <c r="J299" s="1333"/>
      <c r="K299" s="1333"/>
      <c r="L299" s="1333"/>
      <c r="M299" s="1333"/>
      <c r="N299" s="1333"/>
      <c r="O299" s="1333"/>
      <c r="P299" s="1333"/>
      <c r="Q299" s="1333"/>
      <c r="R299" s="1333"/>
      <c r="S299" s="1333"/>
      <c r="T299" s="1333"/>
      <c r="U299" s="1333"/>
      <c r="V299" s="1333"/>
      <c r="W299" s="1333"/>
      <c r="X299" s="1333" t="s">
        <v>283</v>
      </c>
      <c r="Y299" s="1333"/>
      <c r="Z299" s="1333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143"/>
      <c r="AM299" s="143"/>
      <c r="AN299" s="143"/>
      <c r="AO299" s="143"/>
      <c r="AP299" s="143"/>
      <c r="AQ299" s="143"/>
      <c r="AR299" s="143"/>
    </row>
    <row r="300" spans="2:44" ht="15" customHeight="1">
      <c r="C300" s="95"/>
      <c r="D300" s="143" t="s">
        <v>284</v>
      </c>
      <c r="E300" s="1678"/>
      <c r="G300" s="4"/>
      <c r="H300" s="4"/>
      <c r="I300" s="4"/>
      <c r="O300" s="170"/>
      <c r="Y300" s="143"/>
      <c r="Z300" s="1570"/>
      <c r="AB300" s="1547"/>
      <c r="AD300" s="143"/>
      <c r="AE300" s="1547"/>
      <c r="AF300" s="143"/>
      <c r="AG300" s="143"/>
      <c r="AH300" s="143"/>
      <c r="AI300" s="143"/>
      <c r="AJ300" s="143"/>
      <c r="AK300" s="143"/>
      <c r="AL300" s="143"/>
      <c r="AM300" s="143"/>
      <c r="AN300" s="143"/>
      <c r="AO300" s="143"/>
      <c r="AP300" s="143"/>
      <c r="AQ300" s="143"/>
      <c r="AR300" s="143"/>
    </row>
    <row r="301" spans="2:44" ht="15" customHeight="1">
      <c r="C301" s="95"/>
      <c r="E301" s="1678"/>
      <c r="G301" s="4"/>
      <c r="H301" s="4"/>
      <c r="I301" s="4"/>
      <c r="O301" s="170"/>
      <c r="Y301" s="143"/>
      <c r="Z301" s="1570"/>
      <c r="AB301" s="1547"/>
      <c r="AD301" s="143"/>
      <c r="AE301" s="1547"/>
      <c r="AF301" s="143"/>
      <c r="AG301" s="143"/>
      <c r="AH301" s="143"/>
      <c r="AI301" s="143"/>
      <c r="AJ301" s="143"/>
      <c r="AK301" s="143"/>
      <c r="AL301" s="143"/>
      <c r="AM301" s="143"/>
      <c r="AN301" s="143"/>
      <c r="AO301" s="143"/>
      <c r="AP301" s="143"/>
      <c r="AQ301" s="143"/>
      <c r="AR301" s="143"/>
    </row>
    <row r="302" spans="2:44" ht="15" customHeight="1">
      <c r="C302" s="1177" t="s">
        <v>2466</v>
      </c>
      <c r="D302" s="143" t="s">
        <v>247</v>
      </c>
      <c r="E302" s="136"/>
      <c r="F302" s="95"/>
      <c r="G302" s="136"/>
      <c r="H302" s="136"/>
      <c r="I302" s="136"/>
      <c r="O302" s="170"/>
      <c r="AB302" s="143"/>
      <c r="AD302" s="1547"/>
      <c r="AE302" s="143"/>
      <c r="AF302" s="1547"/>
      <c r="AG302" s="143"/>
      <c r="AH302" s="143"/>
      <c r="AI302" s="143"/>
      <c r="AJ302" s="143"/>
      <c r="AK302" s="143"/>
      <c r="AL302" s="143"/>
      <c r="AM302" s="143"/>
      <c r="AN302" s="143"/>
      <c r="AO302" s="143"/>
      <c r="AP302" s="143"/>
      <c r="AQ302" s="1674" t="s">
        <v>3061</v>
      </c>
      <c r="AR302" s="143"/>
    </row>
    <row r="303" spans="2:44" ht="20.100000000000001" customHeight="1">
      <c r="D303" s="1242" t="s">
        <v>134</v>
      </c>
      <c r="E303" s="1667"/>
      <c r="F303" s="1667"/>
      <c r="G303" s="1667"/>
      <c r="H303" s="1667"/>
      <c r="I303" s="1667"/>
      <c r="J303" s="1667"/>
      <c r="K303" s="1667"/>
      <c r="L303" s="1667"/>
      <c r="M303" s="1667"/>
      <c r="N303" s="1667"/>
      <c r="O303" s="1667"/>
      <c r="P303" s="1667"/>
      <c r="Q303" s="1667"/>
      <c r="R303" s="1667"/>
      <c r="S303" s="1667"/>
      <c r="T303" s="1667"/>
      <c r="U303" s="1667"/>
      <c r="V303" s="1667"/>
      <c r="W303" s="1667"/>
      <c r="X303" s="1242" t="s">
        <v>248</v>
      </c>
      <c r="Y303" s="1667"/>
      <c r="Z303" s="1667"/>
      <c r="AA303" s="1667"/>
      <c r="AB303" s="1667"/>
      <c r="AC303" s="1667"/>
      <c r="AD303" s="1667"/>
      <c r="AE303" s="1667"/>
      <c r="AF303" s="1667"/>
      <c r="AG303" s="1667"/>
      <c r="AH303" s="1667"/>
      <c r="AI303" s="1667"/>
      <c r="AJ303" s="1667"/>
      <c r="AK303" s="1667"/>
      <c r="AL303" s="143"/>
      <c r="AM303" s="143"/>
      <c r="AN303" s="143"/>
      <c r="AO303" s="143"/>
      <c r="AP303" s="143"/>
      <c r="AQ303" s="143"/>
      <c r="AR303" s="143"/>
    </row>
    <row r="304" spans="2:44" ht="20.100000000000001" customHeight="1">
      <c r="D304" s="146" t="s">
        <v>3062</v>
      </c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 t="s">
        <v>1754</v>
      </c>
      <c r="Y304" s="146"/>
      <c r="Z304" s="146"/>
      <c r="AA304" s="146"/>
      <c r="AB304" s="146"/>
      <c r="AC304" s="146"/>
      <c r="AD304" s="146"/>
      <c r="AE304" s="146"/>
      <c r="AF304" s="146"/>
      <c r="AG304" s="146"/>
      <c r="AH304" s="146"/>
      <c r="AI304" s="146"/>
      <c r="AJ304" s="146"/>
      <c r="AK304" s="146"/>
      <c r="AL304" s="143"/>
      <c r="AM304" s="143"/>
      <c r="AN304" s="143"/>
      <c r="AO304" s="143"/>
      <c r="AP304" s="143"/>
      <c r="AQ304" s="143"/>
      <c r="AR304" s="143"/>
    </row>
    <row r="305" spans="1:73" ht="20.100000000000001" customHeight="1">
      <c r="D305" s="99" t="s">
        <v>3063</v>
      </c>
      <c r="E305" s="1701"/>
      <c r="F305" s="99"/>
      <c r="L305" s="143"/>
      <c r="X305" s="99" t="s">
        <v>3064</v>
      </c>
      <c r="Y305" s="143"/>
      <c r="AB305" s="143"/>
      <c r="AD305" s="1547"/>
      <c r="AE305" s="143"/>
      <c r="AF305" s="1547"/>
      <c r="AG305" s="143"/>
      <c r="AH305" s="143"/>
      <c r="AI305" s="143"/>
      <c r="AJ305" s="143"/>
      <c r="AK305" s="143"/>
      <c r="AL305" s="143"/>
      <c r="AM305" s="143"/>
      <c r="AN305" s="143"/>
      <c r="AO305" s="143"/>
      <c r="AP305" s="143"/>
      <c r="AQ305" s="143"/>
      <c r="AR305" s="143"/>
    </row>
    <row r="306" spans="1:73" ht="20.100000000000001" customHeight="1">
      <c r="D306" s="667" t="s">
        <v>1753</v>
      </c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 t="s">
        <v>1755</v>
      </c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143"/>
      <c r="AM306" s="143"/>
      <c r="AN306" s="143"/>
      <c r="AO306" s="143"/>
      <c r="AP306" s="143"/>
      <c r="AQ306" s="143"/>
      <c r="AR306" s="143"/>
    </row>
    <row r="307" spans="1:73" s="73" customFormat="1" ht="15" customHeight="1">
      <c r="A307" s="170"/>
      <c r="B307" s="170"/>
      <c r="C307" s="170"/>
      <c r="D307" s="170"/>
      <c r="E307" s="649" t="s">
        <v>1765</v>
      </c>
      <c r="F307" s="1539"/>
      <c r="G307" s="124" t="s">
        <v>324</v>
      </c>
      <c r="H307" s="1539"/>
      <c r="I307" s="170" t="s">
        <v>2949</v>
      </c>
      <c r="J307" s="170"/>
      <c r="K307" s="170"/>
      <c r="L307" s="1539"/>
      <c r="M307" s="170" t="s">
        <v>2945</v>
      </c>
      <c r="N307" s="170"/>
      <c r="O307" s="170"/>
      <c r="P307" s="170"/>
      <c r="Q307" s="170"/>
      <c r="R307" s="170"/>
      <c r="S307" s="170"/>
      <c r="T307" s="170"/>
      <c r="U307" s="170"/>
      <c r="V307" s="170"/>
      <c r="W307" s="170"/>
      <c r="X307" s="170"/>
      <c r="Y307" s="1539"/>
      <c r="Z307" s="170"/>
      <c r="AA307" s="170"/>
      <c r="AC307" s="143"/>
      <c r="AD307" s="1561"/>
      <c r="AF307" s="1561"/>
      <c r="AS307" s="1627"/>
      <c r="AT307" s="143"/>
      <c r="AU307" s="143"/>
      <c r="AV307" s="143"/>
      <c r="AW307" s="143"/>
      <c r="AX307" s="143"/>
      <c r="AY307" s="143"/>
      <c r="AZ307" s="143"/>
      <c r="BA307" s="143"/>
      <c r="BB307" s="143"/>
      <c r="BC307" s="143"/>
      <c r="BD307" s="143"/>
      <c r="BE307" s="143"/>
      <c r="BF307" s="143"/>
      <c r="BG307" s="143"/>
      <c r="BH307" s="143"/>
      <c r="BI307" s="143"/>
      <c r="BJ307" s="143"/>
      <c r="BK307" s="143"/>
      <c r="BL307" s="143"/>
      <c r="BM307" s="143"/>
      <c r="BN307" s="143"/>
      <c r="BO307" s="143"/>
      <c r="BP307" s="143"/>
      <c r="BQ307" s="143"/>
      <c r="BR307" s="143"/>
      <c r="BS307" s="143"/>
      <c r="BT307" s="143"/>
      <c r="BU307" s="143"/>
    </row>
    <row r="308" spans="1:73" s="73" customFormat="1" ht="15" customHeight="1">
      <c r="A308" s="170"/>
      <c r="B308" s="170"/>
      <c r="C308" s="170"/>
      <c r="D308" s="170"/>
      <c r="E308" s="649" t="s">
        <v>1765</v>
      </c>
      <c r="F308" s="1539"/>
      <c r="G308" s="124" t="s">
        <v>324</v>
      </c>
      <c r="H308" s="1539"/>
      <c r="I308" s="170" t="s">
        <v>2950</v>
      </c>
      <c r="J308" s="170"/>
      <c r="K308" s="170"/>
      <c r="L308" s="1539"/>
      <c r="M308" s="170" t="s">
        <v>2946</v>
      </c>
      <c r="N308" s="170"/>
      <c r="O308" s="170"/>
      <c r="P308" s="170"/>
      <c r="Q308" s="170"/>
      <c r="R308" s="170"/>
      <c r="S308" s="170"/>
      <c r="T308" s="170"/>
      <c r="U308" s="170"/>
      <c r="V308" s="170"/>
      <c r="W308" s="170"/>
      <c r="X308" s="170"/>
      <c r="Y308" s="1539"/>
      <c r="Z308" s="170"/>
      <c r="AA308" s="170"/>
      <c r="AC308" s="143"/>
      <c r="AD308" s="1561"/>
      <c r="AF308" s="1561"/>
      <c r="AS308" s="1627"/>
      <c r="AT308" s="143"/>
      <c r="AU308" s="143"/>
      <c r="AV308" s="143"/>
      <c r="AW308" s="143"/>
      <c r="AX308" s="143"/>
      <c r="AY308" s="143"/>
      <c r="AZ308" s="143"/>
      <c r="BA308" s="143"/>
      <c r="BB308" s="143"/>
      <c r="BC308" s="143"/>
      <c r="BD308" s="143"/>
      <c r="BE308" s="143"/>
      <c r="BF308" s="143"/>
      <c r="BG308" s="143"/>
      <c r="BH308" s="143"/>
      <c r="BI308" s="143"/>
      <c r="BJ308" s="143"/>
      <c r="BK308" s="143"/>
      <c r="BL308" s="143"/>
      <c r="BM308" s="143"/>
      <c r="BN308" s="143"/>
      <c r="BO308" s="143"/>
      <c r="BP308" s="143"/>
      <c r="BQ308" s="143"/>
      <c r="BR308" s="143"/>
      <c r="BS308" s="143"/>
      <c r="BT308" s="143"/>
      <c r="BU308" s="143"/>
    </row>
    <row r="309" spans="1:73" s="73" customFormat="1" ht="15" customHeight="1">
      <c r="A309" s="170"/>
      <c r="B309" s="170"/>
      <c r="C309" s="170"/>
      <c r="D309" s="170"/>
      <c r="E309" s="649" t="s">
        <v>1767</v>
      </c>
      <c r="F309" s="1539"/>
      <c r="G309" s="124" t="s">
        <v>324</v>
      </c>
      <c r="H309" s="1539"/>
      <c r="I309" s="170" t="s">
        <v>2652</v>
      </c>
      <c r="J309" s="1539"/>
      <c r="K309" s="170"/>
      <c r="L309" s="1539"/>
      <c r="M309" s="170"/>
      <c r="N309" s="170"/>
      <c r="O309" s="170"/>
      <c r="P309" s="170"/>
      <c r="Q309" s="170"/>
      <c r="R309" s="170"/>
      <c r="S309" s="170"/>
      <c r="T309" s="170"/>
      <c r="U309" s="170"/>
      <c r="V309" s="170"/>
      <c r="W309" s="170"/>
      <c r="X309" s="170"/>
      <c r="Y309" s="1539"/>
      <c r="Z309" s="170"/>
      <c r="AA309" s="170"/>
      <c r="AC309" s="143"/>
      <c r="AD309" s="1561"/>
      <c r="AF309" s="1561"/>
      <c r="AS309" s="1627"/>
      <c r="AT309" s="143"/>
      <c r="AU309" s="143"/>
      <c r="AV309" s="143"/>
      <c r="AW309" s="143"/>
      <c r="AX309" s="143"/>
      <c r="AY309" s="143"/>
      <c r="AZ309" s="143"/>
      <c r="BA309" s="143"/>
      <c r="BB309" s="143"/>
      <c r="BC309" s="143"/>
      <c r="BD309" s="143"/>
      <c r="BE309" s="143"/>
      <c r="BF309" s="143"/>
      <c r="BG309" s="143"/>
      <c r="BH309" s="143"/>
      <c r="BI309" s="143"/>
      <c r="BJ309" s="143"/>
      <c r="BK309" s="143"/>
      <c r="BL309" s="143"/>
      <c r="BM309" s="143"/>
      <c r="BN309" s="143"/>
      <c r="BO309" s="143"/>
      <c r="BP309" s="143"/>
      <c r="BQ309" s="143"/>
      <c r="BR309" s="143"/>
      <c r="BS309" s="143"/>
      <c r="BT309" s="143"/>
      <c r="BU309" s="143"/>
    </row>
    <row r="310" spans="1:73" s="73" customFormat="1" ht="15" customHeight="1">
      <c r="A310" s="134"/>
      <c r="B310" s="143"/>
      <c r="C310" s="143"/>
      <c r="D310" s="143"/>
      <c r="E310" s="1619" t="s">
        <v>1766</v>
      </c>
      <c r="F310" s="1539"/>
      <c r="G310" s="124" t="s">
        <v>324</v>
      </c>
      <c r="H310" s="1539"/>
      <c r="I310" s="170" t="s">
        <v>2954</v>
      </c>
      <c r="J310" s="1539"/>
      <c r="K310" s="170"/>
      <c r="L310" s="1539"/>
      <c r="M310" s="170"/>
      <c r="N310" s="170"/>
      <c r="O310" s="170"/>
      <c r="P310" s="170"/>
      <c r="Q310" s="170"/>
      <c r="R310" s="170"/>
      <c r="S310" s="170"/>
      <c r="T310" s="170"/>
      <c r="U310" s="170"/>
      <c r="V310" s="170"/>
      <c r="W310" s="170"/>
      <c r="X310" s="170"/>
      <c r="Y310" s="1539"/>
      <c r="Z310" s="170"/>
      <c r="AA310" s="170"/>
      <c r="AC310" s="143"/>
      <c r="AD310" s="1561"/>
      <c r="AF310" s="1561"/>
      <c r="AS310" s="1627"/>
      <c r="AT310" s="143"/>
      <c r="AU310" s="143"/>
      <c r="AV310" s="143"/>
      <c r="AW310" s="143"/>
      <c r="AX310" s="143"/>
      <c r="AY310" s="143"/>
      <c r="AZ310" s="143"/>
      <c r="BA310" s="143"/>
      <c r="BB310" s="143"/>
      <c r="BC310" s="143"/>
      <c r="BD310" s="143"/>
      <c r="BE310" s="143"/>
      <c r="BF310" s="143"/>
      <c r="BG310" s="143"/>
      <c r="BH310" s="143"/>
      <c r="BI310" s="143"/>
      <c r="BJ310" s="143"/>
      <c r="BK310" s="143"/>
      <c r="BL310" s="143"/>
      <c r="BM310" s="143"/>
      <c r="BN310" s="143"/>
      <c r="BO310" s="143"/>
      <c r="BP310" s="143"/>
      <c r="BQ310" s="143"/>
      <c r="BR310" s="143"/>
      <c r="BS310" s="143"/>
      <c r="BT310" s="143"/>
      <c r="BU310" s="143"/>
    </row>
    <row r="311" spans="1:73" s="73" customFormat="1" ht="15" customHeight="1">
      <c r="A311" s="134"/>
      <c r="B311" s="143"/>
      <c r="C311" s="143"/>
      <c r="D311" s="143"/>
      <c r="E311" s="1122" t="s">
        <v>408</v>
      </c>
      <c r="F311" s="1539"/>
      <c r="G311" s="124" t="s">
        <v>324</v>
      </c>
      <c r="H311" s="1539"/>
      <c r="I311" s="170" t="s">
        <v>2955</v>
      </c>
      <c r="J311" s="1539"/>
      <c r="K311" s="170"/>
      <c r="L311" s="1539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1539"/>
      <c r="Z311" s="170"/>
      <c r="AA311" s="170"/>
      <c r="AC311" s="143"/>
      <c r="AD311" s="1561"/>
      <c r="AF311" s="1561"/>
      <c r="AS311" s="1627"/>
      <c r="AT311" s="143"/>
      <c r="AU311" s="143"/>
      <c r="AV311" s="143"/>
      <c r="AW311" s="143"/>
      <c r="AX311" s="143"/>
      <c r="AY311" s="143"/>
      <c r="AZ311" s="143"/>
      <c r="BA311" s="143"/>
      <c r="BB311" s="143"/>
      <c r="BC311" s="143"/>
      <c r="BD311" s="143"/>
      <c r="BE311" s="143"/>
      <c r="BF311" s="143"/>
      <c r="BG311" s="143"/>
      <c r="BH311" s="143"/>
      <c r="BI311" s="143"/>
      <c r="BJ311" s="143"/>
      <c r="BK311" s="143"/>
      <c r="BL311" s="143"/>
      <c r="BM311" s="143"/>
      <c r="BN311" s="143"/>
      <c r="BO311" s="143"/>
      <c r="BP311" s="143"/>
      <c r="BQ311" s="143"/>
      <c r="BR311" s="143"/>
      <c r="BS311" s="143"/>
      <c r="BT311" s="143"/>
      <c r="BU311" s="143"/>
    </row>
    <row r="312" spans="1:73" s="73" customFormat="1" ht="15" customHeight="1">
      <c r="A312" s="134"/>
      <c r="B312" s="143"/>
      <c r="C312" s="143"/>
      <c r="D312" s="143"/>
      <c r="E312" s="143" t="s">
        <v>986</v>
      </c>
      <c r="F312" s="1539"/>
      <c r="G312" s="124" t="s">
        <v>324</v>
      </c>
      <c r="H312" s="1539"/>
      <c r="I312" s="170" t="s">
        <v>2730</v>
      </c>
      <c r="J312" s="1539"/>
      <c r="K312" s="170"/>
      <c r="L312" s="1539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539"/>
      <c r="Z312" s="170"/>
      <c r="AA312" s="170"/>
      <c r="AC312" s="143"/>
      <c r="AD312" s="1561"/>
      <c r="AF312" s="1561"/>
      <c r="AS312" s="1627"/>
      <c r="AT312" s="143"/>
      <c r="AU312" s="143"/>
      <c r="AV312" s="143"/>
      <c r="AW312" s="143"/>
      <c r="AX312" s="143"/>
      <c r="AY312" s="143"/>
      <c r="AZ312" s="143"/>
      <c r="BA312" s="143"/>
      <c r="BB312" s="143"/>
      <c r="BC312" s="143"/>
      <c r="BD312" s="143"/>
      <c r="BE312" s="143"/>
      <c r="BF312" s="143"/>
      <c r="BG312" s="143"/>
      <c r="BH312" s="143"/>
      <c r="BI312" s="143"/>
      <c r="BJ312" s="143"/>
      <c r="BK312" s="143"/>
      <c r="BL312" s="143"/>
      <c r="BM312" s="143"/>
      <c r="BN312" s="143"/>
      <c r="BO312" s="143"/>
      <c r="BP312" s="143"/>
      <c r="BQ312" s="143"/>
      <c r="BR312" s="143"/>
      <c r="BS312" s="143"/>
      <c r="BT312" s="143"/>
      <c r="BU312" s="143"/>
    </row>
    <row r="313" spans="1:73" s="73" customFormat="1" ht="15" customHeight="1">
      <c r="A313" s="134"/>
      <c r="B313" s="143"/>
      <c r="C313" s="143"/>
      <c r="D313" s="143"/>
      <c r="E313" s="170" t="s">
        <v>400</v>
      </c>
      <c r="F313" s="143"/>
      <c r="G313" s="124" t="s">
        <v>324</v>
      </c>
      <c r="H313" s="1539"/>
      <c r="I313" s="170" t="s">
        <v>1161</v>
      </c>
      <c r="J313" s="1539"/>
      <c r="K313" s="170"/>
      <c r="L313" s="1539"/>
      <c r="M313" s="170"/>
      <c r="N313" s="170"/>
      <c r="O313" s="170"/>
      <c r="P313" s="170"/>
      <c r="Q313" s="170"/>
      <c r="R313" s="170"/>
      <c r="S313" s="170"/>
      <c r="T313" s="170"/>
      <c r="U313" s="170"/>
      <c r="V313" s="170"/>
      <c r="W313" s="170"/>
      <c r="X313" s="170"/>
      <c r="Y313" s="1539"/>
      <c r="Z313" s="170"/>
      <c r="AA313" s="170"/>
      <c r="AC313" s="143"/>
      <c r="AD313" s="1561"/>
      <c r="AF313" s="1561"/>
      <c r="AS313" s="1627"/>
      <c r="AT313" s="143"/>
      <c r="AU313" s="143"/>
      <c r="AV313" s="143"/>
      <c r="AW313" s="143"/>
      <c r="AX313" s="143"/>
      <c r="AY313" s="143"/>
      <c r="AZ313" s="143"/>
      <c r="BA313" s="143"/>
      <c r="BB313" s="143"/>
      <c r="BC313" s="143"/>
      <c r="BD313" s="143"/>
      <c r="BE313" s="143"/>
      <c r="BF313" s="143"/>
      <c r="BG313" s="143"/>
      <c r="BH313" s="143"/>
      <c r="BI313" s="143"/>
      <c r="BJ313" s="143"/>
      <c r="BK313" s="143"/>
      <c r="BL313" s="143"/>
      <c r="BM313" s="143"/>
      <c r="BN313" s="143"/>
      <c r="BO313" s="143"/>
      <c r="BP313" s="143"/>
      <c r="BQ313" s="143"/>
      <c r="BR313" s="143"/>
      <c r="BS313" s="143"/>
      <c r="BT313" s="143"/>
      <c r="BU313" s="143"/>
    </row>
    <row r="314" spans="1:73" s="73" customFormat="1" ht="15" customHeight="1">
      <c r="A314" s="134"/>
      <c r="B314" s="143"/>
      <c r="C314" s="143"/>
      <c r="D314" s="143"/>
      <c r="E314" s="170" t="s">
        <v>401</v>
      </c>
      <c r="F314" s="143"/>
      <c r="G314" s="124" t="s">
        <v>324</v>
      </c>
      <c r="H314" s="1539"/>
      <c r="I314" s="170" t="s">
        <v>1226</v>
      </c>
      <c r="J314" s="1539"/>
      <c r="K314" s="170"/>
      <c r="L314" s="1539"/>
      <c r="M314" s="170"/>
      <c r="N314" s="170"/>
      <c r="O314" s="170"/>
      <c r="P314" s="170"/>
      <c r="Q314" s="170"/>
      <c r="R314" s="170"/>
      <c r="S314" s="170"/>
      <c r="T314" s="170"/>
      <c r="U314" s="170"/>
      <c r="V314" s="170"/>
      <c r="W314" s="170"/>
      <c r="X314" s="170"/>
      <c r="Y314" s="1539"/>
      <c r="Z314" s="170"/>
      <c r="AA314" s="170"/>
      <c r="AC314" s="143"/>
      <c r="AD314" s="1561"/>
      <c r="AF314" s="1561"/>
      <c r="AS314" s="1627"/>
      <c r="AT314" s="143"/>
      <c r="AU314" s="143"/>
      <c r="AV314" s="143"/>
      <c r="AW314" s="143"/>
      <c r="AX314" s="143"/>
      <c r="AY314" s="143"/>
      <c r="AZ314" s="143"/>
      <c r="BA314" s="143"/>
      <c r="BB314" s="143"/>
      <c r="BC314" s="143"/>
      <c r="BD314" s="143"/>
      <c r="BE314" s="143"/>
      <c r="BF314" s="143"/>
      <c r="BG314" s="143"/>
      <c r="BH314" s="143"/>
      <c r="BI314" s="143"/>
      <c r="BJ314" s="143"/>
      <c r="BK314" s="143"/>
      <c r="BL314" s="143"/>
      <c r="BM314" s="143"/>
      <c r="BN314" s="143"/>
      <c r="BO314" s="143"/>
      <c r="BP314" s="143"/>
      <c r="BQ314" s="143"/>
      <c r="BR314" s="143"/>
      <c r="BS314" s="143"/>
      <c r="BT314" s="143"/>
      <c r="BU314" s="143"/>
    </row>
    <row r="315" spans="1:73" s="73" customFormat="1" ht="15" customHeight="1">
      <c r="A315" s="134"/>
      <c r="B315" s="143"/>
      <c r="C315" s="143"/>
      <c r="D315" s="143"/>
      <c r="E315" s="170" t="s">
        <v>405</v>
      </c>
      <c r="F315" s="143"/>
      <c r="G315" s="124" t="s">
        <v>324</v>
      </c>
      <c r="H315" s="1539"/>
      <c r="I315" s="170" t="s">
        <v>407</v>
      </c>
      <c r="J315" s="1539"/>
      <c r="K315" s="170"/>
      <c r="L315" s="1539"/>
      <c r="M315" s="170"/>
      <c r="N315" s="170"/>
      <c r="O315" s="170"/>
      <c r="P315" s="170"/>
      <c r="Q315" s="170"/>
      <c r="R315" s="170"/>
      <c r="S315" s="170"/>
      <c r="T315" s="170"/>
      <c r="U315" s="170"/>
      <c r="V315" s="170"/>
      <c r="W315" s="170"/>
      <c r="X315" s="170"/>
      <c r="Y315" s="1539"/>
      <c r="Z315" s="170"/>
      <c r="AA315" s="170"/>
      <c r="AC315" s="143"/>
      <c r="AD315" s="1561"/>
      <c r="AF315" s="1561"/>
      <c r="AS315" s="1627"/>
      <c r="AT315" s="143"/>
      <c r="AU315" s="143"/>
      <c r="AV315" s="143"/>
      <c r="AW315" s="143"/>
      <c r="AX315" s="143"/>
      <c r="AY315" s="143"/>
      <c r="AZ315" s="143"/>
      <c r="BA315" s="143"/>
      <c r="BB315" s="143"/>
      <c r="BC315" s="143"/>
      <c r="BD315" s="143"/>
      <c r="BE315" s="143"/>
      <c r="BF315" s="143"/>
      <c r="BG315" s="143"/>
      <c r="BH315" s="143"/>
      <c r="BI315" s="143"/>
      <c r="BJ315" s="143"/>
      <c r="BK315" s="143"/>
      <c r="BL315" s="143"/>
      <c r="BM315" s="143"/>
      <c r="BN315" s="143"/>
      <c r="BO315" s="143"/>
      <c r="BP315" s="143"/>
      <c r="BQ315" s="143"/>
      <c r="BR315" s="143"/>
      <c r="BS315" s="143"/>
      <c r="BT315" s="143"/>
      <c r="BU315" s="143"/>
    </row>
    <row r="316" spans="1:73" ht="15" customHeight="1">
      <c r="A316" s="139"/>
      <c r="F316" s="1547"/>
      <c r="H316" s="1547"/>
      <c r="J316" s="1547"/>
      <c r="O316" s="170"/>
      <c r="AB316" s="143"/>
      <c r="AD316" s="143"/>
      <c r="AE316" s="143"/>
      <c r="AF316" s="143"/>
      <c r="AG316" s="143"/>
      <c r="AH316" s="143"/>
      <c r="AI316" s="143"/>
      <c r="AJ316" s="143"/>
      <c r="AK316" s="143"/>
      <c r="AL316" s="143"/>
      <c r="AM316" s="143"/>
      <c r="AN316" s="143"/>
      <c r="AO316" s="143"/>
      <c r="AP316" s="143"/>
      <c r="AQ316" s="143"/>
      <c r="AR316" s="143"/>
    </row>
    <row r="317" spans="1:73" ht="15" customHeight="1">
      <c r="C317" s="1177" t="s">
        <v>2466</v>
      </c>
      <c r="D317" s="143" t="s">
        <v>2148</v>
      </c>
      <c r="E317" s="136"/>
      <c r="F317" s="95"/>
      <c r="G317" s="136"/>
      <c r="H317" s="136"/>
      <c r="I317" s="136"/>
      <c r="L317" s="143"/>
      <c r="O317" s="170"/>
      <c r="Y317" s="143"/>
      <c r="AB317" s="143"/>
      <c r="AD317" s="143"/>
      <c r="AE317" s="143"/>
      <c r="AF317" s="143"/>
      <c r="AG317" s="143"/>
      <c r="AH317" s="143"/>
      <c r="AI317" s="143"/>
      <c r="AJ317" s="143"/>
      <c r="AK317" s="143"/>
      <c r="AL317" s="143"/>
      <c r="AM317" s="143"/>
      <c r="AN317" s="143"/>
      <c r="AO317" s="143"/>
      <c r="AP317" s="143"/>
      <c r="AQ317" s="143"/>
      <c r="AR317" s="1674" t="s">
        <v>3061</v>
      </c>
    </row>
    <row r="318" spans="1:73" ht="20.100000000000001" customHeight="1">
      <c r="D318" s="1242" t="s">
        <v>134</v>
      </c>
      <c r="E318" s="1667"/>
      <c r="F318" s="1242"/>
      <c r="G318" s="1242"/>
      <c r="H318" s="1667"/>
      <c r="I318" s="1667"/>
      <c r="J318" s="1667"/>
      <c r="K318" s="1667"/>
      <c r="L318" s="1667"/>
      <c r="M318" s="1667"/>
      <c r="N318" s="1667"/>
      <c r="O318" s="1667"/>
      <c r="P318" s="1667"/>
      <c r="Q318" s="1667"/>
      <c r="R318" s="1667"/>
      <c r="S318" s="1667"/>
      <c r="T318" s="1667"/>
      <c r="U318" s="1667"/>
      <c r="V318" s="1667"/>
      <c r="W318" s="1667"/>
      <c r="X318" s="1242" t="s">
        <v>250</v>
      </c>
      <c r="Y318" s="1667"/>
      <c r="Z318" s="1667"/>
      <c r="AA318" s="1667"/>
      <c r="AB318" s="1667"/>
      <c r="AC318" s="1667"/>
      <c r="AD318" s="1667"/>
      <c r="AE318" s="1667"/>
      <c r="AF318" s="1667"/>
      <c r="AG318" s="1667"/>
      <c r="AH318" s="1667"/>
      <c r="AI318" s="1667"/>
      <c r="AJ318" s="1667"/>
      <c r="AK318" s="1667"/>
      <c r="AL318" s="143"/>
      <c r="AM318" s="143"/>
      <c r="AN318" s="143"/>
      <c r="AO318" s="143"/>
      <c r="AP318" s="143"/>
      <c r="AQ318" s="143"/>
      <c r="AR318" s="143"/>
    </row>
    <row r="319" spans="1:73" ht="20.100000000000001" customHeight="1">
      <c r="C319" s="139"/>
      <c r="D319" s="1443" t="s">
        <v>3065</v>
      </c>
      <c r="E319" s="1443"/>
      <c r="F319" s="1443"/>
      <c r="G319" s="1443"/>
      <c r="H319" s="1443"/>
      <c r="I319" s="1443"/>
      <c r="J319" s="1443"/>
      <c r="K319" s="1443"/>
      <c r="L319" s="1443"/>
      <c r="M319" s="1443"/>
      <c r="N319" s="1443"/>
      <c r="O319" s="1443"/>
      <c r="P319" s="1443"/>
      <c r="Q319" s="1443"/>
      <c r="R319" s="1443"/>
      <c r="S319" s="1443"/>
      <c r="T319" s="1443"/>
      <c r="U319" s="1443"/>
      <c r="V319" s="1443"/>
      <c r="W319" s="1443"/>
      <c r="X319" s="1443" t="s">
        <v>251</v>
      </c>
      <c r="Y319" s="1443"/>
      <c r="Z319" s="1443"/>
      <c r="AA319" s="1443"/>
      <c r="AB319" s="1443"/>
      <c r="AC319" s="1443"/>
      <c r="AD319" s="1443"/>
      <c r="AE319" s="1443"/>
      <c r="AF319" s="1443"/>
      <c r="AG319" s="1443"/>
      <c r="AH319" s="1443"/>
      <c r="AI319" s="1443"/>
      <c r="AJ319" s="1443"/>
      <c r="AK319" s="1443"/>
      <c r="AL319" s="143"/>
      <c r="AM319" s="143"/>
      <c r="AN319" s="143"/>
      <c r="AO319" s="143"/>
      <c r="AP319" s="143"/>
      <c r="AQ319" s="143"/>
      <c r="AR319" s="143"/>
    </row>
    <row r="320" spans="1:73" ht="20.100000000000001" customHeight="1">
      <c r="D320" s="110" t="s">
        <v>3066</v>
      </c>
      <c r="E320" s="110"/>
      <c r="F320" s="1703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 t="s">
        <v>3067</v>
      </c>
      <c r="Y320" s="110"/>
      <c r="Z320" s="110"/>
      <c r="AA320" s="110"/>
      <c r="AB320" s="110"/>
      <c r="AC320" s="110"/>
      <c r="AD320" s="110"/>
      <c r="AE320" s="110"/>
      <c r="AF320" s="110"/>
      <c r="AG320" s="110"/>
      <c r="AH320" s="110"/>
      <c r="AI320" s="110"/>
      <c r="AJ320" s="110"/>
      <c r="AK320" s="110"/>
      <c r="AL320" s="143"/>
      <c r="AM320" s="143"/>
      <c r="AN320" s="143"/>
      <c r="AO320" s="143"/>
      <c r="AP320" s="143"/>
      <c r="AQ320" s="143"/>
      <c r="AR320" s="143"/>
    </row>
    <row r="321" spans="2:44" ht="20.100000000000001" customHeight="1">
      <c r="D321" s="1333" t="s">
        <v>3068</v>
      </c>
      <c r="E321" s="1333"/>
      <c r="F321" s="1333"/>
      <c r="G321" s="1333"/>
      <c r="H321" s="1333"/>
      <c r="I321" s="1333"/>
      <c r="J321" s="1333"/>
      <c r="K321" s="1333"/>
      <c r="L321" s="1333"/>
      <c r="M321" s="1333"/>
      <c r="N321" s="1333"/>
      <c r="O321" s="1333"/>
      <c r="P321" s="1333"/>
      <c r="Q321" s="1333"/>
      <c r="R321" s="1333"/>
      <c r="S321" s="1333"/>
      <c r="T321" s="1333"/>
      <c r="U321" s="1333"/>
      <c r="V321" s="1333"/>
      <c r="W321" s="1333"/>
      <c r="X321" s="1333" t="s">
        <v>1761</v>
      </c>
      <c r="Y321" s="1333"/>
      <c r="Z321" s="1333"/>
      <c r="AA321" s="1333"/>
      <c r="AB321" s="1333"/>
      <c r="AC321" s="1333"/>
      <c r="AD321" s="1333"/>
      <c r="AE321" s="1333"/>
      <c r="AF321" s="1333"/>
      <c r="AG321" s="1333"/>
      <c r="AH321" s="1333"/>
      <c r="AI321" s="1333"/>
      <c r="AJ321" s="1333"/>
      <c r="AK321" s="1333"/>
      <c r="AL321" s="143"/>
      <c r="AM321" s="143"/>
      <c r="AN321" s="143"/>
      <c r="AO321" s="143"/>
      <c r="AP321" s="143"/>
      <c r="AQ321" s="143"/>
      <c r="AR321" s="143"/>
    </row>
    <row r="322" spans="2:44" ht="15" customHeight="1">
      <c r="G322" s="1694"/>
      <c r="O322" s="170"/>
      <c r="AB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</row>
    <row r="323" spans="2:44" ht="15" customHeight="1">
      <c r="C323" s="1177" t="s">
        <v>2466</v>
      </c>
      <c r="D323" s="1333" t="s">
        <v>2147</v>
      </c>
      <c r="E323" s="1333"/>
      <c r="F323" s="1333"/>
      <c r="G323" s="1333"/>
      <c r="H323" s="1333"/>
      <c r="I323" s="1333"/>
      <c r="J323" s="1333"/>
      <c r="K323" s="1333"/>
      <c r="L323" s="1333"/>
      <c r="M323" s="1333"/>
      <c r="N323" s="1554"/>
      <c r="O323" s="170"/>
      <c r="Y323" s="143"/>
      <c r="AB323" s="143"/>
      <c r="AD323" s="1547"/>
      <c r="AE323" s="143"/>
      <c r="AF323" s="1547"/>
      <c r="AG323" s="143"/>
      <c r="AH323" s="143"/>
      <c r="AI323" s="143"/>
      <c r="AJ323" s="143"/>
      <c r="AK323" s="143"/>
      <c r="AL323" s="143"/>
      <c r="AM323" s="143"/>
      <c r="AN323" s="143"/>
      <c r="AO323" s="143"/>
      <c r="AP323" s="143"/>
      <c r="AQ323" s="143"/>
      <c r="AR323" s="143"/>
    </row>
    <row r="324" spans="2:44" ht="20.100000000000001" customHeight="1">
      <c r="D324" s="1242" t="s">
        <v>134</v>
      </c>
      <c r="E324" s="1242"/>
      <c r="F324" s="1667"/>
      <c r="G324" s="1667"/>
      <c r="H324" s="1667"/>
      <c r="I324" s="1667"/>
      <c r="J324" s="1667"/>
      <c r="K324" s="1667"/>
      <c r="L324" s="1242" t="s">
        <v>129</v>
      </c>
      <c r="M324" s="1667"/>
      <c r="N324" s="1667"/>
      <c r="O324" s="1667"/>
      <c r="P324" s="1667"/>
      <c r="Q324" s="1667"/>
      <c r="R324" s="1667"/>
      <c r="S324" s="1667"/>
      <c r="T324" s="1667"/>
      <c r="U324" s="1667"/>
      <c r="V324" s="1667"/>
      <c r="W324" s="1667"/>
      <c r="X324" s="1667" t="s">
        <v>252</v>
      </c>
      <c r="Y324" s="1667"/>
      <c r="Z324" s="1667"/>
      <c r="AA324" s="1667"/>
      <c r="AB324" s="1667"/>
      <c r="AC324" s="1667"/>
      <c r="AD324" s="1667"/>
      <c r="AE324" s="1667"/>
      <c r="AF324" s="1667"/>
      <c r="AG324" s="1667"/>
      <c r="AH324" s="1667"/>
      <c r="AI324" s="1667"/>
      <c r="AJ324" s="1667"/>
      <c r="AK324" s="1667"/>
      <c r="AL324" s="143"/>
      <c r="AM324" s="143"/>
      <c r="AN324" s="143"/>
      <c r="AO324" s="143"/>
      <c r="AP324" s="143"/>
      <c r="AQ324" s="143"/>
      <c r="AR324" s="143"/>
    </row>
    <row r="325" spans="2:44" ht="20.100000000000001" customHeight="1">
      <c r="D325" s="146" t="s">
        <v>253</v>
      </c>
      <c r="E325" s="146"/>
      <c r="F325" s="146"/>
      <c r="G325" s="146"/>
      <c r="H325" s="146"/>
      <c r="I325" s="146"/>
      <c r="J325" s="146"/>
      <c r="K325" s="146"/>
      <c r="L325" s="2277">
        <v>4</v>
      </c>
      <c r="M325" s="2277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2240">
        <v>5.34</v>
      </c>
      <c r="Y325" s="2240"/>
      <c r="Z325" s="2240"/>
      <c r="AA325" s="146"/>
      <c r="AB325" s="146"/>
      <c r="AC325" s="1593"/>
      <c r="AD325" s="146"/>
      <c r="AE325" s="1593"/>
      <c r="AF325" s="146"/>
      <c r="AG325" s="146"/>
      <c r="AH325" s="146"/>
      <c r="AI325" s="146"/>
      <c r="AJ325" s="146"/>
      <c r="AK325" s="146"/>
      <c r="AL325" s="143"/>
      <c r="AM325" s="143"/>
      <c r="AN325" s="143"/>
      <c r="AO325" s="143"/>
      <c r="AP325" s="143"/>
      <c r="AQ325" s="143"/>
      <c r="AR325" s="143"/>
    </row>
    <row r="326" spans="2:44" ht="20.100000000000001" customHeight="1">
      <c r="D326" s="1937" t="s">
        <v>255</v>
      </c>
      <c r="E326" s="1937"/>
      <c r="F326" s="1937"/>
      <c r="G326" s="1937"/>
      <c r="H326" s="1937"/>
      <c r="I326" s="99" t="s">
        <v>214</v>
      </c>
      <c r="J326" s="99"/>
      <c r="K326" s="99"/>
      <c r="L326" s="99" t="s">
        <v>254</v>
      </c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1698" t="s">
        <v>3069</v>
      </c>
      <c r="Y326" s="91"/>
      <c r="Z326" s="91"/>
      <c r="AA326" s="91"/>
      <c r="AB326" s="91"/>
      <c r="AC326" s="1596"/>
      <c r="AD326" s="91"/>
      <c r="AE326" s="91"/>
      <c r="AF326" s="99"/>
      <c r="AG326" s="2274" t="s">
        <v>3070</v>
      </c>
      <c r="AH326" s="2274"/>
      <c r="AI326" s="2274"/>
      <c r="AJ326" s="99"/>
      <c r="AK326" s="99"/>
      <c r="AL326" s="143"/>
      <c r="AM326" s="143"/>
      <c r="AN326" s="143"/>
      <c r="AO326" s="143"/>
      <c r="AP326" s="143"/>
      <c r="AQ326" s="143"/>
      <c r="AR326" s="143"/>
    </row>
    <row r="327" spans="2:44" ht="20.100000000000001" customHeight="1">
      <c r="D327" s="2130"/>
      <c r="E327" s="2130"/>
      <c r="F327" s="2130"/>
      <c r="G327" s="2130"/>
      <c r="H327" s="2130"/>
      <c r="I327" s="1333" t="s">
        <v>256</v>
      </c>
      <c r="J327" s="1333"/>
      <c r="K327" s="1333"/>
      <c r="L327" s="1333" t="s">
        <v>257</v>
      </c>
      <c r="M327" s="1333"/>
      <c r="N327" s="1333"/>
      <c r="O327" s="1333"/>
      <c r="P327" s="1333"/>
      <c r="Q327" s="1333"/>
      <c r="R327" s="1333"/>
      <c r="S327" s="1333"/>
      <c r="T327" s="1333"/>
      <c r="U327" s="1333"/>
      <c r="V327" s="1333"/>
      <c r="W327" s="1333"/>
      <c r="X327" s="1333"/>
      <c r="Y327" s="1679"/>
      <c r="Z327" s="1333"/>
      <c r="AA327" s="1573" t="s">
        <v>3071</v>
      </c>
      <c r="AB327" s="1333"/>
      <c r="AC327" s="1554"/>
      <c r="AD327" s="1333"/>
      <c r="AE327" s="1333"/>
      <c r="AF327" s="1333"/>
      <c r="AG327" s="2275"/>
      <c r="AH327" s="2275"/>
      <c r="AI327" s="2275"/>
      <c r="AJ327" s="1333"/>
      <c r="AK327" s="1333"/>
      <c r="AL327" s="143"/>
      <c r="AM327" s="143"/>
      <c r="AN327" s="143"/>
      <c r="AO327" s="143"/>
      <c r="AP327" s="143"/>
      <c r="AQ327" s="143"/>
      <c r="AR327" s="143"/>
    </row>
    <row r="328" spans="2:44" ht="15" customHeight="1">
      <c r="E328" s="143" t="s">
        <v>3072</v>
      </c>
      <c r="G328" s="138" t="s">
        <v>3035</v>
      </c>
      <c r="I328" s="143" t="s">
        <v>3073</v>
      </c>
      <c r="O328" s="170"/>
      <c r="AB328" s="1547"/>
      <c r="AD328" s="143"/>
      <c r="AE328" s="1547"/>
      <c r="AF328" s="143"/>
      <c r="AG328" s="143"/>
      <c r="AH328" s="143"/>
      <c r="AI328" s="143"/>
      <c r="AJ328" s="143"/>
      <c r="AK328" s="143"/>
      <c r="AL328" s="143"/>
      <c r="AM328" s="143"/>
      <c r="AN328" s="143"/>
      <c r="AO328" s="143"/>
      <c r="AP328" s="143"/>
      <c r="AQ328" s="143"/>
      <c r="AR328" s="143"/>
    </row>
    <row r="329" spans="2:44" ht="15" customHeight="1">
      <c r="E329" s="1570" t="s">
        <v>3074</v>
      </c>
      <c r="G329" s="138" t="s">
        <v>3035</v>
      </c>
      <c r="I329" s="1570" t="s">
        <v>3075</v>
      </c>
      <c r="O329" s="170"/>
      <c r="AB329" s="1547"/>
      <c r="AD329" s="143"/>
      <c r="AE329" s="1547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</row>
    <row r="330" spans="2:44" ht="15" customHeight="1">
      <c r="C330" s="95"/>
      <c r="E330" s="143" t="s">
        <v>3076</v>
      </c>
      <c r="G330" s="138" t="s">
        <v>3035</v>
      </c>
      <c r="I330" s="143" t="s">
        <v>3077</v>
      </c>
      <c r="O330" s="170"/>
      <c r="Y330" s="143"/>
      <c r="Z330" s="1570"/>
      <c r="AB330" s="1547"/>
      <c r="AD330" s="143"/>
      <c r="AE330" s="1547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</row>
    <row r="331" spans="2:44" ht="15" customHeight="1">
      <c r="C331" s="95"/>
      <c r="E331" s="143" t="s">
        <v>433</v>
      </c>
      <c r="G331" s="138" t="s">
        <v>3035</v>
      </c>
      <c r="I331" s="143" t="s">
        <v>435</v>
      </c>
      <c r="O331" s="170"/>
      <c r="Y331" s="143"/>
      <c r="Z331" s="1570"/>
      <c r="AB331" s="1547"/>
      <c r="AD331" s="143"/>
      <c r="AE331" s="1547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</row>
    <row r="332" spans="2:44" ht="15" customHeight="1">
      <c r="C332" s="95"/>
      <c r="E332" s="143" t="s">
        <v>405</v>
      </c>
      <c r="G332" s="138" t="s">
        <v>3035</v>
      </c>
      <c r="I332" s="143" t="s">
        <v>3086</v>
      </c>
      <c r="O332" s="170"/>
      <c r="Y332" s="143"/>
      <c r="Z332" s="1570"/>
      <c r="AB332" s="1547"/>
      <c r="AD332" s="143"/>
      <c r="AE332" s="1547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</row>
    <row r="333" spans="2:44" ht="15" customHeight="1">
      <c r="C333" s="95"/>
      <c r="G333" s="4"/>
      <c r="H333" s="4"/>
      <c r="I333" s="4"/>
      <c r="O333" s="170"/>
      <c r="Y333" s="143"/>
      <c r="Z333" s="1570"/>
      <c r="AB333" s="1547"/>
      <c r="AD333" s="143"/>
      <c r="AE333" s="1547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</row>
    <row r="334" spans="2:44" ht="15" customHeight="1">
      <c r="B334" s="1689" t="s">
        <v>756</v>
      </c>
      <c r="C334" s="95"/>
      <c r="G334" s="4"/>
      <c r="H334" s="4"/>
      <c r="I334" s="4"/>
      <c r="O334" s="170"/>
      <c r="Y334" s="143"/>
      <c r="Z334" s="1570"/>
      <c r="AB334" s="1547"/>
      <c r="AD334" s="143"/>
      <c r="AE334" s="1547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674" t="s">
        <v>3078</v>
      </c>
    </row>
    <row r="335" spans="2:44" ht="15" customHeight="1">
      <c r="B335" s="1177" t="s">
        <v>2466</v>
      </c>
      <c r="C335" s="143" t="s">
        <v>3079</v>
      </c>
      <c r="G335" s="4"/>
      <c r="H335" s="4"/>
      <c r="I335" s="4"/>
      <c r="O335" s="170"/>
      <c r="Y335" s="143"/>
      <c r="Z335" s="1570"/>
      <c r="AB335" s="1547"/>
      <c r="AD335" s="143"/>
      <c r="AE335" s="1547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</row>
    <row r="336" spans="2:44" ht="20.100000000000001" customHeight="1">
      <c r="C336" s="1242" t="s">
        <v>134</v>
      </c>
      <c r="D336" s="1242"/>
      <c r="E336" s="1704"/>
      <c r="F336" s="1242"/>
      <c r="G336" s="1242"/>
      <c r="H336" s="1242"/>
      <c r="I336" s="1242"/>
      <c r="J336" s="1242"/>
      <c r="K336" s="1242"/>
      <c r="L336" s="1242"/>
      <c r="M336" s="1242"/>
      <c r="N336" s="1242"/>
      <c r="O336" s="1242"/>
      <c r="P336" s="1242"/>
      <c r="Q336" s="1242"/>
      <c r="R336" s="1242"/>
      <c r="S336" s="1242"/>
      <c r="T336" s="1242"/>
      <c r="U336" s="1242"/>
      <c r="V336" s="1242"/>
      <c r="W336" s="1242"/>
      <c r="X336" s="1242" t="s">
        <v>455</v>
      </c>
      <c r="Y336" s="1704"/>
      <c r="Z336" s="1704"/>
      <c r="AA336" s="1704"/>
      <c r="AB336" s="1704"/>
      <c r="AC336" s="1704"/>
      <c r="AD336" s="1704"/>
      <c r="AE336" s="1704"/>
      <c r="AF336" s="1704"/>
      <c r="AG336" s="1704"/>
      <c r="AH336" s="1704"/>
      <c r="AI336" s="1704"/>
      <c r="AJ336" s="1704"/>
      <c r="AK336" s="1704"/>
      <c r="AL336" s="143"/>
      <c r="AM336" s="143"/>
      <c r="AN336" s="143"/>
      <c r="AO336" s="143"/>
      <c r="AP336" s="143"/>
      <c r="AQ336" s="143"/>
      <c r="AR336" s="143"/>
    </row>
    <row r="337" spans="2:44" ht="20.100000000000001" customHeight="1">
      <c r="C337" s="143" t="s">
        <v>456</v>
      </c>
      <c r="E337" s="1694"/>
      <c r="L337" s="143"/>
      <c r="X337" s="143" t="s">
        <v>457</v>
      </c>
      <c r="Y337" s="1694"/>
      <c r="Z337" s="1694"/>
      <c r="AA337" s="1694"/>
      <c r="AB337" s="1694"/>
      <c r="AC337" s="1694"/>
      <c r="AD337" s="1694"/>
      <c r="AE337" s="1694"/>
      <c r="AF337" s="1694"/>
      <c r="AG337" s="1694"/>
      <c r="AH337" s="1694"/>
      <c r="AI337" s="1694"/>
      <c r="AJ337" s="1694"/>
      <c r="AK337" s="1694"/>
      <c r="AL337" s="143"/>
      <c r="AM337" s="143"/>
      <c r="AN337" s="143"/>
      <c r="AO337" s="143"/>
      <c r="AP337" s="143"/>
      <c r="AQ337" s="143"/>
      <c r="AR337" s="143"/>
    </row>
    <row r="338" spans="2:44" ht="20.100000000000001" customHeight="1">
      <c r="C338" s="1333" t="s">
        <v>136</v>
      </c>
      <c r="D338" s="1333"/>
      <c r="E338" s="1695"/>
      <c r="F338" s="1333"/>
      <c r="G338" s="1333"/>
      <c r="H338" s="1333"/>
      <c r="I338" s="1333"/>
      <c r="J338" s="1333"/>
      <c r="K338" s="1333"/>
      <c r="L338" s="1333"/>
      <c r="M338" s="1333"/>
      <c r="N338" s="1333"/>
      <c r="O338" s="1333"/>
      <c r="P338" s="1333"/>
      <c r="Q338" s="1333"/>
      <c r="R338" s="1333"/>
      <c r="S338" s="1333"/>
      <c r="T338" s="1333"/>
      <c r="U338" s="1333"/>
      <c r="V338" s="1333"/>
      <c r="W338" s="1333"/>
      <c r="X338" s="1333" t="s">
        <v>458</v>
      </c>
      <c r="Y338" s="1695"/>
      <c r="Z338" s="1695"/>
      <c r="AA338" s="1695"/>
      <c r="AB338" s="1695"/>
      <c r="AC338" s="1695"/>
      <c r="AD338" s="1695"/>
      <c r="AE338" s="1695"/>
      <c r="AF338" s="1695"/>
      <c r="AG338" s="1695"/>
      <c r="AH338" s="1695"/>
      <c r="AI338" s="1695"/>
      <c r="AJ338" s="1695"/>
      <c r="AK338" s="1695"/>
      <c r="AL338" s="143"/>
      <c r="AM338" s="143"/>
      <c r="AN338" s="143"/>
      <c r="AO338" s="143"/>
      <c r="AP338" s="143"/>
      <c r="AQ338" s="143"/>
      <c r="AR338" s="143"/>
    </row>
    <row r="339" spans="2:44" ht="15" customHeight="1">
      <c r="E339" s="1694"/>
      <c r="I339" s="1694"/>
      <c r="J339" s="1694"/>
      <c r="K339" s="1694"/>
      <c r="L339" s="1694"/>
      <c r="M339" s="1694"/>
      <c r="O339" s="170"/>
      <c r="Y339" s="143"/>
      <c r="Z339" s="1570"/>
      <c r="AB339" s="1547"/>
      <c r="AD339" s="143"/>
      <c r="AE339" s="1547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</row>
    <row r="340" spans="2:44" ht="15" customHeight="1">
      <c r="B340" s="1177" t="s">
        <v>2466</v>
      </c>
      <c r="C340" s="143" t="s">
        <v>3080</v>
      </c>
      <c r="H340" s="1547"/>
      <c r="K340" s="52"/>
      <c r="L340" s="143"/>
      <c r="O340" s="170"/>
      <c r="Y340" s="143"/>
      <c r="Z340" s="1570"/>
      <c r="AB340" s="1547"/>
      <c r="AD340" s="143"/>
      <c r="AE340" s="1547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</row>
    <row r="341" spans="2:44" ht="20.100000000000001" customHeight="1">
      <c r="C341" s="1242" t="s">
        <v>134</v>
      </c>
      <c r="D341" s="1242"/>
      <c r="E341" s="1704"/>
      <c r="F341" s="1242"/>
      <c r="G341" s="1242"/>
      <c r="H341" s="1242"/>
      <c r="I341" s="1242"/>
      <c r="J341" s="1242"/>
      <c r="K341" s="1242"/>
      <c r="L341" s="1242"/>
      <c r="M341" s="1242"/>
      <c r="N341" s="1242"/>
      <c r="O341" s="1242"/>
      <c r="P341" s="1242"/>
      <c r="Q341" s="1242"/>
      <c r="R341" s="1242"/>
      <c r="S341" s="1242"/>
      <c r="T341" s="1242"/>
      <c r="U341" s="1242"/>
      <c r="V341" s="1242"/>
      <c r="W341" s="1242"/>
      <c r="X341" s="1242" t="s">
        <v>455</v>
      </c>
      <c r="Y341" s="1704"/>
      <c r="Z341" s="1704"/>
      <c r="AA341" s="1704"/>
      <c r="AB341" s="1704"/>
      <c r="AC341" s="1704"/>
      <c r="AD341" s="1704"/>
      <c r="AE341" s="1704"/>
      <c r="AF341" s="1704"/>
      <c r="AG341" s="1704"/>
      <c r="AH341" s="1704"/>
      <c r="AI341" s="1704"/>
      <c r="AJ341" s="1704"/>
      <c r="AK341" s="1704"/>
      <c r="AL341" s="143"/>
      <c r="AM341" s="143"/>
      <c r="AN341" s="143"/>
      <c r="AO341" s="143"/>
      <c r="AP341" s="143"/>
      <c r="AQ341" s="143"/>
      <c r="AR341" s="143"/>
    </row>
    <row r="342" spans="2:44" ht="20.100000000000001" customHeight="1">
      <c r="C342" s="143" t="s">
        <v>456</v>
      </c>
      <c r="E342" s="1694"/>
      <c r="L342" s="143"/>
      <c r="X342" s="143" t="s">
        <v>457</v>
      </c>
      <c r="Y342" s="1694"/>
      <c r="Z342" s="1694"/>
      <c r="AA342" s="1694"/>
      <c r="AB342" s="1694"/>
      <c r="AC342" s="1694"/>
      <c r="AD342" s="1694"/>
      <c r="AE342" s="1694"/>
      <c r="AF342" s="1694"/>
      <c r="AG342" s="1694"/>
      <c r="AH342" s="1694"/>
      <c r="AI342" s="1694"/>
      <c r="AJ342" s="1694"/>
      <c r="AK342" s="1694"/>
      <c r="AL342" s="143"/>
      <c r="AM342" s="143"/>
      <c r="AN342" s="143"/>
      <c r="AO342" s="143"/>
      <c r="AP342" s="143"/>
      <c r="AQ342" s="143"/>
      <c r="AR342" s="143"/>
    </row>
    <row r="343" spans="2:44" ht="20.100000000000001" customHeight="1">
      <c r="C343" s="143" t="s">
        <v>759</v>
      </c>
      <c r="E343" s="1694"/>
      <c r="L343" s="143"/>
      <c r="X343" s="143" t="s">
        <v>760</v>
      </c>
      <c r="Y343" s="1694"/>
      <c r="Z343" s="1694"/>
      <c r="AA343" s="1694"/>
      <c r="AB343" s="1694"/>
      <c r="AC343" s="1694"/>
      <c r="AD343" s="1694"/>
      <c r="AE343" s="1694"/>
      <c r="AF343" s="1694"/>
      <c r="AG343" s="1694"/>
      <c r="AH343" s="1694"/>
      <c r="AI343" s="1694"/>
      <c r="AJ343" s="1694"/>
      <c r="AK343" s="1694"/>
      <c r="AL343" s="143"/>
      <c r="AM343" s="143"/>
      <c r="AN343" s="143"/>
      <c r="AO343" s="143"/>
      <c r="AP343" s="143"/>
      <c r="AQ343" s="143"/>
      <c r="AR343" s="143"/>
    </row>
    <row r="344" spans="2:44" ht="20.100000000000001" customHeight="1">
      <c r="C344" s="1333" t="s">
        <v>136</v>
      </c>
      <c r="D344" s="1333"/>
      <c r="E344" s="1695"/>
      <c r="F344" s="1333"/>
      <c r="G344" s="1333"/>
      <c r="H344" s="1333"/>
      <c r="I344" s="1333"/>
      <c r="J344" s="1333"/>
      <c r="K344" s="1333"/>
      <c r="L344" s="1333"/>
      <c r="M344" s="1333"/>
      <c r="N344" s="1333"/>
      <c r="O344" s="1333"/>
      <c r="P344" s="1333"/>
      <c r="Q344" s="1333"/>
      <c r="R344" s="1333"/>
      <c r="S344" s="1333"/>
      <c r="T344" s="1333"/>
      <c r="U344" s="1333"/>
      <c r="V344" s="1333"/>
      <c r="W344" s="1333"/>
      <c r="X344" s="1333" t="s">
        <v>761</v>
      </c>
      <c r="Y344" s="1695"/>
      <c r="Z344" s="1695"/>
      <c r="AA344" s="1695"/>
      <c r="AB344" s="1695"/>
      <c r="AC344" s="1695"/>
      <c r="AD344" s="1695"/>
      <c r="AE344" s="1695"/>
      <c r="AF344" s="1695"/>
      <c r="AG344" s="1695"/>
      <c r="AH344" s="1695"/>
      <c r="AI344" s="1695"/>
      <c r="AJ344" s="1695"/>
      <c r="AK344" s="1695"/>
      <c r="AL344" s="143"/>
      <c r="AM344" s="143"/>
      <c r="AN344" s="143"/>
      <c r="AO344" s="143"/>
      <c r="AP344" s="143"/>
      <c r="AQ344" s="143"/>
      <c r="AR344" s="143"/>
    </row>
    <row r="345" spans="2:44" ht="15" customHeight="1">
      <c r="C345" s="95"/>
      <c r="H345" s="1694"/>
      <c r="I345" s="4"/>
      <c r="O345" s="170"/>
      <c r="Y345" s="143"/>
      <c r="Z345" s="1570"/>
      <c r="AB345" s="1547"/>
      <c r="AD345" s="143"/>
      <c r="AE345" s="1547"/>
      <c r="AF345" s="143"/>
      <c r="AG345" s="143"/>
      <c r="AH345" s="143"/>
      <c r="AI345" s="143"/>
      <c r="AJ345" s="143"/>
      <c r="AK345" s="143"/>
      <c r="AL345" s="143"/>
      <c r="AM345" s="143"/>
      <c r="AN345" s="143"/>
      <c r="AO345" s="143"/>
      <c r="AP345" s="143"/>
      <c r="AQ345" s="143"/>
      <c r="AR345" s="143"/>
    </row>
    <row r="346" spans="2:44" ht="15" customHeight="1">
      <c r="B346" s="1177" t="s">
        <v>2466</v>
      </c>
      <c r="C346" s="1705" t="s">
        <v>3081</v>
      </c>
      <c r="L346" s="143"/>
      <c r="O346" s="170"/>
      <c r="Y346" s="143"/>
      <c r="AB346" s="143"/>
      <c r="AD346" s="143"/>
      <c r="AE346" s="143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</row>
    <row r="347" spans="2:44" ht="15" customHeight="1">
      <c r="C347" s="143" t="s">
        <v>763</v>
      </c>
      <c r="L347" s="143"/>
      <c r="O347" s="170"/>
      <c r="Y347" s="143"/>
      <c r="AB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</row>
    <row r="348" spans="2:44" ht="15" customHeight="1">
      <c r="L348" s="143"/>
      <c r="O348" s="170"/>
      <c r="Y348" s="143"/>
      <c r="AB348" s="143"/>
      <c r="AD348" s="14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  <c r="AR348" s="143"/>
    </row>
    <row r="349" spans="2:44" ht="15" customHeight="1">
      <c r="C349" s="143" t="s">
        <v>764</v>
      </c>
      <c r="L349" s="143"/>
      <c r="O349" s="170"/>
      <c r="Y349" s="143"/>
      <c r="AB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  <c r="AR349" s="143"/>
    </row>
    <row r="350" spans="2:44" ht="15" customHeight="1">
      <c r="E350" s="143" t="s">
        <v>473</v>
      </c>
      <c r="G350" s="138" t="s">
        <v>324</v>
      </c>
      <c r="H350" s="1694"/>
      <c r="I350" s="143" t="s">
        <v>1244</v>
      </c>
      <c r="O350" s="170"/>
      <c r="Y350" s="143"/>
      <c r="Z350" s="1570"/>
      <c r="AB350" s="1547"/>
      <c r="AD350" s="143"/>
      <c r="AE350" s="1547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  <c r="AR350" s="143"/>
    </row>
    <row r="351" spans="2:44" ht="15" customHeight="1">
      <c r="E351" s="143" t="s">
        <v>740</v>
      </c>
      <c r="G351" s="138" t="s">
        <v>324</v>
      </c>
      <c r="H351" s="1694"/>
      <c r="I351" s="143" t="s">
        <v>1246</v>
      </c>
      <c r="O351" s="170"/>
      <c r="Y351" s="143"/>
      <c r="Z351" s="1570"/>
      <c r="AB351" s="1547"/>
      <c r="AD351" s="143"/>
      <c r="AE351" s="1547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  <c r="AR351" s="143"/>
    </row>
    <row r="352" spans="2:44" ht="15" customHeight="1">
      <c r="E352" s="143" t="s">
        <v>623</v>
      </c>
      <c r="G352" s="138" t="s">
        <v>324</v>
      </c>
      <c r="H352" s="1694"/>
      <c r="I352" s="143" t="s">
        <v>768</v>
      </c>
      <c r="O352" s="170"/>
      <c r="Y352" s="143"/>
      <c r="Z352" s="1570"/>
      <c r="AB352" s="1547"/>
      <c r="AD352" s="143"/>
      <c r="AE352" s="1547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  <c r="AR352" s="143"/>
    </row>
    <row r="353" spans="1:44" ht="15" customHeight="1">
      <c r="E353" s="143" t="s">
        <v>476</v>
      </c>
      <c r="G353" s="138" t="s">
        <v>324</v>
      </c>
      <c r="H353" s="1694"/>
      <c r="I353" s="143" t="s">
        <v>3087</v>
      </c>
      <c r="O353" s="170"/>
      <c r="Y353" s="143"/>
      <c r="Z353" s="1570"/>
      <c r="AB353" s="1547"/>
      <c r="AD353" s="143"/>
      <c r="AE353" s="1547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  <c r="AR353" s="143"/>
    </row>
    <row r="354" spans="1:44" ht="15" customHeight="1">
      <c r="C354" s="95"/>
      <c r="G354" s="4"/>
      <c r="H354" s="4"/>
      <c r="I354" s="4"/>
      <c r="O354" s="170"/>
      <c r="Y354" s="143"/>
      <c r="Z354" s="1570"/>
      <c r="AB354" s="1547"/>
      <c r="AD354" s="143"/>
      <c r="AE354" s="1547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</row>
    <row r="355" spans="1:44" ht="15" customHeight="1">
      <c r="B355" s="1689" t="s">
        <v>459</v>
      </c>
      <c r="L355" s="143"/>
      <c r="N355" s="1547"/>
      <c r="O355" s="170"/>
      <c r="Y355" s="143"/>
      <c r="Z355" s="1570"/>
      <c r="AB355" s="1547"/>
      <c r="AD355" s="143"/>
      <c r="AE355" s="1547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  <c r="AR355" s="143"/>
    </row>
    <row r="356" spans="1:44" ht="15" customHeight="1">
      <c r="L356" s="143"/>
      <c r="N356" s="1547"/>
      <c r="O356" s="170"/>
      <c r="Y356" s="143"/>
      <c r="Z356" s="1570"/>
      <c r="AB356" s="1547"/>
      <c r="AD356" s="143"/>
      <c r="AE356" s="1547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  <c r="AR356" s="143"/>
    </row>
    <row r="357" spans="1:44" ht="20.100000000000001" customHeight="1">
      <c r="C357" s="1242" t="s">
        <v>134</v>
      </c>
      <c r="D357" s="1242"/>
      <c r="E357" s="1242"/>
      <c r="F357" s="1242"/>
      <c r="G357" s="1242"/>
      <c r="H357" s="1242"/>
      <c r="I357" s="1242"/>
      <c r="J357" s="1242"/>
      <c r="K357" s="1242"/>
      <c r="L357" s="1242"/>
      <c r="M357" s="1242"/>
      <c r="N357" s="1242"/>
      <c r="O357" s="1242"/>
      <c r="P357" s="1242"/>
      <c r="Q357" s="1242"/>
      <c r="R357" s="1242"/>
      <c r="S357" s="1242"/>
      <c r="T357" s="1242"/>
      <c r="U357" s="1242"/>
      <c r="V357" s="1242"/>
      <c r="W357" s="1242"/>
      <c r="X357" s="1242" t="s">
        <v>285</v>
      </c>
      <c r="Y357" s="1242"/>
      <c r="Z357" s="1242"/>
      <c r="AA357" s="1242"/>
      <c r="AB357" s="1242"/>
      <c r="AC357" s="1242"/>
      <c r="AD357" s="1242"/>
      <c r="AE357" s="1242"/>
      <c r="AF357" s="1242"/>
      <c r="AG357" s="1242"/>
      <c r="AH357" s="1242"/>
      <c r="AI357" s="1242"/>
      <c r="AJ357" s="1242"/>
      <c r="AK357" s="1242"/>
      <c r="AL357" s="143"/>
      <c r="AM357" s="143"/>
      <c r="AN357" s="143"/>
      <c r="AO357" s="143"/>
      <c r="AP357" s="143"/>
      <c r="AQ357" s="143"/>
      <c r="AR357" s="143"/>
    </row>
    <row r="358" spans="1:44" ht="20.100000000000001" customHeight="1">
      <c r="C358" s="146" t="s">
        <v>286</v>
      </c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 t="s">
        <v>1764</v>
      </c>
      <c r="Y358" s="146"/>
      <c r="Z358" s="146"/>
      <c r="AA358" s="146"/>
      <c r="AB358" s="146"/>
      <c r="AC358" s="146"/>
      <c r="AD358" s="146"/>
      <c r="AE358" s="146"/>
      <c r="AF358" s="146"/>
      <c r="AG358" s="146"/>
      <c r="AH358" s="146"/>
      <c r="AI358" s="146"/>
      <c r="AJ358" s="146"/>
      <c r="AK358" s="146"/>
      <c r="AL358" s="143"/>
      <c r="AM358" s="143"/>
      <c r="AN358" s="143"/>
      <c r="AO358" s="143"/>
      <c r="AP358" s="143"/>
      <c r="AQ358" s="143"/>
      <c r="AR358" s="1674" t="s">
        <v>3082</v>
      </c>
    </row>
    <row r="359" spans="1:44" ht="20.100000000000001" customHeight="1">
      <c r="C359" s="1937" t="s">
        <v>287</v>
      </c>
      <c r="D359" s="1937"/>
      <c r="E359" s="1937"/>
      <c r="F359" s="1937"/>
      <c r="G359" s="1937"/>
      <c r="H359" s="1937"/>
      <c r="I359" s="1937"/>
      <c r="J359" s="99"/>
      <c r="K359" s="99" t="s">
        <v>272</v>
      </c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 t="s">
        <v>288</v>
      </c>
      <c r="Y359" s="143"/>
      <c r="AB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674" t="s">
        <v>3083</v>
      </c>
    </row>
    <row r="360" spans="1:44" ht="20.100000000000001" customHeight="1">
      <c r="C360" s="2130"/>
      <c r="D360" s="2130"/>
      <c r="E360" s="2130"/>
      <c r="F360" s="2130"/>
      <c r="G360" s="2130"/>
      <c r="H360" s="2130"/>
      <c r="I360" s="2130"/>
      <c r="J360" s="1333"/>
      <c r="K360" s="1333" t="s">
        <v>274</v>
      </c>
      <c r="L360" s="1333"/>
      <c r="M360" s="1333"/>
      <c r="N360" s="1333"/>
      <c r="O360" s="1333"/>
      <c r="P360" s="1333"/>
      <c r="Q360" s="1333"/>
      <c r="R360" s="1333"/>
      <c r="S360" s="1333"/>
      <c r="T360" s="1333"/>
      <c r="U360" s="1333"/>
      <c r="V360" s="1333"/>
      <c r="W360" s="1333"/>
      <c r="X360" s="1333" t="s">
        <v>1764</v>
      </c>
      <c r="Y360" s="1333"/>
      <c r="Z360" s="1333"/>
      <c r="AA360" s="1333"/>
      <c r="AB360" s="1333"/>
      <c r="AC360" s="1333"/>
      <c r="AD360" s="1333"/>
      <c r="AE360" s="1333"/>
      <c r="AF360" s="1333"/>
      <c r="AG360" s="1333"/>
      <c r="AH360" s="1333"/>
      <c r="AI360" s="1333"/>
      <c r="AJ360" s="1333"/>
      <c r="AK360" s="1333"/>
      <c r="AL360" s="143"/>
      <c r="AM360" s="143"/>
      <c r="AN360" s="143"/>
      <c r="AO360" s="143"/>
      <c r="AP360" s="143"/>
      <c r="AQ360" s="143"/>
      <c r="AR360" s="143"/>
    </row>
    <row r="361" spans="1:44" ht="15" customHeight="1">
      <c r="C361" s="1570"/>
      <c r="D361" s="1570"/>
      <c r="E361" s="1570"/>
      <c r="F361" s="1570"/>
      <c r="G361" s="1570"/>
      <c r="L361" s="143"/>
      <c r="O361" s="170"/>
      <c r="Y361" s="143"/>
      <c r="Z361" s="1570"/>
      <c r="AB361" s="1547"/>
      <c r="AD361" s="143"/>
      <c r="AE361" s="1547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</row>
    <row r="362" spans="1:44" ht="15" customHeight="1">
      <c r="C362" s="1570"/>
      <c r="D362" s="1570"/>
      <c r="E362" s="1570"/>
      <c r="F362" s="1570"/>
      <c r="G362" s="1570"/>
      <c r="L362" s="143"/>
      <c r="O362" s="170"/>
      <c r="Y362" s="143"/>
      <c r="Z362" s="1570"/>
      <c r="AB362" s="1547"/>
      <c r="AD362" s="143"/>
      <c r="AE362" s="1547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  <c r="AR362" s="143"/>
    </row>
    <row r="363" spans="1:44" ht="15" customHeight="1">
      <c r="A363" s="1547"/>
      <c r="B363" s="206" t="s">
        <v>3084</v>
      </c>
      <c r="C363" s="95"/>
      <c r="G363" s="1574"/>
      <c r="H363" s="1599"/>
      <c r="I363" s="1566"/>
      <c r="J363" s="1566"/>
      <c r="K363" s="1566"/>
      <c r="L363" s="1566"/>
      <c r="O363" s="170"/>
      <c r="Q363" s="1566"/>
      <c r="R363" s="1566"/>
      <c r="S363" s="1566"/>
      <c r="T363" s="1566"/>
      <c r="U363" s="1566"/>
      <c r="V363" s="1566"/>
      <c r="W363" s="1566"/>
      <c r="X363" s="1566"/>
      <c r="Y363" s="1566"/>
      <c r="Z363" s="1566"/>
      <c r="AB363" s="165"/>
      <c r="AC363" s="165"/>
      <c r="AD363" s="1566"/>
      <c r="AE363" s="1547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  <c r="AR363" s="1674" t="s">
        <v>3085</v>
      </c>
    </row>
    <row r="364" spans="1:44" ht="15" customHeight="1">
      <c r="A364" s="1547"/>
      <c r="B364" s="1547"/>
      <c r="C364" s="95"/>
      <c r="G364" s="1574"/>
      <c r="H364" s="1599"/>
      <c r="I364" s="1566"/>
      <c r="J364" s="1566"/>
      <c r="K364" s="1566"/>
      <c r="L364" s="1566"/>
      <c r="N364" s="1566"/>
      <c r="O364" s="170"/>
      <c r="P364" s="1575"/>
      <c r="Q364" s="1566"/>
      <c r="R364" s="1566"/>
      <c r="S364" s="1566"/>
      <c r="T364" s="1566"/>
      <c r="U364" s="1566"/>
      <c r="V364" s="1566"/>
      <c r="W364" s="1566"/>
      <c r="X364" s="1566"/>
      <c r="Y364" s="1566"/>
      <c r="Z364" s="1566"/>
      <c r="AB364" s="165"/>
      <c r="AC364" s="165"/>
      <c r="AD364" s="1566"/>
      <c r="AE364" s="1547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  <c r="AR364" s="143"/>
    </row>
    <row r="365" spans="1:44" ht="15" customHeight="1">
      <c r="A365" s="1547"/>
      <c r="B365" s="1547"/>
      <c r="C365" s="95"/>
      <c r="G365" s="1574"/>
      <c r="H365" s="1599"/>
      <c r="I365" s="1566"/>
      <c r="J365" s="1566"/>
      <c r="K365" s="1566"/>
      <c r="L365" s="1566"/>
      <c r="N365" s="1566"/>
      <c r="O365" s="170"/>
      <c r="P365" s="1575"/>
      <c r="Q365" s="1566"/>
      <c r="R365" s="1566"/>
      <c r="S365" s="1566"/>
      <c r="T365" s="1566"/>
      <c r="U365" s="1566"/>
      <c r="V365" s="1566"/>
      <c r="W365" s="1566"/>
      <c r="X365" s="1566"/>
      <c r="Y365" s="1566"/>
      <c r="Z365" s="1566"/>
      <c r="AB365" s="165"/>
      <c r="AC365" s="165"/>
      <c r="AD365" s="1566"/>
      <c r="AE365" s="1547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  <c r="AR365" s="143"/>
    </row>
    <row r="366" spans="1:44" ht="15" customHeight="1">
      <c r="A366" s="1547"/>
      <c r="B366" s="1547"/>
      <c r="C366" s="95"/>
      <c r="G366" s="1574"/>
      <c r="H366" s="1599"/>
      <c r="I366" s="1566"/>
      <c r="J366" s="1566"/>
      <c r="K366" s="1566"/>
      <c r="L366" s="1566"/>
      <c r="N366" s="1566"/>
      <c r="O366" s="170"/>
      <c r="P366" s="1575"/>
      <c r="Q366" s="1566"/>
      <c r="R366" s="1566"/>
      <c r="S366" s="1566"/>
      <c r="T366" s="1566"/>
      <c r="U366" s="1566"/>
      <c r="V366" s="1566"/>
      <c r="W366" s="1566"/>
      <c r="X366" s="1566"/>
      <c r="Y366" s="1566"/>
      <c r="Z366" s="1566"/>
      <c r="AB366" s="165"/>
      <c r="AC366" s="165"/>
      <c r="AD366" s="1566"/>
      <c r="AE366" s="1547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  <c r="AR366" s="143"/>
    </row>
    <row r="367" spans="1:44" ht="15" customHeight="1">
      <c r="A367" s="1547"/>
      <c r="B367" s="1547"/>
      <c r="C367" s="95"/>
      <c r="G367" s="1574"/>
      <c r="H367" s="1599"/>
      <c r="I367" s="1566"/>
      <c r="J367" s="1566"/>
      <c r="K367" s="1566"/>
      <c r="L367" s="1566"/>
      <c r="N367" s="1566"/>
      <c r="O367" s="170"/>
      <c r="P367" s="1575"/>
      <c r="Q367" s="1566"/>
      <c r="R367" s="1566"/>
      <c r="S367" s="1566"/>
      <c r="T367" s="1566"/>
      <c r="U367" s="1566"/>
      <c r="V367" s="1566"/>
      <c r="W367" s="1566"/>
      <c r="X367" s="1566"/>
      <c r="Y367" s="1566"/>
      <c r="Z367" s="1566"/>
      <c r="AB367" s="165"/>
      <c r="AC367" s="165"/>
      <c r="AD367" s="1566"/>
      <c r="AE367" s="1547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  <c r="AR367" s="143"/>
    </row>
    <row r="368" spans="1:44" ht="15" customHeight="1">
      <c r="A368" s="1547"/>
      <c r="B368" s="1547"/>
      <c r="C368" s="95"/>
      <c r="G368" s="1574"/>
      <c r="H368" s="1599"/>
      <c r="I368" s="1566"/>
      <c r="J368" s="1566"/>
      <c r="K368" s="1566"/>
      <c r="L368" s="1566"/>
      <c r="N368" s="1566"/>
      <c r="O368" s="170"/>
      <c r="P368" s="1575"/>
      <c r="Q368" s="1566"/>
      <c r="R368" s="1566"/>
      <c r="S368" s="1566"/>
      <c r="T368" s="1566"/>
      <c r="U368" s="1566"/>
      <c r="V368" s="1566"/>
      <c r="W368" s="1566"/>
      <c r="X368" s="1566"/>
      <c r="Y368" s="1566"/>
      <c r="Z368" s="1566"/>
      <c r="AB368" s="165"/>
      <c r="AC368" s="165"/>
      <c r="AD368" s="1566"/>
      <c r="AE368" s="1547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  <c r="AR368" s="143"/>
    </row>
    <row r="369" spans="1:44" ht="15" customHeight="1">
      <c r="A369" s="1547"/>
      <c r="B369" s="1547"/>
      <c r="C369" s="95"/>
      <c r="G369" s="1574"/>
      <c r="H369" s="1599"/>
      <c r="I369" s="1566"/>
      <c r="J369" s="1566"/>
      <c r="K369" s="1566"/>
      <c r="L369" s="1566"/>
      <c r="N369" s="1566"/>
      <c r="O369" s="170"/>
      <c r="P369" s="1575"/>
      <c r="Q369" s="1566"/>
      <c r="R369" s="1566"/>
      <c r="S369" s="1566"/>
      <c r="T369" s="1566"/>
      <c r="U369" s="1566"/>
      <c r="V369" s="1566"/>
      <c r="W369" s="1566"/>
      <c r="X369" s="1566"/>
      <c r="Y369" s="1566"/>
      <c r="Z369" s="1566"/>
      <c r="AB369" s="165"/>
      <c r="AC369" s="165"/>
      <c r="AD369" s="1566"/>
      <c r="AE369" s="1547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</row>
    <row r="370" spans="1:44" ht="15" customHeight="1">
      <c r="A370" s="1547"/>
      <c r="B370" s="1547"/>
      <c r="C370" s="95"/>
      <c r="G370" s="1574"/>
      <c r="H370" s="1599"/>
      <c r="I370" s="1566"/>
      <c r="J370" s="1566"/>
      <c r="K370" s="1566"/>
      <c r="L370" s="1566"/>
      <c r="N370" s="1566"/>
      <c r="O370" s="170"/>
      <c r="P370" s="1575"/>
      <c r="Q370" s="1566"/>
      <c r="R370" s="1566"/>
      <c r="S370" s="1566"/>
      <c r="T370" s="1566"/>
      <c r="U370" s="1566"/>
      <c r="V370" s="1566"/>
      <c r="W370" s="1566"/>
      <c r="X370" s="1566"/>
      <c r="Y370" s="1566"/>
      <c r="Z370" s="1566"/>
      <c r="AB370" s="165"/>
      <c r="AC370" s="165"/>
      <c r="AD370" s="1566"/>
      <c r="AE370" s="1547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R370" s="143"/>
    </row>
    <row r="371" spans="1:44" ht="15" customHeight="1">
      <c r="A371" s="1547"/>
      <c r="B371" s="1547"/>
      <c r="C371" s="95"/>
      <c r="G371" s="1574"/>
      <c r="H371" s="1599"/>
      <c r="I371" s="1566"/>
      <c r="J371" s="1566"/>
      <c r="K371" s="1566"/>
      <c r="L371" s="1566"/>
      <c r="N371" s="1566"/>
      <c r="O371" s="170"/>
      <c r="P371" s="1575"/>
      <c r="Q371" s="1566"/>
      <c r="R371" s="1566"/>
      <c r="S371" s="1566"/>
      <c r="T371" s="1566"/>
      <c r="U371" s="1566"/>
      <c r="V371" s="1566"/>
      <c r="W371" s="1566"/>
      <c r="X371" s="1566"/>
      <c r="Y371" s="1566"/>
      <c r="Z371" s="1566"/>
      <c r="AB371" s="165"/>
      <c r="AC371" s="165"/>
      <c r="AD371" s="1566"/>
      <c r="AE371" s="1547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  <c r="AR371" s="143"/>
    </row>
    <row r="372" spans="1:44" ht="15" customHeight="1">
      <c r="A372" s="1547"/>
      <c r="B372" s="1547"/>
      <c r="C372" s="95"/>
      <c r="G372" s="1574"/>
      <c r="H372" s="1599"/>
      <c r="I372" s="1566"/>
      <c r="J372" s="1566"/>
      <c r="K372" s="1566"/>
      <c r="L372" s="1566"/>
      <c r="N372" s="1566"/>
      <c r="O372" s="170"/>
      <c r="P372" s="1575"/>
      <c r="Q372" s="1566"/>
      <c r="R372" s="1566"/>
      <c r="S372" s="1566"/>
      <c r="T372" s="1566"/>
      <c r="U372" s="1566"/>
      <c r="V372" s="1566"/>
      <c r="W372" s="1566"/>
      <c r="X372" s="1566"/>
      <c r="Y372" s="1566"/>
      <c r="Z372" s="1566"/>
      <c r="AB372" s="165"/>
      <c r="AC372" s="165"/>
      <c r="AD372" s="1566"/>
      <c r="AE372" s="1547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  <c r="AR372" s="143"/>
    </row>
    <row r="373" spans="1:44" ht="15" customHeight="1">
      <c r="A373" s="1547"/>
      <c r="B373" s="1547"/>
      <c r="C373" s="95"/>
      <c r="G373" s="1574"/>
      <c r="H373" s="1599"/>
      <c r="I373" s="1566"/>
      <c r="J373" s="1566"/>
      <c r="K373" s="1566"/>
      <c r="L373" s="1566"/>
      <c r="N373" s="1566"/>
      <c r="O373" s="170"/>
      <c r="P373" s="1575"/>
      <c r="Q373" s="1566"/>
      <c r="R373" s="1566"/>
      <c r="S373" s="1566"/>
      <c r="T373" s="1566"/>
      <c r="U373" s="1566"/>
      <c r="V373" s="1566"/>
      <c r="W373" s="1566"/>
      <c r="X373" s="1566"/>
      <c r="Y373" s="1566"/>
      <c r="Z373" s="1566"/>
      <c r="AB373" s="165"/>
      <c r="AC373" s="165"/>
      <c r="AD373" s="1566"/>
      <c r="AE373" s="1547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  <c r="AR373" s="143"/>
    </row>
    <row r="374" spans="1:44" ht="15" customHeight="1">
      <c r="A374" s="1547"/>
      <c r="B374" s="1547"/>
      <c r="C374" s="95"/>
      <c r="G374" s="1574"/>
      <c r="H374" s="1599"/>
      <c r="I374" s="1566"/>
      <c r="J374" s="1566"/>
      <c r="K374" s="1566"/>
      <c r="L374" s="1566"/>
      <c r="N374" s="1566"/>
      <c r="O374" s="170"/>
      <c r="P374" s="1575"/>
      <c r="Q374" s="1566"/>
      <c r="R374" s="1566"/>
      <c r="S374" s="1566"/>
      <c r="T374" s="1566"/>
      <c r="U374" s="1566"/>
      <c r="V374" s="1566"/>
      <c r="W374" s="1566"/>
      <c r="X374" s="1566"/>
      <c r="Y374" s="1566"/>
      <c r="Z374" s="1566"/>
      <c r="AB374" s="165"/>
      <c r="AC374" s="165"/>
      <c r="AD374" s="1566"/>
      <c r="AE374" s="1547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  <c r="AR374" s="143"/>
    </row>
    <row r="375" spans="1:44" ht="15" customHeight="1">
      <c r="A375" s="1547"/>
      <c r="B375" s="1547"/>
      <c r="C375" s="95"/>
      <c r="G375" s="1574"/>
      <c r="H375" s="1599"/>
      <c r="I375" s="1566"/>
      <c r="J375" s="1566"/>
      <c r="K375" s="1566"/>
      <c r="L375" s="1566"/>
      <c r="N375" s="1566"/>
      <c r="O375" s="170"/>
      <c r="P375" s="1575"/>
      <c r="Q375" s="1566"/>
      <c r="R375" s="1566"/>
      <c r="S375" s="1566"/>
      <c r="T375" s="1566"/>
      <c r="U375" s="1566"/>
      <c r="V375" s="1566"/>
      <c r="W375" s="1566"/>
      <c r="X375" s="1566"/>
      <c r="Y375" s="1566"/>
      <c r="Z375" s="1566"/>
      <c r="AB375" s="165"/>
      <c r="AC375" s="165"/>
      <c r="AD375" s="1566"/>
      <c r="AE375" s="1547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</row>
    <row r="376" spans="1:44" ht="15" customHeight="1">
      <c r="A376" s="1547"/>
      <c r="B376" s="1547"/>
      <c r="C376" s="95"/>
      <c r="G376" s="1574"/>
      <c r="H376" s="1599"/>
      <c r="I376" s="1566"/>
      <c r="J376" s="1566"/>
      <c r="K376" s="1566"/>
      <c r="L376" s="1566"/>
      <c r="N376" s="1566"/>
      <c r="O376" s="170"/>
      <c r="P376" s="1575"/>
      <c r="Q376" s="1566"/>
      <c r="R376" s="1566"/>
      <c r="S376" s="1566"/>
      <c r="T376" s="1566"/>
      <c r="U376" s="1566"/>
      <c r="V376" s="1566"/>
      <c r="W376" s="1566"/>
      <c r="X376" s="1566"/>
      <c r="Y376" s="1566"/>
      <c r="Z376" s="1566"/>
      <c r="AB376" s="165"/>
      <c r="AC376" s="165"/>
      <c r="AD376" s="1566"/>
      <c r="AE376" s="1547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  <c r="AR376" s="143"/>
    </row>
    <row r="377" spans="1:44" ht="15" customHeight="1">
      <c r="A377" s="1547"/>
      <c r="B377" s="1547"/>
      <c r="C377" s="95"/>
      <c r="G377" s="1574"/>
      <c r="H377" s="1599"/>
      <c r="I377" s="1566"/>
      <c r="J377" s="1566"/>
      <c r="K377" s="1566"/>
      <c r="L377" s="1566"/>
      <c r="N377" s="1566"/>
      <c r="O377" s="170"/>
      <c r="P377" s="1575"/>
      <c r="Q377" s="1566"/>
      <c r="R377" s="1566"/>
      <c r="S377" s="1566"/>
      <c r="T377" s="1566"/>
      <c r="U377" s="1566"/>
      <c r="V377" s="1566"/>
      <c r="W377" s="1566"/>
      <c r="X377" s="1566"/>
      <c r="Y377" s="1566"/>
      <c r="Z377" s="1566"/>
      <c r="AB377" s="165"/>
      <c r="AC377" s="165"/>
      <c r="AD377" s="1566"/>
      <c r="AE377" s="1547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  <c r="AR377" s="143"/>
    </row>
    <row r="378" spans="1:44" ht="15" customHeight="1">
      <c r="A378" s="1547"/>
      <c r="B378" s="1547"/>
      <c r="C378" s="95"/>
      <c r="G378" s="1574"/>
      <c r="H378" s="1599"/>
      <c r="I378" s="1566"/>
      <c r="J378" s="1566"/>
      <c r="K378" s="1566"/>
      <c r="L378" s="1566"/>
      <c r="N378" s="1566"/>
      <c r="O378" s="170"/>
      <c r="P378" s="1575"/>
      <c r="Q378" s="1608"/>
      <c r="R378" s="1566"/>
      <c r="S378" s="1566"/>
      <c r="T378" s="1566"/>
      <c r="U378" s="1566"/>
      <c r="V378" s="1566"/>
      <c r="W378" s="1566"/>
      <c r="X378" s="1566"/>
      <c r="Y378" s="1566"/>
      <c r="Z378" s="1566"/>
      <c r="AB378" s="165"/>
      <c r="AC378" s="165"/>
      <c r="AD378" s="1566"/>
      <c r="AE378" s="1547"/>
      <c r="AF378" s="143"/>
      <c r="AG378" s="143"/>
      <c r="AH378" s="143"/>
      <c r="AI378" s="143"/>
      <c r="AJ378" s="143"/>
      <c r="AK378" s="143"/>
      <c r="AL378" s="143"/>
      <c r="AM378" s="143"/>
      <c r="AN378" s="143"/>
      <c r="AO378" s="143"/>
      <c r="AP378" s="143"/>
      <c r="AQ378" s="143"/>
      <c r="AR378" s="143"/>
    </row>
    <row r="379" spans="1:44" ht="15" customHeight="1">
      <c r="A379" s="1547"/>
      <c r="B379" s="1547"/>
      <c r="C379" s="95"/>
      <c r="G379" s="1574"/>
      <c r="H379" s="1599"/>
      <c r="I379" s="1566"/>
      <c r="J379" s="1566"/>
      <c r="K379" s="1566"/>
      <c r="L379" s="1566"/>
      <c r="N379" s="1566"/>
      <c r="O379" s="170"/>
      <c r="P379" s="1575"/>
      <c r="Q379" s="1608"/>
      <c r="R379" s="1566"/>
      <c r="S379" s="1566"/>
      <c r="T379" s="1566"/>
      <c r="U379" s="1566"/>
      <c r="V379" s="1566"/>
      <c r="W379" s="1566"/>
      <c r="X379" s="1566"/>
      <c r="Y379" s="1566"/>
      <c r="Z379" s="1566"/>
      <c r="AB379" s="165"/>
      <c r="AC379" s="165"/>
      <c r="AD379" s="1566"/>
      <c r="AE379" s="1547"/>
      <c r="AF379" s="143"/>
      <c r="AG379" s="143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  <c r="AR379" s="143"/>
    </row>
    <row r="380" spans="1:44" ht="15" customHeight="1">
      <c r="A380" s="1547"/>
      <c r="B380" s="1547"/>
      <c r="C380" s="95"/>
      <c r="G380" s="1574"/>
      <c r="H380" s="1599"/>
      <c r="I380" s="1566"/>
      <c r="J380" s="1566"/>
      <c r="K380" s="1566"/>
      <c r="L380" s="1566"/>
      <c r="N380" s="1566"/>
      <c r="O380" s="170"/>
      <c r="P380" s="1575"/>
      <c r="Q380" s="1608"/>
      <c r="R380" s="1566"/>
      <c r="S380" s="1566"/>
      <c r="T380" s="1566"/>
      <c r="U380" s="1566"/>
      <c r="V380" s="1566"/>
      <c r="W380" s="1566"/>
      <c r="X380" s="1566"/>
      <c r="Y380" s="1566"/>
      <c r="Z380" s="1566"/>
      <c r="AB380" s="165"/>
      <c r="AC380" s="165"/>
      <c r="AD380" s="1566"/>
      <c r="AE380" s="1547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</row>
    <row r="381" spans="1:44" ht="15" customHeight="1">
      <c r="A381" s="1547"/>
      <c r="B381" s="1547"/>
      <c r="C381" s="95"/>
      <c r="G381" s="1574"/>
      <c r="H381" s="1599"/>
      <c r="I381" s="1566"/>
      <c r="J381" s="1566"/>
      <c r="K381" s="1566"/>
      <c r="L381" s="1566"/>
      <c r="N381" s="1566"/>
      <c r="O381" s="170"/>
      <c r="P381" s="1575"/>
      <c r="Q381" s="1608"/>
      <c r="R381" s="1566"/>
      <c r="S381" s="1566"/>
      <c r="T381" s="1566"/>
      <c r="U381" s="1566"/>
      <c r="V381" s="1566"/>
      <c r="W381" s="1566"/>
      <c r="X381" s="1566"/>
      <c r="Y381" s="1566"/>
      <c r="Z381" s="1566"/>
      <c r="AB381" s="165"/>
      <c r="AC381" s="165"/>
      <c r="AD381" s="1566"/>
      <c r="AE381" s="1547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  <c r="AR381" s="143"/>
    </row>
    <row r="382" spans="1:44" ht="15" customHeight="1">
      <c r="A382" s="1547"/>
      <c r="B382" s="1547"/>
      <c r="C382" s="95"/>
      <c r="G382" s="1574"/>
      <c r="H382" s="1599"/>
      <c r="I382" s="1566"/>
      <c r="J382" s="1566"/>
      <c r="K382" s="1566"/>
      <c r="L382" s="1566"/>
      <c r="N382" s="1566"/>
      <c r="O382" s="170"/>
      <c r="P382" s="1575"/>
      <c r="Q382" s="1608"/>
      <c r="R382" s="1566"/>
      <c r="S382" s="1566"/>
      <c r="T382" s="1566"/>
      <c r="U382" s="1566"/>
      <c r="V382" s="1566"/>
      <c r="X382" s="1566"/>
      <c r="Y382" s="1566"/>
      <c r="Z382" s="1566"/>
      <c r="AB382" s="165"/>
      <c r="AC382" s="165"/>
      <c r="AD382" s="1566"/>
      <c r="AE382" s="1547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  <c r="AR382" s="143"/>
    </row>
    <row r="383" spans="1:44" ht="15" customHeight="1">
      <c r="A383" s="1547"/>
      <c r="B383" s="1547"/>
      <c r="C383" s="95"/>
      <c r="G383" s="1574"/>
      <c r="H383" s="1599"/>
      <c r="I383" s="1566"/>
      <c r="J383" s="1566"/>
      <c r="K383" s="1566"/>
      <c r="L383" s="1566"/>
      <c r="N383" s="1566"/>
      <c r="O383" s="170"/>
      <c r="P383" s="1575"/>
      <c r="Q383" s="1608"/>
      <c r="R383" s="1566"/>
      <c r="S383" s="1566"/>
      <c r="T383" s="1566"/>
      <c r="U383" s="1566"/>
      <c r="V383" s="1566"/>
      <c r="X383" s="1566"/>
      <c r="Y383" s="1566"/>
      <c r="Z383" s="1566"/>
      <c r="AB383" s="165"/>
      <c r="AC383" s="165"/>
      <c r="AD383" s="1566"/>
      <c r="AE383" s="1547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  <c r="AR383" s="143"/>
    </row>
    <row r="384" spans="1:44" ht="15" customHeight="1">
      <c r="A384" s="1547"/>
      <c r="B384" s="1547"/>
      <c r="C384" s="95"/>
      <c r="G384" s="1574"/>
      <c r="H384" s="1599"/>
      <c r="I384" s="1566"/>
      <c r="J384" s="1566"/>
      <c r="K384" s="1566"/>
      <c r="L384" s="1566"/>
      <c r="N384" s="1566"/>
      <c r="O384" s="170"/>
      <c r="P384" s="1575"/>
      <c r="Q384" s="1608"/>
      <c r="R384" s="1566"/>
      <c r="S384" s="1566"/>
      <c r="T384" s="1566"/>
      <c r="U384" s="1566"/>
      <c r="V384" s="1566"/>
      <c r="W384" s="1566"/>
      <c r="X384" s="1566"/>
      <c r="Y384" s="1566"/>
      <c r="Z384" s="1566"/>
      <c r="AB384" s="165"/>
      <c r="AC384" s="165"/>
      <c r="AD384" s="1566"/>
      <c r="AE384" s="1547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  <c r="AR384" s="143"/>
    </row>
    <row r="385" spans="1:44" ht="15" customHeight="1">
      <c r="A385" s="1547"/>
      <c r="B385" s="1547"/>
      <c r="C385" s="95"/>
      <c r="G385" s="1574"/>
      <c r="H385" s="1599"/>
      <c r="I385" s="1566"/>
      <c r="J385" s="1566"/>
      <c r="K385" s="1566"/>
      <c r="L385" s="1566"/>
      <c r="N385" s="1566"/>
      <c r="O385" s="170"/>
      <c r="P385" s="1575"/>
      <c r="Q385" s="1566"/>
      <c r="R385" s="1566"/>
      <c r="S385" s="1566"/>
      <c r="T385" s="1566"/>
      <c r="U385" s="1566"/>
      <c r="V385" s="1566"/>
      <c r="W385" s="1566"/>
      <c r="X385" s="1566"/>
      <c r="Y385" s="1566"/>
      <c r="Z385" s="1566"/>
      <c r="AB385" s="165"/>
      <c r="AC385" s="165"/>
      <c r="AD385" s="1566"/>
      <c r="AE385" s="1547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  <c r="AR385" s="143"/>
    </row>
    <row r="386" spans="1:44" ht="15" customHeight="1">
      <c r="A386" s="1547"/>
      <c r="B386" s="1547"/>
      <c r="C386" s="95"/>
      <c r="G386" s="1574"/>
      <c r="H386" s="1599"/>
      <c r="I386" s="1566"/>
      <c r="J386" s="1566"/>
      <c r="K386" s="1566"/>
      <c r="L386" s="1566"/>
      <c r="N386" s="1566"/>
      <c r="O386" s="170"/>
      <c r="P386" s="1575"/>
      <c r="Q386" s="1566"/>
      <c r="R386" s="1566"/>
      <c r="S386" s="1566"/>
      <c r="T386" s="1566"/>
      <c r="U386" s="1566"/>
      <c r="V386" s="1566"/>
      <c r="W386" s="1566"/>
      <c r="X386" s="1566"/>
      <c r="Y386" s="1566"/>
      <c r="Z386" s="1566"/>
      <c r="AB386" s="165"/>
      <c r="AC386" s="165"/>
      <c r="AD386" s="1566"/>
      <c r="AE386" s="1547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  <c r="AR386" s="143"/>
    </row>
    <row r="387" spans="1:44" ht="15" customHeight="1">
      <c r="A387" s="1547"/>
      <c r="B387" s="1547"/>
      <c r="C387" s="95"/>
      <c r="G387" s="1574"/>
      <c r="H387" s="1599"/>
      <c r="I387" s="1566"/>
      <c r="J387" s="1566"/>
      <c r="K387" s="1566"/>
      <c r="L387" s="1566"/>
      <c r="N387" s="1566"/>
      <c r="O387" s="170"/>
      <c r="P387" s="1575"/>
      <c r="Q387" s="1566"/>
      <c r="R387" s="1566"/>
      <c r="S387" s="1566"/>
      <c r="T387" s="1566"/>
      <c r="U387" s="1566"/>
      <c r="V387" s="1566"/>
      <c r="W387" s="1566"/>
      <c r="X387" s="1566"/>
      <c r="Y387" s="1566"/>
      <c r="Z387" s="1566"/>
      <c r="AB387" s="165"/>
      <c r="AC387" s="165"/>
      <c r="AD387" s="1566"/>
      <c r="AE387" s="1547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  <c r="AR387" s="143"/>
    </row>
    <row r="388" spans="1:44" ht="15" customHeight="1">
      <c r="A388" s="1547"/>
      <c r="B388" s="1547"/>
      <c r="C388" s="95"/>
      <c r="G388" s="1574"/>
      <c r="H388" s="1599"/>
      <c r="I388" s="1566"/>
      <c r="J388" s="1566"/>
      <c r="K388" s="1566"/>
      <c r="L388" s="1566"/>
      <c r="N388" s="1566"/>
      <c r="O388" s="170"/>
      <c r="P388" s="1575"/>
      <c r="Q388" s="1566"/>
      <c r="R388" s="1566"/>
      <c r="S388" s="1566"/>
      <c r="T388" s="1566"/>
      <c r="U388" s="1566"/>
      <c r="V388" s="1566"/>
      <c r="W388" s="1566"/>
      <c r="X388" s="1566"/>
      <c r="Y388" s="1566"/>
      <c r="Z388" s="1566"/>
      <c r="AB388" s="165"/>
      <c r="AC388" s="165"/>
      <c r="AD388" s="1566"/>
      <c r="AE388" s="1547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  <c r="AR388" s="143"/>
    </row>
    <row r="389" spans="1:44" ht="15" customHeight="1">
      <c r="A389" s="1547"/>
      <c r="B389" s="1547"/>
      <c r="C389" s="95"/>
      <c r="G389" s="1574"/>
      <c r="H389" s="1599"/>
      <c r="I389" s="1566"/>
      <c r="J389" s="1566"/>
      <c r="K389" s="1566"/>
      <c r="L389" s="1566"/>
      <c r="N389" s="1566"/>
      <c r="O389" s="170"/>
      <c r="P389" s="1575"/>
      <c r="Q389" s="1566"/>
      <c r="R389" s="1566"/>
      <c r="S389" s="1566"/>
      <c r="T389" s="1566"/>
      <c r="U389" s="1566"/>
      <c r="V389" s="1566"/>
      <c r="W389" s="1566"/>
      <c r="X389" s="1566"/>
      <c r="Y389" s="1566"/>
      <c r="Z389" s="1566"/>
      <c r="AB389" s="165"/>
      <c r="AC389" s="165"/>
      <c r="AD389" s="1566"/>
      <c r="AE389" s="1547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  <c r="AR389" s="143"/>
    </row>
    <row r="390" spans="1:44" ht="15" customHeight="1">
      <c r="A390" s="1547"/>
      <c r="B390" s="1547"/>
      <c r="C390" s="95"/>
      <c r="G390" s="1574"/>
      <c r="H390" s="1599"/>
      <c r="I390" s="1566"/>
      <c r="J390" s="1566"/>
      <c r="K390" s="1566"/>
      <c r="L390" s="1566"/>
      <c r="N390" s="1566"/>
      <c r="O390" s="170"/>
      <c r="P390" s="1575"/>
      <c r="Q390" s="1566"/>
      <c r="R390" s="1566"/>
      <c r="S390" s="1566"/>
      <c r="T390" s="1566"/>
      <c r="U390" s="1566"/>
      <c r="V390" s="1566"/>
      <c r="W390" s="1566"/>
      <c r="X390" s="1566"/>
      <c r="Y390" s="1566"/>
      <c r="Z390" s="1566"/>
      <c r="AB390" s="165"/>
      <c r="AC390" s="165"/>
      <c r="AD390" s="1566"/>
      <c r="AE390" s="1547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  <c r="AR390" s="143"/>
    </row>
    <row r="391" spans="1:44" ht="15" customHeight="1">
      <c r="A391" s="1547"/>
      <c r="B391" s="1547"/>
      <c r="C391" s="95"/>
      <c r="G391" s="1574"/>
      <c r="H391" s="1599"/>
      <c r="I391" s="1566"/>
      <c r="J391" s="1566"/>
      <c r="K391" s="1566"/>
      <c r="L391" s="1566"/>
      <c r="N391" s="1566"/>
      <c r="O391" s="170"/>
      <c r="P391" s="1575"/>
      <c r="Q391" s="1566"/>
      <c r="R391" s="1566"/>
      <c r="S391" s="1566"/>
      <c r="T391" s="1566"/>
      <c r="U391" s="1566"/>
      <c r="V391" s="1566"/>
      <c r="W391" s="1566"/>
      <c r="X391" s="1566"/>
      <c r="Y391" s="1566"/>
      <c r="Z391" s="1566"/>
      <c r="AB391" s="165"/>
      <c r="AC391" s="165"/>
      <c r="AD391" s="1566"/>
      <c r="AE391" s="1547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  <c r="AR391" s="143"/>
    </row>
    <row r="392" spans="1:44" ht="15" customHeight="1">
      <c r="A392" s="1547"/>
      <c r="B392" s="1547"/>
      <c r="C392" s="95"/>
      <c r="G392" s="1574"/>
      <c r="H392" s="1599"/>
      <c r="I392" s="1566"/>
      <c r="J392" s="1566"/>
      <c r="K392" s="1566"/>
      <c r="L392" s="1566"/>
      <c r="N392" s="1566"/>
      <c r="O392" s="170"/>
      <c r="P392" s="1575"/>
      <c r="Q392" s="1566"/>
      <c r="R392" s="1566"/>
      <c r="S392" s="1566"/>
      <c r="T392" s="1566"/>
      <c r="U392" s="1566"/>
      <c r="V392" s="1566"/>
      <c r="W392" s="1566"/>
      <c r="X392" s="1566"/>
      <c r="Y392" s="1566"/>
      <c r="Z392" s="1566"/>
      <c r="AB392" s="165"/>
      <c r="AC392" s="165"/>
      <c r="AD392" s="1566"/>
      <c r="AE392" s="1547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</row>
    <row r="393" spans="1:44" ht="15" customHeight="1">
      <c r="A393" s="1547"/>
      <c r="B393" s="1206"/>
      <c r="E393" s="143" t="s">
        <v>616</v>
      </c>
      <c r="G393" s="138" t="s">
        <v>324</v>
      </c>
      <c r="H393" s="1574"/>
      <c r="I393" s="143" t="s">
        <v>775</v>
      </c>
      <c r="J393" s="1566"/>
      <c r="K393" s="1566"/>
      <c r="L393" s="1566"/>
      <c r="N393" s="1566"/>
      <c r="O393" s="170"/>
      <c r="P393" s="1575"/>
      <c r="Q393" s="1566"/>
      <c r="R393" s="1566"/>
      <c r="S393" s="1566"/>
      <c r="T393" s="1566"/>
      <c r="U393" s="1566"/>
      <c r="V393" s="1566"/>
      <c r="W393" s="1566"/>
      <c r="X393" s="1566"/>
      <c r="Y393" s="1566"/>
      <c r="Z393" s="1566"/>
      <c r="AB393" s="165"/>
      <c r="AC393" s="165"/>
      <c r="AD393" s="1566"/>
      <c r="AE393" s="1547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</row>
    <row r="394" spans="1:44" ht="15" customHeight="1">
      <c r="A394" s="1547"/>
      <c r="B394" s="1206"/>
      <c r="E394" s="143" t="s">
        <v>405</v>
      </c>
      <c r="G394" s="138" t="s">
        <v>324</v>
      </c>
      <c r="H394" s="1574"/>
      <c r="I394" s="143" t="s">
        <v>1248</v>
      </c>
      <c r="J394" s="1566"/>
      <c r="K394" s="1566"/>
      <c r="L394" s="1566"/>
      <c r="N394" s="1566"/>
      <c r="O394" s="170"/>
      <c r="P394" s="1575"/>
      <c r="Q394" s="1566"/>
      <c r="R394" s="1566"/>
      <c r="S394" s="1566"/>
      <c r="T394" s="1566"/>
      <c r="U394" s="1566"/>
      <c r="V394" s="1566"/>
      <c r="W394" s="1566"/>
      <c r="X394" s="1566"/>
      <c r="Y394" s="1566"/>
      <c r="Z394" s="1566"/>
      <c r="AB394" s="165"/>
      <c r="AC394" s="165"/>
      <c r="AD394" s="1566"/>
      <c r="AE394" s="1547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</row>
    <row r="395" spans="1:44" ht="15" customHeight="1">
      <c r="A395" s="1547"/>
      <c r="B395" s="1206"/>
      <c r="E395" s="143" t="s">
        <v>617</v>
      </c>
      <c r="G395" s="138" t="s">
        <v>324</v>
      </c>
      <c r="H395" s="1574"/>
      <c r="I395" s="143" t="s">
        <v>1249</v>
      </c>
      <c r="J395" s="1566"/>
      <c r="K395" s="1566"/>
      <c r="L395" s="1566"/>
      <c r="N395" s="1566"/>
      <c r="O395" s="170"/>
      <c r="P395" s="1575"/>
      <c r="Q395" s="1566"/>
      <c r="R395" s="1566"/>
      <c r="S395" s="1566"/>
      <c r="T395" s="1566"/>
      <c r="U395" s="1566"/>
      <c r="V395" s="1566"/>
      <c r="W395" s="1566"/>
      <c r="X395" s="1566"/>
      <c r="Y395" s="1566"/>
      <c r="Z395" s="1566"/>
      <c r="AB395" s="165"/>
      <c r="AC395" s="165"/>
      <c r="AD395" s="1566"/>
      <c r="AE395" s="1547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</row>
    <row r="396" spans="1:44" ht="15" customHeight="1">
      <c r="A396" s="1547"/>
      <c r="B396" s="1206"/>
      <c r="E396" s="143" t="s">
        <v>777</v>
      </c>
      <c r="G396" s="138" t="s">
        <v>324</v>
      </c>
      <c r="H396" s="1574"/>
      <c r="I396" s="143" t="s">
        <v>1251</v>
      </c>
      <c r="J396" s="1566"/>
      <c r="K396" s="1566"/>
      <c r="L396" s="1566"/>
      <c r="N396" s="1566"/>
      <c r="O396" s="170"/>
      <c r="P396" s="1575"/>
      <c r="Q396" s="1566"/>
      <c r="R396" s="1566"/>
      <c r="S396" s="1566"/>
      <c r="T396" s="1566"/>
      <c r="U396" s="1566"/>
      <c r="V396" s="1566"/>
      <c r="W396" s="1566"/>
      <c r="X396" s="1566"/>
      <c r="Y396" s="1566"/>
      <c r="Z396" s="1566"/>
      <c r="AB396" s="165"/>
      <c r="AC396" s="165"/>
      <c r="AD396" s="1566"/>
      <c r="AE396" s="1547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  <c r="AR396" s="143"/>
    </row>
    <row r="397" spans="1:44" ht="15" customHeight="1">
      <c r="A397" s="139"/>
      <c r="E397" s="143" t="s">
        <v>525</v>
      </c>
      <c r="G397" s="138" t="s">
        <v>324</v>
      </c>
      <c r="I397" s="143" t="s">
        <v>1615</v>
      </c>
      <c r="L397" s="143"/>
      <c r="M397" s="1547"/>
      <c r="O397" s="170"/>
      <c r="Y397" s="143"/>
      <c r="Z397" s="1547"/>
      <c r="AB397" s="165"/>
      <c r="AC397" s="165"/>
      <c r="AD397" s="1566"/>
      <c r="AE397" s="1547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</row>
    <row r="398" spans="1:44" ht="15" customHeight="1">
      <c r="A398" s="139"/>
      <c r="E398" s="143" t="s">
        <v>463</v>
      </c>
      <c r="H398" s="1694"/>
      <c r="L398" s="143"/>
      <c r="M398" s="1547"/>
      <c r="O398" s="170"/>
      <c r="Y398" s="143"/>
      <c r="Z398" s="1547"/>
      <c r="AA398" s="1700"/>
      <c r="AB398" s="1547"/>
      <c r="AD398" s="143"/>
      <c r="AE398" s="1547"/>
      <c r="AF398" s="143"/>
      <c r="AG398" s="143"/>
      <c r="AH398" s="143"/>
      <c r="AI398" s="143"/>
      <c r="AJ398" s="143"/>
      <c r="AK398" s="138"/>
      <c r="AL398" s="138"/>
      <c r="AM398" s="143"/>
      <c r="AN398" s="143"/>
      <c r="AO398" s="143"/>
      <c r="AP398" s="143"/>
      <c r="AQ398" s="143"/>
      <c r="AR398" s="143"/>
    </row>
    <row r="399" spans="1:44" ht="15" customHeight="1">
      <c r="D399" s="138"/>
      <c r="E399" s="218"/>
      <c r="L399" s="143"/>
      <c r="R399" s="170"/>
      <c r="S399" s="170"/>
      <c r="T399" s="170"/>
      <c r="U399" s="170"/>
      <c r="V399" s="170"/>
      <c r="W399" s="170"/>
      <c r="X399" s="170"/>
      <c r="Y399" s="1539"/>
      <c r="Z399" s="170"/>
      <c r="AA399" s="170"/>
    </row>
    <row r="400" spans="1:44" ht="15" customHeight="1">
      <c r="A400" s="1182" t="s">
        <v>3090</v>
      </c>
      <c r="C400" s="170"/>
      <c r="D400" s="170"/>
      <c r="E400" s="138"/>
      <c r="F400" s="170"/>
      <c r="G400" s="100"/>
      <c r="H400" s="170"/>
      <c r="I400" s="170"/>
      <c r="J400" s="170"/>
      <c r="K400" s="170"/>
      <c r="L400" s="1539"/>
      <c r="M400" s="170"/>
      <c r="N400" s="170"/>
      <c r="O400" s="170"/>
      <c r="P400" s="170"/>
      <c r="Q400" s="170"/>
      <c r="R400" s="170"/>
      <c r="S400" s="170"/>
      <c r="T400" s="170"/>
      <c r="U400" s="170"/>
      <c r="V400" s="170"/>
      <c r="W400" s="170"/>
      <c r="X400" s="170"/>
      <c r="Y400" s="1539"/>
      <c r="Z400" s="170"/>
      <c r="AA400" s="170"/>
      <c r="AR400" s="1674" t="s">
        <v>3098</v>
      </c>
    </row>
    <row r="401" spans="1:44" ht="15" customHeight="1" thickBot="1">
      <c r="A401" s="1182"/>
      <c r="C401" s="170"/>
      <c r="D401" s="170"/>
      <c r="E401" s="138"/>
      <c r="F401" s="170"/>
      <c r="G401" s="100"/>
      <c r="H401" s="170"/>
      <c r="I401" s="170"/>
      <c r="J401" s="170"/>
      <c r="K401" s="170"/>
      <c r="L401" s="1539"/>
      <c r="M401" s="170"/>
      <c r="N401" s="170"/>
      <c r="O401" s="170"/>
      <c r="P401" s="170"/>
      <c r="Q401" s="170"/>
      <c r="R401" s="170"/>
      <c r="S401" s="170"/>
      <c r="T401" s="170"/>
      <c r="U401" s="170"/>
      <c r="V401" s="170"/>
      <c r="W401" s="170"/>
      <c r="X401" s="170"/>
      <c r="Y401" s="1539"/>
      <c r="Z401" s="170"/>
      <c r="AA401" s="170"/>
    </row>
    <row r="402" spans="1:44" ht="20.100000000000001" customHeight="1" thickBot="1">
      <c r="A402" s="206"/>
      <c r="B402" s="96"/>
      <c r="C402" s="1268"/>
      <c r="D402" s="1269"/>
      <c r="E402" s="1269"/>
      <c r="F402" s="1269"/>
      <c r="G402" s="1724" t="s">
        <v>3091</v>
      </c>
      <c r="H402" s="1269"/>
      <c r="I402" s="1269"/>
      <c r="J402" s="1269"/>
      <c r="K402" s="1271"/>
      <c r="L402" s="1272"/>
      <c r="M402" s="1271"/>
      <c r="N402" s="1271"/>
      <c r="O402" s="1271"/>
      <c r="P402" s="1273"/>
      <c r="Q402" s="170"/>
      <c r="R402" s="170"/>
      <c r="S402" s="170"/>
      <c r="X402" s="170"/>
      <c r="Y402" s="1539"/>
      <c r="Z402" s="170"/>
      <c r="AJ402" s="505"/>
      <c r="AM402" s="76"/>
    </row>
    <row r="403" spans="1:44" ht="15" customHeight="1">
      <c r="A403" s="1182"/>
      <c r="C403" s="170"/>
      <c r="D403" s="170"/>
      <c r="E403" s="138"/>
      <c r="F403" s="170"/>
      <c r="G403" s="100"/>
      <c r="H403" s="170"/>
      <c r="I403" s="170"/>
      <c r="J403" s="170"/>
      <c r="K403" s="170"/>
      <c r="L403" s="1539"/>
      <c r="M403" s="170"/>
      <c r="N403" s="170"/>
      <c r="O403" s="170"/>
      <c r="P403" s="170"/>
      <c r="Q403" s="170"/>
      <c r="R403" s="170"/>
      <c r="S403" s="170"/>
      <c r="T403" s="170"/>
      <c r="U403" s="170"/>
      <c r="V403" s="170"/>
      <c r="W403" s="170"/>
      <c r="X403" s="170"/>
      <c r="Y403" s="1539"/>
      <c r="Z403" s="170"/>
      <c r="AA403" s="170"/>
    </row>
    <row r="404" spans="1:44" ht="15" customHeight="1">
      <c r="A404" s="1182"/>
      <c r="C404" s="170"/>
      <c r="D404" s="170"/>
      <c r="E404" s="138" t="s">
        <v>423</v>
      </c>
      <c r="F404" s="170"/>
      <c r="G404" s="1423" t="s">
        <v>324</v>
      </c>
      <c r="H404" s="170"/>
      <c r="I404" s="170" t="s">
        <v>2966</v>
      </c>
      <c r="J404" s="170"/>
      <c r="K404" s="170"/>
      <c r="L404" s="1539"/>
      <c r="M404" s="170"/>
      <c r="N404" s="170"/>
      <c r="O404" s="170"/>
      <c r="P404" s="170"/>
      <c r="Q404" s="170"/>
      <c r="R404" s="170"/>
      <c r="S404" s="170"/>
      <c r="T404" s="170"/>
      <c r="U404" s="170"/>
      <c r="V404" s="170"/>
      <c r="W404" s="170"/>
      <c r="X404" s="170"/>
      <c r="Y404" s="1539"/>
      <c r="Z404" s="170"/>
      <c r="AA404" s="170"/>
    </row>
    <row r="405" spans="1:44" ht="15" customHeight="1">
      <c r="A405" s="1182"/>
      <c r="C405" s="170"/>
      <c r="D405" s="170"/>
      <c r="E405" s="138" t="s">
        <v>357</v>
      </c>
      <c r="F405" s="170"/>
      <c r="G405" s="1423" t="s">
        <v>324</v>
      </c>
      <c r="H405" s="170"/>
      <c r="I405" s="170" t="s">
        <v>2967</v>
      </c>
      <c r="J405" s="170"/>
      <c r="K405" s="170"/>
      <c r="L405" s="1539"/>
      <c r="M405" s="170"/>
      <c r="N405" s="170"/>
      <c r="O405" s="170"/>
      <c r="P405" s="170"/>
      <c r="Q405" s="170"/>
      <c r="R405" s="170"/>
      <c r="S405" s="170"/>
      <c r="T405" s="170"/>
      <c r="U405" s="170"/>
      <c r="V405" s="170"/>
      <c r="W405" s="170"/>
      <c r="X405" s="170"/>
      <c r="Y405" s="1539"/>
      <c r="Z405" s="170"/>
      <c r="AA405" s="170"/>
    </row>
    <row r="406" spans="1:44" ht="15" customHeight="1">
      <c r="A406" s="1182"/>
      <c r="C406" s="170"/>
      <c r="D406" s="170"/>
      <c r="E406" s="1621" t="s">
        <v>2970</v>
      </c>
      <c r="F406" s="170"/>
      <c r="G406" s="1423" t="s">
        <v>324</v>
      </c>
      <c r="H406" s="170"/>
      <c r="I406" s="170" t="s">
        <v>1055</v>
      </c>
      <c r="J406" s="170"/>
      <c r="K406" s="170"/>
      <c r="L406" s="1539"/>
      <c r="M406" s="170"/>
      <c r="N406" s="170"/>
      <c r="O406" s="170"/>
      <c r="P406" s="170"/>
      <c r="Q406" s="170"/>
      <c r="R406" s="170"/>
      <c r="S406" s="170"/>
      <c r="T406" s="170"/>
      <c r="U406" s="170"/>
      <c r="V406" s="170"/>
      <c r="W406" s="170"/>
      <c r="X406" s="170"/>
      <c r="Y406" s="1539"/>
      <c r="Z406" s="170"/>
      <c r="AA406" s="170"/>
    </row>
    <row r="407" spans="1:44" ht="15" customHeight="1">
      <c r="A407" s="1182"/>
      <c r="C407" s="170"/>
      <c r="D407" s="170"/>
      <c r="E407" s="138"/>
      <c r="F407" s="170"/>
      <c r="G407" s="1423"/>
      <c r="H407" s="170"/>
      <c r="I407" s="170"/>
      <c r="J407" s="170"/>
      <c r="K407" s="170"/>
      <c r="L407" s="1539"/>
      <c r="M407" s="170"/>
      <c r="N407" s="170"/>
      <c r="O407" s="170"/>
      <c r="P407" s="170"/>
      <c r="Q407" s="170"/>
      <c r="R407" s="170"/>
      <c r="S407" s="170"/>
      <c r="T407" s="170"/>
      <c r="U407" s="170"/>
      <c r="V407" s="170"/>
      <c r="W407" s="170"/>
      <c r="X407" s="170"/>
      <c r="Y407" s="1539"/>
      <c r="Z407" s="170"/>
      <c r="AA407" s="170"/>
    </row>
    <row r="408" spans="1:44" ht="15" customHeight="1">
      <c r="A408" s="1182"/>
      <c r="C408" s="170"/>
      <c r="D408" s="170"/>
      <c r="E408" s="138"/>
      <c r="F408" s="170"/>
      <c r="G408" s="1423"/>
      <c r="H408" s="170"/>
      <c r="I408" s="170"/>
      <c r="J408" s="170"/>
      <c r="K408" s="170"/>
      <c r="L408" s="1539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539"/>
      <c r="Z408" s="170"/>
      <c r="AA408" s="170"/>
    </row>
    <row r="409" spans="1:44" ht="15" customHeight="1">
      <c r="D409" s="1177" t="s">
        <v>2466</v>
      </c>
      <c r="E409" s="143" t="s">
        <v>293</v>
      </c>
      <c r="G409" s="116"/>
      <c r="H409" s="116"/>
      <c r="I409" s="116"/>
      <c r="O409" s="170"/>
      <c r="Y409" s="143"/>
      <c r="Z409" s="1547"/>
      <c r="AB409" s="1547"/>
      <c r="AD409" s="143"/>
      <c r="AE409" s="1547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  <c r="AR409" s="143"/>
    </row>
    <row r="410" spans="1:44" ht="20.100000000000001" customHeight="1">
      <c r="E410" s="1242" t="s">
        <v>134</v>
      </c>
      <c r="F410" s="1242"/>
      <c r="G410" s="1242"/>
      <c r="H410" s="1242"/>
      <c r="I410" s="1242"/>
      <c r="J410" s="1667"/>
      <c r="K410" s="1667"/>
      <c r="L410" s="1667"/>
      <c r="M410" s="1667"/>
      <c r="N410" s="1667"/>
      <c r="O410" s="1667"/>
      <c r="P410" s="1667"/>
      <c r="Q410" s="1667"/>
      <c r="R410" s="1667"/>
      <c r="S410" s="1667"/>
      <c r="T410" s="1667"/>
      <c r="U410" s="1667"/>
      <c r="V410" s="1242" t="s">
        <v>289</v>
      </c>
      <c r="W410" s="1725"/>
      <c r="X410" s="1725"/>
      <c r="Y410" s="1667"/>
      <c r="Z410" s="1667"/>
      <c r="AA410" s="1667"/>
      <c r="AB410" s="1667"/>
      <c r="AC410" s="1667"/>
      <c r="AD410" s="1667"/>
      <c r="AE410" s="1667"/>
      <c r="AF410" s="1667"/>
      <c r="AG410" s="1667"/>
      <c r="AH410" s="1667"/>
      <c r="AI410" s="1667"/>
      <c r="AJ410" s="1667"/>
      <c r="AK410" s="143"/>
      <c r="AL410" s="143"/>
      <c r="AM410" s="143"/>
      <c r="AN410" s="143"/>
      <c r="AO410" s="143"/>
      <c r="AP410" s="143"/>
      <c r="AQ410" s="143"/>
      <c r="AR410" s="143"/>
    </row>
    <row r="411" spans="1:44" ht="20.100000000000001" customHeight="1">
      <c r="E411" s="146" t="s">
        <v>290</v>
      </c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 t="s">
        <v>486</v>
      </c>
      <c r="W411" s="130"/>
      <c r="X411" s="130"/>
      <c r="Y411" s="146"/>
      <c r="Z411" s="146"/>
      <c r="AA411" s="146"/>
      <c r="AB411" s="146"/>
      <c r="AC411" s="146"/>
      <c r="AD411" s="146"/>
      <c r="AE411" s="146"/>
      <c r="AF411" s="146"/>
      <c r="AG411" s="146"/>
      <c r="AH411" s="146"/>
      <c r="AI411" s="146"/>
      <c r="AJ411" s="146"/>
      <c r="AK411" s="143"/>
      <c r="AL411" s="143"/>
      <c r="AM411" s="143"/>
      <c r="AN411" s="143"/>
      <c r="AO411" s="143"/>
      <c r="AP411" s="143"/>
      <c r="AQ411" s="143"/>
      <c r="AR411" s="1674" t="s">
        <v>3092</v>
      </c>
    </row>
    <row r="412" spans="1:44" ht="20.100000000000001" customHeight="1">
      <c r="E412" s="143" t="s">
        <v>993</v>
      </c>
      <c r="L412" s="143"/>
      <c r="X412" s="116"/>
      <c r="Y412" s="143"/>
      <c r="AB412" s="143"/>
      <c r="AD412" s="143"/>
      <c r="AE412" s="143"/>
      <c r="AF412" s="143"/>
      <c r="AG412" s="143"/>
      <c r="AH412" s="143"/>
      <c r="AI412" s="143"/>
      <c r="AJ412" s="143"/>
      <c r="AK412" s="143"/>
      <c r="AL412" s="143"/>
      <c r="AM412" s="143"/>
      <c r="AN412" s="143"/>
      <c r="AO412" s="143"/>
      <c r="AP412" s="143"/>
      <c r="AQ412" s="143"/>
      <c r="AR412" s="143"/>
    </row>
    <row r="413" spans="1:44" ht="20.100000000000001" customHeight="1">
      <c r="E413" s="136"/>
      <c r="F413" s="131" t="s">
        <v>291</v>
      </c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 t="s">
        <v>486</v>
      </c>
      <c r="W413" s="132"/>
      <c r="X413" s="132"/>
      <c r="Y413" s="118"/>
      <c r="Z413" s="118"/>
      <c r="AA413" s="118"/>
      <c r="AB413" s="118"/>
      <c r="AC413" s="118"/>
      <c r="AD413" s="118"/>
      <c r="AE413" s="118"/>
      <c r="AF413" s="118"/>
      <c r="AG413" s="118"/>
      <c r="AH413" s="118"/>
      <c r="AI413" s="118"/>
      <c r="AJ413" s="118"/>
      <c r="AK413" s="143"/>
      <c r="AL413" s="143"/>
      <c r="AM413" s="143"/>
      <c r="AN413" s="143"/>
      <c r="AO413" s="143"/>
      <c r="AP413" s="143"/>
      <c r="AQ413" s="143"/>
      <c r="AR413" s="1674" t="s">
        <v>3093</v>
      </c>
    </row>
    <row r="414" spans="1:44" ht="20.100000000000001" customHeight="1">
      <c r="F414" s="138" t="s">
        <v>292</v>
      </c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Y414" s="143"/>
      <c r="Z414" s="1547"/>
      <c r="AA414" s="1547"/>
      <c r="AB414" s="1547"/>
      <c r="AC414" s="1547"/>
      <c r="AD414" s="1547"/>
      <c r="AE414" s="1547"/>
      <c r="AF414" s="1547"/>
      <c r="AG414" s="1547"/>
      <c r="AH414" s="1547"/>
      <c r="AI414" s="1547"/>
      <c r="AJ414" s="1547"/>
      <c r="AK414" s="143"/>
      <c r="AL414" s="143"/>
      <c r="AM414" s="143"/>
      <c r="AN414" s="143"/>
      <c r="AO414" s="143"/>
      <c r="AP414" s="143"/>
      <c r="AQ414" s="143"/>
      <c r="AR414" s="1674" t="s">
        <v>3094</v>
      </c>
    </row>
    <row r="415" spans="1:44" ht="20.100000000000001" customHeight="1">
      <c r="G415" s="143" t="s">
        <v>3095</v>
      </c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57" t="s">
        <v>3096</v>
      </c>
      <c r="X415" s="1570"/>
      <c r="Y415" s="1570"/>
      <c r="Z415" s="1570"/>
      <c r="AA415" s="1570"/>
      <c r="AB415" s="1570"/>
      <c r="AC415" s="1570"/>
      <c r="AD415" s="1570"/>
      <c r="AE415" s="1570"/>
      <c r="AF415" s="1570"/>
      <c r="AG415" s="1570"/>
      <c r="AH415" s="1570"/>
      <c r="AI415" s="1570"/>
      <c r="AJ415" s="1570"/>
      <c r="AK415" s="143"/>
      <c r="AL415" s="143"/>
      <c r="AM415" s="143"/>
      <c r="AN415" s="143"/>
      <c r="AO415" s="143"/>
      <c r="AP415" s="143"/>
      <c r="AQ415" s="143"/>
      <c r="AR415" s="143"/>
    </row>
    <row r="416" spans="1:44" ht="20.100000000000001" customHeight="1">
      <c r="E416" s="1333"/>
      <c r="F416" s="1333"/>
      <c r="G416" s="1333" t="s">
        <v>136</v>
      </c>
      <c r="H416" s="1333"/>
      <c r="I416" s="1333"/>
      <c r="J416" s="1685"/>
      <c r="K416" s="1685"/>
      <c r="L416" s="1685"/>
      <c r="M416" s="1685"/>
      <c r="N416" s="1685"/>
      <c r="O416" s="1685"/>
      <c r="P416" s="1685"/>
      <c r="Q416" s="1685"/>
      <c r="R416" s="1685"/>
      <c r="S416" s="1685"/>
      <c r="T416" s="1685"/>
      <c r="U416" s="1685"/>
      <c r="V416" s="1726" t="s">
        <v>3097</v>
      </c>
      <c r="W416" s="1333"/>
      <c r="X416" s="1333"/>
      <c r="Y416" s="1333"/>
      <c r="Z416" s="1554"/>
      <c r="AA416" s="1554"/>
      <c r="AB416" s="1554"/>
      <c r="AC416" s="1554"/>
      <c r="AD416" s="1554"/>
      <c r="AE416" s="1554"/>
      <c r="AF416" s="1554"/>
      <c r="AG416" s="1554"/>
      <c r="AH416" s="1554"/>
      <c r="AI416" s="1554"/>
      <c r="AJ416" s="1554"/>
      <c r="AK416" s="143"/>
      <c r="AL416" s="143"/>
      <c r="AM416" s="143"/>
      <c r="AN416" s="143"/>
      <c r="AO416" s="143"/>
      <c r="AP416" s="143"/>
      <c r="AQ416" s="143"/>
      <c r="AR416" s="143"/>
    </row>
    <row r="417" spans="1:73" ht="20.100000000000001" customHeight="1">
      <c r="B417" s="170"/>
      <c r="C417" s="170"/>
      <c r="D417" s="170"/>
      <c r="E417" s="170"/>
      <c r="F417" s="170"/>
      <c r="G417" s="116"/>
      <c r="H417" s="57"/>
      <c r="I417" s="170"/>
      <c r="J417" s="170"/>
      <c r="K417" s="170"/>
      <c r="L417" s="1539"/>
      <c r="Y417" s="143"/>
      <c r="Z417" s="1547"/>
      <c r="AB417" s="1547"/>
      <c r="AD417" s="143"/>
      <c r="AE417" s="1547"/>
      <c r="AF417" s="143"/>
      <c r="AG417" s="143"/>
      <c r="AH417" s="143"/>
      <c r="AI417" s="143"/>
      <c r="AJ417" s="143"/>
      <c r="AK417" s="143"/>
      <c r="AL417" s="143"/>
      <c r="AM417" s="143"/>
      <c r="AN417" s="143"/>
      <c r="AO417" s="143"/>
      <c r="AP417" s="143"/>
      <c r="AQ417" s="143"/>
      <c r="AR417" s="143"/>
    </row>
    <row r="418" spans="1:73" s="73" customFormat="1" ht="15" customHeight="1">
      <c r="A418" s="170"/>
      <c r="B418" s="143"/>
      <c r="E418" s="1177" t="s">
        <v>2856</v>
      </c>
      <c r="F418" s="170" t="s">
        <v>2881</v>
      </c>
      <c r="G418" s="136"/>
      <c r="H418" s="170"/>
      <c r="I418" s="100"/>
      <c r="J418" s="170"/>
      <c r="K418" s="170"/>
      <c r="L418" s="170"/>
      <c r="M418" s="170"/>
      <c r="N418" s="1539"/>
      <c r="O418" s="170"/>
      <c r="P418" s="170"/>
      <c r="Q418" s="170"/>
      <c r="R418" s="170"/>
      <c r="S418" s="170"/>
      <c r="T418" s="170"/>
      <c r="U418" s="170"/>
      <c r="V418" s="170"/>
      <c r="W418" s="170"/>
      <c r="X418" s="170"/>
      <c r="Y418" s="170"/>
      <c r="Z418" s="170"/>
      <c r="AA418" s="1539"/>
      <c r="AB418" s="170"/>
      <c r="AC418" s="170"/>
      <c r="AF418" s="1561"/>
      <c r="AR418" s="1674" t="s">
        <v>3094</v>
      </c>
      <c r="AS418" s="1627"/>
      <c r="AT418" s="143"/>
      <c r="AU418" s="143"/>
      <c r="AV418" s="143"/>
      <c r="AW418" s="143"/>
      <c r="AX418" s="143"/>
      <c r="AY418" s="143"/>
      <c r="AZ418" s="143"/>
      <c r="BA418" s="143"/>
      <c r="BB418" s="143"/>
      <c r="BC418" s="143"/>
      <c r="BD418" s="143"/>
      <c r="BE418" s="143"/>
      <c r="BF418" s="143"/>
      <c r="BG418" s="143"/>
      <c r="BH418" s="143"/>
      <c r="BI418" s="143"/>
      <c r="BJ418" s="143"/>
      <c r="BK418" s="143"/>
      <c r="BL418" s="143"/>
      <c r="BM418" s="143"/>
      <c r="BN418" s="143"/>
      <c r="BO418" s="143"/>
      <c r="BP418" s="143"/>
      <c r="BQ418" s="143"/>
      <c r="BR418" s="143"/>
      <c r="BS418" s="143"/>
      <c r="BT418" s="143"/>
      <c r="BU418" s="143"/>
    </row>
    <row r="419" spans="1:73" s="73" customFormat="1" ht="20.100000000000001" customHeight="1">
      <c r="A419" s="143"/>
      <c r="B419" s="143"/>
      <c r="E419" s="148" t="s">
        <v>134</v>
      </c>
      <c r="F419" s="141"/>
      <c r="G419" s="148"/>
      <c r="H419" s="148"/>
      <c r="I419" s="148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8" t="s">
        <v>128</v>
      </c>
      <c r="U419" s="141"/>
      <c r="V419" s="141"/>
      <c r="W419" s="141"/>
      <c r="X419" s="141"/>
      <c r="Y419" s="141"/>
      <c r="Z419" s="141"/>
      <c r="AA419" s="141"/>
      <c r="AB419" s="141"/>
      <c r="AC419" s="141"/>
      <c r="AF419" s="1561"/>
      <c r="AS419" s="1627"/>
      <c r="AT419" s="143"/>
      <c r="AU419" s="143"/>
      <c r="AV419" s="143"/>
      <c r="AW419" s="143"/>
      <c r="AX419" s="143"/>
      <c r="AY419" s="143"/>
      <c r="AZ419" s="143"/>
      <c r="BA419" s="143"/>
      <c r="BB419" s="143"/>
      <c r="BC419" s="143"/>
      <c r="BD419" s="143"/>
      <c r="BE419" s="143"/>
      <c r="BF419" s="143"/>
      <c r="BG419" s="143"/>
      <c r="BH419" s="143"/>
      <c r="BI419" s="143"/>
      <c r="BJ419" s="143"/>
      <c r="BK419" s="143"/>
      <c r="BL419" s="143"/>
      <c r="BM419" s="143"/>
      <c r="BN419" s="143"/>
      <c r="BO419" s="143"/>
      <c r="BP419" s="143"/>
      <c r="BQ419" s="143"/>
      <c r="BR419" s="143"/>
      <c r="BS419" s="143"/>
      <c r="BT419" s="143"/>
      <c r="BU419" s="143"/>
    </row>
    <row r="420" spans="1:73" s="73" customFormat="1" ht="20.100000000000001" customHeight="1">
      <c r="A420" s="143"/>
      <c r="B420" s="143"/>
      <c r="E420" s="170" t="s">
        <v>1707</v>
      </c>
      <c r="F420" s="170"/>
      <c r="G420" s="170"/>
      <c r="H420" s="170"/>
      <c r="I420" s="170"/>
      <c r="J420" s="170"/>
      <c r="L420" s="170"/>
      <c r="M420" s="170"/>
      <c r="N420" s="1547"/>
      <c r="O420" s="143"/>
      <c r="P420" s="143"/>
      <c r="Q420" s="143"/>
      <c r="S420" s="143"/>
      <c r="T420" s="2242">
        <v>1</v>
      </c>
      <c r="U420" s="2242"/>
      <c r="V420" s="1564"/>
      <c r="W420" s="143"/>
      <c r="X420" s="143"/>
      <c r="Y420" s="143"/>
      <c r="Z420" s="143"/>
      <c r="AA420" s="1547"/>
      <c r="AB420" s="143"/>
      <c r="AC420" s="76" t="s">
        <v>417</v>
      </c>
      <c r="AF420" s="1561"/>
      <c r="AS420" s="1627"/>
      <c r="AT420" s="143"/>
      <c r="AU420" s="143"/>
      <c r="AV420" s="143"/>
      <c r="AW420" s="143"/>
      <c r="AX420" s="143"/>
      <c r="AY420" s="143"/>
      <c r="AZ420" s="143"/>
      <c r="BA420" s="143"/>
      <c r="BB420" s="143"/>
      <c r="BC420" s="143"/>
      <c r="BD420" s="143"/>
      <c r="BE420" s="143"/>
      <c r="BF420" s="143"/>
      <c r="BG420" s="143"/>
      <c r="BH420" s="143"/>
      <c r="BI420" s="143"/>
      <c r="BJ420" s="143"/>
      <c r="BK420" s="143"/>
      <c r="BL420" s="143"/>
      <c r="BM420" s="143"/>
      <c r="BN420" s="143"/>
      <c r="BO420" s="143"/>
      <c r="BP420" s="143"/>
      <c r="BQ420" s="143"/>
      <c r="BR420" s="143"/>
      <c r="BS420" s="143"/>
      <c r="BT420" s="143"/>
      <c r="BU420" s="143"/>
    </row>
    <row r="421" spans="1:73" ht="20.100000000000001" customHeight="1">
      <c r="E421" s="170" t="s">
        <v>1708</v>
      </c>
      <c r="F421" s="170"/>
      <c r="G421" s="147"/>
      <c r="H421" s="170"/>
      <c r="I421" s="170"/>
      <c r="J421" s="170"/>
      <c r="L421" s="170"/>
      <c r="M421" s="170"/>
      <c r="N421" s="1547"/>
      <c r="T421" s="170" t="s">
        <v>1709</v>
      </c>
      <c r="Y421" s="143"/>
      <c r="AA421" s="1547"/>
      <c r="AB421" s="143"/>
      <c r="AC421" s="138" t="s">
        <v>447</v>
      </c>
      <c r="AD421" s="73"/>
    </row>
    <row r="422" spans="1:73" ht="20.100000000000001" customHeight="1">
      <c r="E422" s="145" t="s">
        <v>1710</v>
      </c>
      <c r="F422" s="145"/>
      <c r="G422" s="149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 t="s">
        <v>1711</v>
      </c>
      <c r="U422" s="145"/>
      <c r="V422" s="145"/>
      <c r="W422" s="145"/>
      <c r="X422" s="145"/>
      <c r="Y422" s="145"/>
      <c r="Z422" s="145"/>
      <c r="AA422" s="145"/>
      <c r="AB422" s="145"/>
      <c r="AC422" s="261" t="s">
        <v>448</v>
      </c>
      <c r="AD422" s="73"/>
    </row>
    <row r="423" spans="1:73" s="73" customFormat="1" ht="15" customHeight="1">
      <c r="A423" s="170"/>
      <c r="B423" s="143"/>
      <c r="E423" s="1177"/>
      <c r="F423" s="170"/>
      <c r="G423" s="136"/>
      <c r="H423" s="170"/>
      <c r="I423" s="100"/>
      <c r="J423" s="170"/>
      <c r="K423" s="170"/>
      <c r="L423" s="170"/>
      <c r="M423" s="170"/>
      <c r="N423" s="1539"/>
      <c r="O423" s="170"/>
      <c r="P423" s="170"/>
      <c r="Q423" s="170"/>
      <c r="R423" s="170"/>
      <c r="S423" s="170"/>
      <c r="T423" s="170"/>
      <c r="U423" s="170"/>
      <c r="V423" s="170"/>
      <c r="W423" s="170"/>
      <c r="X423" s="170"/>
      <c r="Y423" s="170"/>
      <c r="Z423" s="170"/>
      <c r="AA423" s="1539"/>
      <c r="AB423" s="170"/>
      <c r="AC423" s="170"/>
      <c r="AF423" s="1561"/>
      <c r="AS423" s="1627"/>
      <c r="AT423" s="143"/>
      <c r="AU423" s="143"/>
      <c r="AV423" s="143"/>
      <c r="AW423" s="143"/>
      <c r="AX423" s="143"/>
      <c r="AY423" s="143"/>
      <c r="AZ423" s="143"/>
      <c r="BA423" s="143"/>
      <c r="BB423" s="143"/>
      <c r="BC423" s="143"/>
      <c r="BD423" s="143"/>
      <c r="BE423" s="143"/>
      <c r="BF423" s="143"/>
      <c r="BG423" s="143"/>
      <c r="BH423" s="143"/>
      <c r="BI423" s="143"/>
      <c r="BJ423" s="143"/>
      <c r="BK423" s="143"/>
      <c r="BL423" s="143"/>
      <c r="BM423" s="143"/>
      <c r="BN423" s="143"/>
      <c r="BO423" s="143"/>
      <c r="BP423" s="143"/>
      <c r="BQ423" s="143"/>
      <c r="BR423" s="143"/>
      <c r="BS423" s="143"/>
      <c r="BT423" s="143"/>
      <c r="BU423" s="143"/>
    </row>
    <row r="424" spans="1:73" ht="15" customHeight="1">
      <c r="E424" s="1177" t="s">
        <v>2856</v>
      </c>
      <c r="F424" s="143" t="s">
        <v>2146</v>
      </c>
      <c r="G424" s="147"/>
      <c r="H424" s="136"/>
      <c r="I424" s="136"/>
      <c r="J424" s="170"/>
      <c r="K424" s="170"/>
      <c r="L424" s="143"/>
      <c r="N424" s="1547"/>
      <c r="Y424" s="143"/>
      <c r="AA424" s="1547"/>
      <c r="AB424" s="1547"/>
      <c r="AD424" s="1547"/>
      <c r="AE424" s="1561"/>
      <c r="AF424" s="73"/>
      <c r="AR424" s="143"/>
    </row>
    <row r="425" spans="1:73" ht="20.100000000000001" customHeight="1">
      <c r="A425" s="170"/>
      <c r="E425" s="148" t="s">
        <v>134</v>
      </c>
      <c r="F425" s="141"/>
      <c r="G425" s="148"/>
      <c r="H425" s="148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8" t="s">
        <v>425</v>
      </c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547"/>
      <c r="AE425" s="1561"/>
      <c r="AF425" s="73"/>
      <c r="AR425" s="143"/>
    </row>
    <row r="426" spans="1:73" ht="20.100000000000001" customHeight="1">
      <c r="A426" s="170"/>
      <c r="E426" s="170" t="s">
        <v>992</v>
      </c>
      <c r="F426" s="170"/>
      <c r="G426" s="170"/>
      <c r="H426" s="170"/>
      <c r="I426" s="170"/>
      <c r="J426" s="170"/>
      <c r="K426" s="170"/>
      <c r="L426" s="170"/>
      <c r="M426" s="170"/>
      <c r="N426" s="170"/>
      <c r="O426" s="170"/>
      <c r="P426" s="170"/>
      <c r="Q426" s="170"/>
      <c r="R426" s="170"/>
      <c r="S426" s="170"/>
      <c r="T426" s="2242">
        <v>5</v>
      </c>
      <c r="U426" s="2242"/>
      <c r="V426" s="170"/>
      <c r="W426" s="170"/>
      <c r="X426" s="170"/>
      <c r="Y426" s="170"/>
      <c r="Z426" s="170"/>
      <c r="AA426" s="170"/>
      <c r="AB426" s="170"/>
      <c r="AC426" s="170"/>
      <c r="AD426" s="143"/>
      <c r="AR426" s="143"/>
    </row>
    <row r="427" spans="1:73" ht="20.100000000000001" customHeight="1">
      <c r="A427" s="170"/>
      <c r="E427" s="145" t="s">
        <v>993</v>
      </c>
      <c r="F427" s="145"/>
      <c r="G427" s="98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 t="s">
        <v>1777</v>
      </c>
      <c r="U427" s="145"/>
      <c r="V427" s="145"/>
      <c r="W427" s="145"/>
      <c r="X427" s="145"/>
      <c r="Y427" s="145"/>
      <c r="Z427" s="145"/>
      <c r="AA427" s="145"/>
      <c r="AB427" s="145"/>
      <c r="AC427" s="145"/>
      <c r="AD427" s="143"/>
      <c r="AR427" s="143"/>
    </row>
    <row r="428" spans="1:73" ht="20.100000000000001" customHeight="1">
      <c r="A428" s="170"/>
      <c r="E428" s="170"/>
      <c r="F428" s="170"/>
      <c r="G428" s="147"/>
      <c r="H428" s="170"/>
      <c r="I428" s="170"/>
      <c r="J428" s="170"/>
      <c r="K428" s="170"/>
      <c r="L428" s="170"/>
      <c r="M428" s="170"/>
      <c r="N428" s="170"/>
      <c r="O428" s="170"/>
      <c r="P428" s="170"/>
      <c r="Q428" s="170"/>
      <c r="R428" s="170"/>
      <c r="S428" s="170"/>
      <c r="T428" s="170"/>
      <c r="U428" s="170"/>
      <c r="V428" s="170"/>
      <c r="W428" s="170"/>
      <c r="X428" s="170"/>
      <c r="Y428" s="170"/>
      <c r="Z428" s="170"/>
      <c r="AA428" s="170"/>
      <c r="AB428" s="170"/>
      <c r="AC428" s="170"/>
      <c r="AD428" s="143"/>
      <c r="AR428" s="143"/>
    </row>
    <row r="429" spans="1:73" ht="15" customHeight="1">
      <c r="E429" s="1177" t="s">
        <v>2856</v>
      </c>
      <c r="F429" s="170" t="s">
        <v>133</v>
      </c>
      <c r="G429" s="170"/>
      <c r="H429" s="170"/>
      <c r="I429" s="170"/>
      <c r="J429" s="116"/>
      <c r="K429" s="116"/>
      <c r="L429" s="116"/>
      <c r="O429" s="1547"/>
      <c r="Y429" s="143"/>
      <c r="AB429" s="1547"/>
      <c r="AD429" s="1547"/>
      <c r="AE429" s="1561"/>
      <c r="AF429" s="73"/>
      <c r="AR429" s="1529" t="s">
        <v>806</v>
      </c>
    </row>
    <row r="430" spans="1:73" ht="20.100000000000001" customHeight="1">
      <c r="E430" s="141" t="s">
        <v>134</v>
      </c>
      <c r="F430" s="141"/>
      <c r="G430" s="141"/>
      <c r="H430" s="141"/>
      <c r="I430" s="141"/>
      <c r="J430" s="250"/>
      <c r="K430" s="250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250" t="s">
        <v>138</v>
      </c>
      <c r="X430" s="250"/>
      <c r="Y430" s="250"/>
      <c r="Z430" s="250"/>
      <c r="AA430" s="250"/>
      <c r="AB430" s="250"/>
      <c r="AC430" s="250"/>
      <c r="AD430" s="1547"/>
      <c r="AE430" s="1561"/>
      <c r="AF430" s="73"/>
      <c r="AR430" s="143"/>
    </row>
    <row r="431" spans="1:73" ht="20.100000000000001" customHeight="1">
      <c r="E431" s="170" t="s">
        <v>847</v>
      </c>
      <c r="F431" s="170"/>
      <c r="G431" s="170"/>
      <c r="H431" s="170"/>
      <c r="I431" s="170"/>
      <c r="J431" s="116"/>
      <c r="K431" s="116"/>
      <c r="L431" s="170"/>
      <c r="M431" s="170"/>
      <c r="N431" s="170"/>
      <c r="O431" s="170"/>
      <c r="P431" s="170"/>
      <c r="Q431" s="170"/>
      <c r="R431" s="170"/>
      <c r="S431" s="170"/>
      <c r="T431" s="170"/>
      <c r="U431" s="170"/>
      <c r="V431" s="170"/>
      <c r="W431" s="116" t="s">
        <v>135</v>
      </c>
      <c r="X431" s="116"/>
      <c r="Y431" s="116"/>
      <c r="Z431" s="116"/>
      <c r="AA431" s="116"/>
      <c r="AB431" s="116"/>
      <c r="AC431" s="116"/>
      <c r="AD431" s="1547"/>
      <c r="AE431" s="1561"/>
      <c r="AF431" s="73"/>
      <c r="AR431" s="143"/>
    </row>
    <row r="432" spans="1:73" ht="20.100000000000001" customHeight="1">
      <c r="E432" s="170" t="s">
        <v>3001</v>
      </c>
      <c r="F432" s="170"/>
      <c r="G432" s="170"/>
      <c r="H432" s="170"/>
      <c r="I432" s="170"/>
      <c r="J432" s="116"/>
      <c r="K432" s="116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16" t="s">
        <v>135</v>
      </c>
      <c r="X432" s="116"/>
      <c r="Y432" s="116"/>
      <c r="Z432" s="116"/>
      <c r="AA432" s="116"/>
      <c r="AB432" s="116"/>
      <c r="AC432" s="116"/>
      <c r="AD432" s="1547"/>
      <c r="AE432" s="1561"/>
      <c r="AF432" s="73"/>
      <c r="AR432" s="143"/>
    </row>
    <row r="433" spans="1:49" ht="20.100000000000001" customHeight="1">
      <c r="E433" s="145" t="s">
        <v>136</v>
      </c>
      <c r="F433" s="145"/>
      <c r="G433" s="145"/>
      <c r="H433" s="145"/>
      <c r="I433" s="145"/>
      <c r="J433" s="117"/>
      <c r="K433" s="117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17" t="s">
        <v>137</v>
      </c>
      <c r="X433" s="117"/>
      <c r="Y433" s="117"/>
      <c r="Z433" s="117"/>
      <c r="AA433" s="117"/>
      <c r="AB433" s="117"/>
      <c r="AC433" s="117"/>
      <c r="AD433" s="1547"/>
      <c r="AE433" s="1561"/>
      <c r="AF433" s="73"/>
      <c r="AR433" s="143"/>
    </row>
    <row r="434" spans="1:49" ht="20.100000000000001" customHeight="1">
      <c r="E434" s="170"/>
      <c r="F434" s="170"/>
      <c r="G434" s="170"/>
      <c r="H434" s="170"/>
      <c r="I434" s="170"/>
      <c r="J434" s="116"/>
      <c r="K434" s="116"/>
      <c r="L434" s="170"/>
      <c r="M434" s="170"/>
      <c r="N434" s="170"/>
      <c r="O434" s="170"/>
      <c r="P434" s="170"/>
      <c r="Q434" s="170"/>
      <c r="R434" s="170"/>
      <c r="S434" s="170"/>
      <c r="T434" s="170"/>
      <c r="U434" s="170"/>
      <c r="V434" s="170"/>
      <c r="W434" s="116"/>
      <c r="X434" s="116"/>
      <c r="Y434" s="116"/>
      <c r="Z434" s="116"/>
      <c r="AA434" s="116"/>
      <c r="AB434" s="116"/>
      <c r="AC434" s="116"/>
      <c r="AD434" s="1547"/>
      <c r="AE434" s="1561"/>
      <c r="AF434" s="73"/>
      <c r="AR434" s="143"/>
    </row>
    <row r="435" spans="1:49" ht="15" customHeight="1">
      <c r="A435" s="1182"/>
      <c r="C435" s="170"/>
      <c r="D435" s="170"/>
      <c r="E435" s="138"/>
      <c r="F435" s="170"/>
      <c r="G435" s="100"/>
      <c r="H435" s="170"/>
      <c r="I435" s="170"/>
      <c r="J435" s="170"/>
      <c r="K435" s="170"/>
      <c r="L435" s="1539"/>
      <c r="M435" s="170"/>
      <c r="N435" s="170"/>
      <c r="O435" s="170"/>
      <c r="P435" s="170"/>
      <c r="Q435" s="170"/>
      <c r="R435" s="170"/>
      <c r="S435" s="170"/>
      <c r="T435" s="170"/>
      <c r="U435" s="170"/>
      <c r="V435" s="170"/>
      <c r="W435" s="170"/>
      <c r="X435" s="170"/>
      <c r="Y435" s="1539"/>
      <c r="Z435" s="170"/>
      <c r="AA435" s="170"/>
    </row>
    <row r="436" spans="1:49" ht="15" customHeight="1">
      <c r="A436" s="1623" t="s">
        <v>2973</v>
      </c>
      <c r="B436" s="1622"/>
      <c r="C436" s="170"/>
      <c r="D436" s="170"/>
      <c r="E436" s="138"/>
      <c r="F436" s="170"/>
      <c r="G436" s="100"/>
      <c r="H436" s="170"/>
      <c r="I436" s="170"/>
      <c r="J436" s="170"/>
      <c r="K436" s="170"/>
      <c r="L436" s="1539"/>
      <c r="M436" s="170"/>
      <c r="N436" s="170"/>
      <c r="O436" s="170"/>
      <c r="P436" s="170"/>
      <c r="Q436" s="170"/>
      <c r="R436" s="170"/>
      <c r="S436" s="170"/>
      <c r="T436" s="170"/>
      <c r="U436" s="170"/>
      <c r="V436" s="170"/>
      <c r="W436" s="170"/>
      <c r="X436" s="170"/>
      <c r="Y436" s="1539"/>
      <c r="Z436" s="170"/>
      <c r="AA436" s="170"/>
    </row>
    <row r="437" spans="1:49" ht="15" customHeight="1" thickBot="1">
      <c r="A437" s="170"/>
      <c r="B437" s="170"/>
      <c r="C437" s="170"/>
      <c r="D437" s="170"/>
      <c r="E437" s="170"/>
      <c r="F437" s="170"/>
      <c r="G437" s="170"/>
      <c r="H437" s="170"/>
      <c r="I437" s="170"/>
      <c r="J437" s="170"/>
      <c r="K437" s="170"/>
      <c r="L437" s="170"/>
      <c r="M437" s="170"/>
      <c r="N437" s="170"/>
      <c r="O437" s="170"/>
      <c r="P437" s="170"/>
      <c r="Q437" s="170"/>
      <c r="R437" s="170"/>
      <c r="S437" s="170"/>
      <c r="T437" s="170"/>
      <c r="U437" s="170"/>
      <c r="V437" s="170"/>
      <c r="W437" s="170"/>
      <c r="X437" s="170"/>
      <c r="Y437" s="170"/>
      <c r="Z437" s="170"/>
      <c r="AA437" s="170"/>
      <c r="AB437" s="170"/>
      <c r="AC437" s="170"/>
      <c r="AD437" s="170"/>
      <c r="AE437" s="170"/>
      <c r="AF437" s="170"/>
      <c r="AG437" s="170"/>
      <c r="AH437" s="170"/>
      <c r="AI437" s="170"/>
      <c r="AJ437" s="170"/>
      <c r="AK437" s="170"/>
      <c r="AL437" s="170"/>
      <c r="AM437" s="170"/>
      <c r="AN437" s="170"/>
      <c r="AO437" s="122"/>
      <c r="AP437" s="122"/>
      <c r="AQ437" s="122"/>
      <c r="AR437" s="122"/>
    </row>
    <row r="438" spans="1:49" ht="15" customHeight="1" thickBot="1">
      <c r="A438" s="1182" t="s">
        <v>2561</v>
      </c>
      <c r="B438" s="170"/>
      <c r="C438" s="170"/>
      <c r="D438" s="124"/>
      <c r="E438" s="170"/>
      <c r="G438" s="2223" t="s">
        <v>3273</v>
      </c>
      <c r="H438" s="2224"/>
      <c r="I438" s="2224"/>
      <c r="J438" s="2225"/>
      <c r="L438" s="143"/>
      <c r="P438" s="170"/>
      <c r="Q438" s="170"/>
      <c r="R438" s="170"/>
      <c r="S438" s="170"/>
      <c r="T438" s="170"/>
      <c r="U438" s="124"/>
      <c r="V438" s="170"/>
      <c r="Y438" s="143"/>
      <c r="AB438" s="143"/>
      <c r="AJ438" s="505"/>
      <c r="AM438" s="76"/>
    </row>
    <row r="439" spans="1:49" ht="15" customHeight="1" thickBot="1">
      <c r="A439" s="1247"/>
      <c r="B439" s="170"/>
      <c r="C439" s="170"/>
      <c r="D439" s="124"/>
      <c r="E439" s="170"/>
      <c r="F439" s="1340"/>
      <c r="G439" s="1340"/>
      <c r="H439" s="1340"/>
      <c r="I439" s="1340"/>
      <c r="J439" s="1340"/>
      <c r="K439" s="1340"/>
      <c r="L439" s="143"/>
      <c r="P439" s="170"/>
      <c r="Q439" s="170"/>
      <c r="R439" s="170"/>
      <c r="S439" s="170"/>
      <c r="T439" s="170"/>
      <c r="U439" s="124"/>
      <c r="V439" s="170"/>
      <c r="Y439" s="143"/>
      <c r="AB439" s="143"/>
      <c r="AJ439" s="505"/>
      <c r="AM439" s="76"/>
    </row>
    <row r="440" spans="1:49" ht="24.95" customHeight="1" thickTop="1" thickBot="1">
      <c r="A440" s="1247"/>
      <c r="G440" s="1358"/>
      <c r="H440" s="1359"/>
      <c r="I440" s="1360" t="s">
        <v>2635</v>
      </c>
      <c r="J440" s="1361"/>
      <c r="K440" s="1361"/>
      <c r="L440" s="1361"/>
      <c r="M440" s="1361"/>
      <c r="N440" s="1361"/>
      <c r="O440" s="1361"/>
      <c r="P440" s="1360"/>
      <c r="Q440" s="1361"/>
      <c r="R440" s="1361"/>
      <c r="S440" s="1361"/>
      <c r="T440" s="1361"/>
      <c r="U440" s="1361"/>
      <c r="V440" s="1361"/>
      <c r="W440" s="1361"/>
      <c r="X440" s="1361"/>
      <c r="Y440" s="1361"/>
      <c r="Z440" s="1361"/>
      <c r="AA440" s="1361"/>
      <c r="AB440" s="1396" t="s">
        <v>2638</v>
      </c>
      <c r="AC440" s="1389"/>
      <c r="AD440" s="1388"/>
      <c r="AE440" s="2226" t="s">
        <v>2637</v>
      </c>
      <c r="AF440" s="2226"/>
      <c r="AG440" s="2226"/>
      <c r="AH440" s="2226"/>
      <c r="AI440" s="2226"/>
      <c r="AJ440" s="2226"/>
      <c r="AK440" s="1391"/>
      <c r="AL440" s="1390" t="s">
        <v>2636</v>
      </c>
      <c r="AM440" s="1390"/>
      <c r="AN440" s="1362"/>
      <c r="AO440" s="1363"/>
      <c r="AT440" s="1407" t="s">
        <v>439</v>
      </c>
      <c r="AU440" s="1408" t="s">
        <v>2565</v>
      </c>
    </row>
    <row r="441" spans="1:49" ht="15" customHeight="1" thickTop="1">
      <c r="A441" s="1247"/>
      <c r="G441" s="1348"/>
      <c r="H441" s="1539"/>
      <c r="I441" s="1540" t="s">
        <v>2565</v>
      </c>
      <c r="J441" s="1539"/>
      <c r="K441" s="1539"/>
      <c r="L441" s="1598"/>
      <c r="M441" s="1598"/>
      <c r="N441" s="1598"/>
      <c r="O441" s="1598"/>
      <c r="P441" s="1598"/>
      <c r="Q441" s="1598"/>
      <c r="R441" s="1598"/>
      <c r="S441" s="115"/>
      <c r="T441" s="1176"/>
      <c r="U441" s="170"/>
      <c r="V441" s="170"/>
      <c r="W441" s="170"/>
      <c r="X441" s="170"/>
      <c r="Y441" s="170"/>
      <c r="Z441" s="170"/>
      <c r="AA441" s="2210">
        <f>MATCH(AE441,input!$C$3:$C$500,0)</f>
        <v>38</v>
      </c>
      <c r="AB441" s="2210"/>
      <c r="AC441" s="2211"/>
      <c r="AD441" s="1406"/>
      <c r="AE441" s="2227">
        <f>VLOOKUP(G438,AT441:AU445,2,TRUE)</f>
        <v>81.900000000000006</v>
      </c>
      <c r="AF441" s="2227"/>
      <c r="AG441" s="2227"/>
      <c r="AH441" s="2227"/>
      <c r="AI441" s="2227"/>
      <c r="AJ441" s="2227"/>
      <c r="AK441" s="1392"/>
      <c r="AL441" s="115" t="s">
        <v>2630</v>
      </c>
      <c r="AM441" s="115"/>
      <c r="AN441" s="1584"/>
      <c r="AO441" s="1349"/>
      <c r="AT441" s="1409" t="s">
        <v>2085</v>
      </c>
      <c r="AU441" s="1410">
        <v>31.9</v>
      </c>
      <c r="AW441" s="53"/>
    </row>
    <row r="442" spans="1:49" ht="15" customHeight="1">
      <c r="A442" s="1247"/>
      <c r="G442" s="1348"/>
      <c r="H442" s="1539"/>
      <c r="I442" s="1540" t="s">
        <v>2569</v>
      </c>
      <c r="J442" s="1539"/>
      <c r="K442" s="1539"/>
      <c r="L442" s="1598"/>
      <c r="M442" s="1598"/>
      <c r="N442" s="1598"/>
      <c r="O442" s="1598"/>
      <c r="P442" s="1598"/>
      <c r="Q442" s="1598"/>
      <c r="R442" s="1598"/>
      <c r="S442" s="115"/>
      <c r="T442" s="1176"/>
      <c r="U442" s="170"/>
      <c r="V442" s="170"/>
      <c r="W442" s="170"/>
      <c r="X442" s="170"/>
      <c r="Y442" s="170"/>
      <c r="Z442" s="170"/>
      <c r="AA442" s="170"/>
      <c r="AB442" s="89"/>
      <c r="AC442" s="1397"/>
      <c r="AD442" s="1392"/>
      <c r="AE442" s="1870" t="str">
        <f>IF(AE475&gt;=0,"Positive","Negative")</f>
        <v>Negative</v>
      </c>
      <c r="AF442" s="1870"/>
      <c r="AG442" s="1870"/>
      <c r="AH442" s="1870"/>
      <c r="AI442" s="1870"/>
      <c r="AJ442" s="1870"/>
      <c r="AK442" s="1392"/>
      <c r="AL442" s="115"/>
      <c r="AM442" s="115"/>
      <c r="AN442" s="1584"/>
      <c r="AO442" s="1349"/>
      <c r="AT442" s="1409" t="s">
        <v>2552</v>
      </c>
      <c r="AU442" s="1410">
        <v>71.900000000000006</v>
      </c>
      <c r="AW442" s="53"/>
    </row>
    <row r="443" spans="1:49" ht="15" customHeight="1">
      <c r="A443" s="1247"/>
      <c r="G443" s="1348"/>
      <c r="H443" s="1539"/>
      <c r="I443" s="1540" t="s">
        <v>2570</v>
      </c>
      <c r="J443" s="1539"/>
      <c r="K443" s="1539"/>
      <c r="L443" s="1598"/>
      <c r="M443" s="1598"/>
      <c r="N443" s="1598"/>
      <c r="O443" s="1598"/>
      <c r="P443" s="1598"/>
      <c r="Q443" s="1598"/>
      <c r="R443" s="1598"/>
      <c r="S443" s="115"/>
      <c r="T443" s="1176"/>
      <c r="U443" s="170"/>
      <c r="V443" s="170"/>
      <c r="W443" s="170"/>
      <c r="X443" s="170"/>
      <c r="Y443" s="170"/>
      <c r="Z443" s="170"/>
      <c r="AA443" s="170"/>
      <c r="AB443" s="89"/>
      <c r="AC443" s="1397"/>
      <c r="AD443" s="1392"/>
      <c r="AE443" s="1870" t="str">
        <f>IF(AE442="Positive","Compression","Tension")</f>
        <v>Tension</v>
      </c>
      <c r="AF443" s="1870"/>
      <c r="AG443" s="1870"/>
      <c r="AH443" s="1870"/>
      <c r="AI443" s="1870"/>
      <c r="AJ443" s="1870"/>
      <c r="AK443" s="1392"/>
      <c r="AL443" s="115"/>
      <c r="AM443" s="115"/>
      <c r="AN443" s="1584"/>
      <c r="AO443" s="1349"/>
      <c r="AT443" s="1409" t="s">
        <v>2553</v>
      </c>
      <c r="AU443" s="1410">
        <v>81.900000000000006</v>
      </c>
      <c r="AW443" s="53"/>
    </row>
    <row r="444" spans="1:49" ht="15" customHeight="1">
      <c r="A444" s="1247"/>
      <c r="G444" s="1348"/>
      <c r="H444" s="1539"/>
      <c r="I444" s="1540" t="s">
        <v>382</v>
      </c>
      <c r="J444" s="1539"/>
      <c r="K444" s="1539"/>
      <c r="L444" s="1598"/>
      <c r="M444" s="1598"/>
      <c r="N444" s="1598"/>
      <c r="O444" s="1598"/>
      <c r="P444" s="1598"/>
      <c r="Q444" s="1598"/>
      <c r="R444" s="1598"/>
      <c r="S444" s="115"/>
      <c r="T444" s="1176"/>
      <c r="U444" s="170"/>
      <c r="V444" s="170"/>
      <c r="W444" s="170"/>
      <c r="X444" s="170"/>
      <c r="Y444" s="170"/>
      <c r="Z444" s="170"/>
      <c r="AA444" s="170"/>
      <c r="AB444" s="89" t="s">
        <v>367</v>
      </c>
      <c r="AC444" s="1397"/>
      <c r="AD444" s="1392"/>
      <c r="AE444" s="2286" cm="1">
        <f t="array" ref="AE444">INDEX(DIM,AA441,38)</f>
        <v>5000</v>
      </c>
      <c r="AF444" s="2286"/>
      <c r="AG444" s="2286"/>
      <c r="AH444" s="2286"/>
      <c r="AI444" s="2286"/>
      <c r="AJ444" s="2286"/>
      <c r="AK444" s="1392"/>
      <c r="AL444" s="115" t="s">
        <v>999</v>
      </c>
      <c r="AM444" s="115"/>
      <c r="AN444" s="1584"/>
      <c r="AO444" s="1349"/>
      <c r="AT444" s="1409" t="s">
        <v>2554</v>
      </c>
      <c r="AU444" s="1410">
        <v>91.9</v>
      </c>
      <c r="AW444" s="53"/>
    </row>
    <row r="445" spans="1:49" ht="15" customHeight="1" thickBot="1">
      <c r="A445" s="1247"/>
      <c r="G445" s="1350"/>
      <c r="H445" s="1364"/>
      <c r="I445" s="1365" t="s">
        <v>2581</v>
      </c>
      <c r="J445" s="1364"/>
      <c r="K445" s="1364"/>
      <c r="L445" s="1366"/>
      <c r="M445" s="1366"/>
      <c r="N445" s="1366"/>
      <c r="O445" s="1366"/>
      <c r="P445" s="1366"/>
      <c r="Q445" s="1366"/>
      <c r="R445" s="1366"/>
      <c r="S445" s="1367"/>
      <c r="T445" s="1355"/>
      <c r="U445" s="84"/>
      <c r="V445" s="84"/>
      <c r="W445" s="84"/>
      <c r="X445" s="84"/>
      <c r="Y445" s="84"/>
      <c r="Z445" s="84"/>
      <c r="AA445" s="84"/>
      <c r="AB445" s="1402" t="s">
        <v>385</v>
      </c>
      <c r="AC445" s="1398"/>
      <c r="AD445" s="1393"/>
      <c r="AE445" s="2287" cm="1">
        <f t="array" ref="AE445">INDEX(DIM,AA441,4)</f>
        <v>0</v>
      </c>
      <c r="AF445" s="2287"/>
      <c r="AG445" s="2287"/>
      <c r="AH445" s="2287"/>
      <c r="AI445" s="2287"/>
      <c r="AJ445" s="2287"/>
      <c r="AK445" s="1393"/>
      <c r="AL445" s="1367" t="s">
        <v>2630</v>
      </c>
      <c r="AM445" s="1367"/>
      <c r="AN445" s="1356"/>
      <c r="AO445" s="1357"/>
      <c r="AT445" s="1411" t="s">
        <v>2555</v>
      </c>
      <c r="AU445" s="1412">
        <v>121.9</v>
      </c>
      <c r="AW445" s="53"/>
    </row>
    <row r="446" spans="1:49" ht="15" customHeight="1" thickTop="1">
      <c r="A446" s="1247"/>
      <c r="G446" s="1348"/>
      <c r="H446" s="1539"/>
      <c r="I446" s="1540" t="s">
        <v>3134</v>
      </c>
      <c r="J446" s="1539"/>
      <c r="K446" s="1539"/>
      <c r="L446" s="1598"/>
      <c r="M446" s="170"/>
      <c r="N446" s="1248" t="s">
        <v>3119</v>
      </c>
      <c r="O446" s="1598"/>
      <c r="P446" s="1598"/>
      <c r="Q446" s="1598"/>
      <c r="R446" s="1598"/>
      <c r="S446" s="115"/>
      <c r="T446" s="1176"/>
      <c r="U446" s="170"/>
      <c r="V446" s="170"/>
      <c r="W446" s="170"/>
      <c r="X446" s="170"/>
      <c r="Y446" s="170"/>
      <c r="Z446" s="170"/>
      <c r="AA446" s="170"/>
      <c r="AB446" s="89" t="s">
        <v>3120</v>
      </c>
      <c r="AC446" s="1397"/>
      <c r="AD446" s="1392"/>
      <c r="AE446" s="2147" cm="1">
        <f t="array" ref="AE446">INDEX(DIMex,AA441,18)</f>
        <v>7655.2758986349281</v>
      </c>
      <c r="AF446" s="2147"/>
      <c r="AG446" s="2147"/>
      <c r="AH446" s="2147"/>
      <c r="AI446" s="2147"/>
      <c r="AJ446" s="2147"/>
      <c r="AK446" s="1392"/>
      <c r="AL446" s="115" t="s">
        <v>1001</v>
      </c>
      <c r="AM446" s="115"/>
      <c r="AN446" s="1584"/>
      <c r="AO446" s="1349"/>
    </row>
    <row r="447" spans="1:49" ht="15" customHeight="1">
      <c r="A447" s="1247"/>
      <c r="G447" s="1348"/>
      <c r="H447" s="1639"/>
      <c r="I447" s="1640"/>
      <c r="J447" s="1639"/>
      <c r="K447" s="1639"/>
      <c r="L447" s="1651"/>
      <c r="M447" s="170"/>
      <c r="N447" s="1248" t="s">
        <v>3121</v>
      </c>
      <c r="O447" s="1651"/>
      <c r="P447" s="1651"/>
      <c r="Q447" s="1651"/>
      <c r="R447" s="1651"/>
      <c r="S447" s="115"/>
      <c r="T447" s="1176"/>
      <c r="U447" s="170"/>
      <c r="V447" s="170"/>
      <c r="W447" s="170"/>
      <c r="X447" s="170"/>
      <c r="Y447" s="170"/>
      <c r="Z447" s="170"/>
      <c r="AA447" s="170"/>
      <c r="AB447" s="89" t="s">
        <v>3122</v>
      </c>
      <c r="AC447" s="1397"/>
      <c r="AD447" s="1501"/>
      <c r="AE447" s="2147" cm="1">
        <f t="array" ref="AE447">INDEX(DIMex,AA441,20)</f>
        <v>5428.6721054031623</v>
      </c>
      <c r="AF447" s="2147"/>
      <c r="AG447" s="2147"/>
      <c r="AH447" s="2147"/>
      <c r="AI447" s="2147"/>
      <c r="AJ447" s="2147"/>
      <c r="AK447" s="1501"/>
      <c r="AL447" s="115" t="s">
        <v>1001</v>
      </c>
      <c r="AM447" s="115"/>
      <c r="AN447" s="1644"/>
      <c r="AO447" s="1349"/>
    </row>
    <row r="448" spans="1:49" ht="15" customHeight="1">
      <c r="A448" s="1247"/>
      <c r="G448" s="1348"/>
      <c r="H448" s="1639"/>
      <c r="I448" s="1640"/>
      <c r="J448" s="1639"/>
      <c r="K448" s="1639"/>
      <c r="L448" s="1651"/>
      <c r="M448" s="170"/>
      <c r="N448" s="1248" t="s">
        <v>3177</v>
      </c>
      <c r="O448" s="1651"/>
      <c r="P448" s="1651"/>
      <c r="Q448" s="1651"/>
      <c r="R448" s="1651"/>
      <c r="S448" s="115"/>
      <c r="T448" s="1176"/>
      <c r="U448" s="170"/>
      <c r="V448" s="170"/>
      <c r="W448" s="170"/>
      <c r="X448" s="170"/>
      <c r="Y448" s="170"/>
      <c r="Z448" s="170"/>
      <c r="AA448" s="170"/>
      <c r="AB448" s="89" t="s">
        <v>3179</v>
      </c>
      <c r="AC448" s="1397"/>
      <c r="AD448" s="1501"/>
      <c r="AE448" s="2147" cm="1">
        <f t="array" ref="AE448">INDEX(DIM,AA441,25)</f>
        <v>50</v>
      </c>
      <c r="AF448" s="2147"/>
      <c r="AG448" s="2147"/>
      <c r="AH448" s="2147"/>
      <c r="AI448" s="2147"/>
      <c r="AJ448" s="2147"/>
      <c r="AK448" s="1501"/>
      <c r="AL448" s="115" t="s">
        <v>3132</v>
      </c>
      <c r="AM448" s="115"/>
      <c r="AN448" s="1644"/>
      <c r="AO448" s="1349"/>
    </row>
    <row r="449" spans="1:41" ht="15" customHeight="1" thickBot="1">
      <c r="A449" s="1247"/>
      <c r="G449" s="1348"/>
      <c r="H449" s="1639"/>
      <c r="I449" s="1640"/>
      <c r="J449" s="1639"/>
      <c r="K449" s="1639"/>
      <c r="L449" s="1651"/>
      <c r="M449" s="170"/>
      <c r="N449" s="1248" t="s">
        <v>3178</v>
      </c>
      <c r="O449" s="1651"/>
      <c r="P449" s="1651"/>
      <c r="Q449" s="1651"/>
      <c r="R449" s="1651"/>
      <c r="S449" s="115"/>
      <c r="T449" s="1176"/>
      <c r="U449" s="170"/>
      <c r="V449" s="170"/>
      <c r="W449" s="170"/>
      <c r="X449" s="170"/>
      <c r="Y449" s="170"/>
      <c r="Z449" s="170"/>
      <c r="AA449" s="170"/>
      <c r="AB449" s="89" t="s">
        <v>3180</v>
      </c>
      <c r="AC449" s="1397"/>
      <c r="AD449" s="1501"/>
      <c r="AE449" s="2147" cm="1">
        <f t="array" ref="AE449">INDEX(DIM,AA441,16)-INDEX(DIM,AA441,28)</f>
        <v>250</v>
      </c>
      <c r="AF449" s="2147"/>
      <c r="AG449" s="2147"/>
      <c r="AH449" s="2147"/>
      <c r="AI449" s="2147"/>
      <c r="AJ449" s="2147"/>
      <c r="AK449" s="1501"/>
      <c r="AL449" s="115" t="s">
        <v>3132</v>
      </c>
      <c r="AM449" s="115"/>
      <c r="AN449" s="1644"/>
      <c r="AO449" s="1349"/>
    </row>
    <row r="450" spans="1:41" ht="15" customHeight="1" thickTop="1">
      <c r="A450" s="1247"/>
      <c r="G450" s="1370"/>
      <c r="H450" s="1371"/>
      <c r="I450" s="1372" t="s">
        <v>834</v>
      </c>
      <c r="J450" s="1371"/>
      <c r="K450" s="1371"/>
      <c r="L450" s="1373"/>
      <c r="M450" s="1374"/>
      <c r="N450" s="1375" t="s">
        <v>2586</v>
      </c>
      <c r="O450" s="1373"/>
      <c r="P450" s="1373"/>
      <c r="Q450" s="1373"/>
      <c r="R450" s="1373"/>
      <c r="S450" s="1377"/>
      <c r="T450" s="1378"/>
      <c r="U450" s="1374"/>
      <c r="V450" s="1374"/>
      <c r="W450" s="1374"/>
      <c r="X450" s="1374"/>
      <c r="Y450" s="1374"/>
      <c r="Z450" s="1374"/>
      <c r="AA450" s="1374"/>
      <c r="AB450" s="1403" t="s">
        <v>1638</v>
      </c>
      <c r="AC450" s="1399"/>
      <c r="AD450" s="1394"/>
      <c r="AE450" s="2206" cm="1">
        <f t="array" ref="AE450">INDEX(DIM,AA441,6)</f>
        <v>1</v>
      </c>
      <c r="AF450" s="2206"/>
      <c r="AG450" s="2206"/>
      <c r="AH450" s="2206"/>
      <c r="AI450" s="2206"/>
      <c r="AJ450" s="2206"/>
      <c r="AK450" s="1394"/>
      <c r="AL450" s="1377" t="s">
        <v>999</v>
      </c>
      <c r="AM450" s="1377"/>
      <c r="AN450" s="1379"/>
      <c r="AO450" s="1380"/>
    </row>
    <row r="451" spans="1:41" ht="15" customHeight="1">
      <c r="A451" s="1247"/>
      <c r="G451" s="1348"/>
      <c r="H451" s="1539"/>
      <c r="I451" s="1540"/>
      <c r="J451" s="1539"/>
      <c r="K451" s="1539"/>
      <c r="L451" s="1598"/>
      <c r="M451" s="170"/>
      <c r="N451" s="1248" t="s">
        <v>2587</v>
      </c>
      <c r="O451" s="1598"/>
      <c r="P451" s="1598"/>
      <c r="Q451" s="1598"/>
      <c r="R451" s="1598"/>
      <c r="S451" s="115"/>
      <c r="T451" s="1176"/>
      <c r="U451" s="170"/>
      <c r="V451" s="170"/>
      <c r="W451" s="170"/>
      <c r="X451" s="170"/>
      <c r="Y451" s="170"/>
      <c r="Z451" s="170"/>
      <c r="AA451" s="170"/>
      <c r="AB451" s="89" t="s">
        <v>1639</v>
      </c>
      <c r="AC451" s="1397"/>
      <c r="AD451" s="1392"/>
      <c r="AE451" s="2103" cm="1">
        <f t="array" ref="AE451">INDEX(DIM,AA441,7)</f>
        <v>2900</v>
      </c>
      <c r="AF451" s="2103"/>
      <c r="AG451" s="2103"/>
      <c r="AH451" s="2103"/>
      <c r="AI451" s="2103"/>
      <c r="AJ451" s="2103"/>
      <c r="AK451" s="1392"/>
      <c r="AL451" s="115" t="s">
        <v>999</v>
      </c>
      <c r="AM451" s="115"/>
      <c r="AN451" s="1584"/>
      <c r="AO451" s="1349"/>
    </row>
    <row r="452" spans="1:41" ht="15" customHeight="1">
      <c r="A452" s="1247"/>
      <c r="G452" s="1368"/>
      <c r="H452" s="1595"/>
      <c r="I452" s="1542"/>
      <c r="J452" s="1595"/>
      <c r="K452" s="1595"/>
      <c r="L452" s="1343"/>
      <c r="M452" s="118"/>
      <c r="N452" s="1344" t="s">
        <v>2588</v>
      </c>
      <c r="O452" s="1343"/>
      <c r="P452" s="1343"/>
      <c r="Q452" s="1343"/>
      <c r="R452" s="1343"/>
      <c r="S452" s="104"/>
      <c r="T452" s="1345"/>
      <c r="U452" s="118"/>
      <c r="V452" s="118"/>
      <c r="W452" s="118"/>
      <c r="X452" s="118"/>
      <c r="Y452" s="118"/>
      <c r="Z452" s="118"/>
      <c r="AA452" s="118"/>
      <c r="AB452" s="1404" t="s">
        <v>699</v>
      </c>
      <c r="AC452" s="1400"/>
      <c r="AD452" s="377"/>
      <c r="AE452" s="2208" cm="1">
        <f t="array" ref="AE452">INDEX(DIM,AA441,8)</f>
        <v>40</v>
      </c>
      <c r="AF452" s="2208"/>
      <c r="AG452" s="2208"/>
      <c r="AH452" s="2208"/>
      <c r="AI452" s="2208"/>
      <c r="AJ452" s="2208"/>
      <c r="AK452" s="377"/>
      <c r="AL452" s="104" t="s">
        <v>999</v>
      </c>
      <c r="AM452" s="104"/>
      <c r="AN452" s="1346"/>
      <c r="AO452" s="1369"/>
    </row>
    <row r="453" spans="1:41" ht="15" customHeight="1">
      <c r="A453" s="1247"/>
      <c r="G453" s="1381"/>
      <c r="H453" s="1311"/>
      <c r="I453" s="1546" t="s">
        <v>835</v>
      </c>
      <c r="J453" s="1311"/>
      <c r="K453" s="1311"/>
      <c r="L453" s="1382"/>
      <c r="M453" s="99"/>
      <c r="N453" s="1383" t="s">
        <v>2587</v>
      </c>
      <c r="O453" s="1382"/>
      <c r="P453" s="1382"/>
      <c r="Q453" s="1382"/>
      <c r="R453" s="1382"/>
      <c r="S453" s="666"/>
      <c r="T453" s="1385"/>
      <c r="U453" s="99"/>
      <c r="V453" s="99"/>
      <c r="W453" s="99"/>
      <c r="X453" s="99"/>
      <c r="Y453" s="99"/>
      <c r="Z453" s="99"/>
      <c r="AA453" s="99"/>
      <c r="AB453" s="1405" t="s">
        <v>1606</v>
      </c>
      <c r="AC453" s="1401"/>
      <c r="AD453" s="1395"/>
      <c r="AE453" s="2205" cm="1">
        <f t="array" ref="AE453">INDEX(DIM,AA441,10)</f>
        <v>1840</v>
      </c>
      <c r="AF453" s="2205"/>
      <c r="AG453" s="2205"/>
      <c r="AH453" s="2205"/>
      <c r="AI453" s="2205"/>
      <c r="AJ453" s="2205"/>
      <c r="AK453" s="1395"/>
      <c r="AL453" s="666" t="s">
        <v>999</v>
      </c>
      <c r="AM453" s="666"/>
      <c r="AN453" s="1386"/>
      <c r="AO453" s="1387"/>
    </row>
    <row r="454" spans="1:41" ht="15" customHeight="1">
      <c r="A454" s="1247"/>
      <c r="G454" s="1348"/>
      <c r="H454" s="1539"/>
      <c r="I454" s="1540"/>
      <c r="J454" s="1539"/>
      <c r="K454" s="1539"/>
      <c r="L454" s="1598"/>
      <c r="M454" s="170"/>
      <c r="N454" s="1248" t="s">
        <v>2588</v>
      </c>
      <c r="O454" s="1598"/>
      <c r="P454" s="1598"/>
      <c r="Q454" s="1598"/>
      <c r="R454" s="1598"/>
      <c r="S454" s="115"/>
      <c r="T454" s="1176"/>
      <c r="U454" s="170"/>
      <c r="V454" s="170"/>
      <c r="W454" s="170"/>
      <c r="X454" s="170"/>
      <c r="Y454" s="170"/>
      <c r="Z454" s="170"/>
      <c r="AA454" s="170"/>
      <c r="AB454" s="89" t="s">
        <v>1607</v>
      </c>
      <c r="AC454" s="1397"/>
      <c r="AD454" s="1392"/>
      <c r="AE454" s="2103" cm="1">
        <f t="array" ref="AE454">INDEX(DIM,AA441,11)</f>
        <v>30</v>
      </c>
      <c r="AF454" s="2103"/>
      <c r="AG454" s="2103"/>
      <c r="AH454" s="2103"/>
      <c r="AI454" s="2103"/>
      <c r="AJ454" s="2103"/>
      <c r="AK454" s="1392"/>
      <c r="AL454" s="115" t="s">
        <v>999</v>
      </c>
      <c r="AM454" s="115"/>
      <c r="AN454" s="1584"/>
      <c r="AO454" s="1349"/>
    </row>
    <row r="455" spans="1:41" ht="15" customHeight="1">
      <c r="A455" s="1247"/>
      <c r="G455" s="1368"/>
      <c r="H455" s="1595"/>
      <c r="I455" s="1542"/>
      <c r="J455" s="1595"/>
      <c r="K455" s="1595"/>
      <c r="L455" s="1343"/>
      <c r="M455" s="118"/>
      <c r="N455" s="1344" t="s">
        <v>2578</v>
      </c>
      <c r="O455" s="1343"/>
      <c r="P455" s="1343"/>
      <c r="Q455" s="1343"/>
      <c r="R455" s="1343"/>
      <c r="S455" s="104"/>
      <c r="T455" s="1345"/>
      <c r="U455" s="118"/>
      <c r="V455" s="118"/>
      <c r="W455" s="118"/>
      <c r="X455" s="118"/>
      <c r="Y455" s="118"/>
      <c r="Z455" s="118"/>
      <c r="AA455" s="118"/>
      <c r="AB455" s="1404" t="s">
        <v>1641</v>
      </c>
      <c r="AC455" s="1400"/>
      <c r="AD455" s="377"/>
      <c r="AE455" s="2208" cm="1">
        <f t="array" ref="AE455">INDEX(DIM,AA441,12)</f>
        <v>120</v>
      </c>
      <c r="AF455" s="2208"/>
      <c r="AG455" s="2208"/>
      <c r="AH455" s="2208"/>
      <c r="AI455" s="2208"/>
      <c r="AJ455" s="2208"/>
      <c r="AK455" s="377"/>
      <c r="AL455" s="104" t="s">
        <v>999</v>
      </c>
      <c r="AM455" s="104"/>
      <c r="AN455" s="1346"/>
      <c r="AO455" s="1369"/>
    </row>
    <row r="456" spans="1:41" ht="15" customHeight="1">
      <c r="A456" s="1247"/>
      <c r="G456" s="1381"/>
      <c r="H456" s="1311"/>
      <c r="I456" s="1546" t="s">
        <v>513</v>
      </c>
      <c r="J456" s="1311"/>
      <c r="K456" s="1311"/>
      <c r="L456" s="1382"/>
      <c r="M456" s="99"/>
      <c r="N456" s="1383" t="s">
        <v>2574</v>
      </c>
      <c r="O456" s="1382"/>
      <c r="P456" s="1382"/>
      <c r="Q456" s="1382"/>
      <c r="R456" s="1382"/>
      <c r="S456" s="666"/>
      <c r="T456" s="1385"/>
      <c r="U456" s="99"/>
      <c r="V456" s="99"/>
      <c r="W456" s="99"/>
      <c r="X456" s="99"/>
      <c r="Y456" s="99"/>
      <c r="Z456" s="99"/>
      <c r="AA456" s="99"/>
      <c r="AB456" s="1405" t="s">
        <v>414</v>
      </c>
      <c r="AC456" s="1401"/>
      <c r="AD456" s="1395"/>
      <c r="AE456" s="2205" cm="1">
        <f t="array" ref="AE456">INDEX(DIM,AA441,13)</f>
        <v>3200</v>
      </c>
      <c r="AF456" s="2205"/>
      <c r="AG456" s="2205"/>
      <c r="AH456" s="2205"/>
      <c r="AI456" s="2205"/>
      <c r="AJ456" s="2205"/>
      <c r="AK456" s="1395"/>
      <c r="AL456" s="666" t="s">
        <v>999</v>
      </c>
      <c r="AM456" s="666"/>
      <c r="AN456" s="1386"/>
      <c r="AO456" s="1387"/>
    </row>
    <row r="457" spans="1:41" ht="15" customHeight="1">
      <c r="A457" s="1247"/>
      <c r="G457" s="1348"/>
      <c r="H457" s="1539"/>
      <c r="I457" s="1540"/>
      <c r="J457" s="1539"/>
      <c r="K457" s="1539"/>
      <c r="L457" s="1598"/>
      <c r="M457" s="170"/>
      <c r="N457" s="1248" t="s">
        <v>2575</v>
      </c>
      <c r="O457" s="1598"/>
      <c r="P457" s="1598"/>
      <c r="Q457" s="1598"/>
      <c r="R457" s="1598"/>
      <c r="S457" s="115"/>
      <c r="T457" s="1176"/>
      <c r="U457" s="170"/>
      <c r="V457" s="170"/>
      <c r="W457" s="170"/>
      <c r="X457" s="170"/>
      <c r="Y457" s="170"/>
      <c r="Z457" s="170"/>
      <c r="AA457" s="170"/>
      <c r="AB457" s="89" t="s">
        <v>359</v>
      </c>
      <c r="AC457" s="1397"/>
      <c r="AD457" s="1392"/>
      <c r="AE457" s="2103" cm="1">
        <f t="array" ref="AE457">INDEX(DIM,AA441,14)</f>
        <v>14</v>
      </c>
      <c r="AF457" s="2103"/>
      <c r="AG457" s="2103"/>
      <c r="AH457" s="2103"/>
      <c r="AI457" s="2103"/>
      <c r="AJ457" s="2103"/>
      <c r="AK457" s="1392"/>
      <c r="AL457" s="115" t="s">
        <v>999</v>
      </c>
      <c r="AM457" s="115"/>
      <c r="AN457" s="1584"/>
      <c r="AO457" s="1349"/>
    </row>
    <row r="458" spans="1:41" ht="15" customHeight="1">
      <c r="A458" s="1247"/>
      <c r="G458" s="1368"/>
      <c r="H458" s="1595"/>
      <c r="I458" s="1542"/>
      <c r="J458" s="1595"/>
      <c r="K458" s="1595"/>
      <c r="L458" s="1343"/>
      <c r="M458" s="118"/>
      <c r="N458" s="1344" t="s">
        <v>2576</v>
      </c>
      <c r="O458" s="1343"/>
      <c r="P458" s="1343"/>
      <c r="Q458" s="1343"/>
      <c r="R458" s="1343"/>
      <c r="S458" s="104"/>
      <c r="T458" s="1345"/>
      <c r="U458" s="118"/>
      <c r="V458" s="118"/>
      <c r="W458" s="118"/>
      <c r="X458" s="118"/>
      <c r="Y458" s="118"/>
      <c r="Z458" s="118"/>
      <c r="AA458" s="118"/>
      <c r="AB458" s="1404" t="s">
        <v>777</v>
      </c>
      <c r="AC458" s="1400"/>
      <c r="AD458" s="377"/>
      <c r="AE458" s="2209" cm="1">
        <f t="array" ref="AE458">INDEX(DIMex,AA441,8)</f>
        <v>0.125</v>
      </c>
      <c r="AF458" s="2209"/>
      <c r="AG458" s="2209"/>
      <c r="AH458" s="2209"/>
      <c r="AI458" s="2209"/>
      <c r="AJ458" s="2209"/>
      <c r="AK458" s="377"/>
      <c r="AL458" s="104" t="s">
        <v>2639</v>
      </c>
      <c r="AM458" s="104"/>
      <c r="AN458" s="1346"/>
      <c r="AO458" s="1369"/>
    </row>
    <row r="459" spans="1:41" ht="15" customHeight="1">
      <c r="A459" s="1247"/>
      <c r="G459" s="1348"/>
      <c r="H459" s="1539"/>
      <c r="I459" s="1540" t="s">
        <v>651</v>
      </c>
      <c r="J459" s="1539"/>
      <c r="K459" s="1539"/>
      <c r="L459" s="1598"/>
      <c r="M459" s="170"/>
      <c r="N459" s="1248" t="s">
        <v>2578</v>
      </c>
      <c r="O459" s="1598"/>
      <c r="P459" s="1598"/>
      <c r="Q459" s="1598"/>
      <c r="R459" s="1598"/>
      <c r="S459" s="115"/>
      <c r="T459" s="1176"/>
      <c r="U459" s="170"/>
      <c r="V459" s="170"/>
      <c r="W459" s="170"/>
      <c r="X459" s="170"/>
      <c r="Y459" s="170"/>
      <c r="Z459" s="170"/>
      <c r="AA459" s="170"/>
      <c r="AB459" s="89" t="s">
        <v>617</v>
      </c>
      <c r="AC459" s="1397"/>
      <c r="AD459" s="1392"/>
      <c r="AE459" s="2103" cm="1">
        <f t="array" ref="AE459">INDEX(DIM,AA441,20)</f>
        <v>1150</v>
      </c>
      <c r="AF459" s="2103"/>
      <c r="AG459" s="2103"/>
      <c r="AH459" s="2103"/>
      <c r="AI459" s="2103"/>
      <c r="AJ459" s="2103"/>
      <c r="AK459" s="1392"/>
      <c r="AL459" s="115" t="s">
        <v>999</v>
      </c>
      <c r="AM459" s="115"/>
      <c r="AN459" s="1584"/>
      <c r="AO459" s="1349"/>
    </row>
    <row r="460" spans="1:41" ht="15" customHeight="1">
      <c r="A460" s="1247"/>
      <c r="G460" s="1348"/>
      <c r="H460" s="1639"/>
      <c r="I460" s="1640"/>
      <c r="J460" s="1639"/>
      <c r="K460" s="1639"/>
      <c r="L460" s="1651"/>
      <c r="M460" s="170"/>
      <c r="N460" s="1248" t="s">
        <v>3111</v>
      </c>
      <c r="O460" s="1651"/>
      <c r="P460" s="1651"/>
      <c r="Q460" s="1651"/>
      <c r="R460" s="1651"/>
      <c r="S460" s="115"/>
      <c r="T460" s="1176"/>
      <c r="U460" s="170"/>
      <c r="V460" s="170"/>
      <c r="W460" s="170"/>
      <c r="X460" s="170"/>
      <c r="Y460" s="170"/>
      <c r="Z460" s="170"/>
      <c r="AA460" s="170"/>
      <c r="AB460" s="89" t="s">
        <v>3112</v>
      </c>
      <c r="AC460" s="1397"/>
      <c r="AD460" s="1392"/>
      <c r="AE460" s="2103" cm="1">
        <f t="array" ref="AE460">INDEX(DIM,AA441,17)</f>
        <v>5450</v>
      </c>
      <c r="AF460" s="2103"/>
      <c r="AG460" s="2103"/>
      <c r="AH460" s="2103"/>
      <c r="AI460" s="2103"/>
      <c r="AJ460" s="2103"/>
      <c r="AK460" s="1392"/>
      <c r="AL460" s="115" t="s">
        <v>999</v>
      </c>
      <c r="AM460" s="115"/>
      <c r="AN460" s="1644"/>
      <c r="AO460" s="1349"/>
    </row>
    <row r="461" spans="1:41" ht="15" customHeight="1">
      <c r="A461" s="1247"/>
      <c r="G461" s="1348"/>
      <c r="H461" s="1639"/>
      <c r="I461" s="1639"/>
      <c r="J461" s="1639"/>
      <c r="K461" s="1639"/>
      <c r="L461" s="1651"/>
      <c r="M461" s="170"/>
      <c r="N461" s="1248" t="s">
        <v>2618</v>
      </c>
      <c r="O461" s="1651"/>
      <c r="P461" s="1651"/>
      <c r="Q461" s="1651"/>
      <c r="R461" s="1651"/>
      <c r="S461" s="115"/>
      <c r="T461" s="1176"/>
      <c r="U461" s="170"/>
      <c r="V461" s="170"/>
      <c r="W461" s="170"/>
      <c r="X461" s="170"/>
      <c r="Y461" s="170"/>
      <c r="Z461" s="170"/>
      <c r="AA461" s="170"/>
      <c r="AB461" s="89" t="s">
        <v>405</v>
      </c>
      <c r="AC461" s="1397"/>
      <c r="AD461" s="1501"/>
      <c r="AE461" s="2103" cm="1">
        <f t="array" ref="AE461">INDEX(DIM,AA441,21)</f>
        <v>2400</v>
      </c>
      <c r="AF461" s="2103"/>
      <c r="AG461" s="2103"/>
      <c r="AH461" s="2103"/>
      <c r="AI461" s="2103"/>
      <c r="AJ461" s="2103"/>
      <c r="AK461" s="1501"/>
      <c r="AL461" s="115" t="s">
        <v>999</v>
      </c>
      <c r="AM461" s="115"/>
      <c r="AN461" s="1644"/>
      <c r="AO461" s="1349"/>
    </row>
    <row r="462" spans="1:41" ht="15" customHeight="1">
      <c r="A462" s="1247"/>
      <c r="G462" s="1348"/>
      <c r="H462" s="1539"/>
      <c r="I462" s="1539"/>
      <c r="J462" s="1539"/>
      <c r="K462" s="1539"/>
      <c r="L462" s="1598"/>
      <c r="M462" s="170"/>
      <c r="N462" s="1248" t="s">
        <v>2575</v>
      </c>
      <c r="O462" s="1598"/>
      <c r="P462" s="1598"/>
      <c r="Q462" s="1598"/>
      <c r="R462" s="1598"/>
      <c r="S462" s="115"/>
      <c r="T462" s="1176"/>
      <c r="U462" s="170"/>
      <c r="V462" s="170"/>
      <c r="W462" s="170"/>
      <c r="X462" s="170"/>
      <c r="Y462" s="170"/>
      <c r="Z462" s="170"/>
      <c r="AA462" s="170"/>
      <c r="AB462" s="89" t="s">
        <v>358</v>
      </c>
      <c r="AC462" s="1397"/>
      <c r="AD462" s="1392"/>
      <c r="AE462" s="2103" cm="1">
        <f t="array" ref="AE462">INDEX(DIM,AA441,16)</f>
        <v>290</v>
      </c>
      <c r="AF462" s="2103"/>
      <c r="AG462" s="2103"/>
      <c r="AH462" s="2103"/>
      <c r="AI462" s="2103"/>
      <c r="AJ462" s="2103"/>
      <c r="AK462" s="1392"/>
      <c r="AL462" s="115" t="s">
        <v>999</v>
      </c>
      <c r="AM462" s="115"/>
      <c r="AN462" s="1584"/>
      <c r="AO462" s="1349"/>
    </row>
    <row r="463" spans="1:41" ht="15" customHeight="1" thickBot="1">
      <c r="A463" s="1247"/>
      <c r="G463" s="1350"/>
      <c r="H463" s="1639"/>
      <c r="I463" s="1639"/>
      <c r="J463" s="1639"/>
      <c r="K463" s="1639"/>
      <c r="L463" s="1651"/>
      <c r="M463" s="170"/>
      <c r="N463" s="1248" t="s">
        <v>3200</v>
      </c>
      <c r="O463" s="1651"/>
      <c r="P463" s="1651"/>
      <c r="Q463" s="1651"/>
      <c r="R463" s="1651"/>
      <c r="S463" s="115"/>
      <c r="T463" s="1176"/>
      <c r="U463" s="170"/>
      <c r="V463" s="170"/>
      <c r="W463" s="170"/>
      <c r="X463" s="170"/>
      <c r="Y463" s="170"/>
      <c r="Z463" s="170"/>
      <c r="AA463" s="170"/>
      <c r="AB463" s="89" t="s">
        <v>1635</v>
      </c>
      <c r="AC463" s="1397"/>
      <c r="AD463" s="1392"/>
      <c r="AE463" s="2103" cm="1">
        <f t="array" ref="AE463">INDEX(DIM,AA441,18)</f>
        <v>0</v>
      </c>
      <c r="AF463" s="2103"/>
      <c r="AG463" s="2103"/>
      <c r="AH463" s="2103"/>
      <c r="AI463" s="2103"/>
      <c r="AJ463" s="2103"/>
      <c r="AK463" s="1392"/>
      <c r="AL463" s="115" t="s">
        <v>999</v>
      </c>
      <c r="AM463" s="115"/>
      <c r="AN463" s="1644"/>
      <c r="AO463" s="1349"/>
    </row>
    <row r="464" spans="1:41" ht="15" customHeight="1" thickTop="1">
      <c r="A464" s="1247"/>
      <c r="G464" s="1348"/>
      <c r="H464" s="1371"/>
      <c r="I464" s="1372" t="s">
        <v>3128</v>
      </c>
      <c r="J464" s="1371"/>
      <c r="K464" s="1371"/>
      <c r="L464" s="1373"/>
      <c r="M464" s="1374"/>
      <c r="N464" s="1375" t="s">
        <v>3129</v>
      </c>
      <c r="O464" s="1373"/>
      <c r="P464" s="1373"/>
      <c r="Q464" s="1373"/>
      <c r="R464" s="1373"/>
      <c r="S464" s="1377"/>
      <c r="T464" s="1378"/>
      <c r="U464" s="1374"/>
      <c r="V464" s="1374"/>
      <c r="W464" s="1374"/>
      <c r="X464" s="1374"/>
      <c r="Y464" s="1374"/>
      <c r="Z464" s="1374"/>
      <c r="AA464" s="1374"/>
      <c r="AB464" s="1403" t="s">
        <v>3131</v>
      </c>
      <c r="AC464" s="1399"/>
      <c r="AD464" s="1394"/>
      <c r="AE464" s="2206" cm="1">
        <f t="array" ref="AE464">INDEX(DIM,AA441,15)</f>
        <v>600</v>
      </c>
      <c r="AF464" s="2206"/>
      <c r="AG464" s="2206"/>
      <c r="AH464" s="2206"/>
      <c r="AI464" s="2206"/>
      <c r="AJ464" s="2206"/>
      <c r="AK464" s="1394"/>
      <c r="AL464" s="1377" t="s">
        <v>3132</v>
      </c>
      <c r="AM464" s="1377"/>
      <c r="AN464" s="1379"/>
      <c r="AO464" s="1380"/>
    </row>
    <row r="465" spans="1:45" ht="15" customHeight="1">
      <c r="A465" s="1247"/>
      <c r="G465" s="1348"/>
      <c r="H465" s="1639"/>
      <c r="I465" s="1640"/>
      <c r="J465" s="1639"/>
      <c r="K465" s="1639"/>
      <c r="L465" s="1651"/>
      <c r="M465" s="170"/>
      <c r="N465" s="1248" t="s">
        <v>3130</v>
      </c>
      <c r="O465" s="1651"/>
      <c r="P465" s="1651"/>
      <c r="Q465" s="1651"/>
      <c r="R465" s="1651"/>
      <c r="S465" s="115"/>
      <c r="T465" s="1176"/>
      <c r="U465" s="170"/>
      <c r="V465" s="170"/>
      <c r="W465" s="170"/>
      <c r="X465" s="170"/>
      <c r="Y465" s="170"/>
      <c r="Z465" s="170"/>
      <c r="AA465" s="170"/>
      <c r="AB465" s="1639" t="s">
        <v>3267</v>
      </c>
      <c r="AC465" s="1397"/>
      <c r="AD465" s="1501"/>
      <c r="AE465" s="2103" cm="1">
        <f t="array" ref="AE465">INDEX(DIMex,AA441,12)</f>
        <v>1005000</v>
      </c>
      <c r="AF465" s="2103"/>
      <c r="AG465" s="2103"/>
      <c r="AH465" s="2103"/>
      <c r="AI465" s="2103"/>
      <c r="AJ465" s="2103"/>
      <c r="AK465" s="1501"/>
      <c r="AL465" s="115" t="s">
        <v>3133</v>
      </c>
      <c r="AM465" s="115"/>
      <c r="AN465" s="1644"/>
      <c r="AO465" s="1349"/>
    </row>
    <row r="466" spans="1:45" ht="15" customHeight="1" thickBot="1">
      <c r="A466" s="1247"/>
      <c r="G466" s="1350"/>
      <c r="H466" s="1364"/>
      <c r="I466" s="1365"/>
      <c r="J466" s="1364"/>
      <c r="K466" s="1364"/>
      <c r="L466" s="1366"/>
      <c r="M466" s="84"/>
      <c r="N466" s="1353" t="s">
        <v>3126</v>
      </c>
      <c r="O466" s="1366"/>
      <c r="P466" s="1366"/>
      <c r="Q466" s="1366"/>
      <c r="R466" s="1366"/>
      <c r="S466" s="1367"/>
      <c r="T466" s="1355"/>
      <c r="U466" s="84"/>
      <c r="V466" s="84"/>
      <c r="W466" s="84"/>
      <c r="X466" s="84"/>
      <c r="Y466" s="84"/>
      <c r="Z466" s="84"/>
      <c r="AA466" s="84"/>
      <c r="AB466" s="1402" t="s">
        <v>3268</v>
      </c>
      <c r="AC466" s="1398"/>
      <c r="AD466" s="1393"/>
      <c r="AE466" s="2285" cm="1">
        <f t="array" ref="AE466">INDEX(DIM,AA441,29)</f>
        <v>6031.8578948924023</v>
      </c>
      <c r="AF466" s="2285"/>
      <c r="AG466" s="2285"/>
      <c r="AH466" s="2285"/>
      <c r="AI466" s="2285"/>
      <c r="AJ466" s="2285"/>
      <c r="AK466" s="1393"/>
      <c r="AL466" s="1367" t="s">
        <v>1001</v>
      </c>
      <c r="AM466" s="1367"/>
      <c r="AN466" s="1356"/>
      <c r="AO466" s="1357"/>
    </row>
    <row r="467" spans="1:45" ht="15" customHeight="1" thickTop="1">
      <c r="A467" s="1247"/>
      <c r="G467" s="1348"/>
      <c r="H467" s="1639"/>
      <c r="I467" s="1640" t="s">
        <v>2860</v>
      </c>
      <c r="J467" s="1639"/>
      <c r="K467" s="1639"/>
      <c r="L467" s="1651"/>
      <c r="M467" s="170"/>
      <c r="N467" s="1248" t="s">
        <v>2650</v>
      </c>
      <c r="O467" s="1651"/>
      <c r="P467" s="1651"/>
      <c r="Q467" s="1651"/>
      <c r="R467" s="1651"/>
      <c r="S467" s="115"/>
      <c r="T467" s="1176"/>
      <c r="U467" s="170"/>
      <c r="V467" s="170"/>
      <c r="W467" s="170"/>
      <c r="X467" s="170"/>
      <c r="Y467" s="170"/>
      <c r="Z467" s="170"/>
      <c r="AA467" s="170"/>
      <c r="AB467" s="89" t="s">
        <v>2991</v>
      </c>
      <c r="AC467" s="1397"/>
      <c r="AD467" s="1501"/>
      <c r="AE467" s="2103" cm="1">
        <f t="array" ref="AE467">INDEX(DIM,AA441,30)</f>
        <v>2</v>
      </c>
      <c r="AF467" s="2103"/>
      <c r="AG467" s="2103"/>
      <c r="AH467" s="2103"/>
      <c r="AI467" s="2103"/>
      <c r="AJ467" s="2213"/>
      <c r="AK467" s="1501"/>
      <c r="AL467" s="115" t="s">
        <v>999</v>
      </c>
      <c r="AM467" s="115"/>
      <c r="AN467" s="1644"/>
      <c r="AO467" s="1349"/>
      <c r="AS467" s="1628" t="str">
        <f>IF(AE467=0,"Hide this row","")</f>
        <v/>
      </c>
    </row>
    <row r="468" spans="1:45" ht="15" customHeight="1">
      <c r="A468" s="1247"/>
      <c r="G468" s="1348"/>
      <c r="H468" s="1539"/>
      <c r="I468" s="1540"/>
      <c r="J468" s="1539"/>
      <c r="K468" s="1539"/>
      <c r="L468" s="1598"/>
      <c r="M468" s="170"/>
      <c r="N468" s="1248"/>
      <c r="O468" s="1598"/>
      <c r="P468" s="1598"/>
      <c r="Q468" s="1598"/>
      <c r="R468" s="1598"/>
      <c r="S468" s="115"/>
      <c r="T468" s="1176"/>
      <c r="U468" s="170"/>
      <c r="V468" s="170"/>
      <c r="W468" s="170"/>
      <c r="X468" s="170"/>
      <c r="Y468" s="170"/>
      <c r="Z468" s="170"/>
      <c r="AA468" s="170"/>
      <c r="AB468" s="89" t="s">
        <v>1879</v>
      </c>
      <c r="AC468" s="1397"/>
      <c r="AD468" s="1392"/>
      <c r="AE468" s="2103" cm="1">
        <f t="array" ref="AE468">INDEX(DIM,AA441,31)</f>
        <v>160</v>
      </c>
      <c r="AF468" s="2103"/>
      <c r="AG468" s="2103"/>
      <c r="AH468" s="2103"/>
      <c r="AI468" s="2103"/>
      <c r="AJ468" s="2213"/>
      <c r="AK468" s="1392"/>
      <c r="AL468" s="115" t="s">
        <v>999</v>
      </c>
      <c r="AM468" s="115"/>
      <c r="AN468" s="1584"/>
      <c r="AO468" s="1349"/>
      <c r="AS468" s="1628" t="str">
        <f t="shared" ref="AS468:AS472" si="0">IF(AE468=0,"Hide this row","")</f>
        <v/>
      </c>
    </row>
    <row r="469" spans="1:45" ht="15" customHeight="1">
      <c r="A469" s="1247"/>
      <c r="G469" s="1368"/>
      <c r="H469" s="1595"/>
      <c r="I469" s="1542"/>
      <c r="J469" s="1595"/>
      <c r="K469" s="1595"/>
      <c r="L469" s="1343"/>
      <c r="M469" s="118"/>
      <c r="N469" s="1344"/>
      <c r="O469" s="1343"/>
      <c r="P469" s="1343"/>
      <c r="Q469" s="1343"/>
      <c r="R469" s="1343"/>
      <c r="S469" s="104"/>
      <c r="T469" s="1345"/>
      <c r="U469" s="118"/>
      <c r="V469" s="118"/>
      <c r="W469" s="118"/>
      <c r="X469" s="118"/>
      <c r="Y469" s="118"/>
      <c r="Z469" s="118"/>
      <c r="AA469" s="118"/>
      <c r="AB469" s="1404" t="s">
        <v>1880</v>
      </c>
      <c r="AC469" s="1400"/>
      <c r="AD469" s="377"/>
      <c r="AE469" s="2208" cm="1">
        <f t="array" ref="AE469">INDEX(DIM,AA441,32)</f>
        <v>16</v>
      </c>
      <c r="AF469" s="2208"/>
      <c r="AG469" s="2208"/>
      <c r="AH469" s="2208"/>
      <c r="AI469" s="2208"/>
      <c r="AJ469" s="2214"/>
      <c r="AK469" s="377"/>
      <c r="AL469" s="104" t="s">
        <v>999</v>
      </c>
      <c r="AM469" s="104"/>
      <c r="AN469" s="1346"/>
      <c r="AO469" s="1369"/>
      <c r="AS469" s="1628" t="str">
        <f t="shared" si="0"/>
        <v/>
      </c>
    </row>
    <row r="470" spans="1:45" ht="15" customHeight="1">
      <c r="A470" s="1247"/>
      <c r="G470" s="1381"/>
      <c r="H470" s="1311"/>
      <c r="I470" s="1546"/>
      <c r="J470" s="1311"/>
      <c r="K470" s="1311"/>
      <c r="L470" s="1382"/>
      <c r="M470" s="99"/>
      <c r="N470" s="1383" t="s">
        <v>2649</v>
      </c>
      <c r="O470" s="1382"/>
      <c r="P470" s="1382"/>
      <c r="Q470" s="1382"/>
      <c r="R470" s="1382"/>
      <c r="S470" s="666"/>
      <c r="T470" s="1385"/>
      <c r="U470" s="99"/>
      <c r="V470" s="99"/>
      <c r="W470" s="99"/>
      <c r="X470" s="99"/>
      <c r="Y470" s="99"/>
      <c r="Z470" s="99"/>
      <c r="AA470" s="99"/>
      <c r="AB470" s="1405" t="s">
        <v>2992</v>
      </c>
      <c r="AC470" s="1401"/>
      <c r="AD470" s="1395"/>
      <c r="AE470" s="2205" cm="1">
        <f t="array" ref="AE470">INDEX(DIM,AA441,33)</f>
        <v>0</v>
      </c>
      <c r="AF470" s="2205"/>
      <c r="AG470" s="2205"/>
      <c r="AH470" s="2205"/>
      <c r="AI470" s="2205"/>
      <c r="AJ470" s="2231"/>
      <c r="AK470" s="1395"/>
      <c r="AL470" s="666" t="s">
        <v>999</v>
      </c>
      <c r="AM470" s="666"/>
      <c r="AN470" s="1386"/>
      <c r="AO470" s="1387"/>
      <c r="AS470" s="1628" t="str">
        <f t="shared" si="0"/>
        <v>Hide this row</v>
      </c>
    </row>
    <row r="471" spans="1:45" ht="15" customHeight="1">
      <c r="A471" s="1247"/>
      <c r="G471" s="1348"/>
      <c r="H471" s="1539"/>
      <c r="I471" s="1540"/>
      <c r="J471" s="1539"/>
      <c r="K471" s="1539"/>
      <c r="L471" s="1598"/>
      <c r="M471" s="170"/>
      <c r="N471" s="1248"/>
      <c r="O471" s="1598"/>
      <c r="P471" s="1598"/>
      <c r="Q471" s="1598"/>
      <c r="R471" s="1598"/>
      <c r="S471" s="115"/>
      <c r="T471" s="1176"/>
      <c r="U471" s="170"/>
      <c r="V471" s="170"/>
      <c r="W471" s="170"/>
      <c r="X471" s="170"/>
      <c r="Y471" s="170"/>
      <c r="Z471" s="170"/>
      <c r="AA471" s="170"/>
      <c r="AB471" s="89" t="s">
        <v>1881</v>
      </c>
      <c r="AC471" s="1397"/>
      <c r="AD471" s="1392"/>
      <c r="AE471" s="2103" cm="1">
        <f t="array" ref="AE471">INDEX(DIM,AA441,34)</f>
        <v>0</v>
      </c>
      <c r="AF471" s="2103"/>
      <c r="AG471" s="2103"/>
      <c r="AH471" s="2103"/>
      <c r="AI471" s="2103"/>
      <c r="AJ471" s="2213"/>
      <c r="AK471" s="1392"/>
      <c r="AL471" s="115" t="s">
        <v>999</v>
      </c>
      <c r="AM471" s="115"/>
      <c r="AN471" s="1584"/>
      <c r="AO471" s="1349"/>
      <c r="AS471" s="1628" t="str">
        <f t="shared" si="0"/>
        <v>Hide this row</v>
      </c>
    </row>
    <row r="472" spans="1:45" ht="15" customHeight="1">
      <c r="A472" s="1247"/>
      <c r="G472" s="1368"/>
      <c r="H472" s="1595"/>
      <c r="I472" s="1542"/>
      <c r="J472" s="1595"/>
      <c r="K472" s="1595"/>
      <c r="L472" s="1343"/>
      <c r="M472" s="118"/>
      <c r="N472" s="1344"/>
      <c r="O472" s="1343"/>
      <c r="P472" s="1343"/>
      <c r="Q472" s="1343"/>
      <c r="R472" s="1343"/>
      <c r="S472" s="104"/>
      <c r="T472" s="1345"/>
      <c r="U472" s="118"/>
      <c r="V472" s="118"/>
      <c r="W472" s="118"/>
      <c r="X472" s="118"/>
      <c r="Y472" s="118"/>
      <c r="Z472" s="118"/>
      <c r="AA472" s="118"/>
      <c r="AB472" s="1404" t="s">
        <v>1882</v>
      </c>
      <c r="AC472" s="1400"/>
      <c r="AD472" s="377"/>
      <c r="AE472" s="2208" cm="1">
        <f t="array" ref="AE472">INDEX(DIM,AA441,35)</f>
        <v>0</v>
      </c>
      <c r="AF472" s="2208"/>
      <c r="AG472" s="2208"/>
      <c r="AH472" s="2208"/>
      <c r="AI472" s="2208"/>
      <c r="AJ472" s="2214"/>
      <c r="AK472" s="377"/>
      <c r="AL472" s="104" t="s">
        <v>999</v>
      </c>
      <c r="AM472" s="104"/>
      <c r="AN472" s="1346"/>
      <c r="AO472" s="1369"/>
      <c r="AS472" s="1628" t="str">
        <f t="shared" si="0"/>
        <v>Hide this row</v>
      </c>
    </row>
    <row r="473" spans="1:45" ht="15" customHeight="1">
      <c r="A473" s="1247"/>
      <c r="G473" s="1381"/>
      <c r="H473" s="1311"/>
      <c r="I473" s="1546"/>
      <c r="J473" s="1311"/>
      <c r="K473" s="1311"/>
      <c r="L473" s="1382"/>
      <c r="M473" s="99"/>
      <c r="N473" s="1383" t="s">
        <v>2861</v>
      </c>
      <c r="O473" s="1382"/>
      <c r="P473" s="1382"/>
      <c r="Q473" s="1382"/>
      <c r="R473" s="1382"/>
      <c r="S473" s="666"/>
      <c r="T473" s="1385"/>
      <c r="U473" s="99"/>
      <c r="V473" s="99"/>
      <c r="W473" s="99"/>
      <c r="X473" s="99"/>
      <c r="Y473" s="99"/>
      <c r="Z473" s="99"/>
      <c r="AA473" s="99"/>
      <c r="AB473" s="1405" t="s">
        <v>2993</v>
      </c>
      <c r="AC473" s="1401"/>
      <c r="AD473" s="1506"/>
      <c r="AE473" s="2152" cm="1">
        <f t="array" ref="AE473">INDEX(DIM,AA441,36)</f>
        <v>2</v>
      </c>
      <c r="AF473" s="2152"/>
      <c r="AG473" s="2152"/>
      <c r="AH473" s="2152"/>
      <c r="AI473" s="2152"/>
      <c r="AJ473" s="2153"/>
      <c r="AK473" s="1395"/>
      <c r="AL473" s="666"/>
      <c r="AM473" s="666"/>
      <c r="AN473" s="1386"/>
      <c r="AO473" s="1387"/>
    </row>
    <row r="474" spans="1:45" ht="15" customHeight="1" thickBot="1">
      <c r="A474" s="1247"/>
      <c r="G474" s="1381"/>
      <c r="H474" s="1311"/>
      <c r="I474" s="1546"/>
      <c r="J474" s="1311"/>
      <c r="K474" s="1311"/>
      <c r="L474" s="1382"/>
      <c r="M474" s="99"/>
      <c r="N474" s="1383" t="s">
        <v>2885</v>
      </c>
      <c r="O474" s="1382"/>
      <c r="P474" s="1382"/>
      <c r="Q474" s="1382"/>
      <c r="R474" s="1382"/>
      <c r="S474" s="666"/>
      <c r="T474" s="1385"/>
      <c r="U474" s="99"/>
      <c r="V474" s="99"/>
      <c r="W474" s="99"/>
      <c r="X474" s="99"/>
      <c r="Y474" s="99"/>
      <c r="Z474" s="99"/>
      <c r="AA474" s="99"/>
      <c r="AB474" s="1405" t="s">
        <v>424</v>
      </c>
      <c r="AC474" s="1401"/>
      <c r="AD474" s="1501"/>
      <c r="AE474" s="2103" cm="1">
        <f t="array" ref="AE474">INDEX(DIM,AA441,37)</f>
        <v>2500</v>
      </c>
      <c r="AF474" s="2103"/>
      <c r="AG474" s="2103"/>
      <c r="AH474" s="2103"/>
      <c r="AI474" s="2103"/>
      <c r="AJ474" s="2213"/>
      <c r="AK474" s="1395"/>
      <c r="AL474" s="666" t="s">
        <v>999</v>
      </c>
      <c r="AM474" s="666"/>
      <c r="AN474" s="1386"/>
      <c r="AO474" s="1387"/>
    </row>
    <row r="475" spans="1:45" ht="15" customHeight="1" thickTop="1">
      <c r="A475" s="1247"/>
      <c r="G475" s="1370"/>
      <c r="H475" s="1371"/>
      <c r="I475" s="1372" t="s">
        <v>2559</v>
      </c>
      <c r="J475" s="1371"/>
      <c r="K475" s="1371"/>
      <c r="L475" s="1373"/>
      <c r="M475" s="1374"/>
      <c r="N475" s="1375" t="s">
        <v>2582</v>
      </c>
      <c r="O475" s="1376"/>
      <c r="P475" s="1373"/>
      <c r="Q475" s="1373"/>
      <c r="R475" s="1373"/>
      <c r="S475" s="1377"/>
      <c r="T475" s="1378"/>
      <c r="U475" s="1374"/>
      <c r="V475" s="1374"/>
      <c r="W475" s="1374"/>
      <c r="X475" s="1374"/>
      <c r="Y475" s="1374"/>
      <c r="Z475" s="1374"/>
      <c r="AA475" s="1374"/>
      <c r="AB475" s="1403" t="s">
        <v>707</v>
      </c>
      <c r="AC475" s="1399"/>
      <c r="AD475" s="1394"/>
      <c r="AE475" s="2228" cm="1">
        <f t="array" ref="AE475">INDEX(MST,AA441,1)</f>
        <v>-14583.37</v>
      </c>
      <c r="AF475" s="2228"/>
      <c r="AG475" s="2228"/>
      <c r="AH475" s="2228"/>
      <c r="AI475" s="2228"/>
      <c r="AJ475" s="2228"/>
      <c r="AK475" s="1394"/>
      <c r="AL475" s="1377" t="s">
        <v>2640</v>
      </c>
      <c r="AM475" s="1377"/>
      <c r="AN475" s="1379"/>
      <c r="AO475" s="1380"/>
    </row>
    <row r="476" spans="1:45" ht="15" customHeight="1">
      <c r="A476" s="1247"/>
      <c r="G476" s="1348"/>
      <c r="H476" s="1730"/>
      <c r="I476" s="1730"/>
      <c r="J476" s="1730"/>
      <c r="K476" s="1730"/>
      <c r="L476" s="1743"/>
      <c r="M476" s="170"/>
      <c r="N476" s="1248"/>
      <c r="O476" s="1743"/>
      <c r="P476" s="1743"/>
      <c r="Q476" s="1743"/>
      <c r="R476" s="1743"/>
      <c r="S476" s="115"/>
      <c r="T476" s="1176"/>
      <c r="U476" s="170"/>
      <c r="V476" s="170"/>
      <c r="W476" s="170"/>
      <c r="X476" s="170"/>
      <c r="Y476" s="170"/>
      <c r="Z476" s="170"/>
      <c r="AA476" s="170"/>
      <c r="AB476" s="89" t="s">
        <v>708</v>
      </c>
      <c r="AC476" s="1397"/>
      <c r="AD476" s="1501"/>
      <c r="AE476" s="2160" cm="1">
        <f t="array" ref="AE476">INDEX(MST,AA441,2)</f>
        <v>-782.53</v>
      </c>
      <c r="AF476" s="2160"/>
      <c r="AG476" s="2160"/>
      <c r="AH476" s="2160"/>
      <c r="AI476" s="2160"/>
      <c r="AJ476" s="2160"/>
      <c r="AK476" s="1501"/>
      <c r="AL476" s="115" t="s">
        <v>2640</v>
      </c>
      <c r="AM476" s="115"/>
      <c r="AN476" s="1740"/>
      <c r="AO476" s="1349"/>
    </row>
    <row r="477" spans="1:45" ht="15" customHeight="1">
      <c r="A477" s="1247"/>
      <c r="G477" s="1348"/>
      <c r="H477" s="170"/>
      <c r="I477" s="124"/>
      <c r="J477" s="170"/>
      <c r="K477" s="1258"/>
      <c r="L477" s="1258"/>
      <c r="M477" s="170"/>
      <c r="N477" s="1248"/>
      <c r="O477" s="1258"/>
      <c r="P477" s="170"/>
      <c r="Q477" s="170"/>
      <c r="R477" s="1176"/>
      <c r="S477" s="1176"/>
      <c r="T477" s="1176"/>
      <c r="U477" s="170"/>
      <c r="V477" s="170"/>
      <c r="W477" s="170"/>
      <c r="X477" s="170"/>
      <c r="Y477" s="170"/>
      <c r="Z477" s="170"/>
      <c r="AA477" s="170"/>
      <c r="AB477" s="89" t="s">
        <v>709</v>
      </c>
      <c r="AC477" s="1397"/>
      <c r="AD477" s="1501"/>
      <c r="AE477" s="2160" cm="1">
        <f t="array" ref="AE477">INDEX(MST,AA441,3)</f>
        <v>-32352.95</v>
      </c>
      <c r="AF477" s="2160"/>
      <c r="AG477" s="2160"/>
      <c r="AH477" s="2160"/>
      <c r="AI477" s="2160"/>
      <c r="AJ477" s="2160"/>
      <c r="AK477" s="1501"/>
      <c r="AL477" s="115" t="s">
        <v>2640</v>
      </c>
      <c r="AM477" s="115"/>
      <c r="AN477" s="1740"/>
      <c r="AO477" s="1349"/>
    </row>
    <row r="478" spans="1:45" ht="15" customHeight="1">
      <c r="A478" s="1247"/>
      <c r="G478" s="1348"/>
      <c r="H478" s="170"/>
      <c r="I478" s="124"/>
      <c r="J478" s="170"/>
      <c r="K478" s="1258"/>
      <c r="L478" s="1258"/>
      <c r="M478" s="170"/>
      <c r="N478" s="1248"/>
      <c r="O478" s="1258"/>
      <c r="P478" s="170"/>
      <c r="Q478" s="170"/>
      <c r="R478" s="1176"/>
      <c r="S478" s="1176"/>
      <c r="T478" s="1176"/>
      <c r="U478" s="170"/>
      <c r="V478" s="170"/>
      <c r="W478" s="170"/>
      <c r="X478" s="170"/>
      <c r="Y478" s="170"/>
      <c r="Z478" s="170"/>
      <c r="AA478" s="170"/>
      <c r="AB478" s="89" t="s">
        <v>197</v>
      </c>
      <c r="AC478" s="1397"/>
      <c r="AD478" s="1501"/>
      <c r="AE478" s="2160" cm="1">
        <f t="array" ref="AE478">INDEX(MST,AA441,4)</f>
        <v>-7513.9</v>
      </c>
      <c r="AF478" s="2160"/>
      <c r="AG478" s="2160"/>
      <c r="AH478" s="2160"/>
      <c r="AI478" s="2160"/>
      <c r="AJ478" s="2160"/>
      <c r="AK478" s="1501"/>
      <c r="AL478" s="115" t="s">
        <v>2640</v>
      </c>
      <c r="AM478" s="115"/>
      <c r="AN478" s="1740"/>
      <c r="AO478" s="1349"/>
    </row>
    <row r="479" spans="1:45" ht="15" customHeight="1">
      <c r="A479" s="1247"/>
      <c r="G479" s="1348"/>
      <c r="H479" s="170"/>
      <c r="I479" s="124"/>
      <c r="J479" s="170"/>
      <c r="K479" s="1258"/>
      <c r="L479" s="1258"/>
      <c r="M479" s="170"/>
      <c r="N479" s="1248"/>
      <c r="O479" s="1258"/>
      <c r="P479" s="170"/>
      <c r="Q479" s="170"/>
      <c r="R479" s="1176"/>
      <c r="S479" s="1176"/>
      <c r="T479" s="1176"/>
      <c r="U479" s="170"/>
      <c r="V479" s="170"/>
      <c r="W479" s="170"/>
      <c r="X479" s="170"/>
      <c r="Y479" s="170"/>
      <c r="Z479" s="170"/>
      <c r="AA479" s="170"/>
      <c r="AB479" s="89" t="s">
        <v>3314</v>
      </c>
      <c r="AC479" s="1397"/>
      <c r="AD479" s="1501"/>
      <c r="AE479" s="2160" cm="1">
        <f t="array" ref="AE479">INDEX(MST,AA441,5)</f>
        <v>-6595.1</v>
      </c>
      <c r="AF479" s="2160"/>
      <c r="AG479" s="2160"/>
      <c r="AH479" s="2160"/>
      <c r="AI479" s="2160"/>
      <c r="AJ479" s="2160"/>
      <c r="AK479" s="1501"/>
      <c r="AL479" s="115" t="s">
        <v>2640</v>
      </c>
      <c r="AM479" s="115"/>
      <c r="AN479" s="1740"/>
      <c r="AO479" s="1349"/>
    </row>
    <row r="480" spans="1:45" ht="15" customHeight="1">
      <c r="A480" s="1247"/>
      <c r="G480" s="1348"/>
      <c r="H480" s="170"/>
      <c r="I480" s="124"/>
      <c r="J480" s="170"/>
      <c r="K480" s="1258"/>
      <c r="L480" s="1258"/>
      <c r="M480" s="170"/>
      <c r="N480" s="1248"/>
      <c r="O480" s="1258"/>
      <c r="P480" s="170"/>
      <c r="Q480" s="170"/>
      <c r="R480" s="1176"/>
      <c r="S480" s="1176"/>
      <c r="T480" s="1176"/>
      <c r="U480" s="170"/>
      <c r="V480" s="170"/>
      <c r="W480" s="170"/>
      <c r="X480" s="170"/>
      <c r="Y480" s="170"/>
      <c r="Z480" s="170"/>
      <c r="AA480" s="170"/>
      <c r="AB480" s="89" t="s">
        <v>3315</v>
      </c>
      <c r="AC480" s="1397"/>
      <c r="AD480" s="1501"/>
      <c r="AE480" s="2160" cm="1">
        <f t="array" ref="AE480">INDEX(MST,AA441,21)</f>
        <v>96.52</v>
      </c>
      <c r="AF480" s="2160"/>
      <c r="AG480" s="2160"/>
      <c r="AH480" s="2160"/>
      <c r="AI480" s="2160"/>
      <c r="AJ480" s="2160"/>
      <c r="AK480" s="1501"/>
      <c r="AL480" s="115" t="s">
        <v>2640</v>
      </c>
      <c r="AM480" s="115"/>
      <c r="AN480" s="1740"/>
      <c r="AO480" s="1349"/>
    </row>
    <row r="481" spans="1:49" ht="15" customHeight="1">
      <c r="A481" s="1247"/>
      <c r="G481" s="1368"/>
      <c r="H481" s="118"/>
      <c r="I481" s="131"/>
      <c r="J481" s="118"/>
      <c r="K481" s="1347"/>
      <c r="L481" s="1347"/>
      <c r="M481" s="118"/>
      <c r="N481" s="1344"/>
      <c r="O481" s="1347"/>
      <c r="P481" s="118"/>
      <c r="Q481" s="118"/>
      <c r="R481" s="1345"/>
      <c r="S481" s="1345"/>
      <c r="T481" s="1345"/>
      <c r="U481" s="118"/>
      <c r="V481" s="118"/>
      <c r="W481" s="118"/>
      <c r="X481" s="118"/>
      <c r="Y481" s="118"/>
      <c r="Z481" s="118"/>
      <c r="AA481" s="118"/>
      <c r="AB481" s="1404" t="s">
        <v>3316</v>
      </c>
      <c r="AC481" s="1400"/>
      <c r="AD481" s="377"/>
      <c r="AE481" s="2161" cm="1">
        <f t="array" ref="AE481">INDEX(MST,AA441,22)</f>
        <v>-19772.95</v>
      </c>
      <c r="AF481" s="2161"/>
      <c r="AG481" s="2161"/>
      <c r="AH481" s="2161"/>
      <c r="AI481" s="2161"/>
      <c r="AJ481" s="2161"/>
      <c r="AK481" s="377"/>
      <c r="AL481" s="104" t="s">
        <v>2640</v>
      </c>
      <c r="AM481" s="104"/>
      <c r="AN481" s="1346"/>
      <c r="AO481" s="1369"/>
    </row>
    <row r="482" spans="1:49" ht="15" customHeight="1">
      <c r="A482" s="1247"/>
      <c r="G482" s="1381"/>
      <c r="H482" s="1311"/>
      <c r="I482" s="1546"/>
      <c r="J482" s="1311"/>
      <c r="K482" s="1311"/>
      <c r="L482" s="1382"/>
      <c r="M482" s="99"/>
      <c r="N482" s="1383" t="s">
        <v>2620</v>
      </c>
      <c r="O482" s="1384"/>
      <c r="P482" s="1382"/>
      <c r="Q482" s="1382"/>
      <c r="R482" s="1382"/>
      <c r="S482" s="666"/>
      <c r="T482" s="1385"/>
      <c r="U482" s="99"/>
      <c r="V482" s="99"/>
      <c r="W482" s="99"/>
      <c r="X482" s="99"/>
      <c r="Y482" s="99"/>
      <c r="Z482" s="99"/>
      <c r="AA482" s="170"/>
      <c r="AB482" s="89" t="s">
        <v>707</v>
      </c>
      <c r="AC482" s="1401"/>
      <c r="AD482" s="1395"/>
      <c r="AE482" s="2159" cm="1">
        <f t="array" ref="AE482">INDEX(MST,AA441,6)</f>
        <v>-1089.3499999999999</v>
      </c>
      <c r="AF482" s="2159"/>
      <c r="AG482" s="2159"/>
      <c r="AH482" s="2159"/>
      <c r="AI482" s="2159"/>
      <c r="AJ482" s="2159"/>
      <c r="AK482" s="1395"/>
      <c r="AL482" s="666" t="s">
        <v>1005</v>
      </c>
      <c r="AM482" s="666"/>
      <c r="AN482" s="1386"/>
      <c r="AO482" s="1387"/>
    </row>
    <row r="483" spans="1:49" ht="15" customHeight="1">
      <c r="A483" s="1247"/>
      <c r="G483" s="1348"/>
      <c r="H483" s="1539"/>
      <c r="I483" s="1539"/>
      <c r="J483" s="1539"/>
      <c r="K483" s="1539"/>
      <c r="L483" s="1598"/>
      <c r="M483" s="170"/>
      <c r="N483" s="1248"/>
      <c r="O483" s="1598"/>
      <c r="P483" s="1598"/>
      <c r="Q483" s="1598"/>
      <c r="R483" s="1598"/>
      <c r="S483" s="115"/>
      <c r="T483" s="1176"/>
      <c r="U483" s="170"/>
      <c r="V483" s="170"/>
      <c r="W483" s="170"/>
      <c r="X483" s="170"/>
      <c r="Y483" s="170"/>
      <c r="Z483" s="170"/>
      <c r="AA483" s="170"/>
      <c r="AB483" s="89" t="s">
        <v>708</v>
      </c>
      <c r="AC483" s="1397"/>
      <c r="AD483" s="1392"/>
      <c r="AE483" s="2160" cm="1">
        <f t="array" ref="AE483">INDEX(MST,AA441,7)</f>
        <v>-192.08</v>
      </c>
      <c r="AF483" s="2160"/>
      <c r="AG483" s="2160"/>
      <c r="AH483" s="2160"/>
      <c r="AI483" s="2160"/>
      <c r="AJ483" s="2160"/>
      <c r="AK483" s="1392"/>
      <c r="AL483" s="115" t="s">
        <v>1005</v>
      </c>
      <c r="AM483" s="115"/>
      <c r="AN483" s="1584"/>
      <c r="AO483" s="1349"/>
    </row>
    <row r="484" spans="1:49" ht="15" customHeight="1">
      <c r="A484" s="1247"/>
      <c r="G484" s="1348"/>
      <c r="H484" s="170"/>
      <c r="I484" s="124"/>
      <c r="J484" s="170"/>
      <c r="K484" s="1258"/>
      <c r="L484" s="1258"/>
      <c r="M484" s="170"/>
      <c r="N484" s="1248"/>
      <c r="O484" s="1258"/>
      <c r="P484" s="170"/>
      <c r="Q484" s="170"/>
      <c r="R484" s="1176"/>
      <c r="S484" s="1176"/>
      <c r="T484" s="1176"/>
      <c r="U484" s="170"/>
      <c r="V484" s="170"/>
      <c r="W484" s="170"/>
      <c r="X484" s="170"/>
      <c r="Y484" s="170"/>
      <c r="Z484" s="170"/>
      <c r="AA484" s="170"/>
      <c r="AB484" s="89" t="s">
        <v>709</v>
      </c>
      <c r="AC484" s="1397"/>
      <c r="AD484" s="1501"/>
      <c r="AE484" s="2160" cm="1">
        <f t="array" ref="AE484">INDEX(MST,AA441,8)</f>
        <v>-2155.35</v>
      </c>
      <c r="AF484" s="2160"/>
      <c r="AG484" s="2160"/>
      <c r="AH484" s="2160"/>
      <c r="AI484" s="2160"/>
      <c r="AJ484" s="2160"/>
      <c r="AK484" s="1501"/>
      <c r="AL484" s="115" t="s">
        <v>1005</v>
      </c>
      <c r="AM484" s="115"/>
      <c r="AN484" s="1740"/>
      <c r="AO484" s="1349"/>
    </row>
    <row r="485" spans="1:49" ht="15" customHeight="1">
      <c r="A485" s="1247"/>
      <c r="G485" s="1348"/>
      <c r="H485" s="170"/>
      <c r="I485" s="124"/>
      <c r="J485" s="170"/>
      <c r="K485" s="1258"/>
      <c r="L485" s="1258"/>
      <c r="M485" s="170"/>
      <c r="N485" s="1248"/>
      <c r="O485" s="1258"/>
      <c r="P485" s="170"/>
      <c r="Q485" s="170"/>
      <c r="R485" s="1176"/>
      <c r="S485" s="1176"/>
      <c r="T485" s="1176"/>
      <c r="U485" s="170"/>
      <c r="V485" s="170"/>
      <c r="W485" s="170"/>
      <c r="X485" s="170"/>
      <c r="Y485" s="170"/>
      <c r="Z485" s="170"/>
      <c r="AA485" s="170"/>
      <c r="AB485" s="89" t="s">
        <v>197</v>
      </c>
      <c r="AC485" s="1397"/>
      <c r="AD485" s="1501"/>
      <c r="AE485" s="2160" cm="1">
        <f t="array" ref="AE485">INDEX(MST,AA441,9)</f>
        <v>-507.34</v>
      </c>
      <c r="AF485" s="2160"/>
      <c r="AG485" s="2160"/>
      <c r="AH485" s="2160"/>
      <c r="AI485" s="2160"/>
      <c r="AJ485" s="2160"/>
      <c r="AK485" s="1501"/>
      <c r="AL485" s="115" t="s">
        <v>1005</v>
      </c>
      <c r="AM485" s="115"/>
      <c r="AN485" s="1740"/>
      <c r="AO485" s="1349"/>
    </row>
    <row r="486" spans="1:49" ht="15" customHeight="1">
      <c r="A486" s="1247"/>
      <c r="G486" s="1348"/>
      <c r="H486" s="170"/>
      <c r="I486" s="124"/>
      <c r="J486" s="170"/>
      <c r="K486" s="1258"/>
      <c r="L486" s="1258"/>
      <c r="M486" s="170"/>
      <c r="N486" s="1248"/>
      <c r="O486" s="1258"/>
      <c r="P486" s="170"/>
      <c r="Q486" s="170"/>
      <c r="R486" s="1176"/>
      <c r="S486" s="1176"/>
      <c r="T486" s="1176"/>
      <c r="U486" s="170"/>
      <c r="V486" s="170"/>
      <c r="W486" s="170"/>
      <c r="X486" s="170"/>
      <c r="Y486" s="170"/>
      <c r="Z486" s="170"/>
      <c r="AA486" s="170"/>
      <c r="AB486" s="89" t="s">
        <v>3314</v>
      </c>
      <c r="AC486" s="1397"/>
      <c r="AD486" s="1501"/>
      <c r="AE486" s="2160" cm="1">
        <f t="array" ref="AE486">INDEX(MST,AA441,10)</f>
        <v>-448.2</v>
      </c>
      <c r="AF486" s="2160"/>
      <c r="AG486" s="2160"/>
      <c r="AH486" s="2160"/>
      <c r="AI486" s="2160"/>
      <c r="AJ486" s="2160"/>
      <c r="AK486" s="1501"/>
      <c r="AL486" s="115" t="s">
        <v>1005</v>
      </c>
      <c r="AM486" s="115"/>
      <c r="AN486" s="1740"/>
      <c r="AO486" s="1349"/>
    </row>
    <row r="487" spans="1:49" ht="15" customHeight="1">
      <c r="A487" s="1247"/>
      <c r="G487" s="1348"/>
      <c r="H487" s="170"/>
      <c r="I487" s="124"/>
      <c r="J487" s="170"/>
      <c r="K487" s="1258"/>
      <c r="L487" s="1258"/>
      <c r="M487" s="170"/>
      <c r="N487" s="1248"/>
      <c r="O487" s="1258"/>
      <c r="P487" s="170"/>
      <c r="Q487" s="170"/>
      <c r="R487" s="1176"/>
      <c r="S487" s="1176"/>
      <c r="T487" s="1176"/>
      <c r="U487" s="170"/>
      <c r="V487" s="170"/>
      <c r="W487" s="170"/>
      <c r="X487" s="170"/>
      <c r="Y487" s="170"/>
      <c r="Z487" s="170"/>
      <c r="AA487" s="170"/>
      <c r="AB487" s="89" t="s">
        <v>3315</v>
      </c>
      <c r="AC487" s="1397"/>
      <c r="AD487" s="1501"/>
      <c r="AE487" s="2160" cm="1">
        <f t="array" ref="AE487">INDEX(MST,AA441,23)</f>
        <v>93.98</v>
      </c>
      <c r="AF487" s="2160"/>
      <c r="AG487" s="2160"/>
      <c r="AH487" s="2160"/>
      <c r="AI487" s="2160"/>
      <c r="AJ487" s="2160"/>
      <c r="AK487" s="1501"/>
      <c r="AL487" s="115" t="s">
        <v>1005</v>
      </c>
      <c r="AM487" s="115"/>
      <c r="AN487" s="1740"/>
      <c r="AO487" s="1349"/>
    </row>
    <row r="488" spans="1:49" ht="15" customHeight="1">
      <c r="A488" s="1247"/>
      <c r="G488" s="1368"/>
      <c r="H488" s="118"/>
      <c r="I488" s="131"/>
      <c r="J488" s="118"/>
      <c r="K488" s="1347"/>
      <c r="L488" s="1347"/>
      <c r="M488" s="118"/>
      <c r="N488" s="1344"/>
      <c r="O488" s="1347"/>
      <c r="P488" s="118"/>
      <c r="Q488" s="118"/>
      <c r="R488" s="1345"/>
      <c r="S488" s="1345"/>
      <c r="T488" s="1345"/>
      <c r="U488" s="118"/>
      <c r="V488" s="118"/>
      <c r="W488" s="118"/>
      <c r="X488" s="118"/>
      <c r="Y488" s="118"/>
      <c r="Z488" s="118"/>
      <c r="AA488" s="118"/>
      <c r="AB488" s="1404" t="s">
        <v>3316</v>
      </c>
      <c r="AC488" s="1400"/>
      <c r="AD488" s="377"/>
      <c r="AE488" s="2161" cm="1">
        <f t="array" ref="AE488">INDEX(MST,AA441,24)</f>
        <v>-1620.22</v>
      </c>
      <c r="AF488" s="2161"/>
      <c r="AG488" s="2161"/>
      <c r="AH488" s="2161"/>
      <c r="AI488" s="2161"/>
      <c r="AJ488" s="2161"/>
      <c r="AK488" s="377"/>
      <c r="AL488" s="104" t="s">
        <v>1005</v>
      </c>
      <c r="AM488" s="104"/>
      <c r="AN488" s="1346"/>
      <c r="AO488" s="1369"/>
    </row>
    <row r="489" spans="1:49" ht="15" customHeight="1">
      <c r="A489" s="1247"/>
      <c r="G489" s="1348"/>
      <c r="H489" s="1539"/>
      <c r="I489" s="1540"/>
      <c r="J489" s="1539"/>
      <c r="K489" s="1539"/>
      <c r="L489" s="1598"/>
      <c r="M489" s="170"/>
      <c r="N489" s="1248" t="s">
        <v>2621</v>
      </c>
      <c r="O489" s="1250"/>
      <c r="P489" s="1598"/>
      <c r="Q489" s="1598"/>
      <c r="R489" s="1598"/>
      <c r="S489" s="115"/>
      <c r="T489" s="1176"/>
      <c r="U489" s="170"/>
      <c r="V489" s="170"/>
      <c r="W489" s="170"/>
      <c r="X489" s="170"/>
      <c r="Y489" s="170"/>
      <c r="Z489" s="170"/>
      <c r="AA489" s="170"/>
      <c r="AB489" s="89" t="s">
        <v>707</v>
      </c>
      <c r="AC489" s="1397"/>
      <c r="AD489" s="1392"/>
      <c r="AE489" s="2160" cm="1">
        <f t="array" ref="AE489">INDEX(MST,AA441,11)</f>
        <v>-9.6199999999999992</v>
      </c>
      <c r="AF489" s="2160"/>
      <c r="AG489" s="2160"/>
      <c r="AH489" s="2160"/>
      <c r="AI489" s="2160"/>
      <c r="AJ489" s="2160"/>
      <c r="AK489" s="1392"/>
      <c r="AL489" s="115" t="s">
        <v>2640</v>
      </c>
      <c r="AM489" s="115"/>
      <c r="AN489" s="1584"/>
      <c r="AO489" s="1349"/>
    </row>
    <row r="490" spans="1:49" ht="15" customHeight="1">
      <c r="A490" s="1247"/>
      <c r="G490" s="1348"/>
      <c r="H490" s="1539"/>
      <c r="I490" s="1539"/>
      <c r="J490" s="1539"/>
      <c r="K490" s="1539"/>
      <c r="L490" s="1598"/>
      <c r="M490" s="170"/>
      <c r="N490" s="1248"/>
      <c r="O490" s="1598"/>
      <c r="P490" s="1598"/>
      <c r="Q490" s="1598"/>
      <c r="R490" s="1598"/>
      <c r="S490" s="115"/>
      <c r="T490" s="1176"/>
      <c r="U490" s="170"/>
      <c r="V490" s="170"/>
      <c r="W490" s="170"/>
      <c r="X490" s="170"/>
      <c r="Y490" s="170"/>
      <c r="Z490" s="170"/>
      <c r="AA490" s="170"/>
      <c r="AB490" s="89" t="s">
        <v>708</v>
      </c>
      <c r="AC490" s="1397"/>
      <c r="AD490" s="1392"/>
      <c r="AE490" s="2160" cm="1">
        <f t="array" ref="AE490">INDEX(MST,AA441,12)</f>
        <v>0.23</v>
      </c>
      <c r="AF490" s="2160"/>
      <c r="AG490" s="2160"/>
      <c r="AH490" s="2160"/>
      <c r="AI490" s="2160"/>
      <c r="AJ490" s="2160"/>
      <c r="AK490" s="1392"/>
      <c r="AL490" s="115" t="s">
        <v>2640</v>
      </c>
      <c r="AM490" s="115"/>
      <c r="AN490" s="1584"/>
      <c r="AO490" s="1349"/>
    </row>
    <row r="491" spans="1:49" ht="15" customHeight="1">
      <c r="A491" s="1247"/>
      <c r="G491" s="1348"/>
      <c r="H491" s="170"/>
      <c r="I491" s="124"/>
      <c r="J491" s="170"/>
      <c r="K491" s="1258"/>
      <c r="L491" s="1258"/>
      <c r="M491" s="170"/>
      <c r="N491" s="1248"/>
      <c r="O491" s="1258"/>
      <c r="P491" s="170"/>
      <c r="Q491" s="170"/>
      <c r="R491" s="1176"/>
      <c r="S491" s="1176"/>
      <c r="T491" s="1176"/>
      <c r="U491" s="170"/>
      <c r="V491" s="170"/>
      <c r="W491" s="170"/>
      <c r="X491" s="170"/>
      <c r="Y491" s="170"/>
      <c r="Z491" s="170"/>
      <c r="AA491" s="170"/>
      <c r="AB491" s="89" t="s">
        <v>709</v>
      </c>
      <c r="AC491" s="1397"/>
      <c r="AD491" s="1501"/>
      <c r="AE491" s="2160" cm="1">
        <f t="array" ref="AE491">INDEX(MST,AA441,13)</f>
        <v>-53.55</v>
      </c>
      <c r="AF491" s="2160"/>
      <c r="AG491" s="2160"/>
      <c r="AH491" s="2160"/>
      <c r="AI491" s="2160"/>
      <c r="AJ491" s="2160"/>
      <c r="AK491" s="1501"/>
      <c r="AL491" s="115" t="s">
        <v>2640</v>
      </c>
      <c r="AM491" s="115"/>
      <c r="AN491" s="1740"/>
      <c r="AO491" s="1349"/>
    </row>
    <row r="492" spans="1:49" ht="15" customHeight="1">
      <c r="A492" s="1247"/>
      <c r="G492" s="1348"/>
      <c r="H492" s="170"/>
      <c r="I492" s="124"/>
      <c r="J492" s="170"/>
      <c r="K492" s="1258"/>
      <c r="L492" s="1258"/>
      <c r="M492" s="170"/>
      <c r="N492" s="1248"/>
      <c r="O492" s="1258"/>
      <c r="P492" s="170"/>
      <c r="Q492" s="170"/>
      <c r="R492" s="1176"/>
      <c r="S492" s="1176"/>
      <c r="T492" s="1176"/>
      <c r="U492" s="170"/>
      <c r="V492" s="170"/>
      <c r="W492" s="170"/>
      <c r="X492" s="170"/>
      <c r="Y492" s="170"/>
      <c r="Z492" s="170"/>
      <c r="AA492" s="170"/>
      <c r="AB492" s="89" t="s">
        <v>197</v>
      </c>
      <c r="AC492" s="1397"/>
      <c r="AD492" s="1501"/>
      <c r="AE492" s="2160" cm="1">
        <f t="array" ref="AE492">INDEX(MST,AA441,14)</f>
        <v>280.7</v>
      </c>
      <c r="AF492" s="2160"/>
      <c r="AG492" s="2160"/>
      <c r="AH492" s="2160"/>
      <c r="AI492" s="2160"/>
      <c r="AJ492" s="2160"/>
      <c r="AK492" s="1501"/>
      <c r="AL492" s="115" t="s">
        <v>2640</v>
      </c>
      <c r="AM492" s="115"/>
      <c r="AN492" s="1740"/>
      <c r="AO492" s="1349"/>
    </row>
    <row r="493" spans="1:49" ht="15" customHeight="1">
      <c r="A493" s="1247"/>
      <c r="G493" s="1348"/>
      <c r="H493" s="170"/>
      <c r="I493" s="124"/>
      <c r="J493" s="170"/>
      <c r="K493" s="1258"/>
      <c r="L493" s="1258"/>
      <c r="M493" s="170"/>
      <c r="N493" s="1248"/>
      <c r="O493" s="1258"/>
      <c r="P493" s="170"/>
      <c r="Q493" s="170"/>
      <c r="R493" s="1176"/>
      <c r="S493" s="1176"/>
      <c r="T493" s="1176"/>
      <c r="U493" s="170"/>
      <c r="V493" s="170"/>
      <c r="W493" s="170"/>
      <c r="X493" s="170"/>
      <c r="Y493" s="170"/>
      <c r="Z493" s="170"/>
      <c r="AA493" s="170"/>
      <c r="AB493" s="89" t="s">
        <v>3314</v>
      </c>
      <c r="AC493" s="1397"/>
      <c r="AD493" s="1501"/>
      <c r="AE493" s="2160" cm="1">
        <f t="array" ref="AE493">INDEX(MST,AA441,15)</f>
        <v>-26.3</v>
      </c>
      <c r="AF493" s="2160"/>
      <c r="AG493" s="2160"/>
      <c r="AH493" s="2160"/>
      <c r="AI493" s="2160"/>
      <c r="AJ493" s="2160"/>
      <c r="AK493" s="1501"/>
      <c r="AL493" s="115" t="s">
        <v>2640</v>
      </c>
      <c r="AM493" s="115"/>
      <c r="AN493" s="1740"/>
      <c r="AO493" s="1349"/>
    </row>
    <row r="494" spans="1:49" ht="15" customHeight="1">
      <c r="A494" s="1247"/>
      <c r="G494" s="1348"/>
      <c r="H494" s="170"/>
      <c r="I494" s="124"/>
      <c r="J494" s="170"/>
      <c r="K494" s="1258"/>
      <c r="L494" s="1258"/>
      <c r="M494" s="170"/>
      <c r="N494" s="1248"/>
      <c r="O494" s="1258"/>
      <c r="P494" s="170"/>
      <c r="Q494" s="170"/>
      <c r="R494" s="1176"/>
      <c r="S494" s="1176"/>
      <c r="T494" s="1176"/>
      <c r="U494" s="170"/>
      <c r="V494" s="170"/>
      <c r="W494" s="170"/>
      <c r="X494" s="170"/>
      <c r="Y494" s="170"/>
      <c r="Z494" s="170"/>
      <c r="AA494" s="170"/>
      <c r="AB494" s="89" t="s">
        <v>3315</v>
      </c>
      <c r="AC494" s="1397"/>
      <c r="AD494" s="1501"/>
      <c r="AE494" s="2160" cm="1">
        <f t="array" ref="AE494">INDEX(MST,AA441,25)</f>
        <v>1268.82</v>
      </c>
      <c r="AF494" s="2160"/>
      <c r="AG494" s="2160"/>
      <c r="AH494" s="2160"/>
      <c r="AI494" s="2160"/>
      <c r="AJ494" s="2160"/>
      <c r="AK494" s="1501"/>
      <c r="AL494" s="115" t="s">
        <v>2640</v>
      </c>
      <c r="AM494" s="115"/>
      <c r="AN494" s="1740"/>
      <c r="AO494" s="1349"/>
    </row>
    <row r="495" spans="1:49" ht="15" customHeight="1">
      <c r="A495" s="1247"/>
      <c r="G495" s="1368"/>
      <c r="H495" s="118"/>
      <c r="I495" s="131"/>
      <c r="J495" s="118"/>
      <c r="K495" s="1347"/>
      <c r="L495" s="1347"/>
      <c r="M495" s="118"/>
      <c r="N495" s="1344"/>
      <c r="O495" s="1347"/>
      <c r="P495" s="118"/>
      <c r="Q495" s="118"/>
      <c r="R495" s="1345"/>
      <c r="S495" s="1345"/>
      <c r="T495" s="1345"/>
      <c r="U495" s="118"/>
      <c r="V495" s="118"/>
      <c r="W495" s="118"/>
      <c r="X495" s="118"/>
      <c r="Y495" s="118"/>
      <c r="Z495" s="118"/>
      <c r="AA495" s="118"/>
      <c r="AB495" s="1404" t="s">
        <v>3316</v>
      </c>
      <c r="AC495" s="1400"/>
      <c r="AD495" s="377"/>
      <c r="AE495" s="2161" cm="1">
        <f t="array" ref="AE495">INDEX(MST,AA441,26)</f>
        <v>-1215.57</v>
      </c>
      <c r="AF495" s="2161"/>
      <c r="AG495" s="2161"/>
      <c r="AH495" s="2161"/>
      <c r="AI495" s="2161"/>
      <c r="AJ495" s="2161"/>
      <c r="AK495" s="377"/>
      <c r="AL495" s="104" t="s">
        <v>2640</v>
      </c>
      <c r="AM495" s="104"/>
      <c r="AN495" s="1346"/>
      <c r="AO495" s="1369"/>
    </row>
    <row r="496" spans="1:49" ht="15" customHeight="1">
      <c r="A496" s="1247"/>
      <c r="G496" s="1348"/>
      <c r="H496" s="170"/>
      <c r="I496" s="124" t="s">
        <v>2558</v>
      </c>
      <c r="J496" s="170"/>
      <c r="K496" s="1258"/>
      <c r="L496" s="1258"/>
      <c r="M496" s="170"/>
      <c r="N496" s="1248" t="s">
        <v>2583</v>
      </c>
      <c r="O496" s="1258"/>
      <c r="P496" s="170"/>
      <c r="Q496" s="170"/>
      <c r="R496" s="1176"/>
      <c r="S496" s="1176"/>
      <c r="T496" s="1176"/>
      <c r="U496" s="170"/>
      <c r="V496" s="170"/>
      <c r="W496" s="170"/>
      <c r="X496" s="170"/>
      <c r="Y496" s="170"/>
      <c r="Z496" s="170"/>
      <c r="AA496" s="170"/>
      <c r="AB496" s="89" t="s">
        <v>2556</v>
      </c>
      <c r="AC496" s="1397"/>
      <c r="AD496" s="1392"/>
      <c r="AE496" s="2167" cm="1">
        <f t="array" ref="AE496">INDEX(SEC,AA441,1)</f>
        <v>266617.28678094374</v>
      </c>
      <c r="AF496" s="2167"/>
      <c r="AG496" s="2167"/>
      <c r="AH496" s="2167"/>
      <c r="AI496" s="2167"/>
      <c r="AJ496" s="2167"/>
      <c r="AK496" s="1392"/>
      <c r="AL496" s="115" t="s">
        <v>1001</v>
      </c>
      <c r="AM496" s="115"/>
      <c r="AN496" s="1584"/>
      <c r="AO496" s="1349"/>
      <c r="AT496" s="1241"/>
      <c r="AU496" s="1241"/>
      <c r="AV496" s="1241"/>
      <c r="AW496" s="1241"/>
    </row>
    <row r="497" spans="1:49" ht="15" customHeight="1">
      <c r="A497" s="1247"/>
      <c r="G497" s="1348"/>
      <c r="H497" s="170"/>
      <c r="I497" s="124"/>
      <c r="J497" s="170"/>
      <c r="K497" s="1258"/>
      <c r="L497" s="1258"/>
      <c r="M497" s="170"/>
      <c r="N497" s="1248"/>
      <c r="O497" s="1258"/>
      <c r="P497" s="170"/>
      <c r="Q497" s="170"/>
      <c r="R497" s="1176"/>
      <c r="S497" s="1176"/>
      <c r="T497" s="1176"/>
      <c r="U497" s="170"/>
      <c r="V497" s="170"/>
      <c r="W497" s="170"/>
      <c r="X497" s="170"/>
      <c r="Y497" s="170"/>
      <c r="Z497" s="170"/>
      <c r="AA497" s="170"/>
      <c r="AB497" s="89" t="s">
        <v>2557</v>
      </c>
      <c r="AC497" s="1397"/>
      <c r="AD497" s="1392"/>
      <c r="AE497" s="2229" cm="1">
        <f t="array" ref="AE497">INDEX(SEC,AA441,2)</f>
        <v>506265479532.14233</v>
      </c>
      <c r="AF497" s="2229"/>
      <c r="AG497" s="2229"/>
      <c r="AH497" s="2229"/>
      <c r="AI497" s="2229"/>
      <c r="AJ497" s="2229"/>
      <c r="AK497" s="1392"/>
      <c r="AL497" s="115" t="s">
        <v>2642</v>
      </c>
      <c r="AM497" s="115"/>
      <c r="AN497" s="1584"/>
      <c r="AO497" s="1349"/>
      <c r="AT497" s="1337"/>
      <c r="AU497" s="1337"/>
      <c r="AV497" s="1337"/>
      <c r="AW497" s="1337"/>
    </row>
    <row r="498" spans="1:49" ht="15" customHeight="1">
      <c r="A498" s="1247"/>
      <c r="G498" s="1348"/>
      <c r="H498" s="170"/>
      <c r="I498" s="124"/>
      <c r="J498" s="170"/>
      <c r="K498" s="1258"/>
      <c r="L498" s="1258"/>
      <c r="M498" s="170"/>
      <c r="N498" s="1248"/>
      <c r="O498" s="1258"/>
      <c r="P498" s="170"/>
      <c r="Q498" s="170"/>
      <c r="R498" s="1176"/>
      <c r="S498" s="1176"/>
      <c r="T498" s="1176"/>
      <c r="U498" s="170"/>
      <c r="V498" s="170"/>
      <c r="W498" s="170"/>
      <c r="X498" s="170"/>
      <c r="Y498" s="170"/>
      <c r="Z498" s="170"/>
      <c r="AA498" s="170"/>
      <c r="AB498" s="89" t="s">
        <v>697</v>
      </c>
      <c r="AC498" s="1397"/>
      <c r="AD498" s="1392"/>
      <c r="AE498" s="2167" cm="1">
        <f t="array" ref="AE498">INDEX(SEC,AA441,3)</f>
        <v>1298.725804697134</v>
      </c>
      <c r="AF498" s="2167"/>
      <c r="AG498" s="2167"/>
      <c r="AH498" s="2167"/>
      <c r="AI498" s="2167"/>
      <c r="AJ498" s="2167"/>
      <c r="AK498" s="1392"/>
      <c r="AL498" s="115" t="s">
        <v>999</v>
      </c>
      <c r="AM498" s="115"/>
      <c r="AN498" s="1584"/>
      <c r="AO498" s="1349"/>
      <c r="AT498" s="1338"/>
      <c r="AU498" s="1338"/>
      <c r="AV498" s="1338"/>
      <c r="AW498" s="1338"/>
    </row>
    <row r="499" spans="1:49" ht="15" customHeight="1">
      <c r="A499" s="1247"/>
      <c r="G499" s="1368"/>
      <c r="H499" s="118"/>
      <c r="I499" s="131"/>
      <c r="J499" s="118"/>
      <c r="K499" s="1347"/>
      <c r="L499" s="1347"/>
      <c r="M499" s="118"/>
      <c r="N499" s="1344"/>
      <c r="O499" s="1347"/>
      <c r="P499" s="118"/>
      <c r="Q499" s="118"/>
      <c r="R499" s="1345"/>
      <c r="S499" s="1345"/>
      <c r="T499" s="1345"/>
      <c r="U499" s="118"/>
      <c r="V499" s="118"/>
      <c r="W499" s="118"/>
      <c r="X499" s="118"/>
      <c r="Y499" s="118"/>
      <c r="Z499" s="118"/>
      <c r="AA499" s="118"/>
      <c r="AB499" s="1404" t="s">
        <v>698</v>
      </c>
      <c r="AC499" s="1400"/>
      <c r="AD499" s="377"/>
      <c r="AE499" s="2218" cm="1">
        <f t="array" ref="AE499">INDEX(SEC,AA441,4)</f>
        <v>1971.274195302866</v>
      </c>
      <c r="AF499" s="2218"/>
      <c r="AG499" s="2218"/>
      <c r="AH499" s="2218"/>
      <c r="AI499" s="2218"/>
      <c r="AJ499" s="2218"/>
      <c r="AK499" s="377"/>
      <c r="AL499" s="104" t="s">
        <v>999</v>
      </c>
      <c r="AM499" s="104"/>
      <c r="AN499" s="1346"/>
      <c r="AO499" s="1369"/>
      <c r="AT499" s="1338"/>
      <c r="AU499" s="1338"/>
      <c r="AV499" s="1338"/>
      <c r="AW499" s="1338"/>
    </row>
    <row r="500" spans="1:49" ht="15" customHeight="1">
      <c r="A500" s="1247"/>
      <c r="G500" s="1348"/>
      <c r="H500" s="170"/>
      <c r="I500" s="124"/>
      <c r="J500" s="170"/>
      <c r="K500" s="1258"/>
      <c r="L500" s="1258"/>
      <c r="M500" s="170"/>
      <c r="N500" s="1248" t="s">
        <v>2584</v>
      </c>
      <c r="O500" s="1258"/>
      <c r="P500" s="170"/>
      <c r="Q500" s="170"/>
      <c r="R500" s="1176"/>
      <c r="S500" s="1176"/>
      <c r="T500" s="1176"/>
      <c r="U500" s="170"/>
      <c r="V500" s="170"/>
      <c r="W500" s="170"/>
      <c r="X500" s="170"/>
      <c r="Y500" s="170"/>
      <c r="Z500" s="170"/>
      <c r="AA500" s="170"/>
      <c r="AB500" s="89" t="s">
        <v>2556</v>
      </c>
      <c r="AC500" s="1397"/>
      <c r="AD500" s="1392"/>
      <c r="AE500" s="2167" cm="1">
        <f t="array" ref="AE500">INDEX(SEC,AA441,9)</f>
        <v>442846.07199384994</v>
      </c>
      <c r="AF500" s="2167"/>
      <c r="AG500" s="2167"/>
      <c r="AH500" s="2167"/>
      <c r="AI500" s="2167"/>
      <c r="AJ500" s="2167"/>
      <c r="AK500" s="1392"/>
      <c r="AL500" s="115" t="s">
        <v>1001</v>
      </c>
      <c r="AM500" s="115"/>
      <c r="AN500" s="1584"/>
      <c r="AO500" s="1349"/>
      <c r="AT500" s="1338"/>
      <c r="AU500" s="1338"/>
      <c r="AV500" s="1338"/>
      <c r="AW500" s="1338"/>
    </row>
    <row r="501" spans="1:49" ht="15" customHeight="1">
      <c r="A501" s="1247"/>
      <c r="G501" s="1348"/>
      <c r="H501" s="170"/>
      <c r="I501" s="124"/>
      <c r="J501" s="170"/>
      <c r="K501" s="1258"/>
      <c r="L501" s="1258"/>
      <c r="M501" s="170"/>
      <c r="N501" s="1248"/>
      <c r="O501" s="1551" t="s">
        <v>2585</v>
      </c>
      <c r="P501" s="170"/>
      <c r="Q501" s="170"/>
      <c r="R501" s="1176"/>
      <c r="S501" s="1176"/>
      <c r="T501" s="1176"/>
      <c r="U501" s="170"/>
      <c r="V501" s="170"/>
      <c r="W501" s="170"/>
      <c r="X501" s="170"/>
      <c r="Y501" s="170"/>
      <c r="Z501" s="170"/>
      <c r="AA501" s="170"/>
      <c r="AB501" s="89" t="s">
        <v>2557</v>
      </c>
      <c r="AC501" s="1397"/>
      <c r="AD501" s="1392"/>
      <c r="AE501" s="2229" cm="1">
        <f t="array" ref="AE501">INDEX(SEC,AA441,10)</f>
        <v>797356979103.35107</v>
      </c>
      <c r="AF501" s="2229"/>
      <c r="AG501" s="2229"/>
      <c r="AH501" s="2229"/>
      <c r="AI501" s="2229"/>
      <c r="AJ501" s="2229"/>
      <c r="AK501" s="1392"/>
      <c r="AL501" s="115" t="s">
        <v>2643</v>
      </c>
      <c r="AM501" s="115"/>
      <c r="AN501" s="1584"/>
      <c r="AO501" s="1349"/>
      <c r="AT501" s="1337"/>
      <c r="AU501" s="1337"/>
      <c r="AV501" s="1337"/>
      <c r="AW501" s="1337"/>
    </row>
    <row r="502" spans="1:49" ht="15" customHeight="1">
      <c r="A502" s="1247"/>
      <c r="G502" s="1348"/>
      <c r="H502" s="170"/>
      <c r="I502" s="124"/>
      <c r="J502" s="170"/>
      <c r="K502" s="1258"/>
      <c r="L502" s="1258"/>
      <c r="M502" s="1248"/>
      <c r="N502" s="1258"/>
      <c r="O502" s="170"/>
      <c r="P502" s="170"/>
      <c r="Q502" s="170"/>
      <c r="R502" s="1176"/>
      <c r="S502" s="1176"/>
      <c r="T502" s="1176"/>
      <c r="U502" s="170"/>
      <c r="V502" s="170"/>
      <c r="W502" s="170"/>
      <c r="X502" s="170"/>
      <c r="Y502" s="170"/>
      <c r="Z502" s="170"/>
      <c r="AA502" s="170"/>
      <c r="AB502" s="89" t="s">
        <v>697</v>
      </c>
      <c r="AC502" s="1397"/>
      <c r="AD502" s="1392"/>
      <c r="AE502" s="2167" cm="1">
        <f t="array" ref="AE502">INDEX(SEC,AA441,11)</f>
        <v>1951.8641657020185</v>
      </c>
      <c r="AF502" s="2167"/>
      <c r="AG502" s="2167"/>
      <c r="AH502" s="2167"/>
      <c r="AI502" s="2167"/>
      <c r="AJ502" s="2167"/>
      <c r="AK502" s="1392"/>
      <c r="AL502" s="115" t="s">
        <v>999</v>
      </c>
      <c r="AM502" s="115"/>
      <c r="AN502" s="1584"/>
      <c r="AO502" s="1349"/>
      <c r="AT502" s="1338"/>
      <c r="AU502" s="1338"/>
      <c r="AV502" s="1338"/>
      <c r="AW502" s="1338"/>
    </row>
    <row r="503" spans="1:49" ht="15" customHeight="1" thickBot="1">
      <c r="A503" s="1247"/>
      <c r="G503" s="1350"/>
      <c r="H503" s="84"/>
      <c r="I503" s="1351"/>
      <c r="J503" s="84"/>
      <c r="K503" s="1352"/>
      <c r="L503" s="1352"/>
      <c r="M503" s="1353"/>
      <c r="N503" s="1352"/>
      <c r="O503" s="84"/>
      <c r="P503" s="84"/>
      <c r="Q503" s="84"/>
      <c r="R503" s="1355"/>
      <c r="S503" s="1355"/>
      <c r="T503" s="1355"/>
      <c r="U503" s="84"/>
      <c r="V503" s="84"/>
      <c r="W503" s="84"/>
      <c r="X503" s="84"/>
      <c r="Y503" s="84"/>
      <c r="Z503" s="84"/>
      <c r="AA503" s="84"/>
      <c r="AB503" s="1402" t="s">
        <v>698</v>
      </c>
      <c r="AC503" s="1398"/>
      <c r="AD503" s="1393"/>
      <c r="AE503" s="2204" cm="1">
        <f t="array" ref="AE503">INDEX(SEC,AA441,12)</f>
        <v>1318.1358342979815</v>
      </c>
      <c r="AF503" s="2204"/>
      <c r="AG503" s="2204"/>
      <c r="AH503" s="2204"/>
      <c r="AI503" s="2204"/>
      <c r="AJ503" s="2204"/>
      <c r="AK503" s="1393"/>
      <c r="AL503" s="1367" t="s">
        <v>999</v>
      </c>
      <c r="AM503" s="1367"/>
      <c r="AN503" s="1356"/>
      <c r="AO503" s="1357"/>
      <c r="AT503" s="1338"/>
      <c r="AU503" s="1338"/>
      <c r="AV503" s="1338"/>
      <c r="AW503" s="1338"/>
    </row>
    <row r="504" spans="1:49" ht="15" customHeight="1" thickTop="1">
      <c r="A504" s="1247"/>
      <c r="G504" s="1348"/>
      <c r="H504" s="170"/>
      <c r="I504" s="124" t="s">
        <v>2602</v>
      </c>
      <c r="J504" s="170"/>
      <c r="K504" s="1258"/>
      <c r="L504" s="1258"/>
      <c r="M504" s="1248"/>
      <c r="N504" s="1541" t="s">
        <v>2603</v>
      </c>
      <c r="O504" s="170"/>
      <c r="P504" s="170"/>
      <c r="Q504" s="170"/>
      <c r="R504" s="1176"/>
      <c r="S504" s="1176"/>
      <c r="T504" s="1176"/>
      <c r="U504" s="170"/>
      <c r="V504" s="170"/>
      <c r="W504" s="170"/>
      <c r="X504" s="170"/>
      <c r="Y504" s="170"/>
      <c r="Z504" s="170"/>
      <c r="AA504" s="170"/>
      <c r="AB504" s="89" t="s">
        <v>362</v>
      </c>
      <c r="AC504" s="1397"/>
      <c r="AD504" s="1392"/>
      <c r="AE504" s="2089">
        <f>+Info!$L$15</f>
        <v>210000</v>
      </c>
      <c r="AF504" s="2089"/>
      <c r="AG504" s="2089"/>
      <c r="AH504" s="2089"/>
      <c r="AI504" s="2089"/>
      <c r="AJ504" s="2089"/>
      <c r="AK504" s="1392"/>
      <c r="AL504" s="115" t="s">
        <v>1012</v>
      </c>
      <c r="AM504" s="115"/>
      <c r="AN504" s="1584"/>
      <c r="AO504" s="1349"/>
    </row>
    <row r="505" spans="1:49" ht="15" customHeight="1">
      <c r="A505" s="1247"/>
      <c r="G505" s="1348"/>
      <c r="H505" s="1539"/>
      <c r="I505" s="1540"/>
      <c r="J505" s="1539"/>
      <c r="K505" s="1539"/>
      <c r="L505" s="1598"/>
      <c r="M505" s="170"/>
      <c r="N505" s="1339" t="s">
        <v>2633</v>
      </c>
      <c r="O505" s="1598"/>
      <c r="P505" s="1598"/>
      <c r="Q505" s="1598"/>
      <c r="R505" s="1598"/>
      <c r="S505" s="115"/>
      <c r="T505" s="1176"/>
      <c r="U505" s="170"/>
      <c r="V505" s="170"/>
      <c r="W505" s="170"/>
      <c r="X505" s="170"/>
      <c r="Y505" s="170"/>
      <c r="Z505" s="170"/>
      <c r="AA505" s="170"/>
      <c r="AB505" s="89" t="s">
        <v>2645</v>
      </c>
      <c r="AC505" s="1397"/>
      <c r="AD505" s="1392"/>
      <c r="AE505" s="2167" cm="1">
        <f t="array" ref="AE505">INDEX(DIMex,AA441,1)</f>
        <v>380</v>
      </c>
      <c r="AF505" s="2167"/>
      <c r="AG505" s="2167"/>
      <c r="AH505" s="2167"/>
      <c r="AI505" s="2167"/>
      <c r="AJ505" s="2167"/>
      <c r="AK505" s="1392"/>
      <c r="AL505" s="115" t="s">
        <v>1012</v>
      </c>
      <c r="AM505" s="115"/>
      <c r="AN505" s="1584"/>
      <c r="AO505" s="1349"/>
    </row>
    <row r="506" spans="1:49" ht="15" customHeight="1">
      <c r="A506" s="1247"/>
      <c r="G506" s="1348"/>
      <c r="H506" s="1539"/>
      <c r="I506" s="1540"/>
      <c r="J506" s="1539"/>
      <c r="K506" s="1539"/>
      <c r="L506" s="1598"/>
      <c r="M506" s="170"/>
      <c r="N506" s="1339" t="s">
        <v>2634</v>
      </c>
      <c r="O506" s="1598"/>
      <c r="P506" s="1598"/>
      <c r="Q506" s="1598"/>
      <c r="R506" s="1598"/>
      <c r="S506" s="115"/>
      <c r="T506" s="1176"/>
      <c r="U506" s="170"/>
      <c r="V506" s="170"/>
      <c r="W506" s="170"/>
      <c r="X506" s="170"/>
      <c r="Y506" s="170"/>
      <c r="Z506" s="170"/>
      <c r="AA506" s="170"/>
      <c r="AB506" s="89" t="s">
        <v>2646</v>
      </c>
      <c r="AC506" s="1397"/>
      <c r="AD506" s="1392"/>
      <c r="AE506" s="2167" cm="1">
        <f t="array" ref="AE506">INDEX(DIMex,AA441,2)</f>
        <v>380</v>
      </c>
      <c r="AF506" s="2167"/>
      <c r="AG506" s="2167"/>
      <c r="AH506" s="2167"/>
      <c r="AI506" s="2167"/>
      <c r="AJ506" s="2167"/>
      <c r="AK506" s="1392"/>
      <c r="AL506" s="115" t="s">
        <v>1012</v>
      </c>
      <c r="AM506" s="115"/>
      <c r="AN506" s="1584"/>
      <c r="AO506" s="1349"/>
    </row>
    <row r="507" spans="1:49" ht="15" customHeight="1">
      <c r="A507" s="1247"/>
      <c r="G507" s="1348"/>
      <c r="H507" s="1639"/>
      <c r="I507" s="1640"/>
      <c r="J507" s="1639"/>
      <c r="K507" s="1639"/>
      <c r="L507" s="1651"/>
      <c r="M507" s="170"/>
      <c r="N507" s="1339" t="s">
        <v>3113</v>
      </c>
      <c r="O507" s="1651"/>
      <c r="P507" s="1651"/>
      <c r="Q507" s="1651"/>
      <c r="R507" s="1651"/>
      <c r="S507" s="115"/>
      <c r="T507" s="1176"/>
      <c r="U507" s="170"/>
      <c r="V507" s="170"/>
      <c r="W507" s="170"/>
      <c r="X507" s="170"/>
      <c r="Y507" s="170"/>
      <c r="Z507" s="170"/>
      <c r="AA507" s="170"/>
      <c r="AB507" s="89" t="s">
        <v>3116</v>
      </c>
      <c r="AC507" s="1397"/>
      <c r="AD507" s="1392"/>
      <c r="AE507" s="2167" cm="1">
        <f t="array" ref="AE507">INDEX(DIMex,AA441,5)</f>
        <v>380</v>
      </c>
      <c r="AF507" s="2167"/>
      <c r="AG507" s="2167"/>
      <c r="AH507" s="2167"/>
      <c r="AI507" s="2167"/>
      <c r="AJ507" s="2167"/>
      <c r="AK507" s="1392"/>
      <c r="AL507" s="115" t="s">
        <v>1012</v>
      </c>
      <c r="AM507" s="115"/>
      <c r="AN507" s="1644"/>
      <c r="AO507" s="1349"/>
    </row>
    <row r="508" spans="1:49" ht="15" customHeight="1">
      <c r="A508" s="1247"/>
      <c r="G508" s="1348"/>
      <c r="H508" s="1639"/>
      <c r="I508" s="1640"/>
      <c r="J508" s="1639"/>
      <c r="K508" s="1639"/>
      <c r="L508" s="1651"/>
      <c r="M508" s="170"/>
      <c r="N508" s="1339" t="s">
        <v>3115</v>
      </c>
      <c r="O508" s="1651"/>
      <c r="P508" s="1651"/>
      <c r="Q508" s="1651"/>
      <c r="R508" s="1651"/>
      <c r="S508" s="115"/>
      <c r="T508" s="1176"/>
      <c r="U508" s="170"/>
      <c r="V508" s="170"/>
      <c r="W508" s="170"/>
      <c r="X508" s="170"/>
      <c r="Y508" s="170"/>
      <c r="Z508" s="170"/>
      <c r="AA508" s="170"/>
      <c r="AB508" s="89" t="s">
        <v>3114</v>
      </c>
      <c r="AC508" s="1397"/>
      <c r="AD508" s="1392"/>
      <c r="AE508" s="2167" cm="1">
        <f t="array" ref="AE508">INDEX(DIMex,AA441,6)</f>
        <v>380</v>
      </c>
      <c r="AF508" s="2167"/>
      <c r="AG508" s="2167"/>
      <c r="AH508" s="2167"/>
      <c r="AI508" s="2167"/>
      <c r="AJ508" s="2167"/>
      <c r="AK508" s="1392"/>
      <c r="AL508" s="115" t="s">
        <v>1012</v>
      </c>
      <c r="AM508" s="115"/>
      <c r="AN508" s="1644"/>
      <c r="AO508" s="1349"/>
    </row>
    <row r="509" spans="1:49" ht="15" customHeight="1">
      <c r="A509" s="1247"/>
      <c r="G509" s="1348"/>
      <c r="H509" s="170"/>
      <c r="I509" s="124"/>
      <c r="J509" s="170"/>
      <c r="K509" s="1258"/>
      <c r="L509" s="1258"/>
      <c r="M509" s="1248"/>
      <c r="N509" s="1541" t="s">
        <v>2604</v>
      </c>
      <c r="O509" s="170"/>
      <c r="P509" s="170"/>
      <c r="Q509" s="170"/>
      <c r="R509" s="1176"/>
      <c r="S509" s="1176"/>
      <c r="T509" s="1176"/>
      <c r="U509" s="170"/>
      <c r="V509" s="170"/>
      <c r="W509" s="170"/>
      <c r="X509" s="170"/>
      <c r="Y509" s="170"/>
      <c r="Z509" s="170"/>
      <c r="AA509" s="170"/>
      <c r="AB509" s="89" t="s">
        <v>2548</v>
      </c>
      <c r="AC509" s="1397"/>
      <c r="AD509" s="1392"/>
      <c r="AE509" s="2089">
        <f>IF(AE475&gt;=0,AE505,AE506)</f>
        <v>380</v>
      </c>
      <c r="AF509" s="2089"/>
      <c r="AG509" s="2089"/>
      <c r="AH509" s="2089"/>
      <c r="AI509" s="2089"/>
      <c r="AJ509" s="2089"/>
      <c r="AK509" s="1392"/>
      <c r="AL509" s="115" t="s">
        <v>1012</v>
      </c>
      <c r="AM509" s="115"/>
      <c r="AN509" s="1584"/>
      <c r="AO509" s="1349"/>
    </row>
    <row r="510" spans="1:49" ht="15" customHeight="1">
      <c r="A510" s="1247"/>
      <c r="G510" s="1348"/>
      <c r="H510" s="170"/>
      <c r="I510" s="124"/>
      <c r="J510" s="170"/>
      <c r="K510" s="1258"/>
      <c r="L510" s="1258"/>
      <c r="M510" s="1248"/>
      <c r="N510" s="1541" t="s">
        <v>2605</v>
      </c>
      <c r="O510" s="170"/>
      <c r="P510" s="170"/>
      <c r="Q510" s="170"/>
      <c r="R510" s="1176"/>
      <c r="S510" s="1176"/>
      <c r="T510" s="1176"/>
      <c r="U510" s="170"/>
      <c r="V510" s="170"/>
      <c r="W510" s="170"/>
      <c r="X510" s="170"/>
      <c r="Y510" s="170"/>
      <c r="Z510" s="170"/>
      <c r="AA510" s="170"/>
      <c r="AB510" s="89" t="s">
        <v>2549</v>
      </c>
      <c r="AC510" s="1397"/>
      <c r="AD510" s="1392"/>
      <c r="AE510" s="2089">
        <f>IF(AE475&lt;0,AE505,AE506)</f>
        <v>380</v>
      </c>
      <c r="AF510" s="2089"/>
      <c r="AG510" s="2089"/>
      <c r="AH510" s="2089"/>
      <c r="AI510" s="2089"/>
      <c r="AJ510" s="2089"/>
      <c r="AK510" s="1392"/>
      <c r="AL510" s="115" t="s">
        <v>1012</v>
      </c>
      <c r="AM510" s="115"/>
      <c r="AN510" s="1584"/>
      <c r="AO510" s="1349"/>
    </row>
    <row r="511" spans="1:49" ht="15" customHeight="1">
      <c r="A511" s="1247"/>
      <c r="G511" s="1348"/>
      <c r="H511" s="170"/>
      <c r="I511" s="124"/>
      <c r="J511" s="170"/>
      <c r="K511" s="1258"/>
      <c r="L511" s="1258"/>
      <c r="M511" s="1248"/>
      <c r="N511" s="1641" t="s">
        <v>2606</v>
      </c>
      <c r="O511" s="170"/>
      <c r="P511" s="170"/>
      <c r="Q511" s="170"/>
      <c r="R511" s="1176"/>
      <c r="S511" s="1176"/>
      <c r="T511" s="1176"/>
      <c r="U511" s="170"/>
      <c r="V511" s="170"/>
      <c r="W511" s="170"/>
      <c r="X511" s="170"/>
      <c r="Y511" s="170"/>
      <c r="Z511" s="170"/>
      <c r="AA511" s="170"/>
      <c r="AB511" s="89" t="s">
        <v>2647</v>
      </c>
      <c r="AC511" s="1397"/>
      <c r="AD511" s="1501"/>
      <c r="AE511" s="2167" cm="1">
        <f t="array" ref="AE511">INDEX(DIMex,AA441,3)</f>
        <v>355</v>
      </c>
      <c r="AF511" s="2167"/>
      <c r="AG511" s="2167"/>
      <c r="AH511" s="2167"/>
      <c r="AI511" s="2167"/>
      <c r="AJ511" s="2167"/>
      <c r="AK511" s="1501"/>
      <c r="AL511" s="115" t="s">
        <v>1012</v>
      </c>
      <c r="AM511" s="115"/>
      <c r="AN511" s="1644"/>
      <c r="AO511" s="1349"/>
    </row>
    <row r="512" spans="1:49" ht="15" customHeight="1">
      <c r="A512" s="1247"/>
      <c r="G512" s="1348"/>
      <c r="H512" s="170"/>
      <c r="I512" s="124"/>
      <c r="J512" s="170"/>
      <c r="K512" s="1258"/>
      <c r="L512" s="1258"/>
      <c r="M512" s="1248"/>
      <c r="N512" s="1641" t="s">
        <v>3117</v>
      </c>
      <c r="O512" s="170"/>
      <c r="P512" s="170"/>
      <c r="Q512" s="170"/>
      <c r="R512" s="1176"/>
      <c r="S512" s="1176"/>
      <c r="T512" s="1176"/>
      <c r="U512" s="170"/>
      <c r="V512" s="170"/>
      <c r="W512" s="170"/>
      <c r="X512" s="170"/>
      <c r="Y512" s="170"/>
      <c r="Z512" s="170"/>
      <c r="AA512" s="170"/>
      <c r="AB512" s="89" t="s">
        <v>3118</v>
      </c>
      <c r="AC512" s="1397"/>
      <c r="AD512" s="1501"/>
      <c r="AE512" s="2167">
        <f>+Info!L29</f>
        <v>400</v>
      </c>
      <c r="AF512" s="2167"/>
      <c r="AG512" s="2167"/>
      <c r="AH512" s="2167"/>
      <c r="AI512" s="2167"/>
      <c r="AJ512" s="2167"/>
      <c r="AK512" s="1501"/>
      <c r="AL512" s="115" t="s">
        <v>1012</v>
      </c>
      <c r="AM512" s="115"/>
      <c r="AN512" s="1644"/>
      <c r="AO512" s="1349"/>
    </row>
    <row r="513" spans="1:56" ht="15" customHeight="1">
      <c r="A513" s="1247"/>
      <c r="G513" s="1348"/>
      <c r="H513" s="170"/>
      <c r="I513" s="124"/>
      <c r="J513" s="170"/>
      <c r="K513" s="1258"/>
      <c r="L513" s="1258"/>
      <c r="M513" s="1248"/>
      <c r="N513" s="1641" t="s">
        <v>3108</v>
      </c>
      <c r="O513" s="170"/>
      <c r="P513" s="170"/>
      <c r="Q513" s="170"/>
      <c r="R513" s="1176"/>
      <c r="S513" s="1176"/>
      <c r="T513" s="1176"/>
      <c r="U513" s="170"/>
      <c r="V513" s="170"/>
      <c r="W513" s="170"/>
      <c r="X513" s="170"/>
      <c r="Y513" s="170"/>
      <c r="Z513" s="170"/>
      <c r="AA513" s="170"/>
      <c r="AB513" s="89" t="s">
        <v>3109</v>
      </c>
      <c r="AC513" s="1397"/>
      <c r="AD513" s="1501"/>
      <c r="AE513" s="2167">
        <f>Info!M19</f>
        <v>35</v>
      </c>
      <c r="AF513" s="2167"/>
      <c r="AG513" s="2167"/>
      <c r="AH513" s="2167"/>
      <c r="AI513" s="2167"/>
      <c r="AJ513" s="2167"/>
      <c r="AK513" s="1501"/>
      <c r="AL513" s="115" t="s">
        <v>1012</v>
      </c>
      <c r="AM513" s="115"/>
      <c r="AN513" s="1644"/>
      <c r="AO513" s="1349"/>
    </row>
    <row r="514" spans="1:56" ht="15" customHeight="1" thickBot="1">
      <c r="A514" s="1247"/>
      <c r="G514" s="1350"/>
      <c r="H514" s="84"/>
      <c r="I514" s="1351"/>
      <c r="J514" s="84"/>
      <c r="K514" s="1352"/>
      <c r="L514" s="1352"/>
      <c r="M514" s="1353"/>
      <c r="N514" s="1354" t="s">
        <v>3110</v>
      </c>
      <c r="O514" s="84"/>
      <c r="P514" s="84"/>
      <c r="Q514" s="84"/>
      <c r="R514" s="1355"/>
      <c r="S514" s="1355"/>
      <c r="T514" s="1355"/>
      <c r="U514" s="84"/>
      <c r="V514" s="84"/>
      <c r="W514" s="84"/>
      <c r="X514" s="84"/>
      <c r="Y514" s="84"/>
      <c r="Z514" s="84"/>
      <c r="AA514" s="84"/>
      <c r="AB514" s="1402" t="s">
        <v>3109</v>
      </c>
      <c r="AC514" s="1398"/>
      <c r="AD514" s="1393"/>
      <c r="AE514" s="2204">
        <f>+Info!M24</f>
        <v>50</v>
      </c>
      <c r="AF514" s="2204"/>
      <c r="AG514" s="2204"/>
      <c r="AH514" s="2204"/>
      <c r="AI514" s="2204"/>
      <c r="AJ514" s="2204"/>
      <c r="AK514" s="1393"/>
      <c r="AL514" s="1367" t="s">
        <v>1012</v>
      </c>
      <c r="AM514" s="1367"/>
      <c r="AN514" s="1356"/>
      <c r="AO514" s="1357"/>
    </row>
    <row r="515" spans="1:56" ht="15" customHeight="1" thickTop="1">
      <c r="A515" s="1247"/>
      <c r="G515" s="170"/>
      <c r="H515" s="170"/>
      <c r="I515" s="124"/>
      <c r="J515" s="170"/>
      <c r="K515" s="1258"/>
      <c r="L515" s="1258"/>
      <c r="M515" s="1248"/>
      <c r="N515" s="1641"/>
      <c r="O515" s="170"/>
      <c r="P515" s="170"/>
      <c r="Q515" s="170"/>
      <c r="R515" s="1176"/>
      <c r="S515" s="1176"/>
      <c r="T515" s="1176"/>
      <c r="U515" s="170"/>
      <c r="V515" s="170"/>
      <c r="W515" s="170"/>
      <c r="X515" s="170"/>
      <c r="Y515" s="170"/>
      <c r="Z515" s="170"/>
      <c r="AA515" s="170"/>
      <c r="AB515" s="89"/>
      <c r="AC515" s="115"/>
      <c r="AD515" s="115"/>
      <c r="AE515" s="1649"/>
      <c r="AF515" s="1649"/>
      <c r="AG515" s="1649"/>
      <c r="AH515" s="1649"/>
      <c r="AI515" s="1649"/>
      <c r="AJ515" s="1649"/>
      <c r="AK515" s="115"/>
      <c r="AL515" s="115"/>
      <c r="AM515" s="115"/>
      <c r="AN515" s="1644"/>
      <c r="AO515" s="122"/>
    </row>
    <row r="516" spans="1:56" ht="15" customHeight="1">
      <c r="A516" s="1247"/>
      <c r="B516" s="170"/>
      <c r="C516" s="170"/>
      <c r="D516" s="124"/>
      <c r="E516" s="170"/>
      <c r="F516" s="1258"/>
      <c r="G516" s="1258"/>
      <c r="H516" s="1258"/>
      <c r="I516" s="1258"/>
      <c r="L516" s="143"/>
      <c r="M516" s="1206"/>
      <c r="N516" s="1206"/>
      <c r="O516" s="1206"/>
      <c r="P516" s="170"/>
      <c r="Q516" s="170"/>
      <c r="R516" s="170"/>
      <c r="S516" s="170"/>
      <c r="T516" s="170"/>
      <c r="U516" s="1938"/>
      <c r="V516" s="1938"/>
      <c r="W516" s="2220"/>
      <c r="X516" s="2220"/>
      <c r="Y516" s="2220"/>
      <c r="Z516" s="2220"/>
      <c r="AA516" s="2220"/>
      <c r="AB516" s="2220"/>
      <c r="AJ516" s="505"/>
      <c r="AM516" s="76"/>
    </row>
    <row r="517" spans="1:56" ht="15" customHeight="1">
      <c r="A517" s="1182" t="s">
        <v>3088</v>
      </c>
      <c r="B517" s="1569"/>
      <c r="G517" s="4"/>
      <c r="H517" s="4"/>
      <c r="I517" s="4"/>
      <c r="Y517" s="143"/>
      <c r="Z517" s="1547"/>
      <c r="AB517" s="1547"/>
      <c r="AD517" s="73"/>
      <c r="AE517" s="1561"/>
      <c r="AF517" s="73"/>
      <c r="AR517" s="143"/>
    </row>
    <row r="518" spans="1:56" ht="15" customHeight="1">
      <c r="A518" s="1182"/>
      <c r="B518" s="1736"/>
      <c r="G518" s="4"/>
      <c r="H518" s="4"/>
      <c r="I518" s="4"/>
      <c r="L518" s="1731"/>
      <c r="Y518" s="143"/>
      <c r="Z518" s="1731"/>
      <c r="AB518" s="1731"/>
      <c r="AD518" s="73"/>
      <c r="AE518" s="1734"/>
      <c r="AF518" s="73"/>
      <c r="AR518" s="143"/>
    </row>
    <row r="519" spans="1:56" ht="15" customHeight="1">
      <c r="A519" s="1182"/>
      <c r="B519" s="1654"/>
      <c r="C519" s="143" t="s">
        <v>3274</v>
      </c>
      <c r="G519" s="4"/>
      <c r="H519" s="450" t="str">
        <f>+AE442</f>
        <v>Negative</v>
      </c>
      <c r="I519" s="4"/>
      <c r="L519" s="1643"/>
      <c r="M519" s="143" t="s">
        <v>3275</v>
      </c>
      <c r="O519" s="143" t="str">
        <f>+IF(H519="Positive", "Tension flange = Bottom flange, Compression flange - Top flange","Tension flange = Top flange, Compression flange - Bottom flange")</f>
        <v>Tension flange = Top flange, Compression flange - Bottom flange</v>
      </c>
      <c r="Y519" s="143"/>
      <c r="Z519" s="1643"/>
      <c r="AB519" s="1643"/>
      <c r="AD519" s="73"/>
      <c r="AE519" s="1647"/>
      <c r="AF519" s="73"/>
      <c r="AR519" s="143"/>
    </row>
    <row r="520" spans="1:56" ht="15" customHeight="1">
      <c r="A520" s="1182"/>
      <c r="B520" s="1177" t="s">
        <v>2466</v>
      </c>
      <c r="C520" s="143" t="s">
        <v>3104</v>
      </c>
      <c r="G520" s="4"/>
      <c r="H520" s="4"/>
      <c r="I520" s="4"/>
      <c r="Y520" s="143"/>
      <c r="Z520" s="1547"/>
      <c r="AB520" s="1547"/>
      <c r="AD520" s="73"/>
      <c r="AE520" s="1561"/>
      <c r="AF520" s="73"/>
      <c r="AR520" s="143"/>
    </row>
    <row r="521" spans="1:56" ht="20.100000000000001" customHeight="1">
      <c r="C521" s="1747" t="s">
        <v>3135</v>
      </c>
      <c r="D521" s="1748"/>
      <c r="E521" s="1748"/>
      <c r="F521" s="1242"/>
      <c r="G521" s="1725"/>
      <c r="H521" s="1242"/>
      <c r="I521" s="1242"/>
      <c r="J521" s="1242"/>
      <c r="K521" s="1749" t="s">
        <v>3145</v>
      </c>
      <c r="L521" s="1242"/>
      <c r="M521" s="1242"/>
      <c r="N521" s="1242"/>
      <c r="O521" s="1750"/>
      <c r="P521" s="1242"/>
      <c r="Q521" s="1242"/>
      <c r="R521" s="1242"/>
      <c r="S521" s="1242"/>
      <c r="T521" s="1242"/>
      <c r="U521" s="1242" t="s">
        <v>3216</v>
      </c>
      <c r="V521" s="1242"/>
      <c r="W521" s="1242"/>
      <c r="X521" s="1242"/>
      <c r="Y521" s="1242"/>
      <c r="Z521" s="1750"/>
      <c r="AA521" s="1242"/>
      <c r="AB521" s="1750"/>
      <c r="AC521" s="1242"/>
      <c r="AD521" s="1242"/>
      <c r="AE521" s="1750"/>
      <c r="AF521" s="1242"/>
      <c r="AG521" s="1242"/>
      <c r="AH521" s="1242"/>
      <c r="AI521" s="1242"/>
      <c r="AJ521" s="1242"/>
      <c r="AK521" s="1242" t="s">
        <v>3160</v>
      </c>
      <c r="AL521" s="1242"/>
      <c r="AM521" s="1242"/>
      <c r="AN521" s="1242"/>
      <c r="AO521" s="1242"/>
      <c r="AP521" s="1242" t="s">
        <v>3159</v>
      </c>
      <c r="AQ521" s="1242"/>
      <c r="AR521" s="143"/>
    </row>
    <row r="522" spans="1:56" ht="15" customHeight="1">
      <c r="C522" s="124" t="s">
        <v>3136</v>
      </c>
      <c r="E522" s="1654"/>
      <c r="F522" s="170"/>
      <c r="G522" s="170"/>
      <c r="H522" s="170"/>
      <c r="I522" s="170"/>
      <c r="J522" s="170"/>
      <c r="K522" s="170" t="s">
        <v>3146</v>
      </c>
      <c r="L522" s="170"/>
      <c r="M522" s="124" t="s">
        <v>3103</v>
      </c>
      <c r="N522" s="57" t="s">
        <v>3158</v>
      </c>
      <c r="O522" s="170"/>
      <c r="P522" s="170"/>
      <c r="Q522" s="170"/>
      <c r="R522" s="170"/>
      <c r="S522" s="170"/>
      <c r="T522" s="124"/>
      <c r="U522" s="2094">
        <f>+AE450</f>
        <v>1</v>
      </c>
      <c r="V522" s="1862"/>
      <c r="W522" s="124" t="s">
        <v>3105</v>
      </c>
      <c r="X522" s="2094">
        <f>+AE451</f>
        <v>2900</v>
      </c>
      <c r="Y522" s="2094"/>
      <c r="Z522" s="2094"/>
      <c r="AA522" s="124" t="s">
        <v>3105</v>
      </c>
      <c r="AB522" s="2094">
        <f>+AE452</f>
        <v>40</v>
      </c>
      <c r="AC522" s="1862"/>
      <c r="AD522" s="74" t="s">
        <v>3105</v>
      </c>
      <c r="AE522" s="2203">
        <f>+AE505</f>
        <v>380</v>
      </c>
      <c r="AF522" s="2143"/>
      <c r="AG522" s="2143"/>
      <c r="AH522" s="122"/>
      <c r="AI522" s="170"/>
      <c r="AJ522" s="74" t="s">
        <v>3103</v>
      </c>
      <c r="AK522" s="2290">
        <f>+U522*X522*AB522*AE522/1000</f>
        <v>44080</v>
      </c>
      <c r="AL522" s="2290"/>
      <c r="AM522" s="2290"/>
      <c r="AN522" s="2290"/>
      <c r="AO522" s="170"/>
      <c r="AP522" s="122" t="s">
        <v>3106</v>
      </c>
      <c r="AQ522" s="122"/>
      <c r="AR522" s="143"/>
      <c r="BD522" s="1643"/>
    </row>
    <row r="523" spans="1:56" ht="15" customHeight="1">
      <c r="C523" s="124" t="s">
        <v>3137</v>
      </c>
      <c r="E523" s="1654"/>
      <c r="F523" s="170"/>
      <c r="G523" s="170"/>
      <c r="H523" s="170"/>
      <c r="I523" s="170"/>
      <c r="J523" s="170"/>
      <c r="K523" s="170" t="s">
        <v>3147</v>
      </c>
      <c r="L523" s="170"/>
      <c r="M523" s="124" t="s">
        <v>3103</v>
      </c>
      <c r="N523" s="57" t="s">
        <v>3157</v>
      </c>
      <c r="O523" s="170"/>
      <c r="P523" s="170"/>
      <c r="Q523" s="170"/>
      <c r="R523" s="170"/>
      <c r="S523" s="170"/>
      <c r="T523" s="124"/>
      <c r="U523" s="2094">
        <f>+AE453</f>
        <v>1840</v>
      </c>
      <c r="V523" s="2094"/>
      <c r="W523" s="2094"/>
      <c r="X523" s="1499" t="s">
        <v>3105</v>
      </c>
      <c r="Y523" s="2094">
        <f>+AE454</f>
        <v>30</v>
      </c>
      <c r="Z523" s="2094"/>
      <c r="AA523" s="124" t="s">
        <v>3105</v>
      </c>
      <c r="AB523" s="2094">
        <f>+AE506</f>
        <v>380</v>
      </c>
      <c r="AC523" s="2094"/>
      <c r="AD523" s="2094"/>
      <c r="AE523" s="119"/>
      <c r="AF523" s="53"/>
      <c r="AG523" s="53"/>
      <c r="AH523" s="122"/>
      <c r="AI523" s="170"/>
      <c r="AJ523" s="74" t="s">
        <v>3103</v>
      </c>
      <c r="AK523" s="2290">
        <f>+U523*Y523*AB523/1000</f>
        <v>20976</v>
      </c>
      <c r="AL523" s="2290"/>
      <c r="AM523" s="2290"/>
      <c r="AN523" s="2290"/>
      <c r="AO523" s="170"/>
      <c r="AP523" s="122" t="s">
        <v>3106</v>
      </c>
      <c r="AQ523" s="122"/>
      <c r="AR523" s="143"/>
      <c r="BD523" s="1643"/>
    </row>
    <row r="524" spans="1:56" ht="15" customHeight="1">
      <c r="C524" s="124" t="s">
        <v>3138</v>
      </c>
      <c r="E524" s="1654"/>
      <c r="F524" s="170"/>
      <c r="G524" s="170"/>
      <c r="H524" s="170"/>
      <c r="I524" s="170"/>
      <c r="J524" s="170"/>
      <c r="K524" s="170" t="s">
        <v>3148</v>
      </c>
      <c r="L524" s="170"/>
      <c r="M524" s="124" t="s">
        <v>3103</v>
      </c>
      <c r="N524" s="57" t="s">
        <v>3156</v>
      </c>
      <c r="O524" s="170"/>
      <c r="P524" s="170"/>
      <c r="Q524" s="170"/>
      <c r="R524" s="170"/>
      <c r="S524" s="170"/>
      <c r="T524" s="124"/>
      <c r="U524" s="1639">
        <v>2</v>
      </c>
      <c r="V524" s="124" t="s">
        <v>3105</v>
      </c>
      <c r="W524" s="2094">
        <f>+AE457</f>
        <v>14</v>
      </c>
      <c r="X524" s="1862"/>
      <c r="Y524" s="124" t="s">
        <v>3105</v>
      </c>
      <c r="Z524" s="2094">
        <f>+AE456/COS(ATAN(AE458))</f>
        <v>3224.9030993194201</v>
      </c>
      <c r="AA524" s="1862"/>
      <c r="AB524" s="1862"/>
      <c r="AC524" s="124" t="s">
        <v>3105</v>
      </c>
      <c r="AD524" s="2203">
        <f>+AE511</f>
        <v>355</v>
      </c>
      <c r="AE524" s="2143"/>
      <c r="AF524" s="2143"/>
      <c r="AG524" s="53"/>
      <c r="AH524" s="53"/>
      <c r="AI524" s="74"/>
      <c r="AJ524" s="74" t="s">
        <v>3103</v>
      </c>
      <c r="AK524" s="2290">
        <f>U524*W524*Z524*AD524/1000</f>
        <v>32055.536807235036</v>
      </c>
      <c r="AL524" s="2290"/>
      <c r="AM524" s="2290"/>
      <c r="AN524" s="2290"/>
      <c r="AO524" s="170"/>
      <c r="AP524" s="122" t="s">
        <v>3106</v>
      </c>
      <c r="AQ524" s="122"/>
      <c r="AR524" s="143"/>
      <c r="BD524" s="1643"/>
    </row>
    <row r="525" spans="1:56" ht="15" customHeight="1">
      <c r="C525" s="124" t="s">
        <v>3139</v>
      </c>
      <c r="E525" s="1654"/>
      <c r="F525" s="170"/>
      <c r="G525" s="170"/>
      <c r="H525" s="170"/>
      <c r="I525" s="170"/>
      <c r="J525" s="170"/>
      <c r="K525" s="170" t="s">
        <v>3149</v>
      </c>
      <c r="L525" s="170"/>
      <c r="M525" s="124" t="s">
        <v>3103</v>
      </c>
      <c r="N525" s="170" t="s">
        <v>517</v>
      </c>
      <c r="O525" s="170"/>
      <c r="P525" s="170"/>
      <c r="Q525" s="170"/>
      <c r="R525" s="170"/>
      <c r="S525" s="170"/>
      <c r="T525" s="124"/>
      <c r="U525" s="170" t="s">
        <v>3127</v>
      </c>
      <c r="V525" s="170"/>
      <c r="W525" s="170"/>
      <c r="X525" s="2093">
        <f>+AE513</f>
        <v>35</v>
      </c>
      <c r="Y525" s="1862"/>
      <c r="Z525" s="1862"/>
      <c r="AA525" s="124" t="s">
        <v>3105</v>
      </c>
      <c r="AB525" s="2094">
        <f>+AE460</f>
        <v>5450</v>
      </c>
      <c r="AC525" s="1862"/>
      <c r="AD525" s="1862"/>
      <c r="AE525" s="1652" t="s">
        <v>3105</v>
      </c>
      <c r="AF525" s="2181">
        <f>+AE462</f>
        <v>290</v>
      </c>
      <c r="AG525" s="2143"/>
      <c r="AH525" s="2143"/>
      <c r="AI525" s="122"/>
      <c r="AJ525" s="74" t="s">
        <v>3103</v>
      </c>
      <c r="AK525" s="2290">
        <f>0.85*X525*AB525*AF525/1000</f>
        <v>47019.875</v>
      </c>
      <c r="AL525" s="2290"/>
      <c r="AM525" s="2290"/>
      <c r="AN525" s="2290"/>
      <c r="AO525" s="170"/>
      <c r="AP525" s="122" t="s">
        <v>3106</v>
      </c>
      <c r="AQ525" s="122"/>
      <c r="AR525" s="143"/>
      <c r="BD525" s="1643"/>
    </row>
    <row r="526" spans="1:56" ht="15" customHeight="1">
      <c r="C526" s="124" t="s">
        <v>3141</v>
      </c>
      <c r="E526" s="1654"/>
      <c r="F526" s="170"/>
      <c r="G526" s="170"/>
      <c r="H526" s="170"/>
      <c r="I526" s="170"/>
      <c r="J526" s="170"/>
      <c r="K526" s="170" t="s">
        <v>3150</v>
      </c>
      <c r="L526" s="170"/>
      <c r="M526" s="124" t="s">
        <v>3103</v>
      </c>
      <c r="N526" s="57" t="s">
        <v>3154</v>
      </c>
      <c r="O526" s="170"/>
      <c r="P526" s="170"/>
      <c r="Q526" s="170"/>
      <c r="R526" s="170"/>
      <c r="S526" s="170"/>
      <c r="T526" s="124"/>
      <c r="U526" s="2094">
        <f>+AE470</f>
        <v>0</v>
      </c>
      <c r="V526" s="1862"/>
      <c r="W526" s="124" t="s">
        <v>3105</v>
      </c>
      <c r="X526" s="2094">
        <f>+AE471</f>
        <v>0</v>
      </c>
      <c r="Y526" s="1862"/>
      <c r="Z526" s="1862"/>
      <c r="AA526" s="124" t="s">
        <v>3105</v>
      </c>
      <c r="AB526" s="2094">
        <f>+AE472</f>
        <v>0</v>
      </c>
      <c r="AC526" s="1862"/>
      <c r="AD526" s="74" t="s">
        <v>3105</v>
      </c>
      <c r="AE526" s="2203">
        <f>+AE508</f>
        <v>380</v>
      </c>
      <c r="AF526" s="2143"/>
      <c r="AG526" s="2143"/>
      <c r="AH526" s="122"/>
      <c r="AI526" s="122"/>
      <c r="AJ526" s="74" t="s">
        <v>3103</v>
      </c>
      <c r="AK526" s="2290">
        <f>U526*X526*AB526*AE526/1000</f>
        <v>0</v>
      </c>
      <c r="AL526" s="2290"/>
      <c r="AM526" s="2290"/>
      <c r="AN526" s="2290"/>
      <c r="AO526" s="170"/>
      <c r="AP526" s="122" t="s">
        <v>3106</v>
      </c>
      <c r="AQ526" s="122"/>
      <c r="AR526" s="143"/>
      <c r="BD526" s="1643"/>
    </row>
    <row r="527" spans="1:56" ht="15" customHeight="1">
      <c r="C527" s="124" t="s">
        <v>3140</v>
      </c>
      <c r="E527" s="1654"/>
      <c r="F527" s="170"/>
      <c r="G527" s="170"/>
      <c r="H527" s="170"/>
      <c r="I527" s="170"/>
      <c r="J527" s="170"/>
      <c r="K527" s="170" t="s">
        <v>3151</v>
      </c>
      <c r="L527" s="170"/>
      <c r="M527" s="124" t="s">
        <v>3103</v>
      </c>
      <c r="N527" s="57" t="s">
        <v>3155</v>
      </c>
      <c r="O527" s="170"/>
      <c r="P527" s="170"/>
      <c r="Q527" s="170"/>
      <c r="R527" s="170"/>
      <c r="S527" s="170"/>
      <c r="T527" s="124"/>
      <c r="U527" s="2094">
        <f>+AE467</f>
        <v>2</v>
      </c>
      <c r="V527" s="1862"/>
      <c r="W527" s="124" t="s">
        <v>3105</v>
      </c>
      <c r="X527" s="2094">
        <f>+AE468</f>
        <v>160</v>
      </c>
      <c r="Y527" s="1862"/>
      <c r="Z527" s="1862"/>
      <c r="AA527" s="124" t="s">
        <v>3105</v>
      </c>
      <c r="AB527" s="2094">
        <f>+AE469</f>
        <v>16</v>
      </c>
      <c r="AC527" s="1862"/>
      <c r="AD527" s="74" t="s">
        <v>3105</v>
      </c>
      <c r="AE527" s="2203">
        <f>+AE507</f>
        <v>380</v>
      </c>
      <c r="AF527" s="2143"/>
      <c r="AG527" s="2143"/>
      <c r="AH527" s="122"/>
      <c r="AI527" s="122"/>
      <c r="AJ527" s="74" t="s">
        <v>3103</v>
      </c>
      <c r="AK527" s="2290">
        <f>U527*X527*AB527*AE527/1000</f>
        <v>1945.6</v>
      </c>
      <c r="AL527" s="2290"/>
      <c r="AM527" s="2290"/>
      <c r="AN527" s="2290"/>
      <c r="AO527" s="170"/>
      <c r="AP527" s="122" t="s">
        <v>3106</v>
      </c>
      <c r="AQ527" s="122"/>
      <c r="AR527" s="143"/>
      <c r="BD527" s="1643"/>
    </row>
    <row r="528" spans="1:56" ht="15" customHeight="1">
      <c r="C528" s="124" t="s">
        <v>3142</v>
      </c>
      <c r="E528" s="1654"/>
      <c r="F528" s="170"/>
      <c r="G528" s="170"/>
      <c r="H528" s="170"/>
      <c r="I528" s="170"/>
      <c r="J528" s="170"/>
      <c r="K528" s="170" t="s">
        <v>3152</v>
      </c>
      <c r="L528" s="170"/>
      <c r="M528" s="124" t="s">
        <v>3103</v>
      </c>
      <c r="N528" s="170" t="s">
        <v>3123</v>
      </c>
      <c r="O528" s="170"/>
      <c r="P528" s="170"/>
      <c r="Q528" s="170"/>
      <c r="R528" s="170"/>
      <c r="S528" s="170"/>
      <c r="T528" s="124"/>
      <c r="U528" s="2093">
        <f>+AE512</f>
        <v>400</v>
      </c>
      <c r="V528" s="1862"/>
      <c r="W528" s="1862"/>
      <c r="X528" s="124" t="s">
        <v>3105</v>
      </c>
      <c r="Y528" s="2093">
        <f>+AE446</f>
        <v>7655.2758986349281</v>
      </c>
      <c r="Z528" s="2093"/>
      <c r="AA528" s="2093"/>
      <c r="AB528" s="2093"/>
      <c r="AC528" s="170"/>
      <c r="AD528" s="122"/>
      <c r="AE528" s="1644"/>
      <c r="AF528" s="122"/>
      <c r="AG528" s="122"/>
      <c r="AH528" s="122"/>
      <c r="AI528" s="122"/>
      <c r="AJ528" s="74" t="s">
        <v>3103</v>
      </c>
      <c r="AK528" s="2290">
        <f>+U528*Y528/1000</f>
        <v>3062.1103594539709</v>
      </c>
      <c r="AL528" s="2290"/>
      <c r="AM528" s="2290"/>
      <c r="AN528" s="2290"/>
      <c r="AO528" s="170"/>
      <c r="AP528" s="122" t="s">
        <v>3106</v>
      </c>
      <c r="AQ528" s="122"/>
      <c r="AR528" s="143"/>
      <c r="BD528" s="1643"/>
    </row>
    <row r="529" spans="1:56" ht="15" customHeight="1">
      <c r="C529" s="124" t="s">
        <v>3143</v>
      </c>
      <c r="E529" s="1654"/>
      <c r="F529" s="170"/>
      <c r="G529" s="170"/>
      <c r="H529" s="170"/>
      <c r="I529" s="170"/>
      <c r="J529" s="170"/>
      <c r="K529" s="170" t="s">
        <v>3153</v>
      </c>
      <c r="L529" s="170"/>
      <c r="M529" s="124" t="s">
        <v>3103</v>
      </c>
      <c r="N529" s="170" t="s">
        <v>3124</v>
      </c>
      <c r="O529" s="170"/>
      <c r="P529" s="170"/>
      <c r="Q529" s="170"/>
      <c r="R529" s="170"/>
      <c r="S529" s="170"/>
      <c r="T529" s="124"/>
      <c r="U529" s="2093">
        <f>+AE512</f>
        <v>400</v>
      </c>
      <c r="V529" s="1862"/>
      <c r="W529" s="1862"/>
      <c r="X529" s="124" t="s">
        <v>3105</v>
      </c>
      <c r="Y529" s="2093">
        <f>+AE447</f>
        <v>5428.6721054031623</v>
      </c>
      <c r="Z529" s="2093"/>
      <c r="AA529" s="2093"/>
      <c r="AB529" s="2093"/>
      <c r="AC529" s="170"/>
      <c r="AD529" s="122"/>
      <c r="AE529" s="1644"/>
      <c r="AF529" s="122"/>
      <c r="AG529" s="122"/>
      <c r="AH529" s="122"/>
      <c r="AI529" s="122"/>
      <c r="AJ529" s="74" t="s">
        <v>3103</v>
      </c>
      <c r="AK529" s="2290">
        <f>+U529*Y529/1000</f>
        <v>2171.4688421612645</v>
      </c>
      <c r="AL529" s="2290"/>
      <c r="AM529" s="2290"/>
      <c r="AN529" s="2290"/>
      <c r="AO529" s="170"/>
      <c r="AP529" s="122" t="s">
        <v>3106</v>
      </c>
      <c r="AQ529" s="122"/>
      <c r="AR529" s="143"/>
      <c r="BD529" s="1643"/>
    </row>
    <row r="530" spans="1:56" ht="15" customHeight="1">
      <c r="C530" s="124" t="s">
        <v>3144</v>
      </c>
      <c r="E530" s="1654"/>
      <c r="F530" s="170"/>
      <c r="G530" s="170"/>
      <c r="H530" s="170"/>
      <c r="I530" s="170"/>
      <c r="J530" s="170"/>
      <c r="K530" s="170" t="s">
        <v>1718</v>
      </c>
      <c r="L530" s="170"/>
      <c r="M530" s="124" t="s">
        <v>3103</v>
      </c>
      <c r="N530" s="170" t="s">
        <v>3125</v>
      </c>
      <c r="O530" s="170"/>
      <c r="P530" s="170"/>
      <c r="Q530" s="170"/>
      <c r="R530" s="170"/>
      <c r="S530" s="170"/>
      <c r="T530" s="124"/>
      <c r="U530" s="2093">
        <f>+AE512</f>
        <v>400</v>
      </c>
      <c r="V530" s="1862"/>
      <c r="W530" s="1862"/>
      <c r="X530" s="124" t="s">
        <v>3105</v>
      </c>
      <c r="Y530" s="2093">
        <f>+AE466</f>
        <v>6031.8578948924023</v>
      </c>
      <c r="Z530" s="2093"/>
      <c r="AA530" s="2093"/>
      <c r="AB530" s="2093"/>
      <c r="AC530" s="170"/>
      <c r="AD530" s="122"/>
      <c r="AE530" s="1644"/>
      <c r="AF530" s="122"/>
      <c r="AG530" s="122"/>
      <c r="AH530" s="122"/>
      <c r="AI530" s="122"/>
      <c r="AJ530" s="74" t="s">
        <v>3103</v>
      </c>
      <c r="AK530" s="2290">
        <f>+U530*Y530/1000</f>
        <v>2412.7431579569611</v>
      </c>
      <c r="AL530" s="2290"/>
      <c r="AM530" s="2290"/>
      <c r="AN530" s="2290"/>
      <c r="AO530" s="170"/>
      <c r="AP530" s="122" t="s">
        <v>3106</v>
      </c>
      <c r="AQ530" s="122"/>
      <c r="AR530" s="143"/>
      <c r="BD530" s="1643"/>
    </row>
    <row r="531" spans="1:56" ht="15" customHeight="1">
      <c r="C531" s="1335" t="s">
        <v>3128</v>
      </c>
      <c r="D531" s="1746"/>
      <c r="E531" s="1746"/>
      <c r="F531" s="1333"/>
      <c r="G531" s="1333"/>
      <c r="H531" s="1333"/>
      <c r="I531" s="1333"/>
      <c r="J531" s="1333"/>
      <c r="K531" s="1333" t="s">
        <v>3269</v>
      </c>
      <c r="L531" s="1333"/>
      <c r="M531" s="1335" t="s">
        <v>3103</v>
      </c>
      <c r="N531" s="1333" t="s">
        <v>515</v>
      </c>
      <c r="O531" s="1333"/>
      <c r="P531" s="1333"/>
      <c r="Q531" s="1333"/>
      <c r="R531" s="1333"/>
      <c r="S531" s="1333"/>
      <c r="T531" s="1335"/>
      <c r="U531" s="1333" t="s">
        <v>3127</v>
      </c>
      <c r="V531" s="1333"/>
      <c r="W531" s="1333"/>
      <c r="X531" s="2105">
        <f>+AE514</f>
        <v>50</v>
      </c>
      <c r="Y531" s="2090"/>
      <c r="Z531" s="2090"/>
      <c r="AA531" s="1335" t="s">
        <v>3105</v>
      </c>
      <c r="AB531" s="2180">
        <f>+AE465</f>
        <v>1005000</v>
      </c>
      <c r="AC531" s="2090"/>
      <c r="AD531" s="2090"/>
      <c r="AE531" s="2090"/>
      <c r="AF531" s="1437"/>
      <c r="AG531" s="1437"/>
      <c r="AH531" s="1437"/>
      <c r="AI531" s="1437"/>
      <c r="AJ531" s="1433" t="s">
        <v>3103</v>
      </c>
      <c r="AK531" s="2291">
        <f>0.85*X531*AB531/1000</f>
        <v>42712.5</v>
      </c>
      <c r="AL531" s="2291"/>
      <c r="AM531" s="2291"/>
      <c r="AN531" s="2291"/>
      <c r="AO531" s="1333"/>
      <c r="AP531" s="1437" t="s">
        <v>3106</v>
      </c>
      <c r="AQ531" s="1437"/>
      <c r="AR531" s="143"/>
      <c r="BD531" s="1643"/>
    </row>
    <row r="532" spans="1:56" ht="15" customHeight="1">
      <c r="A532" s="1182"/>
      <c r="B532" s="1654"/>
      <c r="G532" s="4"/>
      <c r="H532" s="4"/>
      <c r="I532" s="4"/>
      <c r="L532" s="1643"/>
      <c r="Y532" s="143"/>
      <c r="AB532" s="143"/>
      <c r="AD532" s="143"/>
      <c r="AE532" s="143"/>
      <c r="AF532" s="143"/>
      <c r="AG532" s="143"/>
      <c r="AH532" s="143"/>
      <c r="AI532" s="143"/>
      <c r="AJ532" s="143"/>
      <c r="AK532" s="143"/>
      <c r="AL532" s="143"/>
      <c r="AM532" s="143"/>
      <c r="AN532" s="143"/>
      <c r="AO532" s="143"/>
      <c r="AR532" s="143"/>
    </row>
    <row r="533" spans="1:56" ht="15" customHeight="1">
      <c r="A533" s="1182"/>
      <c r="B533" s="1177" t="s">
        <v>2466</v>
      </c>
      <c r="C533" s="143" t="s">
        <v>3167</v>
      </c>
      <c r="G533" s="4"/>
      <c r="H533" s="4"/>
      <c r="I533" s="4"/>
      <c r="L533" s="1643"/>
      <c r="Y533" s="143"/>
      <c r="Z533" s="1643"/>
      <c r="AB533" s="1643"/>
      <c r="AD533" s="73"/>
      <c r="AE533" s="1647"/>
      <c r="AF533" s="73"/>
      <c r="AR533" s="143"/>
    </row>
    <row r="534" spans="1:56" ht="20.100000000000001" customHeight="1">
      <c r="A534" s="1182"/>
      <c r="B534" s="1754"/>
      <c r="C534" s="1242" t="s">
        <v>3161</v>
      </c>
      <c r="D534" s="1242"/>
      <c r="E534" s="1242"/>
      <c r="F534" s="1242" t="s">
        <v>3176</v>
      </c>
      <c r="G534" s="1242"/>
      <c r="H534" s="1242"/>
      <c r="I534" s="1725"/>
      <c r="J534" s="1242"/>
      <c r="K534" s="1242" t="s">
        <v>3162</v>
      </c>
      <c r="L534" s="1750"/>
      <c r="M534" s="1242"/>
      <c r="N534" s="1242"/>
      <c r="O534" s="1242"/>
      <c r="P534" s="1242"/>
      <c r="Q534" s="1242"/>
      <c r="R534" s="1242"/>
      <c r="S534" s="1242"/>
      <c r="T534" s="1242"/>
      <c r="U534" s="1242"/>
      <c r="V534" s="1242"/>
      <c r="W534" s="1242"/>
      <c r="X534" s="1242"/>
      <c r="Y534" s="1242"/>
      <c r="Z534" s="1750"/>
      <c r="AA534" s="1242"/>
      <c r="AB534" s="1750"/>
      <c r="AC534" s="1242"/>
      <c r="AD534" s="1242"/>
      <c r="AE534" s="1750"/>
      <c r="AF534" s="1242" t="s">
        <v>3160</v>
      </c>
      <c r="AG534" s="1242"/>
      <c r="AH534" s="1242"/>
      <c r="AI534" s="1242"/>
      <c r="AJ534" s="1242"/>
      <c r="AK534" s="1242"/>
      <c r="AL534" s="1242"/>
      <c r="AM534" s="1242"/>
      <c r="AN534" s="1242"/>
      <c r="AO534" s="1242"/>
      <c r="AP534" s="1242" t="s">
        <v>3186</v>
      </c>
      <c r="AQ534" s="1242"/>
      <c r="AR534" s="143"/>
    </row>
    <row r="535" spans="1:56" ht="15" customHeight="1">
      <c r="A535" s="1751">
        <f t="shared" ref="A535:A541" si="1">IF(AJ535="&lt;",10^9,ROW())</f>
        <v>1000000000</v>
      </c>
      <c r="B535" s="1177"/>
      <c r="C535" s="124" t="s">
        <v>3168</v>
      </c>
      <c r="D535" s="170"/>
      <c r="E535" s="170"/>
      <c r="F535" s="170" t="s">
        <v>3163</v>
      </c>
      <c r="G535" s="170"/>
      <c r="H535" s="170"/>
      <c r="I535" s="170"/>
      <c r="J535" s="170"/>
      <c r="K535" s="1671" t="s">
        <v>3183</v>
      </c>
      <c r="L535" s="116"/>
      <c r="M535" s="170"/>
      <c r="N535" s="170"/>
      <c r="O535" s="1639"/>
      <c r="P535" s="170"/>
      <c r="Q535" s="170"/>
      <c r="R535" s="170"/>
      <c r="S535" s="170"/>
      <c r="T535" s="170"/>
      <c r="U535" s="170"/>
      <c r="V535" s="170"/>
      <c r="W535" s="170"/>
      <c r="X535" s="170"/>
      <c r="Y535" s="170"/>
      <c r="Z535" s="170"/>
      <c r="AA535" s="170"/>
      <c r="AB535" s="170"/>
      <c r="AC535" s="1639"/>
      <c r="AD535" s="170"/>
      <c r="AE535" s="1644"/>
      <c r="AF535" s="2288">
        <f>+AK523+AK527+(AE456-2*AE471)*AK524/AE456+AK530</f>
        <v>57389.879965191991</v>
      </c>
      <c r="AG535" s="2288"/>
      <c r="AH535" s="2288"/>
      <c r="AI535" s="2288"/>
      <c r="AJ535" s="268" t="str">
        <f t="shared" ref="AJ535:AJ542" si="2">IF(AF535&gt;=AK535,"&gt;","&lt;")</f>
        <v>&lt;</v>
      </c>
      <c r="AK535" s="2271">
        <f>+AK526+AK522+AK525+AK528+AK529</f>
        <v>96333.454201615241</v>
      </c>
      <c r="AL535" s="2271"/>
      <c r="AM535" s="2271"/>
      <c r="AN535" s="2271"/>
      <c r="AO535" s="122"/>
      <c r="AP535" s="122" t="str">
        <f>IF(AND(AJ535="&gt;",A535=MIN(A535:A542)),"◀","")</f>
        <v/>
      </c>
      <c r="AQ535" s="122"/>
      <c r="AR535" s="143"/>
    </row>
    <row r="536" spans="1:56" ht="15" customHeight="1">
      <c r="A536" s="1751">
        <f t="shared" si="1"/>
        <v>1000000000</v>
      </c>
      <c r="B536" s="1177"/>
      <c r="C536" s="124" t="s">
        <v>3169</v>
      </c>
      <c r="D536" s="170"/>
      <c r="E536" s="170"/>
      <c r="F536" s="1671" t="s">
        <v>501</v>
      </c>
      <c r="G536" s="170"/>
      <c r="H536" s="170"/>
      <c r="I536" s="170"/>
      <c r="J536" s="170"/>
      <c r="K536" s="1752" t="s">
        <v>3185</v>
      </c>
      <c r="L536" s="116"/>
      <c r="M536" s="170"/>
      <c r="N536" s="170"/>
      <c r="O536" s="1639"/>
      <c r="P536" s="170"/>
      <c r="Q536" s="170"/>
      <c r="R536" s="170"/>
      <c r="S536" s="170"/>
      <c r="T536" s="170"/>
      <c r="U536" s="170"/>
      <c r="V536" s="170"/>
      <c r="W536" s="170"/>
      <c r="X536" s="170"/>
      <c r="Y536" s="170"/>
      <c r="Z536" s="170"/>
      <c r="AA536" s="170"/>
      <c r="AB536" s="170"/>
      <c r="AC536" s="1639"/>
      <c r="AD536" s="170"/>
      <c r="AE536" s="1644"/>
      <c r="AF536" s="2288">
        <f>+AK523+AK527+AK524+AK530+AK526</f>
        <v>57389.879965191991</v>
      </c>
      <c r="AG536" s="2288"/>
      <c r="AH536" s="2288"/>
      <c r="AI536" s="2288"/>
      <c r="AJ536" s="268" t="str">
        <f t="shared" si="2"/>
        <v>&lt;</v>
      </c>
      <c r="AK536" s="2271">
        <f>+AK522+AK525+AK528+AK529</f>
        <v>96333.454201615241</v>
      </c>
      <c r="AL536" s="2271"/>
      <c r="AM536" s="2271"/>
      <c r="AN536" s="2271"/>
      <c r="AO536" s="122"/>
      <c r="AP536" s="122" t="str">
        <f>IF(AND(AJ536="&gt;",A536=MIN(A535:A542)),"◀","")</f>
        <v/>
      </c>
      <c r="AQ536" s="122"/>
      <c r="AR536" s="143"/>
    </row>
    <row r="537" spans="1:56" ht="15" customHeight="1">
      <c r="A537" s="1751">
        <f t="shared" si="1"/>
        <v>537</v>
      </c>
      <c r="B537" s="1177"/>
      <c r="C537" s="124" t="s">
        <v>3170</v>
      </c>
      <c r="D537" s="170"/>
      <c r="E537" s="170"/>
      <c r="F537" s="170" t="s">
        <v>3164</v>
      </c>
      <c r="G537" s="170"/>
      <c r="H537" s="170"/>
      <c r="I537" s="170"/>
      <c r="J537" s="116"/>
      <c r="K537" s="1671" t="s">
        <v>3181</v>
      </c>
      <c r="L537" s="116"/>
      <c r="M537" s="170"/>
      <c r="N537" s="170"/>
      <c r="O537" s="1639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/>
      <c r="AB537" s="170"/>
      <c r="AC537" s="1639"/>
      <c r="AD537" s="170"/>
      <c r="AE537" s="1644"/>
      <c r="AF537" s="2288">
        <f>+AK523+AK527+AK524+AK530+AK526+AK522</f>
        <v>101469.879965192</v>
      </c>
      <c r="AG537" s="2288"/>
      <c r="AH537" s="2288"/>
      <c r="AI537" s="2288"/>
      <c r="AJ537" s="268" t="str">
        <f t="shared" si="2"/>
        <v>&gt;</v>
      </c>
      <c r="AK537" s="2271">
        <f>+AK525+AK528+AK529</f>
        <v>52253.454201615241</v>
      </c>
      <c r="AL537" s="2271"/>
      <c r="AM537" s="2271"/>
      <c r="AN537" s="2271"/>
      <c r="AO537" s="122"/>
      <c r="AP537" s="122" t="str">
        <f>IF(AND(AJ537="&gt;",A537=MIN(A535:A542)),"◀","")</f>
        <v>◀</v>
      </c>
      <c r="AQ537" s="122"/>
      <c r="AR537" s="143"/>
    </row>
    <row r="538" spans="1:56" ht="15" customHeight="1">
      <c r="A538" s="1751">
        <f t="shared" si="1"/>
        <v>538</v>
      </c>
      <c r="B538" s="1177"/>
      <c r="C538" s="124" t="s">
        <v>3171</v>
      </c>
      <c r="D538" s="170"/>
      <c r="E538" s="170"/>
      <c r="F538" s="170" t="s">
        <v>3165</v>
      </c>
      <c r="G538" s="170"/>
      <c r="H538" s="170"/>
      <c r="I538" s="170"/>
      <c r="J538" s="116"/>
      <c r="K538" s="1671" t="s">
        <v>3182</v>
      </c>
      <c r="L538" s="116"/>
      <c r="M538" s="170"/>
      <c r="N538" s="170"/>
      <c r="O538" s="1639"/>
      <c r="P538" s="170"/>
      <c r="Q538" s="170"/>
      <c r="R538" s="170"/>
      <c r="S538" s="170"/>
      <c r="T538" s="170"/>
      <c r="U538" s="170"/>
      <c r="V538" s="170"/>
      <c r="W538" s="170"/>
      <c r="X538" s="170"/>
      <c r="Y538" s="170"/>
      <c r="Z538" s="170"/>
      <c r="AA538" s="170"/>
      <c r="AB538" s="170"/>
      <c r="AC538" s="1639"/>
      <c r="AD538" s="170"/>
      <c r="AE538" s="1644"/>
      <c r="AF538" s="2288">
        <f>+AK523+AK527+AK524+AK530+AK526+AK522</f>
        <v>101469.879965192</v>
      </c>
      <c r="AG538" s="2288"/>
      <c r="AH538" s="2288"/>
      <c r="AI538" s="2288"/>
      <c r="AJ538" s="268" t="str">
        <f t="shared" si="2"/>
        <v>&gt;</v>
      </c>
      <c r="AK538" s="2271">
        <f>(AE449/AE462)*AK525+AK528+AK529</f>
        <v>45767.954201615241</v>
      </c>
      <c r="AL538" s="2271"/>
      <c r="AM538" s="2271"/>
      <c r="AN538" s="2271"/>
      <c r="AO538" s="122"/>
      <c r="AP538" s="122" t="str">
        <f>IF(AND(AJ538="&gt;",A538=MIN(A535:A542)),"◀","")</f>
        <v/>
      </c>
      <c r="AQ538" s="122"/>
      <c r="AR538" s="143"/>
    </row>
    <row r="539" spans="1:56" ht="15" customHeight="1">
      <c r="A539" s="1751">
        <f t="shared" si="1"/>
        <v>539</v>
      </c>
      <c r="B539" s="1177"/>
      <c r="C539" s="124" t="s">
        <v>3172</v>
      </c>
      <c r="D539" s="170"/>
      <c r="E539" s="170"/>
      <c r="F539" s="170" t="s">
        <v>3166</v>
      </c>
      <c r="G539" s="170"/>
      <c r="H539" s="170"/>
      <c r="I539" s="170"/>
      <c r="J539" s="116"/>
      <c r="K539" s="1671" t="s">
        <v>3184</v>
      </c>
      <c r="L539" s="116"/>
      <c r="M539" s="170"/>
      <c r="N539" s="170"/>
      <c r="O539" s="1639"/>
      <c r="P539" s="170"/>
      <c r="Q539" s="170"/>
      <c r="R539" s="170"/>
      <c r="S539" s="170"/>
      <c r="T539" s="170"/>
      <c r="U539" s="170"/>
      <c r="V539" s="170"/>
      <c r="W539" s="170"/>
      <c r="X539" s="170"/>
      <c r="Y539" s="170"/>
      <c r="Z539" s="170"/>
      <c r="AA539" s="170"/>
      <c r="AB539" s="170"/>
      <c r="AC539" s="1639"/>
      <c r="AD539" s="170"/>
      <c r="AE539" s="1644"/>
      <c r="AF539" s="2288">
        <f>+AK523+AK527+AK524+AK530+AK526+AK522+AK529</f>
        <v>103641.34880735326</v>
      </c>
      <c r="AG539" s="2288"/>
      <c r="AH539" s="2288"/>
      <c r="AI539" s="2288"/>
      <c r="AJ539" s="268" t="str">
        <f t="shared" si="2"/>
        <v>&gt;</v>
      </c>
      <c r="AK539" s="2271">
        <f>(AE449/AE462)*AK525+AK528</f>
        <v>43596.485359453975</v>
      </c>
      <c r="AL539" s="2271"/>
      <c r="AM539" s="2271"/>
      <c r="AN539" s="2271"/>
      <c r="AO539" s="122"/>
      <c r="AP539" s="122" t="str">
        <f>IF(AND(AJ539="&gt;",A539=MIN(A535:A542)),"◀","")</f>
        <v/>
      </c>
      <c r="AQ539" s="122"/>
      <c r="AR539" s="143"/>
    </row>
    <row r="540" spans="1:56" ht="15" customHeight="1">
      <c r="A540" s="1751">
        <f t="shared" si="1"/>
        <v>540</v>
      </c>
      <c r="B540" s="1177"/>
      <c r="C540" s="124" t="s">
        <v>3173</v>
      </c>
      <c r="D540" s="170"/>
      <c r="E540" s="170"/>
      <c r="F540" s="1671" t="s">
        <v>224</v>
      </c>
      <c r="G540" s="170"/>
      <c r="H540" s="170"/>
      <c r="I540" s="170"/>
      <c r="J540" s="116"/>
      <c r="K540" s="1671" t="s">
        <v>1348</v>
      </c>
      <c r="L540" s="116"/>
      <c r="M540" s="170"/>
      <c r="N540" s="170"/>
      <c r="O540" s="1639"/>
      <c r="P540" s="170"/>
      <c r="Q540" s="170"/>
      <c r="R540" s="170"/>
      <c r="S540" s="170"/>
      <c r="T540" s="170"/>
      <c r="U540" s="170"/>
      <c r="V540" s="170"/>
      <c r="W540" s="170"/>
      <c r="X540" s="170"/>
      <c r="Y540" s="170"/>
      <c r="Z540" s="170"/>
      <c r="AA540" s="170"/>
      <c r="AB540" s="170"/>
      <c r="AC540" s="1639"/>
      <c r="AD540" s="170"/>
      <c r="AE540" s="1644"/>
      <c r="AF540" s="2288">
        <f>+AK523+AK527+AK524+AK530+AK526+AK522+AK529</f>
        <v>103641.34880735326</v>
      </c>
      <c r="AG540" s="2288"/>
      <c r="AH540" s="2288"/>
      <c r="AI540" s="2288"/>
      <c r="AJ540" s="268" t="str">
        <f t="shared" si="2"/>
        <v>&gt;</v>
      </c>
      <c r="AK540" s="2271">
        <f>(AE448/AE462)*AK525+AK528</f>
        <v>11168.985359453971</v>
      </c>
      <c r="AL540" s="2271"/>
      <c r="AM540" s="2271"/>
      <c r="AN540" s="2271"/>
      <c r="AO540" s="122"/>
      <c r="AP540" s="122" t="str">
        <f>IF(AND(AJ540="&gt;",A540=MIN(A535:A542)),"◀","")</f>
        <v/>
      </c>
      <c r="AQ540" s="122"/>
      <c r="AR540" s="143"/>
    </row>
    <row r="541" spans="1:56" ht="15" customHeight="1">
      <c r="A541" s="1751">
        <f t="shared" si="1"/>
        <v>541</v>
      </c>
      <c r="B541" s="1177"/>
      <c r="C541" s="124" t="s">
        <v>3174</v>
      </c>
      <c r="D541" s="170"/>
      <c r="E541" s="170"/>
      <c r="F541" s="1671" t="s">
        <v>225</v>
      </c>
      <c r="G541" s="170"/>
      <c r="H541" s="170"/>
      <c r="I541" s="170"/>
      <c r="J541" s="116"/>
      <c r="K541" s="1671" t="s">
        <v>1349</v>
      </c>
      <c r="L541" s="116"/>
      <c r="M541" s="170"/>
      <c r="N541" s="170"/>
      <c r="O541" s="1639"/>
      <c r="P541" s="170"/>
      <c r="Q541" s="170"/>
      <c r="R541" s="170"/>
      <c r="S541" s="170"/>
      <c r="T541" s="170"/>
      <c r="U541" s="170"/>
      <c r="V541" s="170"/>
      <c r="W541" s="170"/>
      <c r="X541" s="170"/>
      <c r="Y541" s="170"/>
      <c r="Z541" s="170"/>
      <c r="AA541" s="170"/>
      <c r="AB541" s="170"/>
      <c r="AC541" s="1639"/>
      <c r="AD541" s="170"/>
      <c r="AE541" s="1644"/>
      <c r="AF541" s="2288">
        <f>+AK523+AK527+AK524+AK530+AK526+AK522+AK529+AK528</f>
        <v>106703.45916680724</v>
      </c>
      <c r="AG541" s="2288"/>
      <c r="AH541" s="2288"/>
      <c r="AI541" s="2288"/>
      <c r="AJ541" s="268" t="str">
        <f t="shared" si="2"/>
        <v>&gt;</v>
      </c>
      <c r="AK541" s="2271">
        <f>(AE448/AE462)*AK525</f>
        <v>8106.8750000000009</v>
      </c>
      <c r="AL541" s="2271"/>
      <c r="AM541" s="2271"/>
      <c r="AN541" s="2271"/>
      <c r="AO541" s="122"/>
      <c r="AP541" s="122" t="str">
        <f>IF(AND(AJ541="&gt;",A541=MIN(A535:A542)),"◀","")</f>
        <v/>
      </c>
      <c r="AQ541" s="122"/>
      <c r="AR541" s="143"/>
    </row>
    <row r="542" spans="1:56" ht="15" customHeight="1">
      <c r="A542" s="1751">
        <f>IF(AJ542="&gt;",10^9,ROW())</f>
        <v>1000000000</v>
      </c>
      <c r="B542" s="1177"/>
      <c r="C542" s="1335" t="s">
        <v>3175</v>
      </c>
      <c r="D542" s="1333"/>
      <c r="E542" s="1333"/>
      <c r="F542" s="1657" t="s">
        <v>226</v>
      </c>
      <c r="G542" s="1333"/>
      <c r="H542" s="1333"/>
      <c r="I542" s="1333"/>
      <c r="J542" s="1685"/>
      <c r="K542" s="1657" t="s">
        <v>1350</v>
      </c>
      <c r="L542" s="1685"/>
      <c r="M542" s="1333"/>
      <c r="N542" s="1333"/>
      <c r="O542" s="1646"/>
      <c r="P542" s="1333"/>
      <c r="Q542" s="1333"/>
      <c r="R542" s="1333"/>
      <c r="S542" s="1333"/>
      <c r="T542" s="1333"/>
      <c r="U542" s="1333"/>
      <c r="V542" s="1333"/>
      <c r="W542" s="1333"/>
      <c r="X542" s="1333"/>
      <c r="Y542" s="1333"/>
      <c r="Z542" s="1333"/>
      <c r="AA542" s="1333"/>
      <c r="AB542" s="1333"/>
      <c r="AC542" s="1646"/>
      <c r="AD542" s="1333"/>
      <c r="AE542" s="1645"/>
      <c r="AF542" s="2289">
        <f>+AK523+AK527+AK524+AK530+AK526+AK522+AK529+AK528</f>
        <v>106703.45916680724</v>
      </c>
      <c r="AG542" s="2289"/>
      <c r="AH542" s="2289"/>
      <c r="AI542" s="2289"/>
      <c r="AJ542" s="1753" t="str">
        <f t="shared" si="2"/>
        <v>&gt;</v>
      </c>
      <c r="AK542" s="2273">
        <f>(AE448/AE462)*AK525</f>
        <v>8106.8750000000009</v>
      </c>
      <c r="AL542" s="2273"/>
      <c r="AM542" s="2273"/>
      <c r="AN542" s="2273"/>
      <c r="AO542" s="1437"/>
      <c r="AP542" s="1437" t="str">
        <f>IF(AND(AJ542="&lt;",A542=MIN(A535:A542)),"◀","")</f>
        <v/>
      </c>
      <c r="AQ542" s="1437"/>
      <c r="AR542" s="143"/>
    </row>
    <row r="543" spans="1:56" ht="15" customHeight="1">
      <c r="A543" s="1182"/>
      <c r="B543" s="1177"/>
      <c r="G543" s="4"/>
      <c r="H543" s="4"/>
      <c r="I543" s="4"/>
      <c r="L543" s="1643"/>
      <c r="Y543" s="143"/>
      <c r="Z543" s="1643"/>
      <c r="AB543" s="1643"/>
      <c r="AD543" s="73"/>
      <c r="AE543" s="1647"/>
      <c r="AF543" s="73"/>
      <c r="AR543" s="143"/>
    </row>
    <row r="544" spans="1:56" ht="15" customHeight="1">
      <c r="A544" s="1182"/>
      <c r="B544" s="1177" t="s">
        <v>2466</v>
      </c>
      <c r="C544" s="143" t="s">
        <v>3242</v>
      </c>
      <c r="G544" s="4"/>
      <c r="H544" s="4"/>
      <c r="I544" s="4"/>
      <c r="L544" s="1731"/>
      <c r="Y544" s="143"/>
      <c r="Z544" s="1731"/>
      <c r="AB544" s="1731"/>
      <c r="AD544" s="73"/>
      <c r="AE544" s="1734"/>
      <c r="AF544" s="73"/>
      <c r="AR544" s="143"/>
    </row>
    <row r="545" spans="1:44" ht="20.100000000000001" customHeight="1">
      <c r="A545" s="1182"/>
      <c r="C545" s="1242" t="s">
        <v>622</v>
      </c>
      <c r="D545" s="1242"/>
      <c r="E545" s="1242" t="s">
        <v>506</v>
      </c>
      <c r="F545" s="1242"/>
      <c r="G545" s="1242"/>
      <c r="H545" s="1242"/>
      <c r="I545" s="1725"/>
      <c r="J545" s="1242" t="s">
        <v>3162</v>
      </c>
      <c r="K545" s="1242"/>
      <c r="L545" s="1750"/>
      <c r="M545" s="1750"/>
      <c r="N545" s="1242"/>
      <c r="O545" s="1242"/>
      <c r="P545" s="1242"/>
      <c r="Q545" s="1242"/>
      <c r="R545" s="1242"/>
      <c r="S545" s="1242"/>
      <c r="T545" s="1242"/>
      <c r="U545" s="1242"/>
      <c r="V545" s="1242"/>
      <c r="W545" s="1242"/>
      <c r="X545" s="1242"/>
      <c r="Y545" s="1242"/>
      <c r="Z545" s="1750"/>
      <c r="AA545" s="1242"/>
      <c r="AB545" s="1750"/>
      <c r="AC545" s="1242"/>
      <c r="AD545" s="1242"/>
      <c r="AE545" s="1750"/>
      <c r="AF545" s="1242" t="s">
        <v>3160</v>
      </c>
      <c r="AG545" s="1242"/>
      <c r="AH545" s="1242"/>
      <c r="AI545" s="1242"/>
      <c r="AJ545" s="1242"/>
      <c r="AK545" s="1242"/>
      <c r="AL545" s="1242"/>
      <c r="AM545" s="1242"/>
      <c r="AN545" s="1242"/>
      <c r="AO545" s="1242"/>
      <c r="AP545" s="1242" t="s">
        <v>461</v>
      </c>
      <c r="AQ545" s="1242"/>
      <c r="AR545" s="143"/>
    </row>
    <row r="546" spans="1:44" ht="15" customHeight="1">
      <c r="A546" s="1751">
        <f t="shared" ref="A546:A550" si="3">IF(AJ546="&lt;",10^9,ROW())</f>
        <v>1000000000</v>
      </c>
      <c r="C546" s="124" t="s">
        <v>591</v>
      </c>
      <c r="D546" s="170"/>
      <c r="E546" s="170" t="s">
        <v>502</v>
      </c>
      <c r="G546" s="170"/>
      <c r="H546" s="170"/>
      <c r="I546" s="170"/>
      <c r="J546" s="1656" t="s">
        <v>3270</v>
      </c>
      <c r="K546" s="170"/>
      <c r="L546" s="143"/>
      <c r="M546" s="116"/>
      <c r="N546" s="170"/>
      <c r="O546" s="1730"/>
      <c r="P546" s="170"/>
      <c r="Q546" s="170"/>
      <c r="R546" s="170"/>
      <c r="S546" s="170"/>
      <c r="T546" s="170"/>
      <c r="U546" s="170"/>
      <c r="V546" s="170"/>
      <c r="W546" s="170"/>
      <c r="X546" s="170"/>
      <c r="Y546" s="170"/>
      <c r="Z546" s="170"/>
      <c r="AA546" s="170"/>
      <c r="AB546" s="170"/>
      <c r="AC546" s="1730"/>
      <c r="AD546" s="170"/>
      <c r="AE546" s="1740"/>
      <c r="AF546" s="2270">
        <f>+AK523+AK527+IF(AE464=0,0,AE468/AE464*AK531)+AE468/AE456*AK524</f>
        <v>35914.376840361751</v>
      </c>
      <c r="AG546" s="2270"/>
      <c r="AH546" s="2270"/>
      <c r="AI546" s="2270"/>
      <c r="AJ546" s="268" t="str">
        <f>IF(AF546&gt;=AK546,"&gt;","&lt;")</f>
        <v>&lt;</v>
      </c>
      <c r="AK546" s="2271">
        <f>(AE456-AE468)*AK524/AE456+AK526+AK522+AK528+AK529</f>
        <v>79766.339168488528</v>
      </c>
      <c r="AL546" s="2271"/>
      <c r="AM546" s="2271"/>
      <c r="AN546" s="2271"/>
      <c r="AO546" s="122"/>
      <c r="AP546" s="122" t="str">
        <f>IF(AND(AJ546="&gt;",A546=MIN(A546:A550)),"◀","")</f>
        <v/>
      </c>
      <c r="AQ546" s="122"/>
      <c r="AR546" s="143"/>
    </row>
    <row r="547" spans="1:44" ht="15" customHeight="1">
      <c r="A547" s="1751">
        <f t="shared" si="3"/>
        <v>1000000000</v>
      </c>
      <c r="C547" s="124" t="s">
        <v>592</v>
      </c>
      <c r="D547" s="170"/>
      <c r="E547" s="1671" t="s">
        <v>503</v>
      </c>
      <c r="G547" s="170"/>
      <c r="H547" s="170"/>
      <c r="I547" s="170"/>
      <c r="J547" s="1656" t="s">
        <v>3271</v>
      </c>
      <c r="K547" s="170"/>
      <c r="L547" s="143"/>
      <c r="M547" s="116"/>
      <c r="N547" s="170"/>
      <c r="O547" s="1730"/>
      <c r="P547" s="170"/>
      <c r="Q547" s="170"/>
      <c r="R547" s="170"/>
      <c r="S547" s="170"/>
      <c r="T547" s="170"/>
      <c r="U547" s="170"/>
      <c r="V547" s="170"/>
      <c r="W547" s="170"/>
      <c r="X547" s="170"/>
      <c r="Y547" s="170"/>
      <c r="Z547" s="170"/>
      <c r="AA547" s="170"/>
      <c r="AB547" s="170"/>
      <c r="AC547" s="1730"/>
      <c r="AD547" s="170"/>
      <c r="AE547" s="1740"/>
      <c r="AF547" s="2270">
        <f>+AK523+AK527+AK531+AE464/AE456*AK524</f>
        <v>71644.513151356572</v>
      </c>
      <c r="AG547" s="2270"/>
      <c r="AH547" s="2270"/>
      <c r="AI547" s="2270"/>
      <c r="AJ547" s="268" t="str">
        <f t="shared" ref="AJ547:AJ550" si="4">IF(AF547&gt;=AK547,"&gt;","&lt;")</f>
        <v>&lt;</v>
      </c>
      <c r="AK547" s="2271">
        <f>(AE456-AE464)/AE456*AK524+AK526+AK522+AK528+AK529</f>
        <v>75358.702857493714</v>
      </c>
      <c r="AL547" s="2271"/>
      <c r="AM547" s="2271"/>
      <c r="AN547" s="2271"/>
      <c r="AO547" s="122"/>
      <c r="AP547" s="122" t="str">
        <f>IF(AND(AJ547="&gt;",A547=MIN(A546:A550)),"◀","")</f>
        <v/>
      </c>
      <c r="AQ547" s="122"/>
      <c r="AR547" s="143"/>
    </row>
    <row r="548" spans="1:44" ht="15" customHeight="1">
      <c r="A548" s="1751">
        <f t="shared" si="3"/>
        <v>548</v>
      </c>
      <c r="C548" s="124" t="s">
        <v>528</v>
      </c>
      <c r="D548" s="170"/>
      <c r="E548" s="170" t="s">
        <v>3243</v>
      </c>
      <c r="G548" s="170"/>
      <c r="H548" s="170"/>
      <c r="I548" s="170"/>
      <c r="J548" s="1656" t="s">
        <v>3247</v>
      </c>
      <c r="K548" s="116"/>
      <c r="L548" s="143"/>
      <c r="M548" s="116"/>
      <c r="N548" s="170"/>
      <c r="O548" s="173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/>
      <c r="AB548" s="170"/>
      <c r="AC548" s="1730"/>
      <c r="AD548" s="170"/>
      <c r="AE548" s="1740"/>
      <c r="AF548" s="2270">
        <f>+AK523+AK527+AK530+AK531+(AE456-AE471)/AE456*AK524</f>
        <v>100102.379965192</v>
      </c>
      <c r="AG548" s="2270"/>
      <c r="AH548" s="2270"/>
      <c r="AI548" s="2270"/>
      <c r="AJ548" s="268" t="str">
        <f t="shared" si="4"/>
        <v>&gt;</v>
      </c>
      <c r="AK548" s="2271">
        <f>+AK526+AK522+AK528+AK529</f>
        <v>49313.579201615241</v>
      </c>
      <c r="AL548" s="2271"/>
      <c r="AM548" s="2271"/>
      <c r="AN548" s="2271"/>
      <c r="AO548" s="122"/>
      <c r="AP548" s="122" t="str">
        <f>IF(AND(AJ548="&gt;",A548=MIN(A546:A550)),"◀","")</f>
        <v>◀</v>
      </c>
      <c r="AQ548" s="122"/>
      <c r="AR548" s="143"/>
    </row>
    <row r="549" spans="1:44" ht="15" customHeight="1">
      <c r="A549" s="1751">
        <f t="shared" si="3"/>
        <v>549</v>
      </c>
      <c r="C549" s="124" t="s">
        <v>3244</v>
      </c>
      <c r="D549" s="170"/>
      <c r="E549" s="170" t="s">
        <v>501</v>
      </c>
      <c r="G549" s="170"/>
      <c r="H549" s="170"/>
      <c r="I549" s="170"/>
      <c r="J549" s="1656" t="s">
        <v>3272</v>
      </c>
      <c r="K549" s="116"/>
      <c r="L549" s="143"/>
      <c r="M549" s="116"/>
      <c r="N549" s="170"/>
      <c r="O549" s="173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/>
      <c r="AB549" s="170"/>
      <c r="AC549" s="1730"/>
      <c r="AD549" s="170"/>
      <c r="AE549" s="1740"/>
      <c r="AF549" s="2270">
        <f>+AK523+AK527+AK530+AK531+AK524+AK526</f>
        <v>100102.379965192</v>
      </c>
      <c r="AG549" s="2270"/>
      <c r="AH549" s="2270"/>
      <c r="AI549" s="2270"/>
      <c r="AJ549" s="268" t="str">
        <f t="shared" si="4"/>
        <v>&gt;</v>
      </c>
      <c r="AK549" s="2271">
        <f>+AK522+AK528+AK529</f>
        <v>49313.579201615241</v>
      </c>
      <c r="AL549" s="2271"/>
      <c r="AM549" s="2271"/>
      <c r="AN549" s="2271"/>
      <c r="AO549" s="122"/>
      <c r="AP549" s="122" t="str">
        <f>IF(AND(AJ549="&gt;",A549=MIN(A546:A550)),"◀","")</f>
        <v/>
      </c>
      <c r="AQ549" s="122"/>
      <c r="AR549" s="143"/>
    </row>
    <row r="550" spans="1:44" ht="15" customHeight="1">
      <c r="A550" s="1751">
        <f t="shared" si="3"/>
        <v>550</v>
      </c>
      <c r="C550" s="1335" t="s">
        <v>3245</v>
      </c>
      <c r="D550" s="1333"/>
      <c r="E550" s="1333" t="s">
        <v>504</v>
      </c>
      <c r="F550" s="1333"/>
      <c r="G550" s="1333"/>
      <c r="H550" s="1333"/>
      <c r="I550" s="1333"/>
      <c r="J550" s="1657" t="s">
        <v>3251</v>
      </c>
      <c r="K550" s="1685"/>
      <c r="L550" s="1333"/>
      <c r="M550" s="1685"/>
      <c r="N550" s="1333"/>
      <c r="O550" s="1733"/>
      <c r="P550" s="1333"/>
      <c r="Q550" s="1333"/>
      <c r="R550" s="1333"/>
      <c r="S550" s="1333"/>
      <c r="T550" s="1333"/>
      <c r="U550" s="1333"/>
      <c r="V550" s="1333"/>
      <c r="W550" s="1333"/>
      <c r="X550" s="1333"/>
      <c r="Y550" s="1333"/>
      <c r="Z550" s="1333"/>
      <c r="AA550" s="1333"/>
      <c r="AB550" s="1333"/>
      <c r="AC550" s="1733"/>
      <c r="AD550" s="1333"/>
      <c r="AE550" s="1741"/>
      <c r="AF550" s="2272">
        <f>+AK523+AK527+AK530+AK531+AK524+AK526+AK522</f>
        <v>144182.379965192</v>
      </c>
      <c r="AG550" s="2272"/>
      <c r="AH550" s="2272"/>
      <c r="AI550" s="2272"/>
      <c r="AJ550" s="1753" t="str">
        <f t="shared" si="4"/>
        <v>&gt;</v>
      </c>
      <c r="AK550" s="2273">
        <f>AK529+AK528</f>
        <v>5233.5792016152354</v>
      </c>
      <c r="AL550" s="2273"/>
      <c r="AM550" s="2273"/>
      <c r="AN550" s="2273"/>
      <c r="AO550" s="1437"/>
      <c r="AP550" s="1437" t="str">
        <f>IF(AND(AJ550="&gt;",A550=MIN(A546:A550)),"◀","")</f>
        <v/>
      </c>
      <c r="AQ550" s="1437"/>
      <c r="AR550" s="143"/>
    </row>
    <row r="551" spans="1:44" ht="15" customHeight="1">
      <c r="A551" s="1751"/>
      <c r="B551" s="1177"/>
      <c r="C551" s="124"/>
      <c r="D551" s="170"/>
      <c r="E551" s="170"/>
      <c r="F551" s="1671"/>
      <c r="G551" s="170"/>
      <c r="H551" s="170"/>
      <c r="I551" s="170"/>
      <c r="J551" s="116"/>
      <c r="K551" s="1671"/>
      <c r="L551" s="116"/>
      <c r="M551" s="170"/>
      <c r="N551" s="170"/>
      <c r="O551" s="1730"/>
      <c r="P551" s="170"/>
      <c r="Q551" s="170"/>
      <c r="R551" s="170"/>
      <c r="S551" s="170"/>
      <c r="T551" s="170"/>
      <c r="U551" s="170"/>
      <c r="V551" s="170"/>
      <c r="W551" s="170"/>
      <c r="X551" s="170"/>
      <c r="Y551" s="170"/>
      <c r="Z551" s="170"/>
      <c r="AA551" s="170"/>
      <c r="AB551" s="170"/>
      <c r="AC551" s="1730"/>
      <c r="AD551" s="170"/>
      <c r="AE551" s="1740"/>
      <c r="AF551" s="1738"/>
      <c r="AG551" s="1738"/>
      <c r="AH551" s="1738"/>
      <c r="AI551" s="1738"/>
      <c r="AJ551" s="268"/>
      <c r="AK551" s="1740"/>
      <c r="AL551" s="1740"/>
      <c r="AM551" s="1740"/>
      <c r="AN551" s="1740"/>
      <c r="AO551" s="122"/>
      <c r="AP551" s="122"/>
      <c r="AQ551" s="122"/>
      <c r="AR551" s="143"/>
    </row>
    <row r="552" spans="1:44" ht="15" customHeight="1">
      <c r="A552" s="1182"/>
      <c r="B552" s="1177"/>
      <c r="C552" s="143" t="s">
        <v>3187</v>
      </c>
      <c r="D552" s="143" t="s">
        <v>3188</v>
      </c>
      <c r="G552" s="4"/>
      <c r="H552" s="4"/>
      <c r="I552" s="4"/>
      <c r="K552" s="138" t="s">
        <v>3103</v>
      </c>
      <c r="L552" s="1756" t="str">
        <f>IF(H519="Positive",INDEX(C535:H542,MATCH("◀",AP535:AP542,0),4),INDEX(C546:H550,MATCH("◀",AP546:AP550,0),3))</f>
        <v>In Web</v>
      </c>
      <c r="R552" s="143" t="s">
        <v>3189</v>
      </c>
      <c r="U552" s="1755" t="str">
        <f>IF(H519="Positive",INDEX(C535:H542,MATCH("◀",AP535:AP542,0),1),INDEX(C546:H550,MATCH("◀",AP546:AP550,0),1))</f>
        <v>(8)</v>
      </c>
      <c r="Y552" s="143"/>
      <c r="Z552" s="1643"/>
      <c r="AB552" s="1643"/>
      <c r="AD552" s="73"/>
      <c r="AE552" s="1647"/>
      <c r="AF552" s="73"/>
      <c r="AR552" s="143"/>
    </row>
    <row r="553" spans="1:44" ht="15" customHeight="1">
      <c r="A553" s="1182"/>
      <c r="B553" s="1177"/>
      <c r="G553" s="4"/>
      <c r="H553" s="4"/>
      <c r="I553" s="4"/>
      <c r="L553" s="1643"/>
      <c r="Y553" s="143"/>
      <c r="Z553" s="1643"/>
      <c r="AB553" s="1643"/>
      <c r="AD553" s="73"/>
      <c r="AE553" s="1647"/>
      <c r="AF553" s="73"/>
      <c r="AR553" s="143"/>
    </row>
    <row r="554" spans="1:44" ht="15" customHeight="1">
      <c r="A554" s="1182"/>
      <c r="B554" s="1177" t="s">
        <v>3190</v>
      </c>
      <c r="C554" s="143" t="s">
        <v>3191</v>
      </c>
      <c r="G554" s="4"/>
      <c r="H554" s="4"/>
      <c r="I554" s="4"/>
      <c r="L554" s="1643"/>
      <c r="Y554" s="143"/>
      <c r="Z554" s="1643"/>
      <c r="AB554" s="1643"/>
      <c r="AD554" s="73"/>
      <c r="AE554" s="1647"/>
      <c r="AF554" s="73"/>
      <c r="AR554" s="143"/>
    </row>
    <row r="555" spans="1:44" ht="15" customHeight="1">
      <c r="A555" s="1182"/>
      <c r="B555" s="1177"/>
      <c r="G555" s="4"/>
      <c r="H555" s="4"/>
      <c r="I555" s="4"/>
      <c r="L555" s="1643"/>
      <c r="Y555" s="143"/>
      <c r="Z555" s="1643"/>
      <c r="AB555" s="1643"/>
      <c r="AD555" s="73"/>
      <c r="AE555" s="1647"/>
      <c r="AF555" s="73"/>
      <c r="AR555" s="143"/>
    </row>
    <row r="556" spans="1:44" ht="15" customHeight="1">
      <c r="A556" s="1182"/>
      <c r="B556" s="1177" t="s">
        <v>3221</v>
      </c>
      <c r="C556" s="95" t="s">
        <v>3192</v>
      </c>
      <c r="G556" s="4"/>
      <c r="H556" s="4"/>
      <c r="I556" s="4"/>
      <c r="L556" s="1643"/>
      <c r="Y556" s="143"/>
      <c r="Z556" s="1643"/>
      <c r="AB556" s="1643"/>
      <c r="AD556" s="73"/>
      <c r="AE556" s="1647"/>
      <c r="AF556" s="73"/>
      <c r="AR556" s="143"/>
    </row>
    <row r="557" spans="1:44" ht="15" customHeight="1">
      <c r="A557" s="1182"/>
      <c r="B557" s="1177"/>
      <c r="G557" s="4"/>
      <c r="H557" s="4"/>
      <c r="I557" s="4"/>
      <c r="L557" s="1643"/>
      <c r="Y557" s="143"/>
      <c r="Z557" s="1643"/>
      <c r="AB557" s="1643"/>
      <c r="AD557" s="73"/>
      <c r="AE557" s="1647"/>
      <c r="AF557" s="73"/>
      <c r="AR557" s="143"/>
    </row>
    <row r="558" spans="1:44" ht="15" customHeight="1">
      <c r="A558" s="1182"/>
      <c r="B558" s="1177"/>
      <c r="C558" s="1655" t="s">
        <v>3193</v>
      </c>
      <c r="D558" s="170"/>
      <c r="E558" s="170"/>
      <c r="F558" s="124" t="s">
        <v>3103</v>
      </c>
      <c r="H558" s="1655" t="s">
        <v>3197</v>
      </c>
      <c r="I558" s="170"/>
      <c r="J558" s="170"/>
      <c r="L558" s="1643"/>
      <c r="Y558" s="143"/>
      <c r="Z558" s="1643"/>
      <c r="AB558" s="1643"/>
      <c r="AD558" s="73"/>
      <c r="AE558" s="1647"/>
      <c r="AF558" s="73"/>
      <c r="AR558" s="143"/>
    </row>
    <row r="559" spans="1:44" ht="15" customHeight="1">
      <c r="A559" s="1182"/>
      <c r="B559" s="1177"/>
      <c r="C559" s="1655"/>
      <c r="D559" s="170"/>
      <c r="E559" s="170"/>
      <c r="F559" s="124" t="s">
        <v>3103</v>
      </c>
      <c r="H559" s="2293">
        <f>+AE456</f>
        <v>3200</v>
      </c>
      <c r="I559" s="2294"/>
      <c r="J559" s="2294"/>
      <c r="K559" s="2116" t="s">
        <v>3196</v>
      </c>
      <c r="L559" s="2090">
        <f>+AK523</f>
        <v>20976</v>
      </c>
      <c r="M559" s="2090"/>
      <c r="N559" s="2090"/>
      <c r="O559" s="1335" t="s">
        <v>3194</v>
      </c>
      <c r="P559" s="2090">
        <f>+AK527</f>
        <v>1945.6</v>
      </c>
      <c r="Q559" s="2090"/>
      <c r="R559" s="2090"/>
      <c r="S559" s="1335" t="s">
        <v>3194</v>
      </c>
      <c r="T559" s="2090">
        <f>+AK530</f>
        <v>2412.7431579569611</v>
      </c>
      <c r="U559" s="2090"/>
      <c r="V559" s="2090"/>
      <c r="W559" s="1335" t="s">
        <v>3195</v>
      </c>
      <c r="X559" s="2090">
        <f>+AK526</f>
        <v>0</v>
      </c>
      <c r="Y559" s="2090"/>
      <c r="Z559" s="2090"/>
      <c r="AA559" s="1335" t="s">
        <v>3195</v>
      </c>
      <c r="AB559" s="2149">
        <f>+AK522</f>
        <v>44080</v>
      </c>
      <c r="AC559" s="2149"/>
      <c r="AD559" s="2149"/>
      <c r="AE559" s="1335" t="s">
        <v>3195</v>
      </c>
      <c r="AF559" s="2090">
        <f>+AK525</f>
        <v>47019.875</v>
      </c>
      <c r="AG559" s="2090"/>
      <c r="AH559" s="2090"/>
      <c r="AI559" s="1758" t="s">
        <v>3195</v>
      </c>
      <c r="AJ559" s="2149">
        <f>+AK529</f>
        <v>2171.4688421612645</v>
      </c>
      <c r="AK559" s="2149"/>
      <c r="AL559" s="2149"/>
      <c r="AM559" s="1433" t="s">
        <v>3195</v>
      </c>
      <c r="AN559" s="2149">
        <f>+AK528</f>
        <v>3062.1103594539709</v>
      </c>
      <c r="AO559" s="2149"/>
      <c r="AP559" s="2149"/>
      <c r="AQ559" s="2122" t="s">
        <v>3198</v>
      </c>
      <c r="AR559" s="2122"/>
    </row>
    <row r="560" spans="1:44" ht="15" customHeight="1">
      <c r="A560" s="1182"/>
      <c r="B560" s="1177"/>
      <c r="C560" s="1655"/>
      <c r="D560" s="170"/>
      <c r="E560" s="170"/>
      <c r="F560" s="124"/>
      <c r="H560" s="1655"/>
      <c r="I560" s="170">
        <v>2</v>
      </c>
      <c r="J560" s="170"/>
      <c r="K560" s="2116"/>
      <c r="L560" s="1643"/>
      <c r="Y560" s="2135">
        <f>+AK524</f>
        <v>32055.536807235036</v>
      </c>
      <c r="Z560" s="2135"/>
      <c r="AA560" s="2135"/>
      <c r="AE560" s="1561"/>
      <c r="AF560" s="73"/>
      <c r="AG560" s="1561"/>
      <c r="AQ560" s="2122"/>
      <c r="AR560" s="2122"/>
    </row>
    <row r="561" spans="1:44" ht="15" customHeight="1">
      <c r="A561" s="1182"/>
      <c r="B561" s="1177"/>
      <c r="C561" s="1655"/>
      <c r="D561" s="170"/>
      <c r="E561" s="170"/>
      <c r="F561" s="124" t="s">
        <v>3103</v>
      </c>
      <c r="H561" s="2296">
        <f>+((L559+P559+T559-X559-AB559-AF559-AJ559-AN559)/Y560+1)*H559/I560</f>
        <v>-1943.8051888812445</v>
      </c>
      <c r="I561" s="2296"/>
      <c r="J561" s="2296"/>
      <c r="K561" s="2296"/>
      <c r="L561" s="1643"/>
      <c r="W561" s="1639"/>
      <c r="X561" s="1639"/>
      <c r="Y561" s="1639"/>
      <c r="Z561" s="1643"/>
      <c r="AB561" s="1643"/>
      <c r="AR561" s="143"/>
    </row>
    <row r="562" spans="1:44" ht="15" customHeight="1">
      <c r="A562" s="1182"/>
      <c r="B562" s="1177"/>
      <c r="C562" s="1655"/>
      <c r="D562" s="170"/>
      <c r="E562" s="170"/>
      <c r="F562" s="124"/>
      <c r="H562" s="1770"/>
      <c r="I562" s="1770"/>
      <c r="J562" s="1770"/>
      <c r="K562" s="1770"/>
      <c r="L562" s="1643"/>
      <c r="W562" s="1639"/>
      <c r="X562" s="1639"/>
      <c r="Y562" s="1639"/>
      <c r="Z562" s="1643"/>
      <c r="AB562" s="1643"/>
      <c r="AD562" s="1647"/>
      <c r="AF562" s="1647"/>
      <c r="AR562" s="143"/>
    </row>
    <row r="563" spans="1:44" ht="15" customHeight="1">
      <c r="A563" s="1182"/>
      <c r="B563" s="1655" t="s">
        <v>3218</v>
      </c>
      <c r="C563" s="1655"/>
      <c r="D563" s="170"/>
      <c r="E563" s="170"/>
      <c r="F563" s="124"/>
      <c r="H563" s="1757"/>
      <c r="I563" s="1757"/>
      <c r="J563" s="1757"/>
      <c r="K563" s="1650"/>
      <c r="L563" s="1643"/>
      <c r="W563" s="1639"/>
      <c r="X563" s="1639"/>
      <c r="Y563" s="1639"/>
      <c r="Z563" s="1643"/>
      <c r="AB563" s="1643"/>
      <c r="AD563" s="1647"/>
      <c r="AF563" s="1647"/>
      <c r="AR563" s="143"/>
    </row>
    <row r="564" spans="1:44" ht="20.100000000000001" customHeight="1">
      <c r="A564" s="1182"/>
      <c r="B564" s="1762" t="s">
        <v>3202</v>
      </c>
      <c r="C564" s="1667"/>
      <c r="D564" s="1667"/>
      <c r="E564" s="1667"/>
      <c r="F564" s="1763"/>
      <c r="G564" s="1667"/>
      <c r="H564" s="1764"/>
      <c r="I564" s="1773" t="s">
        <v>3220</v>
      </c>
      <c r="J564" s="1764"/>
      <c r="K564" s="1764"/>
      <c r="L564" s="1764"/>
      <c r="M564" s="1764"/>
      <c r="N564" s="1764"/>
      <c r="O564" s="1764"/>
      <c r="P564" s="1764"/>
      <c r="Q564" s="1764"/>
      <c r="R564" s="1667"/>
      <c r="S564" s="1667"/>
      <c r="T564" s="1667"/>
      <c r="U564" s="1668"/>
      <c r="V564" s="1668"/>
      <c r="W564" s="1668"/>
      <c r="X564" s="1668"/>
      <c r="Y564" s="1667"/>
      <c r="Z564" s="1668"/>
      <c r="AA564" s="1667"/>
      <c r="AB564" s="1668"/>
      <c r="AC564" s="1667"/>
      <c r="AD564" s="1668"/>
      <c r="AE564" s="1667"/>
      <c r="AF564" s="1667"/>
      <c r="AG564" s="1667"/>
      <c r="AH564" s="1667"/>
      <c r="AI564" s="1667"/>
      <c r="AJ564" s="1774"/>
      <c r="AK564" s="1667"/>
      <c r="AL564" s="1772" t="s">
        <v>3219</v>
      </c>
      <c r="AM564" s="1764"/>
      <c r="AN564" s="1764"/>
      <c r="AO564" s="1764"/>
      <c r="AP564" s="1764"/>
      <c r="AQ564" s="1764"/>
      <c r="AR564" s="143"/>
    </row>
    <row r="565" spans="1:44" ht="15" customHeight="1">
      <c r="B565" s="124" t="s">
        <v>3136</v>
      </c>
      <c r="C565" s="1639"/>
      <c r="D565" s="170"/>
      <c r="F565" s="124"/>
      <c r="G565" s="170"/>
      <c r="H565" s="1760"/>
      <c r="I565" s="1721" t="s">
        <v>594</v>
      </c>
      <c r="J565" s="170"/>
      <c r="K565" s="170"/>
      <c r="L565" s="170"/>
      <c r="M565" s="170"/>
      <c r="N565" s="170"/>
      <c r="O565" s="170"/>
      <c r="P565" s="170"/>
      <c r="Q565" s="170"/>
      <c r="R565" s="1642" t="s">
        <v>3103</v>
      </c>
      <c r="S565" s="1862">
        <f>+H561</f>
        <v>-1943.8051888812445</v>
      </c>
      <c r="T565" s="1862"/>
      <c r="U565" s="1862"/>
      <c r="V565" s="124" t="s">
        <v>3194</v>
      </c>
      <c r="W565" s="2094">
        <f>+AE452</f>
        <v>40</v>
      </c>
      <c r="X565" s="1862"/>
      <c r="Y565" s="124" t="s">
        <v>3199</v>
      </c>
      <c r="Z565" s="170">
        <v>2</v>
      </c>
      <c r="AA565" s="170"/>
      <c r="AB565" s="1639"/>
      <c r="AC565" s="170"/>
      <c r="AD565" s="1639"/>
      <c r="AE565" s="170"/>
      <c r="AF565" s="170"/>
      <c r="AG565" s="1642" t="s">
        <v>3103</v>
      </c>
      <c r="AH565" s="1862">
        <f>+S565+W565/2</f>
        <v>-1923.8051888812445</v>
      </c>
      <c r="AI565" s="1862"/>
      <c r="AJ565" s="2292"/>
      <c r="AK565" s="170"/>
      <c r="AL565" s="170" t="s">
        <v>3203</v>
      </c>
      <c r="AM565" s="143"/>
      <c r="AN565" s="76" t="s">
        <v>3103</v>
      </c>
      <c r="AO565" s="2111">
        <f t="shared" ref="AO565:AO572" si="5">+AH565*AK522/1000</f>
        <v>-84801.332725885251</v>
      </c>
      <c r="AP565" s="2111"/>
      <c r="AQ565" s="2111"/>
      <c r="AR565" s="143"/>
    </row>
    <row r="566" spans="1:44" ht="15" customHeight="1">
      <c r="B566" s="124" t="s">
        <v>3137</v>
      </c>
      <c r="C566" s="1639"/>
      <c r="D566" s="170"/>
      <c r="F566" s="124"/>
      <c r="G566" s="170"/>
      <c r="H566" s="1760"/>
      <c r="I566" s="1721" t="s">
        <v>595</v>
      </c>
      <c r="J566" s="170"/>
      <c r="K566" s="170"/>
      <c r="L566" s="170"/>
      <c r="M566" s="170"/>
      <c r="N566" s="170"/>
      <c r="O566" s="170"/>
      <c r="P566" s="170"/>
      <c r="Q566" s="170"/>
      <c r="R566" s="1642" t="s">
        <v>3103</v>
      </c>
      <c r="S566" s="2094">
        <f>+AE456</f>
        <v>3200</v>
      </c>
      <c r="T566" s="1862"/>
      <c r="U566" s="1862"/>
      <c r="V566" s="124" t="s">
        <v>3195</v>
      </c>
      <c r="W566" s="1862">
        <f>+H561</f>
        <v>-1943.8051888812445</v>
      </c>
      <c r="X566" s="1862"/>
      <c r="Y566" s="1862"/>
      <c r="Z566" s="124" t="s">
        <v>3194</v>
      </c>
      <c r="AA566" s="2094">
        <f>+AE454</f>
        <v>30</v>
      </c>
      <c r="AB566" s="1862"/>
      <c r="AC566" s="1642" t="s">
        <v>3199</v>
      </c>
      <c r="AD566" s="1639">
        <v>2</v>
      </c>
      <c r="AE566" s="1639"/>
      <c r="AF566" s="170"/>
      <c r="AG566" s="1642" t="s">
        <v>3103</v>
      </c>
      <c r="AH566" s="1862">
        <f>+S566-W566+AA566/2</f>
        <v>5158.8051888812442</v>
      </c>
      <c r="AI566" s="1862"/>
      <c r="AJ566" s="2292"/>
      <c r="AK566" s="170"/>
      <c r="AL566" s="170" t="s">
        <v>3204</v>
      </c>
      <c r="AM566" s="143"/>
      <c r="AN566" s="76" t="s">
        <v>3103</v>
      </c>
      <c r="AO566" s="2111">
        <f t="shared" si="5"/>
        <v>108211.09764197297</v>
      </c>
      <c r="AP566" s="2111"/>
      <c r="AQ566" s="2111"/>
      <c r="AR566" s="143"/>
    </row>
    <row r="567" spans="1:44" ht="15" customHeight="1">
      <c r="B567" s="124" t="s">
        <v>3138</v>
      </c>
      <c r="C567" s="1639"/>
      <c r="D567" s="170"/>
      <c r="F567" s="124"/>
      <c r="G567" s="170"/>
      <c r="H567" s="1760"/>
      <c r="I567" s="1775" t="s">
        <v>3214</v>
      </c>
      <c r="J567" s="170"/>
      <c r="K567" s="170"/>
      <c r="L567" s="170"/>
      <c r="M567" s="170"/>
      <c r="N567" s="170"/>
      <c r="O567" s="170"/>
      <c r="P567" s="170"/>
      <c r="Q567" s="170"/>
      <c r="R567" s="1642" t="s">
        <v>3103</v>
      </c>
      <c r="S567" s="170" t="str">
        <f>"["&amp;ROUND(H561,1)&amp;"² + ("&amp;AE456&amp;" - "&amp;ROUND(H561,1)&amp;")² ]/2/"&amp;AE456</f>
        <v>[-1943.8² + (3200 - -1943.8)² ]/2/3200</v>
      </c>
      <c r="T567" s="115"/>
      <c r="U567" s="115"/>
      <c r="V567" s="1639"/>
      <c r="W567" s="170"/>
      <c r="X567" s="1765"/>
      <c r="Y567" s="115"/>
      <c r="Z567" s="115"/>
      <c r="AA567" s="124"/>
      <c r="AB567" s="115"/>
      <c r="AC567" s="115"/>
      <c r="AD567" s="115"/>
      <c r="AE567" s="170"/>
      <c r="AF567" s="170"/>
      <c r="AG567" s="1642" t="s">
        <v>3103</v>
      </c>
      <c r="AH567" s="1862">
        <f>+(H561^2+(AE456-H561)^2)/2/AE456</f>
        <v>4724.5485052317599</v>
      </c>
      <c r="AI567" s="1862"/>
      <c r="AJ567" s="2292"/>
      <c r="AK567" s="170"/>
      <c r="AL567" s="124" t="s">
        <v>3215</v>
      </c>
      <c r="AM567" s="143"/>
      <c r="AN567" s="76" t="s">
        <v>3103</v>
      </c>
      <c r="AO567" s="2111">
        <f t="shared" si="5"/>
        <v>151447.93850702397</v>
      </c>
      <c r="AP567" s="2111"/>
      <c r="AQ567" s="2111"/>
      <c r="AR567" s="143"/>
    </row>
    <row r="568" spans="1:44" ht="15" customHeight="1">
      <c r="B568" s="124" t="s">
        <v>3139</v>
      </c>
      <c r="C568" s="1639"/>
      <c r="D568" s="170"/>
      <c r="F568" s="124"/>
      <c r="G568" s="170"/>
      <c r="H568" s="1760"/>
      <c r="I568" s="1721" t="s">
        <v>1983</v>
      </c>
      <c r="J568" s="170"/>
      <c r="K568" s="170"/>
      <c r="L568" s="170"/>
      <c r="M568" s="170"/>
      <c r="N568" s="170"/>
      <c r="O568" s="170"/>
      <c r="P568" s="170"/>
      <c r="Q568" s="170"/>
      <c r="R568" s="1642" t="s">
        <v>3103</v>
      </c>
      <c r="S568" s="2094">
        <f>+H561</f>
        <v>-1943.8051888812445</v>
      </c>
      <c r="T568" s="1862"/>
      <c r="U568" s="1862"/>
      <c r="V568" s="124" t="s">
        <v>3194</v>
      </c>
      <c r="W568" s="2094">
        <f>+AE463</f>
        <v>0</v>
      </c>
      <c r="X568" s="1862"/>
      <c r="Y568" s="124" t="s">
        <v>3194</v>
      </c>
      <c r="Z568" s="2094">
        <f>+AE462</f>
        <v>290</v>
      </c>
      <c r="AA568" s="1862"/>
      <c r="AB568" s="1862"/>
      <c r="AC568" s="1642" t="s">
        <v>3199</v>
      </c>
      <c r="AD568" s="1639">
        <v>2</v>
      </c>
      <c r="AE568" s="1639"/>
      <c r="AF568" s="170"/>
      <c r="AG568" s="1642" t="s">
        <v>3103</v>
      </c>
      <c r="AH568" s="1862">
        <f>S568+W568+Z568/2</f>
        <v>-1798.8051888812445</v>
      </c>
      <c r="AI568" s="1862"/>
      <c r="AJ568" s="2292"/>
      <c r="AK568" s="170"/>
      <c r="AL568" s="170" t="s">
        <v>3205</v>
      </c>
      <c r="AM568" s="143"/>
      <c r="AN568" s="76" t="s">
        <v>3103</v>
      </c>
      <c r="AO568" s="2111">
        <f t="shared" si="5"/>
        <v>-84579.595130547503</v>
      </c>
      <c r="AP568" s="2111"/>
      <c r="AQ568" s="2111"/>
      <c r="AR568" s="143"/>
    </row>
    <row r="569" spans="1:44" ht="15" customHeight="1">
      <c r="B569" s="124" t="s">
        <v>3141</v>
      </c>
      <c r="C569" s="1639"/>
      <c r="D569" s="170"/>
      <c r="F569" s="124"/>
      <c r="G569" s="170"/>
      <c r="H569" s="1760"/>
      <c r="I569" s="1721" t="s">
        <v>1982</v>
      </c>
      <c r="J569" s="170"/>
      <c r="K569" s="170"/>
      <c r="L569" s="170"/>
      <c r="M569" s="170"/>
      <c r="N569" s="170"/>
      <c r="O569" s="170"/>
      <c r="P569" s="170"/>
      <c r="Q569" s="170"/>
      <c r="R569" s="1642" t="s">
        <v>3103</v>
      </c>
      <c r="S569" s="2094">
        <f>+H561</f>
        <v>-1943.8051888812445</v>
      </c>
      <c r="T569" s="1862"/>
      <c r="U569" s="1862"/>
      <c r="V569" s="124" t="s">
        <v>3195</v>
      </c>
      <c r="W569" s="2094">
        <f>+AE471</f>
        <v>0</v>
      </c>
      <c r="X569" s="1862"/>
      <c r="Y569" s="1862"/>
      <c r="Z569" s="124" t="s">
        <v>3199</v>
      </c>
      <c r="AA569" s="170">
        <v>2</v>
      </c>
      <c r="AB569" s="1639"/>
      <c r="AC569" s="1639"/>
      <c r="AD569" s="1639"/>
      <c r="AE569" s="1639"/>
      <c r="AF569" s="170"/>
      <c r="AG569" s="1642" t="s">
        <v>3103</v>
      </c>
      <c r="AH569" s="1862">
        <f>+S569-W569/2</f>
        <v>-1943.8051888812445</v>
      </c>
      <c r="AI569" s="1862"/>
      <c r="AJ569" s="2292"/>
      <c r="AK569" s="170"/>
      <c r="AL569" s="170" t="s">
        <v>3206</v>
      </c>
      <c r="AM569" s="143"/>
      <c r="AN569" s="76" t="s">
        <v>3103</v>
      </c>
      <c r="AO569" s="2111">
        <f t="shared" si="5"/>
        <v>0</v>
      </c>
      <c r="AP569" s="2111"/>
      <c r="AQ569" s="2111"/>
      <c r="AR569" s="143"/>
    </row>
    <row r="570" spans="1:44" ht="15" customHeight="1">
      <c r="B570" s="124" t="s">
        <v>3140</v>
      </c>
      <c r="C570" s="1639"/>
      <c r="D570" s="170"/>
      <c r="F570" s="124"/>
      <c r="G570" s="170"/>
      <c r="H570" s="1760"/>
      <c r="I570" s="1721" t="s">
        <v>1981</v>
      </c>
      <c r="J570" s="170"/>
      <c r="K570" s="170"/>
      <c r="L570" s="170"/>
      <c r="M570" s="170"/>
      <c r="N570" s="170"/>
      <c r="O570" s="170"/>
      <c r="P570" s="170"/>
      <c r="Q570" s="170"/>
      <c r="R570" s="1642" t="s">
        <v>3103</v>
      </c>
      <c r="S570" s="2094">
        <f>+AE456</f>
        <v>3200</v>
      </c>
      <c r="T570" s="1862"/>
      <c r="U570" s="1862"/>
      <c r="V570" s="124" t="s">
        <v>3195</v>
      </c>
      <c r="W570" s="1862">
        <f>+H561</f>
        <v>-1943.8051888812445</v>
      </c>
      <c r="X570" s="1862"/>
      <c r="Y570" s="1862"/>
      <c r="Z570" s="124" t="s">
        <v>3195</v>
      </c>
      <c r="AA570" s="2094">
        <f>+AE468</f>
        <v>160</v>
      </c>
      <c r="AB570" s="1862"/>
      <c r="AC570" s="1642" t="s">
        <v>3199</v>
      </c>
      <c r="AD570" s="1639">
        <v>2</v>
      </c>
      <c r="AE570" s="1639"/>
      <c r="AF570" s="170"/>
      <c r="AG570" s="1642" t="s">
        <v>3103</v>
      </c>
      <c r="AH570" s="1862">
        <f>+S570-W570-AA570/2</f>
        <v>5063.8051888812442</v>
      </c>
      <c r="AI570" s="1862"/>
      <c r="AJ570" s="2292"/>
      <c r="AK570" s="170"/>
      <c r="AL570" s="170" t="s">
        <v>3207</v>
      </c>
      <c r="AM570" s="143"/>
      <c r="AN570" s="76" t="s">
        <v>3103</v>
      </c>
      <c r="AO570" s="2111">
        <f t="shared" si="5"/>
        <v>9852.1393754873479</v>
      </c>
      <c r="AP570" s="2111"/>
      <c r="AQ570" s="2111"/>
      <c r="AR570" s="143"/>
    </row>
    <row r="571" spans="1:44" ht="15" customHeight="1">
      <c r="B571" s="124" t="s">
        <v>3142</v>
      </c>
      <c r="C571" s="1639"/>
      <c r="D571" s="170"/>
      <c r="F571" s="124"/>
      <c r="G571" s="170"/>
      <c r="H571" s="1760"/>
      <c r="I571" s="1721" t="s">
        <v>1985</v>
      </c>
      <c r="J571" s="170"/>
      <c r="K571" s="170"/>
      <c r="L571" s="170"/>
      <c r="M571" s="170"/>
      <c r="N571" s="170"/>
      <c r="O571" s="170"/>
      <c r="P571" s="170"/>
      <c r="Q571" s="170"/>
      <c r="R571" s="1642" t="s">
        <v>3103</v>
      </c>
      <c r="S571" s="2094">
        <f>+H561</f>
        <v>-1943.8051888812445</v>
      </c>
      <c r="T571" s="1862"/>
      <c r="U571" s="1862"/>
      <c r="V571" s="124" t="s">
        <v>3194</v>
      </c>
      <c r="W571" s="2094">
        <f>+AE463</f>
        <v>0</v>
      </c>
      <c r="X571" s="1862"/>
      <c r="Y571" s="124" t="s">
        <v>3194</v>
      </c>
      <c r="Z571" s="2094">
        <f>+AE462</f>
        <v>290</v>
      </c>
      <c r="AA571" s="1862"/>
      <c r="AB571" s="1862"/>
      <c r="AC571" s="1642" t="s">
        <v>3195</v>
      </c>
      <c r="AD571" s="2093">
        <f>+AE448</f>
        <v>50</v>
      </c>
      <c r="AE571" s="1862"/>
      <c r="AF571" s="1862"/>
      <c r="AG571" s="1642" t="s">
        <v>3103</v>
      </c>
      <c r="AH571" s="2096">
        <f>+S571+W571+Z571-AD571</f>
        <v>-1703.8051888812445</v>
      </c>
      <c r="AI571" s="2096"/>
      <c r="AJ571" s="2251"/>
      <c r="AK571" s="170"/>
      <c r="AL571" s="170" t="s">
        <v>3208</v>
      </c>
      <c r="AM571" s="143"/>
      <c r="AN571" s="76" t="s">
        <v>3103</v>
      </c>
      <c r="AO571" s="2111">
        <f t="shared" si="5"/>
        <v>-5217.2395193646889</v>
      </c>
      <c r="AP571" s="2111"/>
      <c r="AQ571" s="2111"/>
      <c r="AR571" s="143"/>
    </row>
    <row r="572" spans="1:44" ht="15" customHeight="1">
      <c r="B572" s="124" t="s">
        <v>3143</v>
      </c>
      <c r="C572" s="1639"/>
      <c r="D572" s="170"/>
      <c r="F572" s="124"/>
      <c r="G572" s="170"/>
      <c r="H572" s="1760"/>
      <c r="I572" s="1721" t="s">
        <v>3201</v>
      </c>
      <c r="J572" s="170"/>
      <c r="K572" s="170"/>
      <c r="L572" s="170"/>
      <c r="M572" s="170"/>
      <c r="N572" s="170"/>
      <c r="O572" s="170"/>
      <c r="P572" s="170"/>
      <c r="Q572" s="170"/>
      <c r="R572" s="1642" t="s">
        <v>3103</v>
      </c>
      <c r="S572" s="2094">
        <f>+H561</f>
        <v>-1943.8051888812445</v>
      </c>
      <c r="T572" s="1862"/>
      <c r="U572" s="1862"/>
      <c r="V572" s="124" t="s">
        <v>3194</v>
      </c>
      <c r="W572" s="2094">
        <f>+AE463</f>
        <v>0</v>
      </c>
      <c r="X572" s="1862"/>
      <c r="Y572" s="124" t="s">
        <v>3194</v>
      </c>
      <c r="Z572" s="2094">
        <f>+AE462</f>
        <v>290</v>
      </c>
      <c r="AA572" s="1862"/>
      <c r="AB572" s="1862"/>
      <c r="AC572" s="1642" t="s">
        <v>3195</v>
      </c>
      <c r="AD572" s="2093">
        <f>+AE449</f>
        <v>250</v>
      </c>
      <c r="AE572" s="1862"/>
      <c r="AF572" s="1862"/>
      <c r="AG572" s="1642" t="s">
        <v>3103</v>
      </c>
      <c r="AH572" s="2248">
        <f>+S572+W572+Z572-AD572</f>
        <v>-1903.8051888812445</v>
      </c>
      <c r="AI572" s="2248"/>
      <c r="AJ572" s="2249"/>
      <c r="AK572" s="170"/>
      <c r="AL572" s="170" t="s">
        <v>3209</v>
      </c>
      <c r="AM572" s="143"/>
      <c r="AN572" s="76" t="s">
        <v>3103</v>
      </c>
      <c r="AO572" s="2111">
        <f t="shared" si="5"/>
        <v>-4134.0536492005631</v>
      </c>
      <c r="AP572" s="2111"/>
      <c r="AQ572" s="2111"/>
      <c r="AR572" s="143"/>
    </row>
    <row r="573" spans="1:44" ht="15" customHeight="1">
      <c r="B573" s="124" t="s">
        <v>3144</v>
      </c>
      <c r="C573" s="170"/>
      <c r="D573" s="170"/>
      <c r="F573" s="124"/>
      <c r="G573" s="170"/>
      <c r="H573" s="1760"/>
      <c r="I573" s="1776"/>
      <c r="J573" s="170"/>
      <c r="K573" s="170"/>
      <c r="L573" s="170"/>
      <c r="M573" s="170"/>
      <c r="N573" s="170"/>
      <c r="O573" s="170"/>
      <c r="P573" s="170"/>
      <c r="Q573" s="170"/>
      <c r="R573" s="170"/>
      <c r="S573" s="170"/>
      <c r="T573" s="170"/>
      <c r="U573" s="1639"/>
      <c r="V573" s="1639"/>
      <c r="W573" s="1639"/>
      <c r="X573" s="1639"/>
      <c r="Y573" s="170"/>
      <c r="Z573" s="1639"/>
      <c r="AA573" s="170"/>
      <c r="AB573" s="1644"/>
      <c r="AC573" s="122"/>
      <c r="AD573" s="1644"/>
      <c r="AE573" s="122"/>
      <c r="AF573" s="122"/>
      <c r="AG573" s="122"/>
      <c r="AH573" s="122"/>
      <c r="AI573" s="122"/>
      <c r="AJ573" s="1777"/>
      <c r="AK573" s="170"/>
      <c r="AL573" s="1760"/>
      <c r="AM573" s="143"/>
      <c r="AN573" s="76"/>
      <c r="AO573" s="2111"/>
      <c r="AP573" s="2111"/>
      <c r="AQ573" s="2111"/>
      <c r="AR573" s="143"/>
    </row>
    <row r="574" spans="1:44" ht="15" customHeight="1">
      <c r="B574" s="1335" t="s">
        <v>3128</v>
      </c>
      <c r="C574" s="1333"/>
      <c r="D574" s="1333"/>
      <c r="E574" s="1333"/>
      <c r="F574" s="1335"/>
      <c r="G574" s="1333"/>
      <c r="H574" s="1761"/>
      <c r="I574" s="1778" t="s">
        <v>1720</v>
      </c>
      <c r="J574" s="1333"/>
      <c r="K574" s="1333"/>
      <c r="L574" s="1333"/>
      <c r="M574" s="1333"/>
      <c r="N574" s="1333"/>
      <c r="O574" s="1333"/>
      <c r="P574" s="1333"/>
      <c r="Q574" s="1333"/>
      <c r="R574" s="1480" t="s">
        <v>3103</v>
      </c>
      <c r="S574" s="2180">
        <f>+AE456</f>
        <v>3200</v>
      </c>
      <c r="T574" s="2090"/>
      <c r="U574" s="2090"/>
      <c r="V574" s="1335" t="s">
        <v>3195</v>
      </c>
      <c r="W574" s="2090">
        <f>+H561</f>
        <v>-1943.8051888812445</v>
      </c>
      <c r="X574" s="2090"/>
      <c r="Y574" s="2090"/>
      <c r="Z574" s="1335" t="s">
        <v>3195</v>
      </c>
      <c r="AA574" s="2180">
        <f>+AE464</f>
        <v>600</v>
      </c>
      <c r="AB574" s="2090"/>
      <c r="AC574" s="2090"/>
      <c r="AD574" s="1480" t="s">
        <v>3199</v>
      </c>
      <c r="AE574" s="1646">
        <v>2</v>
      </c>
      <c r="AF574" s="1333"/>
      <c r="AG574" s="1480" t="s">
        <v>3103</v>
      </c>
      <c r="AH574" s="2104">
        <f>S574-W574-AA574/2</f>
        <v>4843.8051888812442</v>
      </c>
      <c r="AI574" s="2104"/>
      <c r="AJ574" s="2245"/>
      <c r="AK574" s="1333"/>
      <c r="AL574" s="1333" t="s">
        <v>3210</v>
      </c>
      <c r="AM574" s="1333"/>
      <c r="AN574" s="1433" t="s">
        <v>3103</v>
      </c>
      <c r="AO574" s="2149">
        <f>+AH574*AK531/1000</f>
        <v>206891.02913009014</v>
      </c>
      <c r="AP574" s="2149"/>
      <c r="AQ574" s="2149"/>
      <c r="AR574" s="143"/>
    </row>
    <row r="575" spans="1:44" ht="15" customHeight="1">
      <c r="A575" s="1182"/>
      <c r="B575" s="1177"/>
      <c r="C575" s="1655"/>
      <c r="D575" s="170"/>
      <c r="E575" s="170"/>
      <c r="F575" s="124"/>
      <c r="H575" s="1757"/>
      <c r="I575" s="1757"/>
      <c r="J575" s="1757"/>
      <c r="K575" s="1650"/>
      <c r="L575" s="1643"/>
      <c r="X575" s="1639"/>
      <c r="Y575" s="1639"/>
      <c r="Z575" s="1639"/>
      <c r="AA575" s="1643"/>
      <c r="AB575" s="143"/>
      <c r="AC575" s="1643"/>
      <c r="AD575" s="143"/>
      <c r="AE575" s="1647"/>
      <c r="AF575" s="73"/>
      <c r="AG575" s="1647"/>
      <c r="AI575" s="1648" t="s">
        <v>3211</v>
      </c>
      <c r="AJ575" s="143"/>
      <c r="AN575" s="76" t="s">
        <v>3103</v>
      </c>
      <c r="AO575" s="2246">
        <f>+SUM(AO565:AQ574)</f>
        <v>297669.9836295764</v>
      </c>
      <c r="AP575" s="2246"/>
      <c r="AQ575" s="2246"/>
      <c r="AR575" s="2246"/>
    </row>
    <row r="576" spans="1:44" ht="15" customHeight="1">
      <c r="A576" s="1182"/>
      <c r="B576" s="1177"/>
      <c r="C576" s="1655"/>
      <c r="D576" s="170"/>
      <c r="E576" s="170"/>
      <c r="F576" s="124"/>
      <c r="H576" s="1757"/>
      <c r="I576" s="1757"/>
      <c r="J576" s="1757"/>
      <c r="K576" s="1650"/>
      <c r="L576" s="1643"/>
      <c r="W576" s="1639"/>
      <c r="X576" s="1639"/>
      <c r="Y576" s="1639"/>
      <c r="Z576" s="1643"/>
      <c r="AB576" s="1643"/>
      <c r="AD576" s="1647"/>
      <c r="AF576" s="1647"/>
      <c r="AR576" s="143"/>
    </row>
    <row r="577" spans="1:44" ht="15" customHeight="1">
      <c r="A577" s="1182"/>
      <c r="B577" s="1177" t="s">
        <v>3221</v>
      </c>
      <c r="C577" s="95" t="s">
        <v>3222</v>
      </c>
      <c r="G577" s="4"/>
      <c r="H577" s="4"/>
      <c r="I577" s="4"/>
      <c r="L577" s="1643"/>
      <c r="Y577" s="143"/>
      <c r="Z577" s="1643"/>
      <c r="AB577" s="1643"/>
      <c r="AD577" s="73"/>
      <c r="AE577" s="1647"/>
      <c r="AF577" s="73"/>
      <c r="AR577" s="143"/>
    </row>
    <row r="578" spans="1:44" ht="15" customHeight="1">
      <c r="A578" s="1182"/>
      <c r="B578" s="1177"/>
      <c r="C578" s="2268" t="s">
        <v>3193</v>
      </c>
      <c r="D578" s="2268"/>
      <c r="F578" s="1944" t="s">
        <v>3103</v>
      </c>
      <c r="G578" s="4"/>
      <c r="H578" s="1664" t="s">
        <v>3024</v>
      </c>
      <c r="I578" s="1769"/>
      <c r="J578" s="1769"/>
      <c r="K578" s="1769"/>
      <c r="L578" s="1769"/>
      <c r="M578" s="1769"/>
      <c r="N578" s="1333"/>
      <c r="O578" s="1333"/>
      <c r="P578" s="1333"/>
      <c r="Q578" s="1333"/>
      <c r="R578" s="1333"/>
      <c r="S578" s="1333"/>
      <c r="T578" s="1333"/>
      <c r="U578" s="1333"/>
      <c r="V578" s="1333"/>
      <c r="Y578" s="143"/>
      <c r="Z578" s="1643"/>
      <c r="AB578" s="1643"/>
      <c r="AD578" s="73"/>
      <c r="AE578" s="1647"/>
      <c r="AF578" s="73"/>
      <c r="AR578" s="143"/>
    </row>
    <row r="579" spans="1:44" ht="15" customHeight="1">
      <c r="A579" s="1182"/>
      <c r="B579" s="1177"/>
      <c r="C579" s="2268"/>
      <c r="D579" s="2268"/>
      <c r="E579" s="170"/>
      <c r="F579" s="1944"/>
      <c r="I579" s="1661"/>
      <c r="J579" s="1661"/>
      <c r="K579" s="1661" t="s">
        <v>3025</v>
      </c>
      <c r="L579" s="1661"/>
      <c r="M579" s="1661"/>
      <c r="Y579" s="143"/>
      <c r="Z579" s="1643"/>
      <c r="AB579" s="1643"/>
      <c r="AD579" s="73"/>
      <c r="AE579" s="1647"/>
      <c r="AF579" s="73"/>
      <c r="AR579" s="143"/>
    </row>
    <row r="580" spans="1:44" ht="15" customHeight="1">
      <c r="A580" s="1182"/>
      <c r="B580" s="1177"/>
      <c r="C580" s="1660"/>
      <c r="D580" s="1660"/>
      <c r="E580" s="170"/>
      <c r="F580" s="1944" t="s">
        <v>3103</v>
      </c>
      <c r="H580" s="2090">
        <f>+AK523</f>
        <v>20976</v>
      </c>
      <c r="I580" s="2090"/>
      <c r="J580" s="2090"/>
      <c r="K580" s="1664" t="s">
        <v>3194</v>
      </c>
      <c r="L580" s="2295">
        <f>+AK527</f>
        <v>1945.6</v>
      </c>
      <c r="M580" s="2295"/>
      <c r="N580" s="2295"/>
      <c r="O580" s="1335" t="s">
        <v>3194</v>
      </c>
      <c r="P580" s="2090">
        <f>+AK530</f>
        <v>2412.7431579569611</v>
      </c>
      <c r="Q580" s="2090"/>
      <c r="R580" s="2090"/>
      <c r="S580" s="1335" t="s">
        <v>3194</v>
      </c>
      <c r="T580" s="2090">
        <f>+AK524</f>
        <v>32055.536807235036</v>
      </c>
      <c r="U580" s="2090"/>
      <c r="V580" s="2090"/>
      <c r="W580" s="1335" t="s">
        <v>3194</v>
      </c>
      <c r="X580" s="2090">
        <f>+AK526</f>
        <v>0</v>
      </c>
      <c r="Y580" s="2090"/>
      <c r="Z580" s="2090"/>
      <c r="AA580" s="1335" t="s">
        <v>3195</v>
      </c>
      <c r="AB580" s="2090">
        <f>+AK522</f>
        <v>44080</v>
      </c>
      <c r="AC580" s="2090"/>
      <c r="AD580" s="2090"/>
      <c r="AE580" s="1758" t="s">
        <v>3195</v>
      </c>
      <c r="AF580" s="2149">
        <f>+AK525</f>
        <v>47019.875</v>
      </c>
      <c r="AG580" s="2149"/>
      <c r="AH580" s="2149"/>
      <c r="AI580" s="1433" t="s">
        <v>3195</v>
      </c>
      <c r="AJ580" s="2149">
        <f>+AK529</f>
        <v>2171.4688421612645</v>
      </c>
      <c r="AK580" s="2149"/>
      <c r="AL580" s="2149"/>
      <c r="AM580" s="1433" t="s">
        <v>3195</v>
      </c>
      <c r="AN580" s="2149">
        <f>+AK528</f>
        <v>3062.1103594539709</v>
      </c>
      <c r="AO580" s="2149"/>
      <c r="AP580" s="2149"/>
      <c r="AR580" s="143"/>
    </row>
    <row r="581" spans="1:44" ht="15" customHeight="1">
      <c r="A581" s="1182"/>
      <c r="B581" s="1177"/>
      <c r="C581" s="1660"/>
      <c r="D581" s="1660"/>
      <c r="E581" s="170"/>
      <c r="F581" s="1944"/>
      <c r="I581" s="1661"/>
      <c r="J581" s="1661"/>
      <c r="K581" s="1661"/>
      <c r="L581" s="1661"/>
      <c r="M581" s="1661"/>
      <c r="N581" s="143" t="s">
        <v>3212</v>
      </c>
      <c r="P581" s="2135">
        <f>+AK524</f>
        <v>32055.536807235036</v>
      </c>
      <c r="Q581" s="2135"/>
      <c r="R581" s="2135"/>
      <c r="S581" s="138" t="s">
        <v>3199</v>
      </c>
      <c r="T581" s="2264">
        <f>+AE456</f>
        <v>3200</v>
      </c>
      <c r="U581" s="2135"/>
      <c r="V581" s="2135"/>
      <c r="W581" s="138" t="s">
        <v>3213</v>
      </c>
      <c r="Y581" s="143"/>
      <c r="Z581" s="2135">
        <f>+AK526</f>
        <v>0</v>
      </c>
      <c r="AA581" s="2135"/>
      <c r="AB581" s="2135"/>
      <c r="AC581" s="138" t="s">
        <v>3199</v>
      </c>
      <c r="AD581" s="2267">
        <f>+AE471</f>
        <v>0</v>
      </c>
      <c r="AE581" s="2146"/>
      <c r="AF581" s="2146"/>
      <c r="AR581" s="143"/>
    </row>
    <row r="582" spans="1:44" ht="15" customHeight="1">
      <c r="A582" s="1182"/>
      <c r="B582" s="1177"/>
      <c r="C582" s="1660"/>
      <c r="D582" s="1660"/>
      <c r="E582" s="170"/>
      <c r="F582" s="1642" t="s">
        <v>3103</v>
      </c>
      <c r="H582" s="2155">
        <f>(+H580+L580+P580+T580+X580-AB580-AF580-AJ580-AN580)/(2*P581/T581+2*IF(AD581=0,0,Z581/AD581))</f>
        <v>-1943.8051888812447</v>
      </c>
      <c r="I582" s="2155"/>
      <c r="J582" s="2155"/>
      <c r="K582" s="2155"/>
      <c r="L582" s="1661"/>
      <c r="M582" s="1661"/>
      <c r="Y582" s="143"/>
      <c r="Z582" s="1643"/>
      <c r="AB582" s="1643"/>
      <c r="AD582" s="73"/>
      <c r="AE582" s="1647"/>
      <c r="AF582" s="73"/>
      <c r="AR582" s="143"/>
    </row>
    <row r="583" spans="1:44" ht="15" customHeight="1">
      <c r="A583" s="1182"/>
      <c r="B583" s="1177"/>
      <c r="C583" s="1660"/>
      <c r="D583" s="1660"/>
      <c r="E583" s="170"/>
      <c r="F583" s="1642"/>
      <c r="H583" s="1653"/>
      <c r="I583" s="1653"/>
      <c r="J583" s="1653"/>
      <c r="K583" s="1653"/>
      <c r="L583" s="1661"/>
      <c r="M583" s="1661"/>
      <c r="Y583" s="143"/>
      <c r="Z583" s="1643"/>
      <c r="AB583" s="1643"/>
      <c r="AD583" s="73"/>
      <c r="AE583" s="1647"/>
      <c r="AF583" s="73"/>
      <c r="AR583" s="143"/>
    </row>
    <row r="584" spans="1:44" ht="15" customHeight="1">
      <c r="A584" s="1182"/>
      <c r="B584" s="1655" t="s">
        <v>3218</v>
      </c>
      <c r="C584" s="1655"/>
      <c r="D584" s="170"/>
      <c r="E584" s="170"/>
      <c r="F584" s="124"/>
      <c r="H584" s="1757"/>
      <c r="I584" s="1757"/>
      <c r="J584" s="1757"/>
      <c r="K584" s="1650"/>
      <c r="L584" s="1643"/>
      <c r="W584" s="1639"/>
      <c r="X584" s="1639"/>
      <c r="Y584" s="1639"/>
      <c r="Z584" s="1643"/>
      <c r="AB584" s="1643"/>
      <c r="AD584" s="1647"/>
      <c r="AF584" s="1647"/>
      <c r="AR584" s="143"/>
    </row>
    <row r="585" spans="1:44" ht="20.100000000000001" customHeight="1">
      <c r="A585" s="1182"/>
      <c r="B585" s="1762" t="s">
        <v>3202</v>
      </c>
      <c r="C585" s="1667"/>
      <c r="D585" s="1667"/>
      <c r="E585" s="1667"/>
      <c r="F585" s="1763"/>
      <c r="G585" s="1667"/>
      <c r="H585" s="1764"/>
      <c r="I585" s="1773" t="s">
        <v>3220</v>
      </c>
      <c r="J585" s="1764"/>
      <c r="K585" s="1764"/>
      <c r="L585" s="1668"/>
      <c r="M585" s="1667"/>
      <c r="N585" s="1667"/>
      <c r="O585" s="1667"/>
      <c r="P585" s="1667"/>
      <c r="Q585" s="1667"/>
      <c r="R585" s="1667"/>
      <c r="S585" s="1667"/>
      <c r="T585" s="1667"/>
      <c r="U585" s="1668"/>
      <c r="V585" s="1668"/>
      <c r="W585" s="1668"/>
      <c r="X585" s="1668"/>
      <c r="Y585" s="1667"/>
      <c r="Z585" s="1668"/>
      <c r="AA585" s="1667"/>
      <c r="AB585" s="1668"/>
      <c r="AC585" s="1667"/>
      <c r="AD585" s="1668"/>
      <c r="AE585" s="1667"/>
      <c r="AF585" s="1667"/>
      <c r="AG585" s="1667"/>
      <c r="AH585" s="1667"/>
      <c r="AI585" s="1667"/>
      <c r="AJ585" s="1774"/>
      <c r="AK585" s="1667"/>
      <c r="AL585" s="1772" t="s">
        <v>3219</v>
      </c>
      <c r="AM585" s="1764"/>
      <c r="AN585" s="1764"/>
      <c r="AO585" s="1764"/>
      <c r="AP585" s="1764"/>
      <c r="AQ585" s="1764"/>
      <c r="AR585" s="143"/>
    </row>
    <row r="586" spans="1:44" ht="15" customHeight="1">
      <c r="B586" s="124" t="s">
        <v>3136</v>
      </c>
      <c r="C586" s="1639"/>
      <c r="D586" s="1639"/>
      <c r="E586" s="170"/>
      <c r="F586" s="124"/>
      <c r="G586" s="170"/>
      <c r="H586" s="1760"/>
      <c r="I586" s="1721" t="s">
        <v>594</v>
      </c>
      <c r="J586" s="170"/>
      <c r="K586" s="170"/>
      <c r="L586" s="170"/>
      <c r="M586" s="170"/>
      <c r="N586" s="170"/>
      <c r="O586" s="170"/>
      <c r="P586" s="170"/>
      <c r="Q586" s="170"/>
      <c r="R586" s="1642" t="s">
        <v>3103</v>
      </c>
      <c r="S586" s="1862">
        <f>+H582</f>
        <v>-1943.8051888812447</v>
      </c>
      <c r="T586" s="1862"/>
      <c r="U586" s="1862"/>
      <c r="V586" s="124" t="s">
        <v>3194</v>
      </c>
      <c r="W586" s="2094">
        <f>+AE452</f>
        <v>40</v>
      </c>
      <c r="X586" s="1862"/>
      <c r="Y586" s="124" t="s">
        <v>3199</v>
      </c>
      <c r="Z586" s="170">
        <v>2</v>
      </c>
      <c r="AA586" s="170"/>
      <c r="AB586" s="1639"/>
      <c r="AC586" s="170"/>
      <c r="AD586" s="1639"/>
      <c r="AE586" s="170"/>
      <c r="AF586" s="170"/>
      <c r="AG586" s="1642" t="s">
        <v>3103</v>
      </c>
      <c r="AH586" s="1862">
        <f>+S586+W586/2</f>
        <v>-1923.8051888812447</v>
      </c>
      <c r="AI586" s="1862"/>
      <c r="AJ586" s="2292"/>
      <c r="AK586" s="170"/>
      <c r="AL586" s="170" t="s">
        <v>3203</v>
      </c>
      <c r="AM586" s="143"/>
      <c r="AN586" s="76" t="s">
        <v>3103</v>
      </c>
      <c r="AO586" s="2111">
        <f t="shared" ref="AO586:AO593" si="6">+AH586*AK522/1000</f>
        <v>-84801.332725885266</v>
      </c>
      <c r="AP586" s="2111"/>
      <c r="AQ586" s="2111"/>
      <c r="AR586" s="143"/>
    </row>
    <row r="587" spans="1:44" ht="15" customHeight="1">
      <c r="B587" s="124" t="s">
        <v>3137</v>
      </c>
      <c r="C587" s="1639"/>
      <c r="D587" s="1639"/>
      <c r="E587" s="170"/>
      <c r="F587" s="124"/>
      <c r="G587" s="170"/>
      <c r="H587" s="1760"/>
      <c r="I587" s="1721" t="s">
        <v>595</v>
      </c>
      <c r="J587" s="170"/>
      <c r="K587" s="170"/>
      <c r="L587" s="170"/>
      <c r="M587" s="170"/>
      <c r="N587" s="170"/>
      <c r="O587" s="170"/>
      <c r="P587" s="170"/>
      <c r="Q587" s="170"/>
      <c r="R587" s="1642" t="s">
        <v>3103</v>
      </c>
      <c r="S587" s="2094">
        <f>+AE456</f>
        <v>3200</v>
      </c>
      <c r="T587" s="1862"/>
      <c r="U587" s="1862"/>
      <c r="V587" s="124" t="s">
        <v>3195</v>
      </c>
      <c r="W587" s="1862">
        <f>+H582</f>
        <v>-1943.8051888812447</v>
      </c>
      <c r="X587" s="1862"/>
      <c r="Y587" s="1862"/>
      <c r="Z587" s="124" t="s">
        <v>3194</v>
      </c>
      <c r="AA587" s="2094">
        <f>+AE454</f>
        <v>30</v>
      </c>
      <c r="AB587" s="1862"/>
      <c r="AC587" s="1642" t="s">
        <v>3199</v>
      </c>
      <c r="AD587" s="1639">
        <v>2</v>
      </c>
      <c r="AE587" s="1639"/>
      <c r="AF587" s="170"/>
      <c r="AG587" s="1642" t="s">
        <v>3103</v>
      </c>
      <c r="AH587" s="1862">
        <f>+S587-W587+AA587/2</f>
        <v>5158.8051888812442</v>
      </c>
      <c r="AI587" s="1862"/>
      <c r="AJ587" s="2292"/>
      <c r="AK587" s="170"/>
      <c r="AL587" s="170" t="s">
        <v>3204</v>
      </c>
      <c r="AM587" s="143"/>
      <c r="AN587" s="76" t="s">
        <v>3103</v>
      </c>
      <c r="AO587" s="2111">
        <f t="shared" si="6"/>
        <v>108211.09764197297</v>
      </c>
      <c r="AP587" s="2111"/>
      <c r="AQ587" s="2111"/>
      <c r="AR587" s="143"/>
    </row>
    <row r="588" spans="1:44" ht="15" customHeight="1">
      <c r="B588" s="124" t="s">
        <v>3138</v>
      </c>
      <c r="C588" s="1639"/>
      <c r="D588" s="1639"/>
      <c r="E588" s="170"/>
      <c r="F588" s="124"/>
      <c r="G588" s="170"/>
      <c r="H588" s="1760"/>
      <c r="I588" s="1775" t="s">
        <v>3214</v>
      </c>
      <c r="J588" s="170"/>
      <c r="K588" s="170"/>
      <c r="L588" s="170"/>
      <c r="M588" s="170"/>
      <c r="N588" s="170"/>
      <c r="O588" s="170"/>
      <c r="P588" s="170"/>
      <c r="Q588" s="170"/>
      <c r="R588" s="1642" t="s">
        <v>3103</v>
      </c>
      <c r="S588" s="170" t="str">
        <f>"["&amp;ROUND(H582,1)&amp;"² + ("&amp;AE456&amp;" - "&amp;ROUND(H582,1)&amp;")² ]/2/"&amp;AE456</f>
        <v>[-1943.8² + (3200 - -1943.8)² ]/2/3200</v>
      </c>
      <c r="T588" s="170"/>
      <c r="U588" s="170"/>
      <c r="V588" s="170"/>
      <c r="W588" s="170"/>
      <c r="X588" s="170"/>
      <c r="Y588" s="170"/>
      <c r="Z588" s="170"/>
      <c r="AA588" s="170"/>
      <c r="AB588" s="170"/>
      <c r="AC588" s="170"/>
      <c r="AD588" s="170"/>
      <c r="AE588" s="170"/>
      <c r="AF588" s="170"/>
      <c r="AG588" s="1642" t="s">
        <v>3103</v>
      </c>
      <c r="AH588" s="1862">
        <f>+(H582^2+(AE456-H582)^2)/2/AE456</f>
        <v>4724.5485052317599</v>
      </c>
      <c r="AI588" s="1862"/>
      <c r="AJ588" s="2292"/>
      <c r="AK588" s="170"/>
      <c r="AL588" s="124" t="s">
        <v>3215</v>
      </c>
      <c r="AM588" s="143"/>
      <c r="AN588" s="76" t="s">
        <v>3103</v>
      </c>
      <c r="AO588" s="2111">
        <f t="shared" si="6"/>
        <v>151447.93850702397</v>
      </c>
      <c r="AP588" s="2111"/>
      <c r="AQ588" s="2111"/>
      <c r="AR588" s="143"/>
    </row>
    <row r="589" spans="1:44" ht="15" customHeight="1">
      <c r="B589" s="124" t="s">
        <v>3139</v>
      </c>
      <c r="C589" s="1639"/>
      <c r="D589" s="1639"/>
      <c r="E589" s="170"/>
      <c r="F589" s="124"/>
      <c r="G589" s="170"/>
      <c r="H589" s="1760"/>
      <c r="I589" s="1721" t="s">
        <v>1983</v>
      </c>
      <c r="J589" s="170"/>
      <c r="K589" s="170"/>
      <c r="L589" s="170"/>
      <c r="M589" s="170"/>
      <c r="N589" s="170"/>
      <c r="O589" s="170"/>
      <c r="P589" s="170"/>
      <c r="Q589" s="170"/>
      <c r="R589" s="1642" t="s">
        <v>3103</v>
      </c>
      <c r="S589" s="2094">
        <f>+H582</f>
        <v>-1943.8051888812447</v>
      </c>
      <c r="T589" s="1862"/>
      <c r="U589" s="1862"/>
      <c r="V589" s="124" t="s">
        <v>3194</v>
      </c>
      <c r="W589" s="2094">
        <f>+AE463</f>
        <v>0</v>
      </c>
      <c r="X589" s="1862"/>
      <c r="Y589" s="124" t="s">
        <v>3194</v>
      </c>
      <c r="Z589" s="2094">
        <f>+AE462</f>
        <v>290</v>
      </c>
      <c r="AA589" s="1862"/>
      <c r="AB589" s="1862"/>
      <c r="AC589" s="1642" t="s">
        <v>3199</v>
      </c>
      <c r="AD589" s="1639">
        <v>2</v>
      </c>
      <c r="AE589" s="1639"/>
      <c r="AF589" s="170"/>
      <c r="AG589" s="1642" t="s">
        <v>3103</v>
      </c>
      <c r="AH589" s="1862">
        <f>S589+W589+Z589/2</f>
        <v>-1798.8051888812447</v>
      </c>
      <c r="AI589" s="1862"/>
      <c r="AJ589" s="2292"/>
      <c r="AK589" s="170"/>
      <c r="AL589" s="170" t="s">
        <v>3205</v>
      </c>
      <c r="AM589" s="143"/>
      <c r="AN589" s="76" t="s">
        <v>3103</v>
      </c>
      <c r="AO589" s="2111">
        <f t="shared" si="6"/>
        <v>-84579.595130547503</v>
      </c>
      <c r="AP589" s="2111"/>
      <c r="AQ589" s="2111"/>
      <c r="AR589" s="143"/>
    </row>
    <row r="590" spans="1:44" ht="15" customHeight="1">
      <c r="B590" s="124" t="s">
        <v>3141</v>
      </c>
      <c r="C590" s="1639"/>
      <c r="D590" s="1639"/>
      <c r="E590" s="170"/>
      <c r="F590" s="124"/>
      <c r="G590" s="170"/>
      <c r="H590" s="1760"/>
      <c r="I590" s="1775" t="s">
        <v>3217</v>
      </c>
      <c r="J590" s="170"/>
      <c r="K590" s="170"/>
      <c r="L590" s="170"/>
      <c r="M590" s="170"/>
      <c r="N590" s="170"/>
      <c r="O590" s="170"/>
      <c r="P590" s="170"/>
      <c r="Q590" s="170"/>
      <c r="R590" s="1642" t="s">
        <v>3103</v>
      </c>
      <c r="S590" s="1765" t="str">
        <f>"["&amp;ROUND(H582,1)&amp;"² + ("&amp;AE471&amp;" - "&amp;ROUND(H582,1)&amp;")² ]/2/"&amp;AE471</f>
        <v>[-1943.8² + (0 - -1943.8)² ]/2/0</v>
      </c>
      <c r="T590" s="115"/>
      <c r="U590" s="115"/>
      <c r="V590" s="124"/>
      <c r="W590" s="1765"/>
      <c r="X590" s="115"/>
      <c r="Y590" s="115"/>
      <c r="Z590" s="741"/>
      <c r="AA590" s="115"/>
      <c r="AB590" s="115"/>
      <c r="AC590" s="115"/>
      <c r="AD590" s="1639"/>
      <c r="AE590" s="1639"/>
      <c r="AF590" s="170"/>
      <c r="AG590" s="1642" t="s">
        <v>3103</v>
      </c>
      <c r="AH590" s="1862">
        <f>IF(AE471=0,0,(H582^2+(AE471-H582)^2)/2/AE471)</f>
        <v>0</v>
      </c>
      <c r="AI590" s="1862"/>
      <c r="AJ590" s="2292"/>
      <c r="AK590" s="170"/>
      <c r="AL590" s="170" t="s">
        <v>3206</v>
      </c>
      <c r="AM590" s="143"/>
      <c r="AN590" s="76" t="s">
        <v>3103</v>
      </c>
      <c r="AO590" s="2111">
        <f t="shared" si="6"/>
        <v>0</v>
      </c>
      <c r="AP590" s="2111"/>
      <c r="AQ590" s="2111"/>
      <c r="AR590" s="143"/>
    </row>
    <row r="591" spans="1:44" ht="15" customHeight="1">
      <c r="B591" s="124" t="s">
        <v>3140</v>
      </c>
      <c r="C591" s="1639"/>
      <c r="D591" s="1639"/>
      <c r="E591" s="170"/>
      <c r="F591" s="124"/>
      <c r="G591" s="170"/>
      <c r="H591" s="1760"/>
      <c r="I591" s="1721" t="s">
        <v>1981</v>
      </c>
      <c r="J591" s="170"/>
      <c r="K591" s="170"/>
      <c r="L591" s="170"/>
      <c r="M591" s="170"/>
      <c r="N591" s="170"/>
      <c r="O591" s="170"/>
      <c r="P591" s="170"/>
      <c r="Q591" s="170"/>
      <c r="R591" s="1642" t="s">
        <v>3103</v>
      </c>
      <c r="S591" s="2094">
        <f>+AE456</f>
        <v>3200</v>
      </c>
      <c r="T591" s="1862"/>
      <c r="U591" s="1862"/>
      <c r="V591" s="124" t="s">
        <v>3195</v>
      </c>
      <c r="W591" s="1862">
        <f>+H582</f>
        <v>-1943.8051888812447</v>
      </c>
      <c r="X591" s="1862"/>
      <c r="Y591" s="1862"/>
      <c r="Z591" s="124" t="s">
        <v>3195</v>
      </c>
      <c r="AA591" s="2094">
        <f>+AE468</f>
        <v>160</v>
      </c>
      <c r="AB591" s="1862"/>
      <c r="AC591" s="1642" t="s">
        <v>3199</v>
      </c>
      <c r="AD591" s="1639">
        <v>2</v>
      </c>
      <c r="AE591" s="1639"/>
      <c r="AF591" s="170"/>
      <c r="AG591" s="1642" t="s">
        <v>3103</v>
      </c>
      <c r="AH591" s="1862">
        <f>+S591-W591-AA591/2</f>
        <v>5063.8051888812442</v>
      </c>
      <c r="AI591" s="1862"/>
      <c r="AJ591" s="2292"/>
      <c r="AK591" s="170"/>
      <c r="AL591" s="170" t="s">
        <v>3207</v>
      </c>
      <c r="AM591" s="143"/>
      <c r="AN591" s="76" t="s">
        <v>3103</v>
      </c>
      <c r="AO591" s="2111">
        <f t="shared" si="6"/>
        <v>9852.1393754873479</v>
      </c>
      <c r="AP591" s="2111"/>
      <c r="AQ591" s="2111"/>
      <c r="AR591" s="143"/>
    </row>
    <row r="592" spans="1:44" ht="15" customHeight="1">
      <c r="B592" s="124" t="s">
        <v>3142</v>
      </c>
      <c r="C592" s="1639"/>
      <c r="D592" s="1639"/>
      <c r="E592" s="170"/>
      <c r="F592" s="124"/>
      <c r="G592" s="170"/>
      <c r="H592" s="1760"/>
      <c r="I592" s="1721" t="s">
        <v>1985</v>
      </c>
      <c r="J592" s="170"/>
      <c r="K592" s="170"/>
      <c r="L592" s="170"/>
      <c r="M592" s="170"/>
      <c r="N592" s="170"/>
      <c r="O592" s="170"/>
      <c r="P592" s="170"/>
      <c r="Q592" s="170"/>
      <c r="R592" s="1642" t="s">
        <v>3103</v>
      </c>
      <c r="S592" s="2096">
        <f>+H582</f>
        <v>-1943.8051888812447</v>
      </c>
      <c r="T592" s="2096"/>
      <c r="U592" s="2096"/>
      <c r="V592" s="124" t="s">
        <v>3194</v>
      </c>
      <c r="W592" s="2094">
        <f>+AE463</f>
        <v>0</v>
      </c>
      <c r="X592" s="1862"/>
      <c r="Y592" s="124" t="s">
        <v>3194</v>
      </c>
      <c r="Z592" s="2094">
        <f>+AE462</f>
        <v>290</v>
      </c>
      <c r="AA592" s="1862"/>
      <c r="AB592" s="1862"/>
      <c r="AC592" s="1642" t="s">
        <v>3195</v>
      </c>
      <c r="AD592" s="2093">
        <f>+AE448</f>
        <v>50</v>
      </c>
      <c r="AE592" s="1862"/>
      <c r="AF592" s="1862"/>
      <c r="AG592" s="1642" t="s">
        <v>3103</v>
      </c>
      <c r="AH592" s="2096">
        <f>+S592+W592+Z592-AD592</f>
        <v>-1703.8051888812447</v>
      </c>
      <c r="AI592" s="2096"/>
      <c r="AJ592" s="2251"/>
      <c r="AK592" s="170"/>
      <c r="AL592" s="170" t="s">
        <v>3208</v>
      </c>
      <c r="AM592" s="143"/>
      <c r="AN592" s="76" t="s">
        <v>3103</v>
      </c>
      <c r="AO592" s="2111">
        <f t="shared" si="6"/>
        <v>-5217.2395193646889</v>
      </c>
      <c r="AP592" s="2111"/>
      <c r="AQ592" s="2111"/>
      <c r="AR592" s="143"/>
    </row>
    <row r="593" spans="1:44" ht="15" customHeight="1">
      <c r="B593" s="124" t="s">
        <v>3143</v>
      </c>
      <c r="C593" s="1639"/>
      <c r="D593" s="1639"/>
      <c r="E593" s="170"/>
      <c r="F593" s="124"/>
      <c r="G593" s="170"/>
      <c r="H593" s="1760"/>
      <c r="I593" s="1721" t="s">
        <v>3201</v>
      </c>
      <c r="J593" s="170"/>
      <c r="K593" s="170"/>
      <c r="L593" s="170"/>
      <c r="M593" s="170"/>
      <c r="N593" s="170"/>
      <c r="O593" s="170"/>
      <c r="P593" s="170"/>
      <c r="Q593" s="170"/>
      <c r="R593" s="1642" t="s">
        <v>3103</v>
      </c>
      <c r="S593" s="2096">
        <f>+H582</f>
        <v>-1943.8051888812447</v>
      </c>
      <c r="T593" s="2096"/>
      <c r="U593" s="2096"/>
      <c r="V593" s="124" t="s">
        <v>3194</v>
      </c>
      <c r="W593" s="2094">
        <f>+AE463</f>
        <v>0</v>
      </c>
      <c r="X593" s="1862"/>
      <c r="Y593" s="124" t="s">
        <v>3194</v>
      </c>
      <c r="Z593" s="2094">
        <f>+AE462</f>
        <v>290</v>
      </c>
      <c r="AA593" s="1862"/>
      <c r="AB593" s="1862"/>
      <c r="AC593" s="1642" t="s">
        <v>3195</v>
      </c>
      <c r="AD593" s="2093">
        <f>+AE449</f>
        <v>250</v>
      </c>
      <c r="AE593" s="1862"/>
      <c r="AF593" s="1862"/>
      <c r="AG593" s="1642" t="s">
        <v>3103</v>
      </c>
      <c r="AH593" s="2248">
        <f>+S593+W593+Z593-AD593</f>
        <v>-1903.8051888812447</v>
      </c>
      <c r="AI593" s="2248"/>
      <c r="AJ593" s="2249"/>
      <c r="AK593" s="170"/>
      <c r="AL593" s="170" t="s">
        <v>3209</v>
      </c>
      <c r="AM593" s="143"/>
      <c r="AN593" s="76" t="s">
        <v>3103</v>
      </c>
      <c r="AO593" s="2111">
        <f t="shared" si="6"/>
        <v>-4134.053649200564</v>
      </c>
      <c r="AP593" s="2111"/>
      <c r="AQ593" s="2111"/>
      <c r="AR593" s="143"/>
    </row>
    <row r="594" spans="1:44" ht="15" customHeight="1">
      <c r="B594" s="124" t="s">
        <v>3144</v>
      </c>
      <c r="C594" s="170"/>
      <c r="D594" s="170"/>
      <c r="E594" s="170"/>
      <c r="F594" s="124"/>
      <c r="G594" s="170"/>
      <c r="H594" s="1760"/>
      <c r="I594" s="1776"/>
      <c r="J594" s="170"/>
      <c r="K594" s="170"/>
      <c r="L594" s="1639"/>
      <c r="M594" s="170"/>
      <c r="N594" s="170"/>
      <c r="O594" s="170"/>
      <c r="P594" s="170"/>
      <c r="Q594" s="170"/>
      <c r="R594" s="170"/>
      <c r="S594" s="170"/>
      <c r="T594" s="170"/>
      <c r="U594" s="1639"/>
      <c r="V594" s="1639"/>
      <c r="W594" s="1639"/>
      <c r="X594" s="1639"/>
      <c r="Y594" s="170"/>
      <c r="Z594" s="1639"/>
      <c r="AA594" s="170"/>
      <c r="AB594" s="1644"/>
      <c r="AC594" s="122"/>
      <c r="AD594" s="1644"/>
      <c r="AE594" s="122"/>
      <c r="AF594" s="122"/>
      <c r="AG594" s="122"/>
      <c r="AH594" s="122"/>
      <c r="AI594" s="122"/>
      <c r="AJ594" s="1777"/>
      <c r="AK594" s="170"/>
      <c r="AL594" s="1760"/>
      <c r="AM594" s="143"/>
      <c r="AN594" s="76"/>
      <c r="AO594" s="2111"/>
      <c r="AP594" s="2111"/>
      <c r="AQ594" s="2111"/>
      <c r="AR594" s="143"/>
    </row>
    <row r="595" spans="1:44" ht="15" customHeight="1">
      <c r="B595" s="1335" t="s">
        <v>3128</v>
      </c>
      <c r="C595" s="1333"/>
      <c r="D595" s="1333"/>
      <c r="E595" s="1333"/>
      <c r="F595" s="1335"/>
      <c r="G595" s="1333"/>
      <c r="H595" s="1761"/>
      <c r="I595" s="1778" t="s">
        <v>1720</v>
      </c>
      <c r="J595" s="1333"/>
      <c r="K595" s="1333"/>
      <c r="L595" s="1333"/>
      <c r="M595" s="1333"/>
      <c r="N595" s="1333"/>
      <c r="O595" s="1333"/>
      <c r="P595" s="1333"/>
      <c r="Q595" s="1333"/>
      <c r="R595" s="1480" t="s">
        <v>3103</v>
      </c>
      <c r="S595" s="2180">
        <f>+AE456</f>
        <v>3200</v>
      </c>
      <c r="T595" s="2090"/>
      <c r="U595" s="2090"/>
      <c r="V595" s="1335" t="s">
        <v>3195</v>
      </c>
      <c r="W595" s="2090">
        <f>+H582</f>
        <v>-1943.8051888812447</v>
      </c>
      <c r="X595" s="2090"/>
      <c r="Y595" s="2090"/>
      <c r="Z595" s="1335" t="s">
        <v>3195</v>
      </c>
      <c r="AA595" s="2180">
        <f>+AE464</f>
        <v>600</v>
      </c>
      <c r="AB595" s="2090"/>
      <c r="AC595" s="2090"/>
      <c r="AD595" s="1480" t="s">
        <v>3199</v>
      </c>
      <c r="AE595" s="1646">
        <v>2</v>
      </c>
      <c r="AF595" s="1333"/>
      <c r="AG595" s="1480" t="s">
        <v>3103</v>
      </c>
      <c r="AH595" s="2104">
        <f>S595-W595-AA595/2</f>
        <v>4843.8051888812442</v>
      </c>
      <c r="AI595" s="2104"/>
      <c r="AJ595" s="2245"/>
      <c r="AK595" s="1333"/>
      <c r="AL595" s="1333" t="s">
        <v>3210</v>
      </c>
      <c r="AM595" s="1333"/>
      <c r="AN595" s="1433" t="s">
        <v>3103</v>
      </c>
      <c r="AO595" s="2149">
        <f>+AH595*AK531/1000</f>
        <v>206891.02913009014</v>
      </c>
      <c r="AP595" s="2149"/>
      <c r="AQ595" s="2149"/>
      <c r="AR595" s="143"/>
    </row>
    <row r="596" spans="1:44" ht="15" customHeight="1">
      <c r="A596" s="1182"/>
      <c r="B596" s="1177"/>
      <c r="C596" s="1655"/>
      <c r="D596" s="170"/>
      <c r="E596" s="170"/>
      <c r="F596" s="124"/>
      <c r="H596" s="1757"/>
      <c r="I596" s="1757"/>
      <c r="J596" s="1757"/>
      <c r="K596" s="1650"/>
      <c r="L596" s="1643"/>
      <c r="X596" s="1639"/>
      <c r="Y596" s="1639"/>
      <c r="Z596" s="1639"/>
      <c r="AA596" s="1643"/>
      <c r="AB596" s="143"/>
      <c r="AC596" s="1643"/>
      <c r="AD596" s="143"/>
      <c r="AE596" s="1647"/>
      <c r="AF596" s="73"/>
      <c r="AG596" s="1647"/>
      <c r="AI596" s="1648" t="s">
        <v>3211</v>
      </c>
      <c r="AJ596" s="143"/>
      <c r="AN596" s="76" t="s">
        <v>3103</v>
      </c>
      <c r="AO596" s="2246">
        <f>+SUM(AO586:AQ595)</f>
        <v>297669.9836295764</v>
      </c>
      <c r="AP596" s="2246"/>
      <c r="AQ596" s="2246"/>
      <c r="AR596" s="2246"/>
    </row>
    <row r="597" spans="1:44" ht="15" customHeight="1">
      <c r="A597" s="1182"/>
      <c r="B597" s="1177"/>
      <c r="G597" s="4"/>
      <c r="L597" s="143"/>
      <c r="Y597" s="143"/>
      <c r="AB597" s="143"/>
      <c r="AD597" s="143"/>
      <c r="AE597" s="143"/>
      <c r="AF597" s="143"/>
      <c r="AG597" s="143"/>
      <c r="AH597" s="143"/>
      <c r="AI597" s="143"/>
      <c r="AJ597" s="143"/>
      <c r="AK597" s="143"/>
      <c r="AR597" s="143"/>
    </row>
    <row r="598" spans="1:44" ht="15" customHeight="1">
      <c r="A598" s="1182"/>
      <c r="B598" s="1177" t="s">
        <v>3221</v>
      </c>
      <c r="C598" s="95" t="s">
        <v>3223</v>
      </c>
      <c r="G598" s="4"/>
      <c r="H598" s="4"/>
      <c r="I598" s="4"/>
      <c r="L598" s="1643"/>
      <c r="Y598" s="143"/>
      <c r="Z598" s="1643"/>
      <c r="AB598" s="1643"/>
      <c r="AD598" s="73"/>
      <c r="AE598" s="1647"/>
      <c r="AF598" s="73"/>
      <c r="AR598" s="143"/>
    </row>
    <row r="599" spans="1:44" ht="15" customHeight="1">
      <c r="A599" s="1182"/>
      <c r="B599" s="1177"/>
      <c r="C599" s="1655" t="s">
        <v>3193</v>
      </c>
      <c r="D599" s="1655"/>
      <c r="F599" s="741" t="s">
        <v>3103</v>
      </c>
      <c r="G599" s="4"/>
      <c r="H599" s="1655" t="s">
        <v>3014</v>
      </c>
      <c r="I599" s="1752"/>
      <c r="J599" s="1752"/>
      <c r="K599" s="1752"/>
      <c r="L599" s="1752"/>
      <c r="M599" s="1752"/>
      <c r="N599" s="170"/>
      <c r="O599" s="170"/>
      <c r="P599" s="170"/>
      <c r="Q599" s="170"/>
      <c r="R599" s="170"/>
      <c r="S599" s="170"/>
      <c r="T599" s="170"/>
      <c r="U599" s="170"/>
      <c r="V599" s="170"/>
      <c r="W599" s="170"/>
      <c r="Y599" s="143"/>
      <c r="Z599" s="1643"/>
      <c r="AB599" s="1643"/>
      <c r="AD599" s="73"/>
      <c r="AE599" s="1647"/>
      <c r="AF599" s="73"/>
      <c r="AR599" s="143"/>
    </row>
    <row r="600" spans="1:44" ht="15" customHeight="1">
      <c r="A600" s="1182"/>
      <c r="B600" s="1177"/>
      <c r="C600" s="1660"/>
      <c r="D600" s="1660"/>
      <c r="E600" s="170"/>
      <c r="F600" s="1944" t="s">
        <v>3103</v>
      </c>
      <c r="H600" s="2293">
        <f>+AE452</f>
        <v>40</v>
      </c>
      <c r="I600" s="2293"/>
      <c r="J600" s="2116" t="s">
        <v>3196</v>
      </c>
      <c r="K600" s="2090">
        <f>+AK523</f>
        <v>20976</v>
      </c>
      <c r="L600" s="2090"/>
      <c r="M600" s="2090"/>
      <c r="N600" s="1335" t="s">
        <v>3194</v>
      </c>
      <c r="O600" s="2090">
        <f>+AK527</f>
        <v>1945.6</v>
      </c>
      <c r="P600" s="2090"/>
      <c r="Q600" s="2090"/>
      <c r="R600" s="1335" t="s">
        <v>3194</v>
      </c>
      <c r="S600" s="2090">
        <f>+AK530</f>
        <v>2412.7431579569611</v>
      </c>
      <c r="T600" s="2090"/>
      <c r="U600" s="2090"/>
      <c r="V600" s="1335" t="s">
        <v>3194</v>
      </c>
      <c r="W600" s="2090">
        <f>+AK524</f>
        <v>32055.536807235036</v>
      </c>
      <c r="X600" s="2090"/>
      <c r="Y600" s="2090"/>
      <c r="Z600" s="1335" t="s">
        <v>3194</v>
      </c>
      <c r="AA600" s="2149">
        <f>+AK526</f>
        <v>0</v>
      </c>
      <c r="AB600" s="2149"/>
      <c r="AC600" s="2149"/>
      <c r="AD600" s="1335" t="s">
        <v>3195</v>
      </c>
      <c r="AE600" s="2090">
        <f>+AK525</f>
        <v>47019.875</v>
      </c>
      <c r="AF600" s="2090"/>
      <c r="AG600" s="2090"/>
      <c r="AH600" s="1758" t="s">
        <v>3195</v>
      </c>
      <c r="AI600" s="2149">
        <f>+AK529</f>
        <v>2171.4688421612645</v>
      </c>
      <c r="AJ600" s="2149"/>
      <c r="AK600" s="2149"/>
      <c r="AL600" s="1433" t="s">
        <v>3195</v>
      </c>
      <c r="AM600" s="2149">
        <f>+AK528</f>
        <v>3062.1103594539709</v>
      </c>
      <c r="AN600" s="2149"/>
      <c r="AO600" s="2149"/>
      <c r="AP600" s="2122" t="s">
        <v>3198</v>
      </c>
      <c r="AQ600" s="2122"/>
      <c r="AR600" s="143"/>
    </row>
    <row r="601" spans="1:44" ht="15" customHeight="1">
      <c r="A601" s="1182"/>
      <c r="B601" s="1177"/>
      <c r="C601" s="1660"/>
      <c r="D601" s="1660"/>
      <c r="E601" s="170"/>
      <c r="F601" s="1944"/>
      <c r="H601" s="2135">
        <v>2</v>
      </c>
      <c r="I601" s="2135"/>
      <c r="J601" s="2116"/>
      <c r="K601" s="1643"/>
      <c r="L601" s="143"/>
      <c r="X601" s="2135">
        <f>+AK522</f>
        <v>44080</v>
      </c>
      <c r="Y601" s="2135"/>
      <c r="Z601" s="2135"/>
      <c r="AA601" s="73"/>
      <c r="AB601" s="143"/>
      <c r="AC601" s="1647"/>
      <c r="AD601" s="1647"/>
      <c r="AF601" s="1647"/>
      <c r="AP601" s="2122"/>
      <c r="AQ601" s="2122"/>
      <c r="AR601" s="143"/>
    </row>
    <row r="602" spans="1:44" ht="15" customHeight="1">
      <c r="A602" s="1182"/>
      <c r="B602" s="1177"/>
      <c r="C602" s="1660"/>
      <c r="D602" s="1660"/>
      <c r="E602" s="170"/>
      <c r="F602" s="1642" t="s">
        <v>3103</v>
      </c>
      <c r="H602" s="2252">
        <f>+((K600+O600+S600+W600+AA600-AE600-AI600-AM600)/X601+1)*H600/2</f>
        <v>22.330501707611962</v>
      </c>
      <c r="I602" s="2252"/>
      <c r="J602" s="2252"/>
      <c r="K602" s="2252"/>
      <c r="L602" s="1661"/>
      <c r="M602" s="1661"/>
      <c r="Y602" s="143"/>
      <c r="Z602" s="1643"/>
      <c r="AB602" s="1643"/>
      <c r="AD602" s="73"/>
      <c r="AE602" s="1647"/>
      <c r="AF602" s="73"/>
      <c r="AR602" s="143"/>
    </row>
    <row r="603" spans="1:44" ht="15" customHeight="1">
      <c r="A603" s="1182"/>
      <c r="B603" s="1177"/>
      <c r="C603" s="1660"/>
      <c r="D603" s="1660"/>
      <c r="E603" s="170"/>
      <c r="F603" s="1642"/>
      <c r="H603" s="1653"/>
      <c r="I603" s="1653"/>
      <c r="J603" s="1653"/>
      <c r="K603" s="1653"/>
      <c r="L603" s="1661"/>
      <c r="M603" s="1661"/>
      <c r="Y603" s="143"/>
      <c r="Z603" s="1643"/>
      <c r="AB603" s="1643"/>
      <c r="AD603" s="73"/>
      <c r="AE603" s="1647"/>
      <c r="AF603" s="73"/>
      <c r="AR603" s="143"/>
    </row>
    <row r="604" spans="1:44" ht="15" customHeight="1">
      <c r="A604" s="1182"/>
      <c r="B604" s="1655" t="s">
        <v>3218</v>
      </c>
      <c r="C604" s="1655"/>
      <c r="D604" s="170"/>
      <c r="E604" s="170"/>
      <c r="F604" s="124"/>
      <c r="H604" s="1757"/>
      <c r="I604" s="1757"/>
      <c r="J604" s="1757"/>
      <c r="K604" s="1650"/>
      <c r="L604" s="1643"/>
      <c r="W604" s="1639"/>
      <c r="X604" s="1639"/>
      <c r="Y604" s="1639"/>
      <c r="Z604" s="1643"/>
      <c r="AB604" s="1643"/>
      <c r="AD604" s="1647"/>
      <c r="AF604" s="1647"/>
      <c r="AR604" s="143"/>
    </row>
    <row r="605" spans="1:44" ht="20.100000000000001" customHeight="1">
      <c r="A605" s="1182"/>
      <c r="B605" s="1762" t="s">
        <v>3202</v>
      </c>
      <c r="C605" s="1667"/>
      <c r="D605" s="1667"/>
      <c r="E605" s="1667"/>
      <c r="F605" s="1763"/>
      <c r="G605" s="1667"/>
      <c r="H605" s="1764"/>
      <c r="I605" s="1783" t="s">
        <v>3220</v>
      </c>
      <c r="J605" s="1764"/>
      <c r="K605" s="1764"/>
      <c r="L605" s="1668"/>
      <c r="M605" s="1667"/>
      <c r="N605" s="1667"/>
      <c r="O605" s="1667"/>
      <c r="P605" s="1667"/>
      <c r="Q605" s="1667"/>
      <c r="R605" s="1667"/>
      <c r="S605" s="1667"/>
      <c r="T605" s="1667"/>
      <c r="U605" s="1668"/>
      <c r="V605" s="1668"/>
      <c r="W605" s="1668"/>
      <c r="X605" s="1668"/>
      <c r="Y605" s="1667"/>
      <c r="Z605" s="1668"/>
      <c r="AA605" s="1667"/>
      <c r="AB605" s="1668"/>
      <c r="AC605" s="1667"/>
      <c r="AD605" s="1668"/>
      <c r="AE605" s="1667"/>
      <c r="AF605" s="1667"/>
      <c r="AG605" s="1667"/>
      <c r="AH605" s="1667"/>
      <c r="AI605" s="1667"/>
      <c r="AJ605" s="1774"/>
      <c r="AK605" s="1667"/>
      <c r="AL605" s="1772" t="s">
        <v>3219</v>
      </c>
      <c r="AM605" s="1764"/>
      <c r="AN605" s="1764"/>
      <c r="AO605" s="1764"/>
      <c r="AP605" s="1764"/>
      <c r="AQ605" s="1764"/>
      <c r="AR605" s="143"/>
    </row>
    <row r="606" spans="1:44" ht="15" customHeight="1">
      <c r="B606" s="124" t="s">
        <v>3136</v>
      </c>
      <c r="C606" s="1639"/>
      <c r="D606" s="1639"/>
      <c r="E606" s="170"/>
      <c r="F606" s="124"/>
      <c r="G606" s="170"/>
      <c r="H606" s="1760"/>
      <c r="I606" s="1775" t="s">
        <v>3224</v>
      </c>
      <c r="J606" s="170"/>
      <c r="K606" s="170"/>
      <c r="L606" s="170"/>
      <c r="M606" s="170"/>
      <c r="N606" s="170"/>
      <c r="O606" s="170"/>
      <c r="P606" s="170"/>
      <c r="Q606" s="170"/>
      <c r="R606" s="1642" t="s">
        <v>3103</v>
      </c>
      <c r="S606" s="115" t="str">
        <f>"[ "&amp;ROUND(H602,2)&amp;"² + ("&amp;AE452&amp;" - "&amp;ROUND(H602,2)&amp;")² ] / 2 / "&amp;AE452</f>
        <v>[ 22.33² + (40 - 22.33)² ] / 2 / 40</v>
      </c>
      <c r="T606" s="115"/>
      <c r="U606" s="115"/>
      <c r="V606" s="124"/>
      <c r="W606" s="1765"/>
      <c r="X606" s="115"/>
      <c r="Y606" s="124"/>
      <c r="Z606" s="170"/>
      <c r="AA606" s="115"/>
      <c r="AB606" s="115"/>
      <c r="AC606" s="115"/>
      <c r="AD606" s="1639"/>
      <c r="AE606" s="170"/>
      <c r="AF606" s="170"/>
      <c r="AG606" s="1642" t="s">
        <v>3103</v>
      </c>
      <c r="AH606" s="2093">
        <f>+(H602^2+(AE452-H602)^2)/2/AE452</f>
        <v>10.135780955229558</v>
      </c>
      <c r="AI606" s="2093"/>
      <c r="AJ606" s="2297"/>
      <c r="AK606" s="170"/>
      <c r="AL606" s="170" t="s">
        <v>3203</v>
      </c>
      <c r="AM606" s="143"/>
      <c r="AN606" s="76" t="s">
        <v>3103</v>
      </c>
      <c r="AO606" s="2111">
        <f t="shared" ref="AO606:AO613" si="7">+AH606*AK522/1000</f>
        <v>446.78522450651894</v>
      </c>
      <c r="AP606" s="2111"/>
      <c r="AQ606" s="2111"/>
      <c r="AR606" s="143"/>
    </row>
    <row r="607" spans="1:44" ht="15" customHeight="1">
      <c r="B607" s="124" t="s">
        <v>3137</v>
      </c>
      <c r="C607" s="1639"/>
      <c r="D607" s="1639"/>
      <c r="E607" s="170"/>
      <c r="F607" s="124"/>
      <c r="G607" s="170"/>
      <c r="H607" s="1760"/>
      <c r="I607" s="1721" t="s">
        <v>3225</v>
      </c>
      <c r="J607" s="170"/>
      <c r="K607" s="170"/>
      <c r="L607" s="170"/>
      <c r="M607" s="170"/>
      <c r="N607" s="170"/>
      <c r="O607" s="170"/>
      <c r="P607" s="170"/>
      <c r="Q607" s="170"/>
      <c r="R607" s="1642" t="s">
        <v>3103</v>
      </c>
      <c r="S607" s="2094">
        <f>+AE452</f>
        <v>40</v>
      </c>
      <c r="T607" s="2094"/>
      <c r="U607" s="741" t="s">
        <v>3194</v>
      </c>
      <c r="V607" s="2250">
        <f>+AE456</f>
        <v>3200</v>
      </c>
      <c r="W607" s="1944"/>
      <c r="X607" s="1944"/>
      <c r="Y607" s="741" t="s">
        <v>3195</v>
      </c>
      <c r="Z607" s="2117">
        <f>+H602</f>
        <v>22.330501707611962</v>
      </c>
      <c r="AA607" s="1944"/>
      <c r="AB607" s="1944"/>
      <c r="AC607" s="741" t="s">
        <v>3194</v>
      </c>
      <c r="AD607" s="2094">
        <f>+AE454</f>
        <v>30</v>
      </c>
      <c r="AE607" s="1862"/>
      <c r="AF607" s="124" t="s">
        <v>3228</v>
      </c>
      <c r="AG607" s="1642" t="s">
        <v>3103</v>
      </c>
      <c r="AH607" s="1862">
        <f>S607+V607-Z607+AD607/2</f>
        <v>3232.6694982923882</v>
      </c>
      <c r="AI607" s="1862"/>
      <c r="AJ607" s="2292"/>
      <c r="AK607" s="170"/>
      <c r="AL607" s="170" t="s">
        <v>3204</v>
      </c>
      <c r="AM607" s="143"/>
      <c r="AN607" s="76" t="s">
        <v>3103</v>
      </c>
      <c r="AO607" s="2111">
        <f t="shared" si="7"/>
        <v>67808.475396181137</v>
      </c>
      <c r="AP607" s="2111"/>
      <c r="AQ607" s="2111"/>
      <c r="AR607" s="143"/>
    </row>
    <row r="608" spans="1:44" ht="15" customHeight="1">
      <c r="B608" s="124" t="s">
        <v>3138</v>
      </c>
      <c r="C608" s="1639"/>
      <c r="D608" s="1639"/>
      <c r="E608" s="170"/>
      <c r="F608" s="124"/>
      <c r="G608" s="170"/>
      <c r="H608" s="1760"/>
      <c r="I608" s="1775" t="s">
        <v>3226</v>
      </c>
      <c r="J608" s="170"/>
      <c r="K608" s="170"/>
      <c r="L608" s="170"/>
      <c r="M608" s="170"/>
      <c r="N608" s="170"/>
      <c r="O608" s="170"/>
      <c r="P608" s="170"/>
      <c r="Q608" s="170"/>
      <c r="R608" s="1642" t="s">
        <v>3103</v>
      </c>
      <c r="S608" s="2094">
        <f>+AE452</f>
        <v>40</v>
      </c>
      <c r="T608" s="1862"/>
      <c r="U608" s="124" t="s">
        <v>3195</v>
      </c>
      <c r="V608" s="2093">
        <f>+H602</f>
        <v>22.330501707611962</v>
      </c>
      <c r="W608" s="1862"/>
      <c r="X608" s="1862"/>
      <c r="Y608" s="124" t="s">
        <v>3194</v>
      </c>
      <c r="Z608" s="2094">
        <f>+AE456</f>
        <v>3200</v>
      </c>
      <c r="AA608" s="1862"/>
      <c r="AB608" s="1862"/>
      <c r="AC608" s="124" t="s">
        <v>3229</v>
      </c>
      <c r="AD608" s="170"/>
      <c r="AE608" s="170"/>
      <c r="AF608" s="170"/>
      <c r="AG608" s="1642" t="s">
        <v>3103</v>
      </c>
      <c r="AH608" s="1862">
        <f>+S608-V608+Z608/2</f>
        <v>1617.669498292388</v>
      </c>
      <c r="AI608" s="1862"/>
      <c r="AJ608" s="2292"/>
      <c r="AK608" s="170"/>
      <c r="AL608" s="124" t="s">
        <v>3215</v>
      </c>
      <c r="AM608" s="143"/>
      <c r="AN608" s="76" t="s">
        <v>3103</v>
      </c>
      <c r="AO608" s="2111">
        <f t="shared" si="7"/>
        <v>51855.264144453082</v>
      </c>
      <c r="AP608" s="2111"/>
      <c r="AQ608" s="2111"/>
      <c r="AR608" s="143"/>
    </row>
    <row r="609" spans="1:44" ht="15" customHeight="1">
      <c r="B609" s="124" t="s">
        <v>3139</v>
      </c>
      <c r="C609" s="1639"/>
      <c r="D609" s="1639"/>
      <c r="E609" s="170"/>
      <c r="F609" s="124"/>
      <c r="G609" s="170"/>
      <c r="H609" s="1760"/>
      <c r="I609" s="1721" t="s">
        <v>3227</v>
      </c>
      <c r="J609" s="170"/>
      <c r="K609" s="170"/>
      <c r="L609" s="170"/>
      <c r="M609" s="170"/>
      <c r="N609" s="170"/>
      <c r="O609" s="170"/>
      <c r="P609" s="170"/>
      <c r="Q609" s="170"/>
      <c r="R609" s="1642" t="s">
        <v>3103</v>
      </c>
      <c r="S609" s="2093">
        <f>+H602</f>
        <v>22.330501707611962</v>
      </c>
      <c r="T609" s="2093"/>
      <c r="U609" s="2093"/>
      <c r="V609" s="124" t="s">
        <v>3194</v>
      </c>
      <c r="W609" s="2094">
        <f>+AE463</f>
        <v>0</v>
      </c>
      <c r="X609" s="2094"/>
      <c r="Y609" s="124" t="s">
        <v>3194</v>
      </c>
      <c r="Z609" s="2094">
        <f>+AE462</f>
        <v>290</v>
      </c>
      <c r="AA609" s="2094"/>
      <c r="AB609" s="2094"/>
      <c r="AC609" s="124" t="s">
        <v>3230</v>
      </c>
      <c r="AD609" s="1639"/>
      <c r="AE609" s="2094">
        <f>+AE452</f>
        <v>40</v>
      </c>
      <c r="AF609" s="1862"/>
      <c r="AG609" s="1642" t="s">
        <v>3103</v>
      </c>
      <c r="AH609" s="1862">
        <f>S609+W609+Z609/2-AE609</f>
        <v>127.33050170761197</v>
      </c>
      <c r="AI609" s="1862"/>
      <c r="AJ609" s="2292"/>
      <c r="AK609" s="170"/>
      <c r="AL609" s="170" t="s">
        <v>3205</v>
      </c>
      <c r="AM609" s="143"/>
      <c r="AN609" s="76" t="s">
        <v>3103</v>
      </c>
      <c r="AO609" s="2111">
        <f t="shared" si="7"/>
        <v>5987.064273979202</v>
      </c>
      <c r="AP609" s="2111"/>
      <c r="AQ609" s="2111"/>
      <c r="AR609" s="143"/>
    </row>
    <row r="610" spans="1:44" ht="15" customHeight="1">
      <c r="B610" s="124" t="s">
        <v>3141</v>
      </c>
      <c r="C610" s="1639"/>
      <c r="D610" s="1639"/>
      <c r="E610" s="170"/>
      <c r="F610" s="124"/>
      <c r="G610" s="170"/>
      <c r="H610" s="1760"/>
      <c r="I610" s="1784" t="s">
        <v>1986</v>
      </c>
      <c r="J610" s="170"/>
      <c r="K610" s="170"/>
      <c r="L610" s="170"/>
      <c r="M610" s="170"/>
      <c r="N610" s="170"/>
      <c r="O610" s="170"/>
      <c r="P610" s="170"/>
      <c r="Q610" s="170"/>
      <c r="R610" s="1642" t="s">
        <v>3103</v>
      </c>
      <c r="S610" s="2094">
        <f>+S608</f>
        <v>40</v>
      </c>
      <c r="T610" s="2094"/>
      <c r="U610" s="741" t="s">
        <v>3195</v>
      </c>
      <c r="V610" s="2117">
        <f>+H602</f>
        <v>22.330501707611962</v>
      </c>
      <c r="W610" s="1944"/>
      <c r="X610" s="1944"/>
      <c r="Y610" s="741" t="s">
        <v>3194</v>
      </c>
      <c r="Z610" s="2250">
        <f>+AE471</f>
        <v>0</v>
      </c>
      <c r="AA610" s="1944"/>
      <c r="AB610" s="1944"/>
      <c r="AC610" s="741" t="s">
        <v>3229</v>
      </c>
      <c r="AD610" s="1639"/>
      <c r="AE610" s="1639"/>
      <c r="AF610" s="170"/>
      <c r="AG610" s="1642" t="s">
        <v>3103</v>
      </c>
      <c r="AH610" s="1862">
        <f>S610-V610+Z610/2</f>
        <v>17.669498292388038</v>
      </c>
      <c r="AI610" s="1862"/>
      <c r="AJ610" s="2292"/>
      <c r="AK610" s="170"/>
      <c r="AL610" s="170" t="s">
        <v>3206</v>
      </c>
      <c r="AM610" s="143"/>
      <c r="AN610" s="76" t="s">
        <v>3103</v>
      </c>
      <c r="AO610" s="2111">
        <f t="shared" si="7"/>
        <v>0</v>
      </c>
      <c r="AP610" s="2111"/>
      <c r="AQ610" s="2111"/>
      <c r="AR610" s="143"/>
    </row>
    <row r="611" spans="1:44" ht="15" customHeight="1">
      <c r="B611" s="124" t="s">
        <v>3140</v>
      </c>
      <c r="C611" s="1639"/>
      <c r="D611" s="1639"/>
      <c r="E611" s="170"/>
      <c r="F611" s="124"/>
      <c r="G611" s="170"/>
      <c r="H611" s="1760"/>
      <c r="I611" s="1784" t="s">
        <v>1987</v>
      </c>
      <c r="J611" s="170"/>
      <c r="K611" s="170"/>
      <c r="L611" s="170"/>
      <c r="M611" s="170"/>
      <c r="N611" s="170"/>
      <c r="O611" s="170"/>
      <c r="P611" s="170"/>
      <c r="Q611" s="170"/>
      <c r="R611" s="1642" t="s">
        <v>3103</v>
      </c>
      <c r="S611" s="2094">
        <f>+S610</f>
        <v>40</v>
      </c>
      <c r="T611" s="2094"/>
      <c r="U611" s="741" t="s">
        <v>3195</v>
      </c>
      <c r="V611" s="2117">
        <f>+H602</f>
        <v>22.330501707611962</v>
      </c>
      <c r="W611" s="1944"/>
      <c r="X611" s="1944"/>
      <c r="Y611" s="741" t="s">
        <v>3194</v>
      </c>
      <c r="Z611" s="2250">
        <f>+Z608</f>
        <v>3200</v>
      </c>
      <c r="AA611" s="1944"/>
      <c r="AB611" s="1944"/>
      <c r="AC611" s="1642" t="s">
        <v>3195</v>
      </c>
      <c r="AD611" s="2094">
        <f>+AE468</f>
        <v>160</v>
      </c>
      <c r="AE611" s="1862"/>
      <c r="AF611" s="124" t="s">
        <v>3228</v>
      </c>
      <c r="AG611" s="1642" t="s">
        <v>3103</v>
      </c>
      <c r="AH611" s="1862">
        <f>S611-V611+Z611-AD611/2</f>
        <v>3137.6694982923882</v>
      </c>
      <c r="AI611" s="1862"/>
      <c r="AJ611" s="2292"/>
      <c r="AK611" s="170"/>
      <c r="AL611" s="170" t="s">
        <v>3207</v>
      </c>
      <c r="AM611" s="143"/>
      <c r="AN611" s="76" t="s">
        <v>3103</v>
      </c>
      <c r="AO611" s="2111">
        <f t="shared" si="7"/>
        <v>6104.6497758776704</v>
      </c>
      <c r="AP611" s="2111"/>
      <c r="AQ611" s="2111"/>
      <c r="AR611" s="143"/>
    </row>
    <row r="612" spans="1:44" ht="15" customHeight="1">
      <c r="B612" s="124" t="s">
        <v>3142</v>
      </c>
      <c r="C612" s="1639"/>
      <c r="D612" s="1639"/>
      <c r="E612" s="170"/>
      <c r="F612" s="124"/>
      <c r="G612" s="170"/>
      <c r="H612" s="1760"/>
      <c r="I612" s="1784" t="s">
        <v>3231</v>
      </c>
      <c r="J612" s="170"/>
      <c r="K612" s="170"/>
      <c r="L612" s="170"/>
      <c r="M612" s="170"/>
      <c r="N612" s="170"/>
      <c r="O612" s="170"/>
      <c r="P612" s="170"/>
      <c r="Q612" s="170"/>
      <c r="R612" s="1642" t="s">
        <v>3103</v>
      </c>
      <c r="S612" s="2096">
        <f>+AE462</f>
        <v>290</v>
      </c>
      <c r="T612" s="2096"/>
      <c r="U612" s="2096"/>
      <c r="V612" s="124" t="s">
        <v>3195</v>
      </c>
      <c r="W612" s="2094">
        <f>+AE448</f>
        <v>50</v>
      </c>
      <c r="X612" s="2094"/>
      <c r="Y612" s="124" t="s">
        <v>3194</v>
      </c>
      <c r="Z612" s="2094">
        <f>+AE463</f>
        <v>0</v>
      </c>
      <c r="AA612" s="2094"/>
      <c r="AB612" s="741" t="str">
        <f>"- "&amp;AE452&amp;" + "&amp;ROUND(H602,2)</f>
        <v>- 40 + 22.33</v>
      </c>
      <c r="AC612" s="1642"/>
      <c r="AD612" s="1766"/>
      <c r="AE612" s="115"/>
      <c r="AF612" s="115"/>
      <c r="AG612" s="1642" t="s">
        <v>3103</v>
      </c>
      <c r="AH612" s="2096">
        <f>S612-W612+Z612-S611+H602</f>
        <v>222.33050170761197</v>
      </c>
      <c r="AI612" s="2096"/>
      <c r="AJ612" s="2251"/>
      <c r="AK612" s="170"/>
      <c r="AL612" s="170" t="s">
        <v>3208</v>
      </c>
      <c r="AM612" s="143"/>
      <c r="AN612" s="76" t="s">
        <v>3103</v>
      </c>
      <c r="AO612" s="2111">
        <f t="shared" si="7"/>
        <v>680.80053250147739</v>
      </c>
      <c r="AP612" s="2111"/>
      <c r="AQ612" s="2111"/>
      <c r="AR612" s="143"/>
    </row>
    <row r="613" spans="1:44" ht="15" customHeight="1">
      <c r="B613" s="124" t="s">
        <v>3143</v>
      </c>
      <c r="C613" s="1639"/>
      <c r="D613" s="1639"/>
      <c r="E613" s="170"/>
      <c r="F613" s="124"/>
      <c r="G613" s="170"/>
      <c r="H613" s="1760"/>
      <c r="I613" s="1784" t="s">
        <v>1989</v>
      </c>
      <c r="J613" s="170"/>
      <c r="K613" s="170"/>
      <c r="L613" s="170"/>
      <c r="M613" s="170"/>
      <c r="N613" s="170"/>
      <c r="O613" s="170"/>
      <c r="P613" s="170"/>
      <c r="Q613" s="170"/>
      <c r="R613" s="1642" t="s">
        <v>3103</v>
      </c>
      <c r="S613" s="2096">
        <f>+S612</f>
        <v>290</v>
      </c>
      <c r="T613" s="2096"/>
      <c r="U613" s="2096"/>
      <c r="V613" s="124" t="s">
        <v>3195</v>
      </c>
      <c r="W613" s="2094">
        <f>+AE449</f>
        <v>250</v>
      </c>
      <c r="X613" s="2094"/>
      <c r="Y613" s="124" t="s">
        <v>3194</v>
      </c>
      <c r="Z613" s="2094">
        <f>+AE463</f>
        <v>0</v>
      </c>
      <c r="AA613" s="2094"/>
      <c r="AB613" s="741" t="str">
        <f>"- "&amp;AE452&amp;" + "&amp;ROUND(H602,2)</f>
        <v>- 40 + 22.33</v>
      </c>
      <c r="AC613" s="1642"/>
      <c r="AD613" s="1766"/>
      <c r="AE613" s="115"/>
      <c r="AF613" s="115"/>
      <c r="AG613" s="1642" t="s">
        <v>3103</v>
      </c>
      <c r="AH613" s="2093">
        <f>S613-W613+Z613-S611+H602</f>
        <v>22.330501707611962</v>
      </c>
      <c r="AI613" s="2093"/>
      <c r="AJ613" s="2297"/>
      <c r="AK613" s="170"/>
      <c r="AL613" s="170" t="s">
        <v>3209</v>
      </c>
      <c r="AM613" s="143"/>
      <c r="AN613" s="76" t="s">
        <v>3103</v>
      </c>
      <c r="AO613" s="2111">
        <f t="shared" si="7"/>
        <v>48.489988687908287</v>
      </c>
      <c r="AP613" s="2111"/>
      <c r="AQ613" s="2111"/>
      <c r="AR613" s="143"/>
    </row>
    <row r="614" spans="1:44" ht="15" customHeight="1">
      <c r="B614" s="124" t="s">
        <v>3144</v>
      </c>
      <c r="C614" s="170"/>
      <c r="D614" s="170"/>
      <c r="E614" s="170"/>
      <c r="F614" s="124"/>
      <c r="G614" s="170"/>
      <c r="H614" s="1760"/>
      <c r="I614" s="1776"/>
      <c r="J614" s="170"/>
      <c r="K614" s="170"/>
      <c r="L614" s="1639"/>
      <c r="M614" s="170"/>
      <c r="N614" s="170"/>
      <c r="O614" s="170"/>
      <c r="P614" s="170"/>
      <c r="Q614" s="170"/>
      <c r="R614" s="170"/>
      <c r="S614" s="170"/>
      <c r="T614" s="170"/>
      <c r="U614" s="1639"/>
      <c r="V614" s="1639"/>
      <c r="W614" s="1639"/>
      <c r="X614" s="1639"/>
      <c r="Y614" s="170"/>
      <c r="Z614" s="1639"/>
      <c r="AA614" s="170"/>
      <c r="AB614" s="1644"/>
      <c r="AC614" s="122"/>
      <c r="AD614" s="1644"/>
      <c r="AE614" s="122"/>
      <c r="AF614" s="122"/>
      <c r="AG614" s="122"/>
      <c r="AH614" s="122"/>
      <c r="AI614" s="122"/>
      <c r="AJ614" s="1777"/>
      <c r="AK614" s="170"/>
      <c r="AL614" s="1760"/>
      <c r="AM614" s="143"/>
      <c r="AN614" s="76"/>
      <c r="AO614" s="2111"/>
      <c r="AP614" s="2111"/>
      <c r="AQ614" s="2111"/>
      <c r="AR614" s="143"/>
    </row>
    <row r="615" spans="1:44" ht="15" customHeight="1">
      <c r="B615" s="1335" t="s">
        <v>3128</v>
      </c>
      <c r="C615" s="1333"/>
      <c r="D615" s="1333"/>
      <c r="E615" s="1333"/>
      <c r="F615" s="1335"/>
      <c r="G615" s="1333"/>
      <c r="H615" s="1761"/>
      <c r="I615" s="1785" t="s">
        <v>1721</v>
      </c>
      <c r="J615" s="1333"/>
      <c r="K615" s="1333"/>
      <c r="L615" s="1333"/>
      <c r="M615" s="1333"/>
      <c r="N615" s="1333"/>
      <c r="O615" s="1333"/>
      <c r="P615" s="1333"/>
      <c r="Q615" s="1333"/>
      <c r="R615" s="1480" t="s">
        <v>3103</v>
      </c>
      <c r="S615" s="2180">
        <f>+S611</f>
        <v>40</v>
      </c>
      <c r="T615" s="2180"/>
      <c r="U615" s="1779" t="s">
        <v>3195</v>
      </c>
      <c r="V615" s="2185">
        <f>+H602</f>
        <v>22.330501707611962</v>
      </c>
      <c r="W615" s="2258"/>
      <c r="X615" s="2258"/>
      <c r="Y615" s="1779" t="s">
        <v>3194</v>
      </c>
      <c r="Z615" s="2257">
        <f>+Z611</f>
        <v>3200</v>
      </c>
      <c r="AA615" s="2258"/>
      <c r="AB615" s="2258"/>
      <c r="AC615" s="1779" t="s">
        <v>3195</v>
      </c>
      <c r="AD615" s="2257">
        <f>+AE464</f>
        <v>600</v>
      </c>
      <c r="AE615" s="2258"/>
      <c r="AF615" s="1335" t="s">
        <v>3228</v>
      </c>
      <c r="AG615" s="1480" t="s">
        <v>3103</v>
      </c>
      <c r="AH615" s="2104">
        <f>S615-V615+Z615-AD615/2</f>
        <v>2917.6694982923882</v>
      </c>
      <c r="AI615" s="2104"/>
      <c r="AJ615" s="2245"/>
      <c r="AK615" s="1333"/>
      <c r="AL615" s="1333" t="s">
        <v>3210</v>
      </c>
      <c r="AM615" s="1333"/>
      <c r="AN615" s="1433" t="s">
        <v>3103</v>
      </c>
      <c r="AO615" s="2149">
        <f>+AH615*AK531/1000</f>
        <v>124620.95844581362</v>
      </c>
      <c r="AP615" s="2149"/>
      <c r="AQ615" s="2149"/>
      <c r="AR615" s="143"/>
    </row>
    <row r="616" spans="1:44" ht="15" customHeight="1">
      <c r="A616" s="1182"/>
      <c r="B616" s="1177"/>
      <c r="C616" s="1655"/>
      <c r="D616" s="170"/>
      <c r="E616" s="170"/>
      <c r="F616" s="124"/>
      <c r="H616" s="1757"/>
      <c r="I616" s="1757"/>
      <c r="J616" s="1757"/>
      <c r="K616" s="1650"/>
      <c r="L616" s="1643"/>
      <c r="X616" s="1639"/>
      <c r="Y616" s="1639"/>
      <c r="Z616" s="1639"/>
      <c r="AA616" s="1643"/>
      <c r="AB616" s="143"/>
      <c r="AC616" s="1643"/>
      <c r="AD616" s="143"/>
      <c r="AE616" s="1647"/>
      <c r="AF616" s="73"/>
      <c r="AG616" s="1647"/>
      <c r="AI616" s="1648" t="s">
        <v>3211</v>
      </c>
      <c r="AJ616" s="143"/>
      <c r="AN616" s="76" t="s">
        <v>3103</v>
      </c>
      <c r="AO616" s="2246">
        <f>+SUM(AO606:AQ615)</f>
        <v>257552.48778200062</v>
      </c>
      <c r="AP616" s="2246"/>
      <c r="AQ616" s="2246"/>
      <c r="AR616" s="2246"/>
    </row>
    <row r="617" spans="1:44" ht="15" customHeight="1">
      <c r="A617" s="1182"/>
      <c r="B617" s="1177"/>
      <c r="G617" s="4"/>
      <c r="L617" s="143"/>
      <c r="Y617" s="143"/>
      <c r="AB617" s="143"/>
      <c r="AD617" s="143"/>
      <c r="AE617" s="143"/>
      <c r="AF617" s="143"/>
      <c r="AG617" s="143"/>
      <c r="AH617" s="143"/>
      <c r="AI617" s="143"/>
      <c r="AJ617" s="143"/>
      <c r="AK617" s="143"/>
      <c r="AL617" s="143"/>
      <c r="AR617" s="143"/>
    </row>
    <row r="618" spans="1:44" ht="15" customHeight="1">
      <c r="A618" s="1182"/>
      <c r="B618" s="1177" t="s">
        <v>3221</v>
      </c>
      <c r="C618" s="95" t="s">
        <v>3232</v>
      </c>
      <c r="G618" s="4"/>
      <c r="H618" s="4"/>
      <c r="I618" s="4"/>
      <c r="L618" s="1643"/>
      <c r="Y618" s="143"/>
      <c r="Z618" s="1643"/>
      <c r="AB618" s="1643"/>
      <c r="AD618" s="73"/>
      <c r="AE618" s="1647"/>
      <c r="AF618" s="73"/>
      <c r="AR618" s="143"/>
    </row>
    <row r="619" spans="1:44" ht="15" customHeight="1">
      <c r="A619" s="1182"/>
      <c r="B619" s="1177"/>
      <c r="C619" s="1655" t="s">
        <v>3193</v>
      </c>
      <c r="D619" s="1655"/>
      <c r="F619" s="741" t="s">
        <v>3103</v>
      </c>
      <c r="G619" s="4"/>
      <c r="H619" s="1655" t="s">
        <v>3016</v>
      </c>
      <c r="I619" s="1752"/>
      <c r="J619" s="1752"/>
      <c r="K619" s="1752"/>
      <c r="L619" s="1752"/>
      <c r="M619" s="1752"/>
      <c r="N619" s="170"/>
      <c r="O619" s="170"/>
      <c r="P619" s="170"/>
      <c r="Q619" s="170"/>
      <c r="R619" s="170"/>
      <c r="S619" s="170"/>
      <c r="T619" s="170"/>
      <c r="U619" s="170"/>
      <c r="V619" s="170"/>
      <c r="W619" s="170"/>
      <c r="Y619" s="143"/>
      <c r="Z619" s="1643"/>
      <c r="AB619" s="1643"/>
      <c r="AD619" s="73"/>
      <c r="AE619" s="1647"/>
      <c r="AF619" s="73"/>
      <c r="AR619" s="143"/>
    </row>
    <row r="620" spans="1:44" ht="15" customHeight="1">
      <c r="A620" s="1182"/>
      <c r="B620" s="1177"/>
      <c r="C620" s="1660"/>
      <c r="D620" s="1660"/>
      <c r="E620" s="170"/>
      <c r="F620" s="1944" t="s">
        <v>3103</v>
      </c>
      <c r="H620" s="2299">
        <f>+AE462</f>
        <v>290</v>
      </c>
      <c r="I620" s="2299"/>
      <c r="J620" s="2299"/>
      <c r="K620" s="1944" t="s">
        <v>3196</v>
      </c>
      <c r="L620" s="2090">
        <f>+AK523</f>
        <v>20976</v>
      </c>
      <c r="M620" s="2090"/>
      <c r="N620" s="2090"/>
      <c r="O620" s="1779" t="s">
        <v>3194</v>
      </c>
      <c r="P620" s="2090">
        <f>+AK527</f>
        <v>1945.6</v>
      </c>
      <c r="Q620" s="2090"/>
      <c r="R620" s="2090"/>
      <c r="S620" s="1779" t="s">
        <v>3194</v>
      </c>
      <c r="T620" s="2090">
        <f>+AK530</f>
        <v>2412.7431579569611</v>
      </c>
      <c r="U620" s="2090"/>
      <c r="V620" s="2090"/>
      <c r="W620" s="1779" t="s">
        <v>3194</v>
      </c>
      <c r="X620" s="2090">
        <f>+AK524</f>
        <v>32055.536807235036</v>
      </c>
      <c r="Y620" s="2090"/>
      <c r="Z620" s="2090"/>
      <c r="AA620" s="1780" t="s">
        <v>3194</v>
      </c>
      <c r="AB620" s="2149">
        <f>+AK526</f>
        <v>0</v>
      </c>
      <c r="AC620" s="2149"/>
      <c r="AD620" s="2149"/>
      <c r="AE620" s="1779" t="s">
        <v>3194</v>
      </c>
      <c r="AF620" s="2090">
        <f>+AK522</f>
        <v>44080</v>
      </c>
      <c r="AG620" s="2090"/>
      <c r="AH620" s="2090"/>
      <c r="AI620" s="1780" t="s">
        <v>3195</v>
      </c>
      <c r="AJ620" s="2149">
        <f>+AK529</f>
        <v>2171.4688421612645</v>
      </c>
      <c r="AK620" s="2149"/>
      <c r="AL620" s="2149"/>
      <c r="AM620" s="1780" t="s">
        <v>3195</v>
      </c>
      <c r="AN620" s="2149">
        <f>+AK528</f>
        <v>3062.1103594539709</v>
      </c>
      <c r="AO620" s="2149"/>
      <c r="AP620" s="2149"/>
      <c r="AQ620" s="2179" t="s">
        <v>3107</v>
      </c>
      <c r="AR620" s="143"/>
    </row>
    <row r="621" spans="1:44" ht="15" customHeight="1">
      <c r="A621" s="1182"/>
      <c r="B621" s="1177"/>
      <c r="C621" s="1660"/>
      <c r="D621" s="1660"/>
      <c r="E621" s="170"/>
      <c r="F621" s="1944"/>
      <c r="H621" s="2299"/>
      <c r="I621" s="2299"/>
      <c r="J621" s="2299"/>
      <c r="K621" s="1944"/>
      <c r="L621" s="170"/>
      <c r="M621" s="170"/>
      <c r="N621" s="170"/>
      <c r="O621" s="170"/>
      <c r="P621" s="170"/>
      <c r="Q621" s="170"/>
      <c r="R621" s="170"/>
      <c r="S621" s="170"/>
      <c r="T621" s="170"/>
      <c r="U621" s="170"/>
      <c r="V621" s="170"/>
      <c r="W621" s="170"/>
      <c r="X621" s="115"/>
      <c r="Y621" s="2135">
        <f>+AK525</f>
        <v>47019.875</v>
      </c>
      <c r="Z621" s="2135"/>
      <c r="AA621" s="2135"/>
      <c r="AB621" s="170"/>
      <c r="AC621" s="1644"/>
      <c r="AD621" s="1644"/>
      <c r="AE621" s="122"/>
      <c r="AF621" s="1644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781"/>
      <c r="AQ621" s="2179"/>
      <c r="AR621" s="143"/>
    </row>
    <row r="622" spans="1:44" ht="15" customHeight="1">
      <c r="A622" s="1182"/>
      <c r="B622" s="1177"/>
      <c r="C622" s="1660"/>
      <c r="D622" s="1660"/>
      <c r="E622" s="170"/>
      <c r="F622" s="1642" t="s">
        <v>3103</v>
      </c>
      <c r="H622" s="2252">
        <f>H620*(L620+P620+T620+X620+AB620+AF620-AJ620-AN620)/Y621</f>
        <v>593.54745671776584</v>
      </c>
      <c r="I622" s="2252"/>
      <c r="J622" s="2252"/>
      <c r="K622" s="2252"/>
      <c r="L622" s="1661"/>
      <c r="M622" s="1661"/>
      <c r="Y622" s="143"/>
      <c r="Z622" s="1643"/>
      <c r="AB622" s="1643"/>
      <c r="AD622" s="73"/>
      <c r="AE622" s="1647"/>
      <c r="AF622" s="73"/>
      <c r="AR622" s="143"/>
    </row>
    <row r="623" spans="1:44" ht="15" customHeight="1">
      <c r="A623" s="1182"/>
      <c r="B623" s="1177"/>
      <c r="C623" s="1660"/>
      <c r="D623" s="1660"/>
      <c r="E623" s="170"/>
      <c r="F623" s="1642"/>
      <c r="H623" s="1653"/>
      <c r="I623" s="1653"/>
      <c r="J623" s="1653"/>
      <c r="K623" s="1653"/>
      <c r="L623" s="1661"/>
      <c r="M623" s="1661"/>
      <c r="Y623" s="143"/>
      <c r="Z623" s="1643"/>
      <c r="AB623" s="1643"/>
      <c r="AD623" s="73"/>
      <c r="AE623" s="1647"/>
      <c r="AF623" s="73"/>
      <c r="AR623" s="143"/>
    </row>
    <row r="624" spans="1:44" ht="15" customHeight="1">
      <c r="A624" s="1182"/>
      <c r="B624" s="1655" t="s">
        <v>3218</v>
      </c>
      <c r="C624" s="1655"/>
      <c r="D624" s="170"/>
      <c r="E624" s="170"/>
      <c r="F624" s="124"/>
      <c r="H624" s="1757"/>
      <c r="I624" s="1757"/>
      <c r="J624" s="1757"/>
      <c r="K624" s="1650"/>
      <c r="L624" s="1643"/>
      <c r="W624" s="1639"/>
      <c r="X624" s="1639"/>
      <c r="Y624" s="1639"/>
      <c r="Z624" s="1643"/>
      <c r="AB624" s="1643"/>
      <c r="AD624" s="1647"/>
      <c r="AF624" s="1647"/>
      <c r="AR624" s="143"/>
    </row>
    <row r="625" spans="1:44" ht="20.100000000000001" customHeight="1">
      <c r="A625" s="1182"/>
      <c r="B625" s="1762" t="s">
        <v>3202</v>
      </c>
      <c r="C625" s="1667"/>
      <c r="D625" s="1667"/>
      <c r="E625" s="1667"/>
      <c r="F625" s="1763"/>
      <c r="G625" s="1667"/>
      <c r="H625" s="1764"/>
      <c r="I625" s="1783" t="s">
        <v>3220</v>
      </c>
      <c r="J625" s="1764"/>
      <c r="K625" s="1764"/>
      <c r="L625" s="1668"/>
      <c r="M625" s="1667"/>
      <c r="N625" s="1667"/>
      <c r="O625" s="1667"/>
      <c r="P625" s="1667"/>
      <c r="Q625" s="1667"/>
      <c r="R625" s="1667"/>
      <c r="S625" s="1667"/>
      <c r="T625" s="1667"/>
      <c r="U625" s="1668"/>
      <c r="V625" s="1668"/>
      <c r="W625" s="1668"/>
      <c r="X625" s="1668"/>
      <c r="Y625" s="1667"/>
      <c r="Z625" s="1668"/>
      <c r="AA625" s="1667"/>
      <c r="AB625" s="1668"/>
      <c r="AC625" s="1667"/>
      <c r="AD625" s="1668"/>
      <c r="AE625" s="1667"/>
      <c r="AF625" s="1667"/>
      <c r="AG625" s="1667"/>
      <c r="AH625" s="1667"/>
      <c r="AI625" s="1667"/>
      <c r="AJ625" s="1774"/>
      <c r="AK625" s="1667"/>
      <c r="AL625" s="1772" t="s">
        <v>3219</v>
      </c>
      <c r="AM625" s="1764"/>
      <c r="AN625" s="1764"/>
      <c r="AO625" s="1764"/>
      <c r="AP625" s="1764"/>
      <c r="AQ625" s="1764"/>
      <c r="AR625" s="143"/>
    </row>
    <row r="626" spans="1:44" ht="15" customHeight="1">
      <c r="B626" s="124" t="s">
        <v>3136</v>
      </c>
      <c r="C626" s="1639"/>
      <c r="D626" s="1639"/>
      <c r="E626" s="170"/>
      <c r="F626" s="124"/>
      <c r="G626" s="170"/>
      <c r="H626" s="1760"/>
      <c r="I626" s="1788" t="s">
        <v>1993</v>
      </c>
      <c r="J626" s="1443"/>
      <c r="K626" s="170"/>
      <c r="L626" s="170"/>
      <c r="M626" s="170"/>
      <c r="N626" s="170"/>
      <c r="O626" s="170"/>
      <c r="P626" s="170"/>
      <c r="Q626" s="170"/>
      <c r="R626" s="1642" t="s">
        <v>3103</v>
      </c>
      <c r="S626" s="2264">
        <f>+AE462</f>
        <v>290</v>
      </c>
      <c r="T626" s="2135"/>
      <c r="U626" s="2135"/>
      <c r="V626" s="124" t="s">
        <v>3194</v>
      </c>
      <c r="W626" s="2264">
        <f>+AE463</f>
        <v>0</v>
      </c>
      <c r="X626" s="2264"/>
      <c r="Y626" s="124" t="s">
        <v>3195</v>
      </c>
      <c r="Z626" s="2298">
        <f>+H622</f>
        <v>593.54745671776584</v>
      </c>
      <c r="AA626" s="2135"/>
      <c r="AB626" s="2135"/>
      <c r="AC626" s="741" t="s">
        <v>3195</v>
      </c>
      <c r="AD626" s="2264">
        <f>+AE452</f>
        <v>40</v>
      </c>
      <c r="AE626" s="2135"/>
      <c r="AF626" s="124" t="s">
        <v>3228</v>
      </c>
      <c r="AG626" s="1642" t="s">
        <v>3103</v>
      </c>
      <c r="AH626" s="2093">
        <f>S626+W626-Z626-AD626/2</f>
        <v>-323.54745671776584</v>
      </c>
      <c r="AI626" s="2093"/>
      <c r="AJ626" s="2297"/>
      <c r="AK626" s="170"/>
      <c r="AL626" s="170" t="s">
        <v>3203</v>
      </c>
      <c r="AM626" s="143"/>
      <c r="AN626" s="76" t="s">
        <v>3103</v>
      </c>
      <c r="AO626" s="2111">
        <f t="shared" ref="AO626:AO633" si="8">+AH626*AK522/1000</f>
        <v>-14261.97189211912</v>
      </c>
      <c r="AP626" s="2111"/>
      <c r="AQ626" s="2111"/>
      <c r="AR626" s="143"/>
    </row>
    <row r="627" spans="1:44" ht="15" customHeight="1">
      <c r="B627" s="124" t="s">
        <v>3137</v>
      </c>
      <c r="C627" s="1639"/>
      <c r="D627" s="1639"/>
      <c r="E627" s="170"/>
      <c r="F627" s="124"/>
      <c r="G627" s="170"/>
      <c r="H627" s="1760"/>
      <c r="I627" s="1784" t="s">
        <v>1994</v>
      </c>
      <c r="J627" s="170"/>
      <c r="K627" s="170"/>
      <c r="L627" s="170"/>
      <c r="M627" s="170"/>
      <c r="N627" s="170"/>
      <c r="O627" s="170"/>
      <c r="P627" s="170"/>
      <c r="Q627" s="170"/>
      <c r="R627" s="1642" t="s">
        <v>3103</v>
      </c>
      <c r="S627" s="1765"/>
      <c r="T627" s="1765" t="str">
        <f>+AE462&amp;" + "&amp;AE463&amp;" - "&amp;ROUND(H622,2)&amp;" + "&amp;AE456&amp;" + "&amp;AE454&amp;" / 2"</f>
        <v>290 + 0 - 593.55 + 3200 + 30 / 2</v>
      </c>
      <c r="U627" s="741"/>
      <c r="V627" s="1499"/>
      <c r="W627" s="741"/>
      <c r="X627" s="741"/>
      <c r="Y627" s="741"/>
      <c r="Z627" s="1787"/>
      <c r="AA627" s="741"/>
      <c r="AB627" s="741"/>
      <c r="AC627" s="741"/>
      <c r="AD627" s="1765"/>
      <c r="AE627" s="115"/>
      <c r="AF627" s="124"/>
      <c r="AG627" s="1642" t="s">
        <v>3103</v>
      </c>
      <c r="AH627" s="2248">
        <f>S626+W626-Z626+AE456+AE454/2</f>
        <v>2911.4525432822343</v>
      </c>
      <c r="AI627" s="2248"/>
      <c r="AJ627" s="2249"/>
      <c r="AK627" s="170"/>
      <c r="AL627" s="170" t="s">
        <v>3204</v>
      </c>
      <c r="AM627" s="143"/>
      <c r="AN627" s="76" t="s">
        <v>3103</v>
      </c>
      <c r="AO627" s="2111">
        <f t="shared" si="8"/>
        <v>61070.628547888147</v>
      </c>
      <c r="AP627" s="2111"/>
      <c r="AQ627" s="2111"/>
      <c r="AR627" s="143"/>
    </row>
    <row r="628" spans="1:44" ht="15" customHeight="1">
      <c r="B628" s="124" t="s">
        <v>3138</v>
      </c>
      <c r="C628" s="1639"/>
      <c r="D628" s="1639"/>
      <c r="E628" s="170"/>
      <c r="F628" s="124"/>
      <c r="G628" s="170"/>
      <c r="H628" s="1760"/>
      <c r="I628" s="1784" t="s">
        <v>1995</v>
      </c>
      <c r="J628" s="170"/>
      <c r="K628" s="170"/>
      <c r="L628" s="170"/>
      <c r="M628" s="170"/>
      <c r="N628" s="170"/>
      <c r="O628" s="170"/>
      <c r="P628" s="170"/>
      <c r="Q628" s="170"/>
      <c r="R628" s="1642" t="s">
        <v>3103</v>
      </c>
      <c r="S628" s="1765"/>
      <c r="T628" s="115" t="str">
        <f>+AE462&amp;" + "&amp;AE463&amp;" - "&amp;ROUND(H622,2)&amp;" + "&amp;AE456&amp;" / 2"</f>
        <v>290 + 0 - 593.55 + 3200 / 2</v>
      </c>
      <c r="U628" s="124"/>
      <c r="V628" s="1766"/>
      <c r="W628" s="115"/>
      <c r="X628" s="115"/>
      <c r="Y628" s="124"/>
      <c r="Z628" s="1765"/>
      <c r="AA628" s="115"/>
      <c r="AB628" s="115"/>
      <c r="AC628" s="124"/>
      <c r="AD628" s="170"/>
      <c r="AE628" s="170"/>
      <c r="AF628" s="170"/>
      <c r="AG628" s="1642" t="s">
        <v>3103</v>
      </c>
      <c r="AH628" s="2248">
        <f>S626+W626-Z626+AE456/2</f>
        <v>1296.4525432822343</v>
      </c>
      <c r="AI628" s="2248"/>
      <c r="AJ628" s="2249"/>
      <c r="AK628" s="170"/>
      <c r="AL628" s="124" t="s">
        <v>3215</v>
      </c>
      <c r="AM628" s="143"/>
      <c r="AN628" s="76" t="s">
        <v>3103</v>
      </c>
      <c r="AO628" s="2111">
        <f t="shared" si="8"/>
        <v>41558.482220017133</v>
      </c>
      <c r="AP628" s="2111"/>
      <c r="AQ628" s="2111"/>
      <c r="AR628" s="143"/>
    </row>
    <row r="629" spans="1:44" ht="15" customHeight="1">
      <c r="B629" s="124" t="s">
        <v>3139</v>
      </c>
      <c r="C629" s="1639"/>
      <c r="D629" s="1639"/>
      <c r="E629" s="170"/>
      <c r="F629" s="124"/>
      <c r="G629" s="170"/>
      <c r="H629" s="1760"/>
      <c r="I629" s="1721" t="s">
        <v>3234</v>
      </c>
      <c r="J629" s="170"/>
      <c r="K629" s="170"/>
      <c r="L629" s="170"/>
      <c r="M629" s="170"/>
      <c r="N629" s="170"/>
      <c r="O629" s="170"/>
      <c r="P629" s="170"/>
      <c r="Q629" s="170"/>
      <c r="R629" s="1642" t="s">
        <v>3103</v>
      </c>
      <c r="S629" s="1766"/>
      <c r="T629" s="2093">
        <f>+H622</f>
        <v>593.54745671776584</v>
      </c>
      <c r="U629" s="2093"/>
      <c r="V629" s="2093"/>
      <c r="W629" s="1765" t="s">
        <v>3235</v>
      </c>
      <c r="X629" s="1765"/>
      <c r="Y629" s="124"/>
      <c r="Z629" s="2094">
        <f>+AE462</f>
        <v>290</v>
      </c>
      <c r="AA629" s="2094"/>
      <c r="AB629" s="2094"/>
      <c r="AC629" s="124"/>
      <c r="AD629" s="1639"/>
      <c r="AE629" s="1765"/>
      <c r="AF629" s="115"/>
      <c r="AG629" s="1642" t="s">
        <v>3103</v>
      </c>
      <c r="AH629" s="2248">
        <f>+T629^2 /2/Z629</f>
        <v>607.41135064849675</v>
      </c>
      <c r="AI629" s="2248"/>
      <c r="AJ629" s="2249"/>
      <c r="AK629" s="170"/>
      <c r="AL629" s="170" t="s">
        <v>3205</v>
      </c>
      <c r="AM629" s="143"/>
      <c r="AN629" s="76" t="s">
        <v>3103</v>
      </c>
      <c r="AO629" s="2111">
        <f t="shared" si="8"/>
        <v>28560.405781073485</v>
      </c>
      <c r="AP629" s="2111"/>
      <c r="AQ629" s="2111"/>
      <c r="AR629" s="143"/>
    </row>
    <row r="630" spans="1:44" ht="15" customHeight="1">
      <c r="B630" s="124" t="s">
        <v>3141</v>
      </c>
      <c r="C630" s="1639"/>
      <c r="D630" s="1639"/>
      <c r="E630" s="170"/>
      <c r="F630" s="124"/>
      <c r="G630" s="170"/>
      <c r="H630" s="1760"/>
      <c r="I630" s="1784" t="s">
        <v>1996</v>
      </c>
      <c r="J630" s="170"/>
      <c r="K630" s="170"/>
      <c r="L630" s="170"/>
      <c r="M630" s="170"/>
      <c r="N630" s="170"/>
      <c r="O630" s="170"/>
      <c r="P630" s="170"/>
      <c r="Q630" s="170"/>
      <c r="R630" s="1642" t="s">
        <v>3103</v>
      </c>
      <c r="S630" s="1765"/>
      <c r="T630" s="1765" t="str">
        <f>+AE462&amp;" + "&amp;AE463&amp;" - "&amp;ROUND(H622,2)&amp;" + "&amp;AE471&amp;" / 2"</f>
        <v>290 + 0 - 593.55 + 0 / 2</v>
      </c>
      <c r="U630" s="741"/>
      <c r="V630" s="1787"/>
      <c r="W630" s="741"/>
      <c r="X630" s="741"/>
      <c r="Y630" s="741"/>
      <c r="Z630" s="1499"/>
      <c r="AA630" s="741"/>
      <c r="AB630" s="741"/>
      <c r="AC630" s="741"/>
      <c r="AD630" s="1639"/>
      <c r="AE630" s="1639"/>
      <c r="AF630" s="170"/>
      <c r="AG630" s="1642" t="s">
        <v>3103</v>
      </c>
      <c r="AH630" s="2248">
        <f>S626+W626-Z626+AE471/2</f>
        <v>-303.54745671776584</v>
      </c>
      <c r="AI630" s="2248"/>
      <c r="AJ630" s="2249"/>
      <c r="AK630" s="170"/>
      <c r="AL630" s="170" t="s">
        <v>3206</v>
      </c>
      <c r="AM630" s="143"/>
      <c r="AN630" s="76" t="s">
        <v>3103</v>
      </c>
      <c r="AO630" s="2111">
        <f t="shared" si="8"/>
        <v>0</v>
      </c>
      <c r="AP630" s="2111"/>
      <c r="AQ630" s="2111"/>
      <c r="AR630" s="143"/>
    </row>
    <row r="631" spans="1:44" ht="15" customHeight="1">
      <c r="B631" s="124" t="s">
        <v>3140</v>
      </c>
      <c r="C631" s="1639"/>
      <c r="D631" s="1639"/>
      <c r="E631" s="170"/>
      <c r="F631" s="124"/>
      <c r="G631" s="170"/>
      <c r="H631" s="1760"/>
      <c r="I631" s="1784" t="s">
        <v>3233</v>
      </c>
      <c r="J631" s="170"/>
      <c r="K631" s="170"/>
      <c r="L631" s="170"/>
      <c r="M631" s="170"/>
      <c r="N631" s="170"/>
      <c r="O631" s="170"/>
      <c r="P631" s="170"/>
      <c r="Q631" s="170"/>
      <c r="R631" s="1642" t="s">
        <v>3103</v>
      </c>
      <c r="S631" s="1765"/>
      <c r="T631" s="1765" t="str">
        <f>+AE462&amp;" + "&amp;AE463&amp;" - "&amp;ROUND(H622,2)&amp;" + "&amp;AE456&amp;" - "&amp;AE468&amp;" / 2"</f>
        <v>290 + 0 - 593.55 + 3200 - 160 / 2</v>
      </c>
      <c r="U631" s="741"/>
      <c r="V631" s="1787"/>
      <c r="W631" s="741"/>
      <c r="X631" s="741"/>
      <c r="Y631" s="741"/>
      <c r="Z631" s="1499"/>
      <c r="AA631" s="741"/>
      <c r="AB631" s="741"/>
      <c r="AC631" s="1642"/>
      <c r="AD631" s="1765"/>
      <c r="AE631" s="115"/>
      <c r="AF631" s="124"/>
      <c r="AG631" s="1642" t="s">
        <v>3103</v>
      </c>
      <c r="AH631" s="2248">
        <f>S626+W626-Z626+AE456-AE468/2</f>
        <v>2816.4525432822343</v>
      </c>
      <c r="AI631" s="2248"/>
      <c r="AJ631" s="2249"/>
      <c r="AK631" s="170"/>
      <c r="AL631" s="170" t="s">
        <v>3207</v>
      </c>
      <c r="AM631" s="143"/>
      <c r="AN631" s="76" t="s">
        <v>3103</v>
      </c>
      <c r="AO631" s="2111">
        <f t="shared" si="8"/>
        <v>5479.6900682099149</v>
      </c>
      <c r="AP631" s="2111"/>
      <c r="AQ631" s="2111"/>
      <c r="AR631" s="143"/>
    </row>
    <row r="632" spans="1:44" ht="15" customHeight="1">
      <c r="B632" s="124" t="s">
        <v>3142</v>
      </c>
      <c r="C632" s="1639"/>
      <c r="D632" s="1639"/>
      <c r="E632" s="170"/>
      <c r="F632" s="124"/>
      <c r="G632" s="170"/>
      <c r="H632" s="1760"/>
      <c r="I632" s="1784" t="s">
        <v>599</v>
      </c>
      <c r="J632" s="170"/>
      <c r="K632" s="170"/>
      <c r="L632" s="170"/>
      <c r="M632" s="170"/>
      <c r="N632" s="170"/>
      <c r="O632" s="170"/>
      <c r="P632" s="170"/>
      <c r="Q632" s="170"/>
      <c r="R632" s="1642" t="s">
        <v>3103</v>
      </c>
      <c r="S632" s="58"/>
      <c r="T632" s="2096">
        <f>+H622</f>
        <v>593.54745671776584</v>
      </c>
      <c r="U632" s="2096"/>
      <c r="V632" s="2096"/>
      <c r="W632" s="1499" t="s">
        <v>3195</v>
      </c>
      <c r="X632" s="2094">
        <f>+AE448</f>
        <v>50</v>
      </c>
      <c r="Y632" s="2094"/>
      <c r="Z632" s="2094"/>
      <c r="AA632" s="1765"/>
      <c r="AB632" s="741"/>
      <c r="AC632" s="1642"/>
      <c r="AD632" s="1766"/>
      <c r="AE632" s="115"/>
      <c r="AF632" s="115"/>
      <c r="AG632" s="1642" t="s">
        <v>3103</v>
      </c>
      <c r="AH632" s="2096">
        <f>+T632-X632</f>
        <v>543.54745671776584</v>
      </c>
      <c r="AI632" s="2096"/>
      <c r="AJ632" s="2251"/>
      <c r="AK632" s="170"/>
      <c r="AL632" s="170" t="s">
        <v>3208</v>
      </c>
      <c r="AM632" s="143"/>
      <c r="AN632" s="76" t="s">
        <v>3103</v>
      </c>
      <c r="AO632" s="2111">
        <f t="shared" si="8"/>
        <v>1664.4022980703296</v>
      </c>
      <c r="AP632" s="2111"/>
      <c r="AQ632" s="2111"/>
      <c r="AR632" s="143"/>
    </row>
    <row r="633" spans="1:44" ht="15" customHeight="1">
      <c r="B633" s="124" t="s">
        <v>3143</v>
      </c>
      <c r="C633" s="1639"/>
      <c r="D633" s="1639"/>
      <c r="E633" s="170"/>
      <c r="F633" s="124"/>
      <c r="G633" s="170"/>
      <c r="H633" s="1760"/>
      <c r="I633" s="1784" t="s">
        <v>598</v>
      </c>
      <c r="J633" s="170"/>
      <c r="K633" s="170"/>
      <c r="L633" s="170"/>
      <c r="M633" s="170"/>
      <c r="N633" s="170"/>
      <c r="O633" s="170"/>
      <c r="P633" s="170"/>
      <c r="Q633" s="170"/>
      <c r="R633" s="1642" t="s">
        <v>3103</v>
      </c>
      <c r="S633" s="58"/>
      <c r="T633" s="2096">
        <f>+H622</f>
        <v>593.54745671776584</v>
      </c>
      <c r="U633" s="2096"/>
      <c r="V633" s="2096"/>
      <c r="W633" s="1499" t="s">
        <v>3195</v>
      </c>
      <c r="X633" s="2094">
        <f>+AE449</f>
        <v>250</v>
      </c>
      <c r="Y633" s="2094"/>
      <c r="Z633" s="2094"/>
      <c r="AA633" s="1765"/>
      <c r="AB633" s="741"/>
      <c r="AC633" s="1642"/>
      <c r="AD633" s="1766"/>
      <c r="AE633" s="115"/>
      <c r="AF633" s="115"/>
      <c r="AG633" s="1642" t="s">
        <v>3103</v>
      </c>
      <c r="AH633" s="2096">
        <f>+T633-X633</f>
        <v>343.54745671776584</v>
      </c>
      <c r="AI633" s="2096"/>
      <c r="AJ633" s="2251"/>
      <c r="AK633" s="170"/>
      <c r="AL633" s="170" t="s">
        <v>3209</v>
      </c>
      <c r="AM633" s="143"/>
      <c r="AN633" s="76" t="s">
        <v>3103</v>
      </c>
      <c r="AO633" s="2111">
        <f t="shared" si="8"/>
        <v>746.00259806637405</v>
      </c>
      <c r="AP633" s="2111"/>
      <c r="AQ633" s="2111"/>
      <c r="AR633" s="143"/>
    </row>
    <row r="634" spans="1:44" ht="15" customHeight="1">
      <c r="B634" s="124" t="s">
        <v>3144</v>
      </c>
      <c r="C634" s="170"/>
      <c r="D634" s="170"/>
      <c r="E634" s="170"/>
      <c r="F634" s="124"/>
      <c r="G634" s="170"/>
      <c r="H634" s="1760"/>
      <c r="I634" s="1776"/>
      <c r="J634" s="170"/>
      <c r="K634" s="170"/>
      <c r="L634" s="1639"/>
      <c r="M634" s="170"/>
      <c r="N634" s="170"/>
      <c r="O634" s="170"/>
      <c r="P634" s="170"/>
      <c r="Q634" s="170"/>
      <c r="R634" s="170"/>
      <c r="S634" s="170"/>
      <c r="T634" s="170"/>
      <c r="U634" s="1639"/>
      <c r="V634" s="1639"/>
      <c r="W634" s="1639"/>
      <c r="X634" s="1639"/>
      <c r="Y634" s="170"/>
      <c r="Z634" s="1639"/>
      <c r="AA634" s="170"/>
      <c r="AB634" s="1644"/>
      <c r="AC634" s="122"/>
      <c r="AD634" s="1644"/>
      <c r="AE634" s="122"/>
      <c r="AF634" s="122"/>
      <c r="AG634" s="1642"/>
      <c r="AH634" s="2096"/>
      <c r="AI634" s="2096"/>
      <c r="AJ634" s="2251"/>
      <c r="AK634" s="170"/>
      <c r="AL634" s="1760"/>
      <c r="AM634" s="143"/>
      <c r="AN634" s="76"/>
      <c r="AO634" s="2111"/>
      <c r="AP634" s="2111"/>
      <c r="AQ634" s="2111"/>
      <c r="AR634" s="143"/>
    </row>
    <row r="635" spans="1:44" ht="15" customHeight="1">
      <c r="B635" s="1335" t="s">
        <v>3128</v>
      </c>
      <c r="C635" s="1333"/>
      <c r="D635" s="1333"/>
      <c r="E635" s="1333"/>
      <c r="F635" s="1335"/>
      <c r="G635" s="1333"/>
      <c r="H635" s="1761"/>
      <c r="I635" s="1785" t="s">
        <v>1998</v>
      </c>
      <c r="J635" s="1333"/>
      <c r="K635" s="1333"/>
      <c r="L635" s="1333"/>
      <c r="M635" s="1333"/>
      <c r="N635" s="1333"/>
      <c r="O635" s="1333"/>
      <c r="P635" s="1333"/>
      <c r="Q635" s="1333"/>
      <c r="R635" s="1480" t="s">
        <v>3103</v>
      </c>
      <c r="S635" s="1767"/>
      <c r="T635" s="1767" t="str">
        <f>+AE462&amp;" + "&amp;AE463&amp;" - "&amp;ROUND(H622,2)&amp;" + "&amp;AE456&amp;" - "&amp;AE464&amp;" / 2"</f>
        <v>290 + 0 - 593.55 + 3200 - 600 / 2</v>
      </c>
      <c r="U635" s="1779"/>
      <c r="V635" s="1786"/>
      <c r="W635" s="1779"/>
      <c r="X635" s="1779"/>
      <c r="Y635" s="1779"/>
      <c r="Z635" s="1771"/>
      <c r="AA635" s="1779"/>
      <c r="AB635" s="1779"/>
      <c r="AC635" s="1779"/>
      <c r="AD635" s="1771"/>
      <c r="AE635" s="1779"/>
      <c r="AF635" s="1335"/>
      <c r="AG635" s="1480" t="s">
        <v>3103</v>
      </c>
      <c r="AH635" s="2104">
        <f>S626+W626-Z626+AE456-AE464/2</f>
        <v>2596.4525432822343</v>
      </c>
      <c r="AI635" s="2104"/>
      <c r="AJ635" s="2245"/>
      <c r="AK635" s="1333"/>
      <c r="AL635" s="1333" t="s">
        <v>3210</v>
      </c>
      <c r="AM635" s="1333"/>
      <c r="AN635" s="1433" t="s">
        <v>3103</v>
      </c>
      <c r="AO635" s="2149">
        <f>+AH635*AK531/1000</f>
        <v>110900.97925494243</v>
      </c>
      <c r="AP635" s="2149"/>
      <c r="AQ635" s="2149"/>
      <c r="AR635" s="143"/>
    </row>
    <row r="636" spans="1:44" ht="15" customHeight="1">
      <c r="A636" s="1182"/>
      <c r="B636" s="1177"/>
      <c r="C636" s="1655"/>
      <c r="D636" s="170"/>
      <c r="E636" s="170"/>
      <c r="F636" s="124"/>
      <c r="H636" s="1757"/>
      <c r="I636" s="1757"/>
      <c r="J636" s="1757"/>
      <c r="K636" s="1650"/>
      <c r="L636" s="1643"/>
      <c r="X636" s="1639"/>
      <c r="Y636" s="1639"/>
      <c r="Z636" s="1639"/>
      <c r="AA636" s="1643"/>
      <c r="AB636" s="143"/>
      <c r="AC636" s="1643"/>
      <c r="AD636" s="143"/>
      <c r="AE636" s="1647"/>
      <c r="AF636" s="73"/>
      <c r="AG636" s="1647"/>
      <c r="AI636" s="1648" t="s">
        <v>3211</v>
      </c>
      <c r="AJ636" s="143"/>
      <c r="AN636" s="76" t="s">
        <v>3103</v>
      </c>
      <c r="AO636" s="2246">
        <f>+SUM(AO626:AQ635)</f>
        <v>235718.61887614868</v>
      </c>
      <c r="AP636" s="2246"/>
      <c r="AQ636" s="2246"/>
      <c r="AR636" s="2246"/>
    </row>
    <row r="637" spans="1:44" ht="15" customHeight="1">
      <c r="A637" s="1182"/>
      <c r="B637" s="1177"/>
      <c r="G637" s="4"/>
      <c r="L637" s="143"/>
      <c r="Y637" s="143"/>
      <c r="AB637" s="143"/>
      <c r="AD637" s="143"/>
      <c r="AE637" s="143"/>
      <c r="AF637" s="143"/>
      <c r="AG637" s="143"/>
      <c r="AH637" s="143"/>
      <c r="AI637" s="143"/>
      <c r="AJ637" s="143"/>
      <c r="AK637" s="143"/>
      <c r="AL637" s="143"/>
      <c r="AR637" s="143"/>
    </row>
    <row r="638" spans="1:44" ht="15" customHeight="1">
      <c r="A638" s="1182"/>
      <c r="B638" s="1177" t="s">
        <v>3221</v>
      </c>
      <c r="C638" s="95" t="s">
        <v>3236</v>
      </c>
      <c r="G638" s="4"/>
      <c r="H638" s="4"/>
      <c r="I638" s="4"/>
      <c r="L638" s="1643"/>
      <c r="Y638" s="143"/>
      <c r="Z638" s="1643"/>
      <c r="AB638" s="1643"/>
      <c r="AD638" s="73"/>
      <c r="AE638" s="1647"/>
      <c r="AF638" s="73"/>
      <c r="AR638" s="143"/>
    </row>
    <row r="639" spans="1:44" ht="15" customHeight="1">
      <c r="A639" s="1182"/>
      <c r="B639" s="1177"/>
      <c r="C639" s="1655" t="s">
        <v>3193</v>
      </c>
      <c r="D639" s="1655"/>
      <c r="F639" s="741" t="s">
        <v>3103</v>
      </c>
      <c r="G639" s="4"/>
      <c r="H639" s="1656" t="s">
        <v>3018</v>
      </c>
      <c r="I639" s="1752"/>
      <c r="J639" s="1752"/>
      <c r="K639" s="1752"/>
      <c r="L639" s="1752"/>
      <c r="M639" s="1752"/>
      <c r="N639" s="170"/>
      <c r="O639" s="170"/>
      <c r="P639" s="170"/>
      <c r="Q639" s="170"/>
      <c r="R639" s="170"/>
      <c r="S639" s="170"/>
      <c r="T639" s="170"/>
      <c r="U639" s="170"/>
      <c r="V639" s="170"/>
      <c r="W639" s="170"/>
      <c r="Y639" s="143"/>
      <c r="Z639" s="1643"/>
      <c r="AB639" s="1643"/>
      <c r="AD639" s="73"/>
      <c r="AE639" s="1647"/>
      <c r="AF639" s="73"/>
      <c r="AR639" s="143"/>
    </row>
    <row r="640" spans="1:44" ht="15" customHeight="1">
      <c r="A640" s="1182"/>
      <c r="B640" s="1177"/>
      <c r="C640" s="1660"/>
      <c r="D640" s="1660"/>
      <c r="E640" s="170"/>
      <c r="F640" s="1642" t="s">
        <v>3103</v>
      </c>
      <c r="H640" s="2252">
        <f>+AE449</f>
        <v>250</v>
      </c>
      <c r="I640" s="2252"/>
      <c r="J640" s="2252"/>
      <c r="K640" s="2252"/>
      <c r="L640" s="1661"/>
      <c r="M640" s="1661"/>
      <c r="Y640" s="143"/>
      <c r="Z640" s="1643"/>
      <c r="AB640" s="1643"/>
      <c r="AD640" s="73"/>
      <c r="AE640" s="1647"/>
      <c r="AF640" s="73"/>
      <c r="AR640" s="143"/>
    </row>
    <row r="641" spans="1:44" ht="15" customHeight="1">
      <c r="A641" s="1182"/>
      <c r="B641" s="1177"/>
      <c r="C641" s="1660"/>
      <c r="D641" s="1660"/>
      <c r="E641" s="170"/>
      <c r="F641" s="1642"/>
      <c r="H641" s="1653"/>
      <c r="I641" s="1653"/>
      <c r="J641" s="1653"/>
      <c r="K641" s="1653"/>
      <c r="L641" s="1661"/>
      <c r="M641" s="1661"/>
      <c r="Y641" s="143"/>
      <c r="Z641" s="1643"/>
      <c r="AB641" s="1643"/>
      <c r="AD641" s="73"/>
      <c r="AE641" s="1647"/>
      <c r="AF641" s="73"/>
      <c r="AR641" s="143"/>
    </row>
    <row r="642" spans="1:44" ht="15" customHeight="1">
      <c r="A642" s="1182"/>
      <c r="B642" s="1655" t="s">
        <v>3218</v>
      </c>
      <c r="C642" s="1655"/>
      <c r="D642" s="170"/>
      <c r="E642" s="170"/>
      <c r="F642" s="124"/>
      <c r="H642" s="1757"/>
      <c r="I642" s="1757"/>
      <c r="J642" s="1757"/>
      <c r="K642" s="1650"/>
      <c r="L642" s="1643"/>
      <c r="W642" s="1639"/>
      <c r="X642" s="1639"/>
      <c r="Y642" s="1639"/>
      <c r="Z642" s="1643"/>
      <c r="AB642" s="1643"/>
      <c r="AD642" s="1647"/>
      <c r="AF642" s="1647"/>
      <c r="AR642" s="143"/>
    </row>
    <row r="643" spans="1:44" ht="20.100000000000001" customHeight="1">
      <c r="A643" s="1182"/>
      <c r="B643" s="1762" t="s">
        <v>3202</v>
      </c>
      <c r="C643" s="1667"/>
      <c r="D643" s="1667"/>
      <c r="E643" s="1667"/>
      <c r="F643" s="1763"/>
      <c r="G643" s="1667"/>
      <c r="H643" s="1764"/>
      <c r="I643" s="1783" t="s">
        <v>3220</v>
      </c>
      <c r="J643" s="1764"/>
      <c r="K643" s="1764"/>
      <c r="L643" s="1668"/>
      <c r="M643" s="1667"/>
      <c r="N643" s="1667"/>
      <c r="O643" s="1667"/>
      <c r="P643" s="1667"/>
      <c r="Q643" s="1667"/>
      <c r="R643" s="1667"/>
      <c r="S643" s="1667"/>
      <c r="T643" s="1667"/>
      <c r="U643" s="1668"/>
      <c r="V643" s="1668"/>
      <c r="W643" s="1668"/>
      <c r="X643" s="1668"/>
      <c r="Y643" s="1667"/>
      <c r="Z643" s="1668"/>
      <c r="AA643" s="1667"/>
      <c r="AB643" s="1668"/>
      <c r="AC643" s="1667"/>
      <c r="AD643" s="1668"/>
      <c r="AE643" s="1667"/>
      <c r="AF643" s="1667"/>
      <c r="AG643" s="1667"/>
      <c r="AH643" s="1667"/>
      <c r="AI643" s="1667"/>
      <c r="AJ643" s="1774"/>
      <c r="AK643" s="1667"/>
      <c r="AL643" s="1772" t="s">
        <v>3219</v>
      </c>
      <c r="AM643" s="1764"/>
      <c r="AN643" s="1764"/>
      <c r="AO643" s="1764"/>
      <c r="AP643" s="1764"/>
      <c r="AQ643" s="1764"/>
      <c r="AR643" s="143"/>
    </row>
    <row r="644" spans="1:44" ht="15" customHeight="1">
      <c r="B644" s="124" t="s">
        <v>3136</v>
      </c>
      <c r="C644" s="1639"/>
      <c r="D644" s="1639"/>
      <c r="E644" s="170"/>
      <c r="F644" s="124"/>
      <c r="G644" s="170"/>
      <c r="H644" s="1760"/>
      <c r="I644" s="1788" t="s">
        <v>1993</v>
      </c>
      <c r="J644" s="1443"/>
      <c r="K644" s="170"/>
      <c r="L644" s="170"/>
      <c r="M644" s="170"/>
      <c r="N644" s="170"/>
      <c r="O644" s="170"/>
      <c r="P644" s="170"/>
      <c r="Q644" s="170"/>
      <c r="R644" s="1642" t="s">
        <v>3103</v>
      </c>
      <c r="S644" s="2264">
        <f>+AE462</f>
        <v>290</v>
      </c>
      <c r="T644" s="2135"/>
      <c r="U644" s="2135"/>
      <c r="V644" s="124" t="s">
        <v>3194</v>
      </c>
      <c r="W644" s="2264">
        <f>+AE463</f>
        <v>0</v>
      </c>
      <c r="X644" s="2264"/>
      <c r="Y644" s="124" t="s">
        <v>3195</v>
      </c>
      <c r="Z644" s="2298">
        <f>+H640</f>
        <v>250</v>
      </c>
      <c r="AA644" s="2135"/>
      <c r="AB644" s="2135"/>
      <c r="AC644" s="741" t="s">
        <v>3195</v>
      </c>
      <c r="AD644" s="2264">
        <f>+AE452</f>
        <v>40</v>
      </c>
      <c r="AE644" s="2135"/>
      <c r="AF644" s="124" t="s">
        <v>3228</v>
      </c>
      <c r="AG644" s="1642" t="s">
        <v>3103</v>
      </c>
      <c r="AH644" s="2093">
        <f>S644+W644-Z644-AD644/2</f>
        <v>20</v>
      </c>
      <c r="AI644" s="2093"/>
      <c r="AJ644" s="2297"/>
      <c r="AK644" s="170"/>
      <c r="AL644" s="170" t="s">
        <v>3203</v>
      </c>
      <c r="AM644" s="143"/>
      <c r="AN644" s="76" t="s">
        <v>3103</v>
      </c>
      <c r="AO644" s="2111">
        <f t="shared" ref="AO644:AO651" si="9">+AH644*AK522/1000</f>
        <v>881.6</v>
      </c>
      <c r="AP644" s="2111"/>
      <c r="AQ644" s="2111"/>
      <c r="AR644" s="143"/>
    </row>
    <row r="645" spans="1:44" ht="15" customHeight="1">
      <c r="B645" s="124" t="s">
        <v>3137</v>
      </c>
      <c r="C645" s="1639"/>
      <c r="D645" s="1639"/>
      <c r="E645" s="170"/>
      <c r="F645" s="124"/>
      <c r="G645" s="170"/>
      <c r="H645" s="1760"/>
      <c r="I645" s="1784" t="s">
        <v>1994</v>
      </c>
      <c r="J645" s="170"/>
      <c r="K645" s="170"/>
      <c r="L645" s="170"/>
      <c r="M645" s="170"/>
      <c r="N645" s="170"/>
      <c r="O645" s="170"/>
      <c r="P645" s="170"/>
      <c r="Q645" s="170"/>
      <c r="R645" s="1642" t="s">
        <v>3103</v>
      </c>
      <c r="S645" s="1765"/>
      <c r="T645" s="1765" t="str">
        <f>+AE462&amp;" + "&amp;AE463&amp;" - "&amp;ROUND(H640,2)&amp;" + "&amp;AE456&amp;" + "&amp;AE454&amp;" / 2"</f>
        <v>290 + 0 - 250 + 3200 + 30 / 2</v>
      </c>
      <c r="U645" s="741"/>
      <c r="V645" s="1499"/>
      <c r="W645" s="741"/>
      <c r="X645" s="741"/>
      <c r="Y645" s="741"/>
      <c r="Z645" s="1787"/>
      <c r="AA645" s="741"/>
      <c r="AB645" s="741"/>
      <c r="AC645" s="741"/>
      <c r="AD645" s="1765"/>
      <c r="AE645" s="115"/>
      <c r="AF645" s="124"/>
      <c r="AG645" s="1642" t="s">
        <v>3103</v>
      </c>
      <c r="AH645" s="2248">
        <f>S644+W644-Z644+AE456+AE454/2</f>
        <v>3255</v>
      </c>
      <c r="AI645" s="2248"/>
      <c r="AJ645" s="2249"/>
      <c r="AK645" s="170"/>
      <c r="AL645" s="170" t="s">
        <v>3204</v>
      </c>
      <c r="AM645" s="143"/>
      <c r="AN645" s="76" t="s">
        <v>3103</v>
      </c>
      <c r="AO645" s="2111">
        <f t="shared" si="9"/>
        <v>68276.88</v>
      </c>
      <c r="AP645" s="2111"/>
      <c r="AQ645" s="2111"/>
      <c r="AR645" s="143"/>
    </row>
    <row r="646" spans="1:44" ht="15" customHeight="1">
      <c r="B646" s="124" t="s">
        <v>3138</v>
      </c>
      <c r="C646" s="1639"/>
      <c r="D646" s="1639"/>
      <c r="E646" s="170"/>
      <c r="F646" s="124"/>
      <c r="G646" s="170"/>
      <c r="H646" s="1760"/>
      <c r="I646" s="1784" t="s">
        <v>1995</v>
      </c>
      <c r="J646" s="170"/>
      <c r="K646" s="170"/>
      <c r="L646" s="170"/>
      <c r="M646" s="170"/>
      <c r="N646" s="170"/>
      <c r="O646" s="170"/>
      <c r="P646" s="170"/>
      <c r="Q646" s="170"/>
      <c r="R646" s="1642" t="s">
        <v>3103</v>
      </c>
      <c r="S646" s="1765"/>
      <c r="T646" s="115" t="str">
        <f>+AE462&amp;" + "&amp;AE463&amp;" - "&amp;ROUND(H640,2)&amp;" + "&amp;AE456&amp;" / 2"</f>
        <v>290 + 0 - 250 + 3200 / 2</v>
      </c>
      <c r="U646" s="124"/>
      <c r="V646" s="1766"/>
      <c r="W646" s="115"/>
      <c r="X646" s="115"/>
      <c r="Y646" s="124"/>
      <c r="Z646" s="1765"/>
      <c r="AA646" s="115"/>
      <c r="AB646" s="115"/>
      <c r="AC646" s="124"/>
      <c r="AD646" s="170"/>
      <c r="AE646" s="170"/>
      <c r="AF646" s="170"/>
      <c r="AG646" s="1642" t="s">
        <v>3103</v>
      </c>
      <c r="AH646" s="2248">
        <f>S644+W644-Z644+AE456/2</f>
        <v>1640</v>
      </c>
      <c r="AI646" s="2248"/>
      <c r="AJ646" s="2249"/>
      <c r="AK646" s="170"/>
      <c r="AL646" s="124" t="s">
        <v>3215</v>
      </c>
      <c r="AM646" s="143"/>
      <c r="AN646" s="76" t="s">
        <v>3103</v>
      </c>
      <c r="AO646" s="2111">
        <f t="shared" si="9"/>
        <v>52571.080363865454</v>
      </c>
      <c r="AP646" s="2111"/>
      <c r="AQ646" s="2111"/>
      <c r="AR646" s="143"/>
    </row>
    <row r="647" spans="1:44" ht="15" customHeight="1">
      <c r="B647" s="124" t="s">
        <v>3139</v>
      </c>
      <c r="C647" s="1639"/>
      <c r="D647" s="1639"/>
      <c r="E647" s="170"/>
      <c r="F647" s="124"/>
      <c r="G647" s="170"/>
      <c r="H647" s="1760"/>
      <c r="I647" s="1721" t="s">
        <v>3234</v>
      </c>
      <c r="J647" s="170"/>
      <c r="K647" s="170"/>
      <c r="L647" s="170"/>
      <c r="M647" s="170"/>
      <c r="N647" s="170"/>
      <c r="O647" s="170"/>
      <c r="P647" s="170"/>
      <c r="Q647" s="170"/>
      <c r="R647" s="1642" t="s">
        <v>3103</v>
      </c>
      <c r="S647" s="1766"/>
      <c r="T647" s="2093">
        <f>+H640</f>
        <v>250</v>
      </c>
      <c r="U647" s="2093"/>
      <c r="V647" s="2093"/>
      <c r="W647" s="1765" t="s">
        <v>3235</v>
      </c>
      <c r="X647" s="1765"/>
      <c r="Y647" s="124"/>
      <c r="Z647" s="2094">
        <f>+AE462</f>
        <v>290</v>
      </c>
      <c r="AA647" s="2094"/>
      <c r="AB647" s="2094"/>
      <c r="AC647" s="124"/>
      <c r="AD647" s="1639"/>
      <c r="AE647" s="1765"/>
      <c r="AF647" s="115"/>
      <c r="AG647" s="1642" t="s">
        <v>3103</v>
      </c>
      <c r="AH647" s="2248">
        <f>+T647^2 /2/Z647</f>
        <v>107.75862068965517</v>
      </c>
      <c r="AI647" s="2248"/>
      <c r="AJ647" s="2249"/>
      <c r="AK647" s="170"/>
      <c r="AL647" s="170" t="s">
        <v>3205</v>
      </c>
      <c r="AM647" s="143"/>
      <c r="AN647" s="76" t="s">
        <v>3103</v>
      </c>
      <c r="AO647" s="2111">
        <f t="shared" si="9"/>
        <v>5066.796875</v>
      </c>
      <c r="AP647" s="2111"/>
      <c r="AQ647" s="2111"/>
      <c r="AR647" s="143"/>
    </row>
    <row r="648" spans="1:44" ht="15" customHeight="1">
      <c r="B648" s="124" t="s">
        <v>3141</v>
      </c>
      <c r="C648" s="1639"/>
      <c r="D648" s="1639"/>
      <c r="E648" s="170"/>
      <c r="F648" s="124"/>
      <c r="G648" s="170"/>
      <c r="H648" s="1760"/>
      <c r="I648" s="1784" t="s">
        <v>1996</v>
      </c>
      <c r="J648" s="170"/>
      <c r="K648" s="170"/>
      <c r="L648" s="170"/>
      <c r="M648" s="170"/>
      <c r="N648" s="170"/>
      <c r="O648" s="170"/>
      <c r="P648" s="170"/>
      <c r="Q648" s="170"/>
      <c r="R648" s="1642" t="s">
        <v>3103</v>
      </c>
      <c r="S648" s="1765"/>
      <c r="T648" s="1765" t="str">
        <f>+AE462&amp;" + "&amp;AE463&amp;" - "&amp;ROUND(H640,2)&amp;" + "&amp;AE471&amp;" / 2"</f>
        <v>290 + 0 - 250 + 0 / 2</v>
      </c>
      <c r="U648" s="741"/>
      <c r="V648" s="1787"/>
      <c r="W648" s="741"/>
      <c r="X648" s="741"/>
      <c r="Y648" s="741"/>
      <c r="Z648" s="1499"/>
      <c r="AA648" s="741"/>
      <c r="AB648" s="741"/>
      <c r="AC648" s="741"/>
      <c r="AD648" s="1639"/>
      <c r="AE648" s="1639"/>
      <c r="AF648" s="170"/>
      <c r="AG648" s="1642" t="s">
        <v>3103</v>
      </c>
      <c r="AH648" s="2248">
        <f>S644+W644-Z644+AE471/2</f>
        <v>40</v>
      </c>
      <c r="AI648" s="2248"/>
      <c r="AJ648" s="2249"/>
      <c r="AK648" s="170"/>
      <c r="AL648" s="170" t="s">
        <v>3206</v>
      </c>
      <c r="AM648" s="143"/>
      <c r="AN648" s="76" t="s">
        <v>3103</v>
      </c>
      <c r="AO648" s="2111">
        <f t="shared" si="9"/>
        <v>0</v>
      </c>
      <c r="AP648" s="2111"/>
      <c r="AQ648" s="2111"/>
      <c r="AR648" s="143"/>
    </row>
    <row r="649" spans="1:44" ht="15" customHeight="1">
      <c r="B649" s="124" t="s">
        <v>3140</v>
      </c>
      <c r="C649" s="1639"/>
      <c r="D649" s="1639"/>
      <c r="E649" s="170"/>
      <c r="F649" s="124"/>
      <c r="G649" s="170"/>
      <c r="H649" s="1760"/>
      <c r="I649" s="1784" t="s">
        <v>3233</v>
      </c>
      <c r="J649" s="170"/>
      <c r="K649" s="170"/>
      <c r="L649" s="170"/>
      <c r="M649" s="170"/>
      <c r="N649" s="170"/>
      <c r="O649" s="170"/>
      <c r="P649" s="170"/>
      <c r="Q649" s="170"/>
      <c r="R649" s="1642" t="s">
        <v>3103</v>
      </c>
      <c r="S649" s="1765"/>
      <c r="T649" s="1765" t="str">
        <f>+AE462&amp;" + "&amp;AE463&amp;" - "&amp;ROUND(H640,2)&amp;" + "&amp;AE456&amp;" - "&amp;AE468&amp;" / 2"</f>
        <v>290 + 0 - 250 + 3200 - 160 / 2</v>
      </c>
      <c r="U649" s="741"/>
      <c r="V649" s="1787"/>
      <c r="W649" s="741"/>
      <c r="X649" s="741"/>
      <c r="Y649" s="741"/>
      <c r="Z649" s="1499"/>
      <c r="AA649" s="741"/>
      <c r="AB649" s="741"/>
      <c r="AC649" s="1642"/>
      <c r="AD649" s="1765"/>
      <c r="AE649" s="115"/>
      <c r="AF649" s="124"/>
      <c r="AG649" s="1642" t="s">
        <v>3103</v>
      </c>
      <c r="AH649" s="2248">
        <f>S644+W644-Z644+AE456-AE468/2</f>
        <v>3160</v>
      </c>
      <c r="AI649" s="2248"/>
      <c r="AJ649" s="2249"/>
      <c r="AK649" s="170"/>
      <c r="AL649" s="170" t="s">
        <v>3207</v>
      </c>
      <c r="AM649" s="143"/>
      <c r="AN649" s="76" t="s">
        <v>3103</v>
      </c>
      <c r="AO649" s="2111">
        <f t="shared" si="9"/>
        <v>6148.0959999999995</v>
      </c>
      <c r="AP649" s="2111"/>
      <c r="AQ649" s="2111"/>
      <c r="AR649" s="143"/>
    </row>
    <row r="650" spans="1:44" ht="15" customHeight="1">
      <c r="B650" s="124" t="s">
        <v>3142</v>
      </c>
      <c r="C650" s="1639"/>
      <c r="D650" s="1639"/>
      <c r="E650" s="170"/>
      <c r="F650" s="124"/>
      <c r="G650" s="170"/>
      <c r="H650" s="1760"/>
      <c r="I650" s="1784" t="s">
        <v>599</v>
      </c>
      <c r="J650" s="170"/>
      <c r="K650" s="170"/>
      <c r="L650" s="170"/>
      <c r="M650" s="170"/>
      <c r="N650" s="170"/>
      <c r="O650" s="170"/>
      <c r="P650" s="170"/>
      <c r="Q650" s="170"/>
      <c r="R650" s="1642" t="s">
        <v>3103</v>
      </c>
      <c r="S650" s="58"/>
      <c r="T650" s="2096">
        <f>+H640</f>
        <v>250</v>
      </c>
      <c r="U650" s="2096"/>
      <c r="V650" s="2096"/>
      <c r="W650" s="1499" t="s">
        <v>3195</v>
      </c>
      <c r="X650" s="2094">
        <f>+AE448</f>
        <v>50</v>
      </c>
      <c r="Y650" s="2094"/>
      <c r="Z650" s="2094"/>
      <c r="AA650" s="1765"/>
      <c r="AB650" s="741"/>
      <c r="AC650" s="1642"/>
      <c r="AD650" s="1766"/>
      <c r="AE650" s="115"/>
      <c r="AF650" s="115"/>
      <c r="AG650" s="1642" t="s">
        <v>3103</v>
      </c>
      <c r="AH650" s="2096">
        <f>+T650-X650</f>
        <v>200</v>
      </c>
      <c r="AI650" s="2096"/>
      <c r="AJ650" s="2251"/>
      <c r="AK650" s="170"/>
      <c r="AL650" s="170" t="s">
        <v>3208</v>
      </c>
      <c r="AM650" s="143"/>
      <c r="AN650" s="76" t="s">
        <v>3103</v>
      </c>
      <c r="AO650" s="2111">
        <f t="shared" si="9"/>
        <v>612.4220718907942</v>
      </c>
      <c r="AP650" s="2111"/>
      <c r="AQ650" s="2111"/>
      <c r="AR650" s="143"/>
    </row>
    <row r="651" spans="1:44" ht="15" customHeight="1">
      <c r="B651" s="124" t="s">
        <v>3143</v>
      </c>
      <c r="C651" s="1639"/>
      <c r="D651" s="1639"/>
      <c r="E651" s="170"/>
      <c r="F651" s="124"/>
      <c r="G651" s="170"/>
      <c r="H651" s="1760"/>
      <c r="I651" s="1784" t="s">
        <v>3237</v>
      </c>
      <c r="J651" s="170"/>
      <c r="K651" s="170"/>
      <c r="L651" s="170"/>
      <c r="M651" s="170"/>
      <c r="N651" s="170"/>
      <c r="O651" s="170"/>
      <c r="P651" s="170"/>
      <c r="Q651" s="170"/>
      <c r="R651" s="1642" t="s">
        <v>3103</v>
      </c>
      <c r="S651" s="58"/>
      <c r="T651" s="2096"/>
      <c r="U651" s="2096"/>
      <c r="V651" s="2096"/>
      <c r="W651" s="1499"/>
      <c r="X651" s="2094"/>
      <c r="Y651" s="2094"/>
      <c r="Z651" s="2094"/>
      <c r="AA651" s="1765"/>
      <c r="AB651" s="741"/>
      <c r="AC651" s="1642"/>
      <c r="AD651" s="1766"/>
      <c r="AE651" s="115"/>
      <c r="AF651" s="115"/>
      <c r="AG651" s="1642" t="s">
        <v>3103</v>
      </c>
      <c r="AH651" s="2096">
        <v>0</v>
      </c>
      <c r="AI651" s="2096"/>
      <c r="AJ651" s="2251"/>
      <c r="AK651" s="170"/>
      <c r="AL651" s="170" t="s">
        <v>3209</v>
      </c>
      <c r="AM651" s="143"/>
      <c r="AN651" s="76" t="s">
        <v>3103</v>
      </c>
      <c r="AO651" s="2111">
        <f t="shared" si="9"/>
        <v>0</v>
      </c>
      <c r="AP651" s="2111"/>
      <c r="AQ651" s="2111"/>
      <c r="AR651" s="143"/>
    </row>
    <row r="652" spans="1:44" ht="15" customHeight="1">
      <c r="B652" s="124" t="s">
        <v>3144</v>
      </c>
      <c r="C652" s="170"/>
      <c r="D652" s="170"/>
      <c r="E652" s="170"/>
      <c r="F652" s="124"/>
      <c r="G652" s="170"/>
      <c r="H652" s="1760"/>
      <c r="I652" s="1776"/>
      <c r="J652" s="170"/>
      <c r="K652" s="170"/>
      <c r="L652" s="1639"/>
      <c r="M652" s="170"/>
      <c r="N652" s="170"/>
      <c r="O652" s="170"/>
      <c r="P652" s="170"/>
      <c r="Q652" s="170"/>
      <c r="R652" s="170"/>
      <c r="S652" s="170"/>
      <c r="T652" s="170"/>
      <c r="U652" s="1639"/>
      <c r="V652" s="1639"/>
      <c r="W652" s="1639"/>
      <c r="X652" s="1639"/>
      <c r="Y652" s="170"/>
      <c r="Z652" s="1639"/>
      <c r="AA652" s="170"/>
      <c r="AB652" s="1644"/>
      <c r="AC652" s="122"/>
      <c r="AD652" s="1644"/>
      <c r="AE652" s="122"/>
      <c r="AF652" s="122"/>
      <c r="AG652" s="1642"/>
      <c r="AH652" s="2096"/>
      <c r="AI652" s="2096"/>
      <c r="AJ652" s="2251"/>
      <c r="AK652" s="170"/>
      <c r="AL652" s="1760"/>
      <c r="AM652" s="143"/>
      <c r="AN652" s="76"/>
      <c r="AO652" s="2111"/>
      <c r="AP652" s="2111"/>
      <c r="AQ652" s="2111"/>
      <c r="AR652" s="143"/>
    </row>
    <row r="653" spans="1:44" ht="15" customHeight="1">
      <c r="B653" s="1335" t="s">
        <v>3128</v>
      </c>
      <c r="C653" s="1333"/>
      <c r="D653" s="1333"/>
      <c r="E653" s="1333"/>
      <c r="F653" s="1335"/>
      <c r="G653" s="1333"/>
      <c r="H653" s="1761"/>
      <c r="I653" s="1785" t="s">
        <v>1998</v>
      </c>
      <c r="J653" s="1333"/>
      <c r="K653" s="1333"/>
      <c r="L653" s="1333"/>
      <c r="M653" s="1333"/>
      <c r="N653" s="1333"/>
      <c r="O653" s="1333"/>
      <c r="P653" s="1333"/>
      <c r="Q653" s="1333"/>
      <c r="R653" s="1480" t="s">
        <v>3103</v>
      </c>
      <c r="S653" s="1767"/>
      <c r="T653" s="1767" t="str">
        <f>+AE462&amp;" + "&amp;AE463&amp;" - "&amp;ROUND(H640,2)&amp;" + "&amp;AE456&amp;" - "&amp;AE464&amp;" / 2"</f>
        <v>290 + 0 - 250 + 3200 - 600 / 2</v>
      </c>
      <c r="U653" s="1779"/>
      <c r="V653" s="1786"/>
      <c r="W653" s="1779"/>
      <c r="X653" s="1779"/>
      <c r="Y653" s="1779"/>
      <c r="Z653" s="1771"/>
      <c r="AA653" s="1779"/>
      <c r="AB653" s="1779"/>
      <c r="AC653" s="1779"/>
      <c r="AD653" s="1771"/>
      <c r="AE653" s="1779"/>
      <c r="AF653" s="1335"/>
      <c r="AG653" s="1480" t="s">
        <v>3103</v>
      </c>
      <c r="AH653" s="2104">
        <f>S644+W644-Z644+AE456-AE464/2</f>
        <v>2940</v>
      </c>
      <c r="AI653" s="2104"/>
      <c r="AJ653" s="2245"/>
      <c r="AK653" s="1333"/>
      <c r="AL653" s="1333" t="s">
        <v>3210</v>
      </c>
      <c r="AM653" s="1333"/>
      <c r="AN653" s="1433" t="s">
        <v>3103</v>
      </c>
      <c r="AO653" s="2149">
        <f>+AH653*AK531/1000</f>
        <v>125574.75</v>
      </c>
      <c r="AP653" s="2149"/>
      <c r="AQ653" s="2149"/>
      <c r="AR653" s="143"/>
    </row>
    <row r="654" spans="1:44" ht="15" customHeight="1">
      <c r="A654" s="1182"/>
      <c r="B654" s="1177"/>
      <c r="C654" s="1655"/>
      <c r="D654" s="170"/>
      <c r="E654" s="170"/>
      <c r="F654" s="124"/>
      <c r="H654" s="1757"/>
      <c r="I654" s="1757"/>
      <c r="J654" s="1757"/>
      <c r="K654" s="1650"/>
      <c r="L654" s="1643"/>
      <c r="X654" s="1639"/>
      <c r="Y654" s="1639"/>
      <c r="Z654" s="1639"/>
      <c r="AA654" s="1643"/>
      <c r="AB654" s="143"/>
      <c r="AC654" s="1643"/>
      <c r="AD654" s="143"/>
      <c r="AE654" s="1647"/>
      <c r="AF654" s="73"/>
      <c r="AG654" s="1647"/>
      <c r="AI654" s="1648" t="s">
        <v>3211</v>
      </c>
      <c r="AJ654" s="143"/>
      <c r="AN654" s="76" t="s">
        <v>3103</v>
      </c>
      <c r="AO654" s="2300">
        <f>+SUM(AO644:AQ653)</f>
        <v>259131.62531075624</v>
      </c>
      <c r="AP654" s="2300"/>
      <c r="AQ654" s="2300"/>
      <c r="AR654" s="2300"/>
    </row>
    <row r="655" spans="1:44" ht="15" customHeight="1">
      <c r="A655" s="1182"/>
      <c r="B655" s="1177"/>
      <c r="G655" s="4"/>
      <c r="L655" s="143"/>
      <c r="Y655" s="143"/>
      <c r="AB655" s="143"/>
      <c r="AD655" s="143"/>
      <c r="AE655" s="143"/>
      <c r="AF655" s="143"/>
      <c r="AG655" s="143"/>
      <c r="AH655" s="143"/>
      <c r="AI655" s="143"/>
      <c r="AJ655" s="143"/>
      <c r="AK655" s="143"/>
      <c r="AL655" s="143"/>
      <c r="AR655" s="143"/>
    </row>
    <row r="656" spans="1:44" ht="15" customHeight="1">
      <c r="A656" s="1182"/>
      <c r="B656" s="1177" t="s">
        <v>3221</v>
      </c>
      <c r="C656" s="95" t="s">
        <v>3238</v>
      </c>
      <c r="G656" s="4"/>
      <c r="H656" s="4"/>
      <c r="I656" s="4"/>
      <c r="L656" s="1643"/>
      <c r="Y656" s="143"/>
      <c r="Z656" s="1643"/>
      <c r="AB656" s="1643"/>
      <c r="AD656" s="73"/>
      <c r="AE656" s="1647"/>
      <c r="AF656" s="73"/>
      <c r="AR656" s="143"/>
    </row>
    <row r="657" spans="1:44" ht="15" customHeight="1">
      <c r="A657" s="1182"/>
      <c r="B657" s="1177"/>
      <c r="C657" s="1655" t="s">
        <v>3193</v>
      </c>
      <c r="D657" s="1655"/>
      <c r="F657" s="741" t="s">
        <v>3103</v>
      </c>
      <c r="G657" s="4"/>
      <c r="H657" s="1655" t="s">
        <v>3020</v>
      </c>
      <c r="I657" s="1752"/>
      <c r="J657" s="1752"/>
      <c r="K657" s="1752"/>
      <c r="L657" s="1752"/>
      <c r="M657" s="1752"/>
      <c r="N657" s="170"/>
      <c r="O657" s="170"/>
      <c r="P657" s="170"/>
      <c r="Q657" s="170"/>
      <c r="R657" s="170"/>
      <c r="S657" s="170"/>
      <c r="T657" s="170"/>
      <c r="U657" s="170"/>
      <c r="V657" s="170"/>
      <c r="W657" s="170"/>
      <c r="Y657" s="143"/>
      <c r="Z657" s="1643"/>
      <c r="AB657" s="1643"/>
      <c r="AD657" s="73"/>
      <c r="AE657" s="1647"/>
      <c r="AF657" s="73"/>
      <c r="AR657" s="143"/>
    </row>
    <row r="658" spans="1:44" ht="15" customHeight="1">
      <c r="A658" s="1182"/>
      <c r="B658" s="1177"/>
      <c r="C658" s="1660"/>
      <c r="D658" s="1660"/>
      <c r="E658" s="170"/>
      <c r="F658" s="1944" t="s">
        <v>3103</v>
      </c>
      <c r="H658" s="2299">
        <f>+AE462</f>
        <v>290</v>
      </c>
      <c r="I658" s="2299"/>
      <c r="J658" s="2299"/>
      <c r="K658" s="1944" t="s">
        <v>3196</v>
      </c>
      <c r="L658" s="2090">
        <f>+AK523</f>
        <v>20976</v>
      </c>
      <c r="M658" s="2090"/>
      <c r="N658" s="2090"/>
      <c r="O658" s="1779" t="s">
        <v>3194</v>
      </c>
      <c r="P658" s="2090">
        <f>+AK527</f>
        <v>1945.6</v>
      </c>
      <c r="Q658" s="2090"/>
      <c r="R658" s="2090"/>
      <c r="S658" s="1779" t="s">
        <v>3194</v>
      </c>
      <c r="T658" s="2090">
        <f>+AK530</f>
        <v>2412.7431579569611</v>
      </c>
      <c r="U658" s="2090"/>
      <c r="V658" s="2090"/>
      <c r="W658" s="1779" t="s">
        <v>3194</v>
      </c>
      <c r="X658" s="2090">
        <f>+AK524</f>
        <v>32055.536807235036</v>
      </c>
      <c r="Y658" s="2090"/>
      <c r="Z658" s="2090"/>
      <c r="AA658" s="1780" t="s">
        <v>3194</v>
      </c>
      <c r="AB658" s="2149">
        <f>+AK526</f>
        <v>0</v>
      </c>
      <c r="AC658" s="2149"/>
      <c r="AD658" s="2149"/>
      <c r="AE658" s="1779" t="s">
        <v>3194</v>
      </c>
      <c r="AF658" s="2090">
        <f>+AK522</f>
        <v>44080</v>
      </c>
      <c r="AG658" s="2090"/>
      <c r="AH658" s="2090"/>
      <c r="AI658" s="1780" t="s">
        <v>3194</v>
      </c>
      <c r="AJ658" s="2149">
        <f>+AK529</f>
        <v>2171.4688421612645</v>
      </c>
      <c r="AK658" s="2149"/>
      <c r="AL658" s="2149"/>
      <c r="AM658" s="1780" t="s">
        <v>3195</v>
      </c>
      <c r="AN658" s="2149">
        <f>+AK528</f>
        <v>3062.1103594539709</v>
      </c>
      <c r="AO658" s="2149"/>
      <c r="AP658" s="2149"/>
      <c r="AQ658" s="2179" t="s">
        <v>3107</v>
      </c>
      <c r="AR658" s="143"/>
    </row>
    <row r="659" spans="1:44" ht="15" customHeight="1">
      <c r="A659" s="1182"/>
      <c r="B659" s="1177"/>
      <c r="C659" s="1660"/>
      <c r="D659" s="1660"/>
      <c r="E659" s="170"/>
      <c r="F659" s="1944"/>
      <c r="H659" s="2299"/>
      <c r="I659" s="2299"/>
      <c r="J659" s="2299"/>
      <c r="K659" s="1944"/>
      <c r="L659" s="170"/>
      <c r="M659" s="170"/>
      <c r="N659" s="170"/>
      <c r="O659" s="170"/>
      <c r="P659" s="170"/>
      <c r="Q659" s="170"/>
      <c r="R659" s="170"/>
      <c r="S659" s="170"/>
      <c r="T659" s="170"/>
      <c r="U659" s="170"/>
      <c r="V659" s="170"/>
      <c r="W659" s="170"/>
      <c r="X659" s="115"/>
      <c r="Y659" s="2135">
        <f>+AK525</f>
        <v>47019.875</v>
      </c>
      <c r="Z659" s="2135"/>
      <c r="AA659" s="2135"/>
      <c r="AB659" s="170"/>
      <c r="AC659" s="1644"/>
      <c r="AD659" s="1644"/>
      <c r="AE659" s="122"/>
      <c r="AF659" s="1644"/>
      <c r="AG659" s="122"/>
      <c r="AH659" s="122"/>
      <c r="AI659" s="122"/>
      <c r="AJ659" s="122"/>
      <c r="AK659" s="122"/>
      <c r="AL659" s="122"/>
      <c r="AM659" s="122"/>
      <c r="AN659" s="122"/>
      <c r="AO659" s="122"/>
      <c r="AP659" s="1781"/>
      <c r="AQ659" s="2179"/>
      <c r="AR659" s="143"/>
    </row>
    <row r="660" spans="1:44" ht="15" customHeight="1">
      <c r="A660" s="1182"/>
      <c r="B660" s="1177"/>
      <c r="C660" s="1660"/>
      <c r="D660" s="1660"/>
      <c r="E660" s="170"/>
      <c r="F660" s="1642" t="s">
        <v>3103</v>
      </c>
      <c r="H660" s="2252">
        <f>H658*(L658+P658+T658+X658+AB658+AF658+AJ658-AN658)/Y659</f>
        <v>620.33297940266311</v>
      </c>
      <c r="I660" s="2252"/>
      <c r="J660" s="2252"/>
      <c r="K660" s="2252"/>
      <c r="L660" s="1661"/>
      <c r="M660" s="1661"/>
      <c r="Y660" s="143"/>
      <c r="Z660" s="1643"/>
      <c r="AB660" s="1643"/>
      <c r="AD660" s="73"/>
      <c r="AE660" s="1647"/>
      <c r="AF660" s="73"/>
      <c r="AR660" s="143"/>
    </row>
    <row r="661" spans="1:44" ht="15" customHeight="1">
      <c r="A661" s="1182"/>
      <c r="B661" s="1177"/>
      <c r="C661" s="1660"/>
      <c r="D661" s="1660"/>
      <c r="E661" s="170"/>
      <c r="F661" s="1642"/>
      <c r="H661" s="1653"/>
      <c r="I661" s="1653"/>
      <c r="J661" s="1653"/>
      <c r="K661" s="1653"/>
      <c r="L661" s="1661"/>
      <c r="M661" s="1661"/>
      <c r="Y661" s="143"/>
      <c r="Z661" s="1643"/>
      <c r="AB661" s="1643"/>
      <c r="AD661" s="73"/>
      <c r="AE661" s="1647"/>
      <c r="AF661" s="73"/>
      <c r="AR661" s="143"/>
    </row>
    <row r="662" spans="1:44" ht="15" customHeight="1">
      <c r="A662" s="1182"/>
      <c r="B662" s="1655" t="s">
        <v>3218</v>
      </c>
      <c r="C662" s="1655"/>
      <c r="D662" s="170"/>
      <c r="E662" s="170"/>
      <c r="F662" s="124"/>
      <c r="H662" s="1757"/>
      <c r="I662" s="1757"/>
      <c r="J662" s="1757"/>
      <c r="K662" s="1650"/>
      <c r="L662" s="1643"/>
      <c r="W662" s="1639"/>
      <c r="X662" s="1639"/>
      <c r="Y662" s="1639"/>
      <c r="Z662" s="1643"/>
      <c r="AB662" s="1643"/>
      <c r="AD662" s="1647"/>
      <c r="AF662" s="1647"/>
      <c r="AR662" s="143"/>
    </row>
    <row r="663" spans="1:44" ht="20.100000000000001" customHeight="1">
      <c r="A663" s="1182"/>
      <c r="B663" s="1762" t="s">
        <v>3202</v>
      </c>
      <c r="C663" s="1667"/>
      <c r="D663" s="1667"/>
      <c r="E663" s="1667"/>
      <c r="F663" s="1763"/>
      <c r="G663" s="1667"/>
      <c r="H663" s="1764"/>
      <c r="I663" s="1783" t="s">
        <v>3220</v>
      </c>
      <c r="J663" s="1764"/>
      <c r="K663" s="1764"/>
      <c r="L663" s="1668"/>
      <c r="M663" s="1667"/>
      <c r="N663" s="1667"/>
      <c r="O663" s="1667"/>
      <c r="P663" s="1667"/>
      <c r="Q663" s="1667"/>
      <c r="R663" s="1667"/>
      <c r="S663" s="1667"/>
      <c r="T663" s="1667"/>
      <c r="U663" s="1668"/>
      <c r="V663" s="1668"/>
      <c r="W663" s="1668"/>
      <c r="X663" s="1668"/>
      <c r="Y663" s="1667"/>
      <c r="Z663" s="1668"/>
      <c r="AA663" s="1667"/>
      <c r="AB663" s="1668"/>
      <c r="AC663" s="1667"/>
      <c r="AD663" s="1668"/>
      <c r="AE663" s="1667"/>
      <c r="AF663" s="1667"/>
      <c r="AG663" s="1667"/>
      <c r="AH663" s="1667"/>
      <c r="AI663" s="1667"/>
      <c r="AJ663" s="1774"/>
      <c r="AK663" s="1667"/>
      <c r="AL663" s="1772" t="s">
        <v>3219</v>
      </c>
      <c r="AM663" s="1764"/>
      <c r="AN663" s="1764"/>
      <c r="AO663" s="1764"/>
      <c r="AP663" s="1764"/>
      <c r="AQ663" s="1764"/>
      <c r="AR663" s="143"/>
    </row>
    <row r="664" spans="1:44" ht="15" customHeight="1">
      <c r="B664" s="124" t="s">
        <v>3136</v>
      </c>
      <c r="C664" s="1639"/>
      <c r="D664" s="1639"/>
      <c r="E664" s="170"/>
      <c r="F664" s="124"/>
      <c r="G664" s="170"/>
      <c r="H664" s="1760"/>
      <c r="I664" s="1788" t="s">
        <v>1993</v>
      </c>
      <c r="J664" s="1443"/>
      <c r="K664" s="170"/>
      <c r="L664" s="170"/>
      <c r="M664" s="170"/>
      <c r="N664" s="170"/>
      <c r="O664" s="170"/>
      <c r="P664" s="170"/>
      <c r="Q664" s="170"/>
      <c r="R664" s="1642" t="s">
        <v>3103</v>
      </c>
      <c r="S664" s="2264">
        <f>+AE462</f>
        <v>290</v>
      </c>
      <c r="T664" s="2135"/>
      <c r="U664" s="2135"/>
      <c r="V664" s="124" t="s">
        <v>3194</v>
      </c>
      <c r="W664" s="2264">
        <f t="shared" ref="W664" si="10">+AE463</f>
        <v>0</v>
      </c>
      <c r="X664" s="2264"/>
      <c r="Y664" s="124" t="s">
        <v>3195</v>
      </c>
      <c r="Z664" s="2298">
        <f>+H660</f>
        <v>620.33297940266311</v>
      </c>
      <c r="AA664" s="2135"/>
      <c r="AB664" s="2135"/>
      <c r="AC664" s="741" t="s">
        <v>3195</v>
      </c>
      <c r="AD664" s="2264">
        <f>+AE452</f>
        <v>40</v>
      </c>
      <c r="AE664" s="2135"/>
      <c r="AF664" s="124" t="s">
        <v>3228</v>
      </c>
      <c r="AG664" s="1642" t="s">
        <v>3103</v>
      </c>
      <c r="AH664" s="2093">
        <f>S664+W664-Z664-AD664/2</f>
        <v>-350.33297940266311</v>
      </c>
      <c r="AI664" s="2093"/>
      <c r="AJ664" s="2297"/>
      <c r="AK664" s="170"/>
      <c r="AL664" s="170" t="s">
        <v>3203</v>
      </c>
      <c r="AM664" s="143"/>
      <c r="AN664" s="76" t="s">
        <v>3103</v>
      </c>
      <c r="AO664" s="2111">
        <f t="shared" ref="AO664:AO671" si="11">+AH664*AK522/1000</f>
        <v>-15442.677732069389</v>
      </c>
      <c r="AP664" s="2111"/>
      <c r="AQ664" s="2111"/>
      <c r="AR664" s="143"/>
    </row>
    <row r="665" spans="1:44" ht="15" customHeight="1">
      <c r="B665" s="124" t="s">
        <v>3137</v>
      </c>
      <c r="C665" s="1639"/>
      <c r="D665" s="1639"/>
      <c r="E665" s="170"/>
      <c r="F665" s="124"/>
      <c r="G665" s="170"/>
      <c r="H665" s="1760"/>
      <c r="I665" s="1784" t="s">
        <v>1994</v>
      </c>
      <c r="J665" s="170"/>
      <c r="K665" s="170"/>
      <c r="L665" s="170"/>
      <c r="M665" s="170"/>
      <c r="N665" s="170"/>
      <c r="O665" s="170"/>
      <c r="P665" s="170"/>
      <c r="Q665" s="170"/>
      <c r="R665" s="1642" t="s">
        <v>3103</v>
      </c>
      <c r="S665" s="1765"/>
      <c r="T665" s="1765" t="str">
        <f>+AE462&amp;" + "&amp;AE463&amp;" - "&amp;ROUND(H660,2)&amp;" + "&amp;AE456&amp;" + "&amp;AE454&amp;" / 2"</f>
        <v>290 + 0 - 620.33 + 3200 + 30 / 2</v>
      </c>
      <c r="U665" s="741"/>
      <c r="V665" s="1499"/>
      <c r="W665" s="741"/>
      <c r="X665" s="741"/>
      <c r="Y665" s="741"/>
      <c r="Z665" s="1787"/>
      <c r="AA665" s="741"/>
      <c r="AB665" s="741"/>
      <c r="AC665" s="741"/>
      <c r="AD665" s="1765"/>
      <c r="AE665" s="115"/>
      <c r="AF665" s="124"/>
      <c r="AG665" s="1642" t="s">
        <v>3103</v>
      </c>
      <c r="AH665" s="2248">
        <f>S664+W664-Z664+AE456+AE454/2</f>
        <v>2884.6670205973369</v>
      </c>
      <c r="AI665" s="2248"/>
      <c r="AJ665" s="2249"/>
      <c r="AK665" s="170"/>
      <c r="AL665" s="170" t="s">
        <v>3204</v>
      </c>
      <c r="AM665" s="143"/>
      <c r="AN665" s="76" t="s">
        <v>3103</v>
      </c>
      <c r="AO665" s="2111">
        <f t="shared" si="11"/>
        <v>60508.775424049738</v>
      </c>
      <c r="AP665" s="2111"/>
      <c r="AQ665" s="2111"/>
      <c r="AR665" s="143"/>
    </row>
    <row r="666" spans="1:44" ht="15" customHeight="1">
      <c r="B666" s="124" t="s">
        <v>3138</v>
      </c>
      <c r="C666" s="1639"/>
      <c r="D666" s="1639"/>
      <c r="E666" s="170"/>
      <c r="F666" s="124"/>
      <c r="G666" s="170"/>
      <c r="H666" s="1760"/>
      <c r="I666" s="1784" t="s">
        <v>1995</v>
      </c>
      <c r="J666" s="170"/>
      <c r="K666" s="170"/>
      <c r="L666" s="170"/>
      <c r="M666" s="170"/>
      <c r="N666" s="170"/>
      <c r="O666" s="170"/>
      <c r="P666" s="170"/>
      <c r="Q666" s="170"/>
      <c r="R666" s="1642" t="s">
        <v>3103</v>
      </c>
      <c r="S666" s="1765"/>
      <c r="T666" s="115" t="str">
        <f>+AE462&amp;" + "&amp;AE463&amp;" - "&amp;ROUND(H660,2)&amp;" + "&amp;AE456&amp;" / 2"</f>
        <v>290 + 0 - 620.33 + 3200 / 2</v>
      </c>
      <c r="U666" s="124"/>
      <c r="V666" s="1766"/>
      <c r="W666" s="115"/>
      <c r="X666" s="115"/>
      <c r="Y666" s="124"/>
      <c r="Z666" s="1765"/>
      <c r="AA666" s="115"/>
      <c r="AB666" s="115"/>
      <c r="AC666" s="124"/>
      <c r="AD666" s="170"/>
      <c r="AE666" s="170"/>
      <c r="AF666" s="170"/>
      <c r="AG666" s="1642" t="s">
        <v>3103</v>
      </c>
      <c r="AH666" s="2248">
        <f>S664+W664-Z664+AE456/2</f>
        <v>1269.6670205973369</v>
      </c>
      <c r="AI666" s="2248"/>
      <c r="AJ666" s="2249"/>
      <c r="AK666" s="170"/>
      <c r="AL666" s="124" t="s">
        <v>3215</v>
      </c>
      <c r="AM666" s="143"/>
      <c r="AN666" s="76" t="s">
        <v>3103</v>
      </c>
      <c r="AO666" s="2111">
        <f t="shared" si="11"/>
        <v>40699.857911690378</v>
      </c>
      <c r="AP666" s="2111"/>
      <c r="AQ666" s="2111"/>
      <c r="AR666" s="143"/>
    </row>
    <row r="667" spans="1:44" ht="15" customHeight="1">
      <c r="B667" s="124" t="s">
        <v>3139</v>
      </c>
      <c r="C667" s="1639"/>
      <c r="D667" s="1639"/>
      <c r="E667" s="170"/>
      <c r="F667" s="124"/>
      <c r="G667" s="170"/>
      <c r="H667" s="1760"/>
      <c r="I667" s="1721" t="s">
        <v>3234</v>
      </c>
      <c r="J667" s="170"/>
      <c r="K667" s="170"/>
      <c r="L667" s="170"/>
      <c r="M667" s="170"/>
      <c r="N667" s="170"/>
      <c r="O667" s="170"/>
      <c r="P667" s="170"/>
      <c r="Q667" s="170"/>
      <c r="R667" s="1642" t="s">
        <v>3103</v>
      </c>
      <c r="S667" s="1766"/>
      <c r="T667" s="2093">
        <f>+H660</f>
        <v>620.33297940266311</v>
      </c>
      <c r="U667" s="2093"/>
      <c r="V667" s="2093"/>
      <c r="W667" s="1765" t="s">
        <v>3235</v>
      </c>
      <c r="X667" s="1765"/>
      <c r="Y667" s="124"/>
      <c r="Z667" s="2094">
        <f>+AE462</f>
        <v>290</v>
      </c>
      <c r="AA667" s="2094"/>
      <c r="AB667" s="2094"/>
      <c r="AC667" s="124"/>
      <c r="AD667" s="1639"/>
      <c r="AE667" s="1765"/>
      <c r="AF667" s="115"/>
      <c r="AG667" s="1642" t="s">
        <v>3103</v>
      </c>
      <c r="AH667" s="2248">
        <f>+T667^2 /2/Z667</f>
        <v>663.47069885273254</v>
      </c>
      <c r="AI667" s="2248"/>
      <c r="AJ667" s="2249"/>
      <c r="AK667" s="170"/>
      <c r="AL667" s="170" t="s">
        <v>3205</v>
      </c>
      <c r="AM667" s="143"/>
      <c r="AN667" s="76" t="s">
        <v>3103</v>
      </c>
      <c r="AO667" s="2111">
        <f t="shared" si="11"/>
        <v>31196.309326218128</v>
      </c>
      <c r="AP667" s="2111"/>
      <c r="AQ667" s="2111"/>
      <c r="AR667" s="143"/>
    </row>
    <row r="668" spans="1:44" ht="15" customHeight="1">
      <c r="B668" s="124" t="s">
        <v>3141</v>
      </c>
      <c r="C668" s="1639"/>
      <c r="D668" s="1639"/>
      <c r="E668" s="170"/>
      <c r="F668" s="124"/>
      <c r="G668" s="170"/>
      <c r="H668" s="1760"/>
      <c r="I668" s="1784" t="s">
        <v>1996</v>
      </c>
      <c r="J668" s="170"/>
      <c r="K668" s="170"/>
      <c r="L668" s="170"/>
      <c r="M668" s="170"/>
      <c r="N668" s="170"/>
      <c r="O668" s="170"/>
      <c r="P668" s="170"/>
      <c r="Q668" s="170"/>
      <c r="R668" s="1642" t="s">
        <v>3103</v>
      </c>
      <c r="S668" s="1765"/>
      <c r="T668" s="1765" t="str">
        <f>+AE462&amp;" + "&amp;AE463&amp;" - "&amp;ROUND(H660,2)&amp;" + "&amp;AE471&amp;" / 2"</f>
        <v>290 + 0 - 620.33 + 0 / 2</v>
      </c>
      <c r="U668" s="741"/>
      <c r="V668" s="1787"/>
      <c r="W668" s="741"/>
      <c r="X668" s="741"/>
      <c r="Y668" s="741"/>
      <c r="Z668" s="1499"/>
      <c r="AA668" s="741"/>
      <c r="AB668" s="741"/>
      <c r="AC668" s="741"/>
      <c r="AD668" s="1639"/>
      <c r="AE668" s="1639"/>
      <c r="AF668" s="170"/>
      <c r="AG668" s="1642" t="s">
        <v>3103</v>
      </c>
      <c r="AH668" s="2248">
        <f>S664+W664-Z664+AE471/2</f>
        <v>-330.33297940266311</v>
      </c>
      <c r="AI668" s="2248"/>
      <c r="AJ668" s="2249"/>
      <c r="AK668" s="170"/>
      <c r="AL668" s="170" t="s">
        <v>3206</v>
      </c>
      <c r="AM668" s="143"/>
      <c r="AN668" s="76" t="s">
        <v>3103</v>
      </c>
      <c r="AO668" s="2111">
        <f t="shared" si="11"/>
        <v>0</v>
      </c>
      <c r="AP668" s="2111"/>
      <c r="AQ668" s="2111"/>
      <c r="AR668" s="143"/>
    </row>
    <row r="669" spans="1:44" ht="15" customHeight="1">
      <c r="B669" s="124" t="s">
        <v>3140</v>
      </c>
      <c r="C669" s="1639"/>
      <c r="D669" s="1639"/>
      <c r="E669" s="170"/>
      <c r="F669" s="124"/>
      <c r="G669" s="170"/>
      <c r="H669" s="1760"/>
      <c r="I669" s="1784" t="s">
        <v>3233</v>
      </c>
      <c r="J669" s="170"/>
      <c r="K669" s="170"/>
      <c r="L669" s="170"/>
      <c r="M669" s="170"/>
      <c r="N669" s="170"/>
      <c r="O669" s="170"/>
      <c r="P669" s="170"/>
      <c r="Q669" s="170"/>
      <c r="R669" s="1642" t="s">
        <v>3103</v>
      </c>
      <c r="S669" s="1765"/>
      <c r="T669" s="1765" t="str">
        <f>+AE462&amp;" + "&amp;AE463&amp;" - "&amp;ROUND(H660,2)&amp;" + "&amp;AE456&amp;" - "&amp;AE468&amp;" / 2"</f>
        <v>290 + 0 - 620.33 + 3200 - 160 / 2</v>
      </c>
      <c r="U669" s="741"/>
      <c r="V669" s="1787"/>
      <c r="W669" s="741"/>
      <c r="X669" s="741"/>
      <c r="Y669" s="741"/>
      <c r="Z669" s="1499"/>
      <c r="AA669" s="741"/>
      <c r="AB669" s="741"/>
      <c r="AC669" s="1642"/>
      <c r="AD669" s="1765"/>
      <c r="AE669" s="115"/>
      <c r="AF669" s="124"/>
      <c r="AG669" s="1642" t="s">
        <v>3103</v>
      </c>
      <c r="AH669" s="2248">
        <f>S664+W664-Z664+AE456-AE468/2</f>
        <v>2789.6670205973369</v>
      </c>
      <c r="AI669" s="2248"/>
      <c r="AJ669" s="2249"/>
      <c r="AK669" s="170"/>
      <c r="AL669" s="170" t="s">
        <v>3207</v>
      </c>
      <c r="AM669" s="143"/>
      <c r="AN669" s="76" t="s">
        <v>3103</v>
      </c>
      <c r="AO669" s="2111">
        <f t="shared" si="11"/>
        <v>5427.5761552741787</v>
      </c>
      <c r="AP669" s="2111"/>
      <c r="AQ669" s="2111"/>
      <c r="AR669" s="143"/>
    </row>
    <row r="670" spans="1:44" ht="15" customHeight="1">
      <c r="B670" s="124" t="s">
        <v>3142</v>
      </c>
      <c r="C670" s="1639"/>
      <c r="D670" s="1639"/>
      <c r="E670" s="170"/>
      <c r="F670" s="124"/>
      <c r="G670" s="170"/>
      <c r="H670" s="1760"/>
      <c r="I670" s="1784" t="s">
        <v>599</v>
      </c>
      <c r="J670" s="170"/>
      <c r="K670" s="170"/>
      <c r="L670" s="170"/>
      <c r="M670" s="170"/>
      <c r="N670" s="170"/>
      <c r="O670" s="170"/>
      <c r="P670" s="170"/>
      <c r="Q670" s="170"/>
      <c r="R670" s="1642" t="s">
        <v>3103</v>
      </c>
      <c r="S670" s="58"/>
      <c r="T670" s="2096">
        <f>+H660</f>
        <v>620.33297940266311</v>
      </c>
      <c r="U670" s="2096"/>
      <c r="V670" s="2096"/>
      <c r="W670" s="1499" t="s">
        <v>3195</v>
      </c>
      <c r="X670" s="2094">
        <f>+AE448</f>
        <v>50</v>
      </c>
      <c r="Y670" s="2094"/>
      <c r="Z670" s="2094"/>
      <c r="AA670" s="1765"/>
      <c r="AB670" s="741"/>
      <c r="AC670" s="1642"/>
      <c r="AD670" s="1766"/>
      <c r="AE670" s="115"/>
      <c r="AF670" s="115"/>
      <c r="AG670" s="1642" t="s">
        <v>3103</v>
      </c>
      <c r="AH670" s="2096">
        <f>+T670-X670</f>
        <v>570.33297940266311</v>
      </c>
      <c r="AI670" s="2096"/>
      <c r="AJ670" s="2251"/>
      <c r="AK670" s="170"/>
      <c r="AL670" s="170" t="s">
        <v>3208</v>
      </c>
      <c r="AM670" s="143"/>
      <c r="AN670" s="76" t="s">
        <v>3103</v>
      </c>
      <c r="AO670" s="2111">
        <f t="shared" si="11"/>
        <v>1746.4225245671428</v>
      </c>
      <c r="AP670" s="2111"/>
      <c r="AQ670" s="2111"/>
      <c r="AR670" s="143"/>
    </row>
    <row r="671" spans="1:44" ht="15" customHeight="1">
      <c r="B671" s="124" t="s">
        <v>3143</v>
      </c>
      <c r="C671" s="1639"/>
      <c r="D671" s="1639"/>
      <c r="E671" s="170"/>
      <c r="F671" s="124"/>
      <c r="G671" s="170"/>
      <c r="H671" s="1760"/>
      <c r="I671" s="1784" t="s">
        <v>600</v>
      </c>
      <c r="J671" s="170"/>
      <c r="K671" s="170"/>
      <c r="L671" s="170"/>
      <c r="M671" s="170"/>
      <c r="N671" s="170"/>
      <c r="O671" s="170"/>
      <c r="P671" s="170"/>
      <c r="Q671" s="170"/>
      <c r="R671" s="1642" t="s">
        <v>3103</v>
      </c>
      <c r="S671" s="58"/>
      <c r="T671" s="2096">
        <f>+AE449</f>
        <v>250</v>
      </c>
      <c r="U671" s="2096"/>
      <c r="V671" s="2096"/>
      <c r="W671" s="1499" t="s">
        <v>3195</v>
      </c>
      <c r="X671" s="2094">
        <f>+H660</f>
        <v>620.33297940266311</v>
      </c>
      <c r="Y671" s="2094"/>
      <c r="Z671" s="2094"/>
      <c r="AA671" s="1765"/>
      <c r="AB671" s="741"/>
      <c r="AC671" s="1642"/>
      <c r="AD671" s="1766"/>
      <c r="AE671" s="115"/>
      <c r="AF671" s="115"/>
      <c r="AG671" s="1642" t="s">
        <v>3103</v>
      </c>
      <c r="AH671" s="2096">
        <f>ABS(T671-X671)</f>
        <v>370.33297940266311</v>
      </c>
      <c r="AI671" s="2096"/>
      <c r="AJ671" s="2251"/>
      <c r="AK671" s="170"/>
      <c r="AL671" s="170" t="s">
        <v>3209</v>
      </c>
      <c r="AM671" s="143"/>
      <c r="AN671" s="76" t="s">
        <v>3103</v>
      </c>
      <c r="AO671" s="2111">
        <f t="shared" si="11"/>
        <v>804.16652599763233</v>
      </c>
      <c r="AP671" s="2111"/>
      <c r="AQ671" s="2111"/>
      <c r="AR671" s="143"/>
    </row>
    <row r="672" spans="1:44" ht="15" customHeight="1">
      <c r="B672" s="124" t="s">
        <v>3144</v>
      </c>
      <c r="C672" s="170"/>
      <c r="D672" s="170"/>
      <c r="E672" s="170"/>
      <c r="F672" s="124"/>
      <c r="G672" s="170"/>
      <c r="H672" s="1760"/>
      <c r="I672" s="1776"/>
      <c r="J672" s="170"/>
      <c r="K672" s="170"/>
      <c r="L672" s="1639"/>
      <c r="M672" s="170"/>
      <c r="N672" s="170"/>
      <c r="O672" s="170"/>
      <c r="P672" s="170"/>
      <c r="Q672" s="170"/>
      <c r="R672" s="170"/>
      <c r="S672" s="170"/>
      <c r="T672" s="170"/>
      <c r="U672" s="1639"/>
      <c r="V672" s="1639"/>
      <c r="W672" s="1639"/>
      <c r="X672" s="1639"/>
      <c r="Y672" s="170"/>
      <c r="Z672" s="1639"/>
      <c r="AA672" s="170"/>
      <c r="AB672" s="1644"/>
      <c r="AC672" s="122"/>
      <c r="AD672" s="1644"/>
      <c r="AE672" s="122"/>
      <c r="AF672" s="122"/>
      <c r="AG672" s="1642"/>
      <c r="AH672" s="2096"/>
      <c r="AI672" s="2096"/>
      <c r="AJ672" s="2251"/>
      <c r="AK672" s="170"/>
      <c r="AL672" s="1760"/>
      <c r="AM672" s="143"/>
      <c r="AN672" s="76"/>
      <c r="AO672" s="2111"/>
      <c r="AP672" s="2111"/>
      <c r="AQ672" s="2111"/>
      <c r="AR672" s="143"/>
    </row>
    <row r="673" spans="1:44" ht="15" customHeight="1">
      <c r="B673" s="1335" t="s">
        <v>3128</v>
      </c>
      <c r="C673" s="1333"/>
      <c r="D673" s="1333"/>
      <c r="E673" s="1333"/>
      <c r="F673" s="1335"/>
      <c r="G673" s="1333"/>
      <c r="H673" s="1761"/>
      <c r="I673" s="1785" t="s">
        <v>1998</v>
      </c>
      <c r="J673" s="1333"/>
      <c r="K673" s="1333"/>
      <c r="L673" s="1333"/>
      <c r="M673" s="1333"/>
      <c r="N673" s="1333"/>
      <c r="O673" s="1333"/>
      <c r="P673" s="1333"/>
      <c r="Q673" s="1333"/>
      <c r="R673" s="1480" t="s">
        <v>3103</v>
      </c>
      <c r="S673" s="1767"/>
      <c r="T673" s="1767" t="str">
        <f>+AE462&amp;" + "&amp;AE463&amp;" - "&amp;ROUND(H660,2)&amp;" + "&amp;AE456&amp;" - "&amp;AE464&amp;" / 2"</f>
        <v>290 + 0 - 620.33 + 3200 - 600 / 2</v>
      </c>
      <c r="U673" s="1779"/>
      <c r="V673" s="1786"/>
      <c r="W673" s="1779"/>
      <c r="X673" s="1779"/>
      <c r="Y673" s="1779"/>
      <c r="Z673" s="1771"/>
      <c r="AA673" s="1779"/>
      <c r="AB673" s="1779"/>
      <c r="AC673" s="1779"/>
      <c r="AD673" s="1771"/>
      <c r="AE673" s="1779"/>
      <c r="AF673" s="1335"/>
      <c r="AG673" s="1480" t="s">
        <v>3103</v>
      </c>
      <c r="AH673" s="2104">
        <f>S664+W664-Z664+AE456-AE464/2</f>
        <v>2569.6670205973369</v>
      </c>
      <c r="AI673" s="2104"/>
      <c r="AJ673" s="2245"/>
      <c r="AK673" s="1333"/>
      <c r="AL673" s="1333" t="s">
        <v>3210</v>
      </c>
      <c r="AM673" s="1333"/>
      <c r="AN673" s="1433" t="s">
        <v>3103</v>
      </c>
      <c r="AO673" s="2149">
        <f>+AH673*AK531/1000</f>
        <v>109756.90261726375</v>
      </c>
      <c r="AP673" s="2149"/>
      <c r="AQ673" s="2149"/>
      <c r="AR673" s="143"/>
    </row>
    <row r="674" spans="1:44" ht="15" customHeight="1">
      <c r="A674" s="1182"/>
      <c r="B674" s="1177"/>
      <c r="C674" s="1655"/>
      <c r="D674" s="170"/>
      <c r="E674" s="170"/>
      <c r="F674" s="124"/>
      <c r="H674" s="1757"/>
      <c r="I674" s="1757"/>
      <c r="J674" s="1757"/>
      <c r="K674" s="1650"/>
      <c r="L674" s="1643"/>
      <c r="X674" s="1639"/>
      <c r="Y674" s="1639"/>
      <c r="Z674" s="1639"/>
      <c r="AA674" s="1643"/>
      <c r="AB674" s="143"/>
      <c r="AC674" s="1643"/>
      <c r="AD674" s="143"/>
      <c r="AE674" s="1647"/>
      <c r="AF674" s="73"/>
      <c r="AG674" s="1647"/>
      <c r="AI674" s="1648" t="s">
        <v>3211</v>
      </c>
      <c r="AJ674" s="143"/>
      <c r="AN674" s="76" t="s">
        <v>3103</v>
      </c>
      <c r="AO674" s="2246">
        <f>+SUM(AO664:AQ673)</f>
        <v>234697.33275299156</v>
      </c>
      <c r="AP674" s="2246"/>
      <c r="AQ674" s="2246"/>
      <c r="AR674" s="2246"/>
    </row>
    <row r="675" spans="1:44" ht="15" customHeight="1">
      <c r="A675" s="1182"/>
      <c r="B675" s="1177"/>
      <c r="G675" s="4"/>
      <c r="H675" s="4"/>
      <c r="L675" s="143"/>
      <c r="Y675" s="143"/>
      <c r="AB675" s="143"/>
      <c r="AD675" s="143"/>
      <c r="AE675" s="143"/>
      <c r="AF675" s="143"/>
      <c r="AG675" s="143"/>
      <c r="AH675" s="143"/>
      <c r="AI675" s="143"/>
      <c r="AJ675" s="143"/>
      <c r="AK675" s="143"/>
      <c r="AL675" s="143"/>
      <c r="AR675" s="143"/>
    </row>
    <row r="676" spans="1:44" ht="15" customHeight="1">
      <c r="A676" s="1182"/>
      <c r="B676" s="1177" t="s">
        <v>3221</v>
      </c>
      <c r="C676" s="95" t="s">
        <v>3240</v>
      </c>
      <c r="G676" s="4"/>
      <c r="H676" s="4"/>
      <c r="I676" s="4"/>
      <c r="L676" s="1643"/>
      <c r="Y676" s="143"/>
      <c r="Z676" s="1643"/>
      <c r="AB676" s="1643"/>
      <c r="AD676" s="73"/>
      <c r="AE676" s="1647"/>
      <c r="AF676" s="73"/>
      <c r="AR676" s="143"/>
    </row>
    <row r="677" spans="1:44" ht="15" customHeight="1">
      <c r="A677" s="1182"/>
      <c r="B677" s="1177"/>
      <c r="C677" s="1655" t="s">
        <v>3193</v>
      </c>
      <c r="D677" s="1655"/>
      <c r="F677" s="741" t="s">
        <v>3103</v>
      </c>
      <c r="G677" s="4"/>
      <c r="H677" s="1656" t="s">
        <v>3021</v>
      </c>
      <c r="I677" s="1752"/>
      <c r="J677" s="1752"/>
      <c r="K677" s="1752"/>
      <c r="L677" s="1752"/>
      <c r="M677" s="1752"/>
      <c r="N677" s="170"/>
      <c r="O677" s="170"/>
      <c r="P677" s="170"/>
      <c r="Q677" s="170"/>
      <c r="R677" s="170"/>
      <c r="S677" s="170"/>
      <c r="T677" s="170"/>
      <c r="U677" s="170"/>
      <c r="V677" s="170"/>
      <c r="W677" s="170"/>
      <c r="Y677" s="143"/>
      <c r="Z677" s="1643"/>
      <c r="AB677" s="1643"/>
      <c r="AD677" s="73"/>
      <c r="AE677" s="1647"/>
      <c r="AF677" s="73"/>
      <c r="AR677" s="143"/>
    </row>
    <row r="678" spans="1:44" ht="15" customHeight="1">
      <c r="A678" s="1182"/>
      <c r="B678" s="1177"/>
      <c r="C678" s="1660"/>
      <c r="D678" s="1660"/>
      <c r="E678" s="170"/>
      <c r="F678" s="1642" t="s">
        <v>3103</v>
      </c>
      <c r="H678" s="2252">
        <f>+AE448</f>
        <v>50</v>
      </c>
      <c r="I678" s="2252"/>
      <c r="J678" s="2252"/>
      <c r="K678" s="2252"/>
      <c r="L678" s="1661"/>
      <c r="M678" s="1661"/>
      <c r="Y678" s="143"/>
      <c r="Z678" s="1643"/>
      <c r="AB678" s="1643"/>
      <c r="AD678" s="73"/>
      <c r="AE678" s="1647"/>
      <c r="AF678" s="73"/>
      <c r="AR678" s="143"/>
    </row>
    <row r="679" spans="1:44" ht="15" customHeight="1">
      <c r="A679" s="1182"/>
      <c r="B679" s="1177"/>
      <c r="C679" s="1660"/>
      <c r="D679" s="1660"/>
      <c r="E679" s="170"/>
      <c r="F679" s="1642"/>
      <c r="H679" s="1653"/>
      <c r="I679" s="1653"/>
      <c r="J679" s="1653"/>
      <c r="K679" s="1653"/>
      <c r="L679" s="1661"/>
      <c r="M679" s="1661"/>
      <c r="Y679" s="143"/>
      <c r="Z679" s="1643"/>
      <c r="AB679" s="1643"/>
      <c r="AD679" s="73"/>
      <c r="AE679" s="1647"/>
      <c r="AF679" s="73"/>
      <c r="AR679" s="143"/>
    </row>
    <row r="680" spans="1:44" ht="15" customHeight="1">
      <c r="A680" s="1182"/>
      <c r="B680" s="1655" t="s">
        <v>3218</v>
      </c>
      <c r="C680" s="1655"/>
      <c r="D680" s="170"/>
      <c r="E680" s="170"/>
      <c r="F680" s="124"/>
      <c r="H680" s="1757"/>
      <c r="I680" s="1757"/>
      <c r="J680" s="1757"/>
      <c r="K680" s="1650"/>
      <c r="L680" s="1643"/>
      <c r="W680" s="1639"/>
      <c r="X680" s="1639"/>
      <c r="Y680" s="1639"/>
      <c r="Z680" s="1643"/>
      <c r="AB680" s="1643"/>
      <c r="AD680" s="1647"/>
      <c r="AF680" s="1647"/>
      <c r="AR680" s="143"/>
    </row>
    <row r="681" spans="1:44" ht="20.100000000000001" customHeight="1">
      <c r="A681" s="1182"/>
      <c r="B681" s="1762" t="s">
        <v>3202</v>
      </c>
      <c r="C681" s="1667"/>
      <c r="D681" s="1667"/>
      <c r="E681" s="1667"/>
      <c r="F681" s="1763"/>
      <c r="G681" s="1667"/>
      <c r="H681" s="1764"/>
      <c r="I681" s="1783" t="s">
        <v>3220</v>
      </c>
      <c r="J681" s="1764"/>
      <c r="K681" s="1764"/>
      <c r="L681" s="1668"/>
      <c r="M681" s="1667"/>
      <c r="N681" s="1667"/>
      <c r="O681" s="1667"/>
      <c r="P681" s="1667"/>
      <c r="Q681" s="1667"/>
      <c r="R681" s="1667"/>
      <c r="S681" s="1667"/>
      <c r="T681" s="1667"/>
      <c r="U681" s="1668"/>
      <c r="V681" s="1668"/>
      <c r="W681" s="1668"/>
      <c r="X681" s="1668"/>
      <c r="Y681" s="1667"/>
      <c r="Z681" s="1668"/>
      <c r="AA681" s="1667"/>
      <c r="AB681" s="1668"/>
      <c r="AC681" s="1667"/>
      <c r="AD681" s="1668"/>
      <c r="AE681" s="1667"/>
      <c r="AF681" s="1667"/>
      <c r="AG681" s="1667"/>
      <c r="AH681" s="1667"/>
      <c r="AI681" s="1667"/>
      <c r="AJ681" s="1774"/>
      <c r="AK681" s="1667"/>
      <c r="AL681" s="1772" t="s">
        <v>3219</v>
      </c>
      <c r="AM681" s="1764"/>
      <c r="AN681" s="1764"/>
      <c r="AO681" s="1764"/>
      <c r="AP681" s="1764"/>
      <c r="AQ681" s="1764"/>
      <c r="AR681" s="143"/>
    </row>
    <row r="682" spans="1:44" ht="15" customHeight="1">
      <c r="B682" s="124" t="s">
        <v>3136</v>
      </c>
      <c r="C682" s="1639"/>
      <c r="D682" s="1639"/>
      <c r="E682" s="170"/>
      <c r="F682" s="124"/>
      <c r="G682" s="170"/>
      <c r="H682" s="1760"/>
      <c r="I682" s="1788" t="s">
        <v>1993</v>
      </c>
      <c r="J682" s="1443"/>
      <c r="K682" s="170"/>
      <c r="L682" s="170"/>
      <c r="M682" s="170"/>
      <c r="N682" s="170"/>
      <c r="O682" s="170"/>
      <c r="P682" s="170"/>
      <c r="Q682" s="170"/>
      <c r="R682" s="1642" t="s">
        <v>3103</v>
      </c>
      <c r="S682" s="2264">
        <f>+AE462</f>
        <v>290</v>
      </c>
      <c r="T682" s="2135"/>
      <c r="U682" s="2135"/>
      <c r="V682" s="124" t="s">
        <v>3194</v>
      </c>
      <c r="W682" s="2264">
        <f>+AE463</f>
        <v>0</v>
      </c>
      <c r="X682" s="2264"/>
      <c r="Y682" s="124" t="s">
        <v>3195</v>
      </c>
      <c r="Z682" s="2298">
        <f>+H678</f>
        <v>50</v>
      </c>
      <c r="AA682" s="2135"/>
      <c r="AB682" s="2135"/>
      <c r="AC682" s="741" t="s">
        <v>3195</v>
      </c>
      <c r="AD682" s="2264">
        <f>+AE452</f>
        <v>40</v>
      </c>
      <c r="AE682" s="2135"/>
      <c r="AF682" s="124" t="s">
        <v>3228</v>
      </c>
      <c r="AG682" s="1642" t="s">
        <v>3103</v>
      </c>
      <c r="AH682" s="2093">
        <f>S682+W682-Z682-AD682/2</f>
        <v>220</v>
      </c>
      <c r="AI682" s="2093"/>
      <c r="AJ682" s="2297"/>
      <c r="AK682" s="170"/>
      <c r="AL682" s="170" t="s">
        <v>3203</v>
      </c>
      <c r="AM682" s="143"/>
      <c r="AN682" s="76" t="s">
        <v>3103</v>
      </c>
      <c r="AO682" s="2111">
        <f t="shared" ref="AO682:AO689" si="12">+AH682*AK522/1000</f>
        <v>9697.6</v>
      </c>
      <c r="AP682" s="2111"/>
      <c r="AQ682" s="2111"/>
      <c r="AR682" s="143"/>
    </row>
    <row r="683" spans="1:44" ht="15" customHeight="1">
      <c r="B683" s="124" t="s">
        <v>3137</v>
      </c>
      <c r="C683" s="1639"/>
      <c r="D683" s="1639"/>
      <c r="E683" s="170"/>
      <c r="F683" s="124"/>
      <c r="G683" s="170"/>
      <c r="H683" s="1760"/>
      <c r="I683" s="1784" t="s">
        <v>1994</v>
      </c>
      <c r="J683" s="170"/>
      <c r="K683" s="170"/>
      <c r="L683" s="170"/>
      <c r="M683" s="170"/>
      <c r="N683" s="170"/>
      <c r="O683" s="170"/>
      <c r="P683" s="170"/>
      <c r="Q683" s="170"/>
      <c r="R683" s="1642" t="s">
        <v>3103</v>
      </c>
      <c r="S683" s="1765"/>
      <c r="T683" s="1765" t="str">
        <f>+AE462&amp;" + "&amp;AE463&amp;" - "&amp;ROUND(H678,2)&amp;" + "&amp;AE456&amp;" + "&amp;AE454&amp;" / 2"</f>
        <v>290 + 0 - 50 + 3200 + 30 / 2</v>
      </c>
      <c r="U683" s="741"/>
      <c r="V683" s="1499"/>
      <c r="W683" s="741"/>
      <c r="X683" s="741"/>
      <c r="Y683" s="741"/>
      <c r="Z683" s="1787"/>
      <c r="AA683" s="741"/>
      <c r="AB683" s="741"/>
      <c r="AC683" s="741"/>
      <c r="AD683" s="1765"/>
      <c r="AE683" s="115"/>
      <c r="AF683" s="124"/>
      <c r="AG683" s="1642" t="s">
        <v>3103</v>
      </c>
      <c r="AH683" s="2248">
        <f>S682+W682-Z682+AE456+AE454/2</f>
        <v>3455</v>
      </c>
      <c r="AI683" s="2248"/>
      <c r="AJ683" s="2249"/>
      <c r="AK683" s="170"/>
      <c r="AL683" s="170" t="s">
        <v>3204</v>
      </c>
      <c r="AM683" s="143"/>
      <c r="AN683" s="76" t="s">
        <v>3103</v>
      </c>
      <c r="AO683" s="2111">
        <f t="shared" si="12"/>
        <v>72472.08</v>
      </c>
      <c r="AP683" s="2111"/>
      <c r="AQ683" s="2111"/>
      <c r="AR683" s="143"/>
    </row>
    <row r="684" spans="1:44" ht="15" customHeight="1">
      <c r="B684" s="124" t="s">
        <v>3138</v>
      </c>
      <c r="C684" s="1639"/>
      <c r="D684" s="1639"/>
      <c r="E684" s="170"/>
      <c r="F684" s="124"/>
      <c r="G684" s="170"/>
      <c r="H684" s="1760"/>
      <c r="I684" s="1784" t="s">
        <v>1995</v>
      </c>
      <c r="J684" s="170"/>
      <c r="K684" s="170"/>
      <c r="L684" s="170"/>
      <c r="M684" s="170"/>
      <c r="N684" s="170"/>
      <c r="O684" s="170"/>
      <c r="P684" s="170"/>
      <c r="Q684" s="170"/>
      <c r="R684" s="1642" t="s">
        <v>3103</v>
      </c>
      <c r="S684" s="1765"/>
      <c r="T684" s="115" t="str">
        <f>+AE462&amp;" + "&amp;AE463&amp;" - "&amp;ROUND(H678,2)&amp;" + "&amp;AE456&amp;" / 2"</f>
        <v>290 + 0 - 50 + 3200 / 2</v>
      </c>
      <c r="U684" s="124"/>
      <c r="V684" s="1766"/>
      <c r="W684" s="115"/>
      <c r="X684" s="115"/>
      <c r="Y684" s="124"/>
      <c r="Z684" s="1765"/>
      <c r="AA684" s="115"/>
      <c r="AB684" s="115"/>
      <c r="AC684" s="124"/>
      <c r="AD684" s="170"/>
      <c r="AE684" s="170"/>
      <c r="AF684" s="170"/>
      <c r="AG684" s="1642" t="s">
        <v>3103</v>
      </c>
      <c r="AH684" s="2248">
        <f>S682+W682-Z682+AE456/2</f>
        <v>1840</v>
      </c>
      <c r="AI684" s="2248"/>
      <c r="AJ684" s="2249"/>
      <c r="AK684" s="170"/>
      <c r="AL684" s="124" t="s">
        <v>3215</v>
      </c>
      <c r="AM684" s="143"/>
      <c r="AN684" s="76" t="s">
        <v>3103</v>
      </c>
      <c r="AO684" s="2111">
        <f t="shared" si="12"/>
        <v>58982.187725312462</v>
      </c>
      <c r="AP684" s="2111"/>
      <c r="AQ684" s="2111"/>
      <c r="AR684" s="143"/>
    </row>
    <row r="685" spans="1:44" ht="15" customHeight="1">
      <c r="B685" s="124" t="s">
        <v>3139</v>
      </c>
      <c r="C685" s="1639"/>
      <c r="D685" s="1639"/>
      <c r="E685" s="170"/>
      <c r="F685" s="124"/>
      <c r="G685" s="170"/>
      <c r="H685" s="1760"/>
      <c r="I685" s="1721" t="s">
        <v>3234</v>
      </c>
      <c r="J685" s="170"/>
      <c r="K685" s="170"/>
      <c r="L685" s="170"/>
      <c r="M685" s="170"/>
      <c r="N685" s="170"/>
      <c r="O685" s="170"/>
      <c r="P685" s="170"/>
      <c r="Q685" s="170"/>
      <c r="R685" s="1642" t="s">
        <v>3103</v>
      </c>
      <c r="S685" s="1766"/>
      <c r="T685" s="2093">
        <f>+H678</f>
        <v>50</v>
      </c>
      <c r="U685" s="2093"/>
      <c r="V685" s="2093"/>
      <c r="W685" s="1765" t="s">
        <v>3235</v>
      </c>
      <c r="X685" s="1765"/>
      <c r="Y685" s="124"/>
      <c r="Z685" s="2094">
        <f>+AE462</f>
        <v>290</v>
      </c>
      <c r="AA685" s="2094"/>
      <c r="AB685" s="2094"/>
      <c r="AC685" s="124"/>
      <c r="AD685" s="1639"/>
      <c r="AE685" s="1765"/>
      <c r="AF685" s="115"/>
      <c r="AG685" s="1642" t="s">
        <v>3103</v>
      </c>
      <c r="AH685" s="2093">
        <f>+T685^2 /2/Z685</f>
        <v>4.3103448275862073</v>
      </c>
      <c r="AI685" s="2093"/>
      <c r="AJ685" s="2297"/>
      <c r="AK685" s="170"/>
      <c r="AL685" s="170" t="s">
        <v>3205</v>
      </c>
      <c r="AM685" s="143"/>
      <c r="AN685" s="76" t="s">
        <v>3103</v>
      </c>
      <c r="AO685" s="2111">
        <f t="shared" si="12"/>
        <v>202.67187500000003</v>
      </c>
      <c r="AP685" s="2111"/>
      <c r="AQ685" s="2111"/>
      <c r="AR685" s="143"/>
    </row>
    <row r="686" spans="1:44" ht="15" customHeight="1">
      <c r="B686" s="124" t="s">
        <v>3141</v>
      </c>
      <c r="C686" s="1639"/>
      <c r="D686" s="1639"/>
      <c r="E686" s="170"/>
      <c r="F686" s="124"/>
      <c r="G686" s="170"/>
      <c r="H686" s="1760"/>
      <c r="I686" s="1784" t="s">
        <v>1996</v>
      </c>
      <c r="J686" s="170"/>
      <c r="K686" s="170"/>
      <c r="L686" s="170"/>
      <c r="M686" s="170"/>
      <c r="N686" s="170"/>
      <c r="O686" s="170"/>
      <c r="P686" s="170"/>
      <c r="Q686" s="170"/>
      <c r="R686" s="1642" t="s">
        <v>3103</v>
      </c>
      <c r="S686" s="1765"/>
      <c r="T686" s="1765" t="str">
        <f>+AE462&amp;" + "&amp;AE463&amp;" - "&amp;ROUND(H678,2)&amp;" + "&amp;AE471&amp;" / 2"</f>
        <v>290 + 0 - 50 + 0 / 2</v>
      </c>
      <c r="U686" s="741"/>
      <c r="V686" s="1787"/>
      <c r="W686" s="741"/>
      <c r="X686" s="741"/>
      <c r="Y686" s="741"/>
      <c r="Z686" s="1499"/>
      <c r="AA686" s="741"/>
      <c r="AB686" s="741"/>
      <c r="AC686" s="741"/>
      <c r="AD686" s="1639"/>
      <c r="AE686" s="1639"/>
      <c r="AF686" s="170"/>
      <c r="AG686" s="1642" t="s">
        <v>3103</v>
      </c>
      <c r="AH686" s="2248">
        <f>S682+W682-Z682+AE522/2</f>
        <v>430</v>
      </c>
      <c r="AI686" s="2248"/>
      <c r="AJ686" s="2249"/>
      <c r="AK686" s="170"/>
      <c r="AL686" s="170" t="s">
        <v>3206</v>
      </c>
      <c r="AM686" s="143"/>
      <c r="AN686" s="76" t="s">
        <v>3103</v>
      </c>
      <c r="AO686" s="2111">
        <f t="shared" si="12"/>
        <v>0</v>
      </c>
      <c r="AP686" s="2111"/>
      <c r="AQ686" s="2111"/>
      <c r="AR686" s="143"/>
    </row>
    <row r="687" spans="1:44" ht="15" customHeight="1">
      <c r="B687" s="124" t="s">
        <v>3140</v>
      </c>
      <c r="C687" s="1639"/>
      <c r="D687" s="1639"/>
      <c r="E687" s="170"/>
      <c r="F687" s="124"/>
      <c r="G687" s="170"/>
      <c r="H687" s="1760"/>
      <c r="I687" s="1784" t="s">
        <v>3233</v>
      </c>
      <c r="J687" s="170"/>
      <c r="K687" s="170"/>
      <c r="L687" s="170"/>
      <c r="M687" s="170"/>
      <c r="N687" s="170"/>
      <c r="O687" s="170"/>
      <c r="P687" s="170"/>
      <c r="Q687" s="170"/>
      <c r="R687" s="1642" t="s">
        <v>3103</v>
      </c>
      <c r="S687" s="1765"/>
      <c r="T687" s="1765" t="str">
        <f>+AE462&amp;" + "&amp;AE463&amp;" - "&amp;ROUND(H678,2)&amp;" + "&amp;AE456&amp;" - "&amp;AE468&amp;" / 2"</f>
        <v>290 + 0 - 50 + 3200 - 160 / 2</v>
      </c>
      <c r="U687" s="741"/>
      <c r="V687" s="1787"/>
      <c r="W687" s="741"/>
      <c r="X687" s="741"/>
      <c r="Y687" s="741"/>
      <c r="Z687" s="1499"/>
      <c r="AA687" s="741"/>
      <c r="AB687" s="741"/>
      <c r="AC687" s="1642"/>
      <c r="AD687" s="1765"/>
      <c r="AE687" s="115"/>
      <c r="AF687" s="124"/>
      <c r="AG687" s="1642" t="s">
        <v>3103</v>
      </c>
      <c r="AH687" s="2248">
        <f>S682+W682-Z682+AE456-AE468/2</f>
        <v>3360</v>
      </c>
      <c r="AI687" s="2248"/>
      <c r="AJ687" s="2249"/>
      <c r="AK687" s="170"/>
      <c r="AL687" s="170" t="s">
        <v>3207</v>
      </c>
      <c r="AM687" s="143"/>
      <c r="AN687" s="76" t="s">
        <v>3103</v>
      </c>
      <c r="AO687" s="2111">
        <f t="shared" si="12"/>
        <v>6537.2160000000003</v>
      </c>
      <c r="AP687" s="2111"/>
      <c r="AQ687" s="2111"/>
      <c r="AR687" s="143"/>
    </row>
    <row r="688" spans="1:44" ht="15" customHeight="1">
      <c r="B688" s="124" t="s">
        <v>3142</v>
      </c>
      <c r="C688" s="1639"/>
      <c r="D688" s="1639"/>
      <c r="E688" s="170"/>
      <c r="F688" s="124"/>
      <c r="G688" s="170"/>
      <c r="H688" s="1760"/>
      <c r="I688" s="1784" t="s">
        <v>3239</v>
      </c>
      <c r="J688" s="170"/>
      <c r="K688" s="170"/>
      <c r="L688" s="170"/>
      <c r="M688" s="170"/>
      <c r="N688" s="170"/>
      <c r="O688" s="170"/>
      <c r="P688" s="170"/>
      <c r="Q688" s="170"/>
      <c r="R688" s="1642" t="s">
        <v>3103</v>
      </c>
      <c r="S688" s="58"/>
      <c r="T688" s="2096"/>
      <c r="U688" s="2096"/>
      <c r="V688" s="2096"/>
      <c r="W688" s="1499"/>
      <c r="X688" s="2094"/>
      <c r="Y688" s="2094"/>
      <c r="Z688" s="2094"/>
      <c r="AA688" s="1765"/>
      <c r="AB688" s="741"/>
      <c r="AC688" s="1642"/>
      <c r="AD688" s="1766"/>
      <c r="AE688" s="115"/>
      <c r="AF688" s="115"/>
      <c r="AG688" s="1642" t="s">
        <v>3103</v>
      </c>
      <c r="AH688" s="2096">
        <v>0</v>
      </c>
      <c r="AI688" s="2096"/>
      <c r="AJ688" s="2251"/>
      <c r="AK688" s="170"/>
      <c r="AL688" s="170" t="s">
        <v>3208</v>
      </c>
      <c r="AM688" s="143"/>
      <c r="AN688" s="76" t="s">
        <v>3103</v>
      </c>
      <c r="AO688" s="2111">
        <f t="shared" si="12"/>
        <v>0</v>
      </c>
      <c r="AP688" s="2111"/>
      <c r="AQ688" s="2111"/>
      <c r="AR688" s="143"/>
    </row>
    <row r="689" spans="1:44" ht="15" customHeight="1">
      <c r="B689" s="124" t="s">
        <v>3143</v>
      </c>
      <c r="C689" s="1639"/>
      <c r="D689" s="1639"/>
      <c r="E689" s="170"/>
      <c r="F689" s="124"/>
      <c r="G689" s="170"/>
      <c r="H689" s="1760"/>
      <c r="I689" s="1784" t="s">
        <v>600</v>
      </c>
      <c r="J689" s="170"/>
      <c r="K689" s="170"/>
      <c r="L689" s="170"/>
      <c r="M689" s="170"/>
      <c r="N689" s="170"/>
      <c r="O689" s="170"/>
      <c r="P689" s="170"/>
      <c r="Q689" s="170"/>
      <c r="R689" s="1642" t="s">
        <v>3103</v>
      </c>
      <c r="S689" s="58"/>
      <c r="T689" s="2096">
        <f>+AE449</f>
        <v>250</v>
      </c>
      <c r="U689" s="2096"/>
      <c r="V689" s="2096"/>
      <c r="W689" s="1499" t="s">
        <v>3195</v>
      </c>
      <c r="X689" s="2094">
        <f>+H678</f>
        <v>50</v>
      </c>
      <c r="Y689" s="2094"/>
      <c r="Z689" s="2094"/>
      <c r="AA689" s="1765"/>
      <c r="AB689" s="741"/>
      <c r="AC689" s="1642"/>
      <c r="AD689" s="1766"/>
      <c r="AE689" s="115"/>
      <c r="AF689" s="115"/>
      <c r="AG689" s="1642" t="s">
        <v>3103</v>
      </c>
      <c r="AH689" s="2096">
        <f>+T689-X689</f>
        <v>200</v>
      </c>
      <c r="AI689" s="2096"/>
      <c r="AJ689" s="2251"/>
      <c r="AK689" s="170"/>
      <c r="AL689" s="170" t="s">
        <v>3209</v>
      </c>
      <c r="AM689" s="143"/>
      <c r="AN689" s="76" t="s">
        <v>3103</v>
      </c>
      <c r="AO689" s="2111">
        <f t="shared" si="12"/>
        <v>434.29376843225293</v>
      </c>
      <c r="AP689" s="2111"/>
      <c r="AQ689" s="2111"/>
      <c r="AR689" s="143"/>
    </row>
    <row r="690" spans="1:44" ht="15" customHeight="1">
      <c r="B690" s="124" t="s">
        <v>3144</v>
      </c>
      <c r="C690" s="170"/>
      <c r="D690" s="170"/>
      <c r="E690" s="170"/>
      <c r="F690" s="124"/>
      <c r="G690" s="170"/>
      <c r="H690" s="1760"/>
      <c r="I690" s="1776"/>
      <c r="J690" s="170"/>
      <c r="K690" s="170"/>
      <c r="L690" s="1639"/>
      <c r="M690" s="170"/>
      <c r="N690" s="170"/>
      <c r="O690" s="170"/>
      <c r="P690" s="170"/>
      <c r="Q690" s="170"/>
      <c r="R690" s="170"/>
      <c r="S690" s="170"/>
      <c r="T690" s="170"/>
      <c r="U690" s="1639"/>
      <c r="V690" s="1639"/>
      <c r="W690" s="1639"/>
      <c r="X690" s="1639"/>
      <c r="Y690" s="170"/>
      <c r="Z690" s="1639"/>
      <c r="AA690" s="170"/>
      <c r="AB690" s="1644"/>
      <c r="AC690" s="122"/>
      <c r="AD690" s="1644"/>
      <c r="AE690" s="122"/>
      <c r="AF690" s="122"/>
      <c r="AG690" s="1642"/>
      <c r="AH690" s="2096"/>
      <c r="AI690" s="2096"/>
      <c r="AJ690" s="2251"/>
      <c r="AK690" s="170"/>
      <c r="AL690" s="1760"/>
      <c r="AM690" s="143"/>
      <c r="AN690" s="76"/>
      <c r="AO690" s="2111"/>
      <c r="AP690" s="2111"/>
      <c r="AQ690" s="2111"/>
      <c r="AR690" s="143"/>
    </row>
    <row r="691" spans="1:44" ht="15" customHeight="1">
      <c r="B691" s="1335" t="s">
        <v>3128</v>
      </c>
      <c r="C691" s="1333"/>
      <c r="D691" s="1333"/>
      <c r="E691" s="1333"/>
      <c r="F691" s="1335"/>
      <c r="G691" s="1333"/>
      <c r="H691" s="1761"/>
      <c r="I691" s="1785" t="s">
        <v>1998</v>
      </c>
      <c r="J691" s="1333"/>
      <c r="K691" s="1333"/>
      <c r="L691" s="1333"/>
      <c r="M691" s="1333"/>
      <c r="N691" s="1333"/>
      <c r="O691" s="1333"/>
      <c r="P691" s="1333"/>
      <c r="Q691" s="1333"/>
      <c r="R691" s="1480" t="s">
        <v>3103</v>
      </c>
      <c r="S691" s="1767"/>
      <c r="T691" s="1767" t="str">
        <f>+AE462&amp;" + "&amp;AE463&amp;" - "&amp;ROUND(H678,2)&amp;" + "&amp;AE456&amp;" - "&amp;AE464&amp;" / 2"</f>
        <v>290 + 0 - 50 + 3200 - 600 / 2</v>
      </c>
      <c r="U691" s="1779"/>
      <c r="V691" s="1786"/>
      <c r="W691" s="1779"/>
      <c r="X691" s="1779"/>
      <c r="Y691" s="1779"/>
      <c r="Z691" s="1771"/>
      <c r="AA691" s="1779"/>
      <c r="AB691" s="1779"/>
      <c r="AC691" s="1779"/>
      <c r="AD691" s="1771"/>
      <c r="AE691" s="1779"/>
      <c r="AF691" s="1335"/>
      <c r="AG691" s="1480" t="s">
        <v>3103</v>
      </c>
      <c r="AH691" s="2104">
        <f>S682+W682-Z682+AE456-AE464/2</f>
        <v>3140</v>
      </c>
      <c r="AI691" s="2104"/>
      <c r="AJ691" s="2245"/>
      <c r="AK691" s="1333"/>
      <c r="AL691" s="1333" t="s">
        <v>3210</v>
      </c>
      <c r="AM691" s="1333"/>
      <c r="AN691" s="1433" t="s">
        <v>3103</v>
      </c>
      <c r="AO691" s="2149">
        <f>+AH691*AK531/1000</f>
        <v>134117.25</v>
      </c>
      <c r="AP691" s="2149"/>
      <c r="AQ691" s="2149"/>
      <c r="AR691" s="143"/>
    </row>
    <row r="692" spans="1:44" ht="15" customHeight="1">
      <c r="A692" s="1182"/>
      <c r="B692" s="1177"/>
      <c r="C692" s="1655"/>
      <c r="D692" s="170"/>
      <c r="E692" s="170"/>
      <c r="F692" s="124"/>
      <c r="H692" s="1757"/>
      <c r="I692" s="1757"/>
      <c r="J692" s="1757"/>
      <c r="K692" s="1650"/>
      <c r="L692" s="1643"/>
      <c r="X692" s="1639"/>
      <c r="Y692" s="1639"/>
      <c r="Z692" s="1639"/>
      <c r="AA692" s="1643"/>
      <c r="AB692" s="143"/>
      <c r="AC692" s="1643"/>
      <c r="AD692" s="143"/>
      <c r="AE692" s="1647"/>
      <c r="AF692" s="73"/>
      <c r="AG692" s="1647"/>
      <c r="AI692" s="1648" t="s">
        <v>3211</v>
      </c>
      <c r="AJ692" s="143"/>
      <c r="AN692" s="76" t="s">
        <v>3103</v>
      </c>
      <c r="AO692" s="2300">
        <f>+SUM(AO682:AQ691)</f>
        <v>282443.29936874472</v>
      </c>
      <c r="AP692" s="2300"/>
      <c r="AQ692" s="2300"/>
      <c r="AR692" s="2300"/>
    </row>
    <row r="693" spans="1:44" ht="15" customHeight="1">
      <c r="A693" s="1182"/>
      <c r="B693" s="1177"/>
      <c r="G693" s="4"/>
      <c r="H693" s="4"/>
      <c r="L693" s="143"/>
      <c r="Y693" s="143"/>
      <c r="AB693" s="143"/>
      <c r="AD693" s="143"/>
      <c r="AE693" s="143"/>
      <c r="AF693" s="143"/>
      <c r="AG693" s="143"/>
      <c r="AH693" s="143"/>
      <c r="AI693" s="143"/>
      <c r="AJ693" s="143"/>
      <c r="AK693" s="143"/>
      <c r="AL693" s="143"/>
      <c r="AR693" s="143"/>
    </row>
    <row r="694" spans="1:44" ht="15" customHeight="1">
      <c r="A694" s="1182"/>
      <c r="B694" s="1177" t="s">
        <v>3221</v>
      </c>
      <c r="C694" s="95" t="s">
        <v>3241</v>
      </c>
      <c r="G694" s="4"/>
      <c r="H694" s="4"/>
      <c r="I694" s="4"/>
      <c r="L694" s="1643"/>
      <c r="Y694" s="143"/>
      <c r="Z694" s="1643"/>
      <c r="AB694" s="1643"/>
      <c r="AD694" s="73"/>
      <c r="AE694" s="1647"/>
      <c r="AF694" s="73"/>
      <c r="AR694" s="143"/>
    </row>
    <row r="695" spans="1:44" ht="15" customHeight="1">
      <c r="A695" s="1182"/>
      <c r="B695" s="1177"/>
      <c r="C695" s="1655" t="s">
        <v>3193</v>
      </c>
      <c r="D695" s="1655"/>
      <c r="F695" s="741" t="s">
        <v>3103</v>
      </c>
      <c r="G695" s="4"/>
      <c r="H695" s="1655" t="s">
        <v>3023</v>
      </c>
      <c r="I695" s="1752"/>
      <c r="J695" s="1752"/>
      <c r="K695" s="1752"/>
      <c r="L695" s="1752"/>
      <c r="M695" s="1752"/>
      <c r="N695" s="170"/>
      <c r="O695" s="170"/>
      <c r="P695" s="170"/>
      <c r="Q695" s="170"/>
      <c r="R695" s="170"/>
      <c r="S695" s="170"/>
      <c r="T695" s="170"/>
      <c r="U695" s="170"/>
      <c r="V695" s="170"/>
      <c r="W695" s="170"/>
      <c r="Y695" s="143"/>
      <c r="Z695" s="1643"/>
      <c r="AB695" s="1643"/>
      <c r="AD695" s="73"/>
      <c r="AE695" s="1647"/>
      <c r="AF695" s="73"/>
      <c r="AR695" s="143"/>
    </row>
    <row r="696" spans="1:44" ht="15" customHeight="1">
      <c r="A696" s="1182"/>
      <c r="B696" s="1177"/>
      <c r="C696" s="1660"/>
      <c r="D696" s="1660"/>
      <c r="E696" s="170"/>
      <c r="F696" s="1944" t="s">
        <v>3103</v>
      </c>
      <c r="H696" s="2299">
        <f>+AE462</f>
        <v>290</v>
      </c>
      <c r="I696" s="2299"/>
      <c r="J696" s="2299"/>
      <c r="K696" s="1944" t="s">
        <v>3196</v>
      </c>
      <c r="L696" s="2090">
        <f>+AK523</f>
        <v>20976</v>
      </c>
      <c r="M696" s="2090"/>
      <c r="N696" s="2090"/>
      <c r="O696" s="1779" t="s">
        <v>3194</v>
      </c>
      <c r="P696" s="2090">
        <f>+AK527</f>
        <v>1945.6</v>
      </c>
      <c r="Q696" s="2090"/>
      <c r="R696" s="2090"/>
      <c r="S696" s="1779" t="s">
        <v>3194</v>
      </c>
      <c r="T696" s="2090">
        <f>+AK530</f>
        <v>2412.7431579569611</v>
      </c>
      <c r="U696" s="2090"/>
      <c r="V696" s="2090"/>
      <c r="W696" s="1779" t="s">
        <v>3194</v>
      </c>
      <c r="X696" s="2090">
        <f>+AK524</f>
        <v>32055.536807235036</v>
      </c>
      <c r="Y696" s="2090"/>
      <c r="Z696" s="2090"/>
      <c r="AA696" s="1780" t="s">
        <v>3194</v>
      </c>
      <c r="AB696" s="2149">
        <f>+AK526</f>
        <v>0</v>
      </c>
      <c r="AC696" s="2149"/>
      <c r="AD696" s="2149"/>
      <c r="AE696" s="1779" t="s">
        <v>3194</v>
      </c>
      <c r="AF696" s="2090">
        <f>+AK522</f>
        <v>44080</v>
      </c>
      <c r="AG696" s="2090"/>
      <c r="AH696" s="2090"/>
      <c r="AI696" s="1780" t="s">
        <v>3194</v>
      </c>
      <c r="AJ696" s="2149">
        <f>+AK529</f>
        <v>2171.4688421612645</v>
      </c>
      <c r="AK696" s="2149"/>
      <c r="AL696" s="2149"/>
      <c r="AM696" s="1780" t="s">
        <v>391</v>
      </c>
      <c r="AN696" s="2149">
        <f>+AK528</f>
        <v>3062.1103594539709</v>
      </c>
      <c r="AO696" s="2149"/>
      <c r="AP696" s="2149"/>
      <c r="AQ696" s="2179" t="s">
        <v>3107</v>
      </c>
      <c r="AR696" s="143"/>
    </row>
    <row r="697" spans="1:44" ht="15" customHeight="1">
      <c r="A697" s="1182"/>
      <c r="B697" s="1177"/>
      <c r="C697" s="1660"/>
      <c r="D697" s="1660"/>
      <c r="E697" s="170"/>
      <c r="F697" s="1944"/>
      <c r="H697" s="2299"/>
      <c r="I697" s="2299"/>
      <c r="J697" s="2299"/>
      <c r="K697" s="1944"/>
      <c r="L697" s="170"/>
      <c r="M697" s="170"/>
      <c r="N697" s="170"/>
      <c r="O697" s="170"/>
      <c r="P697" s="170"/>
      <c r="Q697" s="170"/>
      <c r="R697" s="170"/>
      <c r="S697" s="170"/>
      <c r="T697" s="170"/>
      <c r="U697" s="170"/>
      <c r="V697" s="170"/>
      <c r="W697" s="170"/>
      <c r="X697" s="115"/>
      <c r="Y697" s="2135">
        <f>+AK525</f>
        <v>47019.875</v>
      </c>
      <c r="Z697" s="2135"/>
      <c r="AA697" s="2135"/>
      <c r="AB697" s="170"/>
      <c r="AC697" s="1644"/>
      <c r="AD697" s="1644"/>
      <c r="AE697" s="122"/>
      <c r="AF697" s="1644"/>
      <c r="AG697" s="122"/>
      <c r="AH697" s="122"/>
      <c r="AI697" s="122"/>
      <c r="AJ697" s="122"/>
      <c r="AK697" s="122"/>
      <c r="AL697" s="122"/>
      <c r="AM697" s="122"/>
      <c r="AN697" s="122"/>
      <c r="AO697" s="122"/>
      <c r="AP697" s="1781"/>
      <c r="AQ697" s="2179"/>
      <c r="AR697" s="143"/>
    </row>
    <row r="698" spans="1:44" ht="15" customHeight="1">
      <c r="A698" s="1182"/>
      <c r="B698" s="1177"/>
      <c r="C698" s="1660"/>
      <c r="D698" s="1660"/>
      <c r="E698" s="170"/>
      <c r="F698" s="1642" t="s">
        <v>3103</v>
      </c>
      <c r="H698" s="2252">
        <f>H696*(L696+P696+T696+X696+AB696+AF696+AJ696+AN696)/Y697</f>
        <v>658.10475162628779</v>
      </c>
      <c r="I698" s="2252"/>
      <c r="J698" s="2252"/>
      <c r="K698" s="2252"/>
      <c r="L698" s="1661"/>
      <c r="M698" s="1661"/>
      <c r="Y698" s="143"/>
      <c r="Z698" s="1643"/>
      <c r="AB698" s="1643"/>
      <c r="AD698" s="73"/>
      <c r="AE698" s="1647"/>
      <c r="AF698" s="73"/>
      <c r="AR698" s="143"/>
    </row>
    <row r="699" spans="1:44" ht="15" customHeight="1">
      <c r="A699" s="1182"/>
      <c r="B699" s="1177"/>
      <c r="C699" s="1660"/>
      <c r="D699" s="1660"/>
      <c r="E699" s="170"/>
      <c r="F699" s="1642"/>
      <c r="H699" s="1653"/>
      <c r="I699" s="1653"/>
      <c r="J699" s="1653"/>
      <c r="K699" s="1653"/>
      <c r="L699" s="1661"/>
      <c r="M699" s="1661"/>
      <c r="Y699" s="143"/>
      <c r="Z699" s="1643"/>
      <c r="AB699" s="1643"/>
      <c r="AD699" s="73"/>
      <c r="AE699" s="1647"/>
      <c r="AF699" s="73"/>
      <c r="AR699" s="143"/>
    </row>
    <row r="700" spans="1:44" ht="15" customHeight="1">
      <c r="A700" s="1182"/>
      <c r="B700" s="1655" t="s">
        <v>3218</v>
      </c>
      <c r="C700" s="1655"/>
      <c r="D700" s="170"/>
      <c r="E700" s="170"/>
      <c r="F700" s="124"/>
      <c r="H700" s="1757"/>
      <c r="I700" s="1757"/>
      <c r="J700" s="1757"/>
      <c r="K700" s="1650"/>
      <c r="L700" s="1643"/>
      <c r="W700" s="1639"/>
      <c r="X700" s="1639"/>
      <c r="Y700" s="1639"/>
      <c r="Z700" s="1643"/>
      <c r="AB700" s="1643"/>
      <c r="AD700" s="1647"/>
      <c r="AF700" s="1647"/>
      <c r="AR700" s="143"/>
    </row>
    <row r="701" spans="1:44" ht="20.100000000000001" customHeight="1">
      <c r="A701" s="1182"/>
      <c r="B701" s="1762" t="s">
        <v>3202</v>
      </c>
      <c r="C701" s="1667"/>
      <c r="D701" s="1667"/>
      <c r="E701" s="1667"/>
      <c r="F701" s="1763"/>
      <c r="G701" s="1667"/>
      <c r="H701" s="1764"/>
      <c r="I701" s="1783" t="s">
        <v>3220</v>
      </c>
      <c r="J701" s="1764"/>
      <c r="K701" s="1764"/>
      <c r="L701" s="1668"/>
      <c r="M701" s="1667"/>
      <c r="N701" s="1667"/>
      <c r="O701" s="1667"/>
      <c r="P701" s="1667"/>
      <c r="Q701" s="1667"/>
      <c r="R701" s="1667"/>
      <c r="S701" s="1667"/>
      <c r="T701" s="1667"/>
      <c r="U701" s="1668"/>
      <c r="V701" s="1668"/>
      <c r="W701" s="1668"/>
      <c r="X701" s="1668"/>
      <c r="Y701" s="1667"/>
      <c r="Z701" s="1668"/>
      <c r="AA701" s="1667"/>
      <c r="AB701" s="1668"/>
      <c r="AC701" s="1667"/>
      <c r="AD701" s="1668"/>
      <c r="AE701" s="1667"/>
      <c r="AF701" s="1667"/>
      <c r="AG701" s="1667"/>
      <c r="AH701" s="1667"/>
      <c r="AI701" s="1667"/>
      <c r="AJ701" s="1774"/>
      <c r="AK701" s="1667"/>
      <c r="AL701" s="1772" t="s">
        <v>3219</v>
      </c>
      <c r="AM701" s="1764"/>
      <c r="AN701" s="1764"/>
      <c r="AO701" s="1764"/>
      <c r="AP701" s="1764"/>
      <c r="AQ701" s="1764"/>
      <c r="AR701" s="143"/>
    </row>
    <row r="702" spans="1:44" ht="15" customHeight="1">
      <c r="B702" s="124" t="s">
        <v>3136</v>
      </c>
      <c r="C702" s="1639"/>
      <c r="D702" s="1639"/>
      <c r="E702" s="170"/>
      <c r="F702" s="124"/>
      <c r="G702" s="170"/>
      <c r="H702" s="1760"/>
      <c r="I702" s="1788" t="s">
        <v>1993</v>
      </c>
      <c r="J702" s="1443"/>
      <c r="K702" s="170"/>
      <c r="L702" s="170"/>
      <c r="M702" s="170"/>
      <c r="N702" s="170"/>
      <c r="O702" s="170"/>
      <c r="P702" s="170"/>
      <c r="Q702" s="170"/>
      <c r="R702" s="1642" t="s">
        <v>3103</v>
      </c>
      <c r="S702" s="2264">
        <f>+AE462</f>
        <v>290</v>
      </c>
      <c r="T702" s="2135"/>
      <c r="U702" s="2135"/>
      <c r="V702" s="124" t="s">
        <v>3194</v>
      </c>
      <c r="W702" s="2264">
        <f>+AE463</f>
        <v>0</v>
      </c>
      <c r="X702" s="2264"/>
      <c r="Y702" s="124" t="s">
        <v>3195</v>
      </c>
      <c r="Z702" s="2298">
        <f>+H698</f>
        <v>658.10475162628779</v>
      </c>
      <c r="AA702" s="2135"/>
      <c r="AB702" s="2135"/>
      <c r="AC702" s="741" t="s">
        <v>3195</v>
      </c>
      <c r="AD702" s="2264">
        <f>+AE452</f>
        <v>40</v>
      </c>
      <c r="AE702" s="2135"/>
      <c r="AF702" s="124" t="s">
        <v>3228</v>
      </c>
      <c r="AG702" s="1642" t="s">
        <v>3103</v>
      </c>
      <c r="AH702" s="2093">
        <f>S702+W702-Z702-AD702/2</f>
        <v>-388.10475162628779</v>
      </c>
      <c r="AI702" s="2093"/>
      <c r="AJ702" s="2297"/>
      <c r="AK702" s="170"/>
      <c r="AL702" s="170" t="s">
        <v>3203</v>
      </c>
      <c r="AM702" s="143"/>
      <c r="AN702" s="76" t="s">
        <v>3103</v>
      </c>
      <c r="AO702" s="2111">
        <f t="shared" ref="AO702:AO709" si="13">+AH702*AK522/1000</f>
        <v>-17107.657451686766</v>
      </c>
      <c r="AP702" s="2111"/>
      <c r="AQ702" s="2111"/>
      <c r="AR702" s="143"/>
    </row>
    <row r="703" spans="1:44" ht="15" customHeight="1">
      <c r="B703" s="124" t="s">
        <v>3137</v>
      </c>
      <c r="C703" s="1639"/>
      <c r="D703" s="1639"/>
      <c r="E703" s="170"/>
      <c r="F703" s="124"/>
      <c r="G703" s="170"/>
      <c r="H703" s="1760"/>
      <c r="I703" s="1784" t="s">
        <v>1994</v>
      </c>
      <c r="J703" s="170"/>
      <c r="K703" s="170"/>
      <c r="L703" s="170"/>
      <c r="M703" s="170"/>
      <c r="N703" s="170"/>
      <c r="O703" s="170"/>
      <c r="P703" s="170"/>
      <c r="Q703" s="170"/>
      <c r="R703" s="1642" t="s">
        <v>3103</v>
      </c>
      <c r="S703" s="1765"/>
      <c r="T703" s="1765" t="str">
        <f>+AE462&amp;" + "&amp;AE463&amp;" - "&amp;ROUND(H698,2)&amp;" + "&amp;AE456&amp;" + "&amp;AE454&amp;" / 2"</f>
        <v>290 + 0 - 658.1 + 3200 + 30 / 2</v>
      </c>
      <c r="U703" s="741"/>
      <c r="V703" s="1499"/>
      <c r="W703" s="741"/>
      <c r="X703" s="741"/>
      <c r="Y703" s="741"/>
      <c r="Z703" s="1787"/>
      <c r="AA703" s="741"/>
      <c r="AB703" s="741"/>
      <c r="AC703" s="741"/>
      <c r="AD703" s="1765"/>
      <c r="AE703" s="115"/>
      <c r="AF703" s="124"/>
      <c r="AG703" s="1642" t="s">
        <v>3103</v>
      </c>
      <c r="AH703" s="2248">
        <f>S702+W702-Z702+AE456+AE454/2</f>
        <v>2846.8952483737121</v>
      </c>
      <c r="AI703" s="2248"/>
      <c r="AJ703" s="2249"/>
      <c r="AK703" s="170"/>
      <c r="AL703" s="170" t="s">
        <v>3204</v>
      </c>
      <c r="AM703" s="143"/>
      <c r="AN703" s="76" t="s">
        <v>3103</v>
      </c>
      <c r="AO703" s="2111">
        <f t="shared" si="13"/>
        <v>59716.474729886984</v>
      </c>
      <c r="AP703" s="2111"/>
      <c r="AQ703" s="2111"/>
      <c r="AR703" s="143"/>
    </row>
    <row r="704" spans="1:44" ht="15" customHeight="1">
      <c r="B704" s="124" t="s">
        <v>3138</v>
      </c>
      <c r="C704" s="1639"/>
      <c r="D704" s="1639"/>
      <c r="E704" s="170"/>
      <c r="F704" s="124"/>
      <c r="G704" s="170"/>
      <c r="H704" s="1760"/>
      <c r="I704" s="1784" t="s">
        <v>1995</v>
      </c>
      <c r="J704" s="170"/>
      <c r="K704" s="170"/>
      <c r="L704" s="170"/>
      <c r="M704" s="170"/>
      <c r="N704" s="170"/>
      <c r="O704" s="170"/>
      <c r="P704" s="170"/>
      <c r="Q704" s="170"/>
      <c r="R704" s="1642" t="s">
        <v>3103</v>
      </c>
      <c r="S704" s="1765"/>
      <c r="T704" s="115" t="str">
        <f>+AE462&amp;" + "&amp;AE463&amp;" - "&amp;ROUND(H698,2)&amp;" + "&amp;AE456&amp;" / 2"</f>
        <v>290 + 0 - 658.1 + 3200 / 2</v>
      </c>
      <c r="U704" s="124"/>
      <c r="V704" s="1766"/>
      <c r="W704" s="115"/>
      <c r="X704" s="115"/>
      <c r="Y704" s="124"/>
      <c r="Z704" s="1765"/>
      <c r="AA704" s="115"/>
      <c r="AB704" s="115"/>
      <c r="AC704" s="124"/>
      <c r="AD704" s="170"/>
      <c r="AE704" s="170"/>
      <c r="AF704" s="170"/>
      <c r="AG704" s="1642" t="s">
        <v>3103</v>
      </c>
      <c r="AH704" s="2248">
        <f>S702+W702-Z702+AE456/2</f>
        <v>1231.8952483737121</v>
      </c>
      <c r="AI704" s="2248"/>
      <c r="AJ704" s="2249"/>
      <c r="AK704" s="170"/>
      <c r="AL704" s="124" t="s">
        <v>3215</v>
      </c>
      <c r="AM704" s="143"/>
      <c r="AN704" s="76" t="s">
        <v>3103</v>
      </c>
      <c r="AO704" s="2111">
        <f t="shared" si="13"/>
        <v>39489.063476901472</v>
      </c>
      <c r="AP704" s="2111"/>
      <c r="AQ704" s="2111"/>
      <c r="AR704" s="143"/>
    </row>
    <row r="705" spans="1:44" ht="15" customHeight="1">
      <c r="B705" s="124" t="s">
        <v>3139</v>
      </c>
      <c r="C705" s="1639"/>
      <c r="D705" s="1639"/>
      <c r="E705" s="170"/>
      <c r="F705" s="124"/>
      <c r="G705" s="170"/>
      <c r="H705" s="1760"/>
      <c r="I705" s="1721" t="s">
        <v>3234</v>
      </c>
      <c r="J705" s="170"/>
      <c r="K705" s="170"/>
      <c r="L705" s="170"/>
      <c r="M705" s="170"/>
      <c r="N705" s="170"/>
      <c r="O705" s="170"/>
      <c r="P705" s="170"/>
      <c r="Q705" s="170"/>
      <c r="R705" s="1642" t="s">
        <v>3103</v>
      </c>
      <c r="S705" s="1766"/>
      <c r="T705" s="2093">
        <f>+H698</f>
        <v>658.10475162628779</v>
      </c>
      <c r="U705" s="2093"/>
      <c r="V705" s="2093"/>
      <c r="W705" s="1765" t="s">
        <v>3235</v>
      </c>
      <c r="X705" s="1765"/>
      <c r="Y705" s="124"/>
      <c r="Z705" s="2094">
        <f>+AE462</f>
        <v>290</v>
      </c>
      <c r="AA705" s="2094"/>
      <c r="AB705" s="2094"/>
      <c r="AC705" s="124"/>
      <c r="AD705" s="1639"/>
      <c r="AE705" s="1765"/>
      <c r="AF705" s="115"/>
      <c r="AG705" s="1642" t="s">
        <v>3103</v>
      </c>
      <c r="AH705" s="2248">
        <f>+T705^2 /2/Z705</f>
        <v>746.72735191913443</v>
      </c>
      <c r="AI705" s="2248"/>
      <c r="AJ705" s="2249"/>
      <c r="AK705" s="170"/>
      <c r="AL705" s="170" t="s">
        <v>3205</v>
      </c>
      <c r="AM705" s="143"/>
      <c r="AN705" s="76" t="s">
        <v>3103</v>
      </c>
      <c r="AO705" s="2111">
        <f t="shared" si="13"/>
        <v>35111.026746318712</v>
      </c>
      <c r="AP705" s="2111"/>
      <c r="AQ705" s="2111"/>
      <c r="AR705" s="143"/>
    </row>
    <row r="706" spans="1:44" ht="15" customHeight="1">
      <c r="B706" s="124" t="s">
        <v>3141</v>
      </c>
      <c r="C706" s="1639"/>
      <c r="D706" s="1639"/>
      <c r="E706" s="170"/>
      <c r="F706" s="124"/>
      <c r="G706" s="170"/>
      <c r="H706" s="1760"/>
      <c r="I706" s="1784" t="s">
        <v>1996</v>
      </c>
      <c r="J706" s="170"/>
      <c r="K706" s="170"/>
      <c r="L706" s="170"/>
      <c r="M706" s="170"/>
      <c r="N706" s="170"/>
      <c r="O706" s="170"/>
      <c r="P706" s="170"/>
      <c r="Q706" s="170"/>
      <c r="R706" s="1642" t="s">
        <v>3103</v>
      </c>
      <c r="S706" s="1765"/>
      <c r="T706" s="1765" t="str">
        <f>+AE462&amp;" + "&amp;AE463&amp;" - "&amp;ROUND(H698,2)&amp;" + "&amp;AE471&amp;" / 2"</f>
        <v>290 + 0 - 658.1 + 0 / 2</v>
      </c>
      <c r="U706" s="741"/>
      <c r="V706" s="1787"/>
      <c r="W706" s="741"/>
      <c r="X706" s="741"/>
      <c r="Y706" s="741"/>
      <c r="Z706" s="1499"/>
      <c r="AA706" s="741"/>
      <c r="AB706" s="741"/>
      <c r="AC706" s="741"/>
      <c r="AD706" s="1639"/>
      <c r="AE706" s="1639"/>
      <c r="AF706" s="170"/>
      <c r="AG706" s="1642" t="s">
        <v>3103</v>
      </c>
      <c r="AH706" s="2248">
        <f>S702+W702-Z702+AE471/2</f>
        <v>-368.10475162628779</v>
      </c>
      <c r="AI706" s="2248"/>
      <c r="AJ706" s="2249"/>
      <c r="AK706" s="170"/>
      <c r="AL706" s="170" t="s">
        <v>3206</v>
      </c>
      <c r="AM706" s="143"/>
      <c r="AN706" s="76" t="s">
        <v>3103</v>
      </c>
      <c r="AO706" s="2111">
        <f t="shared" si="13"/>
        <v>0</v>
      </c>
      <c r="AP706" s="2111"/>
      <c r="AQ706" s="2111"/>
      <c r="AR706" s="143"/>
    </row>
    <row r="707" spans="1:44" ht="15" customHeight="1">
      <c r="B707" s="124" t="s">
        <v>3140</v>
      </c>
      <c r="C707" s="1639"/>
      <c r="D707" s="1639"/>
      <c r="E707" s="170"/>
      <c r="F707" s="124"/>
      <c r="G707" s="170"/>
      <c r="H707" s="1760"/>
      <c r="I707" s="1784" t="s">
        <v>3233</v>
      </c>
      <c r="J707" s="170"/>
      <c r="K707" s="170"/>
      <c r="L707" s="170"/>
      <c r="M707" s="170"/>
      <c r="N707" s="170"/>
      <c r="O707" s="170"/>
      <c r="P707" s="170"/>
      <c r="Q707" s="170"/>
      <c r="R707" s="1642" t="s">
        <v>3103</v>
      </c>
      <c r="S707" s="1765"/>
      <c r="T707" s="1765" t="str">
        <f>+AE462&amp;" + "&amp;AE463&amp;" - "&amp;ROUND(H698,2)&amp;" + "&amp;AE456&amp;" - "&amp;AE468&amp;" / 2"</f>
        <v>290 + 0 - 658.1 + 3200 - 160 / 2</v>
      </c>
      <c r="U707" s="741"/>
      <c r="V707" s="1787"/>
      <c r="W707" s="741"/>
      <c r="X707" s="741"/>
      <c r="Y707" s="741"/>
      <c r="Z707" s="1499"/>
      <c r="AA707" s="741"/>
      <c r="AB707" s="741"/>
      <c r="AC707" s="1642"/>
      <c r="AD707" s="1765"/>
      <c r="AE707" s="115"/>
      <c r="AF707" s="124"/>
      <c r="AG707" s="1642" t="s">
        <v>3103</v>
      </c>
      <c r="AH707" s="2248">
        <f>S702+W702-Z702+AE456-AE468/2</f>
        <v>2751.8952483737121</v>
      </c>
      <c r="AI707" s="2248"/>
      <c r="AJ707" s="2249"/>
      <c r="AK707" s="170"/>
      <c r="AL707" s="170" t="s">
        <v>3207</v>
      </c>
      <c r="AM707" s="143"/>
      <c r="AN707" s="76" t="s">
        <v>3103</v>
      </c>
      <c r="AO707" s="2111">
        <f t="shared" si="13"/>
        <v>5354.0873952358943</v>
      </c>
      <c r="AP707" s="2111"/>
      <c r="AQ707" s="2111"/>
      <c r="AR707" s="143"/>
    </row>
    <row r="708" spans="1:44" ht="15" customHeight="1">
      <c r="B708" s="124" t="s">
        <v>3142</v>
      </c>
      <c r="C708" s="1639"/>
      <c r="D708" s="1639"/>
      <c r="E708" s="170"/>
      <c r="F708" s="124"/>
      <c r="G708" s="170"/>
      <c r="H708" s="1760"/>
      <c r="I708" s="1784" t="s">
        <v>602</v>
      </c>
      <c r="J708" s="170"/>
      <c r="K708" s="170"/>
      <c r="L708" s="170"/>
      <c r="M708" s="170"/>
      <c r="N708" s="170"/>
      <c r="O708" s="170"/>
      <c r="P708" s="170"/>
      <c r="Q708" s="170"/>
      <c r="R708" s="1642" t="s">
        <v>3103</v>
      </c>
      <c r="S708" s="58"/>
      <c r="T708" s="2096">
        <f>+AE448</f>
        <v>50</v>
      </c>
      <c r="U708" s="2096"/>
      <c r="V708" s="2096"/>
      <c r="W708" s="1499" t="s">
        <v>3195</v>
      </c>
      <c r="X708" s="2094">
        <f>+H698</f>
        <v>658.10475162628779</v>
      </c>
      <c r="Y708" s="2094"/>
      <c r="Z708" s="2094"/>
      <c r="AA708" s="1765"/>
      <c r="AB708" s="741"/>
      <c r="AC708" s="1642"/>
      <c r="AD708" s="1766"/>
      <c r="AE708" s="115"/>
      <c r="AF708" s="115"/>
      <c r="AG708" s="1642" t="s">
        <v>3103</v>
      </c>
      <c r="AH708" s="2096">
        <f>ABS(T708-X708)</f>
        <v>608.10475162628779</v>
      </c>
      <c r="AI708" s="2096"/>
      <c r="AJ708" s="2251"/>
      <c r="AK708" s="170"/>
      <c r="AL708" s="170" t="s">
        <v>3208</v>
      </c>
      <c r="AM708" s="143"/>
      <c r="AN708" s="76" t="s">
        <v>3103</v>
      </c>
      <c r="AO708" s="2111">
        <f t="shared" si="13"/>
        <v>1862.0838595880398</v>
      </c>
      <c r="AP708" s="2111"/>
      <c r="AQ708" s="2111"/>
      <c r="AR708" s="143"/>
    </row>
    <row r="709" spans="1:44" ht="15" customHeight="1">
      <c r="B709" s="124" t="s">
        <v>3143</v>
      </c>
      <c r="C709" s="1639"/>
      <c r="D709" s="1639"/>
      <c r="E709" s="170"/>
      <c r="F709" s="124"/>
      <c r="G709" s="170"/>
      <c r="H709" s="1760"/>
      <c r="I709" s="1784" t="s">
        <v>600</v>
      </c>
      <c r="J709" s="170"/>
      <c r="K709" s="170"/>
      <c r="L709" s="170"/>
      <c r="M709" s="170"/>
      <c r="N709" s="170"/>
      <c r="O709" s="170"/>
      <c r="P709" s="170"/>
      <c r="Q709" s="170"/>
      <c r="R709" s="1642" t="s">
        <v>3103</v>
      </c>
      <c r="S709" s="58"/>
      <c r="T709" s="2096">
        <f>+AE449</f>
        <v>250</v>
      </c>
      <c r="U709" s="2096"/>
      <c r="V709" s="2096"/>
      <c r="W709" s="1499" t="s">
        <v>3195</v>
      </c>
      <c r="X709" s="2094">
        <f>+H698</f>
        <v>658.10475162628779</v>
      </c>
      <c r="Y709" s="2094"/>
      <c r="Z709" s="2094"/>
      <c r="AA709" s="1765"/>
      <c r="AB709" s="741"/>
      <c r="AC709" s="1642"/>
      <c r="AD709" s="1766"/>
      <c r="AE709" s="115"/>
      <c r="AF709" s="115"/>
      <c r="AG709" s="1642" t="s">
        <v>3103</v>
      </c>
      <c r="AH709" s="2096">
        <f>ABS(T709-X709)</f>
        <v>408.10475162628779</v>
      </c>
      <c r="AI709" s="2096"/>
      <c r="AJ709" s="2251"/>
      <c r="AK709" s="170"/>
      <c r="AL709" s="170" t="s">
        <v>3209</v>
      </c>
      <c r="AM709" s="143"/>
      <c r="AN709" s="76" t="s">
        <v>3103</v>
      </c>
      <c r="AO709" s="2111">
        <f t="shared" si="13"/>
        <v>886.18675249444561</v>
      </c>
      <c r="AP709" s="2111"/>
      <c r="AQ709" s="2111"/>
      <c r="AR709" s="143"/>
    </row>
    <row r="710" spans="1:44" ht="15" customHeight="1">
      <c r="B710" s="124" t="s">
        <v>3144</v>
      </c>
      <c r="C710" s="170"/>
      <c r="D710" s="170"/>
      <c r="E710" s="170"/>
      <c r="F710" s="124"/>
      <c r="G710" s="170"/>
      <c r="H710" s="1760"/>
      <c r="I710" s="1776"/>
      <c r="J710" s="170"/>
      <c r="K710" s="170"/>
      <c r="L710" s="1639"/>
      <c r="M710" s="170"/>
      <c r="N710" s="170"/>
      <c r="O710" s="170"/>
      <c r="P710" s="170"/>
      <c r="Q710" s="170"/>
      <c r="R710" s="170"/>
      <c r="S710" s="170"/>
      <c r="T710" s="170"/>
      <c r="U710" s="1639"/>
      <c r="V710" s="1639"/>
      <c r="W710" s="1639"/>
      <c r="X710" s="1639"/>
      <c r="Y710" s="170"/>
      <c r="Z710" s="1639"/>
      <c r="AA710" s="170"/>
      <c r="AB710" s="1644"/>
      <c r="AC710" s="122"/>
      <c r="AD710" s="1644"/>
      <c r="AE710" s="122"/>
      <c r="AF710" s="122"/>
      <c r="AG710" s="1642"/>
      <c r="AH710" s="2096"/>
      <c r="AI710" s="2096"/>
      <c r="AJ710" s="2251"/>
      <c r="AK710" s="170"/>
      <c r="AL710" s="1760"/>
      <c r="AM710" s="143"/>
      <c r="AN710" s="76"/>
      <c r="AO710" s="2111"/>
      <c r="AP710" s="2111"/>
      <c r="AQ710" s="2111"/>
      <c r="AR710" s="143"/>
    </row>
    <row r="711" spans="1:44" ht="15" customHeight="1">
      <c r="B711" s="1335" t="s">
        <v>3128</v>
      </c>
      <c r="C711" s="1333"/>
      <c r="D711" s="1333"/>
      <c r="E711" s="1333"/>
      <c r="F711" s="1335"/>
      <c r="G711" s="1333"/>
      <c r="H711" s="1761"/>
      <c r="I711" s="1785" t="s">
        <v>1998</v>
      </c>
      <c r="J711" s="1333"/>
      <c r="K711" s="1333"/>
      <c r="L711" s="1333"/>
      <c r="M711" s="1333"/>
      <c r="N711" s="1333"/>
      <c r="O711" s="1333"/>
      <c r="P711" s="1333"/>
      <c r="Q711" s="1333"/>
      <c r="R711" s="1480" t="s">
        <v>3103</v>
      </c>
      <c r="S711" s="1767"/>
      <c r="T711" s="1767" t="str">
        <f>+AE462&amp;" + "&amp;AE463&amp;" - "&amp;ROUND(H698,2)&amp;" + "&amp;AE456&amp;" - "&amp;AE464&amp;" / 2"</f>
        <v>290 + 0 - 658.1 + 3200 - 600 / 2</v>
      </c>
      <c r="U711" s="1779"/>
      <c r="V711" s="1786"/>
      <c r="W711" s="1779"/>
      <c r="X711" s="1779"/>
      <c r="Y711" s="1779"/>
      <c r="Z711" s="1771"/>
      <c r="AA711" s="1779"/>
      <c r="AB711" s="1779"/>
      <c r="AC711" s="1779"/>
      <c r="AD711" s="1771"/>
      <c r="AE711" s="1779"/>
      <c r="AF711" s="1335"/>
      <c r="AG711" s="1480" t="s">
        <v>3103</v>
      </c>
      <c r="AH711" s="2104">
        <f>S702+W702-Z702+AE456-AE464/2</f>
        <v>2531.8952483737121</v>
      </c>
      <c r="AI711" s="2104"/>
      <c r="AJ711" s="2245"/>
      <c r="AK711" s="1333"/>
      <c r="AL711" s="1333" t="s">
        <v>3210</v>
      </c>
      <c r="AM711" s="1333"/>
      <c r="AN711" s="1433" t="s">
        <v>3103</v>
      </c>
      <c r="AO711" s="2149">
        <f>+AH711*AK531/1000</f>
        <v>108143.57579616217</v>
      </c>
      <c r="AP711" s="2149"/>
      <c r="AQ711" s="2149"/>
      <c r="AR711" s="143"/>
    </row>
    <row r="712" spans="1:44" ht="15" customHeight="1">
      <c r="A712" s="1182"/>
      <c r="B712" s="1177"/>
      <c r="C712" s="1655"/>
      <c r="D712" s="170"/>
      <c r="E712" s="170"/>
      <c r="F712" s="124"/>
      <c r="H712" s="1757"/>
      <c r="I712" s="1757"/>
      <c r="J712" s="1757"/>
      <c r="K712" s="1650"/>
      <c r="L712" s="1643"/>
      <c r="X712" s="1639"/>
      <c r="Y712" s="1639"/>
      <c r="Z712" s="1639"/>
      <c r="AA712" s="1643"/>
      <c r="AB712" s="143"/>
      <c r="AC712" s="1643"/>
      <c r="AD712" s="143"/>
      <c r="AE712" s="1647"/>
      <c r="AF712" s="73"/>
      <c r="AG712" s="1647"/>
      <c r="AI712" s="1648" t="s">
        <v>3211</v>
      </c>
      <c r="AJ712" s="143"/>
      <c r="AN712" s="76" t="s">
        <v>3103</v>
      </c>
      <c r="AO712" s="2246">
        <f>+SUM(AO702:AQ711)</f>
        <v>233454.84130490094</v>
      </c>
      <c r="AP712" s="2246"/>
      <c r="AQ712" s="2246"/>
      <c r="AR712" s="2246"/>
    </row>
    <row r="713" spans="1:44" ht="15" customHeight="1">
      <c r="A713" s="1182"/>
      <c r="B713" s="1177"/>
      <c r="G713" s="4"/>
      <c r="H713" s="4"/>
      <c r="I713" s="4"/>
      <c r="L713" s="1643"/>
      <c r="Y713" s="143"/>
      <c r="Z713" s="1643"/>
      <c r="AB713" s="1643"/>
      <c r="AD713" s="73"/>
      <c r="AE713" s="1647"/>
      <c r="AF713" s="73"/>
      <c r="AR713" s="143"/>
    </row>
    <row r="714" spans="1:44" ht="15" customHeight="1">
      <c r="A714" s="1182"/>
      <c r="B714" s="1177" t="s">
        <v>3276</v>
      </c>
      <c r="C714" s="95" t="s">
        <v>3277</v>
      </c>
      <c r="G714" s="4"/>
      <c r="H714" s="4"/>
      <c r="I714" s="4"/>
      <c r="L714" s="1731"/>
      <c r="Y714" s="143"/>
      <c r="Z714" s="1731"/>
      <c r="AB714" s="1731"/>
      <c r="AD714" s="73"/>
      <c r="AE714" s="1734"/>
      <c r="AF714" s="73"/>
      <c r="AR714" s="143"/>
    </row>
    <row r="715" spans="1:44" ht="15" customHeight="1">
      <c r="A715" s="1182"/>
      <c r="B715" s="1177"/>
      <c r="C715" s="2268" t="s">
        <v>3193</v>
      </c>
      <c r="D715" s="2268"/>
      <c r="F715" s="1944" t="s">
        <v>324</v>
      </c>
      <c r="G715" s="4"/>
      <c r="H715" s="1664" t="s">
        <v>3255</v>
      </c>
      <c r="I715" s="1769"/>
      <c r="J715" s="1769"/>
      <c r="K715" s="1769"/>
      <c r="L715" s="1769"/>
      <c r="M715" s="1769"/>
      <c r="N715" s="1769"/>
      <c r="O715" s="1333"/>
      <c r="P715" s="1333"/>
      <c r="Q715" s="1333"/>
      <c r="R715" s="1333"/>
      <c r="S715" s="1333"/>
      <c r="T715" s="1333"/>
      <c r="U715" s="1333"/>
      <c r="V715" s="1333"/>
      <c r="W715" s="1333"/>
      <c r="X715" s="1333"/>
      <c r="Y715" s="1333"/>
      <c r="Z715" s="1733"/>
      <c r="AA715" s="1333"/>
      <c r="AB715" s="1731"/>
      <c r="AD715" s="73"/>
      <c r="AE715" s="1734"/>
      <c r="AF715" s="73"/>
      <c r="AR715" s="143"/>
    </row>
    <row r="716" spans="1:44" ht="15" customHeight="1">
      <c r="A716" s="1182"/>
      <c r="B716" s="1177"/>
      <c r="C716" s="2268"/>
      <c r="D716" s="2268"/>
      <c r="F716" s="1944"/>
      <c r="G716" s="4"/>
      <c r="I716" s="1661"/>
      <c r="L716" s="1661" t="s">
        <v>3256</v>
      </c>
      <c r="M716" s="1661"/>
      <c r="N716" s="1661"/>
      <c r="O716" s="170"/>
      <c r="P716" s="170"/>
      <c r="Q716" s="170"/>
      <c r="R716" s="170"/>
      <c r="S716" s="170"/>
      <c r="T716" s="170"/>
      <c r="U716" s="170"/>
      <c r="V716" s="170"/>
      <c r="W716" s="170"/>
      <c r="Y716" s="143"/>
      <c r="Z716" s="1731"/>
      <c r="AB716" s="1731"/>
      <c r="AD716" s="73"/>
      <c r="AE716" s="1734"/>
      <c r="AF716" s="73"/>
      <c r="AR716" s="143"/>
    </row>
    <row r="717" spans="1:44" ht="15" customHeight="1">
      <c r="A717" s="1182"/>
      <c r="B717" s="1177"/>
      <c r="C717" s="1745"/>
      <c r="D717" s="1745"/>
      <c r="E717" s="170"/>
      <c r="F717" s="1944" t="s">
        <v>324</v>
      </c>
      <c r="G717" s="1620" t="str">
        <f>ROUND(AK523,1)&amp;" + "&amp;ROUND(AK524,1)&amp;" + "&amp;AE456&amp;" * "&amp;ROUND(AK531,1)&amp;" / "&amp;AE464&amp;" + (2 * "&amp;AE456&amp;" / "&amp;AE464&amp;" - 1) *"&amp;ROUND(AK527,1)&amp;" - "&amp;ROUND(AK522,1)&amp;" - "&amp;ROUND(AK526,1)&amp;" - "&amp;ROUND(AK528,1)&amp;" - "&amp;ROUND(AK529,1)</f>
        <v>20976 + 32055.5 + 3200 * 42712.5 / 600 + (2 * 3200 / 600 - 1) *1945.6 - 44080 - 0 - 3062.1 - 2171.5</v>
      </c>
      <c r="H717" s="1333"/>
      <c r="I717" s="1799"/>
      <c r="J717" s="1799"/>
      <c r="K717" s="1779"/>
      <c r="L717" s="1800"/>
      <c r="M717" s="1800"/>
      <c r="N717" s="1800"/>
      <c r="O717" s="1779"/>
      <c r="P717" s="1333"/>
      <c r="Q717" s="1620"/>
      <c r="R717" s="1620"/>
      <c r="S717" s="1779"/>
      <c r="T717" s="1620"/>
      <c r="U717" s="1620"/>
      <c r="V717" s="1620"/>
      <c r="W717" s="1779"/>
      <c r="X717" s="1620"/>
      <c r="Y717" s="1620"/>
      <c r="Z717" s="1620"/>
      <c r="AA717" s="1780"/>
      <c r="AB717" s="1432"/>
      <c r="AC717" s="1432"/>
      <c r="AD717" s="1432"/>
      <c r="AE717" s="1779"/>
      <c r="AF717" s="1620"/>
      <c r="AG717" s="1620"/>
      <c r="AH717" s="1620"/>
      <c r="AI717" s="1780"/>
      <c r="AJ717" s="1432"/>
      <c r="AK717" s="1432"/>
      <c r="AL717" s="1432"/>
      <c r="AM717" s="1780"/>
      <c r="AN717" s="1432"/>
      <c r="AO717" s="1432"/>
      <c r="AP717" s="1432"/>
      <c r="AQ717" s="1781"/>
      <c r="AR717" s="143"/>
    </row>
    <row r="718" spans="1:44" ht="15" customHeight="1">
      <c r="A718" s="1182"/>
      <c r="B718" s="1177"/>
      <c r="C718" s="1745"/>
      <c r="D718" s="1745"/>
      <c r="E718" s="170"/>
      <c r="F718" s="1944"/>
      <c r="H718" s="1796"/>
      <c r="I718" s="1796"/>
      <c r="J718" s="1796"/>
      <c r="K718" s="741"/>
      <c r="L718" s="170" t="str">
        <f>"2 * "&amp;ROUND(AK527,1)&amp;" /"&amp;AE468&amp;" + "&amp;ROUND(AK531,1)&amp;" / "&amp;AE464&amp;" + 2 * "&amp;ROUND(AK524,1)&amp;" / "&amp;AE456</f>
        <v>2 * 1945.6 /160 + 42712.5 / 600 + 2 * 32055.5 / 3200</v>
      </c>
      <c r="M718" s="170"/>
      <c r="N718" s="170"/>
      <c r="O718" s="170"/>
      <c r="Q718" s="170"/>
      <c r="R718" s="170"/>
      <c r="S718" s="170"/>
      <c r="T718" s="170"/>
      <c r="U718" s="170"/>
      <c r="V718" s="170"/>
      <c r="W718" s="170"/>
      <c r="X718" s="115"/>
      <c r="Y718" s="115"/>
      <c r="Z718" s="115"/>
      <c r="AA718" s="115"/>
      <c r="AB718" s="170"/>
      <c r="AC718" s="1740"/>
      <c r="AD718" s="1740"/>
      <c r="AE718" s="122"/>
      <c r="AF718" s="1740"/>
      <c r="AG718" s="122"/>
      <c r="AH718" s="122"/>
      <c r="AI718" s="122"/>
      <c r="AJ718" s="122"/>
      <c r="AK718" s="122"/>
      <c r="AL718" s="122"/>
      <c r="AM718" s="122"/>
      <c r="AN718" s="122"/>
      <c r="AO718" s="122"/>
      <c r="AP718" s="1781"/>
      <c r="AQ718" s="1781"/>
      <c r="AR718" s="143"/>
    </row>
    <row r="719" spans="1:44" ht="15" customHeight="1">
      <c r="A719" s="1182"/>
      <c r="B719" s="1177"/>
      <c r="C719" s="1745"/>
      <c r="D719" s="1745"/>
      <c r="E719" s="170"/>
      <c r="F719" s="1732" t="s">
        <v>324</v>
      </c>
      <c r="H719" s="2252">
        <f>+(AK523+AK524+IF(AE464=0,0,AE456/AE464*AK531)+IF(AE468=0,0,(2*AE456/AE468-1)*AK527)-AK522-AK526-AK528-AK529)/(IF(AE468=0,0,2*AK527/AE468)+IF(AE464=0,0,AK531/AE464)+2*AK524/AE456)</f>
        <v>2660.4680338324451</v>
      </c>
      <c r="I719" s="2252"/>
      <c r="J719" s="2252"/>
      <c r="K719" s="2252"/>
      <c r="L719" s="1661"/>
      <c r="M719" s="1661"/>
      <c r="Y719" s="143"/>
      <c r="Z719" s="1731"/>
      <c r="AB719" s="1731"/>
      <c r="AD719" s="73"/>
      <c r="AE719" s="1734"/>
      <c r="AF719" s="73"/>
      <c r="AR719" s="143"/>
    </row>
    <row r="720" spans="1:44" ht="15" customHeight="1">
      <c r="A720" s="1182"/>
      <c r="B720" s="1177"/>
      <c r="C720" s="1745"/>
      <c r="D720" s="1745"/>
      <c r="E720" s="170"/>
      <c r="F720" s="1732"/>
      <c r="H720" s="1739"/>
      <c r="I720" s="1739"/>
      <c r="J720" s="1739"/>
      <c r="K720" s="1739"/>
      <c r="L720" s="1661"/>
      <c r="M720" s="1661"/>
      <c r="Y720" s="143"/>
      <c r="Z720" s="1731"/>
      <c r="AB720" s="1731"/>
      <c r="AD720" s="73"/>
      <c r="AE720" s="1734"/>
      <c r="AF720" s="73"/>
      <c r="AR720" s="143"/>
    </row>
    <row r="721" spans="1:44" ht="15" customHeight="1">
      <c r="A721" s="1182"/>
      <c r="B721" s="1655" t="s">
        <v>3218</v>
      </c>
      <c r="C721" s="1655"/>
      <c r="D721" s="170"/>
      <c r="E721" s="170"/>
      <c r="F721" s="124"/>
      <c r="H721" s="1757"/>
      <c r="I721" s="1757"/>
      <c r="J721" s="1757"/>
      <c r="K721" s="1735"/>
      <c r="L721" s="1731"/>
      <c r="W721" s="1730"/>
      <c r="X721" s="1730"/>
      <c r="Y721" s="1730"/>
      <c r="Z721" s="1731"/>
      <c r="AB721" s="1731"/>
      <c r="AD721" s="1734"/>
      <c r="AF721" s="1734"/>
      <c r="AR721" s="143"/>
    </row>
    <row r="722" spans="1:44" ht="20.100000000000001" customHeight="1">
      <c r="A722" s="1182"/>
      <c r="B722" s="1762" t="s">
        <v>1091</v>
      </c>
      <c r="C722" s="1667"/>
      <c r="D722" s="1667"/>
      <c r="E722" s="1667"/>
      <c r="F722" s="1763"/>
      <c r="G722" s="1667"/>
      <c r="H722" s="1764"/>
      <c r="I722" s="1783" t="s">
        <v>3220</v>
      </c>
      <c r="J722" s="1764"/>
      <c r="K722" s="1764"/>
      <c r="L722" s="1668"/>
      <c r="M722" s="1667"/>
      <c r="N722" s="1667"/>
      <c r="O722" s="1667"/>
      <c r="P722" s="1667"/>
      <c r="Q722" s="1667"/>
      <c r="R722" s="1667"/>
      <c r="S722" s="1667"/>
      <c r="T722" s="1667"/>
      <c r="U722" s="1668"/>
      <c r="V722" s="1668"/>
      <c r="W722" s="1668"/>
      <c r="X722" s="1668"/>
      <c r="Y722" s="1667"/>
      <c r="Z722" s="1668"/>
      <c r="AA722" s="1667"/>
      <c r="AB722" s="1668"/>
      <c r="AC722" s="1667"/>
      <c r="AD722" s="1668"/>
      <c r="AE722" s="1667"/>
      <c r="AF722" s="1667"/>
      <c r="AG722" s="1667"/>
      <c r="AH722" s="1667"/>
      <c r="AI722" s="1667"/>
      <c r="AJ722" s="1774"/>
      <c r="AK722" s="1667"/>
      <c r="AL722" s="1772" t="s">
        <v>3219</v>
      </c>
      <c r="AM722" s="1764"/>
      <c r="AN722" s="1764"/>
      <c r="AO722" s="1764"/>
      <c r="AP722" s="1764"/>
      <c r="AQ722" s="1764"/>
      <c r="AR722" s="143"/>
    </row>
    <row r="723" spans="1:44" ht="15" customHeight="1">
      <c r="B723" s="124" t="s">
        <v>834</v>
      </c>
      <c r="C723" s="1730"/>
      <c r="D723" s="1730"/>
      <c r="E723" s="170"/>
      <c r="F723" s="124"/>
      <c r="G723" s="170"/>
      <c r="H723" s="1760"/>
      <c r="I723" s="1788" t="s">
        <v>604</v>
      </c>
      <c r="J723" s="1443"/>
      <c r="K723" s="170"/>
      <c r="L723" s="170"/>
      <c r="M723" s="170"/>
      <c r="N723" s="170"/>
      <c r="O723" s="170"/>
      <c r="P723" s="170"/>
      <c r="Q723" s="170"/>
      <c r="R723" s="1732" t="s">
        <v>324</v>
      </c>
      <c r="S723" s="1802"/>
      <c r="T723" s="2263">
        <f>+H719</f>
        <v>2660.4680338324451</v>
      </c>
      <c r="U723" s="2263"/>
      <c r="V723" s="2263"/>
      <c r="W723" s="1803" t="s">
        <v>3278</v>
      </c>
      <c r="X723" s="2264">
        <f>+AE452</f>
        <v>40</v>
      </c>
      <c r="Y723" s="2264"/>
      <c r="Z723" s="1804" t="s">
        <v>3284</v>
      </c>
      <c r="AA723" s="1797"/>
      <c r="AB723" s="1797"/>
      <c r="AC723" s="741"/>
      <c r="AD723" s="1802"/>
      <c r="AE723" s="1797"/>
      <c r="AF723" s="124"/>
      <c r="AG723" s="1732" t="s">
        <v>324</v>
      </c>
      <c r="AH723" s="2096">
        <f>+T723+X723/2</f>
        <v>2680.4680338324451</v>
      </c>
      <c r="AI723" s="2096"/>
      <c r="AJ723" s="2251"/>
      <c r="AK723" s="170"/>
      <c r="AL723" s="170" t="s">
        <v>3203</v>
      </c>
      <c r="AM723" s="143"/>
      <c r="AN723" s="76" t="s">
        <v>324</v>
      </c>
      <c r="AO723" s="2111">
        <f>+AH723*AK522/1000</f>
        <v>118155.03093133419</v>
      </c>
      <c r="AP723" s="2111"/>
      <c r="AQ723" s="2111"/>
      <c r="AR723" s="143"/>
    </row>
    <row r="724" spans="1:44" ht="15" customHeight="1">
      <c r="B724" s="124" t="s">
        <v>835</v>
      </c>
      <c r="C724" s="1730"/>
      <c r="D724" s="1730"/>
      <c r="E724" s="170"/>
      <c r="F724" s="124"/>
      <c r="G724" s="170"/>
      <c r="H724" s="1760"/>
      <c r="I724" s="1784" t="s">
        <v>603</v>
      </c>
      <c r="J724" s="170"/>
      <c r="K724" s="170"/>
      <c r="L724" s="170"/>
      <c r="M724" s="170"/>
      <c r="N724" s="170"/>
      <c r="O724" s="170"/>
      <c r="P724" s="170"/>
      <c r="Q724" s="170"/>
      <c r="R724" s="1732" t="s">
        <v>324</v>
      </c>
      <c r="S724" s="1765"/>
      <c r="T724" s="2094">
        <f>+AE456</f>
        <v>3200</v>
      </c>
      <c r="U724" s="2094"/>
      <c r="V724" s="2094"/>
      <c r="W724" s="741" t="s">
        <v>3283</v>
      </c>
      <c r="X724" s="2255">
        <f>+H719</f>
        <v>2660.4680338324451</v>
      </c>
      <c r="Y724" s="2255"/>
      <c r="Z724" s="2255"/>
      <c r="AA724" s="741" t="s">
        <v>3278</v>
      </c>
      <c r="AB724" s="2250">
        <f>+AE454</f>
        <v>30</v>
      </c>
      <c r="AC724" s="1944"/>
      <c r="AD724" s="1499" t="s">
        <v>3284</v>
      </c>
      <c r="AE724" s="115"/>
      <c r="AF724" s="124"/>
      <c r="AG724" s="1732" t="s">
        <v>324</v>
      </c>
      <c r="AH724" s="2248">
        <f>T724-X724+AB724/2</f>
        <v>554.53196616755486</v>
      </c>
      <c r="AI724" s="2248"/>
      <c r="AJ724" s="2249"/>
      <c r="AK724" s="170"/>
      <c r="AL724" s="170" t="s">
        <v>3204</v>
      </c>
      <c r="AM724" s="143"/>
      <c r="AN724" s="76" t="s">
        <v>324</v>
      </c>
      <c r="AO724" s="2111">
        <f t="shared" ref="AO724:AO730" si="14">+AH724*AK523/1000</f>
        <v>11631.86252233063</v>
      </c>
      <c r="AP724" s="2111"/>
      <c r="AQ724" s="2111"/>
      <c r="AR724" s="143"/>
    </row>
    <row r="725" spans="1:44" ht="15" customHeight="1">
      <c r="B725" s="124" t="s">
        <v>513</v>
      </c>
      <c r="C725" s="1730"/>
      <c r="D725" s="1730"/>
      <c r="E725" s="170"/>
      <c r="F725" s="124"/>
      <c r="G725" s="170"/>
      <c r="H725" s="1760"/>
      <c r="I725" s="1784" t="s">
        <v>3279</v>
      </c>
      <c r="J725" s="170"/>
      <c r="K725" s="170"/>
      <c r="L725" s="170"/>
      <c r="M725" s="170"/>
      <c r="N725" s="170"/>
      <c r="O725" s="170"/>
      <c r="P725" s="170"/>
      <c r="Q725" s="170"/>
      <c r="R725" s="1732" t="s">
        <v>324</v>
      </c>
      <c r="T725" s="1765" t="str">
        <f>"["&amp;ROUND(H719,1)&amp;"² + ("&amp;AE456&amp;" - "&amp;ROUND(H719,1)&amp;")²]/2/"&amp;AE456</f>
        <v>[2660.5² + (3200 - 2660.5)²]/2/3200</v>
      </c>
      <c r="U725" s="124"/>
      <c r="V725" s="1766"/>
      <c r="W725" s="115"/>
      <c r="X725" s="115"/>
      <c r="Y725" s="124"/>
      <c r="Z725" s="1765"/>
      <c r="AA725" s="115"/>
      <c r="AB725" s="115"/>
      <c r="AC725" s="124"/>
      <c r="AD725" s="170"/>
      <c r="AE725" s="170"/>
      <c r="AF725" s="170"/>
      <c r="AG725" s="1732" t="s">
        <v>324</v>
      </c>
      <c r="AH725" s="2248">
        <f>+(H719^2+(AE456-H719)^2)/2/AE456</f>
        <v>1151.4351408688913</v>
      </c>
      <c r="AI725" s="2248"/>
      <c r="AJ725" s="2249"/>
      <c r="AK725" s="170"/>
      <c r="AL725" s="124" t="s">
        <v>3215</v>
      </c>
      <c r="AM725" s="143"/>
      <c r="AN725" s="76" t="s">
        <v>324</v>
      </c>
      <c r="AO725" s="2111">
        <f t="shared" si="14"/>
        <v>36909.871539266598</v>
      </c>
      <c r="AP725" s="2111"/>
      <c r="AQ725" s="2111"/>
      <c r="AR725" s="143"/>
    </row>
    <row r="726" spans="1:44" ht="15" customHeight="1">
      <c r="B726" s="124" t="s">
        <v>651</v>
      </c>
      <c r="C726" s="1730"/>
      <c r="D726" s="1730"/>
      <c r="E726" s="170"/>
      <c r="F726" s="124"/>
      <c r="G726" s="170"/>
      <c r="H726" s="1760"/>
      <c r="I726" s="1721"/>
      <c r="J726" s="170"/>
      <c r="K726" s="170"/>
      <c r="L726" s="170"/>
      <c r="M726" s="170"/>
      <c r="N726" s="170"/>
      <c r="O726" s="170"/>
      <c r="P726" s="170"/>
      <c r="Q726" s="170"/>
      <c r="R726" s="1732"/>
      <c r="S726" s="1766"/>
      <c r="T726" s="1766"/>
      <c r="U726" s="1766"/>
      <c r="V726" s="1766"/>
      <c r="W726" s="1765"/>
      <c r="X726" s="1765"/>
      <c r="Y726" s="124"/>
      <c r="Z726" s="1765"/>
      <c r="AA726" s="1765"/>
      <c r="AB726" s="1765"/>
      <c r="AC726" s="124"/>
      <c r="AD726" s="1730"/>
      <c r="AE726" s="1765"/>
      <c r="AF726" s="115"/>
      <c r="AG726" s="1732"/>
      <c r="AH726" s="1798"/>
      <c r="AI726" s="1798"/>
      <c r="AJ726" s="1801"/>
      <c r="AK726" s="170"/>
      <c r="AL726" s="170"/>
      <c r="AM726" s="143"/>
      <c r="AN726" s="76"/>
      <c r="AO726" s="2111"/>
      <c r="AP726" s="2111"/>
      <c r="AQ726" s="2111"/>
      <c r="AR726" s="143"/>
    </row>
    <row r="727" spans="1:44" ht="15" customHeight="1">
      <c r="B727" s="124" t="s">
        <v>520</v>
      </c>
      <c r="C727" s="1730"/>
      <c r="D727" s="1730"/>
      <c r="E727" s="170"/>
      <c r="F727" s="124"/>
      <c r="G727" s="170"/>
      <c r="H727" s="1760"/>
      <c r="I727" s="1784" t="s">
        <v>1982</v>
      </c>
      <c r="J727" s="170"/>
      <c r="K727" s="170"/>
      <c r="L727" s="170"/>
      <c r="M727" s="170"/>
      <c r="N727" s="170"/>
      <c r="O727" s="170"/>
      <c r="P727" s="170"/>
      <c r="Q727" s="170"/>
      <c r="R727" s="1732" t="s">
        <v>324</v>
      </c>
      <c r="S727" s="1765"/>
      <c r="T727" s="2096">
        <f>+H719</f>
        <v>2660.4680338324451</v>
      </c>
      <c r="U727" s="2096"/>
      <c r="V727" s="2096"/>
      <c r="W727" s="741" t="s">
        <v>3283</v>
      </c>
      <c r="X727" s="2250">
        <f>+AE471</f>
        <v>0</v>
      </c>
      <c r="Y727" s="1944"/>
      <c r="Z727" s="1944"/>
      <c r="AA727" s="741" t="s">
        <v>3284</v>
      </c>
      <c r="AB727" s="741"/>
      <c r="AC727" s="741"/>
      <c r="AD727" s="1730"/>
      <c r="AE727" s="1730"/>
      <c r="AF727" s="170"/>
      <c r="AG727" s="1732" t="s">
        <v>324</v>
      </c>
      <c r="AH727" s="2248">
        <f>T727-X727/2</f>
        <v>2660.4680338324451</v>
      </c>
      <c r="AI727" s="2248"/>
      <c r="AJ727" s="2249"/>
      <c r="AK727" s="170"/>
      <c r="AL727" s="170" t="s">
        <v>3206</v>
      </c>
      <c r="AM727" s="143"/>
      <c r="AN727" s="76" t="s">
        <v>324</v>
      </c>
      <c r="AO727" s="2111">
        <f t="shared" si="14"/>
        <v>0</v>
      </c>
      <c r="AP727" s="2111"/>
      <c r="AQ727" s="2111"/>
      <c r="AR727" s="143"/>
    </row>
    <row r="728" spans="1:44" ht="15" customHeight="1">
      <c r="B728" s="124" t="s">
        <v>521</v>
      </c>
      <c r="C728" s="1730"/>
      <c r="D728" s="1730"/>
      <c r="E728" s="170"/>
      <c r="F728" s="124"/>
      <c r="G728" s="170"/>
      <c r="H728" s="1760"/>
      <c r="I728" s="1784" t="s">
        <v>3280</v>
      </c>
      <c r="J728" s="170"/>
      <c r="K728" s="170"/>
      <c r="L728" s="170"/>
      <c r="M728" s="170"/>
      <c r="N728" s="170"/>
      <c r="O728" s="170"/>
      <c r="P728" s="170"/>
      <c r="Q728" s="170"/>
      <c r="R728" s="1732"/>
      <c r="S728" s="1765"/>
      <c r="T728" s="1765"/>
      <c r="U728" s="741"/>
      <c r="V728" s="1787"/>
      <c r="W728" s="741"/>
      <c r="X728" s="741"/>
      <c r="Y728" s="741"/>
      <c r="Z728" s="1499"/>
      <c r="AA728" s="741"/>
      <c r="AB728" s="741"/>
      <c r="AC728" s="1732"/>
      <c r="AD728" s="1765"/>
      <c r="AE728" s="115"/>
      <c r="AF728" s="124"/>
      <c r="AG728" s="1732" t="s">
        <v>324</v>
      </c>
      <c r="AH728" s="2248">
        <f>((AE456-H719)^2 + (AE468-AE456+H719)^2)/2/AE468</f>
        <v>1359.8101745613671</v>
      </c>
      <c r="AI728" s="2248"/>
      <c r="AJ728" s="2249"/>
      <c r="AK728" s="170"/>
      <c r="AL728" s="170" t="s">
        <v>3207</v>
      </c>
      <c r="AM728" s="143"/>
      <c r="AN728" s="76" t="s">
        <v>324</v>
      </c>
      <c r="AO728" s="2111">
        <f t="shared" si="14"/>
        <v>2645.6466756265959</v>
      </c>
      <c r="AP728" s="2111"/>
      <c r="AQ728" s="2111"/>
      <c r="AR728" s="143"/>
    </row>
    <row r="729" spans="1:44" ht="15" customHeight="1">
      <c r="B729" s="124" t="s">
        <v>1126</v>
      </c>
      <c r="C729" s="1730"/>
      <c r="D729" s="1730"/>
      <c r="E729" s="170"/>
      <c r="F729" s="124"/>
      <c r="G729" s="170"/>
      <c r="H729" s="1760"/>
      <c r="I729" s="1784" t="s">
        <v>1985</v>
      </c>
      <c r="J729" s="170"/>
      <c r="K729" s="170"/>
      <c r="L729" s="170"/>
      <c r="M729" s="170"/>
      <c r="N729" s="170"/>
      <c r="O729" s="170"/>
      <c r="P729" s="170"/>
      <c r="Q729" s="170"/>
      <c r="R729" s="1732" t="s">
        <v>324</v>
      </c>
      <c r="S729" s="58"/>
      <c r="T729" s="2096">
        <f>+H719</f>
        <v>2660.4680338324451</v>
      </c>
      <c r="U729" s="2096"/>
      <c r="V729" s="2096"/>
      <c r="W729" s="1499" t="s">
        <v>3278</v>
      </c>
      <c r="X729" s="2094">
        <f>+AE463</f>
        <v>0</v>
      </c>
      <c r="Y729" s="2094"/>
      <c r="Z729" s="1499" t="s">
        <v>3278</v>
      </c>
      <c r="AA729" s="2094">
        <f>+AE462</f>
        <v>290</v>
      </c>
      <c r="AB729" s="2094"/>
      <c r="AC729" s="2094"/>
      <c r="AD729" s="1787" t="s">
        <v>3283</v>
      </c>
      <c r="AE729" s="2094">
        <f>+AE448</f>
        <v>50</v>
      </c>
      <c r="AF729" s="2094"/>
      <c r="AG729" s="1732" t="s">
        <v>324</v>
      </c>
      <c r="AH729" s="2096">
        <f>T729+X729+AA729-AE729</f>
        <v>2900.4680338324451</v>
      </c>
      <c r="AI729" s="2096"/>
      <c r="AJ729" s="2251"/>
      <c r="AK729" s="170"/>
      <c r="AL729" s="170" t="s">
        <v>3208</v>
      </c>
      <c r="AM729" s="143"/>
      <c r="AN729" s="76" t="s">
        <v>324</v>
      </c>
      <c r="AO729" s="2111">
        <f t="shared" si="14"/>
        <v>8881.553213663421</v>
      </c>
      <c r="AP729" s="2111"/>
      <c r="AQ729" s="2111"/>
      <c r="AR729" s="143"/>
    </row>
    <row r="730" spans="1:44" ht="15" customHeight="1">
      <c r="B730" s="124" t="s">
        <v>1127</v>
      </c>
      <c r="C730" s="1730"/>
      <c r="D730" s="1730"/>
      <c r="E730" s="170"/>
      <c r="F730" s="124"/>
      <c r="G730" s="170"/>
      <c r="H730" s="1760"/>
      <c r="I730" s="1784" t="s">
        <v>1992</v>
      </c>
      <c r="J730" s="170"/>
      <c r="K730" s="170"/>
      <c r="L730" s="170"/>
      <c r="M730" s="170"/>
      <c r="N730" s="170"/>
      <c r="O730" s="170"/>
      <c r="P730" s="170"/>
      <c r="Q730" s="170"/>
      <c r="R730" s="1732" t="s">
        <v>324</v>
      </c>
      <c r="S730" s="58"/>
      <c r="T730" s="2096">
        <f>+T729</f>
        <v>2660.4680338324451</v>
      </c>
      <c r="U730" s="2096"/>
      <c r="V730" s="2096"/>
      <c r="W730" s="1499" t="s">
        <v>3278</v>
      </c>
      <c r="X730" s="2094">
        <f>+X729</f>
        <v>0</v>
      </c>
      <c r="Y730" s="2094"/>
      <c r="Z730" s="1499" t="s">
        <v>3278</v>
      </c>
      <c r="AA730" s="2094">
        <f>+AA729</f>
        <v>290</v>
      </c>
      <c r="AB730" s="2094"/>
      <c r="AC730" s="2094"/>
      <c r="AD730" s="1787" t="s">
        <v>3283</v>
      </c>
      <c r="AE730" s="2094">
        <f>+AE449</f>
        <v>250</v>
      </c>
      <c r="AF730" s="2094"/>
      <c r="AG730" s="1732" t="s">
        <v>324</v>
      </c>
      <c r="AH730" s="2096">
        <f>T730+X730+AA730-AE730</f>
        <v>2700.4680338324451</v>
      </c>
      <c r="AI730" s="2096"/>
      <c r="AJ730" s="2251"/>
      <c r="AK730" s="170"/>
      <c r="AL730" s="170" t="s">
        <v>3209</v>
      </c>
      <c r="AM730" s="143"/>
      <c r="AN730" s="76" t="s">
        <v>324</v>
      </c>
      <c r="AO730" s="2111">
        <f t="shared" si="14"/>
        <v>5863.982194719646</v>
      </c>
      <c r="AP730" s="2111"/>
      <c r="AQ730" s="2111"/>
      <c r="AR730" s="143"/>
    </row>
    <row r="731" spans="1:44" ht="15" customHeight="1">
      <c r="B731" s="124" t="s">
        <v>3144</v>
      </c>
      <c r="C731" s="170"/>
      <c r="D731" s="170"/>
      <c r="E731" s="170"/>
      <c r="F731" s="124"/>
      <c r="G731" s="170"/>
      <c r="H731" s="1760"/>
      <c r="I731" s="1784" t="s">
        <v>1720</v>
      </c>
      <c r="J731" s="170"/>
      <c r="K731" s="170"/>
      <c r="L731" s="170"/>
      <c r="M731" s="170"/>
      <c r="N731" s="170"/>
      <c r="O731" s="170"/>
      <c r="P731" s="170"/>
      <c r="Q731" s="170"/>
      <c r="R731" s="1732" t="s">
        <v>324</v>
      </c>
      <c r="S731" s="1765"/>
      <c r="T731" s="2094">
        <f>+AE456</f>
        <v>3200</v>
      </c>
      <c r="U731" s="2094"/>
      <c r="V731" s="2094"/>
      <c r="W731" s="741" t="s">
        <v>3283</v>
      </c>
      <c r="X731" s="2255">
        <f>+H719</f>
        <v>2660.4680338324451</v>
      </c>
      <c r="Y731" s="2255"/>
      <c r="Z731" s="2255"/>
      <c r="AA731" s="741" t="s">
        <v>3283</v>
      </c>
      <c r="AB731" s="2250">
        <f>+AE464</f>
        <v>600</v>
      </c>
      <c r="AC731" s="1944"/>
      <c r="AD731" s="1944"/>
      <c r="AE731" s="741" t="s">
        <v>3284</v>
      </c>
      <c r="AF731" s="124"/>
      <c r="AG731" s="1732" t="s">
        <v>324</v>
      </c>
      <c r="AH731" s="2096">
        <f>+T731-X731-AB731/2</f>
        <v>239.53196616755486</v>
      </c>
      <c r="AI731" s="2096"/>
      <c r="AJ731" s="2251"/>
      <c r="AK731" s="170"/>
      <c r="AL731" s="1760" t="s">
        <v>3287</v>
      </c>
      <c r="AM731" s="143"/>
      <c r="AN731" s="76" t="s">
        <v>324</v>
      </c>
      <c r="AO731" s="2111">
        <f>+AH731*AK530/1000</f>
        <v>577.92911248274629</v>
      </c>
      <c r="AP731" s="2111"/>
      <c r="AQ731" s="2111"/>
      <c r="AR731" s="143"/>
    </row>
    <row r="732" spans="1:44" ht="15" customHeight="1">
      <c r="B732" s="1335" t="s">
        <v>791</v>
      </c>
      <c r="C732" s="1333"/>
      <c r="D732" s="1333"/>
      <c r="E732" s="1333"/>
      <c r="F732" s="1335"/>
      <c r="G732" s="1333"/>
      <c r="H732" s="1761"/>
      <c r="I732" s="1805" t="s">
        <v>3281</v>
      </c>
      <c r="J732" s="1333"/>
      <c r="K732" s="1333"/>
      <c r="L732" s="1733"/>
      <c r="M732" s="1333"/>
      <c r="N732" s="1333"/>
      <c r="O732" s="1333"/>
      <c r="P732" s="1333"/>
      <c r="Q732" s="1333"/>
      <c r="R732" s="1782" t="s">
        <v>324</v>
      </c>
      <c r="S732" s="1335" t="s">
        <v>3285</v>
      </c>
      <c r="T732" s="2180">
        <f>+AE456</f>
        <v>3200</v>
      </c>
      <c r="U732" s="2090"/>
      <c r="V732" s="2090"/>
      <c r="W732" s="1782" t="s">
        <v>3283</v>
      </c>
      <c r="X732" s="2104">
        <f>+H719</f>
        <v>2660.4680338324451</v>
      </c>
      <c r="Y732" s="2104"/>
      <c r="Z732" s="2104"/>
      <c r="AA732" s="1335" t="s">
        <v>3286</v>
      </c>
      <c r="AB732" s="1741"/>
      <c r="AC732" s="1437"/>
      <c r="AD732" s="2269">
        <f>+AE464</f>
        <v>600</v>
      </c>
      <c r="AE732" s="2149"/>
      <c r="AF732" s="2149"/>
      <c r="AG732" s="1782" t="s">
        <v>324</v>
      </c>
      <c r="AH732" s="2104">
        <f>+(T732-X732)^2 /2/AE464</f>
        <v>242.57895209718961</v>
      </c>
      <c r="AI732" s="2104"/>
      <c r="AJ732" s="2245"/>
      <c r="AK732" s="1333"/>
      <c r="AL732" s="1333" t="s">
        <v>3210</v>
      </c>
      <c r="AM732" s="1333"/>
      <c r="AN732" s="1433" t="s">
        <v>324</v>
      </c>
      <c r="AO732" s="2149">
        <f>+AH732*AK531/1000</f>
        <v>10361.153491451212</v>
      </c>
      <c r="AP732" s="2149"/>
      <c r="AQ732" s="2149"/>
      <c r="AR732" s="143"/>
    </row>
    <row r="733" spans="1:44" ht="15" customHeight="1">
      <c r="A733" s="1182"/>
      <c r="B733" s="1177"/>
      <c r="C733" s="1655"/>
      <c r="D733" s="170"/>
      <c r="E733" s="170"/>
      <c r="F733" s="124"/>
      <c r="H733" s="1757"/>
      <c r="I733" s="1757"/>
      <c r="J733" s="1757"/>
      <c r="K733" s="1735"/>
      <c r="L733" s="1731"/>
      <c r="X733" s="1730"/>
      <c r="Y733" s="1730"/>
      <c r="Z733" s="1730"/>
      <c r="AA733" s="1731"/>
      <c r="AB733" s="143"/>
      <c r="AC733" s="1731"/>
      <c r="AD733" s="143"/>
      <c r="AE733" s="1734"/>
      <c r="AF733" s="73"/>
      <c r="AG733" s="1734"/>
      <c r="AI733" s="1737" t="s">
        <v>3211</v>
      </c>
      <c r="AJ733" s="143"/>
      <c r="AN733" s="76" t="s">
        <v>324</v>
      </c>
      <c r="AO733" s="2246">
        <f>+SUM(AO723:AQ732)</f>
        <v>195027.02968087504</v>
      </c>
      <c r="AP733" s="2246"/>
      <c r="AQ733" s="2246"/>
      <c r="AR733" s="2246"/>
    </row>
    <row r="734" spans="1:44" ht="15" customHeight="1">
      <c r="A734" s="1182"/>
      <c r="B734" s="1177"/>
      <c r="G734" s="4"/>
      <c r="H734" s="4"/>
      <c r="AR734" s="143"/>
    </row>
    <row r="735" spans="1:44" ht="15" customHeight="1">
      <c r="A735" s="1182"/>
      <c r="B735" s="1177" t="s">
        <v>3276</v>
      </c>
      <c r="C735" s="95" t="s">
        <v>3288</v>
      </c>
      <c r="G735" s="4"/>
      <c r="H735" s="4"/>
      <c r="I735" s="4"/>
      <c r="L735" s="1731"/>
      <c r="Y735" s="143"/>
      <c r="Z735" s="1731"/>
      <c r="AB735" s="1731"/>
      <c r="AD735" s="73"/>
      <c r="AE735" s="1734"/>
      <c r="AF735" s="73"/>
      <c r="AR735" s="143"/>
    </row>
    <row r="736" spans="1:44" ht="15" customHeight="1">
      <c r="A736" s="1182"/>
      <c r="B736" s="1177"/>
      <c r="C736" s="2268" t="s">
        <v>3193</v>
      </c>
      <c r="D736" s="2268"/>
      <c r="F736" s="1944" t="s">
        <v>324</v>
      </c>
      <c r="G736" s="4"/>
      <c r="H736" s="1664" t="s">
        <v>3259</v>
      </c>
      <c r="I736" s="1662"/>
      <c r="J736" s="1662"/>
      <c r="K736" s="1662"/>
      <c r="L736" s="1662"/>
      <c r="M736" s="1662"/>
      <c r="N736" s="1769"/>
      <c r="O736" s="1333"/>
      <c r="P736" s="1333"/>
      <c r="Q736" s="1333"/>
      <c r="R736" s="1333"/>
      <c r="S736" s="1333"/>
      <c r="T736" s="1333"/>
      <c r="U736" s="1333"/>
      <c r="V736" s="1333"/>
      <c r="W736" s="1731"/>
      <c r="X736" s="1731"/>
      <c r="Y736" s="1731"/>
      <c r="Z736" s="1731"/>
      <c r="AA736" s="1731"/>
      <c r="AB736" s="1731"/>
      <c r="AD736" s="73"/>
      <c r="AE736" s="1734"/>
      <c r="AF736" s="73"/>
      <c r="AR736" s="143"/>
    </row>
    <row r="737" spans="1:44" ht="15" customHeight="1">
      <c r="A737" s="1182"/>
      <c r="B737" s="1177"/>
      <c r="C737" s="2268"/>
      <c r="D737" s="2268"/>
      <c r="F737" s="1944"/>
      <c r="G737" s="4"/>
      <c r="I737" s="1663"/>
      <c r="J737" s="1663"/>
      <c r="K737" s="1661" t="s">
        <v>3260</v>
      </c>
      <c r="L737" s="1663"/>
      <c r="M737" s="1663"/>
      <c r="N737" s="1661"/>
      <c r="O737" s="170"/>
      <c r="P737" s="170"/>
      <c r="Q737" s="170"/>
      <c r="R737" s="170"/>
      <c r="S737" s="170"/>
      <c r="T737" s="170"/>
      <c r="U737" s="170"/>
      <c r="V737" s="170"/>
      <c r="W737" s="170"/>
      <c r="Y737" s="143"/>
      <c r="Z737" s="1731"/>
      <c r="AB737" s="1731"/>
      <c r="AD737" s="73"/>
      <c r="AE737" s="1734"/>
      <c r="AF737" s="73"/>
      <c r="AR737" s="143"/>
    </row>
    <row r="738" spans="1:44" ht="15" customHeight="1">
      <c r="A738" s="1182"/>
      <c r="B738" s="1177"/>
      <c r="C738" s="1745"/>
      <c r="D738" s="1745"/>
      <c r="E738" s="170"/>
      <c r="F738" s="1944" t="s">
        <v>324</v>
      </c>
      <c r="H738" s="1620" t="str">
        <f>ROUND(AK523,1)&amp;" + "&amp;ROUND(AK524,1)&amp;" + "&amp;ROUND(AK527,1)&amp;" + "&amp;AE456&amp;" * "&amp;ROUND(AK531,1)&amp;" / "&amp;AE464&amp;" - "&amp;ROUND(AK522,1)&amp;" - "&amp;ROUND(AK526,1)&amp;" - "&amp;ROUND(AK528,1)&amp;" - "&amp;ROUND(AK529,1)</f>
        <v>20976 + 32055.5 + 1945.6 + 3200 * 42712.5 / 600 - 44080 - 0 - 3062.1 - 2171.5</v>
      </c>
      <c r="I738" s="1799"/>
      <c r="J738" s="1799"/>
      <c r="K738" s="1779"/>
      <c r="L738" s="1800"/>
      <c r="M738" s="1800"/>
      <c r="N738" s="1800"/>
      <c r="O738" s="1779"/>
      <c r="P738" s="1333"/>
      <c r="Q738" s="1620"/>
      <c r="R738" s="1620"/>
      <c r="S738" s="1779"/>
      <c r="T738" s="1620"/>
      <c r="U738" s="1620"/>
      <c r="V738" s="1620"/>
      <c r="W738" s="1779"/>
      <c r="X738" s="1620"/>
      <c r="Y738" s="1620"/>
      <c r="Z738" s="1620"/>
      <c r="AA738" s="1780"/>
      <c r="AB738" s="1432"/>
      <c r="AC738" s="1432"/>
      <c r="AD738" s="1432"/>
      <c r="AE738" s="1779"/>
      <c r="AF738" s="1620"/>
      <c r="AG738" s="1620"/>
      <c r="AH738" s="1620"/>
      <c r="AI738" s="1780"/>
      <c r="AJ738" s="1432"/>
      <c r="AK738" s="1781"/>
      <c r="AL738" s="1781"/>
      <c r="AM738" s="1781"/>
      <c r="AN738" s="1781"/>
      <c r="AO738" s="1781"/>
      <c r="AP738" s="1781"/>
      <c r="AQ738" s="1781"/>
      <c r="AR738" s="143"/>
    </row>
    <row r="739" spans="1:44" ht="15" customHeight="1">
      <c r="A739" s="1182"/>
      <c r="B739" s="1177"/>
      <c r="C739" s="1745"/>
      <c r="D739" s="1745"/>
      <c r="E739" s="170"/>
      <c r="F739" s="1944"/>
      <c r="H739" s="1796"/>
      <c r="I739" s="1796"/>
      <c r="J739" s="1796"/>
      <c r="K739" s="741"/>
      <c r="M739" s="170"/>
      <c r="O739" s="170"/>
      <c r="P739" s="170" t="str">
        <f>ROUND(AK531,1)&amp;" / "&amp;AE464&amp;" + 2 * "&amp;ROUND(AK524,1)&amp;" / "&amp;AE456</f>
        <v>42712.5 / 600 + 2 * 32055.5 / 3200</v>
      </c>
      <c r="Q739" s="170"/>
      <c r="R739" s="170"/>
      <c r="S739" s="170"/>
      <c r="T739" s="170"/>
      <c r="U739" s="170"/>
      <c r="V739" s="170"/>
      <c r="W739" s="170"/>
      <c r="X739" s="115"/>
      <c r="Y739" s="115"/>
      <c r="Z739" s="115"/>
      <c r="AA739" s="115"/>
      <c r="AB739" s="170"/>
      <c r="AC739" s="1740"/>
      <c r="AD739" s="1740"/>
      <c r="AE739" s="122"/>
      <c r="AF739" s="1740"/>
      <c r="AG739" s="122"/>
      <c r="AH739" s="122"/>
      <c r="AI739" s="122"/>
      <c r="AJ739" s="122"/>
      <c r="AK739" s="1781"/>
      <c r="AL739" s="1781"/>
      <c r="AM739" s="1781"/>
      <c r="AN739" s="1781"/>
      <c r="AO739" s="1781"/>
      <c r="AP739" s="1781"/>
      <c r="AQ739" s="1781"/>
      <c r="AR739" s="143"/>
    </row>
    <row r="740" spans="1:44" ht="15" customHeight="1">
      <c r="A740" s="1182"/>
      <c r="B740" s="1177"/>
      <c r="C740" s="1745"/>
      <c r="D740" s="1745"/>
      <c r="E740" s="170"/>
      <c r="F740" s="1732" t="s">
        <v>324</v>
      </c>
      <c r="H740" s="2252">
        <f>+(AK523+AK524+AK527+IF(AE464=0,0,AE456/AE464*AK531)-AK522-AK526-AK528-AK529)/(IF(AE464=0,0,AK531/AE464)+2*AK524/AE456)</f>
        <v>2559.2841514627289</v>
      </c>
      <c r="I740" s="2252"/>
      <c r="J740" s="2252"/>
      <c r="K740" s="2252"/>
      <c r="L740" s="1661"/>
      <c r="M740" s="1661"/>
      <c r="Y740" s="143"/>
      <c r="Z740" s="1731"/>
      <c r="AB740" s="1731"/>
      <c r="AD740" s="73"/>
      <c r="AE740" s="1734"/>
      <c r="AF740" s="73"/>
      <c r="AR740" s="143"/>
    </row>
    <row r="741" spans="1:44" ht="15" customHeight="1">
      <c r="A741" s="1182"/>
      <c r="B741" s="1177"/>
      <c r="C741" s="1745"/>
      <c r="D741" s="1745"/>
      <c r="E741" s="170"/>
      <c r="F741" s="1732"/>
      <c r="H741" s="1739"/>
      <c r="I741" s="1739"/>
      <c r="J741" s="1739"/>
      <c r="K741" s="1739"/>
      <c r="L741" s="1661"/>
      <c r="M741" s="1661"/>
      <c r="Y741" s="143"/>
      <c r="Z741" s="1731"/>
      <c r="AB741" s="1731"/>
      <c r="AD741" s="73"/>
      <c r="AE741" s="1734"/>
      <c r="AF741" s="73"/>
      <c r="AR741" s="143"/>
    </row>
    <row r="742" spans="1:44" ht="15" customHeight="1">
      <c r="A742" s="1182"/>
      <c r="B742" s="1655" t="s">
        <v>3218</v>
      </c>
      <c r="C742" s="1655"/>
      <c r="D742" s="170"/>
      <c r="E742" s="170"/>
      <c r="F742" s="124"/>
      <c r="H742" s="1757"/>
      <c r="I742" s="1757"/>
      <c r="J742" s="1757"/>
      <c r="K742" s="1735"/>
      <c r="L742" s="1731"/>
      <c r="W742" s="1730"/>
      <c r="X742" s="1730"/>
      <c r="Y742" s="1730"/>
      <c r="Z742" s="1731"/>
      <c r="AB742" s="1731"/>
      <c r="AD742" s="1734"/>
      <c r="AF742" s="1734"/>
      <c r="AR742" s="143"/>
    </row>
    <row r="743" spans="1:44" ht="20.100000000000001" customHeight="1">
      <c r="A743" s="1182"/>
      <c r="B743" s="1762" t="s">
        <v>1091</v>
      </c>
      <c r="C743" s="1667"/>
      <c r="D743" s="1667"/>
      <c r="E743" s="1667"/>
      <c r="F743" s="1763"/>
      <c r="G743" s="1667"/>
      <c r="H743" s="1764"/>
      <c r="I743" s="1783" t="s">
        <v>3220</v>
      </c>
      <c r="J743" s="1764"/>
      <c r="K743" s="1764"/>
      <c r="L743" s="1668"/>
      <c r="M743" s="1667"/>
      <c r="N743" s="1667"/>
      <c r="O743" s="1667"/>
      <c r="P743" s="1667"/>
      <c r="Q743" s="1667"/>
      <c r="R743" s="1667"/>
      <c r="S743" s="1667"/>
      <c r="T743" s="1667"/>
      <c r="U743" s="1668"/>
      <c r="V743" s="1668"/>
      <c r="W743" s="1668"/>
      <c r="X743" s="1668"/>
      <c r="Y743" s="1667"/>
      <c r="Z743" s="1668"/>
      <c r="AA743" s="1667"/>
      <c r="AB743" s="1668"/>
      <c r="AC743" s="1667"/>
      <c r="AD743" s="1668"/>
      <c r="AE743" s="1667"/>
      <c r="AF743" s="1667"/>
      <c r="AG743" s="1667"/>
      <c r="AH743" s="1667"/>
      <c r="AI743" s="1667"/>
      <c r="AJ743" s="1774"/>
      <c r="AK743" s="1667"/>
      <c r="AL743" s="1772" t="s">
        <v>3219</v>
      </c>
      <c r="AM743" s="1764"/>
      <c r="AN743" s="1764"/>
      <c r="AO743" s="1764"/>
      <c r="AP743" s="1764"/>
      <c r="AQ743" s="1764"/>
      <c r="AR743" s="143"/>
    </row>
    <row r="744" spans="1:44" ht="15" customHeight="1">
      <c r="B744" s="124" t="s">
        <v>834</v>
      </c>
      <c r="C744" s="1730"/>
      <c r="D744" s="1730"/>
      <c r="E744" s="170"/>
      <c r="F744" s="124"/>
      <c r="G744" s="170"/>
      <c r="H744" s="1760"/>
      <c r="I744" s="1788" t="s">
        <v>604</v>
      </c>
      <c r="J744" s="1443"/>
      <c r="K744" s="170"/>
      <c r="L744" s="170"/>
      <c r="M744" s="170"/>
      <c r="N744" s="170"/>
      <c r="O744" s="170"/>
      <c r="P744" s="170"/>
      <c r="Q744" s="170"/>
      <c r="R744" s="1732" t="s">
        <v>324</v>
      </c>
      <c r="S744" s="1802"/>
      <c r="T744" s="2263">
        <f>+H740</f>
        <v>2559.2841514627289</v>
      </c>
      <c r="U744" s="2263"/>
      <c r="V744" s="2263"/>
      <c r="W744" s="1803" t="s">
        <v>3278</v>
      </c>
      <c r="X744" s="2264">
        <f>+AE452</f>
        <v>40</v>
      </c>
      <c r="Y744" s="2264"/>
      <c r="Z744" s="1804" t="s">
        <v>3284</v>
      </c>
      <c r="AA744" s="1797"/>
      <c r="AB744" s="1797"/>
      <c r="AC744" s="741"/>
      <c r="AD744" s="1802"/>
      <c r="AE744" s="1797"/>
      <c r="AF744" s="124"/>
      <c r="AG744" s="1732" t="s">
        <v>324</v>
      </c>
      <c r="AH744" s="2096">
        <f>+T744+X744/2</f>
        <v>2579.2841514627289</v>
      </c>
      <c r="AI744" s="2096"/>
      <c r="AJ744" s="2251"/>
      <c r="AK744" s="170"/>
      <c r="AL744" s="170" t="s">
        <v>3203</v>
      </c>
      <c r="AM744" s="143"/>
      <c r="AN744" s="76" t="s">
        <v>324</v>
      </c>
      <c r="AO744" s="2111">
        <f>+AH744*AK522/1000</f>
        <v>113694.84539647709</v>
      </c>
      <c r="AP744" s="2111"/>
      <c r="AQ744" s="2111"/>
      <c r="AR744" s="143"/>
    </row>
    <row r="745" spans="1:44" ht="15" customHeight="1">
      <c r="B745" s="124" t="s">
        <v>835</v>
      </c>
      <c r="C745" s="1730"/>
      <c r="D745" s="1730"/>
      <c r="E745" s="170"/>
      <c r="F745" s="124"/>
      <c r="G745" s="170"/>
      <c r="H745" s="1760"/>
      <c r="I745" s="1784" t="s">
        <v>603</v>
      </c>
      <c r="J745" s="170"/>
      <c r="K745" s="170"/>
      <c r="L745" s="170"/>
      <c r="M745" s="170"/>
      <c r="N745" s="170"/>
      <c r="O745" s="170"/>
      <c r="P745" s="170"/>
      <c r="Q745" s="170"/>
      <c r="R745" s="1732" t="s">
        <v>324</v>
      </c>
      <c r="S745" s="1765"/>
      <c r="T745" s="2094">
        <f>+AE456</f>
        <v>3200</v>
      </c>
      <c r="U745" s="2094"/>
      <c r="V745" s="2094"/>
      <c r="W745" s="741" t="s">
        <v>3283</v>
      </c>
      <c r="X745" s="2255">
        <f>+H740</f>
        <v>2559.2841514627289</v>
      </c>
      <c r="Y745" s="2255"/>
      <c r="Z745" s="2255"/>
      <c r="AA745" s="741" t="s">
        <v>3278</v>
      </c>
      <c r="AB745" s="2250">
        <f>+AE454</f>
        <v>30</v>
      </c>
      <c r="AC745" s="1944"/>
      <c r="AD745" s="1499" t="s">
        <v>3284</v>
      </c>
      <c r="AE745" s="115"/>
      <c r="AF745" s="124"/>
      <c r="AG745" s="1732" t="s">
        <v>324</v>
      </c>
      <c r="AH745" s="2248">
        <f>T745-X745+AB745/2</f>
        <v>655.71584853727109</v>
      </c>
      <c r="AI745" s="2248"/>
      <c r="AJ745" s="2249"/>
      <c r="AK745" s="170"/>
      <c r="AL745" s="170" t="s">
        <v>3204</v>
      </c>
      <c r="AM745" s="143"/>
      <c r="AN745" s="76" t="s">
        <v>324</v>
      </c>
      <c r="AO745" s="2111">
        <f t="shared" ref="AO745:AO753" si="15">+AH745*AK523/1000</f>
        <v>13754.295638917798</v>
      </c>
      <c r="AP745" s="2111"/>
      <c r="AQ745" s="2111"/>
      <c r="AR745" s="143"/>
    </row>
    <row r="746" spans="1:44" ht="15" customHeight="1">
      <c r="B746" s="124" t="s">
        <v>513</v>
      </c>
      <c r="C746" s="1730"/>
      <c r="D746" s="1730"/>
      <c r="E746" s="170"/>
      <c r="F746" s="124"/>
      <c r="G746" s="170"/>
      <c r="H746" s="1760"/>
      <c r="I746" s="1784" t="s">
        <v>3279</v>
      </c>
      <c r="J746" s="170"/>
      <c r="K746" s="170"/>
      <c r="L746" s="170"/>
      <c r="M746" s="170"/>
      <c r="N746" s="170"/>
      <c r="O746" s="170"/>
      <c r="P746" s="170"/>
      <c r="Q746" s="170"/>
      <c r="R746" s="1732" t="s">
        <v>324</v>
      </c>
      <c r="T746" s="1765" t="str">
        <f>"["&amp;ROUND(H740,1)&amp;"² + ("&amp;AE456&amp;" - "&amp;ROUND(H719,1)&amp;")²]/2/"&amp;AE456</f>
        <v>[2559.3² + (3200 - 2660.5)²]/2/3200</v>
      </c>
      <c r="U746" s="124"/>
      <c r="V746" s="1766"/>
      <c r="W746" s="115"/>
      <c r="X746" s="115"/>
      <c r="Y746" s="124"/>
      <c r="Z746" s="1765"/>
      <c r="AA746" s="115"/>
      <c r="AB746" s="115"/>
      <c r="AC746" s="124"/>
      <c r="AD746" s="170"/>
      <c r="AE746" s="170"/>
      <c r="AF746" s="170"/>
      <c r="AG746" s="1732" t="s">
        <v>324</v>
      </c>
      <c r="AH746" s="2248">
        <f>+(H740^2+(AE456-H740)^2)/2/AE456</f>
        <v>1087.5706510148648</v>
      </c>
      <c r="AI746" s="2248"/>
      <c r="AJ746" s="2249"/>
      <c r="AK746" s="170"/>
      <c r="AL746" s="124" t="s">
        <v>3215</v>
      </c>
      <c r="AM746" s="143"/>
      <c r="AN746" s="76" t="s">
        <v>324</v>
      </c>
      <c r="AO746" s="2111">
        <f t="shared" si="15"/>
        <v>34862.661034075565</v>
      </c>
      <c r="AP746" s="2111"/>
      <c r="AQ746" s="2111"/>
      <c r="AR746" s="143"/>
    </row>
    <row r="747" spans="1:44" ht="15" customHeight="1">
      <c r="B747" s="124" t="s">
        <v>651</v>
      </c>
      <c r="C747" s="1730"/>
      <c r="D747" s="1730"/>
      <c r="E747" s="170"/>
      <c r="F747" s="124"/>
      <c r="G747" s="170"/>
      <c r="H747" s="1760"/>
      <c r="I747" s="1721"/>
      <c r="J747" s="170"/>
      <c r="K747" s="170"/>
      <c r="L747" s="170"/>
      <c r="M747" s="170"/>
      <c r="N747" s="170"/>
      <c r="O747" s="170"/>
      <c r="P747" s="170"/>
      <c r="Q747" s="170"/>
      <c r="R747" s="1732"/>
      <c r="S747" s="1766"/>
      <c r="T747" s="1766"/>
      <c r="U747" s="1766"/>
      <c r="V747" s="1766"/>
      <c r="W747" s="1765"/>
      <c r="X747" s="1765"/>
      <c r="Y747" s="124"/>
      <c r="Z747" s="1765"/>
      <c r="AA747" s="1765"/>
      <c r="AB747" s="1765"/>
      <c r="AC747" s="124"/>
      <c r="AD747" s="1730"/>
      <c r="AE747" s="1765"/>
      <c r="AF747" s="115"/>
      <c r="AG747" s="1732"/>
      <c r="AH747" s="1798"/>
      <c r="AI747" s="1798"/>
      <c r="AJ747" s="1801"/>
      <c r="AK747" s="170"/>
      <c r="AL747" s="170"/>
      <c r="AM747" s="143"/>
      <c r="AN747" s="76"/>
      <c r="AO747" s="2111"/>
      <c r="AP747" s="2111"/>
      <c r="AQ747" s="2111"/>
      <c r="AR747" s="143"/>
    </row>
    <row r="748" spans="1:44" ht="15" customHeight="1">
      <c r="B748" s="124" t="s">
        <v>520</v>
      </c>
      <c r="C748" s="1730"/>
      <c r="D748" s="1730"/>
      <c r="E748" s="170"/>
      <c r="F748" s="124"/>
      <c r="G748" s="170"/>
      <c r="H748" s="1760"/>
      <c r="I748" s="1784" t="s">
        <v>1982</v>
      </c>
      <c r="J748" s="170"/>
      <c r="K748" s="170"/>
      <c r="L748" s="170"/>
      <c r="M748" s="170"/>
      <c r="N748" s="170"/>
      <c r="O748" s="170"/>
      <c r="P748" s="170"/>
      <c r="Q748" s="170"/>
      <c r="R748" s="1732" t="s">
        <v>324</v>
      </c>
      <c r="S748" s="1765"/>
      <c r="T748" s="2096">
        <f>+H740</f>
        <v>2559.2841514627289</v>
      </c>
      <c r="U748" s="2096"/>
      <c r="V748" s="2096"/>
      <c r="W748" s="741" t="s">
        <v>3283</v>
      </c>
      <c r="X748" s="2250">
        <f>+AE471</f>
        <v>0</v>
      </c>
      <c r="Y748" s="1944"/>
      <c r="Z748" s="1944"/>
      <c r="AA748" s="741" t="s">
        <v>3284</v>
      </c>
      <c r="AB748" s="741"/>
      <c r="AC748" s="741"/>
      <c r="AD748" s="1730"/>
      <c r="AE748" s="1730"/>
      <c r="AF748" s="170"/>
      <c r="AG748" s="1732" t="s">
        <v>324</v>
      </c>
      <c r="AH748" s="2248">
        <f>T748-X748/2</f>
        <v>2559.2841514627289</v>
      </c>
      <c r="AI748" s="2248"/>
      <c r="AJ748" s="2249"/>
      <c r="AK748" s="170"/>
      <c r="AL748" s="170" t="s">
        <v>3206</v>
      </c>
      <c r="AM748" s="143"/>
      <c r="AN748" s="76" t="s">
        <v>324</v>
      </c>
      <c r="AO748" s="2111">
        <f t="shared" si="15"/>
        <v>0</v>
      </c>
      <c r="AP748" s="2111"/>
      <c r="AQ748" s="2111"/>
      <c r="AR748" s="143"/>
    </row>
    <row r="749" spans="1:44" ht="15" customHeight="1">
      <c r="B749" s="124" t="s">
        <v>521</v>
      </c>
      <c r="C749" s="1730"/>
      <c r="D749" s="1730"/>
      <c r="E749" s="170"/>
      <c r="F749" s="124"/>
      <c r="G749" s="170"/>
      <c r="H749" s="1760"/>
      <c r="I749" s="1784" t="s">
        <v>3289</v>
      </c>
      <c r="J749" s="170"/>
      <c r="K749" s="170"/>
      <c r="L749" s="170"/>
      <c r="M749" s="170"/>
      <c r="N749" s="170"/>
      <c r="O749" s="170"/>
      <c r="P749" s="170"/>
      <c r="Q749" s="170"/>
      <c r="R749" s="1732" t="s">
        <v>324</v>
      </c>
      <c r="S749" s="1765"/>
      <c r="T749" s="2096">
        <f>+AE456</f>
        <v>3200</v>
      </c>
      <c r="U749" s="2096"/>
      <c r="V749" s="2096"/>
      <c r="W749" s="741" t="s">
        <v>3283</v>
      </c>
      <c r="X749" s="2250">
        <f>+H740</f>
        <v>2559.2841514627289</v>
      </c>
      <c r="Y749" s="1944"/>
      <c r="Z749" s="1944"/>
      <c r="AA749" s="741" t="s">
        <v>3283</v>
      </c>
      <c r="AB749" s="2250">
        <f>+AE468</f>
        <v>160</v>
      </c>
      <c r="AC749" s="1944"/>
      <c r="AD749" s="1944"/>
      <c r="AE749" s="741" t="s">
        <v>3282</v>
      </c>
      <c r="AF749" s="124"/>
      <c r="AG749" s="1732" t="s">
        <v>324</v>
      </c>
      <c r="AH749" s="2248">
        <f>T749-X749-AB749/2</f>
        <v>560.71584853727109</v>
      </c>
      <c r="AI749" s="2248"/>
      <c r="AJ749" s="2249"/>
      <c r="AK749" s="170"/>
      <c r="AL749" s="170" t="s">
        <v>3207</v>
      </c>
      <c r="AM749" s="143"/>
      <c r="AN749" s="76" t="s">
        <v>324</v>
      </c>
      <c r="AO749" s="2111">
        <f t="shared" si="15"/>
        <v>1090.9287549141145</v>
      </c>
      <c r="AP749" s="2111"/>
      <c r="AQ749" s="2111"/>
      <c r="AR749" s="143"/>
    </row>
    <row r="750" spans="1:44" ht="15" customHeight="1">
      <c r="B750" s="124" t="s">
        <v>1126</v>
      </c>
      <c r="C750" s="1730"/>
      <c r="D750" s="1730"/>
      <c r="E750" s="170"/>
      <c r="F750" s="124"/>
      <c r="G750" s="170"/>
      <c r="H750" s="1760"/>
      <c r="I750" s="1784" t="s">
        <v>1985</v>
      </c>
      <c r="J750" s="170"/>
      <c r="K750" s="170"/>
      <c r="L750" s="170"/>
      <c r="M750" s="170"/>
      <c r="N750" s="170"/>
      <c r="O750" s="170"/>
      <c r="P750" s="170"/>
      <c r="Q750" s="170"/>
      <c r="R750" s="1732" t="s">
        <v>324</v>
      </c>
      <c r="S750" s="58"/>
      <c r="T750" s="2096">
        <f>+H740</f>
        <v>2559.2841514627289</v>
      </c>
      <c r="U750" s="2096"/>
      <c r="V750" s="2096"/>
      <c r="W750" s="1499" t="s">
        <v>3278</v>
      </c>
      <c r="X750" s="2094">
        <f>+AE463</f>
        <v>0</v>
      </c>
      <c r="Y750" s="2094"/>
      <c r="Z750" s="1499" t="s">
        <v>3278</v>
      </c>
      <c r="AA750" s="2094">
        <f>+AE462</f>
        <v>290</v>
      </c>
      <c r="AB750" s="2094"/>
      <c r="AC750" s="2094"/>
      <c r="AD750" s="1787" t="s">
        <v>3283</v>
      </c>
      <c r="AE750" s="2094">
        <f>+AE448</f>
        <v>50</v>
      </c>
      <c r="AF750" s="2094"/>
      <c r="AG750" s="1732" t="s">
        <v>324</v>
      </c>
      <c r="AH750" s="2096">
        <f>T750+X750+AA750-AE750</f>
        <v>2799.2841514627289</v>
      </c>
      <c r="AI750" s="2096"/>
      <c r="AJ750" s="2251"/>
      <c r="AK750" s="170"/>
      <c r="AL750" s="170" t="s">
        <v>3208</v>
      </c>
      <c r="AM750" s="143"/>
      <c r="AN750" s="76" t="s">
        <v>324</v>
      </c>
      <c r="AO750" s="2111">
        <f t="shared" si="15"/>
        <v>8571.7169992493418</v>
      </c>
      <c r="AP750" s="2111"/>
      <c r="AQ750" s="2111"/>
      <c r="AR750" s="143"/>
    </row>
    <row r="751" spans="1:44" ht="15" customHeight="1">
      <c r="B751" s="124" t="s">
        <v>1127</v>
      </c>
      <c r="C751" s="1730"/>
      <c r="D751" s="1730"/>
      <c r="E751" s="170"/>
      <c r="F751" s="124"/>
      <c r="G751" s="170"/>
      <c r="H751" s="1760"/>
      <c r="I751" s="1784" t="s">
        <v>1992</v>
      </c>
      <c r="J751" s="170"/>
      <c r="K751" s="170"/>
      <c r="L751" s="170"/>
      <c r="M751" s="170"/>
      <c r="N751" s="170"/>
      <c r="O751" s="170"/>
      <c r="P751" s="170"/>
      <c r="Q751" s="170"/>
      <c r="R751" s="1732" t="s">
        <v>324</v>
      </c>
      <c r="S751" s="58"/>
      <c r="T751" s="2096">
        <f>+T750</f>
        <v>2559.2841514627289</v>
      </c>
      <c r="U751" s="2096"/>
      <c r="V751" s="2096"/>
      <c r="W751" s="1499" t="s">
        <v>3278</v>
      </c>
      <c r="X751" s="2094">
        <f>+AE463</f>
        <v>0</v>
      </c>
      <c r="Y751" s="2094"/>
      <c r="Z751" s="1499" t="s">
        <v>3278</v>
      </c>
      <c r="AA751" s="2094">
        <f>+AE462</f>
        <v>290</v>
      </c>
      <c r="AB751" s="2094"/>
      <c r="AC751" s="2094"/>
      <c r="AD751" s="1787" t="s">
        <v>3283</v>
      </c>
      <c r="AE751" s="2094">
        <f>+AE449</f>
        <v>250</v>
      </c>
      <c r="AF751" s="2094"/>
      <c r="AG751" s="1732" t="s">
        <v>324</v>
      </c>
      <c r="AH751" s="2096">
        <f>T751+X751+AA751-AE751</f>
        <v>2599.2841514627289</v>
      </c>
      <c r="AI751" s="2096"/>
      <c r="AJ751" s="2251"/>
      <c r="AK751" s="170"/>
      <c r="AL751" s="170" t="s">
        <v>3209</v>
      </c>
      <c r="AM751" s="143"/>
      <c r="AN751" s="76" t="s">
        <v>324</v>
      </c>
      <c r="AO751" s="2111">
        <f t="shared" si="15"/>
        <v>5644.2645468248966</v>
      </c>
      <c r="AP751" s="2111"/>
      <c r="AQ751" s="2111"/>
      <c r="AR751" s="143"/>
    </row>
    <row r="752" spans="1:44" ht="15" customHeight="1">
      <c r="B752" s="124" t="s">
        <v>3144</v>
      </c>
      <c r="C752" s="170"/>
      <c r="D752" s="170"/>
      <c r="E752" s="170"/>
      <c r="F752" s="124"/>
      <c r="G752" s="170"/>
      <c r="H752" s="1760"/>
      <c r="I752" s="1784" t="s">
        <v>1720</v>
      </c>
      <c r="J752" s="170"/>
      <c r="K752" s="170"/>
      <c r="L752" s="170"/>
      <c r="M752" s="170"/>
      <c r="N752" s="170"/>
      <c r="O752" s="170"/>
      <c r="P752" s="170"/>
      <c r="Q752" s="170"/>
      <c r="R752" s="1732" t="s">
        <v>324</v>
      </c>
      <c r="S752" s="1765"/>
      <c r="T752" s="2094">
        <f>+AE456</f>
        <v>3200</v>
      </c>
      <c r="U752" s="2094"/>
      <c r="V752" s="2094"/>
      <c r="W752" s="741" t="s">
        <v>3283</v>
      </c>
      <c r="X752" s="2255">
        <f>+H740</f>
        <v>2559.2841514627289</v>
      </c>
      <c r="Y752" s="2255"/>
      <c r="Z752" s="2255"/>
      <c r="AA752" s="741" t="s">
        <v>3283</v>
      </c>
      <c r="AB752" s="2250">
        <f>+AE464</f>
        <v>600</v>
      </c>
      <c r="AC752" s="1944"/>
      <c r="AD752" s="1944"/>
      <c r="AE752" s="741" t="s">
        <v>3284</v>
      </c>
      <c r="AF752" s="124"/>
      <c r="AG752" s="1732" t="s">
        <v>324</v>
      </c>
      <c r="AH752" s="2096">
        <f>+T752-X752-AB752/2</f>
        <v>340.71584853727109</v>
      </c>
      <c r="AI752" s="2096"/>
      <c r="AJ752" s="2251"/>
      <c r="AK752" s="170"/>
      <c r="AL752" s="1760" t="s">
        <v>3287</v>
      </c>
      <c r="AM752" s="143"/>
      <c r="AN752" s="76" t="s">
        <v>324</v>
      </c>
      <c r="AO752" s="2111">
        <f t="shared" si="15"/>
        <v>822.05983236580107</v>
      </c>
      <c r="AP752" s="2111"/>
      <c r="AQ752" s="2111"/>
      <c r="AR752" s="143"/>
    </row>
    <row r="753" spans="1:44" ht="15" customHeight="1">
      <c r="B753" s="1335" t="s">
        <v>791</v>
      </c>
      <c r="C753" s="1333"/>
      <c r="D753" s="1333"/>
      <c r="E753" s="1333"/>
      <c r="F753" s="1335"/>
      <c r="G753" s="1333"/>
      <c r="H753" s="1761"/>
      <c r="I753" s="1805" t="s">
        <v>3281</v>
      </c>
      <c r="J753" s="1333"/>
      <c r="K753" s="1333"/>
      <c r="L753" s="1733"/>
      <c r="M753" s="1333"/>
      <c r="N753" s="1333"/>
      <c r="O753" s="1333"/>
      <c r="P753" s="1333"/>
      <c r="Q753" s="1333"/>
      <c r="R753" s="1782" t="s">
        <v>324</v>
      </c>
      <c r="S753" s="1335" t="s">
        <v>3285</v>
      </c>
      <c r="T753" s="2180">
        <f>+AE456</f>
        <v>3200</v>
      </c>
      <c r="U753" s="2090"/>
      <c r="V753" s="2090"/>
      <c r="W753" s="1782" t="s">
        <v>3283</v>
      </c>
      <c r="X753" s="2104">
        <f>+H740</f>
        <v>2559.2841514627289</v>
      </c>
      <c r="Y753" s="2104"/>
      <c r="Z753" s="2104"/>
      <c r="AA753" s="1335" t="s">
        <v>3286</v>
      </c>
      <c r="AB753" s="1741"/>
      <c r="AC753" s="1437"/>
      <c r="AD753" s="2269">
        <f>+AE464</f>
        <v>600</v>
      </c>
      <c r="AE753" s="2149"/>
      <c r="AF753" s="2149"/>
      <c r="AG753" s="1782" t="s">
        <v>324</v>
      </c>
      <c r="AH753" s="2104">
        <f>+(T753-X753)^2 /2/AE464</f>
        <v>342.09733213902939</v>
      </c>
      <c r="AI753" s="2104"/>
      <c r="AJ753" s="2245"/>
      <c r="AK753" s="1333"/>
      <c r="AL753" s="1333" t="s">
        <v>3210</v>
      </c>
      <c r="AM753" s="1333"/>
      <c r="AN753" s="1433" t="s">
        <v>324</v>
      </c>
      <c r="AO753" s="2149">
        <f t="shared" si="15"/>
        <v>14611.832298988293</v>
      </c>
      <c r="AP753" s="2149"/>
      <c r="AQ753" s="2149"/>
      <c r="AR753" s="143"/>
    </row>
    <row r="754" spans="1:44" ht="15" customHeight="1">
      <c r="A754" s="1182"/>
      <c r="B754" s="1177"/>
      <c r="C754" s="1655"/>
      <c r="D754" s="170"/>
      <c r="E754" s="170"/>
      <c r="F754" s="124"/>
      <c r="H754" s="1757"/>
      <c r="I754" s="1757"/>
      <c r="J754" s="1757"/>
      <c r="K754" s="1735"/>
      <c r="L754" s="1731"/>
      <c r="X754" s="1730"/>
      <c r="Y754" s="1730"/>
      <c r="Z754" s="1730"/>
      <c r="AA754" s="1731"/>
      <c r="AB754" s="143"/>
      <c r="AC754" s="1731"/>
      <c r="AD754" s="143"/>
      <c r="AE754" s="1734"/>
      <c r="AF754" s="73"/>
      <c r="AG754" s="1734"/>
      <c r="AI754" s="1737" t="s">
        <v>3211</v>
      </c>
      <c r="AJ754" s="143"/>
      <c r="AN754" s="76" t="s">
        <v>324</v>
      </c>
      <c r="AO754" s="2246">
        <f>+SUM(AO744:AQ753)</f>
        <v>193052.60450181292</v>
      </c>
      <c r="AP754" s="2246"/>
      <c r="AQ754" s="2246"/>
      <c r="AR754" s="2246"/>
    </row>
    <row r="755" spans="1:44" ht="15" customHeight="1">
      <c r="A755" s="1182"/>
      <c r="B755" s="1177"/>
      <c r="G755" s="4"/>
      <c r="H755" s="4"/>
      <c r="I755" s="4"/>
      <c r="L755" s="1643"/>
      <c r="Y755" s="143"/>
      <c r="Z755" s="1643"/>
      <c r="AB755" s="1643"/>
      <c r="AD755" s="73"/>
      <c r="AE755" s="1647"/>
      <c r="AF755" s="73"/>
      <c r="AR755" s="143"/>
    </row>
    <row r="756" spans="1:44" ht="15" customHeight="1">
      <c r="A756" s="1182"/>
      <c r="B756" s="1177" t="s">
        <v>3276</v>
      </c>
      <c r="C756" s="95" t="s">
        <v>3290</v>
      </c>
      <c r="G756" s="4"/>
      <c r="H756" s="4"/>
      <c r="I756" s="4"/>
      <c r="L756" s="1731"/>
      <c r="Y756" s="143"/>
      <c r="Z756" s="1731"/>
      <c r="AB756" s="1731"/>
      <c r="AD756" s="73"/>
      <c r="AE756" s="1734"/>
      <c r="AF756" s="73"/>
      <c r="AR756" s="143"/>
    </row>
    <row r="757" spans="1:44" ht="15" customHeight="1">
      <c r="A757" s="1182"/>
      <c r="B757" s="1177"/>
      <c r="C757" s="1655" t="s">
        <v>3193</v>
      </c>
      <c r="D757" s="1655"/>
      <c r="F757" s="741" t="s">
        <v>324</v>
      </c>
      <c r="G757" s="4"/>
      <c r="H757" s="1670" t="s">
        <v>3248</v>
      </c>
      <c r="I757" s="1806"/>
      <c r="J757" s="1806"/>
      <c r="K757" s="1806"/>
      <c r="L757" s="1806"/>
      <c r="M757" s="1806"/>
      <c r="N757" s="1752"/>
      <c r="O757" s="170"/>
      <c r="P757" s="170"/>
      <c r="Q757" s="170"/>
      <c r="R757" s="170"/>
      <c r="S757" s="170"/>
      <c r="T757" s="170"/>
      <c r="U757" s="170"/>
      <c r="V757" s="170"/>
      <c r="W757" s="1730"/>
      <c r="X757" s="1731"/>
      <c r="Y757" s="1731"/>
      <c r="Z757" s="1731"/>
      <c r="AA757" s="1731"/>
      <c r="AB757" s="1731"/>
      <c r="AD757" s="73"/>
      <c r="AE757" s="1734"/>
      <c r="AF757" s="73"/>
      <c r="AR757" s="143"/>
    </row>
    <row r="758" spans="1:44" ht="15" customHeight="1">
      <c r="A758" s="1182"/>
      <c r="B758" s="1177"/>
      <c r="C758" s="1745"/>
      <c r="D758" s="1745"/>
      <c r="E758" s="170"/>
      <c r="F758" s="1944" t="s">
        <v>324</v>
      </c>
      <c r="G758" s="2116" t="s">
        <v>3291</v>
      </c>
      <c r="H758" s="2253">
        <f>+AK523</f>
        <v>20976</v>
      </c>
      <c r="I758" s="2253"/>
      <c r="J758" s="2253"/>
      <c r="K758" s="1807" t="s">
        <v>3278</v>
      </c>
      <c r="L758" s="2253">
        <f>+AK527</f>
        <v>1945.6</v>
      </c>
      <c r="M758" s="2253"/>
      <c r="N758" s="2253"/>
      <c r="O758" s="1807" t="s">
        <v>3278</v>
      </c>
      <c r="P758" s="2253">
        <f>+AK530</f>
        <v>2412.7431579569611</v>
      </c>
      <c r="Q758" s="2253"/>
      <c r="R758" s="2253"/>
      <c r="S758" s="1807" t="s">
        <v>3278</v>
      </c>
      <c r="T758" s="2253">
        <f>+AK531</f>
        <v>42712.5</v>
      </c>
      <c r="U758" s="2253"/>
      <c r="V758" s="2253"/>
      <c r="W758" s="1807" t="s">
        <v>3283</v>
      </c>
      <c r="X758" s="2253">
        <f>+AK526</f>
        <v>0</v>
      </c>
      <c r="Y758" s="2253"/>
      <c r="Z758" s="2253"/>
      <c r="AA758" s="1808" t="s">
        <v>3283</v>
      </c>
      <c r="AB758" s="2254">
        <f>+AK522</f>
        <v>44080</v>
      </c>
      <c r="AC758" s="2254"/>
      <c r="AD758" s="2254"/>
      <c r="AE758" s="1807" t="s">
        <v>3283</v>
      </c>
      <c r="AF758" s="2253">
        <f>+AK528</f>
        <v>3062.1103594539709</v>
      </c>
      <c r="AG758" s="2253"/>
      <c r="AH758" s="2253"/>
      <c r="AI758" s="1808" t="s">
        <v>3283</v>
      </c>
      <c r="AJ758" s="2254">
        <f>+AK529</f>
        <v>2171.4688421612645</v>
      </c>
      <c r="AK758" s="2254"/>
      <c r="AL758" s="2254"/>
      <c r="AM758" s="2179" t="s">
        <v>3292</v>
      </c>
      <c r="AN758" s="2179"/>
      <c r="AO758" s="2259">
        <f>+AE456</f>
        <v>3200</v>
      </c>
      <c r="AP758" s="2260"/>
      <c r="AQ758" s="2260"/>
      <c r="AR758" s="143"/>
    </row>
    <row r="759" spans="1:44" ht="15" customHeight="1">
      <c r="A759" s="1182"/>
      <c r="B759" s="1177"/>
      <c r="C759" s="1745"/>
      <c r="D759" s="1745"/>
      <c r="E759" s="170"/>
      <c r="F759" s="1944"/>
      <c r="G759" s="1938"/>
      <c r="H759" s="1796"/>
      <c r="I759" s="1796"/>
      <c r="J759" s="1796"/>
      <c r="K759" s="741"/>
      <c r="L759" s="1731"/>
      <c r="M759" s="170"/>
      <c r="O759" s="170"/>
      <c r="P759" s="170"/>
      <c r="Q759" s="170"/>
      <c r="R759" s="170"/>
      <c r="S759" s="170"/>
      <c r="T759" s="2262">
        <f>+AK524</f>
        <v>32055.536807235036</v>
      </c>
      <c r="U759" s="2135"/>
      <c r="V759" s="2135"/>
      <c r="W759" s="170"/>
      <c r="X759" s="115"/>
      <c r="Y759" s="115"/>
      <c r="Z759" s="115"/>
      <c r="AA759" s="115"/>
      <c r="AB759" s="170"/>
      <c r="AC759" s="1740"/>
      <c r="AD759" s="1740"/>
      <c r="AE759" s="122"/>
      <c r="AF759" s="1740"/>
      <c r="AG759" s="122"/>
      <c r="AH759" s="122"/>
      <c r="AI759" s="122"/>
      <c r="AJ759" s="122"/>
      <c r="AK759" s="1781"/>
      <c r="AL759" s="1781"/>
      <c r="AM759" s="2179"/>
      <c r="AN759" s="2179"/>
      <c r="AO759" s="2261">
        <v>2</v>
      </c>
      <c r="AP759" s="2261"/>
      <c r="AQ759" s="2261"/>
      <c r="AR759" s="143"/>
    </row>
    <row r="760" spans="1:44" ht="15" customHeight="1">
      <c r="A760" s="1182"/>
      <c r="B760" s="1177"/>
      <c r="C760" s="1745"/>
      <c r="D760" s="1745"/>
      <c r="E760" s="170"/>
      <c r="F760" s="1732" t="s">
        <v>324</v>
      </c>
      <c r="H760" s="2252">
        <f>+((H758+L758+P758+T758-X758-AB758-AF758-AJ758)/T759+1)*AO758/2</f>
        <v>2535.0404115953447</v>
      </c>
      <c r="I760" s="2252"/>
      <c r="J760" s="2252"/>
      <c r="K760" s="2252"/>
      <c r="L760" s="1661"/>
      <c r="M760" s="1661"/>
      <c r="Y760" s="143"/>
      <c r="Z760" s="1731"/>
      <c r="AB760" s="1731"/>
      <c r="AD760" s="73"/>
      <c r="AE760" s="1734"/>
      <c r="AF760" s="73"/>
      <c r="AR760" s="143"/>
    </row>
    <row r="761" spans="1:44" ht="15" customHeight="1">
      <c r="A761" s="1182"/>
      <c r="B761" s="1177"/>
      <c r="C761" s="1745"/>
      <c r="D761" s="1745"/>
      <c r="E761" s="170"/>
      <c r="F761" s="1732"/>
      <c r="H761" s="1739"/>
      <c r="I761" s="1739"/>
      <c r="J761" s="1739"/>
      <c r="K761" s="1739"/>
      <c r="L761" s="1661"/>
      <c r="M761" s="1661"/>
      <c r="Y761" s="143"/>
      <c r="Z761" s="1731"/>
      <c r="AB761" s="1731"/>
      <c r="AD761" s="73"/>
      <c r="AE761" s="1734"/>
      <c r="AF761" s="73"/>
      <c r="AR761" s="143"/>
    </row>
    <row r="762" spans="1:44" ht="15" customHeight="1">
      <c r="A762" s="1182"/>
      <c r="B762" s="1655" t="s">
        <v>3218</v>
      </c>
      <c r="C762" s="1655"/>
      <c r="D762" s="170"/>
      <c r="E762" s="170"/>
      <c r="F762" s="124"/>
      <c r="H762" s="1757"/>
      <c r="I762" s="1757"/>
      <c r="J762" s="1757"/>
      <c r="K762" s="1735"/>
      <c r="L762" s="1731"/>
      <c r="W762" s="1730"/>
      <c r="X762" s="1730"/>
      <c r="Y762" s="1730"/>
      <c r="Z762" s="1731"/>
      <c r="AB762" s="1731"/>
      <c r="AD762" s="1734"/>
      <c r="AF762" s="1734"/>
      <c r="AR762" s="143"/>
    </row>
    <row r="763" spans="1:44" ht="20.100000000000001" customHeight="1">
      <c r="A763" s="1182"/>
      <c r="B763" s="1762" t="s">
        <v>1091</v>
      </c>
      <c r="C763" s="1667"/>
      <c r="D763" s="1667"/>
      <c r="E763" s="1667"/>
      <c r="F763" s="1763"/>
      <c r="G763" s="1667"/>
      <c r="H763" s="1764"/>
      <c r="I763" s="1783" t="s">
        <v>3220</v>
      </c>
      <c r="J763" s="1764"/>
      <c r="K763" s="1764"/>
      <c r="L763" s="1668"/>
      <c r="M763" s="1667"/>
      <c r="N763" s="1667"/>
      <c r="O763" s="1667"/>
      <c r="P763" s="1667"/>
      <c r="Q763" s="1667"/>
      <c r="R763" s="1667"/>
      <c r="S763" s="1667"/>
      <c r="T763" s="1667"/>
      <c r="U763" s="1668"/>
      <c r="V763" s="1668"/>
      <c r="W763" s="1668"/>
      <c r="X763" s="1668"/>
      <c r="Y763" s="1667"/>
      <c r="Z763" s="1668"/>
      <c r="AA763" s="1667"/>
      <c r="AB763" s="1668"/>
      <c r="AC763" s="1667"/>
      <c r="AD763" s="1668"/>
      <c r="AE763" s="1667"/>
      <c r="AF763" s="1667"/>
      <c r="AG763" s="1667"/>
      <c r="AH763" s="1667"/>
      <c r="AI763" s="1667"/>
      <c r="AJ763" s="1774"/>
      <c r="AK763" s="1667"/>
      <c r="AL763" s="1772" t="s">
        <v>3219</v>
      </c>
      <c r="AM763" s="1764"/>
      <c r="AN763" s="1764"/>
      <c r="AO763" s="1764"/>
      <c r="AP763" s="1764"/>
      <c r="AQ763" s="1764"/>
      <c r="AR763" s="143"/>
    </row>
    <row r="764" spans="1:44" ht="15" customHeight="1">
      <c r="B764" s="124" t="s">
        <v>834</v>
      </c>
      <c r="C764" s="1730"/>
      <c r="D764" s="1730"/>
      <c r="E764" s="170"/>
      <c r="F764" s="124"/>
      <c r="G764" s="170"/>
      <c r="H764" s="1760"/>
      <c r="I764" s="1788" t="s">
        <v>604</v>
      </c>
      <c r="J764" s="1443"/>
      <c r="K764" s="170"/>
      <c r="L764" s="170"/>
      <c r="M764" s="170"/>
      <c r="N764" s="170"/>
      <c r="O764" s="170"/>
      <c r="P764" s="170"/>
      <c r="Q764" s="170"/>
      <c r="R764" s="1732" t="s">
        <v>324</v>
      </c>
      <c r="S764" s="1802"/>
      <c r="T764" s="2263">
        <f>+H760</f>
        <v>2535.0404115953447</v>
      </c>
      <c r="U764" s="2263"/>
      <c r="V764" s="2263"/>
      <c r="W764" s="1803" t="s">
        <v>3278</v>
      </c>
      <c r="X764" s="2264">
        <f>+AE452</f>
        <v>40</v>
      </c>
      <c r="Y764" s="2264"/>
      <c r="Z764" s="1804" t="s">
        <v>3284</v>
      </c>
      <c r="AA764" s="1797"/>
      <c r="AB764" s="1797"/>
      <c r="AC764" s="741"/>
      <c r="AD764" s="1802"/>
      <c r="AE764" s="1797"/>
      <c r="AF764" s="124"/>
      <c r="AG764" s="1732" t="s">
        <v>324</v>
      </c>
      <c r="AH764" s="2096">
        <f>+T764+X764/2</f>
        <v>2555.0404115953447</v>
      </c>
      <c r="AI764" s="2096"/>
      <c r="AJ764" s="2251"/>
      <c r="AK764" s="170"/>
      <c r="AL764" s="170" t="s">
        <v>3203</v>
      </c>
      <c r="AM764" s="143"/>
      <c r="AN764" s="76" t="s">
        <v>324</v>
      </c>
      <c r="AO764" s="2111">
        <f>+AH764*AK522/1000</f>
        <v>112626.18134312279</v>
      </c>
      <c r="AP764" s="2111"/>
      <c r="AQ764" s="2111"/>
      <c r="AR764" s="143"/>
    </row>
    <row r="765" spans="1:44" ht="15" customHeight="1">
      <c r="B765" s="124" t="s">
        <v>835</v>
      </c>
      <c r="C765" s="1730"/>
      <c r="D765" s="1730"/>
      <c r="E765" s="170"/>
      <c r="F765" s="124"/>
      <c r="G765" s="170"/>
      <c r="H765" s="1760"/>
      <c r="I765" s="1784" t="s">
        <v>603</v>
      </c>
      <c r="J765" s="170"/>
      <c r="K765" s="170"/>
      <c r="L765" s="170"/>
      <c r="M765" s="170"/>
      <c r="N765" s="170"/>
      <c r="O765" s="170"/>
      <c r="P765" s="170"/>
      <c r="Q765" s="170"/>
      <c r="R765" s="1732" t="s">
        <v>324</v>
      </c>
      <c r="S765" s="1765"/>
      <c r="T765" s="2094">
        <f>+AE456</f>
        <v>3200</v>
      </c>
      <c r="U765" s="2094"/>
      <c r="V765" s="2094"/>
      <c r="W765" s="741" t="s">
        <v>3283</v>
      </c>
      <c r="X765" s="2255">
        <f>+H760</f>
        <v>2535.0404115953447</v>
      </c>
      <c r="Y765" s="2255"/>
      <c r="Z765" s="2255"/>
      <c r="AA765" s="741" t="s">
        <v>3278</v>
      </c>
      <c r="AB765" s="2250">
        <f>+AE454</f>
        <v>30</v>
      </c>
      <c r="AC765" s="1944"/>
      <c r="AD765" s="1499" t="s">
        <v>3284</v>
      </c>
      <c r="AE765" s="115"/>
      <c r="AF765" s="124"/>
      <c r="AG765" s="1732" t="s">
        <v>324</v>
      </c>
      <c r="AH765" s="2248">
        <f>T765-X765+AB765/2</f>
        <v>679.95958840465528</v>
      </c>
      <c r="AI765" s="2248"/>
      <c r="AJ765" s="2249"/>
      <c r="AK765" s="170"/>
      <c r="AL765" s="170" t="s">
        <v>3204</v>
      </c>
      <c r="AM765" s="143"/>
      <c r="AN765" s="76" t="s">
        <v>324</v>
      </c>
      <c r="AO765" s="2111">
        <f t="shared" ref="AO765:AO773" si="16">+AH765*AK523/1000</f>
        <v>14262.832326376049</v>
      </c>
      <c r="AP765" s="2111"/>
      <c r="AQ765" s="2111"/>
      <c r="AR765" s="143"/>
    </row>
    <row r="766" spans="1:44" ht="15" customHeight="1">
      <c r="B766" s="124" t="s">
        <v>513</v>
      </c>
      <c r="C766" s="1730"/>
      <c r="D766" s="1730"/>
      <c r="E766" s="170"/>
      <c r="F766" s="124"/>
      <c r="G766" s="170"/>
      <c r="H766" s="1760"/>
      <c r="I766" s="1784" t="s">
        <v>3279</v>
      </c>
      <c r="J766" s="170"/>
      <c r="K766" s="170"/>
      <c r="L766" s="170"/>
      <c r="M766" s="170"/>
      <c r="N766" s="170"/>
      <c r="O766" s="170"/>
      <c r="P766" s="170"/>
      <c r="Q766" s="170"/>
      <c r="R766" s="1732" t="s">
        <v>324</v>
      </c>
      <c r="T766" s="1765" t="str">
        <f>"["&amp;ROUND(H760,1)&amp;"² + ("&amp;AE456&amp;" - "&amp;ROUND(H719,1)&amp;")²]/2/"&amp;AE456</f>
        <v>[2535² + (3200 - 2660.5)²]/2/3200</v>
      </c>
      <c r="U766" s="124"/>
      <c r="V766" s="1766"/>
      <c r="W766" s="115"/>
      <c r="X766" s="115"/>
      <c r="Y766" s="124"/>
      <c r="Z766" s="1765"/>
      <c r="AA766" s="115"/>
      <c r="AB766" s="115"/>
      <c r="AC766" s="124"/>
      <c r="AD766" s="170"/>
      <c r="AE766" s="170"/>
      <c r="AF766" s="170"/>
      <c r="AG766" s="1732" t="s">
        <v>324</v>
      </c>
      <c r="AH766" s="2248">
        <f>+(H760^2+(AE456-H760)^2)/2/AE456</f>
        <v>1073.2189285363725</v>
      </c>
      <c r="AI766" s="2248"/>
      <c r="AJ766" s="2249"/>
      <c r="AK766" s="170"/>
      <c r="AL766" s="124" t="s">
        <v>3215</v>
      </c>
      <c r="AM766" s="143"/>
      <c r="AN766" s="76" t="s">
        <v>324</v>
      </c>
      <c r="AO766" s="2111">
        <f t="shared" si="16"/>
        <v>34402.608865919028</v>
      </c>
      <c r="AP766" s="2111"/>
      <c r="AQ766" s="2111"/>
      <c r="AR766" s="143"/>
    </row>
    <row r="767" spans="1:44" ht="15" customHeight="1">
      <c r="B767" s="124" t="s">
        <v>651</v>
      </c>
      <c r="C767" s="1730"/>
      <c r="D767" s="1730"/>
      <c r="E767" s="170"/>
      <c r="F767" s="124"/>
      <c r="G767" s="170"/>
      <c r="H767" s="1760"/>
      <c r="I767" s="1721"/>
      <c r="J767" s="170"/>
      <c r="K767" s="170"/>
      <c r="L767" s="170"/>
      <c r="M767" s="170"/>
      <c r="N767" s="170"/>
      <c r="O767" s="170"/>
      <c r="P767" s="170"/>
      <c r="Q767" s="170"/>
      <c r="R767" s="1732"/>
      <c r="S767" s="1766"/>
      <c r="T767" s="1766"/>
      <c r="U767" s="1766"/>
      <c r="V767" s="1766"/>
      <c r="W767" s="1765"/>
      <c r="X767" s="1765"/>
      <c r="Y767" s="124"/>
      <c r="Z767" s="1765"/>
      <c r="AA767" s="1765"/>
      <c r="AB767" s="1765"/>
      <c r="AC767" s="124"/>
      <c r="AD767" s="1730"/>
      <c r="AE767" s="1765"/>
      <c r="AF767" s="115"/>
      <c r="AG767" s="1732"/>
      <c r="AH767" s="1798"/>
      <c r="AI767" s="1798"/>
      <c r="AJ767" s="1801"/>
      <c r="AK767" s="170"/>
      <c r="AL767" s="170"/>
      <c r="AM767" s="143"/>
      <c r="AN767" s="76"/>
      <c r="AO767" s="2111"/>
      <c r="AP767" s="2111"/>
      <c r="AQ767" s="2111"/>
      <c r="AR767" s="143"/>
    </row>
    <row r="768" spans="1:44" ht="15" customHeight="1">
      <c r="B768" s="124" t="s">
        <v>520</v>
      </c>
      <c r="C768" s="1730"/>
      <c r="D768" s="1730"/>
      <c r="E768" s="170"/>
      <c r="F768" s="124"/>
      <c r="G768" s="170"/>
      <c r="H768" s="1760"/>
      <c r="I768" s="1784" t="s">
        <v>1982</v>
      </c>
      <c r="J768" s="170"/>
      <c r="K768" s="170"/>
      <c r="L768" s="170"/>
      <c r="M768" s="170"/>
      <c r="N768" s="170"/>
      <c r="O768" s="170"/>
      <c r="P768" s="170"/>
      <c r="Q768" s="170"/>
      <c r="R768" s="1732" t="s">
        <v>324</v>
      </c>
      <c r="S768" s="1765"/>
      <c r="T768" s="2096">
        <f>+H760</f>
        <v>2535.0404115953447</v>
      </c>
      <c r="U768" s="2096"/>
      <c r="V768" s="2096"/>
      <c r="W768" s="741" t="s">
        <v>3283</v>
      </c>
      <c r="X768" s="2250">
        <f>+AE471</f>
        <v>0</v>
      </c>
      <c r="Y768" s="1944"/>
      <c r="Z768" s="1944"/>
      <c r="AA768" s="741" t="s">
        <v>3284</v>
      </c>
      <c r="AB768" s="741"/>
      <c r="AC768" s="741"/>
      <c r="AD768" s="1730"/>
      <c r="AE768" s="1730"/>
      <c r="AF768" s="170"/>
      <c r="AG768" s="1732" t="s">
        <v>324</v>
      </c>
      <c r="AH768" s="2248">
        <f>T768-X768/2</f>
        <v>2535.0404115953447</v>
      </c>
      <c r="AI768" s="2248"/>
      <c r="AJ768" s="2249"/>
      <c r="AK768" s="170"/>
      <c r="AL768" s="170" t="s">
        <v>3206</v>
      </c>
      <c r="AM768" s="143"/>
      <c r="AN768" s="76" t="s">
        <v>324</v>
      </c>
      <c r="AO768" s="2111">
        <f t="shared" si="16"/>
        <v>0</v>
      </c>
      <c r="AP768" s="2111"/>
      <c r="AQ768" s="2111"/>
      <c r="AR768" s="143"/>
    </row>
    <row r="769" spans="1:44" ht="15" customHeight="1">
      <c r="B769" s="124" t="s">
        <v>521</v>
      </c>
      <c r="C769" s="1730"/>
      <c r="D769" s="1730"/>
      <c r="E769" s="170"/>
      <c r="F769" s="124"/>
      <c r="G769" s="170"/>
      <c r="H769" s="1760"/>
      <c r="I769" s="1784" t="s">
        <v>3289</v>
      </c>
      <c r="J769" s="170"/>
      <c r="K769" s="170"/>
      <c r="L769" s="170"/>
      <c r="M769" s="170"/>
      <c r="N769" s="170"/>
      <c r="O769" s="170"/>
      <c r="P769" s="170"/>
      <c r="Q769" s="170"/>
      <c r="R769" s="1732" t="s">
        <v>324</v>
      </c>
      <c r="S769" s="1765"/>
      <c r="T769" s="2096">
        <f>+AE456</f>
        <v>3200</v>
      </c>
      <c r="U769" s="2096"/>
      <c r="V769" s="2096"/>
      <c r="W769" s="741" t="s">
        <v>3283</v>
      </c>
      <c r="X769" s="2250">
        <f>+H760</f>
        <v>2535.0404115953447</v>
      </c>
      <c r="Y769" s="1944"/>
      <c r="Z769" s="1944"/>
      <c r="AA769" s="741" t="s">
        <v>3283</v>
      </c>
      <c r="AB769" s="2250">
        <f>+AE468</f>
        <v>160</v>
      </c>
      <c r="AC769" s="1944"/>
      <c r="AD769" s="1944"/>
      <c r="AE769" s="741" t="s">
        <v>3282</v>
      </c>
      <c r="AF769" s="124"/>
      <c r="AG769" s="1732" t="s">
        <v>324</v>
      </c>
      <c r="AH769" s="2248">
        <f>T769-X769-AB769/2</f>
        <v>584.95958840465528</v>
      </c>
      <c r="AI769" s="2248"/>
      <c r="AJ769" s="2249"/>
      <c r="AK769" s="170"/>
      <c r="AL769" s="170" t="s">
        <v>3207</v>
      </c>
      <c r="AM769" s="143"/>
      <c r="AN769" s="76" t="s">
        <v>324</v>
      </c>
      <c r="AO769" s="2111">
        <f t="shared" si="16"/>
        <v>1138.0973752000973</v>
      </c>
      <c r="AP769" s="2111"/>
      <c r="AQ769" s="2111"/>
      <c r="AR769" s="143"/>
    </row>
    <row r="770" spans="1:44" ht="15" customHeight="1">
      <c r="B770" s="124" t="s">
        <v>1126</v>
      </c>
      <c r="C770" s="1730"/>
      <c r="D770" s="1730"/>
      <c r="E770" s="170"/>
      <c r="F770" s="124"/>
      <c r="G770" s="170"/>
      <c r="H770" s="1760"/>
      <c r="I770" s="1784" t="s">
        <v>1985</v>
      </c>
      <c r="J770" s="170"/>
      <c r="K770" s="170"/>
      <c r="L770" s="170"/>
      <c r="M770" s="170"/>
      <c r="N770" s="170"/>
      <c r="O770" s="170"/>
      <c r="P770" s="170"/>
      <c r="Q770" s="170"/>
      <c r="R770" s="1732" t="s">
        <v>324</v>
      </c>
      <c r="S770" s="58"/>
      <c r="T770" s="2096">
        <f>+H760</f>
        <v>2535.0404115953447</v>
      </c>
      <c r="U770" s="2096"/>
      <c r="V770" s="2096"/>
      <c r="W770" s="1499" t="s">
        <v>3278</v>
      </c>
      <c r="X770" s="2094">
        <f>+AE463</f>
        <v>0</v>
      </c>
      <c r="Y770" s="2094"/>
      <c r="Z770" s="1499" t="s">
        <v>3278</v>
      </c>
      <c r="AA770" s="2094">
        <f>+AE462</f>
        <v>290</v>
      </c>
      <c r="AB770" s="2094"/>
      <c r="AC770" s="2094"/>
      <c r="AD770" s="1787" t="s">
        <v>3283</v>
      </c>
      <c r="AE770" s="2094">
        <f>+AE448</f>
        <v>50</v>
      </c>
      <c r="AF770" s="2094"/>
      <c r="AG770" s="1732" t="s">
        <v>324</v>
      </c>
      <c r="AH770" s="2096">
        <f>T770+X770+AA770-AE770</f>
        <v>2775.0404115953447</v>
      </c>
      <c r="AI770" s="2096"/>
      <c r="AJ770" s="2251"/>
      <c r="AK770" s="170"/>
      <c r="AL770" s="170" t="s">
        <v>3208</v>
      </c>
      <c r="AM770" s="143"/>
      <c r="AN770" s="76" t="s">
        <v>324</v>
      </c>
      <c r="AO770" s="2111">
        <f t="shared" si="16"/>
        <v>8497.4799922495167</v>
      </c>
      <c r="AP770" s="2111"/>
      <c r="AQ770" s="2111"/>
      <c r="AR770" s="143"/>
    </row>
    <row r="771" spans="1:44" ht="15" customHeight="1">
      <c r="B771" s="124" t="s">
        <v>1127</v>
      </c>
      <c r="C771" s="1730"/>
      <c r="D771" s="1730"/>
      <c r="E771" s="170"/>
      <c r="F771" s="124"/>
      <c r="G771" s="170"/>
      <c r="H771" s="1760"/>
      <c r="I771" s="1784" t="s">
        <v>1992</v>
      </c>
      <c r="J771" s="170"/>
      <c r="K771" s="170"/>
      <c r="L771" s="170"/>
      <c r="M771" s="170"/>
      <c r="N771" s="170"/>
      <c r="O771" s="170"/>
      <c r="P771" s="170"/>
      <c r="Q771" s="170"/>
      <c r="R771" s="1732" t="s">
        <v>324</v>
      </c>
      <c r="S771" s="58"/>
      <c r="T771" s="2096">
        <f>+T770</f>
        <v>2535.0404115953447</v>
      </c>
      <c r="U771" s="2096"/>
      <c r="V771" s="2096"/>
      <c r="W771" s="1499" t="s">
        <v>3278</v>
      </c>
      <c r="X771" s="2094">
        <f t="shared" ref="X771" si="17">+AE463</f>
        <v>0</v>
      </c>
      <c r="Y771" s="2094"/>
      <c r="Z771" s="1499" t="s">
        <v>3278</v>
      </c>
      <c r="AA771" s="2094">
        <f>+AE462</f>
        <v>290</v>
      </c>
      <c r="AB771" s="2094"/>
      <c r="AC771" s="2094"/>
      <c r="AD771" s="1787" t="s">
        <v>3283</v>
      </c>
      <c r="AE771" s="2094">
        <f>+AE449</f>
        <v>250</v>
      </c>
      <c r="AF771" s="2094"/>
      <c r="AG771" s="1732" t="s">
        <v>324</v>
      </c>
      <c r="AH771" s="2096">
        <f>T771+X771+AA771-AE771</f>
        <v>2575.0404115953447</v>
      </c>
      <c r="AI771" s="2096"/>
      <c r="AJ771" s="2251"/>
      <c r="AK771" s="170"/>
      <c r="AL771" s="170" t="s">
        <v>3209</v>
      </c>
      <c r="AM771" s="143"/>
      <c r="AN771" s="76" t="s">
        <v>324</v>
      </c>
      <c r="AO771" s="2111">
        <f t="shared" si="16"/>
        <v>5591.6200210854095</v>
      </c>
      <c r="AP771" s="2111"/>
      <c r="AQ771" s="2111"/>
      <c r="AR771" s="143"/>
    </row>
    <row r="772" spans="1:44" ht="15" customHeight="1">
      <c r="B772" s="124" t="s">
        <v>3144</v>
      </c>
      <c r="C772" s="170"/>
      <c r="D772" s="170"/>
      <c r="E772" s="170"/>
      <c r="F772" s="124"/>
      <c r="G772" s="170"/>
      <c r="H772" s="1760"/>
      <c r="I772" s="1784" t="s">
        <v>1720</v>
      </c>
      <c r="J772" s="170"/>
      <c r="K772" s="170"/>
      <c r="L772" s="170"/>
      <c r="M772" s="170"/>
      <c r="N772" s="170"/>
      <c r="O772" s="170"/>
      <c r="P772" s="170"/>
      <c r="Q772" s="170"/>
      <c r="R772" s="1732" t="s">
        <v>324</v>
      </c>
      <c r="S772" s="1765"/>
      <c r="T772" s="2094">
        <f>+AE456</f>
        <v>3200</v>
      </c>
      <c r="U772" s="2094"/>
      <c r="V772" s="2094"/>
      <c r="W772" s="741" t="s">
        <v>3283</v>
      </c>
      <c r="X772" s="2255">
        <f>+H760</f>
        <v>2535.0404115953447</v>
      </c>
      <c r="Y772" s="2255"/>
      <c r="Z772" s="2255"/>
      <c r="AA772" s="741" t="s">
        <v>3283</v>
      </c>
      <c r="AB772" s="2250">
        <f>+AE464</f>
        <v>600</v>
      </c>
      <c r="AC772" s="1944"/>
      <c r="AD772" s="1944"/>
      <c r="AE772" s="741" t="s">
        <v>3284</v>
      </c>
      <c r="AF772" s="124"/>
      <c r="AG772" s="1732" t="s">
        <v>324</v>
      </c>
      <c r="AH772" s="2096">
        <f>+T772-X772-AB772/2</f>
        <v>364.95958840465528</v>
      </c>
      <c r="AI772" s="2096"/>
      <c r="AJ772" s="2251"/>
      <c r="AK772" s="170"/>
      <c r="AL772" s="1760" t="s">
        <v>3287</v>
      </c>
      <c r="AM772" s="143"/>
      <c r="AN772" s="76" t="s">
        <v>324</v>
      </c>
      <c r="AO772" s="2111">
        <f t="shared" si="16"/>
        <v>880.55374985412061</v>
      </c>
      <c r="AP772" s="2111"/>
      <c r="AQ772" s="2111"/>
      <c r="AR772" s="143"/>
    </row>
    <row r="773" spans="1:44" ht="15" customHeight="1">
      <c r="B773" s="1335" t="s">
        <v>791</v>
      </c>
      <c r="C773" s="1333"/>
      <c r="D773" s="1333"/>
      <c r="E773" s="1333"/>
      <c r="F773" s="1335"/>
      <c r="G773" s="1333"/>
      <c r="H773" s="1761"/>
      <c r="I773" s="1805" t="s">
        <v>3293</v>
      </c>
      <c r="J773" s="1333"/>
      <c r="K773" s="1333"/>
      <c r="L773" s="1733"/>
      <c r="M773" s="1333"/>
      <c r="N773" s="1333"/>
      <c r="O773" s="1333"/>
      <c r="P773" s="1333"/>
      <c r="Q773" s="1333"/>
      <c r="R773" s="1782" t="s">
        <v>324</v>
      </c>
      <c r="S773" s="1335"/>
      <c r="T773" s="2180">
        <f>+AE456</f>
        <v>3200</v>
      </c>
      <c r="U773" s="2180"/>
      <c r="V773" s="2180"/>
      <c r="W773" s="1779" t="s">
        <v>3283</v>
      </c>
      <c r="X773" s="2256">
        <f>+H760</f>
        <v>2535.0404115953447</v>
      </c>
      <c r="Y773" s="2256"/>
      <c r="Z773" s="2256"/>
      <c r="AA773" s="1779" t="s">
        <v>3283</v>
      </c>
      <c r="AB773" s="2257">
        <f>+AE464</f>
        <v>600</v>
      </c>
      <c r="AC773" s="2258"/>
      <c r="AD773" s="2258"/>
      <c r="AE773" s="1779" t="s">
        <v>3284</v>
      </c>
      <c r="AF773" s="1335"/>
      <c r="AG773" s="1782" t="s">
        <v>324</v>
      </c>
      <c r="AH773" s="2104">
        <f>+T773-X773-AB773/2</f>
        <v>364.95958840465528</v>
      </c>
      <c r="AI773" s="2104"/>
      <c r="AJ773" s="2245"/>
      <c r="AK773" s="1333"/>
      <c r="AL773" s="1333" t="s">
        <v>3210</v>
      </c>
      <c r="AM773" s="1333"/>
      <c r="AN773" s="1433" t="s">
        <v>324</v>
      </c>
      <c r="AO773" s="2149">
        <f t="shared" si="16"/>
        <v>15588.33641973384</v>
      </c>
      <c r="AP773" s="2149"/>
      <c r="AQ773" s="2149"/>
      <c r="AR773" s="143"/>
    </row>
    <row r="774" spans="1:44" ht="15" customHeight="1">
      <c r="A774" s="1182"/>
      <c r="B774" s="1177"/>
      <c r="C774" s="1655"/>
      <c r="D774" s="170"/>
      <c r="E774" s="170"/>
      <c r="F774" s="124"/>
      <c r="H774" s="1757"/>
      <c r="I774" s="1757"/>
      <c r="J774" s="1757"/>
      <c r="K774" s="1735"/>
      <c r="L774" s="1731"/>
      <c r="X774" s="1730"/>
      <c r="Y774" s="1730"/>
      <c r="Z774" s="1730"/>
      <c r="AA774" s="1731"/>
      <c r="AB774" s="143"/>
      <c r="AC774" s="1731"/>
      <c r="AD774" s="143"/>
      <c r="AE774" s="1734"/>
      <c r="AF774" s="73"/>
      <c r="AG774" s="1734"/>
      <c r="AI774" s="1737" t="s">
        <v>3211</v>
      </c>
      <c r="AJ774" s="143"/>
      <c r="AN774" s="76" t="s">
        <v>324</v>
      </c>
      <c r="AO774" s="2246">
        <f>+SUM(AO764:AQ773)</f>
        <v>192987.71009354087</v>
      </c>
      <c r="AP774" s="2246"/>
      <c r="AQ774" s="2246"/>
      <c r="AR774" s="2246"/>
    </row>
    <row r="775" spans="1:44" ht="15" customHeight="1">
      <c r="A775" s="1182"/>
      <c r="B775" s="1177"/>
      <c r="C775" s="1655"/>
      <c r="D775" s="170"/>
      <c r="E775" s="170"/>
      <c r="F775" s="124"/>
      <c r="H775" s="1757"/>
      <c r="I775" s="1757"/>
      <c r="J775" s="1757"/>
      <c r="K775" s="1735"/>
      <c r="L775" s="1731"/>
      <c r="X775" s="1730"/>
      <c r="Y775" s="1730"/>
      <c r="Z775" s="1730"/>
      <c r="AA775" s="1731"/>
      <c r="AB775" s="143"/>
      <c r="AC775" s="1731"/>
      <c r="AD775" s="143"/>
      <c r="AE775" s="1734"/>
      <c r="AF775" s="73"/>
      <c r="AG775" s="1734"/>
      <c r="AI775" s="1737"/>
      <c r="AJ775" s="143"/>
      <c r="AN775" s="76"/>
      <c r="AO775" s="1768"/>
      <c r="AP775" s="1768"/>
      <c r="AQ775" s="1768"/>
      <c r="AR775" s="1768"/>
    </row>
    <row r="776" spans="1:44" ht="15" customHeight="1">
      <c r="A776" s="1182"/>
      <c r="B776" s="1177" t="s">
        <v>3276</v>
      </c>
      <c r="C776" s="95" t="s">
        <v>3294</v>
      </c>
      <c r="G776" s="4"/>
      <c r="H776" s="4"/>
      <c r="I776" s="4"/>
      <c r="L776" s="1731"/>
      <c r="Y776" s="143"/>
      <c r="Z776" s="1731"/>
      <c r="AB776" s="1731"/>
      <c r="AD776" s="73"/>
      <c r="AE776" s="1734"/>
      <c r="AF776" s="73"/>
      <c r="AR776" s="143"/>
    </row>
    <row r="777" spans="1:44" ht="15" customHeight="1">
      <c r="A777" s="1182"/>
      <c r="B777" s="1177"/>
      <c r="C777" s="2265" t="s">
        <v>3193</v>
      </c>
      <c r="D777" s="2265"/>
      <c r="F777" s="1944" t="s">
        <v>324</v>
      </c>
      <c r="G777" s="4"/>
      <c r="H777" s="1664" t="s">
        <v>3263</v>
      </c>
      <c r="I777" s="1662"/>
      <c r="J777" s="1662"/>
      <c r="K777" s="1662"/>
      <c r="L777" s="1662"/>
      <c r="M777" s="1662"/>
      <c r="N777" s="1769"/>
      <c r="O777" s="1333"/>
      <c r="P777" s="1333"/>
      <c r="Q777" s="1333"/>
      <c r="R777" s="1333"/>
      <c r="S777" s="1333"/>
      <c r="T777" s="1333"/>
      <c r="U777" s="1333"/>
      <c r="V777" s="1333"/>
      <c r="W777" s="1733"/>
      <c r="X777" s="1731"/>
      <c r="Y777" s="1731"/>
      <c r="Z777" s="1731"/>
      <c r="AA777" s="1731"/>
      <c r="AB777" s="1731"/>
      <c r="AD777" s="73"/>
      <c r="AE777" s="1734"/>
      <c r="AF777" s="73"/>
      <c r="AR777" s="143"/>
    </row>
    <row r="778" spans="1:44" ht="15" customHeight="1">
      <c r="A778" s="1182"/>
      <c r="B778" s="1177"/>
      <c r="C778" s="2265"/>
      <c r="D778" s="2265"/>
      <c r="F778" s="1944"/>
      <c r="G778" s="4"/>
      <c r="I778" s="1663"/>
      <c r="J778" s="1663"/>
      <c r="K778" s="1663"/>
      <c r="L778" s="1661" t="s">
        <v>3029</v>
      </c>
      <c r="N778" s="1752"/>
      <c r="O778" s="170"/>
      <c r="P778" s="170"/>
      <c r="Q778" s="170"/>
      <c r="R778" s="170"/>
      <c r="S778" s="170"/>
      <c r="T778" s="170"/>
      <c r="U778" s="170"/>
      <c r="V778" s="170"/>
      <c r="W778" s="1730"/>
      <c r="X778" s="1731"/>
      <c r="Y778" s="1731"/>
      <c r="Z778" s="1731"/>
      <c r="AA778" s="1731"/>
      <c r="AB778" s="1731"/>
      <c r="AD778" s="73"/>
      <c r="AE778" s="1734"/>
      <c r="AF778" s="73"/>
      <c r="AR778" s="143"/>
    </row>
    <row r="779" spans="1:44" ht="15" customHeight="1">
      <c r="A779" s="1182"/>
      <c r="B779" s="1177"/>
      <c r="C779" s="1745"/>
      <c r="D779" s="1745"/>
      <c r="E779" s="170"/>
      <c r="F779" s="1944" t="s">
        <v>324</v>
      </c>
      <c r="G779" s="1744"/>
      <c r="H779" s="2253">
        <f>+AK523</f>
        <v>20976</v>
      </c>
      <c r="I779" s="2253"/>
      <c r="J779" s="2253"/>
      <c r="K779" s="1807" t="s">
        <v>3278</v>
      </c>
      <c r="L779" s="2253">
        <f>+AK527</f>
        <v>1945.6</v>
      </c>
      <c r="M779" s="2253"/>
      <c r="N779" s="2253"/>
      <c r="O779" s="1807" t="s">
        <v>3278</v>
      </c>
      <c r="P779" s="2253">
        <f>+AK530</f>
        <v>2412.7431579569611</v>
      </c>
      <c r="Q779" s="2253"/>
      <c r="R779" s="2253"/>
      <c r="S779" s="1807" t="s">
        <v>3278</v>
      </c>
      <c r="T779" s="2253">
        <f>+AK531</f>
        <v>42712.5</v>
      </c>
      <c r="U779" s="2253"/>
      <c r="V779" s="2253"/>
      <c r="W779" s="1807" t="s">
        <v>3278</v>
      </c>
      <c r="X779" s="2253">
        <f>+AK526</f>
        <v>0</v>
      </c>
      <c r="Y779" s="2253"/>
      <c r="Z779" s="2253"/>
      <c r="AA779" s="1808" t="s">
        <v>3278</v>
      </c>
      <c r="AB779" s="2254">
        <f>+AK524</f>
        <v>32055.536807235036</v>
      </c>
      <c r="AC779" s="2254"/>
      <c r="AD779" s="2254"/>
      <c r="AE779" s="1807" t="s">
        <v>3283</v>
      </c>
      <c r="AF779" s="2253">
        <f>+AK522</f>
        <v>44080</v>
      </c>
      <c r="AG779" s="2253"/>
      <c r="AH779" s="2253"/>
      <c r="AI779" s="1808" t="s">
        <v>3283</v>
      </c>
      <c r="AJ779" s="2254">
        <f>+AK529</f>
        <v>2171.4688421612645</v>
      </c>
      <c r="AK779" s="2254"/>
      <c r="AL779" s="2254"/>
      <c r="AM779" s="1808" t="s">
        <v>3283</v>
      </c>
      <c r="AN779" s="2266">
        <f>+AK528</f>
        <v>3062.1103594539709</v>
      </c>
      <c r="AO779" s="2266"/>
      <c r="AP779" s="2266"/>
      <c r="AQ779" s="1781"/>
      <c r="AR779" s="143"/>
    </row>
    <row r="780" spans="1:44" ht="15" customHeight="1">
      <c r="A780" s="1182"/>
      <c r="B780" s="1177"/>
      <c r="C780" s="1745"/>
      <c r="D780" s="1745"/>
      <c r="E780" s="170"/>
      <c r="F780" s="1944"/>
      <c r="G780" s="135"/>
      <c r="H780" s="1796"/>
      <c r="I780" s="1796"/>
      <c r="J780" s="1796"/>
      <c r="K780" s="741"/>
      <c r="L780" s="1730"/>
      <c r="M780" s="170"/>
      <c r="N780" s="170" t="s">
        <v>3295</v>
      </c>
      <c r="O780" s="170"/>
      <c r="P780" s="2262">
        <f>+AK526</f>
        <v>0</v>
      </c>
      <c r="Q780" s="2135"/>
      <c r="R780" s="2135"/>
      <c r="S780" s="124" t="s">
        <v>3296</v>
      </c>
      <c r="T780" s="2262">
        <f>+AE471</f>
        <v>0</v>
      </c>
      <c r="U780" s="2262"/>
      <c r="V780" s="2262"/>
      <c r="W780" s="124" t="s">
        <v>3297</v>
      </c>
      <c r="X780" s="115"/>
      <c r="Y780" s="115"/>
      <c r="Z780" s="2262">
        <f>+AK524</f>
        <v>32055.536807235036</v>
      </c>
      <c r="AA780" s="2135"/>
      <c r="AB780" s="2135"/>
      <c r="AC780" s="1742" t="s">
        <v>3296</v>
      </c>
      <c r="AD780" s="2267">
        <f>+AE456</f>
        <v>3200</v>
      </c>
      <c r="AE780" s="2146"/>
      <c r="AF780" s="2146"/>
      <c r="AG780" s="122"/>
      <c r="AH780" s="122"/>
      <c r="AI780" s="122"/>
      <c r="AJ780" s="122"/>
      <c r="AK780" s="1781"/>
      <c r="AL780" s="1781"/>
      <c r="AM780" s="1781"/>
      <c r="AN780" s="1781"/>
      <c r="AO780" s="1781"/>
      <c r="AP780" s="1781"/>
      <c r="AQ780" s="1781"/>
      <c r="AR780" s="143"/>
    </row>
    <row r="781" spans="1:44" ht="15" customHeight="1">
      <c r="A781" s="1182"/>
      <c r="B781" s="1177"/>
      <c r="C781" s="1745"/>
      <c r="D781" s="1745"/>
      <c r="E781" s="170"/>
      <c r="F781" s="1732" t="s">
        <v>324</v>
      </c>
      <c r="H781" s="2252">
        <f>(H779+L779+P779+T779+X779+AB779-AF779-AJ779-AN779)/(IF(T780=0,0,2*P780/T780)+2*Z780/AD780)</f>
        <v>2535.0404115953443</v>
      </c>
      <c r="I781" s="2252"/>
      <c r="J781" s="2252"/>
      <c r="K781" s="2252"/>
      <c r="L781" s="1661"/>
      <c r="M781" s="1661"/>
      <c r="Y781" s="143"/>
      <c r="Z781" s="1731"/>
      <c r="AB781" s="1731"/>
      <c r="AD781" s="73"/>
      <c r="AE781" s="1734"/>
      <c r="AF781" s="73"/>
      <c r="AR781" s="143"/>
    </row>
    <row r="782" spans="1:44" ht="15" customHeight="1">
      <c r="A782" s="1182"/>
      <c r="B782" s="1177"/>
      <c r="C782" s="1745"/>
      <c r="D782" s="1745"/>
      <c r="E782" s="170"/>
      <c r="F782" s="1732"/>
      <c r="H782" s="1739"/>
      <c r="I782" s="1739"/>
      <c r="J782" s="1739"/>
      <c r="K782" s="1739"/>
      <c r="L782" s="1661"/>
      <c r="M782" s="1661"/>
      <c r="Y782" s="143"/>
      <c r="Z782" s="1731"/>
      <c r="AB782" s="1731"/>
      <c r="AD782" s="73"/>
      <c r="AE782" s="1734"/>
      <c r="AF782" s="73"/>
      <c r="AR782" s="143"/>
    </row>
    <row r="783" spans="1:44" ht="15" customHeight="1">
      <c r="A783" s="1182"/>
      <c r="B783" s="1655" t="s">
        <v>3218</v>
      </c>
      <c r="C783" s="1655"/>
      <c r="D783" s="170"/>
      <c r="E783" s="170"/>
      <c r="F783" s="124"/>
      <c r="H783" s="1757"/>
      <c r="I783" s="1757"/>
      <c r="J783" s="1757"/>
      <c r="K783" s="1735"/>
      <c r="L783" s="1731"/>
      <c r="W783" s="1730"/>
      <c r="X783" s="1730"/>
      <c r="Y783" s="1730"/>
      <c r="Z783" s="1731"/>
      <c r="AB783" s="1731"/>
      <c r="AD783" s="1734"/>
      <c r="AF783" s="1734"/>
      <c r="AR783" s="143"/>
    </row>
    <row r="784" spans="1:44" ht="20.100000000000001" customHeight="1">
      <c r="A784" s="1182"/>
      <c r="B784" s="1762" t="s">
        <v>1091</v>
      </c>
      <c r="C784" s="1667"/>
      <c r="D784" s="1667"/>
      <c r="E784" s="1667"/>
      <c r="F784" s="1763"/>
      <c r="G784" s="1667"/>
      <c r="H784" s="1764"/>
      <c r="I784" s="1783" t="s">
        <v>3220</v>
      </c>
      <c r="J784" s="1764"/>
      <c r="K784" s="1764"/>
      <c r="L784" s="1668"/>
      <c r="M784" s="1667"/>
      <c r="N784" s="1667"/>
      <c r="O784" s="1667"/>
      <c r="P784" s="1667"/>
      <c r="Q784" s="1667"/>
      <c r="R784" s="1667"/>
      <c r="S784" s="1667"/>
      <c r="T784" s="1667"/>
      <c r="U784" s="1668"/>
      <c r="V784" s="1668"/>
      <c r="W784" s="1668"/>
      <c r="X784" s="1668"/>
      <c r="Y784" s="1667"/>
      <c r="Z784" s="1668"/>
      <c r="AA784" s="1667"/>
      <c r="AB784" s="1668"/>
      <c r="AC784" s="1667"/>
      <c r="AD784" s="1668"/>
      <c r="AE784" s="1667"/>
      <c r="AF784" s="1667"/>
      <c r="AG784" s="1667"/>
      <c r="AH784" s="1667"/>
      <c r="AI784" s="1667"/>
      <c r="AJ784" s="1774"/>
      <c r="AK784" s="1667"/>
      <c r="AL784" s="1772" t="s">
        <v>3219</v>
      </c>
      <c r="AM784" s="1764"/>
      <c r="AN784" s="1764"/>
      <c r="AO784" s="1764"/>
      <c r="AP784" s="1764"/>
      <c r="AQ784" s="1764"/>
      <c r="AR784" s="143"/>
    </row>
    <row r="785" spans="1:44" ht="15" customHeight="1">
      <c r="B785" s="124" t="s">
        <v>834</v>
      </c>
      <c r="C785" s="1730"/>
      <c r="D785" s="1730"/>
      <c r="E785" s="170"/>
      <c r="F785" s="124"/>
      <c r="G785" s="170"/>
      <c r="H785" s="1760"/>
      <c r="I785" s="1788" t="s">
        <v>604</v>
      </c>
      <c r="J785" s="1443"/>
      <c r="K785" s="170"/>
      <c r="L785" s="170"/>
      <c r="M785" s="170"/>
      <c r="N785" s="170"/>
      <c r="O785" s="170"/>
      <c r="P785" s="170"/>
      <c r="Q785" s="170"/>
      <c r="R785" s="1732" t="s">
        <v>324</v>
      </c>
      <c r="S785" s="1802"/>
      <c r="T785" s="2263">
        <f>+H781</f>
        <v>2535.0404115953443</v>
      </c>
      <c r="U785" s="2263"/>
      <c r="V785" s="2263"/>
      <c r="W785" s="1803" t="s">
        <v>3278</v>
      </c>
      <c r="X785" s="2264">
        <f>+AE452</f>
        <v>40</v>
      </c>
      <c r="Y785" s="2264"/>
      <c r="Z785" s="1804" t="s">
        <v>3284</v>
      </c>
      <c r="AA785" s="1797"/>
      <c r="AB785" s="1797"/>
      <c r="AC785" s="741"/>
      <c r="AD785" s="1802"/>
      <c r="AE785" s="1797"/>
      <c r="AF785" s="124"/>
      <c r="AG785" s="1732" t="s">
        <v>324</v>
      </c>
      <c r="AH785" s="2096">
        <f>+T785+X785/2</f>
        <v>2555.0404115953443</v>
      </c>
      <c r="AI785" s="2096"/>
      <c r="AJ785" s="2251"/>
      <c r="AK785" s="170"/>
      <c r="AL785" s="170" t="s">
        <v>3203</v>
      </c>
      <c r="AM785" s="143"/>
      <c r="AN785" s="76" t="s">
        <v>324</v>
      </c>
      <c r="AO785" s="2111">
        <f>+AH785*AK522/1000</f>
        <v>112626.18134312278</v>
      </c>
      <c r="AP785" s="2111"/>
      <c r="AQ785" s="2111"/>
      <c r="AR785" s="143"/>
    </row>
    <row r="786" spans="1:44" ht="15" customHeight="1">
      <c r="B786" s="124" t="s">
        <v>835</v>
      </c>
      <c r="C786" s="1730"/>
      <c r="D786" s="1730"/>
      <c r="E786" s="170"/>
      <c r="F786" s="124"/>
      <c r="G786" s="170"/>
      <c r="H786" s="1760"/>
      <c r="I786" s="1784" t="s">
        <v>603</v>
      </c>
      <c r="J786" s="170"/>
      <c r="K786" s="170"/>
      <c r="L786" s="170"/>
      <c r="M786" s="170"/>
      <c r="N786" s="170"/>
      <c r="O786" s="170"/>
      <c r="P786" s="170"/>
      <c r="Q786" s="170"/>
      <c r="R786" s="1732" t="s">
        <v>324</v>
      </c>
      <c r="S786" s="1765"/>
      <c r="T786" s="2094">
        <f>+AE456</f>
        <v>3200</v>
      </c>
      <c r="U786" s="2094"/>
      <c r="V786" s="2094"/>
      <c r="W786" s="741" t="s">
        <v>3283</v>
      </c>
      <c r="X786" s="2255">
        <f>+H781</f>
        <v>2535.0404115953443</v>
      </c>
      <c r="Y786" s="2255"/>
      <c r="Z786" s="2255"/>
      <c r="AA786" s="741" t="s">
        <v>3278</v>
      </c>
      <c r="AB786" s="2250">
        <f>+AE454</f>
        <v>30</v>
      </c>
      <c r="AC786" s="1944"/>
      <c r="AD786" s="1499" t="s">
        <v>3284</v>
      </c>
      <c r="AE786" s="115"/>
      <c r="AF786" s="124"/>
      <c r="AG786" s="1732" t="s">
        <v>324</v>
      </c>
      <c r="AH786" s="2248">
        <f>T786-X786+AB786/2</f>
        <v>679.95958840465573</v>
      </c>
      <c r="AI786" s="2248"/>
      <c r="AJ786" s="2249"/>
      <c r="AK786" s="170"/>
      <c r="AL786" s="170" t="s">
        <v>3204</v>
      </c>
      <c r="AM786" s="143"/>
      <c r="AN786" s="76" t="s">
        <v>324</v>
      </c>
      <c r="AO786" s="2111">
        <f t="shared" ref="AO786:AO794" si="18">+AH786*AK523/1000</f>
        <v>14262.832326376058</v>
      </c>
      <c r="AP786" s="2111"/>
      <c r="AQ786" s="2111"/>
      <c r="AR786" s="143"/>
    </row>
    <row r="787" spans="1:44" ht="15" customHeight="1">
      <c r="B787" s="124" t="s">
        <v>513</v>
      </c>
      <c r="C787" s="1730"/>
      <c r="D787" s="1730"/>
      <c r="E787" s="170"/>
      <c r="F787" s="124"/>
      <c r="G787" s="170"/>
      <c r="H787" s="1760"/>
      <c r="I787" s="1784" t="s">
        <v>3279</v>
      </c>
      <c r="J787" s="170"/>
      <c r="K787" s="170"/>
      <c r="L787" s="170"/>
      <c r="M787" s="170"/>
      <c r="N787" s="170"/>
      <c r="O787" s="170"/>
      <c r="P787" s="170"/>
      <c r="Q787" s="170"/>
      <c r="R787" s="1732" t="s">
        <v>324</v>
      </c>
      <c r="T787" s="1765" t="str">
        <f>"["&amp;ROUND(H781,1)&amp;"² + ("&amp;AE456&amp;" - "&amp;ROUND(H719,1)&amp;")²]/2/"&amp;AE456</f>
        <v>[2535² + (3200 - 2660.5)²]/2/3200</v>
      </c>
      <c r="U787" s="124"/>
      <c r="V787" s="1766"/>
      <c r="W787" s="115"/>
      <c r="X787" s="115"/>
      <c r="Y787" s="124"/>
      <c r="Z787" s="1765"/>
      <c r="AA787" s="115"/>
      <c r="AB787" s="115"/>
      <c r="AC787" s="124"/>
      <c r="AD787" s="170"/>
      <c r="AE787" s="170"/>
      <c r="AF787" s="170"/>
      <c r="AG787" s="1732" t="s">
        <v>324</v>
      </c>
      <c r="AH787" s="2248">
        <f>+(H781^2+(AE456-H781)^2)/2/AE456</f>
        <v>1073.218928536372</v>
      </c>
      <c r="AI787" s="2248"/>
      <c r="AJ787" s="2249"/>
      <c r="AK787" s="170"/>
      <c r="AL787" s="124" t="s">
        <v>3215</v>
      </c>
      <c r="AM787" s="143"/>
      <c r="AN787" s="76" t="s">
        <v>324</v>
      </c>
      <c r="AO787" s="2111">
        <f t="shared" si="18"/>
        <v>34402.608865919021</v>
      </c>
      <c r="AP787" s="2111"/>
      <c r="AQ787" s="2111"/>
      <c r="AR787" s="143"/>
    </row>
    <row r="788" spans="1:44" ht="15" customHeight="1">
      <c r="B788" s="124" t="s">
        <v>651</v>
      </c>
      <c r="C788" s="1730"/>
      <c r="D788" s="1730"/>
      <c r="E788" s="170"/>
      <c r="F788" s="124"/>
      <c r="G788" s="170"/>
      <c r="H788" s="1760"/>
      <c r="I788" s="1721"/>
      <c r="J788" s="170"/>
      <c r="K788" s="170"/>
      <c r="L788" s="170"/>
      <c r="M788" s="170"/>
      <c r="N788" s="170"/>
      <c r="O788" s="170"/>
      <c r="P788" s="170"/>
      <c r="Q788" s="170"/>
      <c r="R788" s="1732"/>
      <c r="S788" s="1766"/>
      <c r="T788" s="1766"/>
      <c r="U788" s="1766"/>
      <c r="V788" s="1766"/>
      <c r="W788" s="1765"/>
      <c r="X788" s="1765"/>
      <c r="Y788" s="124"/>
      <c r="Z788" s="1765"/>
      <c r="AA788" s="1765"/>
      <c r="AB788" s="1765"/>
      <c r="AC788" s="124"/>
      <c r="AD788" s="1730"/>
      <c r="AE788" s="1765"/>
      <c r="AF788" s="115"/>
      <c r="AG788" s="1732"/>
      <c r="AH788" s="1798"/>
      <c r="AI788" s="1798"/>
      <c r="AJ788" s="1801"/>
      <c r="AK788" s="170"/>
      <c r="AL788" s="170"/>
      <c r="AM788" s="143"/>
      <c r="AN788" s="76"/>
      <c r="AO788" s="2111"/>
      <c r="AP788" s="2111"/>
      <c r="AQ788" s="2111"/>
      <c r="AR788" s="143"/>
    </row>
    <row r="789" spans="1:44" ht="15" customHeight="1">
      <c r="B789" s="124" t="s">
        <v>520</v>
      </c>
      <c r="C789" s="1730"/>
      <c r="D789" s="1730"/>
      <c r="E789" s="170"/>
      <c r="F789" s="124"/>
      <c r="G789" s="170"/>
      <c r="H789" s="1760"/>
      <c r="I789" s="1784" t="s">
        <v>3298</v>
      </c>
      <c r="J789" s="170"/>
      <c r="K789" s="170"/>
      <c r="L789" s="170"/>
      <c r="M789" s="170"/>
      <c r="N789" s="170"/>
      <c r="O789" s="170"/>
      <c r="P789" s="170"/>
      <c r="Q789" s="170"/>
      <c r="R789" s="1732" t="s">
        <v>324</v>
      </c>
      <c r="S789" s="1765"/>
      <c r="T789" s="58" t="str">
        <f>"["&amp;ROUND(H781,1)&amp;"² + ("&amp;AE471&amp;" - "&amp;ROUND(H781,1)&amp;")²]/2/"&amp;AE471</f>
        <v>[2535² + (0 - 2535)²]/2/0</v>
      </c>
      <c r="U789" s="58"/>
      <c r="V789" s="58"/>
      <c r="W789" s="741"/>
      <c r="X789" s="1499"/>
      <c r="Y789" s="741"/>
      <c r="Z789" s="741"/>
      <c r="AA789" s="741"/>
      <c r="AB789" s="741"/>
      <c r="AC789" s="741"/>
      <c r="AD789" s="1730"/>
      <c r="AE789" s="1730"/>
      <c r="AF789" s="170"/>
      <c r="AG789" s="1732" t="s">
        <v>324</v>
      </c>
      <c r="AH789" s="2248">
        <f>IF(AE471=0,0,(H781^2 +(AE456-H781)^2)/2/AE471)</f>
        <v>0</v>
      </c>
      <c r="AI789" s="2248"/>
      <c r="AJ789" s="2249"/>
      <c r="AK789" s="170"/>
      <c r="AL789" s="170" t="s">
        <v>3206</v>
      </c>
      <c r="AM789" s="143"/>
      <c r="AN789" s="76" t="s">
        <v>324</v>
      </c>
      <c r="AO789" s="2111">
        <f t="shared" si="18"/>
        <v>0</v>
      </c>
      <c r="AP789" s="2111"/>
      <c r="AQ789" s="2111"/>
      <c r="AR789" s="143"/>
    </row>
    <row r="790" spans="1:44" ht="15" customHeight="1">
      <c r="B790" s="124" t="s">
        <v>521</v>
      </c>
      <c r="C790" s="1730"/>
      <c r="D790" s="1730"/>
      <c r="E790" s="170"/>
      <c r="F790" s="124"/>
      <c r="G790" s="170"/>
      <c r="H790" s="1760"/>
      <c r="I790" s="1784" t="s">
        <v>3289</v>
      </c>
      <c r="J790" s="170"/>
      <c r="K790" s="170"/>
      <c r="L790" s="170"/>
      <c r="M790" s="170"/>
      <c r="N790" s="170"/>
      <c r="O790" s="170"/>
      <c r="P790" s="170"/>
      <c r="Q790" s="170"/>
      <c r="R790" s="1732" t="s">
        <v>324</v>
      </c>
      <c r="S790" s="1765"/>
      <c r="T790" s="2096">
        <f>+AE456</f>
        <v>3200</v>
      </c>
      <c r="U790" s="2096"/>
      <c r="V790" s="2096"/>
      <c r="W790" s="741" t="s">
        <v>3283</v>
      </c>
      <c r="X790" s="2250">
        <f>+H781</f>
        <v>2535.0404115953443</v>
      </c>
      <c r="Y790" s="1944"/>
      <c r="Z790" s="1944"/>
      <c r="AA790" s="741" t="s">
        <v>3283</v>
      </c>
      <c r="AB790" s="2250">
        <f>+AE468</f>
        <v>160</v>
      </c>
      <c r="AC790" s="1944"/>
      <c r="AD790" s="1944"/>
      <c r="AE790" s="741" t="s">
        <v>3282</v>
      </c>
      <c r="AF790" s="124"/>
      <c r="AG790" s="1732" t="s">
        <v>324</v>
      </c>
      <c r="AH790" s="2248">
        <f>T790-X790-AB790/2</f>
        <v>584.95958840465573</v>
      </c>
      <c r="AI790" s="2248"/>
      <c r="AJ790" s="2249"/>
      <c r="AK790" s="170"/>
      <c r="AL790" s="170" t="s">
        <v>3207</v>
      </c>
      <c r="AM790" s="143"/>
      <c r="AN790" s="76" t="s">
        <v>324</v>
      </c>
      <c r="AO790" s="2111">
        <f t="shared" si="18"/>
        <v>1138.0973752000982</v>
      </c>
      <c r="AP790" s="2111"/>
      <c r="AQ790" s="2111"/>
      <c r="AR790" s="143"/>
    </row>
    <row r="791" spans="1:44" ht="15" customHeight="1">
      <c r="B791" s="124" t="s">
        <v>1126</v>
      </c>
      <c r="C791" s="1730"/>
      <c r="D791" s="1730"/>
      <c r="E791" s="170"/>
      <c r="F791" s="124"/>
      <c r="G791" s="170"/>
      <c r="H791" s="1760"/>
      <c r="I791" s="1784" t="s">
        <v>1985</v>
      </c>
      <c r="J791" s="170"/>
      <c r="K791" s="170"/>
      <c r="L791" s="170"/>
      <c r="M791" s="170"/>
      <c r="N791" s="170"/>
      <c r="O791" s="170"/>
      <c r="P791" s="170"/>
      <c r="Q791" s="170"/>
      <c r="R791" s="1732" t="s">
        <v>324</v>
      </c>
      <c r="S791" s="58"/>
      <c r="T791" s="2096">
        <f>+H781</f>
        <v>2535.0404115953443</v>
      </c>
      <c r="U791" s="2096"/>
      <c r="V791" s="2096"/>
      <c r="W791" s="1499" t="s">
        <v>3278</v>
      </c>
      <c r="X791" s="2094">
        <f>+AE463</f>
        <v>0</v>
      </c>
      <c r="Y791" s="2094"/>
      <c r="Z791" s="1499" t="s">
        <v>3278</v>
      </c>
      <c r="AA791" s="2094">
        <f>+AE462</f>
        <v>290</v>
      </c>
      <c r="AB791" s="2094"/>
      <c r="AC791" s="2094"/>
      <c r="AD791" s="1787" t="s">
        <v>3283</v>
      </c>
      <c r="AE791" s="2094">
        <f>+AE448</f>
        <v>50</v>
      </c>
      <c r="AF791" s="2094"/>
      <c r="AG791" s="1732" t="s">
        <v>324</v>
      </c>
      <c r="AH791" s="2096">
        <f>T791+X791+AA791-AE791</f>
        <v>2775.0404115953443</v>
      </c>
      <c r="AI791" s="2096"/>
      <c r="AJ791" s="2251"/>
      <c r="AK791" s="170"/>
      <c r="AL791" s="170" t="s">
        <v>3208</v>
      </c>
      <c r="AM791" s="143"/>
      <c r="AN791" s="76" t="s">
        <v>324</v>
      </c>
      <c r="AO791" s="2111">
        <f t="shared" si="18"/>
        <v>8497.4799922495149</v>
      </c>
      <c r="AP791" s="2111"/>
      <c r="AQ791" s="2111"/>
      <c r="AR791" s="143"/>
    </row>
    <row r="792" spans="1:44" ht="15" customHeight="1">
      <c r="B792" s="124" t="s">
        <v>1127</v>
      </c>
      <c r="C792" s="1730"/>
      <c r="D792" s="1730"/>
      <c r="E792" s="170"/>
      <c r="F792" s="124"/>
      <c r="G792" s="170"/>
      <c r="H792" s="1760"/>
      <c r="I792" s="1784" t="s">
        <v>1992</v>
      </c>
      <c r="J792" s="170"/>
      <c r="K792" s="170"/>
      <c r="L792" s="170"/>
      <c r="M792" s="170"/>
      <c r="N792" s="170"/>
      <c r="O792" s="170"/>
      <c r="P792" s="170"/>
      <c r="Q792" s="170"/>
      <c r="R792" s="1732" t="s">
        <v>324</v>
      </c>
      <c r="S792" s="58"/>
      <c r="T792" s="2096">
        <f>+T791</f>
        <v>2535.0404115953443</v>
      </c>
      <c r="U792" s="2096"/>
      <c r="V792" s="2096"/>
      <c r="W792" s="1499" t="s">
        <v>3278</v>
      </c>
      <c r="X792" s="2094">
        <f>+AE463</f>
        <v>0</v>
      </c>
      <c r="Y792" s="2094"/>
      <c r="Z792" s="1499" t="s">
        <v>3278</v>
      </c>
      <c r="AA792" s="2094">
        <f>+AE462</f>
        <v>290</v>
      </c>
      <c r="AB792" s="2094"/>
      <c r="AC792" s="2094"/>
      <c r="AD792" s="1787" t="s">
        <v>3283</v>
      </c>
      <c r="AE792" s="2094">
        <f>+AE449</f>
        <v>250</v>
      </c>
      <c r="AF792" s="2094"/>
      <c r="AG792" s="1732" t="s">
        <v>324</v>
      </c>
      <c r="AH792" s="2096">
        <f>T792+X792+AA792-AE792</f>
        <v>2575.0404115953443</v>
      </c>
      <c r="AI792" s="2096"/>
      <c r="AJ792" s="2251"/>
      <c r="AK792" s="170"/>
      <c r="AL792" s="170" t="s">
        <v>3209</v>
      </c>
      <c r="AM792" s="143"/>
      <c r="AN792" s="76" t="s">
        <v>324</v>
      </c>
      <c r="AO792" s="2111">
        <f t="shared" si="18"/>
        <v>5591.6200210854086</v>
      </c>
      <c r="AP792" s="2111"/>
      <c r="AQ792" s="2111"/>
      <c r="AR792" s="143"/>
    </row>
    <row r="793" spans="1:44" ht="15" customHeight="1">
      <c r="B793" s="124" t="s">
        <v>3144</v>
      </c>
      <c r="C793" s="170"/>
      <c r="D793" s="170"/>
      <c r="E793" s="170"/>
      <c r="F793" s="124"/>
      <c r="G793" s="170"/>
      <c r="H793" s="1760"/>
      <c r="I793" s="1784" t="s">
        <v>1720</v>
      </c>
      <c r="J793" s="170"/>
      <c r="K793" s="170"/>
      <c r="L793" s="170"/>
      <c r="M793" s="170"/>
      <c r="N793" s="170"/>
      <c r="O793" s="170"/>
      <c r="P793" s="170"/>
      <c r="Q793" s="170"/>
      <c r="R793" s="1732" t="s">
        <v>324</v>
      </c>
      <c r="S793" s="1765"/>
      <c r="T793" s="2094">
        <f>+AE456</f>
        <v>3200</v>
      </c>
      <c r="U793" s="2094"/>
      <c r="V793" s="2094"/>
      <c r="W793" s="741" t="s">
        <v>3283</v>
      </c>
      <c r="X793" s="2255">
        <f>+H781</f>
        <v>2535.0404115953443</v>
      </c>
      <c r="Y793" s="2255"/>
      <c r="Z793" s="2255"/>
      <c r="AA793" s="741" t="s">
        <v>3283</v>
      </c>
      <c r="AB793" s="2250">
        <f>+AE464</f>
        <v>600</v>
      </c>
      <c r="AC793" s="1944"/>
      <c r="AD793" s="1944"/>
      <c r="AE793" s="741" t="s">
        <v>3284</v>
      </c>
      <c r="AF793" s="124"/>
      <c r="AG793" s="1732" t="s">
        <v>324</v>
      </c>
      <c r="AH793" s="2096">
        <f>+T793-X793-AB793/2</f>
        <v>364.95958840465573</v>
      </c>
      <c r="AI793" s="2096"/>
      <c r="AJ793" s="2251"/>
      <c r="AK793" s="170"/>
      <c r="AL793" s="1760" t="s">
        <v>3287</v>
      </c>
      <c r="AM793" s="143"/>
      <c r="AN793" s="76" t="s">
        <v>324</v>
      </c>
      <c r="AO793" s="2111">
        <f t="shared" si="18"/>
        <v>880.55374985412186</v>
      </c>
      <c r="AP793" s="2111"/>
      <c r="AQ793" s="2111"/>
      <c r="AR793" s="143"/>
    </row>
    <row r="794" spans="1:44" ht="15" customHeight="1">
      <c r="B794" s="1335" t="s">
        <v>791</v>
      </c>
      <c r="C794" s="1333"/>
      <c r="D794" s="1333"/>
      <c r="E794" s="1333"/>
      <c r="F794" s="1335"/>
      <c r="G794" s="1333"/>
      <c r="H794" s="1761"/>
      <c r="I794" s="1805" t="s">
        <v>3293</v>
      </c>
      <c r="J794" s="1333"/>
      <c r="K794" s="1333"/>
      <c r="L794" s="1733"/>
      <c r="M794" s="1333"/>
      <c r="N794" s="1333"/>
      <c r="O794" s="1333"/>
      <c r="P794" s="1333"/>
      <c r="Q794" s="1333"/>
      <c r="R794" s="1782" t="s">
        <v>324</v>
      </c>
      <c r="S794" s="1335"/>
      <c r="T794" s="2180">
        <f>+AE456</f>
        <v>3200</v>
      </c>
      <c r="U794" s="2180"/>
      <c r="V794" s="2180"/>
      <c r="W794" s="1779" t="s">
        <v>3283</v>
      </c>
      <c r="X794" s="2256">
        <f>+H781</f>
        <v>2535.0404115953443</v>
      </c>
      <c r="Y794" s="2256"/>
      <c r="Z794" s="2256"/>
      <c r="AA794" s="1779" t="s">
        <v>3283</v>
      </c>
      <c r="AB794" s="2257">
        <f>+AE464</f>
        <v>600</v>
      </c>
      <c r="AC794" s="2258"/>
      <c r="AD794" s="2258"/>
      <c r="AE794" s="1779" t="s">
        <v>3284</v>
      </c>
      <c r="AF794" s="1335"/>
      <c r="AG794" s="1782" t="s">
        <v>324</v>
      </c>
      <c r="AH794" s="2104">
        <f>+T794-X794-AB794/2</f>
        <v>364.95958840465573</v>
      </c>
      <c r="AI794" s="2104"/>
      <c r="AJ794" s="2245"/>
      <c r="AK794" s="1333"/>
      <c r="AL794" s="1333" t="s">
        <v>3210</v>
      </c>
      <c r="AM794" s="1333"/>
      <c r="AN794" s="1433" t="s">
        <v>324</v>
      </c>
      <c r="AO794" s="2149">
        <f t="shared" si="18"/>
        <v>15588.336419733858</v>
      </c>
      <c r="AP794" s="2149"/>
      <c r="AQ794" s="2149"/>
      <c r="AR794" s="143"/>
    </row>
    <row r="795" spans="1:44" ht="15" customHeight="1">
      <c r="A795" s="1182"/>
      <c r="B795" s="1177"/>
      <c r="C795" s="1655"/>
      <c r="D795" s="170"/>
      <c r="E795" s="170"/>
      <c r="F795" s="124"/>
      <c r="H795" s="1757"/>
      <c r="I795" s="1757"/>
      <c r="J795" s="1757"/>
      <c r="K795" s="1735"/>
      <c r="L795" s="1731"/>
      <c r="X795" s="1730"/>
      <c r="Y795" s="1730"/>
      <c r="Z795" s="1730"/>
      <c r="AA795" s="1731"/>
      <c r="AB795" s="143"/>
      <c r="AC795" s="1731"/>
      <c r="AD795" s="143"/>
      <c r="AE795" s="1734"/>
      <c r="AF795" s="73"/>
      <c r="AG795" s="1734"/>
      <c r="AI795" s="1737" t="s">
        <v>3211</v>
      </c>
      <c r="AJ795" s="143"/>
      <c r="AN795" s="76" t="s">
        <v>324</v>
      </c>
      <c r="AO795" s="2246">
        <f>+SUM(AO785:AQ794)</f>
        <v>192987.71009354084</v>
      </c>
      <c r="AP795" s="2246"/>
      <c r="AQ795" s="2246"/>
      <c r="AR795" s="2246"/>
    </row>
    <row r="796" spans="1:44" ht="15" customHeight="1">
      <c r="A796" s="1182"/>
      <c r="B796" s="1177"/>
      <c r="G796" s="4"/>
      <c r="H796" s="4"/>
      <c r="I796" s="4"/>
      <c r="L796" s="1643"/>
      <c r="Y796" s="143"/>
      <c r="Z796" s="1643"/>
      <c r="AB796" s="1643"/>
      <c r="AD796" s="73"/>
      <c r="AE796" s="1647"/>
      <c r="AF796" s="73"/>
      <c r="AR796" s="143"/>
    </row>
    <row r="797" spans="1:44" ht="15" customHeight="1">
      <c r="A797" s="1182"/>
      <c r="B797" s="1177" t="s">
        <v>3276</v>
      </c>
      <c r="C797" s="95" t="s">
        <v>3299</v>
      </c>
      <c r="G797" s="4"/>
      <c r="H797" s="4"/>
      <c r="I797" s="4"/>
      <c r="L797" s="1731"/>
      <c r="Y797" s="143"/>
      <c r="Z797" s="1731"/>
      <c r="AB797" s="1731"/>
      <c r="AD797" s="73"/>
      <c r="AE797" s="1734"/>
      <c r="AF797" s="73"/>
      <c r="AR797" s="143"/>
    </row>
    <row r="798" spans="1:44" ht="15" customHeight="1">
      <c r="A798" s="1182"/>
      <c r="B798" s="1177"/>
      <c r="C798" s="1655" t="s">
        <v>3193</v>
      </c>
      <c r="D798" s="1655"/>
      <c r="F798" s="741" t="s">
        <v>324</v>
      </c>
      <c r="G798" s="4"/>
      <c r="H798" s="1655" t="s">
        <v>3246</v>
      </c>
      <c r="I798" s="1806"/>
      <c r="J798" s="1806"/>
      <c r="K798" s="1806"/>
      <c r="L798" s="1806"/>
      <c r="M798" s="1806"/>
      <c r="N798" s="1752"/>
      <c r="O798" s="170"/>
      <c r="P798" s="170"/>
      <c r="Q798" s="170"/>
      <c r="R798" s="170"/>
      <c r="S798" s="170"/>
      <c r="T798" s="170"/>
      <c r="U798" s="170"/>
      <c r="V798" s="170"/>
      <c r="W798" s="1730"/>
      <c r="X798" s="1730"/>
      <c r="Y798" s="1731"/>
      <c r="Z798" s="1731"/>
      <c r="AA798" s="1731"/>
      <c r="AB798" s="1731"/>
      <c r="AD798" s="73"/>
      <c r="AE798" s="1734"/>
      <c r="AF798" s="73"/>
      <c r="AR798" s="143"/>
    </row>
    <row r="799" spans="1:44" ht="15" customHeight="1">
      <c r="A799" s="1182"/>
      <c r="B799" s="1177"/>
      <c r="C799" s="1745"/>
      <c r="D799" s="1745"/>
      <c r="E799" s="170"/>
      <c r="F799" s="1944" t="s">
        <v>324</v>
      </c>
      <c r="G799" s="2116" t="s">
        <v>3291</v>
      </c>
      <c r="H799" s="2253">
        <f>+AK523</f>
        <v>20976</v>
      </c>
      <c r="I799" s="2253"/>
      <c r="J799" s="2253"/>
      <c r="K799" s="1807" t="s">
        <v>3278</v>
      </c>
      <c r="L799" s="2253">
        <f>+AK527</f>
        <v>1945.6</v>
      </c>
      <c r="M799" s="2253"/>
      <c r="N799" s="2253"/>
      <c r="O799" s="1807" t="s">
        <v>3278</v>
      </c>
      <c r="P799" s="2253">
        <f>+AK530</f>
        <v>2412.7431579569611</v>
      </c>
      <c r="Q799" s="2253"/>
      <c r="R799" s="2253"/>
      <c r="S799" s="1807" t="s">
        <v>3278</v>
      </c>
      <c r="T799" s="2253">
        <f>+AK531</f>
        <v>42712.5</v>
      </c>
      <c r="U799" s="2253"/>
      <c r="V799" s="2253"/>
      <c r="W799" s="1807" t="s">
        <v>3278</v>
      </c>
      <c r="X799" s="2253">
        <f>+AK526</f>
        <v>0</v>
      </c>
      <c r="Y799" s="2253"/>
      <c r="Z799" s="2253"/>
      <c r="AA799" s="1808" t="s">
        <v>3278</v>
      </c>
      <c r="AB799" s="2254">
        <f>+AK524</f>
        <v>32055.536807235036</v>
      </c>
      <c r="AC799" s="2254"/>
      <c r="AD799" s="2254"/>
      <c r="AE799" s="1807" t="s">
        <v>3283</v>
      </c>
      <c r="AF799" s="2253">
        <f>+AK529</f>
        <v>2171.4688421612645</v>
      </c>
      <c r="AG799" s="2253"/>
      <c r="AH799" s="2253"/>
      <c r="AI799" s="1808" t="s">
        <v>3283</v>
      </c>
      <c r="AJ799" s="2254">
        <f>+AK528</f>
        <v>3062.1103594539709</v>
      </c>
      <c r="AK799" s="2254"/>
      <c r="AL799" s="2254"/>
      <c r="AM799" s="2179" t="s">
        <v>3300</v>
      </c>
      <c r="AN799" s="2179"/>
      <c r="AO799" s="2259">
        <f>+AE452</f>
        <v>40</v>
      </c>
      <c r="AP799" s="2260"/>
      <c r="AQ799" s="1781"/>
      <c r="AR799" s="143"/>
    </row>
    <row r="800" spans="1:44" ht="15" customHeight="1">
      <c r="A800" s="1182"/>
      <c r="B800" s="1177"/>
      <c r="C800" s="1745"/>
      <c r="D800" s="1745"/>
      <c r="E800" s="170"/>
      <c r="F800" s="1944"/>
      <c r="G800" s="2116"/>
      <c r="H800" s="1811"/>
      <c r="I800" s="1811"/>
      <c r="J800" s="1811"/>
      <c r="K800" s="1809"/>
      <c r="L800" s="1759"/>
      <c r="M800" s="1414"/>
      <c r="N800" s="1414"/>
      <c r="O800" s="1414"/>
      <c r="P800" s="1812"/>
      <c r="Q800" s="1812"/>
      <c r="R800" s="1812"/>
      <c r="S800" s="1813"/>
      <c r="T800" s="1812"/>
      <c r="U800" s="1812"/>
      <c r="V800" s="2247">
        <f>+AK522</f>
        <v>44080</v>
      </c>
      <c r="W800" s="2247"/>
      <c r="X800" s="2247"/>
      <c r="Y800" s="1798"/>
      <c r="Z800" s="1812"/>
      <c r="AA800" s="1812"/>
      <c r="AB800" s="1812"/>
      <c r="AC800" s="1814"/>
      <c r="AD800" s="1815"/>
      <c r="AE800" s="1815"/>
      <c r="AF800" s="1815"/>
      <c r="AG800" s="1816"/>
      <c r="AH800" s="1816"/>
      <c r="AI800" s="1816"/>
      <c r="AJ800" s="1816"/>
      <c r="AK800" s="1810"/>
      <c r="AL800" s="1810"/>
      <c r="AM800" s="2179"/>
      <c r="AN800" s="2179"/>
      <c r="AO800" s="2261">
        <v>2</v>
      </c>
      <c r="AP800" s="2261"/>
      <c r="AQ800" s="1781"/>
      <c r="AR800" s="143"/>
    </row>
    <row r="801" spans="1:44" ht="15" customHeight="1">
      <c r="A801" s="1182"/>
      <c r="B801" s="1177"/>
      <c r="C801" s="1745"/>
      <c r="D801" s="1745"/>
      <c r="E801" s="170"/>
      <c r="F801" s="1732" t="s">
        <v>324</v>
      </c>
      <c r="H801" s="2252">
        <f>((H799+L799+P799+T799+X799+AB799-AF799-AJ799)/V800+1)*AO799/AO800</f>
        <v>63.043920491640996</v>
      </c>
      <c r="I801" s="2252"/>
      <c r="J801" s="2252"/>
      <c r="K801" s="2252"/>
      <c r="L801" s="1661"/>
      <c r="M801" s="1661"/>
      <c r="Y801" s="143"/>
      <c r="Z801" s="1731"/>
      <c r="AB801" s="1731"/>
      <c r="AD801" s="73"/>
      <c r="AE801" s="1734"/>
      <c r="AF801" s="73"/>
      <c r="AR801" s="143"/>
    </row>
    <row r="802" spans="1:44" ht="15" customHeight="1">
      <c r="A802" s="1182"/>
      <c r="B802" s="1177"/>
      <c r="C802" s="1745"/>
      <c r="D802" s="1745"/>
      <c r="E802" s="170"/>
      <c r="F802" s="1732"/>
      <c r="H802" s="1739"/>
      <c r="I802" s="1739"/>
      <c r="J802" s="1739"/>
      <c r="K802" s="1739"/>
      <c r="L802" s="1661"/>
      <c r="M802" s="1661"/>
      <c r="Y802" s="143"/>
      <c r="Z802" s="1731"/>
      <c r="AB802" s="1731"/>
      <c r="AD802" s="73"/>
      <c r="AE802" s="1734"/>
      <c r="AF802" s="73"/>
      <c r="AR802" s="143"/>
    </row>
    <row r="803" spans="1:44" ht="15" customHeight="1">
      <c r="A803" s="1182"/>
      <c r="B803" s="1655" t="s">
        <v>3218</v>
      </c>
      <c r="C803" s="1655"/>
      <c r="D803" s="170"/>
      <c r="E803" s="170"/>
      <c r="F803" s="124"/>
      <c r="H803" s="1757"/>
      <c r="I803" s="1757"/>
      <c r="J803" s="1757"/>
      <c r="K803" s="1735"/>
      <c r="L803" s="1731"/>
      <c r="W803" s="1730"/>
      <c r="X803" s="1730"/>
      <c r="Y803" s="1730"/>
      <c r="Z803" s="1731"/>
      <c r="AB803" s="1731"/>
      <c r="AD803" s="1734"/>
      <c r="AF803" s="1734"/>
      <c r="AR803" s="143"/>
    </row>
    <row r="804" spans="1:44" ht="20.100000000000001" customHeight="1">
      <c r="A804" s="1182"/>
      <c r="B804" s="1762" t="s">
        <v>1091</v>
      </c>
      <c r="C804" s="1667"/>
      <c r="D804" s="1667"/>
      <c r="E804" s="1667"/>
      <c r="F804" s="1763"/>
      <c r="G804" s="1667"/>
      <c r="H804" s="1764"/>
      <c r="I804" s="1783" t="s">
        <v>3220</v>
      </c>
      <c r="J804" s="1764"/>
      <c r="K804" s="1764"/>
      <c r="L804" s="1668"/>
      <c r="M804" s="1667"/>
      <c r="N804" s="1667"/>
      <c r="O804" s="1667"/>
      <c r="P804" s="1667"/>
      <c r="Q804" s="1667"/>
      <c r="R804" s="1667"/>
      <c r="S804" s="1667"/>
      <c r="T804" s="1667"/>
      <c r="U804" s="1668"/>
      <c r="V804" s="1668"/>
      <c r="W804" s="1668"/>
      <c r="X804" s="1668"/>
      <c r="Y804" s="1667"/>
      <c r="Z804" s="1668"/>
      <c r="AA804" s="1667"/>
      <c r="AB804" s="1668"/>
      <c r="AC804" s="1667"/>
      <c r="AD804" s="1668"/>
      <c r="AE804" s="1667"/>
      <c r="AF804" s="1667"/>
      <c r="AG804" s="1667"/>
      <c r="AH804" s="1667"/>
      <c r="AI804" s="1667"/>
      <c r="AJ804" s="1774"/>
      <c r="AK804" s="1667"/>
      <c r="AL804" s="1772" t="s">
        <v>3219</v>
      </c>
      <c r="AM804" s="1764"/>
      <c r="AN804" s="1764"/>
      <c r="AO804" s="1764"/>
      <c r="AP804" s="1764"/>
      <c r="AQ804" s="1764"/>
      <c r="AR804" s="143"/>
    </row>
    <row r="805" spans="1:44" ht="15" customHeight="1">
      <c r="B805" s="124" t="s">
        <v>834</v>
      </c>
      <c r="C805" s="1730"/>
      <c r="D805" s="1730"/>
      <c r="E805" s="170"/>
      <c r="F805" s="124"/>
      <c r="G805" s="170"/>
      <c r="H805" s="1760"/>
      <c r="I805" s="1788" t="s">
        <v>3301</v>
      </c>
      <c r="J805" s="1443"/>
      <c r="K805" s="170"/>
      <c r="L805" s="170"/>
      <c r="M805" s="170"/>
      <c r="N805" s="170"/>
      <c r="O805" s="170"/>
      <c r="P805" s="170"/>
      <c r="Q805" s="170"/>
      <c r="R805" s="1732" t="s">
        <v>324</v>
      </c>
      <c r="S805" s="1802"/>
      <c r="T805" s="1819" t="str">
        <f>"["&amp;ROUND(H801,1)&amp;"²  +  ("&amp;AE452&amp;"  -  "&amp;ROUND(H801,1)&amp;")² ] / 2 /"&amp;AE452</f>
        <v>[63²  +  (40  -  63)² ] / 2 /40</v>
      </c>
      <c r="U805" s="1819"/>
      <c r="V805" s="1819"/>
      <c r="W805" s="1803"/>
      <c r="X805" s="1802"/>
      <c r="Y805" s="1802"/>
      <c r="Z805" s="1804"/>
      <c r="AA805" s="1797"/>
      <c r="AB805" s="1797"/>
      <c r="AC805" s="741"/>
      <c r="AD805" s="1802"/>
      <c r="AE805" s="1797"/>
      <c r="AF805" s="124"/>
      <c r="AG805" s="1732" t="s">
        <v>324</v>
      </c>
      <c r="AH805" s="2096">
        <f>+(H801^2 +(AE452-H801)^2)/2/AE452</f>
        <v>56.31947728226779</v>
      </c>
      <c r="AI805" s="2096"/>
      <c r="AJ805" s="2251"/>
      <c r="AK805" s="170"/>
      <c r="AL805" s="170" t="s">
        <v>3203</v>
      </c>
      <c r="AM805" s="143"/>
      <c r="AN805" s="76" t="s">
        <v>324</v>
      </c>
      <c r="AO805" s="2111">
        <f>+AH805*AK522/1000</f>
        <v>2482.5625586023643</v>
      </c>
      <c r="AP805" s="2111"/>
      <c r="AQ805" s="2111"/>
      <c r="AR805" s="143"/>
    </row>
    <row r="806" spans="1:44" ht="15" customHeight="1">
      <c r="B806" s="124" t="s">
        <v>835</v>
      </c>
      <c r="C806" s="1730"/>
      <c r="D806" s="1730"/>
      <c r="E806" s="170"/>
      <c r="F806" s="124"/>
      <c r="G806" s="170"/>
      <c r="H806" s="1760"/>
      <c r="I806" s="1784" t="s">
        <v>605</v>
      </c>
      <c r="J806" s="170"/>
      <c r="K806" s="170"/>
      <c r="L806" s="170"/>
      <c r="M806" s="170"/>
      <c r="N806" s="170"/>
      <c r="O806" s="170"/>
      <c r="P806" s="170"/>
      <c r="Q806" s="170"/>
      <c r="R806" s="1732" t="s">
        <v>324</v>
      </c>
      <c r="S806" s="1765"/>
      <c r="T806" s="1765" t="str">
        <f>AE452&amp;"  -  "&amp;ROUND(H801,1)&amp;"  +  "&amp;AE456&amp;"  +  "&amp;AE454&amp;"  / 2"</f>
        <v>40  -  63  +  3200  +  30  / 2</v>
      </c>
      <c r="U806" s="1765"/>
      <c r="V806" s="1499"/>
      <c r="W806" s="1787"/>
      <c r="X806" s="741"/>
      <c r="Y806" s="741"/>
      <c r="Z806" s="1818"/>
      <c r="AA806" s="741"/>
      <c r="AB806" s="1499"/>
      <c r="AC806" s="741"/>
      <c r="AD806" s="1499"/>
      <c r="AE806" s="115"/>
      <c r="AF806" s="124"/>
      <c r="AG806" s="1732" t="s">
        <v>324</v>
      </c>
      <c r="AH806" s="2248">
        <f>+AE452-H801+AE456+AE454/2</f>
        <v>3191.9560795083589</v>
      </c>
      <c r="AI806" s="2248"/>
      <c r="AJ806" s="2249"/>
      <c r="AK806" s="170"/>
      <c r="AL806" s="170" t="s">
        <v>3204</v>
      </c>
      <c r="AM806" s="143"/>
      <c r="AN806" s="76" t="s">
        <v>324</v>
      </c>
      <c r="AO806" s="2111">
        <f t="shared" ref="AO806:AO814" si="19">+AH806*AK523/1000</f>
        <v>66954.470723767343</v>
      </c>
      <c r="AP806" s="2111"/>
      <c r="AQ806" s="2111"/>
      <c r="AR806" s="143"/>
    </row>
    <row r="807" spans="1:44" ht="15" customHeight="1">
      <c r="B807" s="124" t="s">
        <v>513</v>
      </c>
      <c r="C807" s="1730"/>
      <c r="D807" s="1730"/>
      <c r="E807" s="170"/>
      <c r="F807" s="124"/>
      <c r="G807" s="170"/>
      <c r="H807" s="1760"/>
      <c r="I807" s="1784" t="s">
        <v>606</v>
      </c>
      <c r="J807" s="170"/>
      <c r="K807" s="170"/>
      <c r="L807" s="170"/>
      <c r="M807" s="170"/>
      <c r="N807" s="170"/>
      <c r="O807" s="170"/>
      <c r="P807" s="170"/>
      <c r="Q807" s="170"/>
      <c r="R807" s="1732" t="s">
        <v>324</v>
      </c>
      <c r="T807" s="2094">
        <f>+AE452</f>
        <v>40</v>
      </c>
      <c r="U807" s="2094"/>
      <c r="V807" s="1787" t="s">
        <v>3283</v>
      </c>
      <c r="W807" s="2093">
        <f>+H801</f>
        <v>63.043920491640996</v>
      </c>
      <c r="X807" s="1862"/>
      <c r="Y807" s="1862"/>
      <c r="Z807" s="1499" t="s">
        <v>3278</v>
      </c>
      <c r="AA807" s="2094">
        <f>+AE456</f>
        <v>3200</v>
      </c>
      <c r="AB807" s="1862"/>
      <c r="AC807" s="1862"/>
      <c r="AD807" s="124" t="s">
        <v>3284</v>
      </c>
      <c r="AE807" s="170"/>
      <c r="AF807" s="170"/>
      <c r="AG807" s="1732" t="s">
        <v>324</v>
      </c>
      <c r="AH807" s="2248">
        <f>T807-W807+AA807/2</f>
        <v>1576.9560795083589</v>
      </c>
      <c r="AI807" s="2248"/>
      <c r="AJ807" s="2249"/>
      <c r="AK807" s="170"/>
      <c r="AL807" s="124" t="s">
        <v>3215</v>
      </c>
      <c r="AM807" s="143"/>
      <c r="AN807" s="76" t="s">
        <v>324</v>
      </c>
      <c r="AO807" s="2111">
        <f t="shared" si="19"/>
        <v>50550.173650073259</v>
      </c>
      <c r="AP807" s="2111"/>
      <c r="AQ807" s="2111"/>
      <c r="AR807" s="143"/>
    </row>
    <row r="808" spans="1:44" ht="15" customHeight="1">
      <c r="B808" s="124" t="s">
        <v>651</v>
      </c>
      <c r="C808" s="1730"/>
      <c r="D808" s="1730"/>
      <c r="E808" s="170"/>
      <c r="F808" s="124"/>
      <c r="G808" s="170"/>
      <c r="H808" s="1760"/>
      <c r="I808" s="1721"/>
      <c r="J808" s="170"/>
      <c r="K808" s="170"/>
      <c r="L808" s="170"/>
      <c r="M808" s="170"/>
      <c r="N808" s="170"/>
      <c r="O808" s="170"/>
      <c r="P808" s="170"/>
      <c r="Q808" s="170"/>
      <c r="R808" s="1732"/>
      <c r="S808" s="1766"/>
      <c r="T808" s="1766"/>
      <c r="U808" s="1766"/>
      <c r="V808" s="1766"/>
      <c r="W808" s="1765"/>
      <c r="X808" s="1765"/>
      <c r="Y808" s="124"/>
      <c r="Z808" s="1765"/>
      <c r="AA808" s="1765"/>
      <c r="AB808" s="1765"/>
      <c r="AC808" s="124"/>
      <c r="AD808" s="1730"/>
      <c r="AE808" s="1765"/>
      <c r="AF808" s="115"/>
      <c r="AG808" s="1732"/>
      <c r="AH808" s="1798"/>
      <c r="AI808" s="1798"/>
      <c r="AJ808" s="1801"/>
      <c r="AK808" s="170"/>
      <c r="AL808" s="170"/>
      <c r="AM808" s="143"/>
      <c r="AN808" s="76"/>
      <c r="AO808" s="2111"/>
      <c r="AP808" s="2111"/>
      <c r="AQ808" s="2111"/>
      <c r="AR808" s="143"/>
    </row>
    <row r="809" spans="1:44" ht="15" customHeight="1">
      <c r="B809" s="124" t="s">
        <v>520</v>
      </c>
      <c r="C809" s="1730"/>
      <c r="D809" s="1730"/>
      <c r="E809" s="170"/>
      <c r="F809" s="124"/>
      <c r="G809" s="170"/>
      <c r="H809" s="1760"/>
      <c r="I809" s="1784" t="s">
        <v>3302</v>
      </c>
      <c r="J809" s="170"/>
      <c r="K809" s="170"/>
      <c r="L809" s="170"/>
      <c r="M809" s="170"/>
      <c r="N809" s="170"/>
      <c r="O809" s="170"/>
      <c r="P809" s="170"/>
      <c r="Q809" s="170"/>
      <c r="R809" s="1732" t="s">
        <v>324</v>
      </c>
      <c r="S809" s="1765"/>
      <c r="T809" s="2094">
        <f>+AE452</f>
        <v>40</v>
      </c>
      <c r="U809" s="2094"/>
      <c r="V809" s="1787" t="s">
        <v>3283</v>
      </c>
      <c r="W809" s="2093">
        <f>+H801</f>
        <v>63.043920491640996</v>
      </c>
      <c r="X809" s="1862"/>
      <c r="Y809" s="1862"/>
      <c r="Z809" s="1499" t="s">
        <v>3278</v>
      </c>
      <c r="AA809" s="2094">
        <f>+AE471</f>
        <v>0</v>
      </c>
      <c r="AB809" s="1862"/>
      <c r="AC809" s="1862"/>
      <c r="AD809" s="124" t="s">
        <v>3284</v>
      </c>
      <c r="AE809" s="170"/>
      <c r="AF809" s="170"/>
      <c r="AG809" s="1732" t="s">
        <v>324</v>
      </c>
      <c r="AH809" s="2248">
        <f>T809-W809+AA809/2</f>
        <v>-23.043920491640996</v>
      </c>
      <c r="AI809" s="2248"/>
      <c r="AJ809" s="2249"/>
      <c r="AK809" s="170"/>
      <c r="AL809" s="170" t="s">
        <v>3206</v>
      </c>
      <c r="AM809" s="143"/>
      <c r="AN809" s="76" t="s">
        <v>324</v>
      </c>
      <c r="AO809" s="2111">
        <f t="shared" si="19"/>
        <v>0</v>
      </c>
      <c r="AP809" s="2111"/>
      <c r="AQ809" s="2111"/>
      <c r="AR809" s="143"/>
    </row>
    <row r="810" spans="1:44" ht="15" customHeight="1">
      <c r="B810" s="124" t="s">
        <v>521</v>
      </c>
      <c r="C810" s="1730"/>
      <c r="D810" s="1730"/>
      <c r="E810" s="170"/>
      <c r="F810" s="124"/>
      <c r="G810" s="170"/>
      <c r="H810" s="1760"/>
      <c r="I810" s="1721" t="s">
        <v>2008</v>
      </c>
      <c r="J810" s="170"/>
      <c r="K810" s="170"/>
      <c r="L810" s="170"/>
      <c r="M810" s="170"/>
      <c r="N810" s="170"/>
      <c r="O810" s="170"/>
      <c r="P810" s="170"/>
      <c r="Q810" s="170"/>
      <c r="R810" s="1732" t="s">
        <v>324</v>
      </c>
      <c r="S810" s="1765"/>
      <c r="T810" s="58" t="str">
        <f>AE452&amp;"  -  "&amp;ROUND(H801,1)&amp;"  +  "&amp;AE456&amp;"  -  "&amp;AE468&amp;"  / 2"</f>
        <v>40  -  63  +  3200  -  160  / 2</v>
      </c>
      <c r="U810" s="58"/>
      <c r="V810" s="58"/>
      <c r="W810" s="741"/>
      <c r="X810" s="1499"/>
      <c r="Y810" s="741"/>
      <c r="Z810" s="741"/>
      <c r="AA810" s="741"/>
      <c r="AB810" s="1499"/>
      <c r="AC810" s="741"/>
      <c r="AD810" s="741"/>
      <c r="AE810" s="741"/>
      <c r="AF810" s="124"/>
      <c r="AG810" s="1732" t="s">
        <v>324</v>
      </c>
      <c r="AH810" s="2248">
        <f>AE452-H801+AE456-AE468/2</f>
        <v>3096.9560795083589</v>
      </c>
      <c r="AI810" s="2248"/>
      <c r="AJ810" s="2249"/>
      <c r="AK810" s="170"/>
      <c r="AL810" s="170" t="s">
        <v>3207</v>
      </c>
      <c r="AM810" s="143"/>
      <c r="AN810" s="76" t="s">
        <v>324</v>
      </c>
      <c r="AO810" s="2111">
        <f t="shared" si="19"/>
        <v>6025.4377482914624</v>
      </c>
      <c r="AP810" s="2111"/>
      <c r="AQ810" s="2111"/>
      <c r="AR810" s="143"/>
    </row>
    <row r="811" spans="1:44" ht="15" customHeight="1">
      <c r="B811" s="124" t="s">
        <v>1126</v>
      </c>
      <c r="C811" s="1730"/>
      <c r="D811" s="1730"/>
      <c r="E811" s="170"/>
      <c r="F811" s="124"/>
      <c r="G811" s="170"/>
      <c r="H811" s="1760"/>
      <c r="I811" s="1721" t="s">
        <v>607</v>
      </c>
      <c r="J811" s="170"/>
      <c r="K811" s="170"/>
      <c r="L811" s="170"/>
      <c r="M811" s="170"/>
      <c r="N811" s="170"/>
      <c r="O811" s="170"/>
      <c r="P811" s="170"/>
      <c r="Q811" s="170"/>
      <c r="R811" s="1732" t="s">
        <v>324</v>
      </c>
      <c r="S811" s="58"/>
      <c r="T811" s="58" t="str">
        <f>AE462&amp;"  -  "&amp;ROUND(AE448,1)&amp;"  -  "&amp;AE452&amp;"  +  "&amp;ROUND(H801,1)</f>
        <v>290  -  50  -  40  +  63</v>
      </c>
      <c r="U811" s="58"/>
      <c r="V811" s="58"/>
      <c r="W811" s="1499"/>
      <c r="X811" s="1765"/>
      <c r="Y811" s="1765"/>
      <c r="Z811" s="1499"/>
      <c r="AA811" s="1765"/>
      <c r="AB811" s="1765"/>
      <c r="AC811" s="1765"/>
      <c r="AD811" s="1787"/>
      <c r="AE811" s="1765"/>
      <c r="AF811" s="1765"/>
      <c r="AG811" s="1732" t="s">
        <v>324</v>
      </c>
      <c r="AH811" s="2096">
        <f>+AE462-AE448-AE452+H801</f>
        <v>263.04392049164102</v>
      </c>
      <c r="AI811" s="2096"/>
      <c r="AJ811" s="2251"/>
      <c r="AK811" s="170"/>
      <c r="AL811" s="170" t="s">
        <v>3208</v>
      </c>
      <c r="AM811" s="143"/>
      <c r="AN811" s="76" t="s">
        <v>324</v>
      </c>
      <c r="AO811" s="2111">
        <f t="shared" si="19"/>
        <v>805.46951392884068</v>
      </c>
      <c r="AP811" s="2111"/>
      <c r="AQ811" s="2111"/>
      <c r="AR811" s="143"/>
    </row>
    <row r="812" spans="1:44" ht="15" customHeight="1">
      <c r="B812" s="124" t="s">
        <v>1127</v>
      </c>
      <c r="C812" s="1730"/>
      <c r="D812" s="1730"/>
      <c r="E812" s="170"/>
      <c r="F812" s="124"/>
      <c r="G812" s="170"/>
      <c r="H812" s="1760"/>
      <c r="I812" s="1721" t="s">
        <v>2011</v>
      </c>
      <c r="J812" s="170"/>
      <c r="K812" s="170"/>
      <c r="L812" s="170"/>
      <c r="M812" s="170"/>
      <c r="N812" s="170"/>
      <c r="O812" s="170"/>
      <c r="P812" s="170"/>
      <c r="Q812" s="170"/>
      <c r="R812" s="1732" t="s">
        <v>324</v>
      </c>
      <c r="S812" s="58"/>
      <c r="T812" s="58" t="str">
        <f>AE462&amp;"  +  "&amp;AE463&amp;"  -  "&amp;ROUND(AE449,1)&amp;"  -  "&amp;AE452&amp;"  +  "&amp;ROUND(H801,1)</f>
        <v>290  +  0  -  250  -  40  +  63</v>
      </c>
      <c r="U812" s="58"/>
      <c r="V812" s="58"/>
      <c r="W812" s="1499"/>
      <c r="X812" s="1765"/>
      <c r="Y812" s="1765"/>
      <c r="Z812" s="1499"/>
      <c r="AA812" s="1765"/>
      <c r="AB812" s="1765"/>
      <c r="AC812" s="1765"/>
      <c r="AD812" s="1787"/>
      <c r="AE812" s="1765"/>
      <c r="AF812" s="1765"/>
      <c r="AG812" s="1732" t="s">
        <v>324</v>
      </c>
      <c r="AH812" s="2096">
        <f>+AE462+AE463-AE449-AE452+H801</f>
        <v>63.043920491640996</v>
      </c>
      <c r="AI812" s="2096"/>
      <c r="AJ812" s="2251"/>
      <c r="AK812" s="170"/>
      <c r="AL812" s="170" t="s">
        <v>3209</v>
      </c>
      <c r="AM812" s="143"/>
      <c r="AN812" s="76" t="s">
        <v>324</v>
      </c>
      <c r="AO812" s="2111">
        <f t="shared" si="19"/>
        <v>136.8979090352905</v>
      </c>
      <c r="AP812" s="2111"/>
      <c r="AQ812" s="2111"/>
      <c r="AR812" s="143"/>
    </row>
    <row r="813" spans="1:44" ht="15" customHeight="1">
      <c r="B813" s="124" t="s">
        <v>3144</v>
      </c>
      <c r="C813" s="170"/>
      <c r="D813" s="170"/>
      <c r="E813" s="170"/>
      <c r="F813" s="124"/>
      <c r="G813" s="170"/>
      <c r="H813" s="1760"/>
      <c r="I813" s="1721" t="s">
        <v>3303</v>
      </c>
      <c r="J813" s="170"/>
      <c r="K813" s="170"/>
      <c r="L813" s="170"/>
      <c r="M813" s="170"/>
      <c r="N813" s="170"/>
      <c r="O813" s="170"/>
      <c r="P813" s="170"/>
      <c r="Q813" s="170"/>
      <c r="R813" s="1732" t="s">
        <v>324</v>
      </c>
      <c r="S813" s="1765"/>
      <c r="T813" s="1765" t="str">
        <f>AE452&amp;"  -  "&amp;ROUND(H801,1)&amp;"  +  "&amp;AE456&amp;"  -  "&amp;ROUND(AE464,1)&amp;"  / 2"</f>
        <v>40  -  63  +  3200  -  600  / 2</v>
      </c>
      <c r="U813" s="1765"/>
      <c r="V813" s="1765"/>
      <c r="W813" s="741"/>
      <c r="X813" s="1818"/>
      <c r="Y813" s="1818"/>
      <c r="Z813" s="1818"/>
      <c r="AA813" s="741"/>
      <c r="AB813" s="1499"/>
      <c r="AC813" s="741"/>
      <c r="AD813" s="741"/>
      <c r="AE813" s="741"/>
      <c r="AF813" s="124"/>
      <c r="AG813" s="1732" t="s">
        <v>324</v>
      </c>
      <c r="AH813" s="2096">
        <f>+AE452-H801+AE456-AE464/2</f>
        <v>2876.9560795083589</v>
      </c>
      <c r="AI813" s="2096"/>
      <c r="AJ813" s="2251"/>
      <c r="AK813" s="170"/>
      <c r="AL813" s="1760" t="s">
        <v>3287</v>
      </c>
      <c r="AM813" s="143"/>
      <c r="AN813" s="76" t="s">
        <v>324</v>
      </c>
      <c r="AO813" s="2111">
        <f t="shared" si="19"/>
        <v>6941.3560965764764</v>
      </c>
      <c r="AP813" s="2111"/>
      <c r="AQ813" s="2111"/>
      <c r="AR813" s="143"/>
    </row>
    <row r="814" spans="1:44" ht="15" customHeight="1">
      <c r="B814" s="1335" t="s">
        <v>791</v>
      </c>
      <c r="C814" s="1333"/>
      <c r="D814" s="1333"/>
      <c r="E814" s="1333"/>
      <c r="F814" s="1335"/>
      <c r="G814" s="1333"/>
      <c r="H814" s="1761"/>
      <c r="I814" s="1778" t="s">
        <v>3304</v>
      </c>
      <c r="J814" s="1333"/>
      <c r="K814" s="1333"/>
      <c r="L814" s="1733"/>
      <c r="M814" s="1333"/>
      <c r="N814" s="1333"/>
      <c r="O814" s="1333"/>
      <c r="P814" s="1333"/>
      <c r="Q814" s="1333"/>
      <c r="R814" s="1782" t="s">
        <v>324</v>
      </c>
      <c r="S814" s="1335"/>
      <c r="T814" s="1767" t="str">
        <f>AE452&amp;"  -  "&amp;ROUND(H801,1)&amp;"  +  "&amp;AE456&amp;"  -  "&amp;ROUND(AE464,1)&amp;"  / 2"</f>
        <v>40  -  63  +  3200  -  600  / 2</v>
      </c>
      <c r="U814" s="1767"/>
      <c r="V814" s="1767"/>
      <c r="W814" s="1779"/>
      <c r="X814" s="1817"/>
      <c r="Y814" s="1817"/>
      <c r="Z814" s="1817"/>
      <c r="AA814" s="1779"/>
      <c r="AB814" s="1771"/>
      <c r="AC814" s="1779"/>
      <c r="AD814" s="1779"/>
      <c r="AE814" s="1779"/>
      <c r="AF814" s="1335"/>
      <c r="AG814" s="1782" t="s">
        <v>324</v>
      </c>
      <c r="AH814" s="2104">
        <f>+AE452-H801+AE456-AE464/2</f>
        <v>2876.9560795083589</v>
      </c>
      <c r="AI814" s="2104"/>
      <c r="AJ814" s="2245"/>
      <c r="AK814" s="1333"/>
      <c r="AL814" s="1333" t="s">
        <v>3210</v>
      </c>
      <c r="AM814" s="1333"/>
      <c r="AN814" s="1433" t="s">
        <v>324</v>
      </c>
      <c r="AO814" s="2149">
        <f t="shared" si="19"/>
        <v>122881.98654600079</v>
      </c>
      <c r="AP814" s="2149"/>
      <c r="AQ814" s="2149"/>
      <c r="AR814" s="143"/>
    </row>
    <row r="815" spans="1:44" ht="15" customHeight="1">
      <c r="A815" s="1182"/>
      <c r="B815" s="1177"/>
      <c r="C815" s="1655"/>
      <c r="D815" s="170"/>
      <c r="E815" s="170"/>
      <c r="F815" s="124"/>
      <c r="H815" s="1757"/>
      <c r="I815" s="1757"/>
      <c r="J815" s="1757"/>
      <c r="K815" s="1735"/>
      <c r="L815" s="1731"/>
      <c r="X815" s="1730"/>
      <c r="Y815" s="1730"/>
      <c r="Z815" s="1730"/>
      <c r="AA815" s="1731"/>
      <c r="AB815" s="143"/>
      <c r="AC815" s="1731"/>
      <c r="AD815" s="143"/>
      <c r="AE815" s="1734"/>
      <c r="AF815" s="73"/>
      <c r="AG815" s="1734"/>
      <c r="AI815" s="1737" t="s">
        <v>3211</v>
      </c>
      <c r="AJ815" s="143"/>
      <c r="AN815" s="76" t="s">
        <v>324</v>
      </c>
      <c r="AO815" s="2246">
        <f>+SUM(AO805:AQ814)</f>
        <v>256778.35474627581</v>
      </c>
      <c r="AP815" s="2246"/>
      <c r="AQ815" s="2246"/>
      <c r="AR815" s="2246"/>
    </row>
    <row r="816" spans="1:44" ht="15" customHeight="1">
      <c r="A816" s="1182"/>
      <c r="B816" s="1177"/>
      <c r="C816" s="143" t="s">
        <v>3275</v>
      </c>
      <c r="E816" s="143" t="s">
        <v>3306</v>
      </c>
      <c r="G816" s="4"/>
      <c r="H816" s="1204" t="s">
        <v>3305</v>
      </c>
      <c r="I816" s="4"/>
      <c r="J816" s="2243">
        <f>IF(U552="(1)",H561,IF(U552="(a)",H582,IF(U552="(2)",H602,IF(U552="(3)",H622,IF(U552="(4)",H640,IF(U552="(5)",H660,IF(U552="(6)",H678,IF(U552="(7)",H698,IF(U552="(b)",H719,IF(U552="(c)",H740,IF(U552="(8)",H760,IF(U552="(d)",H781,H801))))))))))))</f>
        <v>2535.0404115953447</v>
      </c>
      <c r="K816" s="2243"/>
      <c r="L816" s="2243"/>
      <c r="M816" s="2243"/>
      <c r="N816" s="143" t="s">
        <v>3308</v>
      </c>
      <c r="Y816" s="143"/>
      <c r="Z816" s="1643"/>
      <c r="AB816" s="1643"/>
      <c r="AD816" s="73"/>
      <c r="AE816" s="1647"/>
      <c r="AF816" s="73"/>
      <c r="AR816" s="143"/>
    </row>
    <row r="817" spans="1:45" ht="15" customHeight="1">
      <c r="A817" s="1182"/>
      <c r="B817" s="1177"/>
      <c r="E817" s="143" t="s">
        <v>3307</v>
      </c>
      <c r="G817" s="4"/>
      <c r="H817" s="1204" t="s">
        <v>3305</v>
      </c>
      <c r="I817" s="4"/>
      <c r="J817" s="2243">
        <f>IF(U552="(1)",AO575,IF(U552="(a)",AO596,IF(U552="(2)",AO616,IF(U552="(3)",AO636,IF(U552="(4)",AO654,IF(U552="(5)",AO674,IF(U552="(6)",AO692,IF(U552="(7)",AO712,IF(U552="(b)",AO733,IF(U552="(c)",AO754,IF(U552="(8)",AO774,IF(U552="(d)",AO795,AO815))))))))))))</f>
        <v>192987.71009354087</v>
      </c>
      <c r="K817" s="2243"/>
      <c r="L817" s="2243"/>
      <c r="M817" s="2243"/>
      <c r="N817" s="143" t="s">
        <v>3309</v>
      </c>
      <c r="Y817" s="143"/>
      <c r="Z817" s="1643"/>
      <c r="AB817" s="1643"/>
      <c r="AD817" s="73"/>
      <c r="AE817" s="1647"/>
      <c r="AF817" s="73"/>
      <c r="AR817" s="143"/>
    </row>
    <row r="818" spans="1:45" ht="15" customHeight="1">
      <c r="A818" s="1182"/>
      <c r="B818" s="1177"/>
      <c r="G818" s="4"/>
      <c r="H818" s="4"/>
      <c r="I818" s="4"/>
      <c r="L818" s="1643"/>
      <c r="Y818" s="143"/>
      <c r="Z818" s="1643"/>
      <c r="AB818" s="1643"/>
      <c r="AD818" s="73"/>
      <c r="AE818" s="1647"/>
      <c r="AF818" s="73"/>
      <c r="AR818" s="143"/>
    </row>
    <row r="819" spans="1:45" ht="15" customHeight="1">
      <c r="A819" s="1182"/>
      <c r="B819" s="1177"/>
      <c r="G819" s="4"/>
      <c r="H819" s="4"/>
      <c r="I819" s="4"/>
      <c r="L819" s="1731"/>
      <c r="Y819" s="143"/>
      <c r="Z819" s="1731"/>
      <c r="AB819" s="1731"/>
      <c r="AD819" s="73"/>
      <c r="AE819" s="1734"/>
      <c r="AF819" s="73"/>
      <c r="AR819" s="143"/>
    </row>
    <row r="820" spans="1:45" s="1675" customFormat="1" ht="15" customHeight="1">
      <c r="A820" s="1820" t="s">
        <v>3089</v>
      </c>
      <c r="B820" s="1673"/>
      <c r="C820" s="1656"/>
      <c r="D820" s="1656"/>
      <c r="E820" s="1656"/>
      <c r="F820" s="143"/>
      <c r="G820" s="4"/>
      <c r="H820" s="4"/>
      <c r="I820" s="4"/>
      <c r="J820" s="143"/>
      <c r="K820" s="143"/>
      <c r="L820" s="1731"/>
      <c r="M820" s="143"/>
      <c r="O820" s="170"/>
      <c r="AR820" s="1674" t="s">
        <v>3032</v>
      </c>
      <c r="AS820" s="1729"/>
    </row>
    <row r="821" spans="1:45" s="1675" customFormat="1" ht="15" customHeight="1">
      <c r="A821" s="1672"/>
      <c r="B821" s="1673"/>
      <c r="C821" s="1656"/>
      <c r="D821" s="1656"/>
      <c r="E821" s="1656"/>
      <c r="F821" s="143"/>
      <c r="G821" s="4"/>
      <c r="H821" s="4"/>
      <c r="I821" s="4"/>
      <c r="J821" s="143"/>
      <c r="K821" s="143"/>
      <c r="L821" s="1731"/>
      <c r="M821" s="143"/>
      <c r="O821" s="170"/>
      <c r="AS821" s="1729"/>
    </row>
    <row r="822" spans="1:45" s="1675" customFormat="1" ht="15" customHeight="1">
      <c r="B822" s="1676" t="s">
        <v>3310</v>
      </c>
      <c r="C822" s="143" t="s">
        <v>3033</v>
      </c>
      <c r="F822" s="143"/>
      <c r="G822" s="143"/>
      <c r="H822" s="143"/>
      <c r="I822" s="143"/>
      <c r="J822" s="4"/>
      <c r="K822" s="4"/>
      <c r="L822" s="1731"/>
      <c r="M822" s="143"/>
      <c r="N822" s="143"/>
      <c r="O822" s="170"/>
      <c r="AS822" s="1729"/>
    </row>
    <row r="823" spans="1:45" s="1675" customFormat="1" ht="15" customHeight="1">
      <c r="D823" s="206"/>
      <c r="E823" s="143"/>
      <c r="F823" s="143" t="s">
        <v>3034</v>
      </c>
      <c r="H823" s="138" t="s">
        <v>3035</v>
      </c>
      <c r="J823" s="143" t="s">
        <v>3036</v>
      </c>
      <c r="K823" s="1731"/>
      <c r="L823" s="143"/>
      <c r="M823" s="143"/>
      <c r="N823" s="170"/>
      <c r="AS823" s="1729"/>
    </row>
    <row r="824" spans="1:45" s="1675" customFormat="1" ht="15" customHeight="1">
      <c r="D824" s="206"/>
      <c r="E824" s="143"/>
      <c r="F824" s="143" t="s">
        <v>3037</v>
      </c>
      <c r="H824" s="138" t="s">
        <v>3035</v>
      </c>
      <c r="J824" s="143" t="s">
        <v>3038</v>
      </c>
      <c r="K824" s="1731"/>
      <c r="L824" s="143"/>
      <c r="M824" s="143"/>
      <c r="N824" s="170"/>
      <c r="AS824" s="1729"/>
    </row>
    <row r="825" spans="1:45" s="1675" customFormat="1" ht="15" customHeight="1">
      <c r="D825" s="206"/>
      <c r="E825" s="143"/>
      <c r="F825" s="143" t="s">
        <v>753</v>
      </c>
      <c r="H825" s="138" t="s">
        <v>3035</v>
      </c>
      <c r="J825" s="143" t="s">
        <v>3039</v>
      </c>
      <c r="K825" s="1731"/>
      <c r="L825" s="143"/>
      <c r="M825" s="143"/>
      <c r="N825" s="170"/>
      <c r="AS825" s="1729"/>
    </row>
    <row r="826" spans="1:45" s="1675" customFormat="1" ht="15" customHeight="1">
      <c r="C826" s="143" t="s">
        <v>323</v>
      </c>
      <c r="D826" s="206"/>
      <c r="E826" s="143"/>
      <c r="F826" s="143"/>
      <c r="H826" s="138"/>
      <c r="J826" s="143"/>
      <c r="K826" s="1731"/>
      <c r="L826" s="143"/>
      <c r="M826" s="143"/>
      <c r="N826" s="170"/>
      <c r="AS826" s="1729"/>
    </row>
    <row r="827" spans="1:45" s="1821" customFormat="1" ht="15" customHeight="1">
      <c r="D827" s="1821" t="s">
        <v>3311</v>
      </c>
      <c r="E827" s="143"/>
      <c r="F827" s="143" t="s">
        <v>734</v>
      </c>
      <c r="H827" s="138" t="s">
        <v>3305</v>
      </c>
      <c r="J827" s="143" t="s">
        <v>3312</v>
      </c>
      <c r="K827" s="1731"/>
      <c r="L827" s="143"/>
      <c r="M827" s="143"/>
      <c r="N827" s="170"/>
      <c r="R827" s="1822" t="s">
        <v>3305</v>
      </c>
      <c r="S827" s="1821" t="s">
        <v>3313</v>
      </c>
      <c r="V827" s="2244"/>
      <c r="W827" s="2244"/>
      <c r="X827" s="2244"/>
      <c r="AS827" s="1823"/>
    </row>
    <row r="828" spans="1:45" s="1675" customFormat="1" ht="15" customHeight="1">
      <c r="D828" s="206"/>
      <c r="E828" s="143"/>
      <c r="F828" s="143"/>
      <c r="I828" s="143"/>
      <c r="K828" s="138"/>
      <c r="M828" s="143"/>
      <c r="N828" s="1731"/>
      <c r="O828" s="143"/>
      <c r="P828" s="143"/>
      <c r="Q828" s="170"/>
      <c r="AS828" s="1729"/>
    </row>
    <row r="829" spans="1:45" s="1675" customFormat="1" ht="15" customHeight="1">
      <c r="D829" s="206"/>
      <c r="E829" s="143"/>
      <c r="F829" s="143"/>
      <c r="I829" s="143"/>
      <c r="J829" s="138"/>
      <c r="K829" s="143"/>
      <c r="L829" s="4"/>
      <c r="M829" s="4"/>
      <c r="N829" s="1731"/>
      <c r="O829" s="143"/>
      <c r="P829" s="143"/>
      <c r="Q829" s="170"/>
      <c r="AS829" s="1729"/>
    </row>
    <row r="830" spans="1:45" s="1675" customFormat="1" ht="15" customHeight="1">
      <c r="D830" s="206"/>
      <c r="F830" s="143"/>
      <c r="J830" s="143"/>
      <c r="N830" s="143"/>
      <c r="P830" s="4"/>
      <c r="Q830" s="1731"/>
      <c r="R830" s="143"/>
      <c r="AS830" s="1729"/>
    </row>
    <row r="831" spans="1:45" s="1675" customFormat="1" ht="15" customHeight="1">
      <c r="D831" s="206"/>
      <c r="E831" s="143"/>
      <c r="F831" s="143"/>
      <c r="I831" s="143"/>
      <c r="J831" s="143"/>
      <c r="M831" s="143" t="s">
        <v>730</v>
      </c>
      <c r="N831" s="143"/>
      <c r="P831" s="4"/>
      <c r="Q831" s="1731"/>
      <c r="R831" s="143"/>
      <c r="AS831" s="1729"/>
    </row>
    <row r="832" spans="1:45" s="1675" customFormat="1" ht="15" customHeight="1">
      <c r="D832" s="206"/>
      <c r="E832" s="143"/>
      <c r="F832" s="143"/>
      <c r="I832" s="143"/>
      <c r="J832" s="143"/>
      <c r="M832" s="143" t="s">
        <v>731</v>
      </c>
      <c r="N832" s="143"/>
      <c r="P832" s="4"/>
      <c r="Q832" s="1731"/>
      <c r="R832" s="143"/>
      <c r="AS832" s="1729"/>
    </row>
    <row r="833" spans="1:45" s="1675" customFormat="1" ht="15" customHeight="1">
      <c r="D833" s="206"/>
      <c r="E833" s="143"/>
      <c r="F833" s="143"/>
      <c r="I833" s="143"/>
      <c r="J833" s="143"/>
      <c r="M833" s="143"/>
      <c r="N833" s="143"/>
      <c r="P833" s="4"/>
      <c r="Q833" s="1731"/>
      <c r="R833" s="143"/>
      <c r="AS833" s="1729"/>
    </row>
    <row r="834" spans="1:45" s="1675" customFormat="1" ht="15" customHeight="1">
      <c r="D834" s="1676" t="s">
        <v>2466</v>
      </c>
      <c r="E834" s="143" t="s">
        <v>3040</v>
      </c>
      <c r="F834" s="143"/>
      <c r="G834" s="143"/>
      <c r="H834" s="143"/>
      <c r="L834" s="1731"/>
      <c r="M834" s="143"/>
      <c r="N834" s="143"/>
      <c r="O834" s="170"/>
      <c r="AS834" s="1729"/>
    </row>
    <row r="835" spans="1:45" s="1675" customFormat="1" ht="15" customHeight="1">
      <c r="D835" s="206"/>
      <c r="E835" s="143"/>
      <c r="F835" s="143"/>
      <c r="H835" s="143"/>
      <c r="I835" s="143" t="s">
        <v>727</v>
      </c>
      <c r="J835" s="4"/>
      <c r="K835" s="4"/>
      <c r="L835" s="1731"/>
      <c r="M835" s="143"/>
      <c r="N835" s="143"/>
      <c r="O835" s="170"/>
      <c r="AS835" s="1729"/>
    </row>
    <row r="836" spans="1:45" ht="15" customHeight="1">
      <c r="A836" s="1182"/>
      <c r="B836" s="1177"/>
      <c r="G836" s="4"/>
      <c r="H836" s="4"/>
      <c r="I836" s="4"/>
      <c r="L836" s="1643"/>
      <c r="Y836" s="143"/>
      <c r="Z836" s="1643"/>
      <c r="AB836" s="1643"/>
      <c r="AD836" s="73"/>
      <c r="AE836" s="1647"/>
      <c r="AF836" s="73"/>
      <c r="AR836" s="143"/>
    </row>
    <row r="837" spans="1:45" ht="15" customHeight="1">
      <c r="A837" s="1182"/>
      <c r="B837" s="1177"/>
      <c r="G837" s="4"/>
      <c r="H837" s="4"/>
      <c r="I837" s="4"/>
      <c r="L837" s="1643"/>
      <c r="Y837" s="143"/>
      <c r="Z837" s="1643"/>
      <c r="AB837" s="1643"/>
      <c r="AD837" s="73"/>
      <c r="AE837" s="1647"/>
      <c r="AF837" s="73"/>
      <c r="AR837" s="143"/>
    </row>
    <row r="838" spans="1:45" ht="15" customHeight="1">
      <c r="A838" s="1182"/>
      <c r="B838" s="1177"/>
      <c r="G838" s="4"/>
      <c r="H838" s="4"/>
      <c r="I838" s="4"/>
      <c r="L838" s="1643"/>
      <c r="Y838" s="143"/>
      <c r="Z838" s="1643"/>
      <c r="AB838" s="1643"/>
      <c r="AD838" s="73"/>
      <c r="AE838" s="1647"/>
      <c r="AF838" s="73"/>
      <c r="AR838" s="143"/>
    </row>
    <row r="839" spans="1:45" ht="15" customHeight="1">
      <c r="A839" s="1182"/>
      <c r="B839" s="1177"/>
      <c r="G839" s="4"/>
      <c r="H839" s="4"/>
      <c r="I839" s="4"/>
      <c r="L839" s="1643"/>
      <c r="Y839" s="143"/>
      <c r="Z839" s="1643"/>
      <c r="AB839" s="1643"/>
      <c r="AD839" s="73"/>
      <c r="AE839" s="1647"/>
      <c r="AF839" s="73"/>
      <c r="AR839" s="143"/>
    </row>
    <row r="840" spans="1:45" ht="15" customHeight="1">
      <c r="A840" s="1182"/>
      <c r="B840" s="1177"/>
      <c r="G840" s="4"/>
      <c r="H840" s="4"/>
      <c r="I840" s="4"/>
      <c r="L840" s="1643"/>
      <c r="Y840" s="143"/>
      <c r="Z840" s="1643"/>
      <c r="AB840" s="1643"/>
      <c r="AD840" s="73"/>
      <c r="AE840" s="1647"/>
      <c r="AF840" s="73"/>
      <c r="AR840" s="143"/>
    </row>
    <row r="841" spans="1:45" ht="15" customHeight="1">
      <c r="A841" s="1182"/>
      <c r="B841" s="1177"/>
      <c r="G841" s="4"/>
      <c r="H841" s="4"/>
      <c r="I841" s="4"/>
      <c r="L841" s="1643"/>
      <c r="Y841" s="143"/>
      <c r="Z841" s="1643"/>
      <c r="AB841" s="1643"/>
      <c r="AD841" s="73"/>
      <c r="AE841" s="1647"/>
      <c r="AF841" s="73"/>
      <c r="AR841" s="143"/>
    </row>
    <row r="842" spans="1:45" ht="15" customHeight="1">
      <c r="A842" s="1182"/>
      <c r="B842" s="1177"/>
      <c r="G842" s="4"/>
      <c r="H842" s="4"/>
      <c r="I842" s="4"/>
      <c r="L842" s="1643"/>
      <c r="Y842" s="143"/>
      <c r="Z842" s="1643"/>
      <c r="AB842" s="1643"/>
      <c r="AD842" s="73"/>
      <c r="AE842" s="1647"/>
      <c r="AF842" s="73"/>
      <c r="AR842" s="143"/>
    </row>
    <row r="843" spans="1:45" ht="15" customHeight="1">
      <c r="A843" s="1182"/>
      <c r="B843" s="1177"/>
      <c r="G843" s="4"/>
      <c r="H843" s="4"/>
      <c r="I843" s="4"/>
      <c r="L843" s="1643"/>
      <c r="Y843" s="143"/>
      <c r="Z843" s="1643"/>
      <c r="AB843" s="1643"/>
      <c r="AD843" s="73"/>
      <c r="AE843" s="1647"/>
      <c r="AF843" s="73"/>
      <c r="AR843" s="143"/>
    </row>
    <row r="844" spans="1:45" ht="15" customHeight="1">
      <c r="A844" s="1182"/>
      <c r="B844" s="1177"/>
      <c r="G844" s="4"/>
      <c r="H844" s="4"/>
      <c r="I844" s="4"/>
      <c r="L844" s="1643"/>
      <c r="Y844" s="143"/>
      <c r="Z844" s="1643"/>
      <c r="AB844" s="1643"/>
      <c r="AD844" s="73"/>
      <c r="AE844" s="1647"/>
      <c r="AF844" s="73"/>
      <c r="AR844" s="143"/>
    </row>
    <row r="845" spans="1:45" ht="15" customHeight="1">
      <c r="A845" s="1182"/>
      <c r="B845" s="1177"/>
      <c r="G845" s="4"/>
      <c r="H845" s="4"/>
      <c r="I845" s="4"/>
      <c r="L845" s="1643"/>
      <c r="Y845" s="143"/>
      <c r="Z845" s="1643"/>
      <c r="AB845" s="1643"/>
      <c r="AD845" s="73"/>
      <c r="AE845" s="1647"/>
      <c r="AF845" s="73"/>
      <c r="AR845" s="143"/>
    </row>
    <row r="846" spans="1:45" ht="15" customHeight="1">
      <c r="A846" s="1182"/>
      <c r="B846" s="1177"/>
      <c r="G846" s="4"/>
      <c r="H846" s="4"/>
      <c r="I846" s="4"/>
      <c r="L846" s="1643"/>
      <c r="Y846" s="143"/>
      <c r="Z846" s="1643"/>
      <c r="AB846" s="1643"/>
      <c r="AD846" s="73"/>
      <c r="AE846" s="1647"/>
      <c r="AF846" s="73"/>
      <c r="AR846" s="143"/>
    </row>
    <row r="847" spans="1:45" ht="15" customHeight="1">
      <c r="A847" s="1182"/>
      <c r="B847" s="1177"/>
      <c r="G847" s="4"/>
      <c r="H847" s="4"/>
      <c r="I847" s="4"/>
      <c r="L847" s="1643"/>
      <c r="Y847" s="143"/>
      <c r="Z847" s="1643"/>
      <c r="AB847" s="1643"/>
      <c r="AD847" s="73"/>
      <c r="AE847" s="1647"/>
      <c r="AF847" s="73"/>
      <c r="AR847" s="143"/>
    </row>
    <row r="848" spans="1:45" ht="15" customHeight="1">
      <c r="A848" s="1182"/>
      <c r="B848" s="1177"/>
      <c r="G848" s="4"/>
      <c r="H848" s="4"/>
      <c r="I848" s="4"/>
      <c r="L848" s="1643"/>
      <c r="Y848" s="143"/>
      <c r="Z848" s="1643"/>
      <c r="AB848" s="1643"/>
      <c r="AD848" s="73"/>
      <c r="AE848" s="1647"/>
      <c r="AF848" s="73"/>
      <c r="AR848" s="143"/>
    </row>
    <row r="849" spans="1:44" ht="15" customHeight="1">
      <c r="A849" s="1182"/>
      <c r="B849" s="1177"/>
      <c r="G849" s="4"/>
      <c r="H849" s="4"/>
      <c r="I849" s="4"/>
      <c r="L849" s="1643"/>
      <c r="Y849" s="143"/>
      <c r="Z849" s="1643"/>
      <c r="AB849" s="1643"/>
      <c r="AD849" s="73"/>
      <c r="AE849" s="1647"/>
      <c r="AF849" s="73"/>
      <c r="AR849" s="143"/>
    </row>
    <row r="850" spans="1:44" ht="15" customHeight="1">
      <c r="A850" s="1182"/>
      <c r="B850" s="1177"/>
      <c r="G850" s="4"/>
      <c r="H850" s="4"/>
      <c r="I850" s="4"/>
      <c r="L850" s="1643"/>
      <c r="Y850" s="143"/>
      <c r="Z850" s="1643"/>
      <c r="AB850" s="1643"/>
      <c r="AD850" s="73"/>
      <c r="AE850" s="1647"/>
      <c r="AF850" s="73"/>
      <c r="AR850" s="143"/>
    </row>
    <row r="851" spans="1:44" ht="15" customHeight="1">
      <c r="A851" s="1182"/>
      <c r="B851" s="1177"/>
      <c r="G851" s="4"/>
      <c r="H851" s="4"/>
      <c r="I851" s="4"/>
      <c r="L851" s="1643"/>
      <c r="Y851" s="143"/>
      <c r="Z851" s="1643"/>
      <c r="AB851" s="1643"/>
      <c r="AD851" s="73"/>
      <c r="AE851" s="1647"/>
      <c r="AF851" s="73"/>
      <c r="AR851" s="143"/>
    </row>
    <row r="852" spans="1:44" ht="15" customHeight="1">
      <c r="A852" s="1182"/>
      <c r="B852" s="1177"/>
      <c r="G852" s="4"/>
      <c r="H852" s="4"/>
      <c r="I852" s="4"/>
      <c r="L852" s="1643"/>
      <c r="Y852" s="143"/>
      <c r="Z852" s="1643"/>
      <c r="AB852" s="1643"/>
      <c r="AD852" s="73"/>
      <c r="AE852" s="1647"/>
      <c r="AF852" s="73"/>
      <c r="AR852" s="143"/>
    </row>
    <row r="853" spans="1:44" ht="15" customHeight="1">
      <c r="A853" s="1182"/>
      <c r="B853" s="1177"/>
      <c r="G853" s="4"/>
      <c r="H853" s="4"/>
      <c r="I853" s="4"/>
      <c r="L853" s="1643"/>
      <c r="Y853" s="143"/>
      <c r="Z853" s="1643"/>
      <c r="AB853" s="1643"/>
      <c r="AD853" s="73"/>
      <c r="AE853" s="1647"/>
      <c r="AF853" s="73"/>
      <c r="AR853" s="143"/>
    </row>
    <row r="854" spans="1:44" ht="15" customHeight="1">
      <c r="A854" s="1182"/>
      <c r="B854" s="1177"/>
      <c r="G854" s="4"/>
      <c r="H854" s="4"/>
      <c r="I854" s="4"/>
      <c r="L854" s="1643"/>
      <c r="Y854" s="143"/>
      <c r="Z854" s="1643"/>
      <c r="AB854" s="1643"/>
      <c r="AD854" s="73"/>
      <c r="AE854" s="1647"/>
      <c r="AF854" s="73"/>
      <c r="AR854" s="143"/>
    </row>
    <row r="855" spans="1:44" ht="15" customHeight="1">
      <c r="A855" s="1182"/>
      <c r="B855" s="1177"/>
      <c r="G855" s="4"/>
      <c r="H855" s="4"/>
      <c r="I855" s="4"/>
      <c r="L855" s="1643"/>
      <c r="Y855" s="143"/>
      <c r="Z855" s="1643"/>
      <c r="AB855" s="1643"/>
      <c r="AD855" s="73"/>
      <c r="AE855" s="1647"/>
      <c r="AF855" s="73"/>
      <c r="AR855" s="143"/>
    </row>
    <row r="856" spans="1:44" ht="15" customHeight="1">
      <c r="A856" s="1182"/>
      <c r="B856" s="1177"/>
      <c r="G856" s="4"/>
      <c r="H856" s="4"/>
      <c r="I856" s="4"/>
      <c r="L856" s="1643"/>
      <c r="Y856" s="143"/>
      <c r="Z856" s="1643"/>
      <c r="AB856" s="1643"/>
      <c r="AD856" s="73"/>
      <c r="AE856" s="1647"/>
      <c r="AF856" s="73"/>
      <c r="AR856" s="143"/>
    </row>
    <row r="857" spans="1:44" ht="15" customHeight="1">
      <c r="A857" s="1182"/>
      <c r="B857" s="1177"/>
      <c r="G857" s="4"/>
      <c r="H857" s="4"/>
      <c r="I857" s="4"/>
      <c r="L857" s="1643"/>
      <c r="Y857" s="143"/>
      <c r="Z857" s="1643"/>
      <c r="AB857" s="1643"/>
      <c r="AD857" s="73"/>
      <c r="AE857" s="1647"/>
      <c r="AF857" s="73"/>
      <c r="AR857" s="143"/>
    </row>
    <row r="858" spans="1:44" ht="15" customHeight="1">
      <c r="A858" s="1182"/>
      <c r="B858" s="1177"/>
      <c r="G858" s="4"/>
      <c r="H858" s="4"/>
      <c r="I858" s="4"/>
      <c r="L858" s="1643"/>
      <c r="Y858" s="143"/>
      <c r="Z858" s="1643"/>
      <c r="AB858" s="1643"/>
      <c r="AD858" s="73"/>
      <c r="AE858" s="1647"/>
      <c r="AF858" s="73"/>
      <c r="AR858" s="143"/>
    </row>
    <row r="859" spans="1:44" ht="15" customHeight="1">
      <c r="A859" s="1182"/>
      <c r="B859" s="1654"/>
      <c r="G859" s="4"/>
      <c r="H859" s="4"/>
      <c r="I859" s="4"/>
      <c r="L859" s="1643"/>
      <c r="Y859" s="143"/>
      <c r="Z859" s="1643"/>
      <c r="AB859" s="1643"/>
      <c r="AD859" s="73"/>
      <c r="AE859" s="1647"/>
      <c r="AF859" s="73"/>
      <c r="AR859" s="143"/>
    </row>
    <row r="860" spans="1:44" ht="15" customHeight="1">
      <c r="A860" s="1182"/>
      <c r="B860" s="1654"/>
      <c r="G860" s="4"/>
      <c r="H860" s="4"/>
      <c r="I860" s="4"/>
      <c r="L860" s="1643"/>
      <c r="Y860" s="143"/>
      <c r="Z860" s="1643"/>
      <c r="AB860" s="1643"/>
      <c r="AD860" s="73"/>
      <c r="AE860" s="1647"/>
      <c r="AF860" s="73"/>
      <c r="AR860" s="143"/>
    </row>
    <row r="861" spans="1:44" ht="15" customHeight="1">
      <c r="A861" s="1182"/>
      <c r="B861" s="1569"/>
      <c r="G861" s="4"/>
      <c r="H861" s="4"/>
      <c r="I861" s="4"/>
      <c r="Y861" s="143"/>
      <c r="Z861" s="1547"/>
      <c r="AB861" s="1547"/>
      <c r="AD861" s="73"/>
      <c r="AE861" s="1561"/>
      <c r="AF861" s="73"/>
      <c r="AR861" s="143"/>
    </row>
    <row r="862" spans="1:44" ht="15" customHeight="1">
      <c r="A862" s="1247"/>
      <c r="B862" s="170"/>
      <c r="C862" s="170"/>
      <c r="D862" s="124"/>
      <c r="E862" s="170"/>
      <c r="F862" s="1258"/>
      <c r="G862" s="1258"/>
      <c r="H862" s="1258"/>
      <c r="I862" s="1258"/>
      <c r="L862" s="143"/>
      <c r="M862" s="1206"/>
      <c r="N862" s="1206"/>
      <c r="O862" s="1206"/>
      <c r="P862" s="170"/>
      <c r="Q862" s="170"/>
      <c r="R862" s="170"/>
      <c r="S862" s="170"/>
      <c r="T862" s="170"/>
      <c r="U862" s="1547"/>
      <c r="V862" s="1547"/>
      <c r="W862" s="1600"/>
      <c r="X862" s="1600"/>
      <c r="Y862" s="1600"/>
      <c r="Z862" s="1600"/>
      <c r="AA862" s="1600"/>
      <c r="AB862" s="1600"/>
      <c r="AJ862" s="505"/>
      <c r="AM862" s="76"/>
    </row>
    <row r="863" spans="1:44" ht="15" customHeight="1">
      <c r="A863" s="1182" t="s">
        <v>389</v>
      </c>
      <c r="B863" s="96"/>
      <c r="C863" s="122"/>
      <c r="D863" s="122"/>
      <c r="E863" s="122"/>
      <c r="F863" s="122"/>
      <c r="G863" s="87"/>
      <c r="H863" s="122"/>
      <c r="I863" s="122"/>
      <c r="J863" s="122"/>
      <c r="K863" s="170"/>
      <c r="L863" s="1539"/>
      <c r="M863" s="170"/>
      <c r="N863" s="170"/>
      <c r="P863" s="170"/>
      <c r="Q863" s="170"/>
      <c r="R863" s="170"/>
      <c r="S863" s="170"/>
      <c r="X863" s="170"/>
      <c r="Y863" s="1539"/>
      <c r="Z863" s="170"/>
      <c r="AJ863" s="505"/>
      <c r="AM863" s="76"/>
      <c r="AR863" s="1529"/>
    </row>
    <row r="864" spans="1:44" ht="15" customHeight="1">
      <c r="A864" s="96"/>
      <c r="B864" s="170"/>
      <c r="C864" s="170"/>
      <c r="D864" s="124"/>
      <c r="E864" s="170"/>
      <c r="F864" s="1258"/>
      <c r="G864" s="1258"/>
      <c r="H864" s="1258"/>
      <c r="I864" s="1258"/>
      <c r="K864" s="78"/>
      <c r="L864" s="1206"/>
      <c r="M864" s="1206"/>
      <c r="N864" s="1206"/>
      <c r="O864" s="1206"/>
      <c r="P864" s="170"/>
      <c r="Q864" s="170"/>
      <c r="R864" s="170"/>
      <c r="S864" s="170"/>
      <c r="T864" s="170"/>
      <c r="U864" s="124"/>
      <c r="V864" s="170"/>
      <c r="X864" s="170"/>
      <c r="Y864" s="1539"/>
      <c r="Z864" s="170"/>
      <c r="AA864" s="170"/>
      <c r="AJ864" s="505"/>
      <c r="AM864" s="76"/>
    </row>
    <row r="865" spans="1:45" ht="15" customHeight="1">
      <c r="A865" s="96"/>
      <c r="B865" s="170"/>
      <c r="C865" s="170" t="s">
        <v>2984</v>
      </c>
      <c r="D865" s="124"/>
      <c r="E865" s="170"/>
      <c r="F865" s="1258"/>
      <c r="G865" s="1258"/>
      <c r="H865" s="1258"/>
      <c r="I865" s="1258"/>
      <c r="K865" s="78" t="str">
        <f>IF(AE450=1,"Box Flange","Open Flange")</f>
        <v>Box Flange</v>
      </c>
      <c r="L865" s="1206"/>
      <c r="M865" s="1206"/>
      <c r="N865" s="1206"/>
      <c r="O865" s="1206"/>
      <c r="P865" s="170" t="s">
        <v>2462</v>
      </c>
      <c r="Q865" s="170"/>
      <c r="R865" s="170" t="s">
        <v>2986</v>
      </c>
      <c r="S865" s="170"/>
      <c r="T865" s="170"/>
      <c r="U865" s="124"/>
      <c r="V865" s="170"/>
      <c r="X865" s="170"/>
      <c r="Y865" s="1539"/>
      <c r="Z865" s="170"/>
      <c r="AA865" s="170"/>
      <c r="AJ865" s="505"/>
      <c r="AM865" s="76"/>
      <c r="AS865" s="1628" t="str">
        <f>IF(K865="Open Flange","Hide this row","")</f>
        <v/>
      </c>
    </row>
    <row r="866" spans="1:45" ht="15" customHeight="1">
      <c r="B866" s="1177" t="s">
        <v>2466</v>
      </c>
      <c r="C866" s="1553" t="s">
        <v>2528</v>
      </c>
      <c r="E866" s="170"/>
      <c r="G866" s="170"/>
      <c r="H866" s="170"/>
      <c r="K866" s="170"/>
      <c r="L866" s="143"/>
      <c r="N866" s="170"/>
      <c r="O866" s="170"/>
      <c r="P866" s="170"/>
      <c r="Q866" s="170"/>
      <c r="R866" s="170"/>
      <c r="S866" s="170"/>
      <c r="T866" s="170"/>
      <c r="U866" s="170"/>
      <c r="V866" s="170"/>
      <c r="W866" s="170"/>
      <c r="X866" s="170"/>
      <c r="Y866" s="1539"/>
      <c r="Z866" s="170"/>
      <c r="AA866" s="170"/>
      <c r="AS866" s="1628" t="str">
        <f>IF(K865="Box Flange","Hide this row","")</f>
        <v>Hide this row</v>
      </c>
    </row>
    <row r="867" spans="1:45" ht="15" customHeight="1">
      <c r="A867" s="170"/>
      <c r="B867" s="170"/>
      <c r="C867" s="170"/>
      <c r="D867" s="124" t="s">
        <v>2912</v>
      </c>
      <c r="E867" s="170"/>
      <c r="F867" s="1540"/>
      <c r="G867" s="170"/>
      <c r="H867" s="170"/>
      <c r="K867" s="170"/>
      <c r="L867" s="143"/>
      <c r="N867" s="170"/>
      <c r="S867" s="170"/>
      <c r="T867" s="170"/>
      <c r="U867" s="170"/>
      <c r="V867" s="170"/>
      <c r="W867" s="124" t="s">
        <v>2983</v>
      </c>
      <c r="X867" s="170"/>
      <c r="Y867" s="1539"/>
      <c r="Z867" s="170"/>
      <c r="AA867" s="170"/>
      <c r="AS867" s="1628" t="str">
        <f>IF(K865="Box Flange","Hide this row","")</f>
        <v>Hide this row</v>
      </c>
    </row>
    <row r="868" spans="1:45" ht="15" customHeight="1">
      <c r="A868" s="170"/>
      <c r="B868" s="170"/>
      <c r="C868" s="170"/>
      <c r="E868" s="170"/>
      <c r="F868" s="1540"/>
      <c r="G868" s="170"/>
      <c r="H868" s="170"/>
      <c r="K868" s="170"/>
      <c r="L868" s="143"/>
      <c r="N868" s="170"/>
      <c r="O868" s="170"/>
      <c r="P868" s="170"/>
      <c r="Q868" s="170"/>
      <c r="R868" s="170"/>
      <c r="S868" s="170"/>
      <c r="T868" s="170"/>
      <c r="U868" s="170"/>
      <c r="V868" s="170"/>
      <c r="W868" s="170"/>
      <c r="X868" s="170"/>
      <c r="Y868" s="1539"/>
      <c r="Z868" s="170"/>
      <c r="AA868" s="170"/>
      <c r="AJ868" s="505"/>
      <c r="AM868" s="76"/>
      <c r="AS868" s="1628" t="str">
        <f>IF(K865="Box Flange","Hide this row","")</f>
        <v>Hide this row</v>
      </c>
    </row>
    <row r="869" spans="1:45" ht="15" customHeight="1">
      <c r="A869" s="170"/>
      <c r="C869" s="143" t="s">
        <v>786</v>
      </c>
      <c r="D869" s="170" t="s">
        <v>2772</v>
      </c>
      <c r="E869" s="1553"/>
      <c r="G869" s="170"/>
      <c r="I869" s="170"/>
      <c r="J869" s="170"/>
      <c r="K869" s="170"/>
      <c r="L869" s="1539"/>
      <c r="M869" s="170"/>
      <c r="N869" s="170"/>
      <c r="O869" s="170"/>
      <c r="P869" s="170"/>
      <c r="Q869" s="170"/>
      <c r="R869" s="170"/>
      <c r="U869" s="170"/>
      <c r="V869" s="170"/>
      <c r="W869" s="170"/>
      <c r="X869" s="170"/>
      <c r="Y869" s="1539"/>
      <c r="Z869" s="170"/>
      <c r="AA869" s="170"/>
      <c r="AJ869" s="505"/>
      <c r="AM869" s="76"/>
      <c r="AS869" s="1628" t="str">
        <f>IF(K865="Box Flange","Hide this row","")</f>
        <v>Hide this row</v>
      </c>
    </row>
    <row r="870" spans="1:45" ht="15" customHeight="1">
      <c r="A870" s="170"/>
      <c r="B870" s="170"/>
      <c r="D870" s="170"/>
      <c r="E870" s="1553"/>
      <c r="G870" s="1249" t="s">
        <v>2775</v>
      </c>
      <c r="I870" s="124" t="s">
        <v>324</v>
      </c>
      <c r="J870" s="170"/>
      <c r="K870" s="1249" t="s">
        <v>2974</v>
      </c>
      <c r="L870" s="1539"/>
      <c r="M870" s="170"/>
      <c r="N870" s="170"/>
      <c r="O870" s="170"/>
      <c r="P870" s="170"/>
      <c r="Q870" s="170"/>
      <c r="R870" s="170"/>
      <c r="U870" s="170"/>
      <c r="V870" s="170"/>
      <c r="W870" s="170"/>
      <c r="X870" s="170"/>
      <c r="Y870" s="1539"/>
      <c r="Z870" s="170"/>
      <c r="AA870" s="170"/>
      <c r="AJ870" s="505"/>
      <c r="AM870" s="76"/>
      <c r="AS870" s="1628" t="str">
        <f>IF(K865="Box Flange","Hide this row","")</f>
        <v>Hide this row</v>
      </c>
    </row>
    <row r="871" spans="1:45" ht="15" customHeight="1">
      <c r="A871" s="170"/>
      <c r="B871" s="170"/>
      <c r="D871" s="143" t="s">
        <v>2496</v>
      </c>
      <c r="E871" s="1553"/>
      <c r="G871" s="1249"/>
      <c r="I871" s="170"/>
      <c r="J871" s="170"/>
      <c r="K871" s="170"/>
      <c r="L871" s="1539"/>
      <c r="M871" s="170"/>
      <c r="N871" s="170"/>
      <c r="O871" s="170"/>
      <c r="P871" s="170"/>
      <c r="Q871" s="170"/>
      <c r="R871" s="170"/>
      <c r="U871" s="170"/>
      <c r="V871" s="170"/>
      <c r="W871" s="170"/>
      <c r="X871" s="170"/>
      <c r="Y871" s="1539"/>
      <c r="Z871" s="170"/>
      <c r="AA871" s="170"/>
      <c r="AJ871" s="505"/>
      <c r="AM871" s="76"/>
      <c r="AS871" s="1628" t="str">
        <f>IF(K865="Box Flange","Hide this row","")</f>
        <v>Hide this row</v>
      </c>
    </row>
    <row r="872" spans="1:45" ht="15" customHeight="1">
      <c r="A872" s="170"/>
      <c r="B872" s="170"/>
      <c r="D872" s="170"/>
      <c r="E872" s="1553"/>
      <c r="G872" s="649" t="s">
        <v>2497</v>
      </c>
      <c r="I872" s="138" t="s">
        <v>324</v>
      </c>
      <c r="J872" s="170"/>
      <c r="K872" s="124" t="s">
        <v>2975</v>
      </c>
      <c r="L872" s="1539"/>
      <c r="M872" s="170"/>
      <c r="N872" s="170"/>
      <c r="O872" s="170"/>
      <c r="P872" s="170"/>
      <c r="Q872" s="170"/>
      <c r="R872" s="170"/>
      <c r="U872" s="170"/>
      <c r="V872" s="170"/>
      <c r="W872" s="170"/>
      <c r="X872" s="170"/>
      <c r="Y872" s="1539"/>
      <c r="Z872" s="170"/>
      <c r="AA872" s="170"/>
      <c r="AJ872" s="505"/>
      <c r="AM872" s="76"/>
      <c r="AS872" s="1628" t="str">
        <f>IF(K865="Box Flange","Hide this row","")</f>
        <v>Hide this row</v>
      </c>
    </row>
    <row r="873" spans="1:45" ht="15" customHeight="1">
      <c r="A873" s="170"/>
      <c r="B873" s="170"/>
      <c r="D873" s="170"/>
      <c r="E873" s="1553"/>
      <c r="G873" s="170"/>
      <c r="I873" s="124" t="s">
        <v>324</v>
      </c>
      <c r="J873" s="170"/>
      <c r="K873" s="138" t="s">
        <v>2663</v>
      </c>
      <c r="L873" s="2095">
        <f>AE496/10^6</f>
        <v>0.26661728678094376</v>
      </c>
      <c r="M873" s="2095"/>
      <c r="N873" s="2095"/>
      <c r="O873" s="1541" t="s">
        <v>2503</v>
      </c>
      <c r="P873" s="495"/>
      <c r="R873" s="1547"/>
      <c r="S873" s="2093">
        <f>AE446/10^6</f>
        <v>7.6552758986349282E-3</v>
      </c>
      <c r="T873" s="2093"/>
      <c r="U873" s="1549" t="s">
        <v>391</v>
      </c>
      <c r="V873" s="2194">
        <f>+AE447/10^6</f>
        <v>5.4286721054031626E-3</v>
      </c>
      <c r="W873" s="2194"/>
      <c r="X873" s="2194"/>
      <c r="Y873" s="124" t="s">
        <v>2498</v>
      </c>
      <c r="AB873" s="143"/>
      <c r="AC873" s="115"/>
      <c r="AD873" s="143"/>
      <c r="AE873" s="143"/>
      <c r="AF873" s="143"/>
      <c r="AG873" s="143"/>
      <c r="AJ873" s="505"/>
      <c r="AM873" s="76"/>
      <c r="AS873" s="1628" t="str">
        <f>IF(K865="Box Flange","Hide this row","")</f>
        <v>Hide this row</v>
      </c>
    </row>
    <row r="874" spans="1:45" ht="15" customHeight="1">
      <c r="A874" s="170"/>
      <c r="I874" s="138" t="s">
        <v>324</v>
      </c>
      <c r="K874" s="2212">
        <f>(L873*78.5+(S873+V873)*25)/2</f>
        <v>10.628277856202518</v>
      </c>
      <c r="L874" s="2212"/>
      <c r="M874" s="2212"/>
      <c r="N874" s="143" t="s">
        <v>1010</v>
      </c>
      <c r="Y874" s="143"/>
      <c r="AB874" s="170"/>
      <c r="AD874" s="143"/>
      <c r="AE874" s="143"/>
      <c r="AF874" s="143"/>
      <c r="AG874" s="143"/>
      <c r="AH874" s="143"/>
      <c r="AI874" s="143"/>
      <c r="AJ874" s="143"/>
      <c r="AK874" s="143"/>
      <c r="AL874" s="143"/>
      <c r="AM874" s="143"/>
      <c r="AS874" s="1628" t="str">
        <f>IF(K865="Box Flange","Hide this row","")</f>
        <v>Hide this row</v>
      </c>
    </row>
    <row r="875" spans="1:45" ht="15" customHeight="1">
      <c r="A875" s="170"/>
      <c r="F875" s="170" t="s">
        <v>2462</v>
      </c>
      <c r="G875" s="124" t="s">
        <v>2567</v>
      </c>
      <c r="I875" s="138" t="s">
        <v>324</v>
      </c>
      <c r="K875" s="2194">
        <f>+K874</f>
        <v>10.628277856202518</v>
      </c>
      <c r="L875" s="2194"/>
      <c r="M875" s="2194"/>
      <c r="N875" s="1549" t="s">
        <v>2489</v>
      </c>
      <c r="O875" s="2101">
        <f>AE458</f>
        <v>0.125</v>
      </c>
      <c r="P875" s="2101"/>
      <c r="Q875" s="2101"/>
      <c r="R875" s="1549" t="s">
        <v>2489</v>
      </c>
      <c r="S875" s="2097">
        <f>+AE444</f>
        <v>5000</v>
      </c>
      <c r="T875" s="1938"/>
      <c r="U875" s="1938"/>
      <c r="V875" s="170" t="s">
        <v>2494</v>
      </c>
      <c r="Y875" s="143"/>
      <c r="AB875" s="143"/>
      <c r="AJ875" s="505"/>
      <c r="AM875" s="76"/>
      <c r="AS875" s="1628" t="str">
        <f>IF(K865="Box Flange","Hide this row","")</f>
        <v>Hide this row</v>
      </c>
    </row>
    <row r="876" spans="1:45" ht="15" customHeight="1">
      <c r="A876" s="170"/>
      <c r="E876" s="170"/>
      <c r="F876" s="124"/>
      <c r="I876" s="138" t="s">
        <v>324</v>
      </c>
      <c r="K876" s="2127">
        <f>1/12*K875*O875*(S875/1000)^2</f>
        <v>2.7677806917194054</v>
      </c>
      <c r="L876" s="2127"/>
      <c r="M876" s="2127"/>
      <c r="N876" s="1541" t="s">
        <v>2640</v>
      </c>
      <c r="R876" s="1549"/>
      <c r="S876" s="1566"/>
      <c r="T876" s="1547"/>
      <c r="U876" s="1547"/>
      <c r="V876" s="170"/>
      <c r="Y876" s="143"/>
      <c r="AB876" s="143"/>
      <c r="AJ876" s="505"/>
      <c r="AM876" s="76"/>
      <c r="AS876" s="1628" t="str">
        <f>IF(K865="Box Flange","Hide this row","")</f>
        <v>Hide this row</v>
      </c>
    </row>
    <row r="877" spans="1:45" ht="15" customHeight="1">
      <c r="A877" s="170"/>
      <c r="C877" s="138" t="s">
        <v>788</v>
      </c>
      <c r="D877" s="143" t="s">
        <v>2774</v>
      </c>
      <c r="E877" s="1608"/>
      <c r="J877" s="1575"/>
      <c r="K877" s="1549"/>
      <c r="L877" s="1193"/>
      <c r="M877" s="1193"/>
      <c r="N877" s="170"/>
      <c r="O877" s="170"/>
      <c r="Q877" s="1556"/>
      <c r="W877" s="170"/>
      <c r="X877" s="170"/>
      <c r="Y877" s="143"/>
      <c r="AS877" s="1628" t="str">
        <f>IF(K865="Box Flange","Hide this row","")</f>
        <v>Hide this row</v>
      </c>
    </row>
    <row r="878" spans="1:45" ht="15" customHeight="1">
      <c r="A878" s="170"/>
      <c r="E878" s="1608"/>
      <c r="G878" s="143" t="s">
        <v>928</v>
      </c>
      <c r="I878" s="138" t="s">
        <v>324</v>
      </c>
      <c r="J878" s="1575"/>
      <c r="K878" s="143" t="s">
        <v>2920</v>
      </c>
      <c r="L878" s="1193"/>
      <c r="M878" s="1193"/>
      <c r="N878" s="170"/>
      <c r="O878" s="170"/>
      <c r="Y878" s="143"/>
      <c r="AB878" s="143"/>
      <c r="AD878" s="143"/>
      <c r="AE878" s="143"/>
      <c r="AF878" s="143"/>
      <c r="AG878" s="143"/>
      <c r="AH878" s="143"/>
      <c r="AI878" s="143"/>
      <c r="AJ878" s="143"/>
      <c r="AK878" s="143"/>
      <c r="AL878" s="143"/>
      <c r="AM878" s="143"/>
      <c r="AN878" s="143"/>
      <c r="AO878" s="143"/>
      <c r="AP878" s="143"/>
      <c r="AQ878" s="143"/>
      <c r="AR878" s="143"/>
      <c r="AS878" s="1628" t="str">
        <f>IF(K865="Box Flange","Hide this row","")</f>
        <v>Hide this row</v>
      </c>
    </row>
    <row r="879" spans="1:45" ht="15" customHeight="1">
      <c r="A879" s="170"/>
      <c r="D879" s="143" t="s">
        <v>2496</v>
      </c>
      <c r="E879" s="1608"/>
      <c r="J879" s="1575"/>
      <c r="L879" s="143"/>
      <c r="Y879" s="143"/>
      <c r="AB879" s="143"/>
      <c r="AD879" s="143"/>
      <c r="AE879" s="143"/>
      <c r="AF879" s="143"/>
      <c r="AG879" s="143"/>
      <c r="AH879" s="143"/>
      <c r="AI879" s="143"/>
      <c r="AJ879" s="143"/>
      <c r="AK879" s="143"/>
      <c r="AL879" s="143"/>
      <c r="AM879" s="143"/>
      <c r="AN879" s="143"/>
      <c r="AO879" s="143"/>
      <c r="AS879" s="1628" t="str">
        <f>IF(K865="Box Flange","Hide this row","")</f>
        <v>Hide this row</v>
      </c>
    </row>
    <row r="880" spans="1:45" ht="15" customHeight="1">
      <c r="A880" s="170"/>
      <c r="E880" s="1608"/>
      <c r="G880" s="138" t="s">
        <v>405</v>
      </c>
      <c r="I880" s="138" t="s">
        <v>324</v>
      </c>
      <c r="K880" s="138" t="s">
        <v>2776</v>
      </c>
      <c r="L880" s="143"/>
      <c r="M880" s="1575"/>
      <c r="R880" s="1567" t="s">
        <v>324</v>
      </c>
      <c r="S880" s="2100">
        <v>0.5</v>
      </c>
      <c r="T880" s="2100"/>
      <c r="U880" s="1567" t="s">
        <v>2489</v>
      </c>
      <c r="V880" s="2217">
        <f>+AD883</f>
        <v>8.3374999999999986</v>
      </c>
      <c r="W880" s="2116"/>
      <c r="X880" s="1609" t="s">
        <v>2490</v>
      </c>
      <c r="Y880" s="2117">
        <f>+AD881</f>
        <v>2.064516129032258</v>
      </c>
      <c r="Z880" s="2117"/>
      <c r="AB880" s="143"/>
      <c r="AC880" s="1567" t="s">
        <v>324</v>
      </c>
      <c r="AD880" s="2100">
        <f>+S880*V880/Y880</f>
        <v>2.0192382812499998</v>
      </c>
      <c r="AE880" s="2100"/>
      <c r="AF880" s="2100"/>
      <c r="AG880" s="143" t="s">
        <v>1010</v>
      </c>
      <c r="AH880" s="143"/>
      <c r="AI880" s="143"/>
      <c r="AJ880" s="143"/>
      <c r="AK880" s="143"/>
      <c r="AL880" s="143"/>
      <c r="AM880" s="143"/>
      <c r="AS880" s="1628" t="str">
        <f>IF(K865="Box Flange","Hide this row","")</f>
        <v>Hide this row</v>
      </c>
    </row>
    <row r="881" spans="1:45" ht="15" customHeight="1">
      <c r="A881" s="170"/>
      <c r="F881" s="2004"/>
      <c r="G881" s="2221" t="s">
        <v>2568</v>
      </c>
      <c r="H881" s="2221"/>
      <c r="I881" s="2004" t="s">
        <v>324</v>
      </c>
      <c r="K881" s="2173" t="s">
        <v>414</v>
      </c>
      <c r="L881" s="2173"/>
      <c r="M881" s="2173"/>
      <c r="N881" s="2173"/>
      <c r="O881" s="2173"/>
      <c r="P881" s="2116" t="s">
        <v>324</v>
      </c>
      <c r="Q881" s="2173">
        <f>+AE456</f>
        <v>3200</v>
      </c>
      <c r="R881" s="2173"/>
      <c r="S881" s="2173"/>
      <c r="T881" s="2173"/>
      <c r="U881" s="2173"/>
      <c r="V881" s="2173"/>
      <c r="W881" s="2173"/>
      <c r="X881" s="2173"/>
      <c r="Y881" s="2173"/>
      <c r="Z881" s="2173"/>
      <c r="AA881" s="2173"/>
      <c r="AB881" s="143"/>
      <c r="AC881" s="1944" t="s">
        <v>324</v>
      </c>
      <c r="AD881" s="2100">
        <f>+Q881/(Q882+U882*Y882)</f>
        <v>2.064516129032258</v>
      </c>
      <c r="AE881" s="2100"/>
      <c r="AF881" s="2100"/>
      <c r="AG881" s="143"/>
      <c r="AK881" s="143"/>
      <c r="AL881" s="143"/>
      <c r="AM881" s="143"/>
      <c r="AN881" s="143"/>
      <c r="AO881" s="143"/>
      <c r="AS881" s="1628" t="str">
        <f>IF(K865="Box Flange","Hide this row","")</f>
        <v>Hide this row</v>
      </c>
    </row>
    <row r="882" spans="1:45" ht="15" customHeight="1">
      <c r="A882" s="170"/>
      <c r="F882" s="2004"/>
      <c r="G882" s="2221"/>
      <c r="H882" s="2221"/>
      <c r="I882" s="2004"/>
      <c r="K882" s="58" t="s">
        <v>2579</v>
      </c>
      <c r="L882" s="58"/>
      <c r="M882" s="58"/>
      <c r="N882" s="58"/>
      <c r="P882" s="1938"/>
      <c r="Q882" s="2096">
        <f>AE459</f>
        <v>1150</v>
      </c>
      <c r="R882" s="2096"/>
      <c r="S882" s="2096"/>
      <c r="T882" s="1567" t="s">
        <v>391</v>
      </c>
      <c r="U882" s="2096">
        <f>+Q881</f>
        <v>3200</v>
      </c>
      <c r="V882" s="2096"/>
      <c r="W882" s="2096"/>
      <c r="X882" s="1549" t="s">
        <v>2489</v>
      </c>
      <c r="Y882" s="2101">
        <f>+AE458</f>
        <v>0.125</v>
      </c>
      <c r="Z882" s="2101"/>
      <c r="AA882" s="2101"/>
      <c r="AB882" s="143"/>
      <c r="AC882" s="1862"/>
      <c r="AD882" s="2100"/>
      <c r="AE882" s="2100"/>
      <c r="AF882" s="2100"/>
      <c r="AG882" s="143"/>
      <c r="AK882" s="143"/>
      <c r="AL882" s="143"/>
      <c r="AM882" s="143"/>
      <c r="AN882" s="143"/>
      <c r="AO882" s="143"/>
      <c r="AS882" s="1628" t="str">
        <f>IF(K865="Box Flange","Hide this row","")</f>
        <v>Hide this row</v>
      </c>
    </row>
    <row r="883" spans="1:45" ht="15" customHeight="1">
      <c r="A883" s="170"/>
      <c r="F883" s="1550"/>
      <c r="G883" s="143" t="s">
        <v>948</v>
      </c>
      <c r="H883" s="1610"/>
      <c r="I883" s="138" t="s">
        <v>324</v>
      </c>
      <c r="K883" s="143" t="s">
        <v>2976</v>
      </c>
      <c r="L883" s="58"/>
      <c r="M883" s="58"/>
      <c r="N883" s="58"/>
      <c r="P883" s="1567" t="s">
        <v>324</v>
      </c>
      <c r="Q883" s="1938">
        <f>AE462/1000</f>
        <v>0.28999999999999998</v>
      </c>
      <c r="R883" s="1938"/>
      <c r="S883" s="1938"/>
      <c r="T883" s="1567" t="s">
        <v>2489</v>
      </c>
      <c r="U883" s="2100">
        <f>+AE459/1000</f>
        <v>1.1499999999999999</v>
      </c>
      <c r="V883" s="2100"/>
      <c r="W883" s="2100"/>
      <c r="X883" s="124" t="s">
        <v>2489</v>
      </c>
      <c r="Y883" s="1862">
        <v>25</v>
      </c>
      <c r="Z883" s="1862"/>
      <c r="AA883" s="1575"/>
      <c r="AB883" s="143"/>
      <c r="AC883" s="1567" t="s">
        <v>324</v>
      </c>
      <c r="AD883" s="2100">
        <f>+Q883*U883*Y883</f>
        <v>8.3374999999999986</v>
      </c>
      <c r="AE883" s="2100"/>
      <c r="AF883" s="2100"/>
      <c r="AG883" s="143" t="s">
        <v>1010</v>
      </c>
      <c r="AK883" s="143"/>
      <c r="AL883" s="143"/>
      <c r="AM883" s="143"/>
      <c r="AN883" s="143"/>
      <c r="AO883" s="143"/>
      <c r="AS883" s="1628" t="str">
        <f>IF(K865="Box Flange","Hide this row","")</f>
        <v>Hide this row</v>
      </c>
    </row>
    <row r="884" spans="1:45" ht="15" customHeight="1">
      <c r="A884" s="170"/>
      <c r="F884" s="143" t="s">
        <v>2462</v>
      </c>
      <c r="G884" s="143" t="s">
        <v>928</v>
      </c>
      <c r="I884" s="138" t="s">
        <v>324</v>
      </c>
      <c r="K884" s="2100">
        <f>+AD880</f>
        <v>2.0192382812499998</v>
      </c>
      <c r="L884" s="1938"/>
      <c r="M884" s="1198" t="s">
        <v>2489</v>
      </c>
      <c r="N884" s="2222">
        <f>+AE444/1000</f>
        <v>5</v>
      </c>
      <c r="O884" s="2222"/>
      <c r="P884" s="2222"/>
      <c r="Q884" s="170" t="s">
        <v>2494</v>
      </c>
      <c r="R884" s="170"/>
      <c r="Y884" s="143"/>
      <c r="AB884" s="143"/>
      <c r="AE884" s="143"/>
      <c r="AF884" s="143"/>
      <c r="AG884" s="143"/>
      <c r="AJ884" s="143"/>
      <c r="AS884" s="1628" t="str">
        <f>IF(K865="Box Flange","Hide this row","")</f>
        <v>Hide this row</v>
      </c>
    </row>
    <row r="885" spans="1:45" ht="15" customHeight="1">
      <c r="A885" s="170"/>
      <c r="D885" s="138"/>
      <c r="F885" s="1608"/>
      <c r="I885" s="1567" t="s">
        <v>324</v>
      </c>
      <c r="K885" s="2215">
        <f>1/12*K884*N884^2</f>
        <v>4.206746419270833</v>
      </c>
      <c r="L885" s="2215"/>
      <c r="M885" s="2215"/>
      <c r="N885" s="1599" t="s">
        <v>2640</v>
      </c>
      <c r="O885" s="1199"/>
      <c r="P885" s="124"/>
      <c r="Q885" s="170"/>
      <c r="S885" s="1567"/>
      <c r="T885" s="1574"/>
      <c r="U885" s="1574"/>
      <c r="V885" s="170"/>
      <c r="W885" s="170"/>
      <c r="Y885" s="143"/>
      <c r="Z885" s="170"/>
      <c r="AA885" s="170"/>
      <c r="AE885" s="143"/>
      <c r="AF885" s="143"/>
      <c r="AG885" s="143"/>
      <c r="AJ885" s="505"/>
      <c r="AM885" s="76"/>
      <c r="AS885" s="1628" t="str">
        <f>IF(K865="Box Flange","Hide this row","")</f>
        <v>Hide this row</v>
      </c>
    </row>
    <row r="886" spans="1:45" ht="15" customHeight="1">
      <c r="A886" s="170"/>
      <c r="C886" s="143" t="s">
        <v>789</v>
      </c>
      <c r="D886" s="1482" t="s">
        <v>2779</v>
      </c>
      <c r="F886" s="1608"/>
      <c r="L886" s="143"/>
      <c r="Y886" s="143"/>
      <c r="AB886" s="143"/>
      <c r="AE886" s="143"/>
      <c r="AF886" s="143"/>
      <c r="AG886" s="143"/>
      <c r="AJ886" s="505"/>
      <c r="AM886" s="76"/>
      <c r="AS886" s="1628" t="str">
        <f>IF(K865="Box Flange","Hide this row","")</f>
        <v>Hide this row</v>
      </c>
    </row>
    <row r="887" spans="1:45" ht="15" customHeight="1">
      <c r="A887" s="170"/>
      <c r="G887" s="143" t="s">
        <v>930</v>
      </c>
      <c r="I887" s="138" t="s">
        <v>324</v>
      </c>
      <c r="K887" s="143" t="s">
        <v>2920</v>
      </c>
      <c r="L887" s="143"/>
      <c r="M887" s="1567"/>
      <c r="Y887" s="143"/>
      <c r="AB887" s="143"/>
      <c r="AE887" s="143"/>
      <c r="AF887" s="143"/>
      <c r="AG887" s="143"/>
      <c r="AJ887" s="505"/>
      <c r="AM887" s="76"/>
      <c r="AS887" s="1628" t="str">
        <f>IF(K865="Box Flange","Hide this row","")</f>
        <v>Hide this row</v>
      </c>
    </row>
    <row r="888" spans="1:45" ht="15" customHeight="1">
      <c r="A888" s="170"/>
      <c r="C888" s="124"/>
      <c r="D888" s="143" t="s">
        <v>2496</v>
      </c>
      <c r="E888" s="1553"/>
      <c r="G888" s="170"/>
      <c r="I888" s="170"/>
      <c r="J888" s="170"/>
      <c r="L888" s="170"/>
      <c r="M888" s="1539"/>
      <c r="N888" s="170"/>
      <c r="O888" s="170"/>
      <c r="P888" s="170"/>
      <c r="Q888" s="170"/>
      <c r="R888" s="170"/>
      <c r="AJ888" s="505"/>
      <c r="AM888" s="76"/>
      <c r="AS888" s="1628" t="str">
        <f>IF(K865="Box Flange","Hide this row","")</f>
        <v>Hide this row</v>
      </c>
    </row>
    <row r="889" spans="1:45" ht="15" customHeight="1">
      <c r="A889" s="170"/>
      <c r="B889" s="170"/>
      <c r="D889" s="170"/>
      <c r="E889" s="1553"/>
      <c r="G889" s="124" t="s">
        <v>405</v>
      </c>
      <c r="I889" s="138" t="s">
        <v>324</v>
      </c>
      <c r="J889" s="170"/>
      <c r="K889" s="124" t="s">
        <v>2924</v>
      </c>
      <c r="L889" s="170"/>
      <c r="Q889" s="1938">
        <v>0.5</v>
      </c>
      <c r="R889" s="1938"/>
      <c r="S889" s="138" t="s">
        <v>2489</v>
      </c>
      <c r="T889" s="2097">
        <f>+K890</f>
        <v>3</v>
      </c>
      <c r="U889" s="2097"/>
      <c r="V889" s="138" t="s">
        <v>2490</v>
      </c>
      <c r="W889" s="2100">
        <f>+AD881</f>
        <v>2.064516129032258</v>
      </c>
      <c r="X889" s="1938"/>
      <c r="Y889" s="138" t="s">
        <v>324</v>
      </c>
      <c r="Z889" s="2101">
        <f>+Q889*T889/W889</f>
        <v>0.7265625</v>
      </c>
      <c r="AA889" s="2101"/>
      <c r="AB889" s="2101"/>
      <c r="AC889" s="143" t="s">
        <v>1010</v>
      </c>
      <c r="AJ889" s="505"/>
      <c r="AM889" s="76"/>
      <c r="AS889" s="1628" t="str">
        <f>IF(K865="Box Flange","Hide this row","")</f>
        <v>Hide this row</v>
      </c>
    </row>
    <row r="890" spans="1:45" ht="15" customHeight="1">
      <c r="A890" s="170"/>
      <c r="B890" s="170"/>
      <c r="D890" s="170"/>
      <c r="E890" s="1553"/>
      <c r="G890" s="170" t="s">
        <v>2781</v>
      </c>
      <c r="I890" s="124" t="s">
        <v>324</v>
      </c>
      <c r="J890" s="170"/>
      <c r="K890" s="2193">
        <v>3</v>
      </c>
      <c r="L890" s="2193"/>
      <c r="M890" s="143" t="s">
        <v>938</v>
      </c>
      <c r="O890" s="561"/>
      <c r="R890" s="1539"/>
      <c r="AJ890" s="505"/>
      <c r="AM890" s="76"/>
      <c r="AS890" s="1628" t="str">
        <f>IF(K865="Box Flange","Hide this row","")</f>
        <v>Hide this row</v>
      </c>
    </row>
    <row r="891" spans="1:45" ht="15" customHeight="1">
      <c r="A891" s="170"/>
      <c r="E891" s="1553"/>
      <c r="F891" s="170" t="s">
        <v>2462</v>
      </c>
      <c r="G891" s="143" t="s">
        <v>930</v>
      </c>
      <c r="I891" s="124" t="s">
        <v>324</v>
      </c>
      <c r="J891" s="170"/>
      <c r="K891" s="2101">
        <f>+Z889</f>
        <v>0.7265625</v>
      </c>
      <c r="L891" s="2101"/>
      <c r="M891" s="2101"/>
      <c r="N891" s="1198" t="s">
        <v>2489</v>
      </c>
      <c r="O891" s="2216">
        <f>+AE444/1000</f>
        <v>5</v>
      </c>
      <c r="P891" s="2216"/>
      <c r="Q891" s="2216"/>
      <c r="R891" s="170" t="s">
        <v>2494</v>
      </c>
      <c r="S891" s="170"/>
      <c r="Y891" s="1539"/>
      <c r="Z891" s="170"/>
      <c r="AA891" s="137"/>
      <c r="AJ891" s="505"/>
      <c r="AM891" s="76"/>
      <c r="AS891" s="1628" t="str">
        <f>IF(K865="Box Flange","Hide this row","")</f>
        <v>Hide this row</v>
      </c>
    </row>
    <row r="892" spans="1:45" ht="15" customHeight="1">
      <c r="A892" s="170"/>
      <c r="B892" s="170"/>
      <c r="I892" s="1567" t="s">
        <v>324</v>
      </c>
      <c r="K892" s="2215">
        <f>0.0833333333333333*K891*O891^2</f>
        <v>1.5136718749999996</v>
      </c>
      <c r="L892" s="2215"/>
      <c r="M892" s="2215"/>
      <c r="N892" s="143" t="s">
        <v>2640</v>
      </c>
      <c r="O892" s="170"/>
      <c r="V892" s="170"/>
      <c r="W892" s="170"/>
      <c r="X892" s="170"/>
      <c r="Y892" s="1539"/>
      <c r="Z892" s="170"/>
      <c r="AA892" s="137"/>
      <c r="AJ892" s="505"/>
      <c r="AM892" s="76"/>
      <c r="AS892" s="1628" t="str">
        <f>IF(K865="Box Flange","Hide this row","")</f>
        <v>Hide this row</v>
      </c>
    </row>
    <row r="893" spans="1:45" ht="15" customHeight="1">
      <c r="A893" s="170"/>
      <c r="C893" s="143" t="s">
        <v>790</v>
      </c>
      <c r="D893" s="1482" t="s">
        <v>2782</v>
      </c>
      <c r="E893" s="1553"/>
      <c r="G893" s="170"/>
      <c r="H893" s="170"/>
      <c r="L893" s="1193"/>
      <c r="M893" s="1193"/>
      <c r="N893" s="170"/>
      <c r="AJ893" s="505"/>
      <c r="AM893" s="76"/>
      <c r="AS893" s="1628" t="str">
        <f>IF(K865="Box Flange","Hide this row","")</f>
        <v>Hide this row</v>
      </c>
    </row>
    <row r="894" spans="1:45" ht="15" customHeight="1">
      <c r="A894" s="170"/>
      <c r="B894" s="170"/>
      <c r="D894" s="170"/>
      <c r="E894" s="1553"/>
      <c r="G894" s="170" t="s">
        <v>932</v>
      </c>
      <c r="H894" s="170"/>
      <c r="I894" s="1567" t="s">
        <v>324</v>
      </c>
      <c r="J894" s="170"/>
      <c r="K894" s="170" t="s">
        <v>2784</v>
      </c>
      <c r="L894" s="170"/>
      <c r="M894" s="1539"/>
      <c r="N894" s="170"/>
      <c r="O894" s="170"/>
      <c r="P894" s="170"/>
      <c r="Q894" s="170"/>
      <c r="R894" s="170"/>
      <c r="S894" s="170"/>
      <c r="V894" s="170"/>
      <c r="W894" s="170"/>
      <c r="AM894" s="76"/>
      <c r="AS894" s="1628" t="str">
        <f>IF(K865="Box Flange","Hide this row","")</f>
        <v>Hide this row</v>
      </c>
    </row>
    <row r="895" spans="1:45" ht="15" customHeight="1">
      <c r="A895" s="170"/>
      <c r="D895" s="143" t="s">
        <v>2496</v>
      </c>
      <c r="E895" s="1553"/>
      <c r="H895" s="170"/>
      <c r="I895" s="1567"/>
      <c r="J895" s="170"/>
      <c r="K895" s="170"/>
      <c r="AS895" s="1628" t="str">
        <f>IF(K865="Box Flange","Hide this row","")</f>
        <v>Hide this row</v>
      </c>
    </row>
    <row r="896" spans="1:45" ht="15" customHeight="1">
      <c r="A896" s="170"/>
      <c r="E896" s="1553"/>
      <c r="G896" s="143" t="s">
        <v>2789</v>
      </c>
      <c r="H896" s="170"/>
      <c r="I896" s="1567" t="s">
        <v>324</v>
      </c>
      <c r="J896" s="170"/>
      <c r="K896" s="170" t="s">
        <v>2790</v>
      </c>
      <c r="S896" s="143" t="s">
        <v>324</v>
      </c>
      <c r="U896" s="1938">
        <f>+AE475</f>
        <v>-14583.37</v>
      </c>
      <c r="V896" s="1938"/>
      <c r="W896" s="1938"/>
      <c r="X896" s="138" t="s">
        <v>391</v>
      </c>
      <c r="Y896" s="1938">
        <f>+AE476</f>
        <v>-782.53</v>
      </c>
      <c r="Z896" s="1938"/>
      <c r="AA896" s="1938"/>
      <c r="AB896" s="76" t="s">
        <v>391</v>
      </c>
      <c r="AC896" s="1938">
        <f>+AE477</f>
        <v>-32352.95</v>
      </c>
      <c r="AD896" s="1938"/>
      <c r="AE896" s="1938"/>
      <c r="AF896" s="1571" t="s">
        <v>324</v>
      </c>
      <c r="AG896" s="2111">
        <f>+U896+Y896+AC896</f>
        <v>-47718.850000000006</v>
      </c>
      <c r="AH896" s="2111"/>
      <c r="AI896" s="2111"/>
      <c r="AJ896" s="2111"/>
      <c r="AK896" s="73" t="s">
        <v>2640</v>
      </c>
      <c r="AS896" s="1628" t="str">
        <f>IF(K865="Box Flange","Hide this row","")</f>
        <v>Hide this row</v>
      </c>
    </row>
    <row r="897" spans="1:45" ht="15" customHeight="1">
      <c r="A897" s="170"/>
      <c r="E897" s="1553"/>
      <c r="G897" s="143" t="s">
        <v>367</v>
      </c>
      <c r="H897" s="170"/>
      <c r="I897" s="1567" t="s">
        <v>324</v>
      </c>
      <c r="J897" s="170"/>
      <c r="K897" s="2167">
        <f>+AE444/1000</f>
        <v>5</v>
      </c>
      <c r="L897" s="2167"/>
      <c r="M897" s="2167"/>
      <c r="N897" s="143" t="s">
        <v>2630</v>
      </c>
      <c r="U897" s="1547"/>
      <c r="V897" s="1547"/>
      <c r="W897" s="1547"/>
      <c r="X897" s="138"/>
      <c r="Z897" s="1547"/>
      <c r="AA897" s="1547"/>
      <c r="AB897" s="76"/>
      <c r="AC897" s="1547"/>
      <c r="AD897" s="1547"/>
      <c r="AE897" s="1547"/>
      <c r="AF897" s="1571"/>
      <c r="AG897" s="1561"/>
      <c r="AH897" s="1561"/>
      <c r="AI897" s="1561"/>
      <c r="AJ897" s="1561"/>
      <c r="AS897" s="1628" t="str">
        <f>IF(K865="Box Flange","Hide this row","")</f>
        <v>Hide this row</v>
      </c>
    </row>
    <row r="898" spans="1:45" ht="15" customHeight="1">
      <c r="A898" s="170"/>
      <c r="E898" s="1553"/>
      <c r="G898" s="143" t="s">
        <v>327</v>
      </c>
      <c r="H898" s="170"/>
      <c r="I898" s="1567" t="s">
        <v>324</v>
      </c>
      <c r="J898" s="170"/>
      <c r="K898" s="170" t="s">
        <v>2786</v>
      </c>
      <c r="AS898" s="1628" t="str">
        <f>IF(K865="Box Flange","Hide this row","")</f>
        <v>Hide this row</v>
      </c>
    </row>
    <row r="899" spans="1:45" ht="15" customHeight="1">
      <c r="A899" s="170"/>
      <c r="E899" s="1553"/>
      <c r="G899" s="143" t="s">
        <v>385</v>
      </c>
      <c r="H899" s="170"/>
      <c r="I899" s="1567" t="s">
        <v>324</v>
      </c>
      <c r="J899" s="170"/>
      <c r="K899" s="170" t="str">
        <f>IF(AE445=0,"직선교",AE445)</f>
        <v>직선교</v>
      </c>
      <c r="Y899" s="143"/>
      <c r="AB899" s="143"/>
      <c r="AD899" s="143"/>
      <c r="AE899" s="143"/>
      <c r="AF899" s="143"/>
      <c r="AG899" s="143"/>
      <c r="AH899" s="143"/>
      <c r="AI899" s="143"/>
      <c r="AJ899" s="143"/>
      <c r="AK899" s="143"/>
      <c r="AL899" s="143"/>
      <c r="AM899" s="143"/>
      <c r="AN899" s="143"/>
      <c r="AO899" s="143"/>
      <c r="AP899" s="143"/>
      <c r="AS899" s="1628" t="str">
        <f>IF(K865="Box Flange","Hide this row","")</f>
        <v>Hide this row</v>
      </c>
    </row>
    <row r="900" spans="1:45" ht="15" customHeight="1">
      <c r="A900" s="170"/>
      <c r="E900" s="1553"/>
      <c r="G900" s="143" t="s">
        <v>414</v>
      </c>
      <c r="H900" s="170"/>
      <c r="I900" s="1567" t="s">
        <v>324</v>
      </c>
      <c r="J900" s="170"/>
      <c r="K900" s="2154">
        <f>+AE456/1000</f>
        <v>3.2</v>
      </c>
      <c r="L900" s="2154"/>
      <c r="M900" s="2154"/>
      <c r="N900" s="143" t="s">
        <v>2630</v>
      </c>
      <c r="Y900" s="143"/>
      <c r="AB900" s="143"/>
      <c r="AD900" s="143"/>
      <c r="AE900" s="143"/>
      <c r="AF900" s="143"/>
      <c r="AG900" s="143"/>
      <c r="AH900" s="143"/>
      <c r="AI900" s="143"/>
      <c r="AJ900" s="143"/>
      <c r="AK900" s="143"/>
      <c r="AL900" s="143"/>
      <c r="AM900" s="143"/>
      <c r="AN900" s="143"/>
      <c r="AO900" s="143"/>
      <c r="AP900" s="143"/>
      <c r="AS900" s="1628" t="str">
        <f>IF(K865="Box Flange","Hide this row","")</f>
        <v>Hide this row</v>
      </c>
    </row>
    <row r="901" spans="1:45" ht="15" customHeight="1">
      <c r="A901" s="170"/>
      <c r="E901" s="170" t="s">
        <v>2462</v>
      </c>
      <c r="G901" s="170" t="s">
        <v>932</v>
      </c>
      <c r="H901" s="170"/>
      <c r="I901" s="1567" t="s">
        <v>324</v>
      </c>
      <c r="J901" s="170"/>
      <c r="K901" s="1562">
        <f>IF(AE445=0,0,AG896*K897^2 /12/K899/K900)</f>
        <v>0</v>
      </c>
      <c r="L901" s="1540"/>
      <c r="M901" s="1540"/>
      <c r="Y901" s="143"/>
      <c r="AB901" s="143"/>
      <c r="AD901" s="143"/>
      <c r="AE901" s="143"/>
      <c r="AF901" s="143"/>
      <c r="AG901" s="143"/>
      <c r="AS901" s="1628" t="str">
        <f>IF(K865="Box Flange","Hide this row","")</f>
        <v>Hide this row</v>
      </c>
    </row>
    <row r="902" spans="1:45" ht="15" customHeight="1">
      <c r="A902" s="170"/>
      <c r="C902" s="143" t="s">
        <v>848</v>
      </c>
      <c r="D902" s="170" t="s">
        <v>2793</v>
      </c>
      <c r="G902" s="170"/>
      <c r="J902" s="170"/>
      <c r="L902" s="143"/>
      <c r="M902" s="170"/>
      <c r="N902" s="170"/>
      <c r="O902" s="170"/>
      <c r="P902" s="170"/>
      <c r="Q902" s="170"/>
      <c r="R902" s="170"/>
      <c r="S902" s="170"/>
      <c r="T902" s="170"/>
      <c r="U902" s="170"/>
      <c r="V902" s="170"/>
      <c r="W902" s="170"/>
      <c r="X902" s="1539"/>
      <c r="Y902" s="1539"/>
      <c r="Z902" s="170"/>
      <c r="AA902" s="170"/>
      <c r="AS902" s="1628" t="str">
        <f>IF(K865="Box Flange","Hide this row","")</f>
        <v>Hide this row</v>
      </c>
    </row>
    <row r="903" spans="1:45" ht="15" customHeight="1">
      <c r="A903" s="170"/>
      <c r="G903" s="170" t="s">
        <v>2502</v>
      </c>
      <c r="I903" s="124" t="s">
        <v>324</v>
      </c>
      <c r="K903" s="170" t="s">
        <v>941</v>
      </c>
      <c r="L903" s="143"/>
      <c r="P903" s="138" t="s">
        <v>324</v>
      </c>
      <c r="R903" s="2092">
        <f>AE452</f>
        <v>40</v>
      </c>
      <c r="S903" s="1938"/>
      <c r="T903" s="1549" t="s">
        <v>2489</v>
      </c>
      <c r="U903" s="2092">
        <f>+AE451</f>
        <v>2900</v>
      </c>
      <c r="V903" s="1938"/>
      <c r="W903" s="1938"/>
      <c r="X903" s="170" t="s">
        <v>2499</v>
      </c>
      <c r="Y903" s="170"/>
      <c r="Z903" s="1547"/>
      <c r="AB903" s="143"/>
      <c r="AD903" s="143"/>
      <c r="AE903" s="143"/>
      <c r="AF903" s="143"/>
      <c r="AG903" s="143"/>
      <c r="AH903" s="143"/>
      <c r="AI903" s="143"/>
      <c r="AJ903" s="143"/>
      <c r="AK903" s="143"/>
      <c r="AL903" s="143"/>
      <c r="AM903" s="143"/>
      <c r="AN903" s="143"/>
      <c r="AO903" s="143"/>
      <c r="AP903" s="143"/>
      <c r="AQ903" s="143"/>
      <c r="AR903" s="143"/>
      <c r="AS903" s="1628" t="str">
        <f>IF(K865="Box Flange","Hide this row","")</f>
        <v>Hide this row</v>
      </c>
    </row>
    <row r="904" spans="1:45" ht="15" customHeight="1">
      <c r="A904" s="170"/>
      <c r="F904" s="124"/>
      <c r="H904" s="170"/>
      <c r="I904" s="1567" t="s">
        <v>324</v>
      </c>
      <c r="K904" s="2220">
        <f>1/6*R903*U903^2</f>
        <v>56066666.666666664</v>
      </c>
      <c r="L904" s="2220"/>
      <c r="M904" s="2220"/>
      <c r="N904" s="2220"/>
      <c r="O904" s="170" t="s">
        <v>2643</v>
      </c>
      <c r="Q904" s="1547"/>
      <c r="R904" s="1547"/>
      <c r="S904" s="1549"/>
      <c r="T904" s="1547"/>
      <c r="U904" s="1547"/>
      <c r="V904" s="170"/>
      <c r="W904" s="170"/>
      <c r="Z904" s="1567"/>
      <c r="AA904" s="1318"/>
      <c r="AB904" s="1318"/>
      <c r="AC904" s="1318"/>
      <c r="AD904" s="143"/>
      <c r="AE904" s="143"/>
      <c r="AF904" s="143"/>
      <c r="AG904" s="143"/>
      <c r="AH904" s="143"/>
      <c r="AI904" s="143"/>
      <c r="AJ904" s="143"/>
      <c r="AK904" s="143"/>
      <c r="AL904" s="143"/>
      <c r="AM904" s="143"/>
      <c r="AN904" s="143"/>
      <c r="AO904" s="143"/>
      <c r="AP904" s="143"/>
      <c r="AQ904" s="143"/>
      <c r="AR904" s="143"/>
      <c r="AS904" s="1628" t="str">
        <f>IF(K865="Box Flange","Hide this row","")</f>
        <v>Hide this row</v>
      </c>
    </row>
    <row r="905" spans="1:45" ht="15" customHeight="1">
      <c r="A905" s="170"/>
      <c r="F905" s="124"/>
      <c r="H905" s="170"/>
      <c r="I905" s="1567"/>
      <c r="K905" s="1600"/>
      <c r="L905" s="1600"/>
      <c r="M905" s="1600"/>
      <c r="N905" s="1600"/>
      <c r="O905" s="170"/>
      <c r="Q905" s="1547"/>
      <c r="R905" s="1547"/>
      <c r="S905" s="1549"/>
      <c r="T905" s="1547"/>
      <c r="U905" s="1547"/>
      <c r="V905" s="170"/>
      <c r="W905" s="170"/>
      <c r="Z905" s="1567"/>
      <c r="AA905" s="1318"/>
      <c r="AB905" s="1318"/>
      <c r="AC905" s="1318"/>
      <c r="AD905" s="143"/>
      <c r="AE905" s="143"/>
      <c r="AF905" s="143"/>
      <c r="AG905" s="143"/>
      <c r="AH905" s="143"/>
      <c r="AI905" s="143"/>
      <c r="AJ905" s="143"/>
      <c r="AK905" s="143"/>
      <c r="AL905" s="143"/>
      <c r="AM905" s="143"/>
      <c r="AN905" s="143"/>
      <c r="AO905" s="143"/>
      <c r="AP905" s="143"/>
      <c r="AQ905" s="143"/>
      <c r="AR905" s="143"/>
      <c r="AS905" s="1628" t="str">
        <f>IF(K865="Box Flange","Hide this row","")</f>
        <v>Hide this row</v>
      </c>
    </row>
    <row r="906" spans="1:45" ht="15" customHeight="1">
      <c r="A906" s="170"/>
      <c r="E906" s="1862" t="s">
        <v>2501</v>
      </c>
      <c r="G906" s="1870" t="s">
        <v>1968</v>
      </c>
      <c r="H906" s="1870"/>
      <c r="I906" s="2116" t="s">
        <v>324</v>
      </c>
      <c r="K906" s="2105">
        <v>1.25</v>
      </c>
      <c r="L906" s="2105"/>
      <c r="M906" s="1335" t="s">
        <v>2489</v>
      </c>
      <c r="N906" s="2105">
        <f>+K876</f>
        <v>2.7677806917194054</v>
      </c>
      <c r="O906" s="2105"/>
      <c r="P906" s="2105"/>
      <c r="Q906" s="1335" t="s">
        <v>391</v>
      </c>
      <c r="R906" s="2105">
        <v>1.25</v>
      </c>
      <c r="S906" s="2105"/>
      <c r="T906" s="1335" t="s">
        <v>2489</v>
      </c>
      <c r="U906" s="2105">
        <f>+K885</f>
        <v>4.206746419270833</v>
      </c>
      <c r="V906" s="2105"/>
      <c r="W906" s="2105"/>
      <c r="X906" s="1335" t="s">
        <v>391</v>
      </c>
      <c r="Y906" s="2105">
        <v>1.5</v>
      </c>
      <c r="Z906" s="2105"/>
      <c r="AA906" s="1335" t="s">
        <v>2489</v>
      </c>
      <c r="AB906" s="2105">
        <f>+K892</f>
        <v>1.5136718749999996</v>
      </c>
      <c r="AC906" s="2105"/>
      <c r="AD906" s="2105"/>
      <c r="AE906" s="1335" t="s">
        <v>391</v>
      </c>
      <c r="AF906" s="2105">
        <v>1.5</v>
      </c>
      <c r="AG906" s="2105"/>
      <c r="AH906" s="1335" t="s">
        <v>2489</v>
      </c>
      <c r="AI906" s="2180">
        <f>+K901</f>
        <v>0</v>
      </c>
      <c r="AJ906" s="2180"/>
      <c r="AK906" s="2180"/>
      <c r="AM906" s="1944" t="s">
        <v>324</v>
      </c>
      <c r="AN906" s="2184">
        <f>(1.25*N906+1.25*U906+1.5*AB906+1.5*AI906)/V907</f>
        <v>0.195992866252755</v>
      </c>
      <c r="AO906" s="2184"/>
      <c r="AP906" s="2184"/>
      <c r="AS906" s="1628" t="str">
        <f>IF(K865="Box Flange","Hide this row","")</f>
        <v>Hide this row</v>
      </c>
    </row>
    <row r="907" spans="1:45" ht="15" customHeight="1">
      <c r="A907" s="170"/>
      <c r="E907" s="1862"/>
      <c r="G907" s="1870"/>
      <c r="H907" s="1870"/>
      <c r="I907" s="1938"/>
      <c r="L907" s="143"/>
      <c r="R907" s="1547"/>
      <c r="V907" s="2095">
        <f>+K904/10^6</f>
        <v>56.066666666666663</v>
      </c>
      <c r="W907" s="2095"/>
      <c r="X907" s="2095"/>
      <c r="Y907" s="143"/>
      <c r="AB907" s="143"/>
      <c r="AD907" s="143"/>
      <c r="AE907" s="1547"/>
      <c r="AF907" s="143"/>
      <c r="AG907" s="143"/>
      <c r="AI907" s="143"/>
      <c r="AJ907" s="143"/>
      <c r="AM907" s="1862"/>
      <c r="AN907" s="2184"/>
      <c r="AO907" s="2184"/>
      <c r="AP907" s="2184"/>
      <c r="AS907" s="1628" t="str">
        <f>IF(K865="Box Flange","Hide this row","")</f>
        <v>Hide this row</v>
      </c>
    </row>
    <row r="908" spans="1:45" ht="15" customHeight="1">
      <c r="A908" s="96"/>
      <c r="B908" s="170"/>
      <c r="C908" s="170"/>
      <c r="D908" s="124"/>
      <c r="E908" s="170"/>
      <c r="F908" s="1258"/>
      <c r="G908" s="1258"/>
      <c r="H908" s="1258"/>
      <c r="I908" s="1258"/>
      <c r="K908" s="96"/>
      <c r="L908" s="143"/>
      <c r="N908" s="170"/>
      <c r="O908" s="170"/>
      <c r="P908" s="170"/>
      <c r="Q908" s="170"/>
      <c r="R908" s="170"/>
      <c r="S908" s="170"/>
      <c r="T908" s="170"/>
      <c r="X908" s="170"/>
      <c r="Y908" s="1539"/>
      <c r="Z908" s="170"/>
      <c r="AA908" s="170"/>
      <c r="AD908" s="143"/>
      <c r="AE908" s="143"/>
      <c r="AF908" s="143"/>
      <c r="AG908" s="143"/>
      <c r="AH908" s="143"/>
      <c r="AI908" s="143"/>
      <c r="AJ908" s="143"/>
      <c r="AM908" s="76"/>
      <c r="AS908" s="1628" t="str">
        <f>IF(K865="Box Flange","Hide this row","")</f>
        <v>Hide this row</v>
      </c>
    </row>
    <row r="909" spans="1:45" ht="15" customHeight="1">
      <c r="B909" s="1177" t="s">
        <v>2466</v>
      </c>
      <c r="C909" s="1553" t="s">
        <v>2796</v>
      </c>
      <c r="E909" s="170"/>
      <c r="G909" s="170"/>
      <c r="H909" s="170"/>
      <c r="K909" s="170"/>
      <c r="L909" s="143"/>
      <c r="N909" s="170"/>
      <c r="O909" s="170"/>
      <c r="P909" s="170"/>
      <c r="Q909" s="170"/>
      <c r="R909" s="170"/>
      <c r="S909" s="170"/>
      <c r="T909" s="170"/>
      <c r="U909" s="170"/>
      <c r="V909" s="170"/>
      <c r="W909" s="170"/>
      <c r="AD909" s="143"/>
      <c r="AE909" s="143"/>
      <c r="AF909" s="143"/>
      <c r="AG909" s="143"/>
      <c r="AM909" s="76"/>
      <c r="AS909" s="1628" t="str">
        <f>IF(K865="Box Flange","Hide this row","")</f>
        <v>Hide this row</v>
      </c>
    </row>
    <row r="910" spans="1:45" ht="15" customHeight="1">
      <c r="A910" s="1177"/>
      <c r="B910" s="170"/>
      <c r="C910" s="1540"/>
      <c r="D910" s="124"/>
      <c r="E910" s="1540"/>
      <c r="F910" s="170"/>
      <c r="G910" s="1540" t="s">
        <v>368</v>
      </c>
      <c r="H910" s="170"/>
      <c r="I910" s="1567" t="s">
        <v>324</v>
      </c>
      <c r="K910" s="1540" t="s">
        <v>2797</v>
      </c>
      <c r="L910" s="143"/>
      <c r="N910" s="170"/>
      <c r="X910" s="170"/>
      <c r="Y910" s="1539"/>
      <c r="AD910" s="143"/>
      <c r="AE910" s="143"/>
      <c r="AF910" s="143"/>
      <c r="AG910" s="143"/>
      <c r="AH910" s="143"/>
      <c r="AI910" s="143"/>
      <c r="AJ910" s="143"/>
      <c r="AK910" s="143"/>
      <c r="AL910" s="143"/>
      <c r="AM910" s="143"/>
      <c r="AN910" s="143"/>
      <c r="AS910" s="1628" t="str">
        <f>IF(K865="Box Flange","Hide this row","")</f>
        <v>Hide this row</v>
      </c>
    </row>
    <row r="911" spans="1:45" ht="15" customHeight="1">
      <c r="A911" s="1177"/>
      <c r="B911" s="170"/>
      <c r="D911" s="143" t="s">
        <v>2496</v>
      </c>
      <c r="E911" s="1540"/>
      <c r="F911" s="170"/>
      <c r="H911" s="170"/>
      <c r="K911" s="170"/>
      <c r="L911" s="143"/>
      <c r="Y911" s="143"/>
      <c r="AB911" s="143"/>
      <c r="AC911" s="124"/>
      <c r="AD911" s="115"/>
      <c r="AE911" s="115"/>
      <c r="AF911" s="143"/>
      <c r="AG911" s="143"/>
      <c r="AH911" s="143"/>
      <c r="AI911" s="143"/>
      <c r="AJ911" s="143"/>
      <c r="AK911" s="143"/>
      <c r="AL911" s="143"/>
      <c r="AM911" s="143"/>
      <c r="AN911" s="143"/>
      <c r="AO911" s="143"/>
      <c r="AP911" s="143"/>
      <c r="AQ911" s="143"/>
      <c r="AR911" s="143"/>
      <c r="AS911" s="1628" t="str">
        <f>IF(K865="Box Flange","Hide this row","")</f>
        <v>Hide this row</v>
      </c>
    </row>
    <row r="912" spans="1:45" ht="15" customHeight="1">
      <c r="A912" s="170"/>
      <c r="B912" s="170"/>
      <c r="G912" s="1540" t="s">
        <v>367</v>
      </c>
      <c r="H912" s="170"/>
      <c r="I912" s="124" t="s">
        <v>324</v>
      </c>
      <c r="K912" s="2219">
        <f>AE444</f>
        <v>5000</v>
      </c>
      <c r="L912" s="2220"/>
      <c r="M912" s="2220"/>
      <c r="O912" s="1540" t="s">
        <v>2798</v>
      </c>
      <c r="Q912" s="170"/>
      <c r="Y912" s="143"/>
      <c r="AB912" s="143"/>
      <c r="AG912" s="143"/>
      <c r="AH912" s="143"/>
      <c r="AI912" s="143"/>
      <c r="AJ912" s="143"/>
      <c r="AK912" s="143"/>
      <c r="AL912" s="143"/>
      <c r="AM912" s="143"/>
      <c r="AN912" s="143"/>
      <c r="AO912" s="143"/>
      <c r="AP912" s="143"/>
      <c r="AQ912" s="143"/>
      <c r="AR912" s="143"/>
      <c r="AS912" s="1628" t="str">
        <f>IF(K865="Box Flange","Hide this row","")</f>
        <v>Hide this row</v>
      </c>
    </row>
    <row r="913" spans="1:46" ht="15" customHeight="1">
      <c r="A913" s="170"/>
      <c r="B913" s="170"/>
      <c r="G913" s="170" t="s">
        <v>381</v>
      </c>
      <c r="H913" s="170"/>
      <c r="I913" s="124" t="s">
        <v>324</v>
      </c>
      <c r="K913" s="170" t="s">
        <v>2799</v>
      </c>
      <c r="L913" s="170"/>
      <c r="O913" s="170"/>
      <c r="P913" s="170"/>
      <c r="Q913" s="170"/>
      <c r="R913" s="170"/>
      <c r="S913" s="170"/>
      <c r="T913" s="170"/>
      <c r="U913" s="170"/>
      <c r="V913" s="170"/>
      <c r="W913" s="170"/>
      <c r="X913" s="170"/>
      <c r="Y913" s="1539"/>
      <c r="Z913" s="170"/>
      <c r="AA913" s="170"/>
      <c r="AE913" s="143"/>
      <c r="AF913" s="143"/>
      <c r="AG913" s="143"/>
      <c r="AH913" s="143"/>
      <c r="AI913" s="143"/>
      <c r="AJ913" s="143"/>
      <c r="AK913" s="143"/>
      <c r="AL913" s="143"/>
      <c r="AM913" s="76"/>
      <c r="AS913" s="1628" t="str">
        <f>IF(K865="Box Flange","Hide this row","")</f>
        <v>Hide this row</v>
      </c>
    </row>
    <row r="914" spans="1:46" ht="15" customHeight="1">
      <c r="A914" s="170"/>
      <c r="B914" s="170"/>
      <c r="C914" s="170"/>
      <c r="I914" s="124" t="s">
        <v>324</v>
      </c>
      <c r="K914" s="170" t="str">
        <f>IF(AE442="Positive","(YU - ttop) / cosΦ ","(YL - tbot) / cosΦ")</f>
        <v>(YL - tbot) / cosΦ</v>
      </c>
      <c r="L914" s="1540"/>
      <c r="M914" s="170"/>
      <c r="Y914" s="143"/>
      <c r="AB914" s="143"/>
      <c r="AM914" s="76"/>
      <c r="AS914" s="1628" t="str">
        <f>IF(K865="Box Flange","Hide this row","")</f>
        <v>Hide this row</v>
      </c>
    </row>
    <row r="915" spans="1:46" ht="15" customHeight="1">
      <c r="A915" s="170"/>
      <c r="B915" s="170"/>
      <c r="C915" s="170"/>
      <c r="I915" s="124" t="s">
        <v>324</v>
      </c>
      <c r="K915" s="124" t="s">
        <v>2506</v>
      </c>
      <c r="L915" s="2139">
        <f>IF(AE442="Positive",AE498,AE499)</f>
        <v>1971.274195302866</v>
      </c>
      <c r="M915" s="2139"/>
      <c r="N915" s="2139"/>
      <c r="O915" s="1567" t="s">
        <v>2323</v>
      </c>
      <c r="P915" s="1938">
        <f>IF(AE442="Positive",AE452,AE454)</f>
        <v>30</v>
      </c>
      <c r="Q915" s="1938"/>
      <c r="R915" s="138" t="s">
        <v>2801</v>
      </c>
      <c r="S915" s="1581"/>
      <c r="T915" s="1567"/>
      <c r="U915" s="1547"/>
      <c r="V915" s="1547"/>
      <c r="W915" s="2095">
        <f>AE458</f>
        <v>0.125</v>
      </c>
      <c r="X915" s="2095"/>
      <c r="Y915" s="2095"/>
      <c r="Z915" s="1549" t="s">
        <v>2800</v>
      </c>
      <c r="AB915" s="1571" t="s">
        <v>324</v>
      </c>
      <c r="AC915" s="1862">
        <f>+(L915-P915)/COS(ATAN(W915))</f>
        <v>1956.3816153315704</v>
      </c>
      <c r="AD915" s="1862"/>
      <c r="AE915" s="1862"/>
      <c r="AM915" s="76"/>
      <c r="AS915" s="1628" t="str">
        <f>IF(K865="Box Flange","Hide this row","")</f>
        <v>Hide this row</v>
      </c>
    </row>
    <row r="916" spans="1:46" ht="15" customHeight="1">
      <c r="A916" s="170"/>
      <c r="B916" s="170"/>
      <c r="F916" s="1540"/>
      <c r="G916" s="1870" t="s">
        <v>2488</v>
      </c>
      <c r="H916" s="170"/>
      <c r="I916" s="1944" t="s">
        <v>324</v>
      </c>
      <c r="K916" s="2090" t="s">
        <v>979</v>
      </c>
      <c r="L916" s="2090"/>
      <c r="M916" s="2090"/>
      <c r="N916" s="2090"/>
      <c r="O916" s="2090"/>
      <c r="P916" s="2090"/>
      <c r="Q916" s="2090"/>
      <c r="R916" s="2090"/>
      <c r="S916" s="2090"/>
      <c r="T916" s="2116" t="s">
        <v>324</v>
      </c>
      <c r="U916" s="2090">
        <f>IF(AE442="Positive",AE451,AE453)</f>
        <v>1840</v>
      </c>
      <c r="V916" s="2090"/>
      <c r="W916" s="2090"/>
      <c r="X916" s="2090"/>
      <c r="Y916" s="2090"/>
      <c r="Z916" s="2090"/>
      <c r="AA916" s="2090"/>
      <c r="AB916" s="2090"/>
      <c r="AC916" s="2090"/>
      <c r="AD916" s="2090"/>
      <c r="AE916" s="2090"/>
      <c r="AF916" s="2090"/>
      <c r="AG916" s="2090"/>
      <c r="AH916" s="2090"/>
      <c r="AI916" s="2090"/>
      <c r="AJ916" s="2090"/>
      <c r="AK916" s="2090"/>
      <c r="AL916" s="2090"/>
      <c r="AM916" s="2090"/>
      <c r="AN916" s="2090"/>
      <c r="AS916" s="1628" t="str">
        <f>IF(K865="Box Flange","Hide this row","")</f>
        <v>Hide this row</v>
      </c>
      <c r="AT916" s="135"/>
    </row>
    <row r="917" spans="1:46" ht="15" customHeight="1">
      <c r="A917" s="170"/>
      <c r="B917" s="170"/>
      <c r="F917" s="1540"/>
      <c r="G917" s="1870"/>
      <c r="H917" s="170"/>
      <c r="I917" s="1944"/>
      <c r="K917" s="170" t="s">
        <v>2918</v>
      </c>
      <c r="L917" s="170"/>
      <c r="M917" s="170"/>
      <c r="N917" s="170"/>
      <c r="O917" s="170"/>
      <c r="P917" s="170"/>
      <c r="Q917" s="170"/>
      <c r="R917" s="170"/>
      <c r="S917" s="170"/>
      <c r="T917" s="1938"/>
      <c r="U917" s="1540" t="s">
        <v>2495</v>
      </c>
      <c r="V917" s="1547"/>
      <c r="Y917" s="2094">
        <f>+AC915</f>
        <v>1956.3816153315704</v>
      </c>
      <c r="Z917" s="2094"/>
      <c r="AA917" s="2094"/>
      <c r="AB917" s="138" t="s">
        <v>2489</v>
      </c>
      <c r="AC917" s="1862">
        <f>AE457</f>
        <v>14</v>
      </c>
      <c r="AD917" s="1862"/>
      <c r="AE917" s="741" t="s">
        <v>2493</v>
      </c>
      <c r="AF917" s="741"/>
      <c r="AG917" s="143"/>
      <c r="AH917" s="1862">
        <f>+U916</f>
        <v>1840</v>
      </c>
      <c r="AI917" s="1862"/>
      <c r="AJ917" s="1862"/>
      <c r="AK917" s="124" t="s">
        <v>2490</v>
      </c>
      <c r="AL917" s="1862">
        <f>+P915</f>
        <v>30</v>
      </c>
      <c r="AM917" s="1862"/>
      <c r="AN917" s="138" t="s">
        <v>2492</v>
      </c>
      <c r="AS917" s="1628" t="str">
        <f>IF(K865="Box Flange","Hide this row","")</f>
        <v>Hide this row</v>
      </c>
    </row>
    <row r="918" spans="1:46" ht="15" customHeight="1">
      <c r="A918" s="170"/>
      <c r="B918" s="170"/>
      <c r="D918" s="124"/>
      <c r="E918" s="170"/>
      <c r="F918" s="1540"/>
      <c r="G918" s="170"/>
      <c r="H918" s="170"/>
      <c r="I918" s="741" t="s">
        <v>324</v>
      </c>
      <c r="K918" s="2169">
        <f>+U916/SQRT(12*(1 + Y917*AC917/3/AH917/AL917))</f>
        <v>492.02900243872256</v>
      </c>
      <c r="L918" s="2169"/>
      <c r="M918" s="2169"/>
      <c r="X918" s="170"/>
      <c r="Y918" s="1549"/>
      <c r="AG918" s="143"/>
      <c r="AH918" s="143"/>
      <c r="AI918" s="143"/>
      <c r="AJ918" s="143"/>
      <c r="AK918" s="143"/>
      <c r="AM918" s="76"/>
      <c r="AS918" s="1628" t="str">
        <f>IF(K865="Box Flange","Hide this row","")</f>
        <v>Hide this row</v>
      </c>
    </row>
    <row r="919" spans="1:46" ht="15" customHeight="1">
      <c r="A919" s="170"/>
      <c r="B919" s="170"/>
      <c r="E919" s="115" t="s">
        <v>2501</v>
      </c>
      <c r="G919" s="170" t="s">
        <v>368</v>
      </c>
      <c r="H919" s="124"/>
      <c r="I919" s="741" t="s">
        <v>324</v>
      </c>
      <c r="J919" s="1540"/>
      <c r="K919" s="1862">
        <f>+K918</f>
        <v>492.02900243872256</v>
      </c>
      <c r="L919" s="1862"/>
      <c r="M919" s="1862"/>
      <c r="N919" s="138" t="s">
        <v>2504</v>
      </c>
      <c r="P919" s="2139">
        <f>AE504</f>
        <v>210000</v>
      </c>
      <c r="Q919" s="2139"/>
      <c r="R919" s="2139"/>
      <c r="S919" s="2139"/>
      <c r="T919" s="138" t="s">
        <v>2490</v>
      </c>
      <c r="U919" s="2097">
        <f>+AE505</f>
        <v>380</v>
      </c>
      <c r="V919" s="2097"/>
      <c r="W919" s="2097"/>
      <c r="X919" s="138" t="s">
        <v>2512</v>
      </c>
      <c r="Y919" s="143"/>
      <c r="Z919" s="1571" t="s">
        <v>324</v>
      </c>
      <c r="AA919" s="2155">
        <f>+K919*SQRT(P919/U919)</f>
        <v>11566.67550387948</v>
      </c>
      <c r="AB919" s="2155"/>
      <c r="AC919" s="2155"/>
      <c r="AG919" s="143"/>
      <c r="AH919" s="143"/>
      <c r="AI919" s="143"/>
      <c r="AJ919" s="143"/>
      <c r="AM919" s="76"/>
      <c r="AS919" s="1628" t="str">
        <f>IF(K865="Box Flange","Hide this row","")</f>
        <v>Hide this row</v>
      </c>
    </row>
    <row r="920" spans="1:46" ht="15" customHeight="1">
      <c r="L920" s="143"/>
      <c r="Y920" s="143"/>
      <c r="AB920" s="143"/>
      <c r="AD920" s="143"/>
      <c r="AE920" s="143"/>
      <c r="AF920" s="143"/>
      <c r="AG920" s="143"/>
      <c r="AH920" s="143"/>
      <c r="AI920" s="143"/>
      <c r="AJ920" s="143"/>
      <c r="AK920" s="143"/>
      <c r="AL920" s="143"/>
      <c r="AM920" s="143"/>
      <c r="AN920" s="143"/>
      <c r="AO920" s="143"/>
      <c r="AP920" s="143"/>
      <c r="AQ920" s="115"/>
      <c r="AR920" s="143"/>
      <c r="AS920" s="1628" t="str">
        <f>IF(K865="Box Flange","Hide this row","")</f>
        <v>Hide this row</v>
      </c>
    </row>
    <row r="921" spans="1:46" ht="15" customHeight="1">
      <c r="B921" s="1177" t="s">
        <v>2466</v>
      </c>
      <c r="C921" s="170" t="s">
        <v>2806</v>
      </c>
      <c r="D921" s="1540"/>
      <c r="E921" s="1540"/>
      <c r="F921" s="170"/>
      <c r="G921" s="1540"/>
      <c r="H921" s="170"/>
      <c r="I921" s="170"/>
      <c r="L921" s="143"/>
      <c r="Y921" s="143"/>
      <c r="AH921" s="143"/>
      <c r="AI921" s="143"/>
      <c r="AJ921" s="143"/>
      <c r="AK921" s="143"/>
      <c r="AM921" s="76"/>
      <c r="AN921" s="741"/>
      <c r="AO921" s="115"/>
      <c r="AP921" s="115"/>
      <c r="AQ921" s="115"/>
      <c r="AS921" s="1628" t="str">
        <f>IF(K865="Box Flange","Hide this row","")</f>
        <v>Hide this row</v>
      </c>
    </row>
    <row r="922" spans="1:46" ht="15" customHeight="1">
      <c r="B922" s="1177" t="s">
        <v>2466</v>
      </c>
      <c r="C922" s="170" t="s">
        <v>2802</v>
      </c>
      <c r="E922" s="170"/>
      <c r="G922" s="170"/>
      <c r="H922" s="170"/>
      <c r="K922" s="1240"/>
      <c r="L922" s="1240"/>
      <c r="N922" s="170"/>
      <c r="R922" s="170"/>
      <c r="S922" s="170"/>
      <c r="T922" s="170"/>
      <c r="U922" s="170"/>
      <c r="V922" s="170"/>
      <c r="Y922" s="143"/>
      <c r="AB922" s="143"/>
      <c r="AH922" s="143"/>
      <c r="AI922" s="143"/>
      <c r="AJ922" s="143"/>
      <c r="AK922" s="143"/>
      <c r="AS922" s="1628" t="str">
        <f>IF(K865="Box Flange","Hide this row","")</f>
        <v>Hide this row</v>
      </c>
    </row>
    <row r="923" spans="1:46" ht="15" customHeight="1">
      <c r="A923" s="170"/>
      <c r="B923" s="170"/>
      <c r="D923" s="741"/>
      <c r="G923" s="1870" t="s">
        <v>376</v>
      </c>
      <c r="I923" s="2116" t="s">
        <v>324</v>
      </c>
      <c r="K923" s="1940" t="s">
        <v>374</v>
      </c>
      <c r="L923" s="1940"/>
      <c r="M923" s="1940"/>
      <c r="N923" s="1940"/>
      <c r="P923" s="2116" t="s">
        <v>324</v>
      </c>
      <c r="Q923" s="145" t="s">
        <v>2505</v>
      </c>
      <c r="R923" s="145"/>
      <c r="S923" s="145"/>
      <c r="T923" s="112" t="s">
        <v>2803</v>
      </c>
      <c r="U923" s="145" t="s">
        <v>2804</v>
      </c>
      <c r="V923" s="145"/>
      <c r="W923" s="1940">
        <f>+P919</f>
        <v>210000</v>
      </c>
      <c r="X923" s="1940"/>
      <c r="Y923" s="1940"/>
      <c r="Z923" s="1940"/>
      <c r="AB923" s="2116" t="s">
        <v>324</v>
      </c>
      <c r="AC923" s="2163">
        <f>+PI()^2 * W923/(R924/V924)^2</f>
        <v>20070.603762403629</v>
      </c>
      <c r="AD923" s="2163"/>
      <c r="AE923" s="2163"/>
      <c r="AF923" s="2163"/>
      <c r="AG923" s="2121" t="s">
        <v>2508</v>
      </c>
      <c r="AH923" s="2121"/>
      <c r="AI923" s="2121"/>
      <c r="AJ923" s="143"/>
      <c r="AK923" s="170"/>
      <c r="AL923" s="170"/>
      <c r="AM923" s="170"/>
      <c r="AS923" s="1628" t="str">
        <f>IF(K865="Box Flange","Hide this row","")</f>
        <v>Hide this row</v>
      </c>
    </row>
    <row r="924" spans="1:46" ht="15" customHeight="1">
      <c r="A924" s="170"/>
      <c r="B924" s="170"/>
      <c r="D924" s="741"/>
      <c r="G924" s="1870"/>
      <c r="I924" s="1938"/>
      <c r="K924" s="1862" t="s">
        <v>375</v>
      </c>
      <c r="L924" s="1862"/>
      <c r="M924" s="1862"/>
      <c r="N924" s="1862"/>
      <c r="P924" s="1938"/>
      <c r="Q924" s="138" t="s">
        <v>2506</v>
      </c>
      <c r="R924" s="1862">
        <f>+K912</f>
        <v>5000</v>
      </c>
      <c r="S924" s="1862"/>
      <c r="T924" s="1862"/>
      <c r="U924" s="138" t="s">
        <v>2490</v>
      </c>
      <c r="V924" s="1936">
        <f>+K918</f>
        <v>492.02900243872256</v>
      </c>
      <c r="W924" s="1936"/>
      <c r="X924" s="1936"/>
      <c r="Y924" s="143" t="s">
        <v>2507</v>
      </c>
      <c r="AB924" s="1938"/>
      <c r="AC924" s="2163"/>
      <c r="AD924" s="2163"/>
      <c r="AE924" s="2163"/>
      <c r="AF924" s="2163"/>
      <c r="AG924" s="2121"/>
      <c r="AH924" s="2121"/>
      <c r="AI924" s="2121"/>
      <c r="AJ924" s="143"/>
      <c r="AM924" s="76"/>
      <c r="AS924" s="1628" t="str">
        <f>IF(K865="Box Flange","Hide this row","")</f>
        <v>Hide this row</v>
      </c>
    </row>
    <row r="925" spans="1:46" ht="15" customHeight="1">
      <c r="A925" s="170"/>
      <c r="B925" s="170"/>
      <c r="D925" s="741"/>
      <c r="G925" s="1540"/>
      <c r="I925" s="1547"/>
      <c r="K925" s="1539"/>
      <c r="L925" s="1539"/>
      <c r="M925" s="1539"/>
      <c r="N925" s="1539"/>
      <c r="P925" s="1547"/>
      <c r="Q925" s="138"/>
      <c r="R925" s="1539"/>
      <c r="S925" s="1539"/>
      <c r="T925" s="1539"/>
      <c r="U925" s="138"/>
      <c r="V925" s="1539"/>
      <c r="W925" s="1539"/>
      <c r="X925" s="1539"/>
      <c r="Y925" s="143"/>
      <c r="AB925" s="1547"/>
      <c r="AC925" s="1592"/>
      <c r="AD925" s="1592"/>
      <c r="AE925" s="1592"/>
      <c r="AF925" s="1592"/>
      <c r="AG925" s="1570"/>
      <c r="AH925" s="1570"/>
      <c r="AI925" s="1570"/>
      <c r="AJ925" s="143"/>
      <c r="AM925" s="76"/>
      <c r="AS925" s="1628" t="str">
        <f>IF(K865="Box Flange","Hide this row","")</f>
        <v>Hide this row</v>
      </c>
    </row>
    <row r="926" spans="1:46" ht="15" customHeight="1">
      <c r="A926" s="170"/>
      <c r="C926" s="1461" t="s">
        <v>2501</v>
      </c>
      <c r="D926" s="170"/>
      <c r="F926" s="124" t="s">
        <v>2805</v>
      </c>
      <c r="G926" s="124"/>
      <c r="H926" s="73"/>
      <c r="I926" s="1607"/>
      <c r="J926" s="1607"/>
      <c r="K926" s="1607"/>
      <c r="L926" s="1607"/>
      <c r="M926" s="73"/>
      <c r="N926" s="73"/>
      <c r="O926" s="73"/>
      <c r="P926" s="73"/>
      <c r="Q926" s="73"/>
      <c r="R926" s="73"/>
      <c r="S926" s="73"/>
      <c r="T926" s="73"/>
      <c r="Y926" s="143"/>
      <c r="AB926" s="143"/>
      <c r="AD926" s="143"/>
      <c r="AE926" s="143"/>
      <c r="AF926" s="143"/>
      <c r="AG926" s="143"/>
      <c r="AH926" s="143"/>
      <c r="AI926" s="143"/>
      <c r="AJ926" s="143"/>
      <c r="AK926" s="143"/>
      <c r="AL926" s="143"/>
      <c r="AM926" s="143"/>
      <c r="AN926" s="143"/>
      <c r="AO926" s="143"/>
      <c r="AP926" s="143"/>
      <c r="AQ926" s="143"/>
      <c r="AS926" s="1628" t="str">
        <f>IF(K865="Box Flange","Hide this row","")</f>
        <v>Hide this row</v>
      </c>
    </row>
    <row r="927" spans="1:46" ht="15" customHeight="1">
      <c r="A927" s="170"/>
      <c r="F927" s="148" t="s">
        <v>134</v>
      </c>
      <c r="G927" s="148"/>
      <c r="H927" s="148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8" t="s">
        <v>1967</v>
      </c>
      <c r="AA927" s="141"/>
      <c r="AB927" s="141"/>
      <c r="AC927" s="141"/>
      <c r="AD927" s="141"/>
      <c r="AE927" s="141"/>
      <c r="AF927" s="73"/>
      <c r="AJ927" s="505"/>
      <c r="AS927" s="1628" t="str">
        <f>IF(K865="Box Flange","Hide this row","")</f>
        <v>Hide this row</v>
      </c>
    </row>
    <row r="928" spans="1:46" ht="15" customHeight="1">
      <c r="A928" s="170"/>
      <c r="F928" s="93"/>
      <c r="G928" s="93"/>
      <c r="H928" s="93"/>
      <c r="I928" s="93"/>
      <c r="J928" s="170"/>
      <c r="K928" s="365"/>
      <c r="L928" s="143"/>
      <c r="N928" s="1932" t="s">
        <v>2589</v>
      </c>
      <c r="O928" s="1932"/>
      <c r="P928" s="1932"/>
      <c r="Q928" s="1932"/>
      <c r="R928" s="1932"/>
      <c r="S928" s="1932"/>
      <c r="T928" s="1932"/>
      <c r="U928" s="1932"/>
      <c r="V928" s="1932"/>
      <c r="X928" s="365"/>
      <c r="Y928" s="170"/>
      <c r="Z928" s="1936" t="s">
        <v>1968</v>
      </c>
      <c r="AA928" s="1936"/>
      <c r="AB928" s="170"/>
      <c r="AC928" s="1547"/>
      <c r="AD928" s="143"/>
      <c r="AE928" s="143"/>
      <c r="AF928" s="73"/>
      <c r="AJ928" s="505"/>
      <c r="AS928" s="1628" t="str">
        <f>IF(K865="Box Flange","Hide this row","")</f>
        <v>Hide this row</v>
      </c>
    </row>
    <row r="929" spans="1:45" ht="15" customHeight="1">
      <c r="A929" s="170"/>
      <c r="F929" s="1870" t="s">
        <v>1342</v>
      </c>
      <c r="G929" s="1870"/>
      <c r="H929" s="1870"/>
      <c r="I929" s="1870"/>
      <c r="J929" s="1870"/>
      <c r="K929" s="1870"/>
      <c r="L929" s="1870"/>
      <c r="N929" s="1930"/>
      <c r="O929" s="1930"/>
      <c r="P929" s="1930"/>
      <c r="Q929" s="1930"/>
      <c r="R929" s="1930"/>
      <c r="S929" s="1930"/>
      <c r="T929" s="1930"/>
      <c r="U929" s="1930"/>
      <c r="V929" s="1930"/>
      <c r="X929" s="104"/>
      <c r="Y929" s="118"/>
      <c r="Z929" s="2176"/>
      <c r="AA929" s="2176"/>
      <c r="AB929" s="118"/>
      <c r="AC929" s="1547"/>
      <c r="AD929" s="143"/>
      <c r="AE929" s="143"/>
      <c r="AF929" s="73"/>
      <c r="AJ929" s="505"/>
      <c r="AS929" s="1628" t="str">
        <f>IF(K865="Box Flange","Hide this row","")</f>
        <v>Hide this row</v>
      </c>
    </row>
    <row r="930" spans="1:45" ht="15" customHeight="1">
      <c r="A930" s="170"/>
      <c r="F930" s="1870"/>
      <c r="G930" s="1870"/>
      <c r="H930" s="1870"/>
      <c r="I930" s="1870"/>
      <c r="J930" s="1870"/>
      <c r="K930" s="1870"/>
      <c r="L930" s="1870"/>
      <c r="N930" s="1937" t="s">
        <v>136</v>
      </c>
      <c r="O930" s="1937"/>
      <c r="P930" s="1937"/>
      <c r="Q930" s="1937"/>
      <c r="R930" s="99"/>
      <c r="S930" s="99"/>
      <c r="T930" s="99"/>
      <c r="U930" s="99"/>
      <c r="V930" s="99"/>
      <c r="W930" s="99"/>
      <c r="X930" s="2178">
        <v>0.85</v>
      </c>
      <c r="Y930" s="2178"/>
      <c r="Z930" s="2178"/>
      <c r="AA930" s="2178"/>
      <c r="AB930" s="2187" t="s">
        <v>1969</v>
      </c>
      <c r="AC930" s="2187"/>
      <c r="AD930" s="2187"/>
      <c r="AE930" s="2187"/>
      <c r="AF930" s="73"/>
      <c r="AG930" s="143"/>
      <c r="AH930" s="143"/>
      <c r="AJ930" s="505"/>
      <c r="AS930" s="1628" t="str">
        <f>IF(K865="Box Flange","Hide this row","")</f>
        <v>Hide this row</v>
      </c>
    </row>
    <row r="931" spans="1:45" ht="15" customHeight="1">
      <c r="A931" s="170"/>
      <c r="F931" s="104"/>
      <c r="G931" s="104"/>
      <c r="H931" s="104"/>
      <c r="I931" s="104"/>
      <c r="J931" s="104"/>
      <c r="K931" s="104"/>
      <c r="L931" s="104"/>
      <c r="M931" s="104"/>
      <c r="N931" s="1930"/>
      <c r="O931" s="1930"/>
      <c r="P931" s="1930"/>
      <c r="Q931" s="1930"/>
      <c r="R931" s="118"/>
      <c r="S931" s="118"/>
      <c r="T931" s="118"/>
      <c r="U931" s="118"/>
      <c r="V931" s="118"/>
      <c r="W931" s="118"/>
      <c r="X931" s="2177" t="s">
        <v>234</v>
      </c>
      <c r="Y931" s="2177"/>
      <c r="Z931" s="2177"/>
      <c r="AA931" s="2177"/>
      <c r="AB931" s="2188"/>
      <c r="AC931" s="2188"/>
      <c r="AD931" s="2188"/>
      <c r="AE931" s="2188"/>
      <c r="AF931" s="73"/>
      <c r="AG931" s="143"/>
      <c r="AH931" s="143"/>
      <c r="AJ931" s="505"/>
      <c r="AS931" s="1628" t="str">
        <f>IF(K865="Box Flange","Hide this row","")</f>
        <v>Hide this row</v>
      </c>
    </row>
    <row r="932" spans="1:45" ht="20.100000000000001" customHeight="1">
      <c r="A932" s="170"/>
      <c r="F932" s="145" t="s">
        <v>1341</v>
      </c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 t="s">
        <v>1968</v>
      </c>
      <c r="AA932" s="112"/>
      <c r="AB932" s="112"/>
      <c r="AC932" s="112"/>
      <c r="AD932" s="112"/>
      <c r="AE932" s="112"/>
      <c r="AF932" s="73"/>
      <c r="AJ932" s="505"/>
      <c r="AS932" s="1628" t="str">
        <f>IF(K865="Box Flange","Hide this row","")</f>
        <v>Hide this row</v>
      </c>
    </row>
    <row r="933" spans="1:45" ht="20.100000000000001" customHeight="1">
      <c r="A933" s="170"/>
      <c r="B933" s="170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  <c r="AA933" s="115"/>
      <c r="AJ933" s="505"/>
      <c r="AM933" s="76"/>
      <c r="AS933" s="1628" t="str">
        <f>IF(K865="Box Flange","Hide this row","")</f>
        <v>Hide this row</v>
      </c>
    </row>
    <row r="934" spans="1:45" ht="15" customHeight="1">
      <c r="A934" s="170"/>
      <c r="F934" s="96" t="s">
        <v>2509</v>
      </c>
      <c r="G934" s="170" t="s">
        <v>2524</v>
      </c>
      <c r="K934" s="170"/>
      <c r="L934" s="143"/>
      <c r="S934" s="170"/>
      <c r="T934" s="170"/>
      <c r="U934" s="170"/>
      <c r="V934" s="170"/>
      <c r="W934" s="170"/>
      <c r="X934" s="170"/>
      <c r="Y934" s="1539"/>
      <c r="Z934" s="170"/>
      <c r="AA934" s="170"/>
      <c r="AE934" s="143"/>
      <c r="AF934" s="143"/>
      <c r="AG934" s="143"/>
      <c r="AH934" s="143"/>
      <c r="AM934" s="76"/>
      <c r="AS934" s="1628" t="str">
        <f>IF(K865="Box Flange","Hide this row","")</f>
        <v>Hide this row</v>
      </c>
    </row>
    <row r="935" spans="1:45" ht="15" customHeight="1">
      <c r="A935" s="170"/>
      <c r="H935" s="143" t="s">
        <v>367</v>
      </c>
      <c r="J935" s="143" t="s">
        <v>2592</v>
      </c>
      <c r="L935" s="143" t="s">
        <v>2809</v>
      </c>
      <c r="T935" s="170"/>
      <c r="U935" s="170"/>
      <c r="V935" s="170"/>
      <c r="W935" s="170"/>
      <c r="X935" s="170"/>
      <c r="AB935" s="143"/>
      <c r="AD935" s="143"/>
      <c r="AE935" s="143"/>
      <c r="AF935" s="143"/>
      <c r="AG935" s="143"/>
      <c r="AH935" s="143"/>
      <c r="AI935" s="143"/>
      <c r="AJ935" s="143"/>
      <c r="AK935" s="143"/>
      <c r="AL935" s="143"/>
      <c r="AM935" s="143"/>
      <c r="AN935" s="143"/>
      <c r="AO935" s="143"/>
      <c r="AP935" s="143"/>
      <c r="AQ935" s="143"/>
      <c r="AS935" s="1628" t="str">
        <f>IF(K865="Box Flange","Hide this row","")</f>
        <v>Hide this row</v>
      </c>
    </row>
    <row r="936" spans="1:45" ht="15" customHeight="1">
      <c r="A936" s="170"/>
      <c r="F936" s="2097">
        <f>+AE444</f>
        <v>5000</v>
      </c>
      <c r="G936" s="1938"/>
      <c r="H936" s="1938"/>
      <c r="J936" s="95" t="str">
        <f>+IF(F936&gt;AG936,"&gt;","&lt;")</f>
        <v>&lt;</v>
      </c>
      <c r="L936" s="1938">
        <v>1.2</v>
      </c>
      <c r="M936" s="1938"/>
      <c r="N936" s="138" t="s">
        <v>2489</v>
      </c>
      <c r="O936" s="1938">
        <f>+AA919</f>
        <v>11566.67550387948</v>
      </c>
      <c r="P936" s="1938"/>
      <c r="Q936" s="1938"/>
      <c r="R936" s="138" t="s">
        <v>2807</v>
      </c>
      <c r="T936" s="170"/>
      <c r="U936" s="170"/>
      <c r="V936" s="170"/>
      <c r="X936" s="2096">
        <f>ABS(X964)</f>
        <v>148.26948555692721</v>
      </c>
      <c r="Y936" s="2096"/>
      <c r="Z936" s="2096"/>
      <c r="AA936" s="124" t="s">
        <v>2489</v>
      </c>
      <c r="AB936" s="2096">
        <f>AE505</f>
        <v>380</v>
      </c>
      <c r="AC936" s="2096"/>
      <c r="AD936" s="2096"/>
      <c r="AE936" s="124" t="s">
        <v>2491</v>
      </c>
      <c r="AF936" s="143"/>
      <c r="AG936" s="2096">
        <f>1.2*O936*SQRT(AB936/ABS(X936))</f>
        <v>22220.596127440433</v>
      </c>
      <c r="AH936" s="2096"/>
      <c r="AI936" s="2096"/>
      <c r="AJ936" s="2096"/>
      <c r="AK936" s="143"/>
      <c r="AL936" s="143"/>
      <c r="AM936" s="143"/>
      <c r="AN936" s="143"/>
      <c r="AO936" s="143"/>
      <c r="AP936" s="143"/>
      <c r="AQ936" s="143"/>
      <c r="AS936" s="1628" t="str">
        <f>IF(K865="Box Flange","Hide this row","")</f>
        <v>Hide this row</v>
      </c>
    </row>
    <row r="937" spans="1:45" ht="15" customHeight="1">
      <c r="A937" s="170"/>
      <c r="F937" s="170" t="s">
        <v>2500</v>
      </c>
      <c r="H937" s="170" t="s">
        <v>2590</v>
      </c>
      <c r="I937" s="170"/>
      <c r="J937" s="1541" t="s">
        <v>324</v>
      </c>
      <c r="K937" s="170"/>
      <c r="L937" s="170" t="str">
        <f>IF(OR(AE443="Tension",F936&lt;=AG936),"fℓ1","Max [ 0.85/(1-fbu/Fcr) * fℓ1  ;  fℓ1]")</f>
        <v>fℓ1</v>
      </c>
      <c r="Y937" s="143"/>
      <c r="AB937" s="143"/>
      <c r="AD937" s="143"/>
      <c r="AE937" s="143"/>
      <c r="AF937" s="143"/>
      <c r="AG937" s="143"/>
      <c r="AH937" s="143"/>
      <c r="AI937" s="1561"/>
      <c r="AJ937" s="306"/>
      <c r="AM937" s="76"/>
      <c r="AS937" s="1628" t="str">
        <f>IF(K865="Box Flange","Hide this row","")</f>
        <v>Hide this row</v>
      </c>
    </row>
    <row r="938" spans="1:45" ht="15" customHeight="1" thickBot="1">
      <c r="A938" s="170"/>
      <c r="H938" s="321" t="s">
        <v>2590</v>
      </c>
      <c r="I938" s="321"/>
      <c r="J938" s="1484" t="s">
        <v>324</v>
      </c>
      <c r="K938" s="321"/>
      <c r="L938" s="2199">
        <f>IF(OR(AE443="Tension",F936&lt;=AG936),AN906,MAX(0.85/(1-X936/AC923)*AN906, AN906))</f>
        <v>0.195992866252755</v>
      </c>
      <c r="M938" s="2199"/>
      <c r="N938" s="2199"/>
      <c r="O938" s="321" t="s">
        <v>2508</v>
      </c>
      <c r="P938" s="321"/>
      <c r="Q938" s="170"/>
      <c r="R938" s="170"/>
      <c r="S938" s="170"/>
      <c r="T938" s="170"/>
      <c r="AE938" s="170"/>
      <c r="AF938" s="170"/>
      <c r="AG938" s="124"/>
      <c r="AH938" s="170"/>
      <c r="AI938" s="143"/>
      <c r="AJ938" s="143"/>
      <c r="AK938" s="143"/>
      <c r="AR938" s="1266"/>
      <c r="AS938" s="1628" t="str">
        <f>IF(K865="Box Flange","Hide this row","")</f>
        <v>Hide this row</v>
      </c>
    </row>
    <row r="939" spans="1:45" ht="15" customHeight="1" thickBot="1">
      <c r="A939" s="170"/>
      <c r="B939" s="170"/>
      <c r="C939" s="170"/>
      <c r="D939" s="170"/>
      <c r="E939" s="170"/>
      <c r="F939" s="1541"/>
      <c r="H939" s="1274"/>
      <c r="I939" s="1274"/>
      <c r="J939" s="1274"/>
      <c r="L939" s="1240"/>
      <c r="N939" s="170"/>
      <c r="O939" s="170"/>
      <c r="P939" s="170"/>
      <c r="Q939" s="170"/>
      <c r="R939" s="170"/>
      <c r="S939" s="170"/>
      <c r="T939" s="170"/>
      <c r="U939" s="170"/>
      <c r="V939" s="170"/>
      <c r="Y939" s="143"/>
      <c r="Z939" s="170"/>
      <c r="AB939" s="143"/>
      <c r="AD939" s="143"/>
      <c r="AE939" s="143"/>
      <c r="AF939" s="170"/>
      <c r="AG939" s="170"/>
      <c r="AH939" s="170"/>
      <c r="AI939" s="170"/>
      <c r="AJ939" s="143"/>
      <c r="AK939" s="143"/>
      <c r="AL939" s="170"/>
      <c r="AM939" s="170"/>
      <c r="AP939" s="1267"/>
      <c r="AQ939" s="143"/>
      <c r="AR939" s="143"/>
      <c r="AS939" s="1628" t="str">
        <f>IF(K865="Box Flange","Hide this row","")</f>
        <v>Hide this row</v>
      </c>
    </row>
    <row r="940" spans="1:45" ht="15" customHeight="1">
      <c r="A940" s="170"/>
      <c r="B940" s="170"/>
      <c r="D940" s="124"/>
      <c r="F940" s="1275"/>
      <c r="G940" s="36"/>
      <c r="H940" s="36"/>
      <c r="I940" s="36"/>
      <c r="J940" s="36"/>
      <c r="K940" s="1276" t="s">
        <v>2594</v>
      </c>
      <c r="L940" s="224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224"/>
      <c r="Z940" s="36"/>
      <c r="AA940" s="36"/>
      <c r="AB940" s="36"/>
      <c r="AC940" s="36"/>
      <c r="AD940" s="224"/>
      <c r="AE940" s="224"/>
      <c r="AF940" s="224"/>
      <c r="AG940" s="36"/>
      <c r="AH940" s="224"/>
      <c r="AI940" s="36"/>
      <c r="AJ940" s="36"/>
      <c r="AK940" s="36"/>
      <c r="AL940" s="43"/>
      <c r="AS940" s="1628" t="str">
        <f>IF(K865="Box Flange","Hide this row","")</f>
        <v>Hide this row</v>
      </c>
    </row>
    <row r="941" spans="1:45" ht="20.100000000000001" customHeight="1">
      <c r="A941" s="206"/>
      <c r="B941" s="170"/>
      <c r="F941" s="1277"/>
      <c r="G941" s="9"/>
      <c r="H941" s="9"/>
      <c r="I941" s="9"/>
      <c r="J941" s="9"/>
      <c r="K941" s="9"/>
      <c r="L941" s="9"/>
      <c r="M941" s="9"/>
      <c r="N941" s="33" t="s">
        <v>1967</v>
      </c>
      <c r="O941" s="9"/>
      <c r="P941" s="9"/>
      <c r="Q941" s="33" t="s">
        <v>2592</v>
      </c>
      <c r="R941" s="9"/>
      <c r="S941" s="9"/>
      <c r="T941" s="33" t="s">
        <v>2593</v>
      </c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33" t="s">
        <v>2509</v>
      </c>
      <c r="AI941" s="196"/>
      <c r="AJ941" s="2082" t="str">
        <f>+IF(T942&lt;=T943,"OK","NG")</f>
        <v>OK</v>
      </c>
      <c r="AK941" s="2082"/>
      <c r="AL941" s="2083"/>
      <c r="AM941" s="143"/>
      <c r="AN941" s="143"/>
      <c r="AO941" s="143"/>
      <c r="AP941" s="143"/>
      <c r="AQ941" s="143"/>
      <c r="AR941" s="143"/>
      <c r="AS941" s="1628" t="str">
        <f>IF(K865="Box Flange","Hide this row","")</f>
        <v>Hide this row</v>
      </c>
    </row>
    <row r="942" spans="1:45" ht="20.100000000000001" customHeight="1">
      <c r="A942" s="206"/>
      <c r="B942" s="170"/>
      <c r="F942" s="1277"/>
      <c r="G942" s="9"/>
      <c r="H942" s="9"/>
      <c r="I942" s="9"/>
      <c r="J942" s="9"/>
      <c r="K942" s="9"/>
      <c r="L942" s="9"/>
      <c r="M942" s="9"/>
      <c r="N942" s="9" t="s">
        <v>2810</v>
      </c>
      <c r="O942" s="9"/>
      <c r="P942" s="9"/>
      <c r="Q942" s="31" t="s">
        <v>324</v>
      </c>
      <c r="R942" s="9"/>
      <c r="S942" s="9"/>
      <c r="T942" s="2189">
        <f>+L938</f>
        <v>0.195992866252755</v>
      </c>
      <c r="U942" s="2190"/>
      <c r="V942" s="2190"/>
      <c r="W942" s="1601" t="s">
        <v>2508</v>
      </c>
      <c r="X942" s="1601"/>
      <c r="Y942" s="9"/>
      <c r="Z942" s="9"/>
      <c r="AA942" s="9"/>
      <c r="AB942" s="9"/>
      <c r="AC942" s="33"/>
      <c r="AD942" s="196"/>
      <c r="AE942" s="196"/>
      <c r="AF942" s="196"/>
      <c r="AG942" s="1487" t="s">
        <v>2510</v>
      </c>
      <c r="AH942" s="196"/>
      <c r="AI942" s="9"/>
      <c r="AJ942" s="2086">
        <f>+T943/T942</f>
        <v>1163.3076466465272</v>
      </c>
      <c r="AK942" s="2086"/>
      <c r="AL942" s="2087"/>
      <c r="AM942" s="143"/>
      <c r="AN942" s="143"/>
      <c r="AO942" s="143"/>
      <c r="AP942" s="143"/>
      <c r="AQ942" s="143"/>
      <c r="AR942" s="143"/>
      <c r="AS942" s="1628" t="str">
        <f>IF(K865="Box Flange","Hide this row","")</f>
        <v>Hide this row</v>
      </c>
    </row>
    <row r="943" spans="1:45" ht="20.100000000000001" customHeight="1" thickBot="1">
      <c r="A943" s="170"/>
      <c r="F943" s="40"/>
      <c r="G943" s="41"/>
      <c r="H943" s="1602"/>
      <c r="I943" s="41"/>
      <c r="J943" s="1602"/>
      <c r="K943" s="41"/>
      <c r="L943" s="41"/>
      <c r="M943" s="41"/>
      <c r="N943" s="1486" t="s">
        <v>2811</v>
      </c>
      <c r="O943" s="41"/>
      <c r="P943" s="41"/>
      <c r="Q943" s="1292" t="s">
        <v>324</v>
      </c>
      <c r="R943" s="41"/>
      <c r="S943" s="41"/>
      <c r="T943" s="2191">
        <f>0.6*AE505</f>
        <v>228</v>
      </c>
      <c r="U943" s="2191"/>
      <c r="V943" s="2191"/>
      <c r="W943" s="1602" t="s">
        <v>2508</v>
      </c>
      <c r="X943" s="1602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5"/>
      <c r="AM943" s="143"/>
      <c r="AN943" s="143"/>
      <c r="AO943" s="143"/>
      <c r="AP943" s="143"/>
      <c r="AQ943" s="143"/>
      <c r="AR943" s="143"/>
      <c r="AS943" s="1628" t="str">
        <f>IF(K865="Box Flange","Hide this row","")</f>
        <v>Hide this row</v>
      </c>
    </row>
    <row r="944" spans="1:45" ht="15" customHeight="1">
      <c r="A944" s="170"/>
      <c r="B944" s="170"/>
      <c r="L944" s="143"/>
      <c r="Y944" s="1539"/>
      <c r="AG944" s="122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  <c r="AS944" s="1628" t="str">
        <f>IF(K865="Box Flange","Hide this row","")</f>
        <v>Hide this row</v>
      </c>
    </row>
    <row r="945" spans="1:73" ht="15" customHeight="1">
      <c r="A945" s="170"/>
      <c r="B945" s="170"/>
      <c r="C945" s="170"/>
      <c r="D945" s="170"/>
      <c r="E945" s="170"/>
      <c r="F945" s="170"/>
      <c r="G945" s="170"/>
      <c r="H945" s="170"/>
      <c r="I945" s="170"/>
      <c r="J945" s="170"/>
      <c r="K945" s="170"/>
      <c r="L945" s="1539"/>
      <c r="M945" s="170"/>
      <c r="N945" s="170"/>
      <c r="O945" s="170"/>
      <c r="P945" s="170"/>
      <c r="Q945" s="170"/>
      <c r="R945" s="170"/>
      <c r="Y945" s="1539"/>
      <c r="Z945" s="170"/>
      <c r="AA945" s="170"/>
      <c r="AJ945" s="505"/>
      <c r="AM945" s="76"/>
    </row>
    <row r="946" spans="1:73" ht="15" customHeight="1">
      <c r="A946" s="1182" t="s">
        <v>390</v>
      </c>
      <c r="B946" s="1182"/>
      <c r="C946" s="61"/>
      <c r="D946" s="170"/>
      <c r="E946" s="124"/>
      <c r="F946" s="170"/>
      <c r="G946" s="170"/>
      <c r="H946" s="170"/>
      <c r="I946" s="170"/>
      <c r="J946" s="170"/>
      <c r="K946" s="170"/>
      <c r="L946" s="1539"/>
      <c r="M946" s="170"/>
      <c r="N946" s="170"/>
      <c r="O946" s="170"/>
      <c r="P946" s="170"/>
      <c r="Q946" s="170"/>
      <c r="R946" s="170"/>
      <c r="S946" s="170"/>
      <c r="T946" s="170"/>
      <c r="U946" s="170"/>
      <c r="V946" s="170"/>
      <c r="W946" s="170"/>
      <c r="X946" s="170"/>
      <c r="Y946" s="1539"/>
      <c r="Z946" s="170"/>
      <c r="AA946" s="170"/>
      <c r="AJ946" s="505"/>
      <c r="AM946" s="76"/>
    </row>
    <row r="947" spans="1:73" ht="15" customHeight="1" thickBot="1">
      <c r="A947" s="207"/>
      <c r="B947" s="1569"/>
      <c r="C947" s="170"/>
      <c r="D947" s="124"/>
      <c r="E947" s="170"/>
      <c r="F947" s="170"/>
      <c r="G947" s="170"/>
      <c r="H947" s="170"/>
      <c r="I947" s="170"/>
      <c r="J947" s="170"/>
      <c r="K947" s="1539"/>
      <c r="L947" s="143"/>
      <c r="M947" s="170"/>
      <c r="N947" s="170"/>
      <c r="O947" s="170"/>
      <c r="P947" s="170"/>
      <c r="Q947" s="170"/>
      <c r="R947" s="170"/>
      <c r="S947" s="170"/>
      <c r="T947" s="170"/>
      <c r="U947" s="170"/>
      <c r="V947" s="170"/>
      <c r="W947" s="170"/>
      <c r="X947" s="170"/>
      <c r="Y947" s="1539"/>
      <c r="Z947" s="170"/>
      <c r="AA947" s="170"/>
      <c r="AJ947" s="505"/>
      <c r="AM947" s="76"/>
    </row>
    <row r="948" spans="1:73" ht="15" customHeight="1">
      <c r="A948" s="207"/>
      <c r="E948" s="384"/>
      <c r="F948" s="383"/>
      <c r="G948" s="383"/>
      <c r="H948" s="383"/>
      <c r="I948" s="383"/>
      <c r="J948" s="1209"/>
      <c r="K948" s="367" t="s">
        <v>794</v>
      </c>
      <c r="L948" s="367"/>
      <c r="M948" s="367"/>
      <c r="N948" s="367"/>
      <c r="O948" s="367"/>
      <c r="P948" s="367"/>
      <c r="Q948" s="367"/>
      <c r="R948" s="367"/>
      <c r="S948" s="367"/>
      <c r="T948" s="367"/>
      <c r="U948" s="367"/>
      <c r="V948" s="367"/>
      <c r="W948" s="367"/>
      <c r="X948" s="367"/>
      <c r="Y948" s="367"/>
      <c r="Z948" s="367"/>
      <c r="AA948" s="367"/>
      <c r="AB948" s="584" t="s">
        <v>795</v>
      </c>
      <c r="AC948" s="383"/>
      <c r="AD948" s="367"/>
      <c r="AE948" s="367"/>
      <c r="AF948" s="367"/>
      <c r="AG948" s="367"/>
      <c r="AH948" s="367"/>
      <c r="AI948" s="367"/>
      <c r="AJ948" s="367"/>
      <c r="AK948" s="367"/>
      <c r="AL948" s="367"/>
      <c r="AM948" s="385"/>
    </row>
    <row r="949" spans="1:73" ht="15" customHeight="1">
      <c r="A949" s="207"/>
      <c r="E949" s="579" t="s">
        <v>950</v>
      </c>
      <c r="F949" s="115"/>
      <c r="J949" s="1210"/>
      <c r="K949" s="147" t="s">
        <v>171</v>
      </c>
      <c r="L949" s="368"/>
      <c r="M949" s="368"/>
      <c r="Y949" s="143"/>
      <c r="Z949" s="178" t="s">
        <v>162</v>
      </c>
      <c r="AB949" s="585"/>
      <c r="AC949" s="170"/>
      <c r="AD949" s="170"/>
      <c r="AE949" s="143"/>
      <c r="AF949" s="1547"/>
      <c r="AG949" s="143"/>
      <c r="AH949" s="143"/>
      <c r="AL949" s="143"/>
      <c r="AM949" s="370"/>
    </row>
    <row r="950" spans="1:73" s="1627" customFormat="1" ht="15" customHeight="1">
      <c r="A950" s="207"/>
      <c r="B950" s="143"/>
      <c r="C950" s="143"/>
      <c r="D950" s="143"/>
      <c r="E950" s="579"/>
      <c r="F950" s="115"/>
      <c r="G950" s="143"/>
      <c r="H950" s="143"/>
      <c r="I950" s="143"/>
      <c r="J950" s="1210"/>
      <c r="K950" s="147" t="s">
        <v>172</v>
      </c>
      <c r="L950" s="80"/>
      <c r="M950" s="80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78" t="s">
        <v>163</v>
      </c>
      <c r="AA950" s="143"/>
      <c r="AB950" s="585" t="s">
        <v>176</v>
      </c>
      <c r="AC950" s="170"/>
      <c r="AD950" s="170"/>
      <c r="AE950" s="143"/>
      <c r="AF950" s="1547"/>
      <c r="AG950" s="143"/>
      <c r="AH950" s="143"/>
      <c r="AI950" s="73"/>
      <c r="AJ950" s="73"/>
      <c r="AK950" s="73"/>
      <c r="AL950" s="143"/>
      <c r="AM950" s="370" t="s">
        <v>167</v>
      </c>
      <c r="AN950" s="73"/>
      <c r="AO950" s="73"/>
      <c r="AP950" s="73"/>
      <c r="AQ950" s="73"/>
      <c r="AR950" s="73"/>
      <c r="AT950" s="143"/>
      <c r="AU950" s="143"/>
      <c r="AV950" s="143"/>
      <c r="AW950" s="143"/>
      <c r="AX950" s="143"/>
      <c r="AY950" s="143"/>
      <c r="AZ950" s="143"/>
      <c r="BA950" s="143"/>
      <c r="BB950" s="143"/>
      <c r="BC950" s="143"/>
      <c r="BD950" s="143"/>
      <c r="BE950" s="143"/>
      <c r="BF950" s="143"/>
      <c r="BG950" s="143"/>
      <c r="BH950" s="143"/>
      <c r="BI950" s="143"/>
      <c r="BJ950" s="143"/>
      <c r="BK950" s="143"/>
      <c r="BL950" s="143"/>
      <c r="BM950" s="143"/>
      <c r="BN950" s="143"/>
      <c r="BO950" s="143"/>
      <c r="BP950" s="143"/>
      <c r="BQ950" s="143"/>
      <c r="BR950" s="143"/>
      <c r="BS950" s="143"/>
      <c r="BT950" s="143"/>
      <c r="BU950" s="143"/>
    </row>
    <row r="951" spans="1:73" s="1627" customFormat="1" ht="15" customHeight="1">
      <c r="A951" s="207"/>
      <c r="B951" s="143"/>
      <c r="C951" s="143"/>
      <c r="D951" s="143"/>
      <c r="E951" s="580"/>
      <c r="F951" s="104"/>
      <c r="G951" s="104"/>
      <c r="H951" s="104"/>
      <c r="I951" s="104"/>
      <c r="J951" s="377"/>
      <c r="K951" s="152" t="s">
        <v>952</v>
      </c>
      <c r="L951" s="378"/>
      <c r="M951" s="118"/>
      <c r="N951" s="118"/>
      <c r="O951" s="118"/>
      <c r="P951" s="379" t="s">
        <v>953</v>
      </c>
      <c r="Q951" s="118"/>
      <c r="R951" s="118"/>
      <c r="S951" s="118"/>
      <c r="T951" s="118"/>
      <c r="U951" s="118"/>
      <c r="V951" s="118"/>
      <c r="W951" s="118"/>
      <c r="X951" s="118"/>
      <c r="Y951" s="118"/>
      <c r="Z951" s="381" t="s">
        <v>164</v>
      </c>
      <c r="AA951" s="381"/>
      <c r="AB951" s="586"/>
      <c r="AC951" s="118"/>
      <c r="AD951" s="378"/>
      <c r="AE951" s="378"/>
      <c r="AF951" s="378"/>
      <c r="AG951" s="378"/>
      <c r="AH951" s="378"/>
      <c r="AI951" s="378"/>
      <c r="AJ951" s="378"/>
      <c r="AK951" s="378"/>
      <c r="AL951" s="378"/>
      <c r="AM951" s="382"/>
      <c r="AN951" s="73"/>
      <c r="AO951" s="73"/>
      <c r="AP951" s="73"/>
      <c r="AQ951" s="73"/>
      <c r="AR951" s="73"/>
      <c r="AT951" s="143"/>
      <c r="AU951" s="143"/>
      <c r="AV951" s="143"/>
      <c r="AW951" s="143"/>
      <c r="AX951" s="143"/>
      <c r="AY951" s="143"/>
      <c r="AZ951" s="143"/>
      <c r="BA951" s="143"/>
      <c r="BB951" s="143"/>
      <c r="BC951" s="143"/>
      <c r="BD951" s="143"/>
      <c r="BE951" s="143"/>
      <c r="BF951" s="143"/>
      <c r="BG951" s="143"/>
      <c r="BH951" s="143"/>
      <c r="BI951" s="143"/>
      <c r="BJ951" s="143"/>
      <c r="BK951" s="143"/>
      <c r="BL951" s="143"/>
      <c r="BM951" s="143"/>
      <c r="BN951" s="143"/>
      <c r="BO951" s="143"/>
      <c r="BP951" s="143"/>
      <c r="BQ951" s="143"/>
      <c r="BR951" s="143"/>
      <c r="BS951" s="143"/>
      <c r="BT951" s="143"/>
      <c r="BU951" s="143"/>
    </row>
    <row r="952" spans="1:73" s="1627" customFormat="1" ht="15" customHeight="1">
      <c r="A952" s="207"/>
      <c r="B952" s="143"/>
      <c r="C952" s="143"/>
      <c r="D952" s="143"/>
      <c r="E952" s="579" t="s">
        <v>951</v>
      </c>
      <c r="F952" s="115"/>
      <c r="G952" s="143"/>
      <c r="H952" s="143"/>
      <c r="I952" s="143"/>
      <c r="J952" s="1210"/>
      <c r="K952" s="147" t="s">
        <v>174</v>
      </c>
      <c r="L952" s="1585"/>
      <c r="M952" s="170"/>
      <c r="N952" s="143"/>
      <c r="O952" s="143"/>
      <c r="P952" s="1585"/>
      <c r="Q952" s="143"/>
      <c r="R952" s="143"/>
      <c r="S952" s="143"/>
      <c r="T952" s="143"/>
      <c r="U952" s="143"/>
      <c r="V952" s="143"/>
      <c r="W952" s="143"/>
      <c r="X952" s="143"/>
      <c r="Y952" s="143"/>
      <c r="Z952" s="178" t="s">
        <v>165</v>
      </c>
      <c r="AA952" s="143"/>
      <c r="AB952" s="587" t="s">
        <v>175</v>
      </c>
      <c r="AC952" s="170"/>
      <c r="AD952" s="170"/>
      <c r="AE952" s="143"/>
      <c r="AF952" s="1547"/>
      <c r="AG952" s="143"/>
      <c r="AH952" s="143"/>
      <c r="AI952" s="73"/>
      <c r="AJ952" s="73"/>
      <c r="AK952" s="73"/>
      <c r="AL952" s="143"/>
      <c r="AM952" s="370" t="s">
        <v>168</v>
      </c>
      <c r="AN952" s="73"/>
      <c r="AO952" s="73"/>
      <c r="AP952" s="73"/>
      <c r="AQ952" s="73"/>
      <c r="AR952" s="73"/>
      <c r="AT952" s="143"/>
      <c r="AU952" s="143"/>
      <c r="AV952" s="143"/>
      <c r="AW952" s="143"/>
      <c r="AX952" s="143"/>
      <c r="AY952" s="143"/>
      <c r="AZ952" s="143"/>
      <c r="BA952" s="143"/>
      <c r="BB952" s="143"/>
      <c r="BC952" s="143"/>
      <c r="BD952" s="143"/>
      <c r="BE952" s="143"/>
      <c r="BF952" s="143"/>
      <c r="BG952" s="143"/>
      <c r="BH952" s="143"/>
      <c r="BI952" s="143"/>
      <c r="BJ952" s="143"/>
      <c r="BK952" s="143"/>
      <c r="BL952" s="143"/>
      <c r="BM952" s="143"/>
      <c r="BN952" s="143"/>
      <c r="BO952" s="143"/>
      <c r="BP952" s="143"/>
      <c r="BQ952" s="143"/>
      <c r="BR952" s="143"/>
      <c r="BS952" s="143"/>
      <c r="BT952" s="143"/>
      <c r="BU952" s="143"/>
    </row>
    <row r="953" spans="1:73" s="1627" customFormat="1" ht="15" customHeight="1" thickBot="1">
      <c r="A953" s="207"/>
      <c r="B953" s="143"/>
      <c r="C953" s="143"/>
      <c r="D953" s="143"/>
      <c r="E953" s="581"/>
      <c r="F953" s="582"/>
      <c r="G953" s="582"/>
      <c r="H953" s="582"/>
      <c r="I953" s="582"/>
      <c r="J953" s="373"/>
      <c r="K953" s="374" t="s">
        <v>173</v>
      </c>
      <c r="L953" s="369"/>
      <c r="M953" s="321"/>
      <c r="N953" s="321"/>
      <c r="O953" s="321"/>
      <c r="P953" s="371" t="s">
        <v>953</v>
      </c>
      <c r="Q953" s="371"/>
      <c r="R953" s="371"/>
      <c r="S953" s="321"/>
      <c r="T953" s="321"/>
      <c r="U953" s="321"/>
      <c r="V953" s="321"/>
      <c r="W953" s="321"/>
      <c r="X953" s="321"/>
      <c r="Y953" s="321"/>
      <c r="Z953" s="542" t="s">
        <v>166</v>
      </c>
      <c r="AA953" s="542"/>
      <c r="AB953" s="588"/>
      <c r="AC953" s="321"/>
      <c r="AD953" s="369"/>
      <c r="AE953" s="369"/>
      <c r="AF953" s="369"/>
      <c r="AG953" s="369"/>
      <c r="AH953" s="369"/>
      <c r="AI953" s="369"/>
      <c r="AJ953" s="369"/>
      <c r="AK953" s="369"/>
      <c r="AL953" s="369"/>
      <c r="AM953" s="583"/>
      <c r="AN953" s="73"/>
      <c r="AO953" s="73"/>
      <c r="AP953" s="73"/>
      <c r="AQ953" s="73"/>
      <c r="AR953" s="73"/>
      <c r="AT953" s="143"/>
      <c r="AU953" s="143"/>
      <c r="AV953" s="143"/>
      <c r="AW953" s="143"/>
      <c r="AX953" s="143"/>
      <c r="AY953" s="143"/>
      <c r="AZ953" s="143"/>
      <c r="BA953" s="143"/>
      <c r="BB953" s="143"/>
      <c r="BC953" s="143"/>
      <c r="BD953" s="143"/>
      <c r="BE953" s="143"/>
      <c r="BF953" s="143"/>
      <c r="BG953" s="143"/>
      <c r="BH953" s="143"/>
      <c r="BI953" s="143"/>
      <c r="BJ953" s="143"/>
      <c r="BK953" s="143"/>
      <c r="BL953" s="143"/>
      <c r="BM953" s="143"/>
      <c r="BN953" s="143"/>
      <c r="BO953" s="143"/>
      <c r="BP953" s="143"/>
      <c r="BQ953" s="143"/>
      <c r="BR953" s="143"/>
      <c r="BS953" s="143"/>
      <c r="BT953" s="143"/>
      <c r="BU953" s="143"/>
    </row>
    <row r="954" spans="1:73" s="1627" customFormat="1" ht="15" customHeight="1">
      <c r="A954" s="207"/>
      <c r="B954" s="1569"/>
      <c r="C954" s="170"/>
      <c r="D954" s="124"/>
      <c r="E954" s="170"/>
      <c r="F954" s="170"/>
      <c r="G954" s="170"/>
      <c r="H954" s="170"/>
      <c r="I954" s="170"/>
      <c r="J954" s="170"/>
      <c r="K954" s="1539"/>
      <c r="L954" s="143"/>
      <c r="M954" s="170"/>
      <c r="N954" s="170"/>
      <c r="O954" s="170"/>
      <c r="P954" s="170"/>
      <c r="Q954" s="170"/>
      <c r="R954" s="170"/>
      <c r="S954" s="170"/>
      <c r="T954" s="170"/>
      <c r="U954" s="170"/>
      <c r="V954" s="143"/>
      <c r="W954" s="143"/>
      <c r="X954" s="143"/>
      <c r="Y954" s="1547"/>
      <c r="Z954" s="143"/>
      <c r="AA954" s="143"/>
      <c r="AB954" s="73"/>
      <c r="AC954" s="143"/>
      <c r="AD954" s="1561"/>
      <c r="AE954" s="73"/>
      <c r="AF954" s="1561"/>
      <c r="AG954" s="73"/>
      <c r="AH954" s="73"/>
      <c r="AI954" s="73"/>
      <c r="AJ954" s="505"/>
      <c r="AK954" s="73"/>
      <c r="AL954" s="73"/>
      <c r="AM954" s="76"/>
      <c r="AN954" s="73"/>
      <c r="AO954" s="73"/>
      <c r="AP954" s="73"/>
      <c r="AQ954" s="73"/>
      <c r="AR954" s="73"/>
      <c r="AT954" s="143"/>
      <c r="AU954" s="143"/>
      <c r="AV954" s="143"/>
      <c r="AW954" s="143"/>
      <c r="AX954" s="143"/>
      <c r="AY954" s="143"/>
      <c r="AZ954" s="143"/>
      <c r="BA954" s="143"/>
      <c r="BB954" s="143"/>
      <c r="BC954" s="143"/>
      <c r="BD954" s="143"/>
      <c r="BE954" s="143"/>
      <c r="BF954" s="143"/>
      <c r="BG954" s="143"/>
      <c r="BH954" s="143"/>
      <c r="BI954" s="143"/>
      <c r="BJ954" s="143"/>
      <c r="BK954" s="143"/>
      <c r="BL954" s="143"/>
      <c r="BM954" s="143"/>
      <c r="BN954" s="143"/>
      <c r="BO954" s="143"/>
      <c r="BP954" s="143"/>
      <c r="BQ954" s="143"/>
      <c r="BR954" s="143"/>
      <c r="BS954" s="143"/>
      <c r="BT954" s="143"/>
      <c r="BU954" s="143"/>
    </row>
    <row r="955" spans="1:73" s="1627" customFormat="1" ht="15" customHeight="1">
      <c r="A955" s="134"/>
      <c r="B955" s="96" t="s">
        <v>420</v>
      </c>
      <c r="C955" s="170"/>
      <c r="D955" s="170"/>
      <c r="E955" s="170"/>
      <c r="F955" s="170"/>
      <c r="G955" s="170"/>
      <c r="H955" s="170"/>
      <c r="I955" s="170"/>
      <c r="J955" s="170"/>
      <c r="K955" s="170"/>
      <c r="L955" s="1539"/>
      <c r="M955" s="170"/>
      <c r="N955" s="170"/>
      <c r="O955" s="170"/>
      <c r="P955" s="170"/>
      <c r="Q955" s="170"/>
      <c r="R955" s="170"/>
      <c r="S955" s="170"/>
      <c r="T955" s="170"/>
      <c r="U955" s="170"/>
      <c r="V955" s="143"/>
      <c r="W955" s="143"/>
      <c r="X955" s="143"/>
      <c r="Y955" s="1547"/>
      <c r="Z955" s="143"/>
      <c r="AA955" s="143"/>
      <c r="AB955" s="73"/>
      <c r="AC955" s="143"/>
      <c r="AD955" s="1561"/>
      <c r="AE955" s="73"/>
      <c r="AF955" s="1561"/>
      <c r="AG955" s="73"/>
      <c r="AH955" s="73"/>
      <c r="AI955" s="73"/>
      <c r="AJ955" s="505"/>
      <c r="AK955" s="73"/>
      <c r="AL955" s="73"/>
      <c r="AM955" s="76"/>
      <c r="AN955" s="73"/>
      <c r="AO955" s="73"/>
      <c r="AP955" s="73"/>
      <c r="AQ955" s="73"/>
      <c r="AR955" s="73"/>
      <c r="AT955" s="143"/>
      <c r="AU955" s="143"/>
      <c r="AV955" s="143"/>
      <c r="AW955" s="143"/>
      <c r="AX955" s="143"/>
      <c r="AY955" s="143"/>
      <c r="AZ955" s="143"/>
      <c r="BA955" s="143"/>
      <c r="BB955" s="143"/>
      <c r="BC955" s="143"/>
      <c r="BD955" s="143"/>
      <c r="BE955" s="143"/>
      <c r="BF955" s="143"/>
      <c r="BG955" s="143"/>
      <c r="BH955" s="143"/>
      <c r="BI955" s="143"/>
      <c r="BJ955" s="143"/>
      <c r="BK955" s="143"/>
      <c r="BL955" s="143"/>
      <c r="BM955" s="143"/>
      <c r="BN955" s="143"/>
      <c r="BO955" s="143"/>
      <c r="BP955" s="143"/>
      <c r="BQ955" s="143"/>
      <c r="BR955" s="143"/>
      <c r="BS955" s="143"/>
      <c r="BT955" s="143"/>
      <c r="BU955" s="143"/>
    </row>
    <row r="956" spans="1:73" s="1627" customFormat="1" ht="15" customHeight="1">
      <c r="A956" s="134"/>
      <c r="B956" s="2137" t="s">
        <v>2466</v>
      </c>
      <c r="C956" s="143"/>
      <c r="D956" s="143"/>
      <c r="E956" s="1870" t="s">
        <v>2529</v>
      </c>
      <c r="F956" s="1870"/>
      <c r="G956" s="1940" t="s">
        <v>955</v>
      </c>
      <c r="H956" s="1940"/>
      <c r="I956" s="1940"/>
      <c r="J956" s="1940"/>
      <c r="K956" s="1940"/>
      <c r="L956" s="1940"/>
      <c r="M956" s="1940"/>
      <c r="N956" s="1944" t="s">
        <v>391</v>
      </c>
      <c r="O956" s="1940" t="s">
        <v>956</v>
      </c>
      <c r="P956" s="1940"/>
      <c r="Q956" s="1940"/>
      <c r="R956" s="1940"/>
      <c r="S956" s="143"/>
      <c r="T956" s="143"/>
      <c r="U956" s="143"/>
      <c r="V956" s="143"/>
      <c r="W956" s="143"/>
      <c r="X956" s="143"/>
      <c r="Y956" s="1547"/>
      <c r="Z956" s="143"/>
      <c r="AA956" s="143"/>
      <c r="AB956" s="73"/>
      <c r="AC956" s="143"/>
      <c r="AD956" s="1561"/>
      <c r="AE956" s="73"/>
      <c r="AF956" s="1561"/>
      <c r="AG956" s="73"/>
      <c r="AH956" s="73"/>
      <c r="AI956" s="73"/>
      <c r="AJ956" s="73"/>
      <c r="AK956" s="73"/>
      <c r="AL956" s="73"/>
      <c r="AM956" s="73"/>
      <c r="AN956" s="73"/>
      <c r="AO956" s="73"/>
      <c r="AP956" s="73"/>
      <c r="AQ956" s="73"/>
      <c r="AR956" s="143"/>
      <c r="AT956" s="143"/>
      <c r="AU956" s="143"/>
      <c r="AV956" s="143"/>
      <c r="AW956" s="143"/>
      <c r="AX956" s="143"/>
      <c r="AY956" s="143"/>
      <c r="AZ956" s="143"/>
      <c r="BA956" s="143"/>
      <c r="BB956" s="143"/>
      <c r="BC956" s="143"/>
      <c r="BD956" s="143"/>
      <c r="BE956" s="143"/>
      <c r="BF956" s="143"/>
      <c r="BG956" s="143"/>
      <c r="BH956" s="143"/>
      <c r="BI956" s="143"/>
      <c r="BJ956" s="143"/>
      <c r="BK956" s="143"/>
      <c r="BL956" s="143"/>
      <c r="BM956" s="143"/>
      <c r="BN956" s="143"/>
      <c r="BO956" s="143"/>
      <c r="BP956" s="143"/>
      <c r="BQ956" s="143"/>
      <c r="BR956" s="143"/>
      <c r="BS956" s="143"/>
      <c r="BT956" s="143"/>
      <c r="BU956" s="143"/>
    </row>
    <row r="957" spans="1:73" s="1627" customFormat="1" ht="15" customHeight="1">
      <c r="A957" s="170"/>
      <c r="B957" s="2137"/>
      <c r="C957" s="143"/>
      <c r="D957" s="143"/>
      <c r="E957" s="1870"/>
      <c r="F957" s="1870"/>
      <c r="G957" s="143"/>
      <c r="H957" s="115"/>
      <c r="I957" s="115" t="s">
        <v>393</v>
      </c>
      <c r="J957" s="143"/>
      <c r="K957" s="143"/>
      <c r="L957" s="143"/>
      <c r="M957" s="143"/>
      <c r="N957" s="1862"/>
      <c r="O957" s="1936" t="s">
        <v>394</v>
      </c>
      <c r="P957" s="1936"/>
      <c r="Q957" s="1936"/>
      <c r="R957" s="1936"/>
      <c r="S957" s="143"/>
      <c r="T957" s="143"/>
      <c r="U957" s="143"/>
      <c r="V957" s="143"/>
      <c r="W957" s="143"/>
      <c r="X957" s="143"/>
      <c r="Y957" s="1547"/>
      <c r="Z957" s="143"/>
      <c r="AA957" s="143"/>
      <c r="AB957" s="73"/>
      <c r="AC957" s="143"/>
      <c r="AD957" s="1561"/>
      <c r="AE957" s="73"/>
      <c r="AF957" s="1561"/>
      <c r="AG957" s="73"/>
      <c r="AH957" s="73"/>
      <c r="AI957" s="73"/>
      <c r="AJ957" s="73"/>
      <c r="AK957" s="73"/>
      <c r="AL957" s="73"/>
      <c r="AM957" s="73"/>
      <c r="AN957" s="73"/>
      <c r="AO957" s="73"/>
      <c r="AP957" s="73"/>
      <c r="AQ957" s="73"/>
      <c r="AR957" s="143"/>
      <c r="AT957" s="143"/>
      <c r="AU957" s="143"/>
      <c r="AV957" s="143"/>
      <c r="AW957" s="143"/>
      <c r="AX957" s="143"/>
      <c r="AY957" s="143"/>
      <c r="AZ957" s="143"/>
      <c r="BA957" s="143"/>
      <c r="BB957" s="143"/>
      <c r="BC957" s="143"/>
      <c r="BD957" s="143"/>
      <c r="BE957" s="143"/>
      <c r="BF957" s="143"/>
      <c r="BG957" s="143"/>
      <c r="BH957" s="143"/>
      <c r="BI957" s="143"/>
      <c r="BJ957" s="143"/>
      <c r="BK957" s="143"/>
      <c r="BL957" s="143"/>
      <c r="BM957" s="143"/>
      <c r="BN957" s="143"/>
      <c r="BO957" s="143"/>
      <c r="BP957" s="143"/>
      <c r="BQ957" s="143"/>
      <c r="BR957" s="143"/>
      <c r="BS957" s="143"/>
      <c r="BT957" s="143"/>
      <c r="BU957" s="143"/>
    </row>
    <row r="958" spans="1:73" s="1627" customFormat="1" ht="15" customHeight="1">
      <c r="A958" s="170"/>
      <c r="B958" s="1580"/>
      <c r="C958" s="143"/>
      <c r="D958" s="143"/>
      <c r="E958" s="1540"/>
      <c r="F958" s="1540"/>
      <c r="G958" s="143"/>
      <c r="H958" s="115"/>
      <c r="I958" s="115"/>
      <c r="J958" s="143"/>
      <c r="K958" s="143"/>
      <c r="L958" s="143"/>
      <c r="M958" s="143"/>
      <c r="N958" s="1539"/>
      <c r="O958" s="1539"/>
      <c r="P958" s="1539"/>
      <c r="Q958" s="1539"/>
      <c r="R958" s="1539"/>
      <c r="S958" s="143"/>
      <c r="T958" s="143"/>
      <c r="U958" s="143"/>
      <c r="V958" s="143"/>
      <c r="W958" s="143"/>
      <c r="X958" s="143"/>
      <c r="Y958" s="1547"/>
      <c r="Z958" s="143"/>
      <c r="AA958" s="143"/>
      <c r="AB958" s="73"/>
      <c r="AC958" s="143"/>
      <c r="AD958" s="1561"/>
      <c r="AE958" s="73"/>
      <c r="AF958" s="1561"/>
      <c r="AG958" s="73"/>
      <c r="AH958" s="73"/>
      <c r="AI958" s="73"/>
      <c r="AJ958" s="73"/>
      <c r="AK958" s="73"/>
      <c r="AL958" s="73"/>
      <c r="AM958" s="73"/>
      <c r="AN958" s="73"/>
      <c r="AO958" s="73"/>
      <c r="AP958" s="73"/>
      <c r="AQ958" s="73"/>
      <c r="AR958" s="143"/>
      <c r="AT958" s="143"/>
      <c r="AU958" s="143"/>
      <c r="AV958" s="143"/>
      <c r="AW958" s="143"/>
      <c r="AX958" s="143"/>
      <c r="AY958" s="143"/>
      <c r="AZ958" s="143"/>
      <c r="BA958" s="143"/>
      <c r="BB958" s="143"/>
      <c r="BC958" s="143"/>
      <c r="BD958" s="143"/>
      <c r="BE958" s="143"/>
      <c r="BF958" s="143"/>
      <c r="BG958" s="143"/>
      <c r="BH958" s="143"/>
      <c r="BI958" s="143"/>
      <c r="BJ958" s="143"/>
      <c r="BK958" s="143"/>
      <c r="BL958" s="143"/>
      <c r="BM958" s="143"/>
      <c r="BN958" s="143"/>
      <c r="BO958" s="143"/>
      <c r="BP958" s="143"/>
      <c r="BQ958" s="143"/>
      <c r="BR958" s="143"/>
      <c r="BS958" s="143"/>
      <c r="BT958" s="143"/>
      <c r="BU958" s="143"/>
    </row>
    <row r="959" spans="1:73" s="1627" customFormat="1" ht="15" customHeight="1">
      <c r="A959" s="170"/>
      <c r="B959" s="170"/>
      <c r="C959" s="143"/>
      <c r="D959" s="143"/>
      <c r="E959" s="1540" t="s">
        <v>2511</v>
      </c>
      <c r="F959" s="143"/>
      <c r="G959" s="115"/>
      <c r="H959" s="143"/>
      <c r="I959" s="143"/>
      <c r="J959" s="143"/>
      <c r="K959" s="1539"/>
      <c r="L959" s="138"/>
      <c r="M959" s="1539"/>
      <c r="N959" s="143"/>
      <c r="O959" s="1539"/>
      <c r="P959" s="143"/>
      <c r="Q959" s="170"/>
      <c r="R959" s="1540" t="s">
        <v>2513</v>
      </c>
      <c r="S959" s="143"/>
      <c r="T959" s="115"/>
      <c r="U959" s="1201"/>
      <c r="V959" s="1201"/>
      <c r="W959" s="1201"/>
      <c r="X959" s="1539"/>
      <c r="Y959" s="143"/>
      <c r="Z959" s="143"/>
      <c r="AA959" s="143"/>
      <c r="AB959" s="143"/>
      <c r="AC959" s="143"/>
      <c r="AD959" s="143"/>
      <c r="AE959" s="143"/>
      <c r="AF959" s="143"/>
      <c r="AG959" s="1540"/>
      <c r="AH959" s="73"/>
      <c r="AI959" s="73"/>
      <c r="AJ959" s="73"/>
      <c r="AK959" s="73"/>
      <c r="AL959" s="73"/>
      <c r="AM959" s="73"/>
      <c r="AN959" s="73"/>
      <c r="AO959" s="73"/>
      <c r="AP959" s="73"/>
      <c r="AQ959" s="73"/>
      <c r="AR959" s="143"/>
      <c r="AT959" s="143"/>
      <c r="AU959" s="143"/>
      <c r="AV959" s="143"/>
      <c r="AW959" s="143"/>
      <c r="AX959" s="143"/>
      <c r="AY959" s="143"/>
      <c r="AZ959" s="143"/>
      <c r="BA959" s="143"/>
      <c r="BB959" s="143"/>
      <c r="BC959" s="143"/>
      <c r="BD959" s="143"/>
      <c r="BE959" s="143"/>
      <c r="BF959" s="143"/>
      <c r="BG959" s="143"/>
      <c r="BH959" s="143"/>
      <c r="BI959" s="143"/>
      <c r="BJ959" s="143"/>
      <c r="BK959" s="143"/>
      <c r="BL959" s="143"/>
      <c r="BM959" s="143"/>
      <c r="BN959" s="143"/>
      <c r="BO959" s="143"/>
      <c r="BP959" s="143"/>
      <c r="BQ959" s="143"/>
      <c r="BR959" s="143"/>
      <c r="BS959" s="143"/>
      <c r="BT959" s="143"/>
      <c r="BU959" s="143"/>
    </row>
    <row r="960" spans="1:73" s="1627" customFormat="1" ht="15" customHeight="1">
      <c r="A960" s="170"/>
      <c r="B960" s="170"/>
      <c r="C960" s="143"/>
      <c r="D960" s="143"/>
      <c r="E960" s="1540" t="s">
        <v>2597</v>
      </c>
      <c r="F960" s="143"/>
      <c r="G960" s="115"/>
      <c r="H960" s="143"/>
      <c r="I960" s="143"/>
      <c r="J960" s="143"/>
      <c r="K960" s="143"/>
      <c r="L960" s="2195">
        <f>AE497/AE498</f>
        <v>389817063.54114115</v>
      </c>
      <c r="M960" s="2195"/>
      <c r="N960" s="2195"/>
      <c r="O960" s="2195"/>
      <c r="P960" s="143"/>
      <c r="Q960" s="143"/>
      <c r="R960" s="1540" t="s">
        <v>2597</v>
      </c>
      <c r="S960" s="143"/>
      <c r="T960" s="115"/>
      <c r="U960" s="143"/>
      <c r="V960" s="143"/>
      <c r="W960" s="143"/>
      <c r="X960" s="143"/>
      <c r="Y960" s="2198">
        <f>AE501/AE502</f>
        <v>408510486.08526975</v>
      </c>
      <c r="Z960" s="2198"/>
      <c r="AA960" s="2198"/>
      <c r="AB960" s="2198"/>
      <c r="AC960" s="143"/>
      <c r="AD960" s="143"/>
      <c r="AE960" s="143"/>
      <c r="AF960" s="143"/>
      <c r="AG960" s="143"/>
      <c r="AH960" s="73"/>
      <c r="AI960" s="73"/>
      <c r="AJ960" s="73"/>
      <c r="AK960" s="73"/>
      <c r="AL960" s="73"/>
      <c r="AM960" s="73"/>
      <c r="AN960" s="73"/>
      <c r="AO960" s="73"/>
      <c r="AP960" s="73"/>
      <c r="AQ960" s="73"/>
      <c r="AR960" s="143"/>
      <c r="AT960" s="143"/>
      <c r="AU960" s="143"/>
      <c r="AV960" s="143"/>
      <c r="AW960" s="143"/>
      <c r="AX960" s="143"/>
      <c r="AY960" s="143"/>
      <c r="AZ960" s="143"/>
      <c r="BA960" s="143"/>
      <c r="BB960" s="143"/>
      <c r="BC960" s="143"/>
      <c r="BD960" s="143"/>
      <c r="BE960" s="143"/>
      <c r="BF960" s="143"/>
      <c r="BG960" s="143"/>
      <c r="BH960" s="143"/>
      <c r="BI960" s="143"/>
      <c r="BJ960" s="143"/>
      <c r="BK960" s="143"/>
      <c r="BL960" s="143"/>
      <c r="BM960" s="143"/>
      <c r="BN960" s="143"/>
      <c r="BO960" s="143"/>
      <c r="BP960" s="143"/>
      <c r="BQ960" s="143"/>
      <c r="BR960" s="143"/>
      <c r="BS960" s="143"/>
      <c r="BT960" s="143"/>
      <c r="BU960" s="143"/>
    </row>
    <row r="961" spans="1:73" s="1627" customFormat="1" ht="15" customHeight="1">
      <c r="A961" s="170"/>
      <c r="B961" s="170"/>
      <c r="C961" s="143"/>
      <c r="D961" s="143"/>
      <c r="E961" s="1540" t="s">
        <v>2598</v>
      </c>
      <c r="F961" s="143"/>
      <c r="G961" s="115"/>
      <c r="H961" s="143"/>
      <c r="I961" s="143"/>
      <c r="J961" s="143"/>
      <c r="K961" s="143"/>
      <c r="L961" s="2195">
        <f>AE497/AE499</f>
        <v>256821441.04481611</v>
      </c>
      <c r="M961" s="2195"/>
      <c r="N961" s="2195"/>
      <c r="O961" s="2195"/>
      <c r="P961" s="143"/>
      <c r="Q961" s="143"/>
      <c r="R961" s="1540" t="s">
        <v>2598</v>
      </c>
      <c r="S961" s="143"/>
      <c r="T961" s="115"/>
      <c r="U961" s="143"/>
      <c r="V961" s="143"/>
      <c r="W961" s="143"/>
      <c r="X961" s="143"/>
      <c r="Y961" s="2198">
        <f>AE501/AE503</f>
        <v>604912603.35700595</v>
      </c>
      <c r="Z961" s="2198"/>
      <c r="AA961" s="2198"/>
      <c r="AB961" s="2198"/>
      <c r="AC961" s="143"/>
      <c r="AD961" s="143"/>
      <c r="AE961" s="143"/>
      <c r="AF961" s="143"/>
      <c r="AG961" s="143"/>
      <c r="AH961" s="73"/>
      <c r="AI961" s="73"/>
      <c r="AJ961" s="73"/>
      <c r="AK961" s="73"/>
      <c r="AL961" s="73"/>
      <c r="AM961" s="73"/>
      <c r="AN961" s="73"/>
      <c r="AO961" s="73"/>
      <c r="AP961" s="73"/>
      <c r="AQ961" s="73"/>
      <c r="AR961" s="143"/>
      <c r="AT961" s="143"/>
      <c r="AU961" s="143"/>
      <c r="AV961" s="143"/>
      <c r="AW961" s="143"/>
      <c r="AX961" s="143"/>
      <c r="AY961" s="143"/>
      <c r="AZ961" s="143"/>
      <c r="BA961" s="143"/>
      <c r="BB961" s="143"/>
      <c r="BC961" s="143"/>
      <c r="BD961" s="143"/>
      <c r="BE961" s="143"/>
      <c r="BF961" s="143"/>
      <c r="BG961" s="143"/>
      <c r="BH961" s="143"/>
      <c r="BI961" s="143"/>
      <c r="BJ961" s="143"/>
      <c r="BK961" s="143"/>
      <c r="BL961" s="143"/>
      <c r="BM961" s="143"/>
      <c r="BN961" s="143"/>
      <c r="BO961" s="143"/>
      <c r="BP961" s="143"/>
      <c r="BQ961" s="143"/>
      <c r="BR961" s="143"/>
      <c r="BS961" s="143"/>
      <c r="BT961" s="143"/>
      <c r="BU961" s="143"/>
    </row>
    <row r="962" spans="1:73" s="1627" customFormat="1" ht="15" customHeight="1">
      <c r="A962" s="170"/>
      <c r="B962" s="170"/>
      <c r="C962" s="1938" t="s">
        <v>2462</v>
      </c>
      <c r="D962" s="143"/>
      <c r="E962" s="1870" t="s">
        <v>2757</v>
      </c>
      <c r="F962" s="1870"/>
      <c r="G962" s="1870"/>
      <c r="H962" s="1870"/>
      <c r="I962" s="1870"/>
      <c r="J962" s="1870"/>
      <c r="K962" s="1870"/>
      <c r="L962" s="115"/>
      <c r="M962" s="2004" t="s">
        <v>324</v>
      </c>
      <c r="N962" s="143"/>
      <c r="O962" s="2185">
        <v>-1.25</v>
      </c>
      <c r="P962" s="2185"/>
      <c r="Q962" s="2185"/>
      <c r="R962" s="1335" t="s">
        <v>2530</v>
      </c>
      <c r="S962" s="2180">
        <f>AE475</f>
        <v>-14583.37</v>
      </c>
      <c r="T962" s="2180"/>
      <c r="U962" s="2180"/>
      <c r="V962" s="1480" t="s">
        <v>391</v>
      </c>
      <c r="W962" s="2104">
        <f>+AE476</f>
        <v>-782.53</v>
      </c>
      <c r="X962" s="2104"/>
      <c r="Y962" s="2104"/>
      <c r="Z962" s="1335" t="s">
        <v>2512</v>
      </c>
      <c r="AA962" s="2116" t="s">
        <v>391</v>
      </c>
      <c r="AB962" s="2186">
        <v>-1.25</v>
      </c>
      <c r="AC962" s="2186"/>
      <c r="AD962" s="2186"/>
      <c r="AE962" s="1597" t="s">
        <v>2489</v>
      </c>
      <c r="AF962" s="2174">
        <f>+AE477</f>
        <v>-32352.95</v>
      </c>
      <c r="AG962" s="2174"/>
      <c r="AH962" s="2174"/>
      <c r="AI962" s="143"/>
      <c r="AJ962" s="143"/>
      <c r="AK962" s="143"/>
      <c r="AL962" s="143"/>
      <c r="AM962" s="143"/>
      <c r="AN962" s="143"/>
      <c r="AO962" s="143"/>
      <c r="AP962" s="143"/>
      <c r="AQ962" s="143"/>
      <c r="AR962" s="143"/>
      <c r="AT962" s="143"/>
      <c r="AU962" s="143"/>
      <c r="AV962" s="143"/>
      <c r="AW962" s="143"/>
      <c r="AX962" s="143"/>
      <c r="AY962" s="143"/>
      <c r="AZ962" s="143"/>
      <c r="BA962" s="143"/>
      <c r="BB962" s="143"/>
      <c r="BC962" s="143"/>
      <c r="BD962" s="143"/>
      <c r="BE962" s="143"/>
      <c r="BF962" s="143"/>
      <c r="BG962" s="143"/>
      <c r="BH962" s="143"/>
      <c r="BI962" s="143"/>
      <c r="BJ962" s="143"/>
      <c r="BK962" s="143"/>
      <c r="BL962" s="143"/>
      <c r="BM962" s="143"/>
      <c r="BN962" s="143"/>
      <c r="BO962" s="143"/>
      <c r="BP962" s="143"/>
      <c r="BQ962" s="143"/>
      <c r="BR962" s="143"/>
      <c r="BS962" s="143"/>
      <c r="BT962" s="143"/>
      <c r="BU962" s="143"/>
    </row>
    <row r="963" spans="1:73" s="1627" customFormat="1" ht="15" customHeight="1">
      <c r="A963" s="170"/>
      <c r="B963" s="170"/>
      <c r="C963" s="1938"/>
      <c r="D963" s="143"/>
      <c r="E963" s="1870"/>
      <c r="F963" s="1870"/>
      <c r="G963" s="1870"/>
      <c r="H963" s="1870"/>
      <c r="I963" s="1870"/>
      <c r="J963" s="1870"/>
      <c r="K963" s="1870"/>
      <c r="L963" s="115"/>
      <c r="M963" s="2121"/>
      <c r="N963" s="143"/>
      <c r="O963" s="2138">
        <f>+L960/10^9</f>
        <v>0.38981706354114115</v>
      </c>
      <c r="P963" s="2138"/>
      <c r="Q963" s="2138"/>
      <c r="R963" s="2138"/>
      <c r="S963" s="2138"/>
      <c r="T963" s="2138"/>
      <c r="U963" s="2138"/>
      <c r="V963" s="2138"/>
      <c r="W963" s="2138"/>
      <c r="X963" s="2138"/>
      <c r="Y963" s="2138"/>
      <c r="Z963" s="2138"/>
      <c r="AA963" s="1938"/>
      <c r="AB963" s="2095">
        <f>+Y960/10^9</f>
        <v>0.40851048608526974</v>
      </c>
      <c r="AC963" s="2095"/>
      <c r="AD963" s="2095"/>
      <c r="AE963" s="2095"/>
      <c r="AF963" s="2095"/>
      <c r="AG963" s="2095"/>
      <c r="AH963" s="2095"/>
      <c r="AI963" s="143"/>
      <c r="AJ963" s="143"/>
      <c r="AK963" s="143"/>
      <c r="AL963" s="143"/>
      <c r="AM963" s="143"/>
      <c r="AN963" s="143"/>
      <c r="AO963" s="143"/>
      <c r="AP963" s="143"/>
      <c r="AQ963" s="143"/>
      <c r="AR963" s="143"/>
      <c r="AT963" s="143"/>
      <c r="AU963" s="143"/>
      <c r="AV963" s="143"/>
      <c r="AW963" s="143"/>
      <c r="AX963" s="143"/>
      <c r="AY963" s="143"/>
      <c r="AZ963" s="143"/>
      <c r="BA963" s="143"/>
      <c r="BB963" s="143"/>
      <c r="BC963" s="143"/>
      <c r="BD963" s="143"/>
      <c r="BE963" s="143"/>
      <c r="BF963" s="143"/>
      <c r="BG963" s="143"/>
      <c r="BH963" s="143"/>
      <c r="BI963" s="143"/>
      <c r="BJ963" s="143"/>
      <c r="BK963" s="143"/>
      <c r="BL963" s="143"/>
      <c r="BM963" s="143"/>
      <c r="BN963" s="143"/>
      <c r="BO963" s="143"/>
      <c r="BP963" s="143"/>
      <c r="BQ963" s="143"/>
      <c r="BR963" s="143"/>
      <c r="BS963" s="143"/>
      <c r="BT963" s="143"/>
      <c r="BU963" s="143"/>
    </row>
    <row r="964" spans="1:73" s="1627" customFormat="1" ht="15" customHeight="1">
      <c r="A964" s="170"/>
      <c r="B964" s="170"/>
      <c r="C964" s="143"/>
      <c r="D964" s="143"/>
      <c r="E964" s="143"/>
      <c r="F964" s="143"/>
      <c r="G964" s="143"/>
      <c r="H964" s="143"/>
      <c r="I964" s="143"/>
      <c r="J964" s="143"/>
      <c r="K964" s="143"/>
      <c r="L964" s="1547"/>
      <c r="M964" s="1541" t="s">
        <v>324</v>
      </c>
      <c r="N964" s="143"/>
      <c r="O964" s="2139">
        <f>-1.25*(S962+W962)/O963-1.25*AF962/AB963</f>
        <v>148269.48555692722</v>
      </c>
      <c r="P964" s="2139"/>
      <c r="Q964" s="2139"/>
      <c r="R964" s="2139"/>
      <c r="S964" s="115" t="s">
        <v>2673</v>
      </c>
      <c r="T964" s="73"/>
      <c r="U964" s="143"/>
      <c r="V964" s="143"/>
      <c r="W964" s="1415" t="s">
        <v>324</v>
      </c>
      <c r="X964" s="2140">
        <f>+O964/1000</f>
        <v>148.26948555692721</v>
      </c>
      <c r="Y964" s="2140"/>
      <c r="Z964" s="2140"/>
      <c r="AA964" s="1211" t="s">
        <v>2508</v>
      </c>
      <c r="AB964" s="1211"/>
      <c r="AC964" s="143"/>
      <c r="AD964" s="143"/>
      <c r="AE964" s="73"/>
      <c r="AF964" s="73"/>
      <c r="AG964" s="73"/>
      <c r="AH964" s="73"/>
      <c r="AI964" s="143"/>
      <c r="AJ964" s="143"/>
      <c r="AK964" s="143"/>
      <c r="AL964" s="143"/>
      <c r="AM964" s="143"/>
      <c r="AN964" s="143"/>
      <c r="AO964" s="143"/>
      <c r="AP964" s="143"/>
      <c r="AQ964" s="143"/>
      <c r="AR964" s="143"/>
      <c r="AT964" s="143"/>
      <c r="AU964" s="143"/>
      <c r="AV964" s="143"/>
      <c r="AW964" s="143"/>
      <c r="AX964" s="143"/>
      <c r="AY964" s="143"/>
      <c r="AZ964" s="143"/>
      <c r="BA964" s="143"/>
      <c r="BB964" s="143"/>
      <c r="BC964" s="143"/>
      <c r="BD964" s="143"/>
      <c r="BE964" s="143"/>
      <c r="BF964" s="143"/>
      <c r="BG964" s="143"/>
      <c r="BH964" s="143"/>
      <c r="BI964" s="143"/>
      <c r="BJ964" s="143"/>
      <c r="BK964" s="143"/>
      <c r="BL964" s="143"/>
      <c r="BM964" s="143"/>
      <c r="BN964" s="143"/>
      <c r="BO964" s="143"/>
      <c r="BP964" s="143"/>
      <c r="BQ964" s="143"/>
      <c r="BR964" s="143"/>
      <c r="BS964" s="143"/>
      <c r="BT964" s="143"/>
      <c r="BU964" s="143"/>
    </row>
    <row r="965" spans="1:73" s="1627" customFormat="1" ht="15" customHeight="1">
      <c r="A965" s="170"/>
      <c r="B965" s="143"/>
      <c r="C965" s="1938" t="s">
        <v>2462</v>
      </c>
      <c r="D965" s="143"/>
      <c r="E965" s="1870" t="s">
        <v>2758</v>
      </c>
      <c r="F965" s="1870"/>
      <c r="G965" s="1870"/>
      <c r="H965" s="1870"/>
      <c r="I965" s="1870"/>
      <c r="J965" s="1870"/>
      <c r="K965" s="1870"/>
      <c r="L965" s="1870"/>
      <c r="M965" s="2004" t="s">
        <v>324</v>
      </c>
      <c r="N965" s="143"/>
      <c r="O965" s="2166">
        <v>1.25</v>
      </c>
      <c r="P965" s="2166"/>
      <c r="Q965" s="2166"/>
      <c r="R965" s="261" t="s">
        <v>2530</v>
      </c>
      <c r="S965" s="2174">
        <f>+AE475</f>
        <v>-14583.37</v>
      </c>
      <c r="T965" s="2174"/>
      <c r="U965" s="2174"/>
      <c r="V965" s="1597" t="s">
        <v>391</v>
      </c>
      <c r="W965" s="2104">
        <f>+AE476</f>
        <v>-782.53</v>
      </c>
      <c r="X965" s="2104"/>
      <c r="Y965" s="2104"/>
      <c r="Z965" s="261" t="s">
        <v>2512</v>
      </c>
      <c r="AA965" s="2116" t="s">
        <v>391</v>
      </c>
      <c r="AB965" s="2166">
        <v>1.25</v>
      </c>
      <c r="AC965" s="2166"/>
      <c r="AD965" s="2166"/>
      <c r="AE965" s="1597" t="s">
        <v>2489</v>
      </c>
      <c r="AF965" s="2174">
        <f>+AE477</f>
        <v>-32352.95</v>
      </c>
      <c r="AG965" s="2174"/>
      <c r="AH965" s="2174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T965" s="143"/>
      <c r="AU965" s="143"/>
      <c r="AV965" s="143"/>
      <c r="AW965" s="143"/>
      <c r="AX965" s="143"/>
      <c r="AY965" s="143"/>
      <c r="AZ965" s="143"/>
      <c r="BA965" s="143"/>
      <c r="BB965" s="143"/>
      <c r="BC965" s="143"/>
      <c r="BD965" s="143"/>
      <c r="BE965" s="143"/>
      <c r="BF965" s="143"/>
      <c r="BG965" s="143"/>
      <c r="BH965" s="143"/>
      <c r="BI965" s="143"/>
      <c r="BJ965" s="143"/>
      <c r="BK965" s="143"/>
      <c r="BL965" s="143"/>
      <c r="BM965" s="143"/>
      <c r="BN965" s="143"/>
      <c r="BO965" s="143"/>
      <c r="BP965" s="143"/>
      <c r="BQ965" s="143"/>
      <c r="BR965" s="143"/>
      <c r="BS965" s="143"/>
      <c r="BT965" s="143"/>
      <c r="BU965" s="143"/>
    </row>
    <row r="966" spans="1:73" ht="15" customHeight="1">
      <c r="A966" s="170"/>
      <c r="C966" s="1938"/>
      <c r="D966" s="1540"/>
      <c r="E966" s="1870"/>
      <c r="F966" s="1870"/>
      <c r="G966" s="1870"/>
      <c r="H966" s="1870"/>
      <c r="I966" s="1870"/>
      <c r="J966" s="1870"/>
      <c r="K966" s="1870"/>
      <c r="L966" s="1870"/>
      <c r="M966" s="2121"/>
      <c r="O966" s="2138">
        <f>+L961/10^9</f>
        <v>0.25682144104481608</v>
      </c>
      <c r="P966" s="2138"/>
      <c r="Q966" s="2138"/>
      <c r="R966" s="2138"/>
      <c r="S966" s="2138"/>
      <c r="T966" s="2138"/>
      <c r="U966" s="2138"/>
      <c r="V966" s="2138"/>
      <c r="W966" s="2138"/>
      <c r="X966" s="2138"/>
      <c r="Y966" s="2138"/>
      <c r="Z966" s="2138"/>
      <c r="AA966" s="1938"/>
      <c r="AB966" s="2138">
        <f>+Y961/10^9</f>
        <v>0.60491260335700592</v>
      </c>
      <c r="AC966" s="2138"/>
      <c r="AD966" s="2138"/>
      <c r="AE966" s="2138"/>
      <c r="AF966" s="2138"/>
      <c r="AG966" s="2138"/>
      <c r="AH966" s="2138"/>
      <c r="AI966" s="143"/>
      <c r="AJ966" s="143"/>
      <c r="AK966" s="143"/>
      <c r="AL966" s="143"/>
      <c r="AM966" s="143"/>
      <c r="AN966" s="143"/>
      <c r="AO966" s="143"/>
      <c r="AP966" s="143"/>
      <c r="AQ966" s="1561"/>
      <c r="AR966" s="143"/>
    </row>
    <row r="967" spans="1:73" ht="15" customHeight="1">
      <c r="A967" s="170"/>
      <c r="C967" s="1540"/>
      <c r="D967" s="1540"/>
      <c r="E967" s="1540"/>
      <c r="F967" s="1540"/>
      <c r="G967" s="1540"/>
      <c r="H967" s="1540"/>
      <c r="I967" s="1540"/>
      <c r="J967" s="115"/>
      <c r="K967" s="115"/>
      <c r="L967" s="1558"/>
      <c r="M967" s="1541" t="s">
        <v>324</v>
      </c>
      <c r="O967" s="2139">
        <f>1.25*(S965+W965)/O966+1.25*AF965/AB966</f>
        <v>-141643.4252797449</v>
      </c>
      <c r="P967" s="2139"/>
      <c r="Q967" s="2139"/>
      <c r="R967" s="2139"/>
      <c r="S967" s="170" t="s">
        <v>2759</v>
      </c>
      <c r="T967" s="73"/>
      <c r="W967" s="1415" t="s">
        <v>324</v>
      </c>
      <c r="X967" s="2140">
        <f>+O967/1000</f>
        <v>-141.64342527974489</v>
      </c>
      <c r="Y967" s="2140"/>
      <c r="Z967" s="2140"/>
      <c r="AA967" s="1211" t="s">
        <v>2508</v>
      </c>
      <c r="AB967" s="1211"/>
      <c r="AC967" s="1558"/>
      <c r="AD967" s="143"/>
      <c r="AE967" s="1539"/>
      <c r="AF967" s="1581"/>
      <c r="AG967" s="1581"/>
      <c r="AH967" s="1581"/>
      <c r="AI967" s="1581"/>
      <c r="AJ967" s="143"/>
      <c r="AL967" s="1561"/>
      <c r="AM967" s="1582"/>
      <c r="AN967" s="1582"/>
      <c r="AO967" s="1582"/>
      <c r="AP967" s="1561"/>
      <c r="AQ967" s="1561"/>
      <c r="AR967" s="143"/>
    </row>
    <row r="968" spans="1:73" ht="15" customHeight="1">
      <c r="A968" s="170"/>
      <c r="B968" s="170"/>
      <c r="C968" s="1540"/>
      <c r="D968" s="1540"/>
      <c r="F968" s="115"/>
      <c r="G968" s="115"/>
      <c r="J968" s="1539"/>
      <c r="L968" s="143"/>
      <c r="M968" s="1539"/>
      <c r="Y968" s="143"/>
      <c r="Z968" s="1561"/>
      <c r="AB968" s="1561"/>
      <c r="AC968" s="73"/>
      <c r="AD968" s="73"/>
      <c r="AF968" s="505"/>
      <c r="AI968" s="76"/>
      <c r="AR968" s="143"/>
    </row>
    <row r="969" spans="1:73" ht="15" customHeight="1">
      <c r="B969" s="1481" t="s">
        <v>2466</v>
      </c>
      <c r="D969" s="170" t="s">
        <v>1677</v>
      </c>
      <c r="E969" s="170"/>
      <c r="F969" s="100"/>
      <c r="G969" s="170"/>
      <c r="H969" s="170"/>
      <c r="I969" s="170"/>
      <c r="J969" s="170"/>
      <c r="K969" s="170"/>
      <c r="L969" s="1539"/>
      <c r="M969" s="170"/>
      <c r="N969" s="170"/>
      <c r="O969" s="170"/>
      <c r="P969" s="170"/>
      <c r="Q969" s="170"/>
      <c r="R969" s="170"/>
      <c r="S969" s="170"/>
      <c r="T969" s="170"/>
      <c r="U969" s="170"/>
      <c r="V969" s="170"/>
      <c r="W969" s="170"/>
      <c r="X969" s="170"/>
    </row>
    <row r="970" spans="1:73" ht="15" customHeight="1">
      <c r="B970" s="1481"/>
      <c r="C970" s="170"/>
      <c r="D970" s="170"/>
      <c r="E970" s="170"/>
      <c r="F970" s="100"/>
      <c r="G970" s="170"/>
      <c r="H970" s="170"/>
      <c r="I970" s="170"/>
      <c r="J970" s="170"/>
      <c r="K970" s="170"/>
      <c r="L970" s="1539"/>
      <c r="M970" s="170"/>
      <c r="N970" s="170"/>
      <c r="O970" s="170"/>
      <c r="P970" s="170"/>
      <c r="Q970" s="170"/>
      <c r="R970" s="170"/>
      <c r="S970" s="170"/>
      <c r="T970" s="170"/>
      <c r="U970" s="170"/>
      <c r="V970" s="170"/>
      <c r="W970" s="170"/>
      <c r="X970" s="170"/>
    </row>
    <row r="971" spans="1:73" ht="15" customHeight="1">
      <c r="A971" s="134"/>
      <c r="B971" s="1481" t="s">
        <v>2466</v>
      </c>
      <c r="D971" s="1540" t="s">
        <v>396</v>
      </c>
      <c r="E971" s="147"/>
      <c r="F971" s="170"/>
      <c r="G971" s="170"/>
      <c r="H971" s="170"/>
      <c r="I971" s="170"/>
      <c r="J971" s="136"/>
      <c r="K971" s="1547"/>
      <c r="L971" s="143"/>
      <c r="N971" s="52"/>
      <c r="P971" s="170"/>
      <c r="Q971" s="170"/>
      <c r="R971" s="170"/>
      <c r="S971" s="170"/>
      <c r="U971" s="170"/>
      <c r="V971" s="170"/>
      <c r="W971" s="170"/>
      <c r="X971" s="170"/>
      <c r="AR971" s="1529" t="s">
        <v>722</v>
      </c>
    </row>
    <row r="972" spans="1:73" ht="20.100000000000001" customHeight="1">
      <c r="B972" s="134"/>
      <c r="C972" s="148" t="s">
        <v>134</v>
      </c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8" t="s">
        <v>236</v>
      </c>
      <c r="P972" s="141"/>
      <c r="Q972" s="141"/>
      <c r="R972" s="237"/>
      <c r="S972" s="237"/>
      <c r="T972" s="237"/>
      <c r="U972" s="237"/>
      <c r="V972" s="237"/>
      <c r="W972" s="237"/>
      <c r="X972" s="237"/>
      <c r="Y972" s="237"/>
      <c r="Z972" s="237"/>
    </row>
    <row r="973" spans="1:73" s="73" customFormat="1" ht="20.100000000000001" customHeight="1">
      <c r="A973" s="143"/>
      <c r="B973" s="134"/>
      <c r="C973" s="170" t="s">
        <v>690</v>
      </c>
      <c r="D973" s="170"/>
      <c r="E973" s="143"/>
      <c r="F973" s="170"/>
      <c r="G973" s="170"/>
      <c r="H973" s="170"/>
      <c r="I973" s="170"/>
      <c r="J973" s="170"/>
      <c r="K973" s="170"/>
      <c r="L973" s="170"/>
      <c r="M973" s="170"/>
      <c r="N973" s="170"/>
      <c r="O973" s="2102">
        <v>1</v>
      </c>
      <c r="P973" s="2102"/>
      <c r="Q973" s="2102"/>
      <c r="R973" s="52"/>
      <c r="S973" s="52"/>
      <c r="T973" s="52"/>
      <c r="U973" s="52"/>
      <c r="V973" s="52"/>
      <c r="W973" s="52"/>
      <c r="X973" s="52"/>
      <c r="Y973" s="52"/>
      <c r="Z973" s="52"/>
      <c r="AA973" s="143"/>
      <c r="AB973" s="1561"/>
      <c r="AC973" s="143"/>
      <c r="AE973" s="1561"/>
      <c r="AS973" s="1627"/>
      <c r="AT973" s="143"/>
      <c r="AU973" s="143"/>
      <c r="AV973" s="143"/>
      <c r="AW973" s="143"/>
      <c r="AX973" s="143"/>
      <c r="AY973" s="143"/>
      <c r="AZ973" s="143"/>
      <c r="BA973" s="143"/>
      <c r="BB973" s="143"/>
      <c r="BC973" s="143"/>
      <c r="BD973" s="143"/>
      <c r="BE973" s="143"/>
      <c r="BF973" s="143"/>
      <c r="BG973" s="143"/>
      <c r="BH973" s="143"/>
      <c r="BI973" s="143"/>
      <c r="BJ973" s="143"/>
      <c r="BK973" s="143"/>
      <c r="BL973" s="143"/>
      <c r="BM973" s="143"/>
      <c r="BN973" s="143"/>
      <c r="BO973" s="143"/>
      <c r="BP973" s="143"/>
      <c r="BQ973" s="143"/>
      <c r="BR973" s="143"/>
      <c r="BS973" s="143"/>
      <c r="BT973" s="143"/>
      <c r="BU973" s="143"/>
    </row>
    <row r="974" spans="1:73" s="73" customFormat="1" ht="20.100000000000001" customHeight="1">
      <c r="A974" s="143"/>
      <c r="B974" s="134"/>
      <c r="C974" s="145" t="s">
        <v>136</v>
      </c>
      <c r="D974" s="145"/>
      <c r="E974" s="145"/>
      <c r="F974" s="145"/>
      <c r="G974" s="145"/>
      <c r="H974" s="145"/>
      <c r="I974" s="145"/>
      <c r="J974" s="145"/>
      <c r="K974" s="145"/>
      <c r="L974" s="145"/>
      <c r="M974" s="145"/>
      <c r="N974" s="145"/>
      <c r="O974" s="149" t="s">
        <v>1678</v>
      </c>
      <c r="P974" s="145"/>
      <c r="Q974" s="145"/>
      <c r="R974" s="238"/>
      <c r="S974" s="238"/>
      <c r="T974" s="238"/>
      <c r="U974" s="238"/>
      <c r="V974" s="238"/>
      <c r="W974" s="238"/>
      <c r="X974" s="238"/>
      <c r="Y974" s="238"/>
      <c r="Z974" s="238"/>
      <c r="AA974" s="143"/>
      <c r="AB974" s="1561"/>
      <c r="AC974" s="143"/>
      <c r="AE974" s="1561"/>
      <c r="AS974" s="1627"/>
      <c r="AT974" s="143"/>
      <c r="AU974" s="143"/>
      <c r="AV974" s="143"/>
      <c r="AW974" s="143"/>
      <c r="AX974" s="143"/>
      <c r="AY974" s="143"/>
      <c r="AZ974" s="143"/>
      <c r="BA974" s="143"/>
      <c r="BB974" s="143"/>
      <c r="BC974" s="143"/>
      <c r="BD974" s="143"/>
      <c r="BE974" s="143"/>
      <c r="BF974" s="143"/>
      <c r="BG974" s="143"/>
      <c r="BH974" s="143"/>
      <c r="BI974" s="143"/>
      <c r="BJ974" s="143"/>
      <c r="BK974" s="143"/>
      <c r="BL974" s="143"/>
      <c r="BM974" s="143"/>
      <c r="BN974" s="143"/>
      <c r="BO974" s="143"/>
      <c r="BP974" s="143"/>
      <c r="BQ974" s="143"/>
      <c r="BR974" s="143"/>
      <c r="BS974" s="143"/>
      <c r="BT974" s="143"/>
      <c r="BU974" s="143"/>
    </row>
    <row r="975" spans="1:73" s="73" customFormat="1" ht="20.100000000000001" customHeight="1">
      <c r="A975" s="143"/>
      <c r="B975" s="134"/>
      <c r="C975" s="170"/>
      <c r="D975" s="170"/>
      <c r="E975" s="170"/>
      <c r="F975" s="170"/>
      <c r="G975" s="170"/>
      <c r="H975" s="170"/>
      <c r="I975" s="170"/>
      <c r="J975" s="170"/>
      <c r="K975" s="170"/>
      <c r="L975" s="170"/>
      <c r="M975" s="170"/>
      <c r="N975" s="170"/>
      <c r="O975" s="122"/>
      <c r="P975" s="170"/>
      <c r="Q975" s="170"/>
      <c r="R975" s="239"/>
      <c r="S975" s="239"/>
      <c r="T975" s="239"/>
      <c r="U975" s="239"/>
      <c r="V975" s="239"/>
      <c r="W975" s="239"/>
      <c r="X975" s="239"/>
      <c r="Y975" s="239"/>
      <c r="Z975" s="239"/>
      <c r="AA975" s="143"/>
      <c r="AB975" s="1561"/>
      <c r="AC975" s="143"/>
      <c r="AE975" s="1561"/>
      <c r="AS975" s="1627"/>
      <c r="AT975" s="143"/>
      <c r="AU975" s="143"/>
      <c r="AV975" s="143"/>
      <c r="AW975" s="143"/>
      <c r="AX975" s="143"/>
      <c r="AY975" s="143"/>
      <c r="AZ975" s="143"/>
      <c r="BA975" s="143"/>
      <c r="BB975" s="143"/>
      <c r="BC975" s="143"/>
      <c r="BD975" s="143"/>
      <c r="BE975" s="143"/>
      <c r="BF975" s="143"/>
      <c r="BG975" s="143"/>
      <c r="BH975" s="143"/>
      <c r="BI975" s="143"/>
      <c r="BJ975" s="143"/>
      <c r="BK975" s="143"/>
      <c r="BL975" s="143"/>
      <c r="BM975" s="143"/>
      <c r="BN975" s="143"/>
      <c r="BO975" s="143"/>
      <c r="BP975" s="143"/>
      <c r="BQ975" s="143"/>
      <c r="BR975" s="143"/>
      <c r="BS975" s="143"/>
      <c r="BT975" s="143"/>
      <c r="BU975" s="143"/>
    </row>
    <row r="976" spans="1:73" s="73" customFormat="1" ht="15" customHeight="1">
      <c r="A976" s="143"/>
      <c r="B976" s="134"/>
      <c r="C976" s="124" t="s">
        <v>2323</v>
      </c>
      <c r="D976" s="170"/>
      <c r="E976" s="649" t="s">
        <v>2760</v>
      </c>
      <c r="F976" s="170"/>
      <c r="G976" s="124" t="s">
        <v>324</v>
      </c>
      <c r="H976" s="170"/>
      <c r="I976" s="170" t="s">
        <v>2766</v>
      </c>
      <c r="J976" s="170"/>
      <c r="K976" s="170"/>
      <c r="L976" s="170"/>
      <c r="M976" s="170"/>
      <c r="N976" s="170"/>
      <c r="O976" s="122"/>
      <c r="P976" s="124" t="s">
        <v>324</v>
      </c>
      <c r="Q976" s="1570" t="s">
        <v>2762</v>
      </c>
      <c r="S976" s="143"/>
      <c r="T976" s="2097">
        <f>+AE511</f>
        <v>355</v>
      </c>
      <c r="U976" s="2097"/>
      <c r="V976" s="2097"/>
      <c r="W976" s="138" t="s">
        <v>2490</v>
      </c>
      <c r="X976" s="2096">
        <f>+AE977</f>
        <v>380</v>
      </c>
      <c r="Y976" s="2096"/>
      <c r="Z976" s="2096"/>
      <c r="AA976" s="138" t="s">
        <v>2764</v>
      </c>
      <c r="AB976" s="170"/>
      <c r="AC976" s="1549" t="s">
        <v>2512</v>
      </c>
      <c r="AD976" s="138" t="s">
        <v>324</v>
      </c>
      <c r="AE976" s="2093">
        <f>+MIN(T976/X976,AB976)</f>
        <v>0.93421052631578949</v>
      </c>
      <c r="AF976" s="2093"/>
      <c r="AG976" s="2093"/>
      <c r="AS976" s="1627"/>
      <c r="AT976" s="143"/>
      <c r="AU976" s="143"/>
      <c r="AV976" s="143"/>
      <c r="AW976" s="143"/>
      <c r="AX976" s="143"/>
      <c r="AY976" s="143"/>
      <c r="AZ976" s="143"/>
      <c r="BA976" s="143"/>
      <c r="BB976" s="143"/>
      <c r="BC976" s="143"/>
      <c r="BD976" s="143"/>
      <c r="BE976" s="143"/>
      <c r="BF976" s="143"/>
      <c r="BG976" s="143"/>
      <c r="BH976" s="143"/>
      <c r="BI976" s="143"/>
      <c r="BJ976" s="143"/>
      <c r="BK976" s="143"/>
      <c r="BL976" s="143"/>
      <c r="BM976" s="143"/>
      <c r="BN976" s="143"/>
      <c r="BO976" s="143"/>
      <c r="BP976" s="143"/>
      <c r="BQ976" s="143"/>
      <c r="BR976" s="143"/>
      <c r="BS976" s="143"/>
      <c r="BT976" s="143"/>
      <c r="BU976" s="143"/>
    </row>
    <row r="977" spans="1:73" s="73" customFormat="1" ht="15" customHeight="1">
      <c r="A977" s="143"/>
      <c r="B977" s="134"/>
      <c r="C977" s="124" t="s">
        <v>2323</v>
      </c>
      <c r="D977" s="170"/>
      <c r="E977" s="1540" t="s">
        <v>2761</v>
      </c>
      <c r="F977" s="170"/>
      <c r="G977" s="124" t="s">
        <v>324</v>
      </c>
      <c r="H977" s="170"/>
      <c r="I977" s="1540" t="s">
        <v>2767</v>
      </c>
      <c r="J977" s="170"/>
      <c r="K977" s="170"/>
      <c r="L977" s="170"/>
      <c r="M977" s="170"/>
      <c r="N977" s="170"/>
      <c r="O977" s="122"/>
      <c r="P977" s="124" t="s">
        <v>324</v>
      </c>
      <c r="Q977" s="143" t="s">
        <v>2763</v>
      </c>
      <c r="S977" s="143"/>
      <c r="T977" s="2097">
        <f>+AE505</f>
        <v>380</v>
      </c>
      <c r="U977" s="2097"/>
      <c r="V977" s="2097"/>
      <c r="W977" s="138" t="s">
        <v>2515</v>
      </c>
      <c r="X977" s="2097">
        <f>+MAX(ABS(X967),ABS(X964))</f>
        <v>148.26948555692721</v>
      </c>
      <c r="Y977" s="2097"/>
      <c r="Z977" s="2097"/>
      <c r="AA977" s="124" t="s">
        <v>2512</v>
      </c>
      <c r="AD977" s="138" t="s">
        <v>324</v>
      </c>
      <c r="AE977" s="2096">
        <f>+MAX(T977,X977)</f>
        <v>380</v>
      </c>
      <c r="AF977" s="2096"/>
      <c r="AG977" s="2096"/>
      <c r="AS977" s="1627"/>
      <c r="AT977" s="143"/>
      <c r="AU977" s="143"/>
      <c r="AV977" s="143"/>
      <c r="AW977" s="143"/>
      <c r="AX977" s="143"/>
      <c r="AY977" s="143"/>
      <c r="AZ977" s="143"/>
      <c r="BA977" s="143"/>
      <c r="BB977" s="143"/>
      <c r="BC977" s="143"/>
      <c r="BD977" s="143"/>
      <c r="BE977" s="143"/>
      <c r="BF977" s="143"/>
      <c r="BG977" s="143"/>
      <c r="BH977" s="143"/>
      <c r="BI977" s="143"/>
      <c r="BJ977" s="143"/>
      <c r="BK977" s="143"/>
      <c r="BL977" s="143"/>
      <c r="BM977" s="143"/>
      <c r="BN977" s="143"/>
      <c r="BO977" s="143"/>
      <c r="BP977" s="143"/>
      <c r="BQ977" s="143"/>
      <c r="BR977" s="143"/>
      <c r="BS977" s="143"/>
      <c r="BT977" s="143"/>
      <c r="BU977" s="143"/>
    </row>
    <row r="978" spans="1:73" s="73" customFormat="1" ht="15" customHeight="1">
      <c r="A978" s="143"/>
      <c r="B978" s="143"/>
      <c r="C978" s="124" t="s">
        <v>2323</v>
      </c>
      <c r="D978" s="120"/>
      <c r="E978" s="143" t="s">
        <v>684</v>
      </c>
      <c r="F978" s="143"/>
      <c r="G978" s="124" t="s">
        <v>324</v>
      </c>
      <c r="H978" s="143"/>
      <c r="I978" s="1540" t="s">
        <v>2768</v>
      </c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70"/>
      <c r="U978" s="2097">
        <f>IF(AE442="Positive",AE498,AE502)</f>
        <v>1951.8641657020185</v>
      </c>
      <c r="V978" s="1938"/>
      <c r="W978" s="1938"/>
      <c r="X978" s="124" t="s">
        <v>2323</v>
      </c>
      <c r="Y978" s="1862">
        <f>+AE452</f>
        <v>40</v>
      </c>
      <c r="Z978" s="1862"/>
      <c r="AA978" s="1547" t="s">
        <v>2514</v>
      </c>
      <c r="AB978" s="2096">
        <f>IF(AE442="Positive",AE499,AE503)</f>
        <v>1318.1358342979815</v>
      </c>
      <c r="AC978" s="1862"/>
      <c r="AD978" s="1862"/>
      <c r="AE978" s="124" t="s">
        <v>2323</v>
      </c>
      <c r="AF978" s="1938">
        <f>+AE454</f>
        <v>30</v>
      </c>
      <c r="AG978" s="1938"/>
      <c r="AH978" s="138" t="s">
        <v>2512</v>
      </c>
      <c r="AI978" s="76" t="s">
        <v>324</v>
      </c>
      <c r="AJ978" s="2097">
        <f>+MAX(U978-Y978,AB978-AF978)</f>
        <v>1911.8641657020185</v>
      </c>
      <c r="AK978" s="2097"/>
      <c r="AL978" s="2097"/>
      <c r="AS978" s="1627"/>
      <c r="AT978" s="143"/>
      <c r="AU978" s="143"/>
      <c r="AV978" s="143"/>
      <c r="AW978" s="143"/>
      <c r="AX978" s="143"/>
      <c r="AY978" s="143"/>
      <c r="AZ978" s="143"/>
      <c r="BA978" s="143"/>
      <c r="BB978" s="143"/>
      <c r="BC978" s="143"/>
      <c r="BD978" s="143"/>
      <c r="BE978" s="143"/>
      <c r="BF978" s="143"/>
      <c r="BG978" s="143"/>
      <c r="BH978" s="143"/>
      <c r="BI978" s="143"/>
      <c r="BJ978" s="143"/>
      <c r="BK978" s="143"/>
      <c r="BL978" s="143"/>
      <c r="BM978" s="143"/>
      <c r="BN978" s="143"/>
      <c r="BO978" s="143"/>
      <c r="BP978" s="143"/>
      <c r="BQ978" s="143"/>
      <c r="BR978" s="143"/>
      <c r="BS978" s="143"/>
      <c r="BT978" s="143"/>
      <c r="BU978" s="143"/>
    </row>
    <row r="979" spans="1:73" s="73" customFormat="1" ht="15" customHeight="1">
      <c r="B979" s="76"/>
      <c r="C979" s="124" t="s">
        <v>2323</v>
      </c>
      <c r="D979" s="120"/>
      <c r="E979" s="170" t="s">
        <v>685</v>
      </c>
      <c r="F979" s="143"/>
      <c r="G979" s="124" t="s">
        <v>324</v>
      </c>
      <c r="H979" s="4"/>
      <c r="I979" s="143" t="str">
        <f>+IF(U978-Y978&gt;=AB978-AF978,"Top flange 면적","Bottom flange 면적")</f>
        <v>Top flange 면적</v>
      </c>
      <c r="J979" s="143"/>
      <c r="K979" s="143"/>
      <c r="L979" s="1547"/>
      <c r="M979" s="143"/>
      <c r="N979" s="143"/>
      <c r="O979" s="52"/>
      <c r="P979" s="124" t="s">
        <v>324</v>
      </c>
      <c r="Q979" s="1547">
        <f>+IF(U978-Y978&gt;=AB978-AF978,AE450,1)</f>
        <v>1</v>
      </c>
      <c r="R979" s="138" t="s">
        <v>2489</v>
      </c>
      <c r="S979" s="1938">
        <f>+IF(U978-Y978&gt;=AB978-AF978,AE451,AE453)</f>
        <v>2900</v>
      </c>
      <c r="T979" s="1938"/>
      <c r="U979" s="1938"/>
      <c r="V979" s="138" t="s">
        <v>2489</v>
      </c>
      <c r="W979" s="1862">
        <f>+IF(U978-Y978&gt;=AB978-AF978,Y978,AF978)</f>
        <v>40</v>
      </c>
      <c r="X979" s="1862"/>
      <c r="Z979" s="1570"/>
      <c r="AA979" s="143"/>
      <c r="AB979" s="1561"/>
      <c r="AC979" s="143"/>
      <c r="AD979" s="138" t="s">
        <v>324</v>
      </c>
      <c r="AE979" s="1862">
        <f>+Q979*S979*W979</f>
        <v>116000</v>
      </c>
      <c r="AF979" s="1862"/>
      <c r="AG979" s="1862"/>
      <c r="AS979" s="1627"/>
      <c r="AT979" s="143"/>
      <c r="AU979" s="143"/>
      <c r="AV979" s="143"/>
      <c r="AW979" s="143"/>
      <c r="AX979" s="143"/>
      <c r="AY979" s="143"/>
      <c r="AZ979" s="143"/>
      <c r="BA979" s="143"/>
      <c r="BB979" s="143"/>
      <c r="BC979" s="143"/>
      <c r="BD979" s="143"/>
      <c r="BE979" s="143"/>
      <c r="BF979" s="143"/>
      <c r="BG979" s="143"/>
      <c r="BH979" s="143"/>
      <c r="BI979" s="143"/>
      <c r="BJ979" s="143"/>
      <c r="BK979" s="143"/>
      <c r="BL979" s="143"/>
      <c r="BM979" s="143"/>
      <c r="BN979" s="143"/>
      <c r="BO979" s="143"/>
      <c r="BP979" s="143"/>
      <c r="BQ979" s="143"/>
      <c r="BR979" s="143"/>
      <c r="BS979" s="143"/>
      <c r="BT979" s="143"/>
      <c r="BU979" s="143"/>
    </row>
    <row r="980" spans="1:73" s="73" customFormat="1" ht="15" customHeight="1">
      <c r="B980" s="76"/>
      <c r="C980" s="124" t="s">
        <v>2323</v>
      </c>
      <c r="D980" s="120"/>
      <c r="E980" s="1413" t="s">
        <v>360</v>
      </c>
      <c r="F980" s="143"/>
      <c r="G980" s="124" t="s">
        <v>324</v>
      </c>
      <c r="H980" s="4"/>
      <c r="I980" s="170" t="s">
        <v>2769</v>
      </c>
      <c r="J980" s="143"/>
      <c r="K980" s="143"/>
      <c r="L980" s="1547"/>
      <c r="M980" s="143"/>
      <c r="N980" s="143"/>
      <c r="O980" s="52"/>
      <c r="P980" s="124" t="s">
        <v>324</v>
      </c>
      <c r="Q980" s="1212">
        <v>2</v>
      </c>
      <c r="R980" s="1204" t="s">
        <v>2489</v>
      </c>
      <c r="S980" s="2097">
        <f>+AJ978</f>
        <v>1911.8641657020185</v>
      </c>
      <c r="T980" s="2097"/>
      <c r="U980" s="2097"/>
      <c r="V980" s="76" t="s">
        <v>2489</v>
      </c>
      <c r="W980" s="1938">
        <f>+AE457</f>
        <v>14</v>
      </c>
      <c r="X980" s="1938"/>
      <c r="Y980" s="76" t="s">
        <v>2490</v>
      </c>
      <c r="Z980" s="1938">
        <f>+AE979</f>
        <v>116000</v>
      </c>
      <c r="AA980" s="1938"/>
      <c r="AB980" s="1938"/>
      <c r="AD980" s="138" t="s">
        <v>324</v>
      </c>
      <c r="AE980" s="2093">
        <f>+Q980*S980*W980/Z980</f>
        <v>0.46148445379014241</v>
      </c>
      <c r="AF980" s="2093"/>
      <c r="AG980" s="2093"/>
      <c r="AS980" s="1627"/>
      <c r="AT980" s="143"/>
      <c r="AU980" s="143"/>
      <c r="AV980" s="143"/>
      <c r="AW980" s="143"/>
      <c r="AX980" s="143"/>
      <c r="AY980" s="143"/>
      <c r="AZ980" s="143"/>
      <c r="BA980" s="143"/>
      <c r="BB980" s="143"/>
      <c r="BC980" s="143"/>
      <c r="BD980" s="143"/>
      <c r="BE980" s="143"/>
      <c r="BF980" s="143"/>
      <c r="BG980" s="143"/>
      <c r="BH980" s="143"/>
      <c r="BI980" s="143"/>
      <c r="BJ980" s="143"/>
      <c r="BK980" s="143"/>
      <c r="BL980" s="143"/>
      <c r="BM980" s="143"/>
      <c r="BN980" s="143"/>
      <c r="BO980" s="143"/>
      <c r="BP980" s="143"/>
      <c r="BQ980" s="143"/>
      <c r="BR980" s="143"/>
      <c r="BS980" s="143"/>
      <c r="BT980" s="143"/>
      <c r="BU980" s="143"/>
    </row>
    <row r="981" spans="1:73" s="73" customFormat="1" ht="15" customHeight="1">
      <c r="B981" s="76"/>
      <c r="C981" s="2111" t="s">
        <v>2462</v>
      </c>
      <c r="E981" s="2111" t="s">
        <v>395</v>
      </c>
      <c r="G981" s="1871" t="s">
        <v>324</v>
      </c>
      <c r="I981" s="149" t="s">
        <v>2519</v>
      </c>
      <c r="J981" s="145"/>
      <c r="K981" s="145"/>
      <c r="L981" s="145"/>
      <c r="M981" s="149"/>
      <c r="P981" s="2197" t="s">
        <v>324</v>
      </c>
      <c r="R981" s="2166">
        <v>12</v>
      </c>
      <c r="S981" s="2166"/>
      <c r="T981" s="1213" t="s">
        <v>391</v>
      </c>
      <c r="U981" s="2196">
        <f>+AE980</f>
        <v>0.46148445379014241</v>
      </c>
      <c r="V981" s="2196"/>
      <c r="W981" s="2196"/>
      <c r="X981" s="261" t="s">
        <v>2516</v>
      </c>
      <c r="Y981" s="145"/>
      <c r="Z981" s="2164">
        <f>+AE976</f>
        <v>0.93421052631578949</v>
      </c>
      <c r="AA981" s="2165"/>
      <c r="AB981" s="1552" t="s">
        <v>2323</v>
      </c>
      <c r="AC981" s="2201">
        <f>+AE976</f>
        <v>0.93421052631578949</v>
      </c>
      <c r="AD981" s="2202"/>
      <c r="AE981" s="149" t="s">
        <v>2517</v>
      </c>
      <c r="AG981" s="1556"/>
      <c r="AI981" s="2197" t="s">
        <v>324</v>
      </c>
      <c r="AJ981" s="2150">
        <f>+(12+U981*(3*Z981-AC981^3))/(12+2*Y982)</f>
        <v>0.99954647746573022</v>
      </c>
      <c r="AK981" s="2150"/>
      <c r="AL981" s="2150"/>
      <c r="AS981" s="1627"/>
      <c r="AT981" s="143"/>
      <c r="AU981" s="143"/>
      <c r="AV981" s="143"/>
      <c r="AW981" s="143"/>
      <c r="AX981" s="143"/>
      <c r="AY981" s="143"/>
      <c r="AZ981" s="143"/>
      <c r="BA981" s="143"/>
      <c r="BB981" s="143"/>
      <c r="BC981" s="143"/>
      <c r="BD981" s="143"/>
      <c r="BE981" s="143"/>
      <c r="BF981" s="143"/>
      <c r="BG981" s="143"/>
      <c r="BH981" s="143"/>
      <c r="BI981" s="143"/>
      <c r="BJ981" s="143"/>
      <c r="BK981" s="143"/>
      <c r="BL981" s="143"/>
      <c r="BM981" s="143"/>
      <c r="BN981" s="143"/>
      <c r="BO981" s="143"/>
      <c r="BP981" s="143"/>
      <c r="BQ981" s="143"/>
      <c r="BR981" s="143"/>
      <c r="BS981" s="143"/>
      <c r="BT981" s="143"/>
      <c r="BU981" s="143"/>
    </row>
    <row r="982" spans="1:73" s="73" customFormat="1" ht="15" customHeight="1">
      <c r="B982" s="76"/>
      <c r="C982" s="2111"/>
      <c r="E982" s="2111"/>
      <c r="G982" s="1871"/>
      <c r="I982" s="120"/>
      <c r="J982" s="122" t="s">
        <v>2520</v>
      </c>
      <c r="P982" s="2136"/>
      <c r="R982" s="143"/>
      <c r="S982" s="143"/>
      <c r="T982" s="4"/>
      <c r="U982" s="1204" t="s">
        <v>2518</v>
      </c>
      <c r="V982" s="143"/>
      <c r="W982" s="115"/>
      <c r="Y982" s="1862">
        <f>+AE980</f>
        <v>0.46148445379014241</v>
      </c>
      <c r="Z982" s="1862"/>
      <c r="AA982" s="143"/>
      <c r="AB982" s="143"/>
      <c r="AC982" s="170"/>
      <c r="AD982" s="170"/>
      <c r="AG982" s="1556"/>
      <c r="AI982" s="2136"/>
      <c r="AJ982" s="2150"/>
      <c r="AK982" s="2150"/>
      <c r="AL982" s="2150"/>
      <c r="AS982" s="1627"/>
      <c r="AT982" s="143"/>
      <c r="AU982" s="143"/>
      <c r="AV982" s="143"/>
      <c r="AW982" s="143"/>
      <c r="AX982" s="143"/>
      <c r="AY982" s="143"/>
      <c r="AZ982" s="143"/>
      <c r="BA982" s="143"/>
      <c r="BB982" s="143"/>
      <c r="BC982" s="143"/>
      <c r="BD982" s="143"/>
      <c r="BE982" s="143"/>
      <c r="BF982" s="143"/>
      <c r="BG982" s="143"/>
      <c r="BH982" s="143"/>
      <c r="BI982" s="143"/>
      <c r="BJ982" s="143"/>
      <c r="BK982" s="143"/>
      <c r="BL982" s="143"/>
      <c r="BM982" s="143"/>
      <c r="BN982" s="143"/>
      <c r="BO982" s="143"/>
      <c r="BP982" s="143"/>
      <c r="BQ982" s="143"/>
      <c r="BR982" s="143"/>
      <c r="BS982" s="143"/>
      <c r="BT982" s="143"/>
      <c r="BU982" s="143"/>
    </row>
    <row r="983" spans="1:73" s="73" customFormat="1" ht="15" customHeight="1">
      <c r="A983" s="170"/>
      <c r="B983" s="143"/>
      <c r="C983" s="170"/>
      <c r="E983" s="1938"/>
      <c r="F983" s="1938"/>
      <c r="AS983" s="1627"/>
      <c r="AT983" s="143"/>
      <c r="AU983" s="143"/>
      <c r="AV983" s="143"/>
      <c r="AW983" s="143"/>
      <c r="AX983" s="143"/>
      <c r="AY983" s="143"/>
      <c r="AZ983" s="143"/>
      <c r="BA983" s="143"/>
      <c r="BB983" s="143"/>
      <c r="BC983" s="143"/>
      <c r="BD983" s="143"/>
      <c r="BE983" s="143"/>
      <c r="BF983" s="143"/>
      <c r="BG983" s="143"/>
      <c r="BH983" s="143"/>
      <c r="BI983" s="143"/>
      <c r="BJ983" s="143"/>
      <c r="BK983" s="143"/>
      <c r="BL983" s="143"/>
      <c r="BM983" s="143"/>
      <c r="BN983" s="143"/>
      <c r="BO983" s="143"/>
      <c r="BP983" s="143"/>
      <c r="BQ983" s="143"/>
      <c r="BR983" s="143"/>
      <c r="BS983" s="143"/>
      <c r="BT983" s="143"/>
      <c r="BU983" s="143"/>
    </row>
    <row r="984" spans="1:73" s="73" customFormat="1" ht="15" customHeight="1">
      <c r="A984" s="134"/>
      <c r="B984" s="1569" t="s">
        <v>421</v>
      </c>
      <c r="C984" s="61"/>
      <c r="D984" s="170"/>
      <c r="E984" s="170"/>
      <c r="F984" s="1539"/>
      <c r="G984" s="170"/>
      <c r="H984" s="1539"/>
      <c r="I984" s="170"/>
      <c r="J984" s="1539"/>
      <c r="K984" s="170"/>
      <c r="L984" s="1539"/>
      <c r="M984" s="170"/>
      <c r="N984" s="170"/>
      <c r="O984" s="170"/>
      <c r="P984" s="170"/>
      <c r="Q984" s="170"/>
      <c r="R984" s="170"/>
      <c r="S984" s="170"/>
      <c r="T984" s="170"/>
      <c r="U984" s="170"/>
      <c r="V984" s="170"/>
      <c r="W984" s="170"/>
      <c r="X984" s="170"/>
      <c r="Y984" s="1539"/>
      <c r="Z984" s="170"/>
      <c r="AA984" s="108"/>
      <c r="AC984" s="143"/>
      <c r="AD984" s="1561"/>
      <c r="AF984" s="1561"/>
      <c r="AS984" s="1627"/>
      <c r="AT984" s="143"/>
      <c r="AU984" s="143"/>
      <c r="AV984" s="143"/>
      <c r="AW984" s="143"/>
      <c r="AX984" s="143"/>
      <c r="AY984" s="143"/>
      <c r="AZ984" s="143"/>
      <c r="BA984" s="143"/>
      <c r="BB984" s="143"/>
      <c r="BC984" s="143"/>
      <c r="BD984" s="143"/>
      <c r="BE984" s="143"/>
      <c r="BF984" s="143"/>
      <c r="BG984" s="143"/>
      <c r="BH984" s="143"/>
      <c r="BI984" s="143"/>
      <c r="BJ984" s="143"/>
      <c r="BK984" s="143"/>
      <c r="BL984" s="143"/>
      <c r="BM984" s="143"/>
      <c r="BN984" s="143"/>
      <c r="BO984" s="143"/>
      <c r="BP984" s="143"/>
      <c r="BQ984" s="143"/>
      <c r="BR984" s="143"/>
      <c r="BS984" s="143"/>
      <c r="BT984" s="143"/>
      <c r="BU984" s="143"/>
    </row>
    <row r="985" spans="1:73" s="73" customFormat="1" ht="15" customHeight="1">
      <c r="A985" s="134"/>
      <c r="B985" s="1569"/>
      <c r="C985" s="61"/>
      <c r="D985" s="170"/>
      <c r="E985" s="170"/>
      <c r="F985" s="1539"/>
      <c r="G985" s="170"/>
      <c r="H985" s="1539"/>
      <c r="I985" s="170"/>
      <c r="J985" s="1539"/>
      <c r="K985" s="170"/>
      <c r="L985" s="1539"/>
      <c r="M985" s="170"/>
      <c r="N985" s="170"/>
      <c r="O985" s="170"/>
      <c r="P985" s="170"/>
      <c r="Q985" s="170"/>
      <c r="R985" s="170"/>
      <c r="S985" s="170"/>
      <c r="T985" s="170"/>
      <c r="U985" s="170"/>
      <c r="V985" s="170"/>
      <c r="W985" s="170"/>
      <c r="X985" s="170"/>
      <c r="Y985" s="1539"/>
      <c r="Z985" s="170"/>
      <c r="AA985" s="108"/>
      <c r="AC985" s="143"/>
      <c r="AD985" s="1561"/>
      <c r="AF985" s="1561"/>
      <c r="AS985" s="1627"/>
      <c r="AT985" s="143"/>
      <c r="AU985" s="143"/>
      <c r="AV985" s="143"/>
      <c r="AW985" s="143"/>
      <c r="AX985" s="143"/>
      <c r="AY985" s="143"/>
      <c r="AZ985" s="143"/>
      <c r="BA985" s="143"/>
      <c r="BB985" s="143"/>
      <c r="BC985" s="143"/>
      <c r="BD985" s="143"/>
      <c r="BE985" s="143"/>
      <c r="BF985" s="143"/>
      <c r="BG985" s="143"/>
      <c r="BH985" s="143"/>
      <c r="BI985" s="143"/>
      <c r="BJ985" s="143"/>
      <c r="BK985" s="143"/>
      <c r="BL985" s="143"/>
      <c r="BM985" s="143"/>
      <c r="BN985" s="143"/>
      <c r="BO985" s="143"/>
      <c r="BP985" s="143"/>
      <c r="BQ985" s="143"/>
      <c r="BR985" s="143"/>
      <c r="BS985" s="143"/>
      <c r="BT985" s="143"/>
      <c r="BU985" s="143"/>
    </row>
    <row r="986" spans="1:73" ht="15" customHeight="1" thickBot="1">
      <c r="A986" s="170"/>
      <c r="C986" s="1540"/>
      <c r="D986" s="170"/>
      <c r="E986" s="170" t="s">
        <v>2599</v>
      </c>
      <c r="F986" s="170"/>
      <c r="G986" s="100"/>
      <c r="H986" s="170"/>
      <c r="I986" s="170"/>
      <c r="J986" s="170"/>
      <c r="K986" s="170"/>
      <c r="L986" s="1539"/>
      <c r="M986" s="1283" t="str">
        <f>IF(AND(AE450=2,AE443="Compression"),"Open Flange","Box Flange")</f>
        <v>Box Flange</v>
      </c>
      <c r="N986" s="115"/>
      <c r="O986" s="115"/>
      <c r="P986" s="115"/>
      <c r="Q986" s="170"/>
      <c r="R986" s="170"/>
      <c r="S986" s="170"/>
      <c r="T986" s="170"/>
      <c r="U986" s="170"/>
      <c r="V986" s="170"/>
      <c r="W986" s="170"/>
      <c r="X986" s="170"/>
      <c r="Y986" s="1539"/>
      <c r="Z986" s="170"/>
      <c r="AA986" s="170"/>
    </row>
    <row r="987" spans="1:73" ht="20.100000000000001" customHeight="1" thickBot="1">
      <c r="A987" s="170"/>
      <c r="B987" s="168"/>
      <c r="C987" s="1540"/>
      <c r="D987" s="1268"/>
      <c r="E987" s="1271"/>
      <c r="F987" s="1271"/>
      <c r="G987" s="1279" t="s">
        <v>2462</v>
      </c>
      <c r="H987" s="1269" t="s">
        <v>2601</v>
      </c>
      <c r="I987" s="1271"/>
      <c r="J987" s="1280" t="s">
        <v>324</v>
      </c>
      <c r="K987" s="1282"/>
      <c r="L987" s="1281" t="str">
        <f>IF(M986="Open Flange","Min (Fnc_LB , Fnc_LTB)","Fcb√[(1 - (fv / Φv / Fcv)²]")</f>
        <v>Fcb√[(1 - (fv / Φv / Fcv)²]</v>
      </c>
      <c r="M987" s="1271"/>
      <c r="N987" s="1271"/>
      <c r="O987" s="1271"/>
      <c r="P987" s="1271"/>
      <c r="Q987" s="1271"/>
      <c r="R987" s="1271"/>
      <c r="S987" s="1271"/>
      <c r="T987" s="1271"/>
      <c r="U987" s="1271"/>
      <c r="V987" s="1271"/>
      <c r="W987" s="1271"/>
      <c r="X987" s="1271"/>
      <c r="Y987" s="1272"/>
      <c r="Z987" s="1273"/>
      <c r="AA987" s="170"/>
    </row>
    <row r="988" spans="1:73" s="73" customFormat="1" ht="15" customHeight="1">
      <c r="A988" s="170"/>
      <c r="B988" s="170"/>
      <c r="C988" s="170"/>
      <c r="D988" s="170"/>
      <c r="E988" s="170"/>
      <c r="F988" s="1539"/>
      <c r="G988" s="170"/>
      <c r="H988" s="1539"/>
      <c r="I988" s="170"/>
      <c r="J988" s="1539"/>
      <c r="K988" s="170"/>
      <c r="L988" s="1539"/>
      <c r="M988" s="170"/>
      <c r="N988" s="170"/>
      <c r="O988" s="170"/>
      <c r="P988" s="170"/>
      <c r="Q988" s="170"/>
      <c r="R988" s="170"/>
      <c r="S988" s="170"/>
      <c r="T988" s="170"/>
      <c r="U988" s="170"/>
      <c r="V988" s="170"/>
      <c r="W988" s="170"/>
      <c r="X988" s="170"/>
      <c r="Z988" s="1539"/>
      <c r="AA988" s="170"/>
      <c r="AC988" s="143"/>
      <c r="AS988" s="1627"/>
      <c r="AT988" s="143"/>
      <c r="AU988" s="143"/>
      <c r="AV988" s="143"/>
      <c r="AW988" s="143"/>
      <c r="AX988" s="143"/>
      <c r="AY988" s="143"/>
      <c r="AZ988" s="143"/>
      <c r="BA988" s="143"/>
      <c r="BB988" s="143"/>
      <c r="BC988" s="143"/>
      <c r="BD988" s="143"/>
      <c r="BE988" s="143"/>
      <c r="BF988" s="143"/>
      <c r="BG988" s="143"/>
      <c r="BH988" s="143"/>
      <c r="BI988" s="143"/>
      <c r="BJ988" s="143"/>
      <c r="BK988" s="143"/>
      <c r="BL988" s="143"/>
      <c r="BM988" s="143"/>
      <c r="BN988" s="143"/>
      <c r="BO988" s="143"/>
      <c r="BP988" s="143"/>
      <c r="BQ988" s="143"/>
      <c r="BR988" s="143"/>
      <c r="BS988" s="143"/>
      <c r="BT988" s="143"/>
      <c r="BU988" s="143"/>
    </row>
    <row r="989" spans="1:73" ht="15" customHeight="1">
      <c r="B989" s="1177" t="s">
        <v>2466</v>
      </c>
      <c r="C989" s="143" t="s">
        <v>960</v>
      </c>
      <c r="D989" s="136"/>
      <c r="E989" s="147"/>
      <c r="F989" s="136"/>
      <c r="G989" s="136"/>
      <c r="H989" s="136"/>
      <c r="I989" s="170"/>
      <c r="J989" s="170"/>
      <c r="K989" s="1539"/>
      <c r="L989" s="170"/>
      <c r="M989" s="1539"/>
      <c r="N989" s="170"/>
      <c r="P989" s="170"/>
      <c r="W989" s="1177" t="s">
        <v>2466</v>
      </c>
      <c r="X989" s="143" t="s">
        <v>961</v>
      </c>
      <c r="Y989" s="136"/>
      <c r="Z989" s="147"/>
      <c r="AA989" s="136"/>
      <c r="AB989" s="136"/>
      <c r="AC989" s="136"/>
      <c r="AD989" s="170"/>
      <c r="AE989" s="170"/>
      <c r="AF989" s="1539"/>
      <c r="AG989" s="170"/>
      <c r="AH989" s="1539"/>
      <c r="AI989" s="170"/>
      <c r="AJ989" s="143"/>
      <c r="AK989" s="170"/>
      <c r="AL989" s="170"/>
      <c r="AM989" s="170"/>
      <c r="AN989" s="170"/>
      <c r="AO989" s="143"/>
      <c r="AS989" s="1628" t="str">
        <f>IF(M986="Box Flange","Hide this row","")</f>
        <v>Hide this row</v>
      </c>
    </row>
    <row r="990" spans="1:73" ht="20.100000000000001" customHeight="1">
      <c r="B990" s="148" t="s">
        <v>134</v>
      </c>
      <c r="C990" s="148"/>
      <c r="D990" s="141"/>
      <c r="E990" s="141"/>
      <c r="F990" s="141"/>
      <c r="G990" s="141"/>
      <c r="H990" s="148" t="s">
        <v>240</v>
      </c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W990" s="148" t="s">
        <v>134</v>
      </c>
      <c r="X990" s="141"/>
      <c r="Y990" s="141"/>
      <c r="Z990" s="141"/>
      <c r="AA990" s="141"/>
      <c r="AB990" s="141"/>
      <c r="AC990" s="141"/>
      <c r="AD990" s="141"/>
      <c r="AE990" s="148" t="s">
        <v>1605</v>
      </c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628" t="str">
        <f>IF(M986="Box Flange","Hide this row","")</f>
        <v>Hide this row</v>
      </c>
    </row>
    <row r="991" spans="1:73" ht="20.100000000000001" customHeight="1">
      <c r="B991" s="146" t="s">
        <v>241</v>
      </c>
      <c r="C991" s="146"/>
      <c r="D991" s="146"/>
      <c r="E991" s="146"/>
      <c r="F991" s="146"/>
      <c r="G991" s="146"/>
      <c r="H991" s="151" t="s">
        <v>242</v>
      </c>
      <c r="I991" s="146"/>
      <c r="J991" s="146"/>
      <c r="K991" s="146"/>
      <c r="L991" s="146"/>
      <c r="M991" s="146"/>
      <c r="N991" s="146"/>
      <c r="O991" s="146"/>
      <c r="P991" s="146"/>
      <c r="Q991" s="146"/>
      <c r="R991" s="146"/>
      <c r="S991" s="146"/>
      <c r="T991" s="1214" t="s">
        <v>417</v>
      </c>
      <c r="W991" s="146" t="s">
        <v>243</v>
      </c>
      <c r="X991" s="146"/>
      <c r="Y991" s="146"/>
      <c r="Z991" s="146"/>
      <c r="AA991" s="146"/>
      <c r="AB991" s="146"/>
      <c r="AC991" s="146"/>
      <c r="AD991" s="146"/>
      <c r="AE991" s="151" t="s">
        <v>242</v>
      </c>
      <c r="AF991" s="146"/>
      <c r="AG991" s="146"/>
      <c r="AH991" s="146"/>
      <c r="AI991" s="146"/>
      <c r="AJ991" s="146"/>
      <c r="AK991" s="146"/>
      <c r="AL991" s="146"/>
      <c r="AM991" s="146"/>
      <c r="AN991" s="146"/>
      <c r="AO991" s="146"/>
      <c r="AP991" s="146"/>
      <c r="AQ991" s="146"/>
      <c r="AR991" s="146" t="s">
        <v>417</v>
      </c>
      <c r="AS991" s="1628" t="str">
        <f>IF(M986="Box Flange","Hide this row","")</f>
        <v>Hide this row</v>
      </c>
    </row>
    <row r="992" spans="1:73" ht="20.100000000000001" customHeight="1">
      <c r="B992" s="1617" t="s">
        <v>136</v>
      </c>
      <c r="C992" s="1617"/>
      <c r="D992" s="1617"/>
      <c r="E992" s="1617"/>
      <c r="F992" s="1626" t="s">
        <v>2978</v>
      </c>
      <c r="G992" s="91"/>
      <c r="H992" s="91"/>
      <c r="I992" s="91"/>
      <c r="J992" s="1616"/>
      <c r="K992" s="91"/>
      <c r="L992" s="91"/>
      <c r="M992" s="91"/>
      <c r="N992" s="91"/>
      <c r="O992" s="91"/>
      <c r="P992" s="91"/>
      <c r="Q992" s="91"/>
      <c r="R992" s="91"/>
      <c r="S992" s="91"/>
      <c r="T992" s="1624" t="s">
        <v>2525</v>
      </c>
      <c r="W992" s="1618" t="s">
        <v>2526</v>
      </c>
      <c r="X992" s="1618"/>
      <c r="Y992" s="1618"/>
      <c r="Z992" s="1618"/>
      <c r="AA992" s="110"/>
      <c r="AB992" s="1625" t="s">
        <v>2977</v>
      </c>
      <c r="AC992" s="110"/>
      <c r="AD992" s="110"/>
      <c r="AE992" s="110"/>
      <c r="AF992" s="110"/>
      <c r="AG992" s="110"/>
      <c r="AH992" s="110"/>
      <c r="AI992" s="110"/>
      <c r="AJ992" s="110"/>
      <c r="AK992" s="110"/>
      <c r="AL992" s="110"/>
      <c r="AM992" s="110"/>
      <c r="AN992" s="110"/>
      <c r="AO992" s="110"/>
      <c r="AP992" s="110"/>
      <c r="AQ992" s="110"/>
      <c r="AR992" s="110" t="s">
        <v>2525</v>
      </c>
      <c r="AS992" s="1628" t="str">
        <f>IF(M986="Box Flange","Hide this row","")</f>
        <v>Hide this row</v>
      </c>
    </row>
    <row r="993" spans="1:59" ht="20.100000000000001" customHeight="1">
      <c r="B993" s="170"/>
      <c r="C993" s="1540"/>
      <c r="D993" s="143" t="s">
        <v>239</v>
      </c>
      <c r="E993" s="170"/>
      <c r="F993" s="170"/>
      <c r="G993" s="170"/>
      <c r="H993" s="170"/>
      <c r="I993" s="170"/>
      <c r="J993" s="147"/>
      <c r="K993" s="170"/>
      <c r="L993" s="170"/>
      <c r="M993" s="170"/>
      <c r="N993" s="170"/>
      <c r="O993" s="170"/>
      <c r="P993" s="170"/>
      <c r="W993" s="145" t="s">
        <v>245</v>
      </c>
      <c r="X993" s="145"/>
      <c r="Y993" s="145"/>
      <c r="Z993" s="145"/>
      <c r="AA993" s="145"/>
      <c r="AB993" s="145"/>
      <c r="AC993" s="145"/>
      <c r="AD993" s="145"/>
      <c r="AE993" s="149" t="s">
        <v>1684</v>
      </c>
      <c r="AF993" s="145"/>
      <c r="AG993" s="145"/>
      <c r="AH993" s="145"/>
      <c r="AI993" s="145"/>
      <c r="AJ993" s="145"/>
      <c r="AK993" s="145"/>
      <c r="AL993" s="145"/>
      <c r="AM993" s="145"/>
      <c r="AN993" s="145"/>
      <c r="AO993" s="145"/>
      <c r="AP993" s="145"/>
      <c r="AQ993" s="145"/>
      <c r="AR993" s="145" t="s">
        <v>448</v>
      </c>
      <c r="AS993" s="1628" t="str">
        <f>IF(M986="Box Flange","Hide this row","")</f>
        <v>Hide this row</v>
      </c>
    </row>
    <row r="994" spans="1:59" ht="15" customHeight="1">
      <c r="B994" s="170"/>
      <c r="C994" s="1540"/>
      <c r="D994" s="170" t="s">
        <v>2276</v>
      </c>
      <c r="E994" s="170"/>
      <c r="F994" s="170"/>
      <c r="G994" s="170"/>
      <c r="H994" s="170"/>
      <c r="I994" s="147"/>
      <c r="J994" s="170"/>
      <c r="K994" s="170"/>
      <c r="L994" s="143"/>
      <c r="M994" s="592"/>
      <c r="N994" s="170"/>
      <c r="O994" s="124"/>
      <c r="P994" s="170"/>
      <c r="AM994" s="170"/>
      <c r="AN994" s="170"/>
      <c r="AO994" s="170"/>
      <c r="AP994" s="170"/>
      <c r="AQ994" s="143"/>
      <c r="AR994" s="143"/>
      <c r="AS994" s="1628" t="str">
        <f>IF(M986="Box Flange","Hide this row","")</f>
        <v>Hide this row</v>
      </c>
    </row>
    <row r="995" spans="1:59" ht="15" customHeight="1">
      <c r="B995" s="170"/>
      <c r="C995" s="1540"/>
      <c r="D995" s="170" t="s">
        <v>1681</v>
      </c>
      <c r="E995" s="170"/>
      <c r="F995" s="170"/>
      <c r="G995" s="170"/>
      <c r="H995" s="170"/>
      <c r="I995" s="170"/>
      <c r="J995" s="147"/>
      <c r="K995" s="170"/>
      <c r="L995" s="170"/>
      <c r="M995" s="170"/>
      <c r="N995" s="170"/>
      <c r="O995" s="170"/>
      <c r="P995" s="170"/>
      <c r="W995" s="170" t="s">
        <v>246</v>
      </c>
      <c r="X995" s="170"/>
      <c r="AN995" s="170"/>
      <c r="AO995" s="170"/>
      <c r="AR995" s="170"/>
      <c r="AS995" s="1628" t="str">
        <f>IF(M986="Box Flange","Hide this row","")</f>
        <v>Hide this row</v>
      </c>
      <c r="AT995" s="170"/>
      <c r="AU995" s="1539"/>
      <c r="AV995" s="170"/>
      <c r="AW995" s="1539"/>
      <c r="AX995" s="170"/>
      <c r="AY995" s="170"/>
      <c r="BF995" s="73"/>
      <c r="BG995" s="73"/>
    </row>
    <row r="996" spans="1:59" ht="15" customHeight="1">
      <c r="B996" s="170"/>
      <c r="C996" s="1540"/>
      <c r="D996" s="170" t="s">
        <v>1682</v>
      </c>
      <c r="E996" s="170"/>
      <c r="F996" s="170"/>
      <c r="G996" s="170"/>
      <c r="H996" s="170"/>
      <c r="I996" s="170"/>
      <c r="J996" s="147"/>
      <c r="K996" s="170"/>
      <c r="L996" s="170"/>
      <c r="M996" s="170"/>
      <c r="N996" s="170"/>
      <c r="O996" s="170"/>
      <c r="P996" s="170"/>
      <c r="W996" s="170" t="s">
        <v>1685</v>
      </c>
      <c r="X996" s="170"/>
      <c r="AF996" s="1870" t="s">
        <v>376</v>
      </c>
      <c r="AG996" s="1870"/>
      <c r="AH996" s="1944" t="s">
        <v>324</v>
      </c>
      <c r="AI996" s="170"/>
      <c r="AJ996" s="1573" t="s">
        <v>2941</v>
      </c>
      <c r="AK996" s="1333"/>
      <c r="AL996" s="1554"/>
      <c r="AN996" s="170"/>
      <c r="AO996" s="143"/>
      <c r="AR996" s="170"/>
      <c r="AS996" s="1628" t="str">
        <f>IF(M986="Box Flange","Hide this row","")</f>
        <v>Hide this row</v>
      </c>
      <c r="AT996" s="170"/>
      <c r="AU996" s="1539"/>
      <c r="AV996" s="170"/>
      <c r="AW996" s="1539"/>
      <c r="AX996" s="170"/>
      <c r="AY996" s="170"/>
      <c r="BF996" s="73"/>
      <c r="BG996" s="73"/>
    </row>
    <row r="997" spans="1:59" ht="15" customHeight="1">
      <c r="B997" s="170"/>
      <c r="C997" s="1540"/>
      <c r="D997" s="170" t="s">
        <v>1683</v>
      </c>
      <c r="E997" s="1540"/>
      <c r="F997" s="170"/>
      <c r="G997" s="170"/>
      <c r="H997" s="170"/>
      <c r="I997" s="170"/>
      <c r="J997" s="147"/>
      <c r="K997" s="170"/>
      <c r="L997" s="170"/>
      <c r="M997" s="170"/>
      <c r="W997" s="170" t="s">
        <v>1686</v>
      </c>
      <c r="X997" s="170"/>
      <c r="AF997" s="1870"/>
      <c r="AG997" s="1870"/>
      <c r="AH997" s="1862"/>
      <c r="AI997" s="170"/>
      <c r="AJ997" s="1540" t="s">
        <v>2942</v>
      </c>
      <c r="AK997" s="170"/>
      <c r="AL997" s="1539"/>
      <c r="AN997" s="170"/>
      <c r="AO997" s="143"/>
      <c r="AR997" s="170"/>
      <c r="AS997" s="1628" t="str">
        <f>IF(M986="Box Flange","Hide this row","")</f>
        <v>Hide this row</v>
      </c>
      <c r="AT997" s="170"/>
      <c r="AU997" s="1539"/>
      <c r="AV997" s="170"/>
      <c r="AW997" s="1539"/>
      <c r="AX997" s="170"/>
      <c r="AY997" s="170"/>
      <c r="BF997" s="73"/>
      <c r="BG997" s="73"/>
    </row>
    <row r="998" spans="1:59" ht="15" customHeight="1">
      <c r="B998" s="170"/>
      <c r="C998" s="1540"/>
      <c r="D998" s="170"/>
      <c r="E998" s="1540"/>
      <c r="F998" s="170"/>
      <c r="G998" s="170"/>
      <c r="H998" s="170"/>
      <c r="I998" s="170"/>
      <c r="L998" s="143"/>
      <c r="W998" s="170"/>
      <c r="X998" s="170"/>
      <c r="AN998" s="170"/>
      <c r="AO998" s="143"/>
      <c r="AR998" s="170"/>
      <c r="AS998" s="1628" t="str">
        <f>IF(M986="Box Flange","Hide this row","")</f>
        <v>Hide this row</v>
      </c>
      <c r="AT998" s="170"/>
      <c r="AU998" s="1539"/>
      <c r="AV998" s="170"/>
      <c r="AW998" s="1539"/>
      <c r="AX998" s="170"/>
      <c r="AY998" s="170"/>
      <c r="BF998" s="73"/>
      <c r="BG998" s="73"/>
    </row>
    <row r="999" spans="1:59" ht="15" customHeight="1">
      <c r="B999" s="170"/>
      <c r="C999" s="143" t="s">
        <v>786</v>
      </c>
      <c r="E999" s="1540" t="s">
        <v>963</v>
      </c>
      <c r="F999" s="170"/>
      <c r="G999" s="170"/>
      <c r="H999" s="170"/>
      <c r="I999" s="170"/>
      <c r="J999" s="147"/>
      <c r="K999" s="170"/>
      <c r="L999" s="170"/>
      <c r="M999" s="170"/>
      <c r="N999" s="170"/>
      <c r="O999" s="170"/>
      <c r="P999" s="170"/>
      <c r="W999" s="170"/>
      <c r="X999" s="170"/>
      <c r="AD999" s="143"/>
      <c r="AE999" s="143"/>
      <c r="AF999" s="143"/>
      <c r="AG999" s="143"/>
      <c r="AN999" s="170"/>
      <c r="AO999" s="143"/>
      <c r="AR999" s="170"/>
      <c r="AS999" s="1628" t="str">
        <f>IF(M986="Box Flange","Hide this row","")</f>
        <v>Hide this row</v>
      </c>
      <c r="AT999" s="170"/>
      <c r="AU999" s="1539"/>
      <c r="AV999" s="170"/>
      <c r="AW999" s="1539"/>
      <c r="AX999" s="170"/>
      <c r="AY999" s="170"/>
      <c r="BF999" s="73"/>
      <c r="BG999" s="73"/>
    </row>
    <row r="1000" spans="1:59" ht="15" customHeight="1">
      <c r="A1000" s="64"/>
      <c r="B1000" s="170"/>
      <c r="C1000" s="1540"/>
      <c r="E1000" s="138" t="s">
        <v>2323</v>
      </c>
      <c r="G1000" s="170" t="s">
        <v>2738</v>
      </c>
      <c r="I1000" s="138" t="s">
        <v>324</v>
      </c>
      <c r="K1000" s="170" t="s">
        <v>2739</v>
      </c>
      <c r="L1000" s="170"/>
      <c r="M1000" s="170"/>
      <c r="N1000" s="147"/>
      <c r="O1000" s="170"/>
      <c r="P1000" s="170"/>
      <c r="R1000" s="592"/>
      <c r="X1000" s="124" t="s">
        <v>2521</v>
      </c>
      <c r="Y1000" s="170"/>
      <c r="Z1000" s="2182">
        <f>+MAX(MIN(0.7*AE509,AE511),0.5*AE509)</f>
        <v>266</v>
      </c>
      <c r="AA1000" s="2182"/>
      <c r="AB1000" s="2182"/>
      <c r="AS1000" s="1628" t="str">
        <f>IF(M986="Box Flange","Hide this row","")</f>
        <v>Hide this row</v>
      </c>
    </row>
    <row r="1001" spans="1:59" ht="15" customHeight="1">
      <c r="A1001" s="64"/>
      <c r="B1001" s="170"/>
      <c r="C1001" s="1540"/>
      <c r="D1001" s="421"/>
      <c r="E1001" s="1022" t="s">
        <v>2323</v>
      </c>
      <c r="F1001" s="93"/>
      <c r="G1001" s="668" t="s">
        <v>2740</v>
      </c>
      <c r="H1001" s="93"/>
      <c r="I1001" s="1022" t="s">
        <v>324</v>
      </c>
      <c r="J1001" s="93"/>
      <c r="K1001" s="93" t="s">
        <v>2741</v>
      </c>
      <c r="L1001" s="93"/>
      <c r="M1001" s="93"/>
      <c r="N1001" s="93"/>
      <c r="O1001" s="93"/>
      <c r="P1001" s="1022" t="s">
        <v>324</v>
      </c>
      <c r="Q1001" s="1936">
        <f>AE451</f>
        <v>2900</v>
      </c>
      <c r="R1001" s="1936"/>
      <c r="S1001" s="1936"/>
      <c r="T1001" s="1022" t="s">
        <v>2490</v>
      </c>
      <c r="U1001" s="93">
        <v>2</v>
      </c>
      <c r="V1001" s="1022" t="s">
        <v>2490</v>
      </c>
      <c r="W1001" s="1936">
        <f>AE452</f>
        <v>40</v>
      </c>
      <c r="X1001" s="1936"/>
      <c r="Y1001" s="93"/>
      <c r="Z1001" s="93"/>
      <c r="AA1001" s="93"/>
      <c r="AB1001" s="93"/>
      <c r="AC1001" s="1467"/>
      <c r="AE1001" s="143"/>
      <c r="AF1001" s="143"/>
      <c r="AG1001" s="96"/>
      <c r="AH1001" s="170"/>
      <c r="AS1001" s="1628" t="str">
        <f>IF(M986="Box Flange","Hide this row","")</f>
        <v>Hide this row</v>
      </c>
    </row>
    <row r="1002" spans="1:59" ht="15" customHeight="1">
      <c r="A1002" s="64"/>
      <c r="B1002" s="170"/>
      <c r="C1002" s="1540"/>
      <c r="D1002" s="1210"/>
      <c r="E1002" s="124"/>
      <c r="F1002" s="170"/>
      <c r="G1002" s="170"/>
      <c r="H1002" s="170"/>
      <c r="I1002" s="124" t="s">
        <v>324</v>
      </c>
      <c r="J1002" s="170"/>
      <c r="K1002" s="2167">
        <f>+Q1001/2/W1001</f>
        <v>36.25</v>
      </c>
      <c r="L1002" s="2167"/>
      <c r="M1002" s="2167"/>
      <c r="N1002" s="170"/>
      <c r="O1002" s="170"/>
      <c r="P1002" s="170"/>
      <c r="Q1002" s="170"/>
      <c r="R1002" s="170"/>
      <c r="S1002" s="170"/>
      <c r="T1002" s="170"/>
      <c r="U1002" s="170"/>
      <c r="V1002" s="170"/>
      <c r="W1002" s="170"/>
      <c r="X1002" s="170"/>
      <c r="Y1002" s="170"/>
      <c r="Z1002" s="170"/>
      <c r="AA1002" s="170"/>
      <c r="AB1002" s="170"/>
      <c r="AC1002" s="419"/>
      <c r="AE1002" s="143" t="s">
        <v>2462</v>
      </c>
      <c r="AF1002" s="143"/>
      <c r="AG1002" s="73" t="str">
        <f>IF(K1002&lt;=K1004,"λf  &lt;  λpf","λf  &gt;  λpf")</f>
        <v>λf  &gt;  λpf</v>
      </c>
      <c r="AS1002" s="1628" t="str">
        <f>IF(M986="Box Flange","Hide this row","")</f>
        <v>Hide this row</v>
      </c>
    </row>
    <row r="1003" spans="1:59" ht="15" customHeight="1">
      <c r="A1003" s="64"/>
      <c r="B1003" s="170"/>
      <c r="C1003" s="1540"/>
      <c r="D1003" s="1210"/>
      <c r="E1003" s="124" t="s">
        <v>2323</v>
      </c>
      <c r="F1003" s="170"/>
      <c r="G1003" s="649" t="s">
        <v>2742</v>
      </c>
      <c r="H1003" s="170"/>
      <c r="I1003" s="124" t="s">
        <v>324</v>
      </c>
      <c r="J1003" s="170"/>
      <c r="K1003" s="170" t="s">
        <v>2743</v>
      </c>
      <c r="L1003" s="1577"/>
      <c r="M1003" s="1577"/>
      <c r="N1003" s="170"/>
      <c r="O1003" s="170"/>
      <c r="P1003" s="124" t="s">
        <v>324</v>
      </c>
      <c r="Q1003" s="170" t="s">
        <v>2522</v>
      </c>
      <c r="R1003" s="170"/>
      <c r="S1003" s="170"/>
      <c r="T1003" s="170"/>
      <c r="U1003" s="2094">
        <f>AE504</f>
        <v>210000</v>
      </c>
      <c r="V1003" s="2094"/>
      <c r="W1003" s="2094"/>
      <c r="X1003" s="124" t="s">
        <v>2490</v>
      </c>
      <c r="Y1003" s="2096">
        <f>+AE509</f>
        <v>380</v>
      </c>
      <c r="Z1003" s="2096"/>
      <c r="AA1003" s="2096"/>
      <c r="AB1003" s="124" t="s">
        <v>2512</v>
      </c>
      <c r="AC1003" s="419"/>
      <c r="AD1003" s="143"/>
      <c r="AE1003" s="1561"/>
      <c r="AF1003" s="143"/>
      <c r="AG1003" s="1468" t="str">
        <f>IF(K1002&lt;=K1004,"(1)","(2)")</f>
        <v>(2)</v>
      </c>
      <c r="AI1003" s="1570" t="s">
        <v>2527</v>
      </c>
      <c r="AS1003" s="1628" t="str">
        <f>IF(M986="Box Flange","Hide this row","")</f>
        <v>Hide this row</v>
      </c>
    </row>
    <row r="1004" spans="1:59" ht="15" customHeight="1">
      <c r="A1004" s="64"/>
      <c r="B1004" s="170"/>
      <c r="C1004" s="1540"/>
      <c r="D1004" s="1448"/>
      <c r="E1004" s="1335"/>
      <c r="F1004" s="1333"/>
      <c r="G1004" s="1336"/>
      <c r="H1004" s="1333"/>
      <c r="I1004" s="1335" t="s">
        <v>324</v>
      </c>
      <c r="J1004" s="1333"/>
      <c r="K1004" s="2172">
        <f>0.38*SQRT(U1003/Y1003)</f>
        <v>8.9330845736509179</v>
      </c>
      <c r="L1004" s="2172"/>
      <c r="M1004" s="2172"/>
      <c r="N1004" s="1333"/>
      <c r="O1004" s="1333"/>
      <c r="P1004" s="1335"/>
      <c r="Q1004" s="1333"/>
      <c r="R1004" s="1333"/>
      <c r="S1004" s="1333"/>
      <c r="T1004" s="1333"/>
      <c r="U1004" s="1578"/>
      <c r="V1004" s="1578"/>
      <c r="W1004" s="1578"/>
      <c r="X1004" s="1335"/>
      <c r="Y1004" s="1563"/>
      <c r="Z1004" s="1563"/>
      <c r="AA1004" s="1563"/>
      <c r="AB1004" s="1335"/>
      <c r="AC1004" s="740"/>
      <c r="AE1004" s="143"/>
      <c r="AF1004" s="143"/>
      <c r="AS1004" s="1628" t="str">
        <f>IF(M986="Box Flange","Hide this row","")</f>
        <v>Hide this row</v>
      </c>
    </row>
    <row r="1005" spans="1:59" ht="15" customHeight="1">
      <c r="A1005" s="64"/>
      <c r="B1005" s="170"/>
      <c r="C1005" s="1540"/>
      <c r="D1005" s="170"/>
      <c r="E1005" s="124" t="s">
        <v>2323</v>
      </c>
      <c r="F1005" s="170"/>
      <c r="G1005" s="649" t="s">
        <v>2744</v>
      </c>
      <c r="H1005" s="170"/>
      <c r="I1005" s="124" t="s">
        <v>324</v>
      </c>
      <c r="J1005" s="170"/>
      <c r="K1005" s="170" t="s">
        <v>2745</v>
      </c>
      <c r="L1005" s="1577"/>
      <c r="M1005" s="1577"/>
      <c r="N1005" s="170"/>
      <c r="O1005" s="170"/>
      <c r="P1005" s="124" t="s">
        <v>324</v>
      </c>
      <c r="Q1005" s="170" t="s">
        <v>2523</v>
      </c>
      <c r="R1005" s="170"/>
      <c r="S1005" s="170"/>
      <c r="T1005" s="170"/>
      <c r="U1005" s="2094">
        <f>+U1003</f>
        <v>210000</v>
      </c>
      <c r="V1005" s="1862"/>
      <c r="W1005" s="1862"/>
      <c r="X1005" s="124" t="s">
        <v>2490</v>
      </c>
      <c r="Y1005" s="2096">
        <f>+Z1000</f>
        <v>266</v>
      </c>
      <c r="Z1005" s="2096"/>
      <c r="AA1005" s="2096"/>
      <c r="AB1005" s="124" t="s">
        <v>2512</v>
      </c>
      <c r="AC1005" s="170"/>
      <c r="AE1005" s="143"/>
      <c r="AF1005" s="143"/>
      <c r="AS1005" s="1628" t="str">
        <f>IF(M986="Box Flange","Hide this row","")</f>
        <v>Hide this row</v>
      </c>
    </row>
    <row r="1006" spans="1:59" ht="15" customHeight="1">
      <c r="A1006" s="64"/>
      <c r="B1006" s="170"/>
      <c r="C1006" s="1540"/>
      <c r="D1006" s="170"/>
      <c r="E1006" s="1540"/>
      <c r="F1006" s="170"/>
      <c r="G1006" s="170"/>
      <c r="H1006" s="170"/>
      <c r="I1006" s="1205" t="s">
        <v>324</v>
      </c>
      <c r="J1006" s="170"/>
      <c r="K1006" s="2167">
        <f>0.56*SQRT(U1005/Y1005)</f>
        <v>15.73464163457246</v>
      </c>
      <c r="L1006" s="2167"/>
      <c r="M1006" s="2167"/>
      <c r="N1006" s="170"/>
      <c r="O1006" s="170"/>
      <c r="P1006" s="170"/>
      <c r="Q1006" s="170"/>
      <c r="R1006" s="170"/>
      <c r="S1006" s="170"/>
      <c r="T1006" s="170"/>
      <c r="U1006" s="170"/>
      <c r="V1006" s="170"/>
      <c r="W1006" s="170"/>
      <c r="X1006" s="170"/>
      <c r="Y1006" s="170"/>
      <c r="Z1006" s="170"/>
      <c r="AA1006" s="170"/>
      <c r="AB1006" s="170"/>
      <c r="AC1006" s="170"/>
      <c r="AE1006" s="143"/>
      <c r="AF1006" s="143"/>
      <c r="AS1006" s="1628" t="str">
        <f>IF(M986="Box Flange","Hide this row","")</f>
        <v>Hide this row</v>
      </c>
    </row>
    <row r="1007" spans="1:59" ht="15" customHeight="1">
      <c r="A1007" s="64"/>
      <c r="B1007" s="170"/>
      <c r="C1007" s="1540"/>
      <c r="E1007" s="1540" t="s">
        <v>967</v>
      </c>
      <c r="F1007" s="170"/>
      <c r="H1007" s="170"/>
      <c r="I1007" s="1205" t="s">
        <v>324</v>
      </c>
      <c r="K1007" s="74" t="s">
        <v>2746</v>
      </c>
      <c r="L1007" s="143"/>
      <c r="P1007" s="138" t="s">
        <v>324</v>
      </c>
      <c r="Q1007" s="143" t="s">
        <v>2747</v>
      </c>
      <c r="S1007" s="2101">
        <f>+AJ981</f>
        <v>0.99954647746573022</v>
      </c>
      <c r="T1007" s="1938"/>
      <c r="U1007" s="1938"/>
      <c r="V1007" s="138" t="s">
        <v>2489</v>
      </c>
      <c r="W1007" s="2097">
        <f>+Y1003</f>
        <v>380</v>
      </c>
      <c r="X1007" s="1938"/>
      <c r="Y1007" s="1938"/>
      <c r="AB1007" s="143"/>
      <c r="AE1007" s="143"/>
      <c r="AF1007" s="143"/>
      <c r="AS1007" s="1628" t="str">
        <f>IF(M986="Box Flange","Hide this row",IF(AG1003="(2)","Hide this row",""))</f>
        <v>Hide this row</v>
      </c>
    </row>
    <row r="1008" spans="1:59" ht="15" customHeight="1">
      <c r="A1008" s="64"/>
      <c r="B1008" s="170"/>
      <c r="C1008" s="1540"/>
      <c r="E1008" s="1540"/>
      <c r="F1008" s="170"/>
      <c r="G1008" s="170"/>
      <c r="H1008" s="170"/>
      <c r="I1008" s="1205" t="s">
        <v>324</v>
      </c>
      <c r="K1008" s="2155">
        <f>+S1007*W1007</f>
        <v>379.82766143697751</v>
      </c>
      <c r="L1008" s="2155"/>
      <c r="M1008" s="2155"/>
      <c r="N1008" s="143" t="s">
        <v>2508</v>
      </c>
      <c r="AA1008" s="170"/>
      <c r="AC1008" s="170"/>
      <c r="AD1008" s="170"/>
      <c r="AF1008" s="143"/>
      <c r="AG1008" s="143"/>
      <c r="AH1008" s="143"/>
      <c r="AI1008" s="143"/>
      <c r="AJ1008" s="143"/>
      <c r="AK1008" s="143"/>
      <c r="AL1008" s="143"/>
      <c r="AM1008" s="143"/>
      <c r="AN1008" s="143"/>
      <c r="AO1008" s="143"/>
      <c r="AP1008" s="143"/>
      <c r="AQ1008" s="143"/>
      <c r="AS1008" s="1628" t="str">
        <f>IF(M986="Box Flange","Hide this row",IF(AG1003="(2)","Hide this row",""))</f>
        <v>Hide this row</v>
      </c>
    </row>
    <row r="1009" spans="1:73" ht="15" customHeight="1">
      <c r="A1009" s="64"/>
      <c r="B1009" s="170"/>
      <c r="C1009" s="1540"/>
      <c r="D1009" s="170"/>
      <c r="E1009" s="1540" t="s">
        <v>967</v>
      </c>
      <c r="F1009" s="170"/>
      <c r="H1009" s="170"/>
      <c r="I1009" s="1205" t="s">
        <v>324</v>
      </c>
      <c r="K1009" s="74" t="s">
        <v>2748</v>
      </c>
      <c r="L1009" s="143"/>
      <c r="Z1009" s="1284"/>
      <c r="AA1009" s="170"/>
      <c r="AB1009" s="1570"/>
      <c r="AC1009" s="170"/>
      <c r="AD1009" s="170"/>
      <c r="AF1009" s="143"/>
      <c r="AG1009" s="143"/>
      <c r="AH1009" s="143"/>
      <c r="AI1009" s="143"/>
      <c r="AJ1009" s="143"/>
      <c r="AK1009" s="143"/>
      <c r="AL1009" s="143"/>
      <c r="AM1009" s="143"/>
      <c r="AN1009" s="143"/>
      <c r="AO1009" s="143"/>
      <c r="AP1009" s="143"/>
      <c r="AQ1009" s="143"/>
      <c r="AS1009" s="1628" t="str">
        <f>IF(M986="Box Flange","Hide this row",IF(AG1003="(1)","Hide this row",""))</f>
        <v>Hide this row</v>
      </c>
    </row>
    <row r="1010" spans="1:73" ht="15" customHeight="1">
      <c r="A1010" s="64"/>
      <c r="B1010" s="170"/>
      <c r="C1010" s="1540"/>
      <c r="D1010" s="170"/>
      <c r="E1010" s="1540"/>
      <c r="F1010" s="170"/>
      <c r="G1010" s="170"/>
      <c r="H1010" s="170"/>
      <c r="I1010" s="1944" t="s">
        <v>324</v>
      </c>
      <c r="K1010" s="2136" t="s">
        <v>2608</v>
      </c>
      <c r="L1010" s="2136"/>
      <c r="M1010" s="2136"/>
      <c r="N1010" s="2136"/>
      <c r="O1010" s="2173">
        <f>+Z1000</f>
        <v>266</v>
      </c>
      <c r="P1010" s="2173"/>
      <c r="Q1010" s="2173"/>
      <c r="R1010" s="2173"/>
      <c r="S1010" s="2173"/>
      <c r="T1010" s="2173"/>
      <c r="U1010" s="2116" t="s">
        <v>2536</v>
      </c>
      <c r="V1010" s="2171">
        <f>+K1002</f>
        <v>36.25</v>
      </c>
      <c r="W1010" s="1940"/>
      <c r="X1010" s="1940"/>
      <c r="Y1010" s="1552" t="s">
        <v>2323</v>
      </c>
      <c r="Z1010" s="2164">
        <f>+K1004</f>
        <v>8.9330845736509179</v>
      </c>
      <c r="AA1010" s="2165"/>
      <c r="AB1010" s="2165"/>
      <c r="AC1010" s="2122" t="s">
        <v>2492</v>
      </c>
      <c r="AD1010" s="2111" t="s">
        <v>2614</v>
      </c>
      <c r="AE1010" s="2111"/>
      <c r="AF1010" s="2110">
        <f>+AJ981</f>
        <v>0.99954647746573022</v>
      </c>
      <c r="AG1010" s="2110"/>
      <c r="AH1010" s="2110"/>
      <c r="AI1010" s="2122" t="s">
        <v>2489</v>
      </c>
      <c r="AJ1010" s="2118">
        <f>+Y1003</f>
        <v>380</v>
      </c>
      <c r="AK1010" s="2111"/>
      <c r="AL1010" s="2111"/>
      <c r="AM1010" s="1241"/>
      <c r="AN1010" s="1570"/>
      <c r="AO1010" s="143"/>
      <c r="AP1010" s="143"/>
      <c r="AQ1010" s="143"/>
      <c r="AS1010" s="1628" t="str">
        <f>IF(M986="Box Flange","Hide this row",IF(AG1003="(1)","Hide this row",""))</f>
        <v>Hide this row</v>
      </c>
    </row>
    <row r="1011" spans="1:73" s="73" customFormat="1" ht="15" customHeight="1">
      <c r="A1011" s="64"/>
      <c r="B1011" s="170"/>
      <c r="D1011" s="170"/>
      <c r="F1011" s="170"/>
      <c r="I1011" s="1944"/>
      <c r="J1011" s="170"/>
      <c r="K1011" s="2136"/>
      <c r="L1011" s="2136"/>
      <c r="M1011" s="2136"/>
      <c r="N1011" s="2136"/>
      <c r="O1011" s="2170">
        <f>+AJ981</f>
        <v>0.99954647746573022</v>
      </c>
      <c r="P1011" s="2170"/>
      <c r="Q1011" s="1285" t="s">
        <v>2489</v>
      </c>
      <c r="R1011" s="2096">
        <f>+Y1003</f>
        <v>380</v>
      </c>
      <c r="S1011" s="1862"/>
      <c r="T1011" s="1862"/>
      <c r="U1011" s="2116"/>
      <c r="V1011" s="2119">
        <f>+K1006</f>
        <v>15.73464163457246</v>
      </c>
      <c r="W1011" s="2111"/>
      <c r="X1011" s="2111"/>
      <c r="Y1011" s="76" t="s">
        <v>2323</v>
      </c>
      <c r="Z1011" s="2119">
        <f>+K1004</f>
        <v>8.9330845736509179</v>
      </c>
      <c r="AA1011" s="2111"/>
      <c r="AB1011" s="2111"/>
      <c r="AC1011" s="2122"/>
      <c r="AD1011" s="2111"/>
      <c r="AE1011" s="2111"/>
      <c r="AF1011" s="2110"/>
      <c r="AG1011" s="2110"/>
      <c r="AH1011" s="2110"/>
      <c r="AI1011" s="2111"/>
      <c r="AJ1011" s="2111"/>
      <c r="AK1011" s="2111"/>
      <c r="AL1011" s="2111"/>
      <c r="AS1011" s="1628" t="str">
        <f>IF(M986="Box Flange","Hide this row",IF(AG1003="(1)","Hide this row",""))</f>
        <v>Hide this row</v>
      </c>
      <c r="AZ1011" s="143"/>
      <c r="BA1011" s="143"/>
      <c r="BB1011" s="143"/>
      <c r="BC1011" s="143"/>
      <c r="BD1011" s="143"/>
      <c r="BE1011" s="143"/>
      <c r="BF1011" s="143"/>
      <c r="BG1011" s="143"/>
      <c r="BH1011" s="143"/>
      <c r="BI1011" s="143"/>
      <c r="BJ1011" s="143"/>
      <c r="BK1011" s="143"/>
      <c r="BL1011" s="143"/>
      <c r="BM1011" s="143"/>
      <c r="BN1011" s="143"/>
      <c r="BO1011" s="143"/>
      <c r="BP1011" s="143"/>
      <c r="BQ1011" s="143"/>
      <c r="BR1011" s="143"/>
      <c r="BS1011" s="143"/>
      <c r="BT1011" s="143"/>
      <c r="BU1011" s="143"/>
    </row>
    <row r="1012" spans="1:73" s="73" customFormat="1" ht="15" customHeight="1">
      <c r="A1012" s="64"/>
      <c r="B1012" s="170"/>
      <c r="D1012" s="170"/>
      <c r="F1012" s="170"/>
      <c r="H1012" s="1540"/>
      <c r="I1012" s="2122" t="s">
        <v>324</v>
      </c>
      <c r="K1012" s="2124">
        <f>(1-(1-O1010/O1011/R1011)*(V1010-Z1010)/(V1011-Z1011))*AF1010*AJ1010</f>
        <v>-77.335392963938787</v>
      </c>
      <c r="L1012" s="2124"/>
      <c r="M1012" s="2124"/>
      <c r="N1012" s="2156" t="s">
        <v>1012</v>
      </c>
      <c r="O1012" s="2156"/>
      <c r="R1012" s="1470"/>
      <c r="S1012" s="1567"/>
      <c r="T1012" s="1471"/>
      <c r="U1012" s="1471"/>
      <c r="V1012" s="1471"/>
      <c r="W1012" s="1540"/>
      <c r="X1012" s="138"/>
      <c r="Y1012" s="1469"/>
      <c r="Z1012" s="1469"/>
      <c r="AA1012" s="1469"/>
      <c r="AC1012" s="143"/>
      <c r="AD1012" s="1561"/>
      <c r="AF1012" s="1561"/>
      <c r="AS1012" s="1628" t="str">
        <f>IF(M986="Box Flange","Hide this row",IF(AG1003="(1)","Hide this row",""))</f>
        <v>Hide this row</v>
      </c>
      <c r="AZ1012" s="143"/>
      <c r="BA1012" s="143"/>
      <c r="BB1012" s="143"/>
      <c r="BC1012" s="143"/>
      <c r="BD1012" s="143"/>
      <c r="BE1012" s="143"/>
      <c r="BF1012" s="143"/>
      <c r="BG1012" s="143"/>
      <c r="BH1012" s="143"/>
      <c r="BI1012" s="143"/>
      <c r="BJ1012" s="143"/>
      <c r="BK1012" s="143"/>
      <c r="BL1012" s="143"/>
      <c r="BM1012" s="143"/>
      <c r="BN1012" s="143"/>
      <c r="BO1012" s="143"/>
      <c r="BP1012" s="143"/>
      <c r="BQ1012" s="143"/>
      <c r="BR1012" s="143"/>
      <c r="BS1012" s="143"/>
      <c r="BT1012" s="143"/>
      <c r="BU1012" s="143"/>
    </row>
    <row r="1013" spans="1:73" s="73" customFormat="1" ht="15" customHeight="1">
      <c r="A1013" s="64"/>
      <c r="B1013" s="170"/>
      <c r="D1013" s="170"/>
      <c r="F1013" s="170"/>
      <c r="H1013" s="1540"/>
      <c r="I1013" s="2111"/>
      <c r="K1013" s="2124"/>
      <c r="L1013" s="2124"/>
      <c r="M1013" s="2124"/>
      <c r="N1013" s="2156"/>
      <c r="O1013" s="2156"/>
      <c r="AS1013" s="1628" t="str">
        <f>IF(M986="Box Flange","Hide this row",IF(AG1003="(1)","Hide this row",""))</f>
        <v>Hide this row</v>
      </c>
      <c r="AZ1013" s="143"/>
      <c r="BA1013" s="143"/>
      <c r="BB1013" s="143"/>
      <c r="BC1013" s="143"/>
      <c r="BD1013" s="143"/>
      <c r="BE1013" s="143"/>
      <c r="BF1013" s="143"/>
      <c r="BG1013" s="143"/>
      <c r="BH1013" s="143"/>
      <c r="BI1013" s="143"/>
      <c r="BJ1013" s="143"/>
      <c r="BK1013" s="143"/>
      <c r="BL1013" s="143"/>
      <c r="BM1013" s="143"/>
      <c r="BN1013" s="143"/>
      <c r="BO1013" s="143"/>
      <c r="BP1013" s="143"/>
      <c r="BQ1013" s="143"/>
      <c r="BR1013" s="143"/>
      <c r="BS1013" s="143"/>
      <c r="BT1013" s="143"/>
      <c r="BU1013" s="143"/>
    </row>
    <row r="1014" spans="1:73" ht="15" customHeight="1">
      <c r="B1014" s="170"/>
      <c r="C1014" s="143" t="s">
        <v>788</v>
      </c>
      <c r="E1014" s="1540" t="s">
        <v>969</v>
      </c>
      <c r="F1014" s="170"/>
      <c r="G1014" s="170"/>
      <c r="H1014" s="170"/>
      <c r="I1014" s="170"/>
      <c r="J1014" s="147"/>
      <c r="K1014" s="170"/>
      <c r="L1014" s="170"/>
      <c r="M1014" s="170"/>
      <c r="N1014" s="170"/>
      <c r="O1014" s="170"/>
      <c r="P1014" s="170"/>
      <c r="W1014" s="170"/>
      <c r="X1014" s="170"/>
      <c r="AD1014" s="143"/>
      <c r="AE1014" s="143"/>
      <c r="AF1014" s="143"/>
      <c r="AG1014" s="143"/>
      <c r="AN1014" s="170"/>
      <c r="AO1014" s="143"/>
      <c r="AR1014" s="170"/>
      <c r="AS1014" s="1628" t="str">
        <f>IF(M986="Box Flange","Hide this row","")</f>
        <v>Hide this row</v>
      </c>
      <c r="AT1014" s="170"/>
      <c r="AU1014" s="1539"/>
      <c r="AV1014" s="170"/>
      <c r="AW1014" s="1539"/>
      <c r="AX1014" s="170"/>
      <c r="AY1014" s="170"/>
      <c r="BF1014" s="73"/>
      <c r="BG1014" s="73"/>
    </row>
    <row r="1015" spans="1:73" s="73" customFormat="1" ht="15" customHeight="1">
      <c r="A1015" s="170"/>
      <c r="B1015" s="143"/>
      <c r="C1015" s="1540"/>
      <c r="D1015" s="421"/>
      <c r="E1015" s="1477" t="s">
        <v>2323</v>
      </c>
      <c r="F1015" s="1543"/>
      <c r="G1015" s="1543" t="s">
        <v>367</v>
      </c>
      <c r="H1015" s="93"/>
      <c r="I1015" s="1022" t="s">
        <v>324</v>
      </c>
      <c r="J1015" s="93"/>
      <c r="K1015" s="1932">
        <f>+K912</f>
        <v>5000</v>
      </c>
      <c r="L1015" s="1932"/>
      <c r="M1015" s="1932"/>
      <c r="N1015" s="94"/>
      <c r="O1015" s="94"/>
      <c r="P1015" s="94"/>
      <c r="Q1015" s="94"/>
      <c r="R1015" s="94"/>
      <c r="S1015" s="94"/>
      <c r="T1015" s="94"/>
      <c r="U1015" s="94"/>
      <c r="V1015" s="94"/>
      <c r="W1015" s="93"/>
      <c r="X1015" s="93"/>
      <c r="Y1015" s="1545"/>
      <c r="Z1015" s="93"/>
      <c r="AA1015" s="93"/>
      <c r="AB1015" s="94"/>
      <c r="AC1015" s="93"/>
      <c r="AD1015" s="1472"/>
      <c r="AE1015" s="94"/>
      <c r="AF1015" s="1473"/>
      <c r="AS1015" s="1628" t="str">
        <f>IF(M986="Box Flange","Hide this row","")</f>
        <v>Hide this row</v>
      </c>
      <c r="AZ1015" s="143"/>
      <c r="BA1015" s="143"/>
      <c r="BB1015" s="143"/>
      <c r="BC1015" s="143"/>
      <c r="BD1015" s="143"/>
      <c r="BE1015" s="143"/>
      <c r="BF1015" s="143"/>
      <c r="BG1015" s="143"/>
      <c r="BH1015" s="143"/>
      <c r="BI1015" s="143"/>
      <c r="BJ1015" s="143"/>
      <c r="BK1015" s="143"/>
      <c r="BL1015" s="143"/>
      <c r="BM1015" s="143"/>
      <c r="BN1015" s="143"/>
      <c r="BO1015" s="143"/>
      <c r="BP1015" s="143"/>
      <c r="BQ1015" s="143"/>
      <c r="BR1015" s="143"/>
      <c r="BS1015" s="143"/>
      <c r="BT1015" s="143"/>
      <c r="BU1015" s="143"/>
    </row>
    <row r="1016" spans="1:73" s="73" customFormat="1" ht="15" customHeight="1">
      <c r="A1016" s="170"/>
      <c r="B1016" s="143"/>
      <c r="C1016" s="1540"/>
      <c r="D1016" s="1210"/>
      <c r="E1016" s="1541" t="s">
        <v>2323</v>
      </c>
      <c r="F1016" s="1540"/>
      <c r="G1016" s="1540" t="s">
        <v>368</v>
      </c>
      <c r="H1016" s="170"/>
      <c r="I1016" s="124" t="s">
        <v>324</v>
      </c>
      <c r="J1016" s="170"/>
      <c r="K1016" s="1870">
        <f>+AA919</f>
        <v>11566.67550387948</v>
      </c>
      <c r="L1016" s="1870"/>
      <c r="M1016" s="1870"/>
      <c r="N1016" s="122"/>
      <c r="O1016" s="122"/>
      <c r="P1016" s="122"/>
      <c r="Q1016" s="122"/>
      <c r="R1016" s="122"/>
      <c r="S1016" s="122"/>
      <c r="T1016" s="122"/>
      <c r="U1016" s="122"/>
      <c r="V1016" s="122"/>
      <c r="W1016" s="122"/>
      <c r="X1016" s="122"/>
      <c r="Y1016" s="122"/>
      <c r="Z1016" s="122"/>
      <c r="AA1016" s="122"/>
      <c r="AB1016" s="122"/>
      <c r="AC1016" s="122"/>
      <c r="AD1016" s="122"/>
      <c r="AE1016" s="122"/>
      <c r="AF1016" s="1447"/>
      <c r="AH1016" s="73" t="s">
        <v>2462</v>
      </c>
      <c r="AJ1016" s="73" t="str">
        <f>+IF(K1015&lt;=K1016,"Lb &lt; Lp",IF(K1015&lt;K1018,"Lp &lt; Lb &lt; Lr","Lb &gt; Lr"))</f>
        <v>Lb &lt; Lp</v>
      </c>
      <c r="AK1016" s="1561"/>
      <c r="AS1016" s="1628" t="str">
        <f>IF(M986="Box Flange","Hide this row","")</f>
        <v>Hide this row</v>
      </c>
      <c r="AZ1016" s="143"/>
      <c r="BA1016" s="143"/>
      <c r="BB1016" s="143"/>
      <c r="BC1016" s="143"/>
      <c r="BD1016" s="143"/>
      <c r="BE1016" s="143"/>
      <c r="BF1016" s="143"/>
      <c r="BG1016" s="143"/>
      <c r="BH1016" s="143"/>
      <c r="BI1016" s="143"/>
      <c r="BJ1016" s="143"/>
      <c r="BK1016" s="143"/>
      <c r="BL1016" s="143"/>
      <c r="BM1016" s="143"/>
      <c r="BN1016" s="143"/>
      <c r="BO1016" s="143"/>
      <c r="BP1016" s="143"/>
      <c r="BQ1016" s="143"/>
      <c r="BR1016" s="143"/>
      <c r="BS1016" s="143"/>
      <c r="BT1016" s="143"/>
      <c r="BU1016" s="143"/>
    </row>
    <row r="1017" spans="1:73" s="73" customFormat="1" ht="15" customHeight="1">
      <c r="A1017" s="170"/>
      <c r="B1017" s="143"/>
      <c r="C1017" s="1540"/>
      <c r="D1017" s="1210"/>
      <c r="E1017" s="1541" t="s">
        <v>2323</v>
      </c>
      <c r="F1017" s="1540"/>
      <c r="G1017" s="1540" t="s">
        <v>968</v>
      </c>
      <c r="H1017" s="170"/>
      <c r="I1017" s="124" t="s">
        <v>324</v>
      </c>
      <c r="J1017" s="122"/>
      <c r="K1017" s="649" t="s">
        <v>2750</v>
      </c>
      <c r="L1017" s="122"/>
      <c r="M1017" s="122"/>
      <c r="N1017" s="122"/>
      <c r="O1017" s="74" t="s">
        <v>324</v>
      </c>
      <c r="P1017" s="122"/>
      <c r="Q1017" s="1474" t="s">
        <v>2751</v>
      </c>
      <c r="R1017" s="122"/>
      <c r="S1017" s="2143">
        <f>+K918</f>
        <v>492.02900243872256</v>
      </c>
      <c r="T1017" s="2143"/>
      <c r="U1017" s="2143"/>
      <c r="V1017" s="74" t="s">
        <v>2504</v>
      </c>
      <c r="W1017" s="170"/>
      <c r="X1017" s="2094">
        <f>+U1005</f>
        <v>210000</v>
      </c>
      <c r="Y1017" s="1862"/>
      <c r="Z1017" s="1862"/>
      <c r="AA1017" s="1862"/>
      <c r="AB1017" s="74" t="s">
        <v>2490</v>
      </c>
      <c r="AC1017" s="2096">
        <f>+Y1005</f>
        <v>266</v>
      </c>
      <c r="AD1017" s="1862"/>
      <c r="AE1017" s="1862"/>
      <c r="AF1017" s="1475" t="s">
        <v>2512</v>
      </c>
      <c r="AJ1017" s="1478" t="str">
        <f>+IF(K1015&lt;=K1016,"(1)",IF(K1015&lt;K1018,"(2)","(3)"))</f>
        <v>(1)</v>
      </c>
      <c r="AL1017" s="170" t="s">
        <v>2527</v>
      </c>
      <c r="AM1017" s="170"/>
      <c r="AN1017" s="170"/>
      <c r="AO1017" s="143"/>
      <c r="AS1017" s="1628" t="str">
        <f>IF(M986="Box Flange","Hide this row","")</f>
        <v>Hide this row</v>
      </c>
      <c r="AT1017" s="143"/>
      <c r="AU1017" s="143"/>
      <c r="AV1017" s="143"/>
      <c r="AW1017" s="143"/>
      <c r="AX1017" s="143"/>
      <c r="AY1017" s="143"/>
      <c r="AZ1017" s="143"/>
      <c r="BA1017" s="143"/>
      <c r="BB1017" s="143"/>
      <c r="BC1017" s="143"/>
      <c r="BD1017" s="143"/>
      <c r="BE1017" s="143"/>
      <c r="BF1017" s="143"/>
      <c r="BG1017" s="143"/>
      <c r="BH1017" s="143"/>
      <c r="BI1017" s="143"/>
      <c r="BJ1017" s="143"/>
      <c r="BK1017" s="143"/>
      <c r="BL1017" s="143"/>
      <c r="BM1017" s="143"/>
      <c r="BN1017" s="143"/>
      <c r="BO1017" s="143"/>
      <c r="BP1017" s="143"/>
      <c r="BQ1017" s="143"/>
      <c r="BR1017" s="143"/>
      <c r="BS1017" s="143"/>
      <c r="BT1017" s="143"/>
      <c r="BU1017" s="143"/>
    </row>
    <row r="1018" spans="1:73" s="73" customFormat="1" ht="15" customHeight="1">
      <c r="A1018" s="170"/>
      <c r="B1018" s="143"/>
      <c r="C1018" s="1540"/>
      <c r="D1018" s="1448"/>
      <c r="E1018" s="1333"/>
      <c r="F1018" s="1333"/>
      <c r="G1018" s="1333"/>
      <c r="H1018" s="1333"/>
      <c r="I1018" s="1335" t="s">
        <v>324</v>
      </c>
      <c r="J1018" s="1437"/>
      <c r="K1018" s="2130">
        <f>+PI()*S1017*SQRT(X1017/AC1017)</f>
        <v>43431.957589723366</v>
      </c>
      <c r="L1018" s="2130"/>
      <c r="M1018" s="2130"/>
      <c r="N1018" s="1437"/>
      <c r="O1018" s="1437"/>
      <c r="P1018" s="1437"/>
      <c r="Q1018" s="1335"/>
      <c r="R1018" s="1554"/>
      <c r="S1018" s="1554"/>
      <c r="T1018" s="1554"/>
      <c r="U1018" s="1437"/>
      <c r="V1018" s="1437"/>
      <c r="W1018" s="1333"/>
      <c r="X1018" s="1333"/>
      <c r="Y1018" s="1554"/>
      <c r="Z1018" s="1333"/>
      <c r="AA1018" s="1437"/>
      <c r="AB1018" s="1437"/>
      <c r="AC1018" s="1437"/>
      <c r="AD1018" s="1437"/>
      <c r="AE1018" s="1437"/>
      <c r="AF1018" s="1449"/>
      <c r="AS1018" s="1628" t="str">
        <f>IF(M986="Box Flange","Hide this row","")</f>
        <v>Hide this row</v>
      </c>
      <c r="AT1018" s="143"/>
      <c r="AU1018" s="143"/>
      <c r="AV1018" s="143"/>
      <c r="AW1018" s="143"/>
      <c r="AX1018" s="143"/>
      <c r="AY1018" s="143"/>
      <c r="AZ1018" s="143"/>
      <c r="BA1018" s="143"/>
      <c r="BB1018" s="143"/>
      <c r="BC1018" s="143"/>
      <c r="BD1018" s="143"/>
      <c r="BE1018" s="143"/>
      <c r="BF1018" s="143"/>
      <c r="BG1018" s="143"/>
      <c r="BH1018" s="143"/>
      <c r="BI1018" s="143"/>
      <c r="BJ1018" s="143"/>
      <c r="BK1018" s="143"/>
      <c r="BL1018" s="143"/>
      <c r="BM1018" s="143"/>
      <c r="BN1018" s="143"/>
      <c r="BO1018" s="143"/>
      <c r="BP1018" s="143"/>
      <c r="BQ1018" s="143"/>
      <c r="BR1018" s="143"/>
      <c r="BS1018" s="143"/>
      <c r="BT1018" s="143"/>
      <c r="BU1018" s="143"/>
    </row>
    <row r="1019" spans="1:73" s="73" customFormat="1" ht="15" customHeight="1">
      <c r="A1019" s="170"/>
      <c r="B1019" s="143"/>
      <c r="C1019" s="1540"/>
      <c r="E1019" s="170"/>
      <c r="F1019" s="143"/>
      <c r="G1019" s="170"/>
      <c r="H1019" s="170"/>
      <c r="I1019" s="138"/>
      <c r="K1019" s="649"/>
      <c r="Q1019" s="138"/>
      <c r="R1019" s="1539"/>
      <c r="S1019" s="1539"/>
      <c r="T1019" s="1539"/>
      <c r="W1019" s="170"/>
      <c r="X1019" s="170"/>
      <c r="Y1019" s="1539"/>
      <c r="Z1019" s="170"/>
      <c r="AA1019" s="170"/>
      <c r="AC1019" s="143"/>
      <c r="AD1019" s="1561"/>
      <c r="AF1019" s="1561"/>
      <c r="AS1019" s="1628" t="str">
        <f>IF(M986="Box Flange","Hide this row","")</f>
        <v>Hide this row</v>
      </c>
      <c r="AT1019" s="143"/>
      <c r="AU1019" s="143"/>
      <c r="AV1019" s="143"/>
      <c r="AW1019" s="143"/>
      <c r="AX1019" s="143"/>
      <c r="AY1019" s="143"/>
      <c r="AZ1019" s="143"/>
      <c r="BA1019" s="143"/>
      <c r="BB1019" s="143"/>
      <c r="BC1019" s="143"/>
      <c r="BD1019" s="143"/>
      <c r="BE1019" s="143"/>
      <c r="BF1019" s="143"/>
      <c r="BG1019" s="143"/>
      <c r="BH1019" s="143"/>
      <c r="BI1019" s="143"/>
      <c r="BJ1019" s="143"/>
      <c r="BK1019" s="143"/>
      <c r="BL1019" s="143"/>
      <c r="BM1019" s="143"/>
      <c r="BN1019" s="143"/>
      <c r="BO1019" s="143"/>
      <c r="BP1019" s="143"/>
      <c r="BQ1019" s="143"/>
      <c r="BR1019" s="143"/>
      <c r="BS1019" s="143"/>
      <c r="BT1019" s="143"/>
      <c r="BU1019" s="143"/>
    </row>
    <row r="1020" spans="1:73" s="73" customFormat="1" ht="15" customHeight="1">
      <c r="A1020" s="170"/>
      <c r="B1020" s="143"/>
      <c r="C1020" s="1540"/>
      <c r="D1020" s="170"/>
      <c r="E1020" s="1540" t="s">
        <v>973</v>
      </c>
      <c r="G1020" s="170"/>
      <c r="H1020" s="170"/>
      <c r="I1020" s="124" t="s">
        <v>324</v>
      </c>
      <c r="K1020" s="73" t="s">
        <v>2746</v>
      </c>
      <c r="O1020" s="76" t="s">
        <v>324</v>
      </c>
      <c r="P1020" s="73" t="s">
        <v>2753</v>
      </c>
      <c r="S1020" s="2110">
        <f>+AJ981</f>
        <v>0.99954647746573022</v>
      </c>
      <c r="T1020" s="2111"/>
      <c r="U1020" s="2111"/>
      <c r="V1020" s="76" t="s">
        <v>2489</v>
      </c>
      <c r="W1020" s="2118">
        <f>+W1007</f>
        <v>380</v>
      </c>
      <c r="X1020" s="2111"/>
      <c r="Y1020" s="2111"/>
      <c r="AA1020" s="170"/>
      <c r="AB1020" s="170"/>
      <c r="AC1020" s="170"/>
      <c r="AD1020" s="170"/>
      <c r="AE1020" s="170"/>
      <c r="AF1020" s="170"/>
      <c r="AG1020" s="170"/>
      <c r="AS1020" s="1628" t="str">
        <f>IF(M986="Box Flange","Hide this row",IF(AJ1017&lt;&gt;"(1)","Hide this row",""))</f>
        <v>Hide this row</v>
      </c>
      <c r="AT1020" s="143"/>
      <c r="AU1020" s="143"/>
      <c r="AV1020" s="143"/>
      <c r="AW1020" s="143"/>
      <c r="AX1020" s="143"/>
      <c r="AY1020" s="143"/>
      <c r="AZ1020" s="143"/>
      <c r="BA1020" s="143"/>
      <c r="BB1020" s="143"/>
      <c r="BC1020" s="143"/>
      <c r="BD1020" s="143"/>
      <c r="BE1020" s="143"/>
      <c r="BF1020" s="143"/>
      <c r="BG1020" s="143"/>
      <c r="BH1020" s="143"/>
      <c r="BI1020" s="143"/>
      <c r="BJ1020" s="143"/>
      <c r="BK1020" s="143"/>
      <c r="BL1020" s="143"/>
      <c r="BM1020" s="143"/>
      <c r="BN1020" s="143"/>
      <c r="BO1020" s="143"/>
      <c r="BP1020" s="143"/>
      <c r="BQ1020" s="143"/>
      <c r="BR1020" s="143"/>
      <c r="BS1020" s="143"/>
      <c r="BT1020" s="143"/>
      <c r="BU1020" s="143"/>
    </row>
    <row r="1021" spans="1:73" s="73" customFormat="1" ht="15" customHeight="1">
      <c r="A1021" s="170"/>
      <c r="B1021" s="143"/>
      <c r="C1021" s="1540"/>
      <c r="D1021" s="170"/>
      <c r="E1021" s="1540"/>
      <c r="G1021" s="170"/>
      <c r="H1021" s="170"/>
      <c r="I1021" s="124" t="s">
        <v>324</v>
      </c>
      <c r="K1021" s="2124">
        <f>+S1020*W1020</f>
        <v>379.82766143697751</v>
      </c>
      <c r="L1021" s="2124"/>
      <c r="M1021" s="2124"/>
      <c r="N1021" s="73" t="s">
        <v>2508</v>
      </c>
      <c r="O1021" s="76"/>
      <c r="S1021" s="1560"/>
      <c r="T1021" s="1561"/>
      <c r="U1021" s="1561"/>
      <c r="V1021" s="76"/>
      <c r="W1021" s="1568"/>
      <c r="X1021" s="1561"/>
      <c r="Y1021" s="1561"/>
      <c r="AA1021" s="170"/>
      <c r="AB1021" s="170"/>
      <c r="AC1021" s="170"/>
      <c r="AD1021" s="170"/>
      <c r="AE1021" s="170"/>
      <c r="AF1021" s="170"/>
      <c r="AG1021" s="170"/>
      <c r="AS1021" s="1628" t="str">
        <f>IF(M986="Box Flange","Hide this row",IF(AJ1017&lt;&gt;"(1)","Hide this row",""))</f>
        <v>Hide this row</v>
      </c>
      <c r="AT1021" s="143"/>
      <c r="AU1021" s="143"/>
      <c r="AV1021" s="143"/>
      <c r="AW1021" s="143"/>
      <c r="AX1021" s="143"/>
      <c r="AY1021" s="143"/>
      <c r="AZ1021" s="143"/>
      <c r="BA1021" s="143"/>
      <c r="BB1021" s="143"/>
      <c r="BC1021" s="143"/>
      <c r="BD1021" s="143"/>
      <c r="BE1021" s="143"/>
      <c r="BF1021" s="143"/>
      <c r="BG1021" s="143"/>
      <c r="BH1021" s="143"/>
      <c r="BI1021" s="143"/>
      <c r="BJ1021" s="143"/>
      <c r="BK1021" s="143"/>
      <c r="BL1021" s="143"/>
      <c r="BM1021" s="143"/>
      <c r="BN1021" s="143"/>
      <c r="BO1021" s="143"/>
      <c r="BP1021" s="143"/>
      <c r="BQ1021" s="143"/>
      <c r="BR1021" s="143"/>
      <c r="BS1021" s="143"/>
      <c r="BT1021" s="143"/>
      <c r="BU1021" s="143"/>
    </row>
    <row r="1022" spans="1:73" s="73" customFormat="1" ht="15" customHeight="1">
      <c r="A1022" s="170"/>
      <c r="B1022" s="143"/>
      <c r="C1022" s="1540"/>
      <c r="D1022" s="170"/>
      <c r="E1022" s="1540" t="s">
        <v>973</v>
      </c>
      <c r="G1022" s="170"/>
      <c r="H1022" s="170"/>
      <c r="I1022" s="124" t="s">
        <v>324</v>
      </c>
      <c r="K1022" s="1579" t="s">
        <v>2754</v>
      </c>
      <c r="L1022" s="1572"/>
      <c r="M1022" s="1572"/>
      <c r="O1022" s="76"/>
      <c r="S1022" s="1560"/>
      <c r="T1022" s="1561"/>
      <c r="U1022" s="1561"/>
      <c r="V1022" s="76"/>
      <c r="W1022" s="1568"/>
      <c r="X1022" s="1561"/>
      <c r="Y1022" s="1561"/>
      <c r="AA1022" s="170"/>
      <c r="AB1022" s="170"/>
      <c r="AC1022" s="170"/>
      <c r="AD1022" s="170"/>
      <c r="AE1022" s="170"/>
      <c r="AF1022" s="170"/>
      <c r="AG1022" s="170"/>
      <c r="AS1022" s="1628" t="str">
        <f>IF(M986="Box Flange","Hide this row",IF(AJ1017&lt;&gt;"(2)","Hide this row",""))</f>
        <v>Hide this row</v>
      </c>
      <c r="AT1022" s="143"/>
      <c r="AU1022" s="143"/>
      <c r="AV1022" s="143"/>
      <c r="AW1022" s="143"/>
      <c r="AX1022" s="143"/>
      <c r="AY1022" s="143"/>
      <c r="AZ1022" s="143"/>
      <c r="BA1022" s="143"/>
      <c r="BB1022" s="143"/>
      <c r="BC1022" s="143"/>
      <c r="BD1022" s="143"/>
      <c r="BE1022" s="143"/>
      <c r="BF1022" s="143"/>
      <c r="BG1022" s="143"/>
      <c r="BH1022" s="143"/>
      <c r="BI1022" s="143"/>
      <c r="BJ1022" s="143"/>
      <c r="BK1022" s="143"/>
      <c r="BL1022" s="143"/>
      <c r="BM1022" s="143"/>
      <c r="BN1022" s="143"/>
      <c r="BO1022" s="143"/>
      <c r="BP1022" s="143"/>
      <c r="BQ1022" s="143"/>
      <c r="BR1022" s="143"/>
      <c r="BS1022" s="143"/>
      <c r="BT1022" s="143"/>
      <c r="BU1022" s="143"/>
    </row>
    <row r="1023" spans="1:73" s="73" customFormat="1" ht="15" customHeight="1">
      <c r="A1023" s="170"/>
      <c r="B1023" s="143"/>
      <c r="C1023" s="1540"/>
      <c r="D1023" s="170"/>
      <c r="E1023" s="1540"/>
      <c r="G1023" s="170"/>
      <c r="H1023" s="170"/>
      <c r="I1023" s="1944" t="s">
        <v>324</v>
      </c>
      <c r="K1023" s="1862">
        <v>1</v>
      </c>
      <c r="L1023" s="1944" t="s">
        <v>2532</v>
      </c>
      <c r="M1023" s="1862">
        <v>1</v>
      </c>
      <c r="N1023" s="1944" t="s">
        <v>2533</v>
      </c>
      <c r="O1023" s="1862">
        <v>1</v>
      </c>
      <c r="P1023" s="1944" t="s">
        <v>2323</v>
      </c>
      <c r="Q1023" s="2105">
        <f>+Z1000</f>
        <v>266</v>
      </c>
      <c r="R1023" s="2105"/>
      <c r="S1023" s="2105"/>
      <c r="T1023" s="2105"/>
      <c r="U1023" s="2105"/>
      <c r="V1023" s="1944" t="s">
        <v>2536</v>
      </c>
      <c r="W1023" s="2180">
        <f>+K1015</f>
        <v>5000</v>
      </c>
      <c r="X1023" s="2180"/>
      <c r="Y1023" s="2180"/>
      <c r="Z1023" s="1330" t="s">
        <v>2323</v>
      </c>
      <c r="AA1023" s="2180">
        <f>+K1016</f>
        <v>11566.67550387948</v>
      </c>
      <c r="AB1023" s="2180"/>
      <c r="AC1023" s="2180"/>
      <c r="AD1023" s="2179" t="s">
        <v>2538</v>
      </c>
      <c r="AE1023" s="2143">
        <v>1</v>
      </c>
      <c r="AF1023" s="2179" t="s">
        <v>2489</v>
      </c>
      <c r="AG1023" s="2144">
        <f>+AJ981</f>
        <v>0.99954647746573022</v>
      </c>
      <c r="AH1023" s="2144"/>
      <c r="AI1023" s="2144"/>
      <c r="AJ1023" s="2179" t="s">
        <v>2489</v>
      </c>
      <c r="AK1023" s="2181">
        <f>+Y1003</f>
        <v>380</v>
      </c>
      <c r="AL1023" s="2181"/>
      <c r="AM1023" s="2179" t="s">
        <v>324</v>
      </c>
      <c r="AN1023" s="2141">
        <f>+(1 - (1 - Q1023/Q1024/T1024)*(W1023-AA1023)/(W1024-AA1024))*AG1023*AK1023</f>
        <v>403.28483071633406</v>
      </c>
      <c r="AO1023" s="2141"/>
      <c r="AP1023" s="2141"/>
      <c r="AQ1023" s="2136" t="s">
        <v>1012</v>
      </c>
      <c r="AR1023" s="2136"/>
      <c r="AS1023" s="1628" t="str">
        <f>IF(M986="Box Flange","Hide this row",IF(AJ1017&lt;&gt;"(2)","Hide this row",""))</f>
        <v>Hide this row</v>
      </c>
      <c r="AT1023" s="143"/>
      <c r="AU1023" s="143"/>
      <c r="AV1023" s="143"/>
      <c r="AW1023" s="143"/>
      <c r="AX1023" s="143"/>
      <c r="AY1023" s="143"/>
      <c r="AZ1023" s="143"/>
      <c r="BA1023" s="143"/>
      <c r="BB1023" s="143"/>
      <c r="BC1023" s="143"/>
      <c r="BD1023" s="143"/>
      <c r="BE1023" s="143"/>
      <c r="BF1023" s="143"/>
      <c r="BG1023" s="143"/>
      <c r="BH1023" s="143"/>
      <c r="BI1023" s="143"/>
      <c r="BJ1023" s="143"/>
      <c r="BK1023" s="143"/>
      <c r="BL1023" s="143"/>
      <c r="BM1023" s="143"/>
      <c r="BN1023" s="143"/>
      <c r="BO1023" s="143"/>
      <c r="BP1023" s="143"/>
      <c r="BQ1023" s="143"/>
      <c r="BR1023" s="143"/>
      <c r="BS1023" s="143"/>
      <c r="BT1023" s="143"/>
      <c r="BU1023" s="143"/>
    </row>
    <row r="1024" spans="1:73" s="73" customFormat="1" ht="15" customHeight="1">
      <c r="A1024" s="1286"/>
      <c r="B1024" s="170"/>
      <c r="C1024" s="1540"/>
      <c r="D1024" s="122"/>
      <c r="E1024" s="1540"/>
      <c r="F1024" s="170"/>
      <c r="G1024" s="100"/>
      <c r="H1024" s="124"/>
      <c r="I1024" s="1944"/>
      <c r="K1024" s="1862"/>
      <c r="L1024" s="1944"/>
      <c r="M1024" s="1862"/>
      <c r="N1024" s="1944"/>
      <c r="O1024" s="1862"/>
      <c r="P1024" s="1944"/>
      <c r="Q1024" s="2203">
        <f>+AJ981</f>
        <v>0.99954647746573022</v>
      </c>
      <c r="R1024" s="2203"/>
      <c r="S1024" s="74" t="s">
        <v>2489</v>
      </c>
      <c r="T1024" s="2181">
        <f>+Y1003</f>
        <v>380</v>
      </c>
      <c r="U1024" s="2181"/>
      <c r="V1024" s="1944"/>
      <c r="W1024" s="2094">
        <f>+K1018</f>
        <v>43431.957589723366</v>
      </c>
      <c r="X1024" s="2094"/>
      <c r="Y1024" s="2094"/>
      <c r="Z1024" s="1328" t="s">
        <v>2323</v>
      </c>
      <c r="AA1024" s="2094">
        <f>+K1016</f>
        <v>11566.67550387948</v>
      </c>
      <c r="AB1024" s="2094"/>
      <c r="AC1024" s="2094"/>
      <c r="AD1024" s="2179"/>
      <c r="AE1024" s="2143"/>
      <c r="AF1024" s="2179"/>
      <c r="AG1024" s="2144"/>
      <c r="AH1024" s="2144"/>
      <c r="AI1024" s="2144"/>
      <c r="AJ1024" s="2143"/>
      <c r="AK1024" s="2181"/>
      <c r="AL1024" s="2181"/>
      <c r="AM1024" s="2143"/>
      <c r="AN1024" s="2141"/>
      <c r="AO1024" s="2141"/>
      <c r="AP1024" s="2141"/>
      <c r="AQ1024" s="2136"/>
      <c r="AR1024" s="2136"/>
      <c r="AS1024" s="1628" t="str">
        <f>IF(M986="Box Flange","Hide this row",IF(AJ1017&lt;&gt;"(2)","Hide this row",""))</f>
        <v>Hide this row</v>
      </c>
      <c r="AT1024" s="143"/>
      <c r="AU1024" s="143"/>
      <c r="AV1024" s="143"/>
      <c r="AW1024" s="143"/>
      <c r="AX1024" s="143"/>
      <c r="AY1024" s="143"/>
      <c r="AZ1024" s="143"/>
      <c r="BA1024" s="143"/>
      <c r="BB1024" s="143"/>
      <c r="BC1024" s="143"/>
      <c r="BD1024" s="143"/>
      <c r="BE1024" s="143"/>
      <c r="BF1024" s="143"/>
      <c r="BG1024" s="143"/>
      <c r="BH1024" s="143"/>
      <c r="BI1024" s="143"/>
      <c r="BJ1024" s="143"/>
      <c r="BK1024" s="143"/>
      <c r="BL1024" s="143"/>
      <c r="BM1024" s="143"/>
      <c r="BN1024" s="143"/>
      <c r="BO1024" s="143"/>
      <c r="BP1024" s="143"/>
      <c r="BQ1024" s="143"/>
      <c r="BR1024" s="143"/>
      <c r="BS1024" s="143"/>
      <c r="BT1024" s="143"/>
      <c r="BU1024" s="143"/>
    </row>
    <row r="1025" spans="1:73" s="73" customFormat="1" ht="15" customHeight="1">
      <c r="A1025" s="1286"/>
      <c r="B1025" s="170"/>
      <c r="C1025" s="122"/>
      <c r="D1025" s="122"/>
      <c r="E1025" s="1540"/>
      <c r="F1025" s="170"/>
      <c r="G1025" s="115"/>
      <c r="H1025" s="115"/>
      <c r="I1025" s="741" t="s">
        <v>324</v>
      </c>
      <c r="K1025" s="2124">
        <f>MIN(AN1023,AN1025)</f>
        <v>379.82766143697751</v>
      </c>
      <c r="L1025" s="2124"/>
      <c r="M1025" s="2124"/>
      <c r="N1025" s="73" t="s">
        <v>1012</v>
      </c>
      <c r="AM1025" s="122" t="str">
        <f>IF(AN1023&lt;=AN1025,"&lt;","&gt;")</f>
        <v>&gt;</v>
      </c>
      <c r="AN1025" s="2143">
        <f>+K1021</f>
        <v>379.82766143697751</v>
      </c>
      <c r="AO1025" s="2143"/>
      <c r="AP1025" s="2143"/>
      <c r="AQ1025" s="73" t="s">
        <v>2508</v>
      </c>
      <c r="AS1025" s="1628" t="str">
        <f>IF(M986="Box Flange","Hide this row",IF(AJ1017&lt;&gt;"(2)","Hide this row",""))</f>
        <v>Hide this row</v>
      </c>
      <c r="AT1025" s="135"/>
      <c r="AU1025" s="135"/>
      <c r="AV1025" s="143"/>
      <c r="AW1025" s="143"/>
      <c r="AX1025" s="143"/>
      <c r="AY1025" s="143"/>
      <c r="AZ1025" s="143"/>
      <c r="BA1025" s="143"/>
      <c r="BB1025" s="143"/>
      <c r="BC1025" s="143"/>
      <c r="BD1025" s="143"/>
      <c r="BE1025" s="143"/>
      <c r="BF1025" s="143"/>
      <c r="BG1025" s="143"/>
      <c r="BH1025" s="143"/>
      <c r="BI1025" s="143"/>
      <c r="BJ1025" s="143"/>
      <c r="BK1025" s="143"/>
      <c r="BL1025" s="143"/>
      <c r="BM1025" s="143"/>
      <c r="BN1025" s="143"/>
      <c r="BO1025" s="143"/>
      <c r="BP1025" s="143"/>
      <c r="BQ1025" s="143"/>
      <c r="BR1025" s="143"/>
      <c r="BS1025" s="143"/>
      <c r="BT1025" s="143"/>
      <c r="BU1025" s="143"/>
    </row>
    <row r="1026" spans="1:73" s="73" customFormat="1" ht="15" customHeight="1">
      <c r="A1026" s="1286"/>
      <c r="B1026" s="170"/>
      <c r="C1026" s="1540"/>
      <c r="D1026" s="170"/>
      <c r="E1026" s="1540" t="s">
        <v>973</v>
      </c>
      <c r="F1026" s="170"/>
      <c r="G1026" s="115"/>
      <c r="H1026" s="115"/>
      <c r="I1026" s="741" t="s">
        <v>324</v>
      </c>
      <c r="J1026" s="741"/>
      <c r="K1026" s="53" t="s">
        <v>2755</v>
      </c>
      <c r="L1026" s="53"/>
      <c r="M1026" s="53"/>
      <c r="AR1026" s="122"/>
      <c r="AS1026" s="1628" t="str">
        <f>IF(M986="Box Flange","Hide this row",IF(AJ1017&lt;&gt;"(3)","Hide this row",""))</f>
        <v>Hide this row</v>
      </c>
      <c r="AT1026" s="143"/>
      <c r="AU1026" s="143"/>
      <c r="AV1026" s="143"/>
      <c r="AW1026" s="143"/>
      <c r="AX1026" s="143"/>
      <c r="AY1026" s="143"/>
      <c r="AZ1026" s="143"/>
      <c r="BA1026" s="143"/>
      <c r="BB1026" s="143"/>
      <c r="BC1026" s="143"/>
      <c r="BD1026" s="143"/>
      <c r="BE1026" s="143"/>
      <c r="BF1026" s="143"/>
      <c r="BG1026" s="143"/>
      <c r="BH1026" s="143"/>
      <c r="BI1026" s="143"/>
      <c r="BJ1026" s="143"/>
      <c r="BK1026" s="143"/>
      <c r="BL1026" s="143"/>
      <c r="BM1026" s="143"/>
      <c r="BN1026" s="143"/>
      <c r="BO1026" s="143"/>
      <c r="BP1026" s="143"/>
      <c r="BQ1026" s="143"/>
      <c r="BR1026" s="143"/>
      <c r="BS1026" s="143"/>
      <c r="BT1026" s="143"/>
      <c r="BU1026" s="143"/>
    </row>
    <row r="1027" spans="1:73" s="73" customFormat="1" ht="15" customHeight="1">
      <c r="A1027" s="1286"/>
      <c r="B1027" s="170"/>
      <c r="C1027" s="1540"/>
      <c r="D1027" s="170"/>
      <c r="E1027" s="170"/>
      <c r="F1027" s="170"/>
      <c r="G1027" s="100"/>
      <c r="H1027" s="170"/>
      <c r="I1027" s="1944" t="s">
        <v>324</v>
      </c>
      <c r="J1027" s="122"/>
      <c r="K1027" s="1554" t="s">
        <v>2614</v>
      </c>
      <c r="L1027" s="1333"/>
      <c r="M1027" s="2183">
        <f>+AJ981</f>
        <v>0.99954647746573022</v>
      </c>
      <c r="N1027" s="2090"/>
      <c r="O1027" s="2090"/>
      <c r="P1027" s="1335" t="s">
        <v>2489</v>
      </c>
      <c r="Q1027" s="1336" t="s">
        <v>2628</v>
      </c>
      <c r="R1027" s="1335" t="s">
        <v>2489</v>
      </c>
      <c r="S1027" s="2104">
        <f>+AE504</f>
        <v>210000</v>
      </c>
      <c r="T1027" s="2104"/>
      <c r="U1027" s="2104"/>
      <c r="V1027" s="2104"/>
      <c r="W1027" s="122"/>
      <c r="X1027" s="1944" t="s">
        <v>324</v>
      </c>
      <c r="Y1027" s="2093">
        <f>+M1027*PI()^2 *S1027/(M1028/K918)^2</f>
        <v>20061.501291320979</v>
      </c>
      <c r="Z1027" s="2093"/>
      <c r="AA1027" s="2093"/>
      <c r="AB1027" s="2093"/>
      <c r="AC1027" s="1862" t="str">
        <f>IF(Y1027&lt;=AE1027,"&lt;","&gt;")</f>
        <v>&gt;</v>
      </c>
      <c r="AD1027" s="1584"/>
      <c r="AE1027" s="2143">
        <f>+K1021</f>
        <v>379.82766143697751</v>
      </c>
      <c r="AF1027" s="2143"/>
      <c r="AG1027" s="2143"/>
      <c r="AR1027" s="122"/>
      <c r="AS1027" s="1628" t="str">
        <f>IF(M986="Box Flange","Hide this row",IF(AJ1017&lt;&gt;"(3)","Hide this row",""))</f>
        <v>Hide this row</v>
      </c>
      <c r="AT1027" s="143"/>
      <c r="AU1027" s="143"/>
      <c r="AV1027" s="143"/>
      <c r="AW1027" s="143"/>
      <c r="AX1027" s="143"/>
      <c r="AY1027" s="143"/>
      <c r="AZ1027" s="143"/>
      <c r="BA1027" s="143"/>
      <c r="BB1027" s="143"/>
      <c r="BC1027" s="143"/>
      <c r="BD1027" s="143"/>
      <c r="BE1027" s="143"/>
      <c r="BF1027" s="143"/>
      <c r="BG1027" s="143"/>
      <c r="BH1027" s="143"/>
      <c r="BI1027" s="143"/>
      <c r="BJ1027" s="143"/>
      <c r="BK1027" s="143"/>
      <c r="BL1027" s="143"/>
      <c r="BM1027" s="143"/>
      <c r="BN1027" s="143"/>
      <c r="BO1027" s="143"/>
      <c r="BP1027" s="143"/>
      <c r="BQ1027" s="143"/>
      <c r="BR1027" s="143"/>
      <c r="BS1027" s="143"/>
      <c r="BT1027" s="143"/>
      <c r="BU1027" s="143"/>
    </row>
    <row r="1028" spans="1:73" s="73" customFormat="1" ht="15" customHeight="1">
      <c r="A1028" s="1286"/>
      <c r="B1028" s="170"/>
      <c r="C1028" s="1540"/>
      <c r="D1028" s="170"/>
      <c r="E1028" s="170"/>
      <c r="F1028" s="170"/>
      <c r="G1028" s="100"/>
      <c r="H1028" s="170"/>
      <c r="I1028" s="1944"/>
      <c r="K1028" s="1539"/>
      <c r="L1028" s="124" t="s">
        <v>2506</v>
      </c>
      <c r="M1028" s="1862">
        <f>+K1015</f>
        <v>5000</v>
      </c>
      <c r="N1028" s="1862"/>
      <c r="O1028" s="1862"/>
      <c r="P1028" s="124" t="s">
        <v>2490</v>
      </c>
      <c r="Q1028" s="1862">
        <f>+K918</f>
        <v>492.02900243872256</v>
      </c>
      <c r="R1028" s="1862"/>
      <c r="S1028" s="1862"/>
      <c r="T1028" s="124" t="s">
        <v>2507</v>
      </c>
      <c r="U1028" s="170"/>
      <c r="V1028" s="170"/>
      <c r="X1028" s="1862"/>
      <c r="Y1028" s="2093"/>
      <c r="Z1028" s="2093"/>
      <c r="AA1028" s="2093"/>
      <c r="AB1028" s="2093"/>
      <c r="AC1028" s="1862"/>
      <c r="AD1028" s="1584"/>
      <c r="AE1028" s="2143"/>
      <c r="AF1028" s="2143"/>
      <c r="AG1028" s="2143"/>
      <c r="AH1028" s="122"/>
      <c r="AI1028" s="122"/>
      <c r="AJ1028" s="122"/>
      <c r="AK1028" s="122"/>
      <c r="AL1028" s="122"/>
      <c r="AM1028" s="122"/>
      <c r="AN1028" s="122"/>
      <c r="AO1028" s="1584"/>
      <c r="AP1028" s="1584"/>
      <c r="AQ1028" s="1584"/>
      <c r="AR1028" s="122"/>
      <c r="AS1028" s="1628" t="str">
        <f>IF(M986="Box Flange","Hide this row",IF(AJ1017&lt;&gt;"(3)","Hide this row",""))</f>
        <v>Hide this row</v>
      </c>
      <c r="AT1028" s="143"/>
      <c r="AU1028" s="143"/>
      <c r="AV1028" s="143"/>
      <c r="AW1028" s="143"/>
      <c r="AX1028" s="143"/>
      <c r="AY1028" s="143"/>
      <c r="AZ1028" s="143"/>
      <c r="BA1028" s="143"/>
      <c r="BB1028" s="143"/>
      <c r="BC1028" s="143"/>
      <c r="BD1028" s="143"/>
      <c r="BE1028" s="143"/>
      <c r="BF1028" s="143"/>
      <c r="BG1028" s="143"/>
      <c r="BH1028" s="143"/>
      <c r="BI1028" s="143"/>
      <c r="BJ1028" s="143"/>
      <c r="BK1028" s="143"/>
      <c r="BL1028" s="143"/>
      <c r="BM1028" s="143"/>
      <c r="BN1028" s="143"/>
      <c r="BO1028" s="143"/>
      <c r="BP1028" s="143"/>
      <c r="BQ1028" s="143"/>
      <c r="BR1028" s="143"/>
      <c r="BS1028" s="143"/>
      <c r="BT1028" s="143"/>
      <c r="BU1028" s="143"/>
    </row>
    <row r="1029" spans="1:73" s="73" customFormat="1" ht="15" customHeight="1">
      <c r="A1029" s="1286"/>
      <c r="B1029" s="170"/>
      <c r="C1029" s="1540"/>
      <c r="D1029" s="170"/>
      <c r="E1029" s="170"/>
      <c r="F1029" s="170"/>
      <c r="G1029" s="100"/>
      <c r="H1029" s="170"/>
      <c r="I1029" s="1549" t="s">
        <v>324</v>
      </c>
      <c r="K1029" s="2157">
        <f>+MIN(Y1027,AE1027)</f>
        <v>379.82766143697751</v>
      </c>
      <c r="L1029" s="2158"/>
      <c r="M1029" s="2158"/>
      <c r="N1029" s="1540" t="s">
        <v>1012</v>
      </c>
      <c r="O1029" s="1539"/>
      <c r="P1029" s="124"/>
      <c r="Q1029" s="1539"/>
      <c r="R1029" s="1539"/>
      <c r="S1029" s="1539"/>
      <c r="T1029" s="124"/>
      <c r="U1029" s="170"/>
      <c r="V1029" s="170"/>
      <c r="X1029" s="1539"/>
      <c r="Y1029" s="1556"/>
      <c r="Z1029" s="1556"/>
      <c r="AA1029" s="1556"/>
      <c r="AB1029" s="1556"/>
      <c r="AC1029" s="1539"/>
      <c r="AD1029" s="1584"/>
      <c r="AE1029" s="1584"/>
      <c r="AF1029" s="1584"/>
      <c r="AG1029" s="1584"/>
      <c r="AH1029" s="122"/>
      <c r="AI1029" s="122"/>
      <c r="AJ1029" s="122"/>
      <c r="AK1029" s="122"/>
      <c r="AL1029" s="122"/>
      <c r="AM1029" s="122"/>
      <c r="AN1029" s="122"/>
      <c r="AO1029" s="1584"/>
      <c r="AP1029" s="1584"/>
      <c r="AQ1029" s="1584"/>
      <c r="AR1029" s="122"/>
      <c r="AS1029" s="1628" t="str">
        <f>IF(M986="Box Flange","Hide this row",IF(AJ1017&lt;&gt;"(3)","Hide this row",""))</f>
        <v>Hide this row</v>
      </c>
      <c r="AT1029" s="143"/>
      <c r="AU1029" s="143"/>
      <c r="AV1029" s="143"/>
      <c r="AW1029" s="143"/>
      <c r="AX1029" s="143"/>
      <c r="AY1029" s="143"/>
      <c r="AZ1029" s="143"/>
      <c r="BA1029" s="143"/>
      <c r="BB1029" s="143"/>
      <c r="BC1029" s="143"/>
      <c r="BD1029" s="143"/>
      <c r="BE1029" s="143"/>
      <c r="BF1029" s="143"/>
      <c r="BG1029" s="143"/>
      <c r="BH1029" s="143"/>
      <c r="BI1029" s="143"/>
      <c r="BJ1029" s="143"/>
      <c r="BK1029" s="143"/>
      <c r="BL1029" s="143"/>
      <c r="BM1029" s="143"/>
      <c r="BN1029" s="143"/>
      <c r="BO1029" s="143"/>
      <c r="BP1029" s="143"/>
      <c r="BQ1029" s="143"/>
      <c r="BR1029" s="143"/>
      <c r="BS1029" s="143"/>
      <c r="BT1029" s="143"/>
      <c r="BU1029" s="143"/>
    </row>
    <row r="1030" spans="1:73" s="73" customFormat="1" ht="15" customHeight="1">
      <c r="A1030" s="170"/>
      <c r="B1030" s="1461" t="s">
        <v>2501</v>
      </c>
      <c r="C1030" s="1460"/>
      <c r="D1030" s="170"/>
      <c r="E1030" s="124" t="s">
        <v>2732</v>
      </c>
      <c r="F1030" s="170"/>
      <c r="G1030" s="124"/>
      <c r="I1030" s="1607"/>
      <c r="J1030" s="1607"/>
      <c r="K1030" s="1607"/>
      <c r="L1030" s="1607"/>
      <c r="AS1030" s="1628" t="str">
        <f>IF(M986="Box Flange","Hide this row","")</f>
        <v>Hide this row</v>
      </c>
      <c r="AT1030" s="143"/>
      <c r="AU1030" s="143"/>
      <c r="AV1030" s="143"/>
      <c r="AW1030" s="143"/>
      <c r="AX1030" s="143"/>
      <c r="AY1030" s="143"/>
      <c r="AZ1030" s="143"/>
      <c r="BA1030" s="143"/>
      <c r="BB1030" s="143"/>
      <c r="BC1030" s="143"/>
      <c r="BD1030" s="143"/>
      <c r="BE1030" s="143"/>
      <c r="BF1030" s="143"/>
      <c r="BG1030" s="143"/>
      <c r="BH1030" s="143"/>
      <c r="BI1030" s="143"/>
      <c r="BJ1030" s="143"/>
      <c r="BK1030" s="143"/>
      <c r="BL1030" s="143"/>
      <c r="BM1030" s="143"/>
      <c r="BN1030" s="143"/>
      <c r="BO1030" s="143"/>
      <c r="BP1030" s="143"/>
      <c r="BQ1030" s="143"/>
      <c r="BR1030" s="143"/>
      <c r="BS1030" s="143"/>
      <c r="BT1030" s="143"/>
      <c r="BU1030" s="143"/>
    </row>
    <row r="1031" spans="1:73" s="73" customFormat="1" ht="15" customHeight="1">
      <c r="A1031" s="170"/>
      <c r="B1031" s="143"/>
      <c r="C1031" s="1540"/>
      <c r="D1031" s="170"/>
      <c r="E1031" s="170"/>
      <c r="G1031" s="100"/>
      <c r="H1031" s="122" t="s">
        <v>845</v>
      </c>
      <c r="J1031" s="124" t="s">
        <v>324</v>
      </c>
      <c r="K1031" s="122" t="s">
        <v>2736</v>
      </c>
      <c r="R1031" s="124" t="s">
        <v>324</v>
      </c>
      <c r="T1031" s="170" t="s">
        <v>2539</v>
      </c>
      <c r="U1031" s="170"/>
      <c r="V1031" s="1862">
        <f>IF(K1002&lt;=K1004,K1008,K1012)</f>
        <v>-77.335392963938787</v>
      </c>
      <c r="W1031" s="1862"/>
      <c r="X1031" s="1862"/>
      <c r="Y1031" s="124" t="s">
        <v>2515</v>
      </c>
      <c r="Z1031" s="1862">
        <f>+IF(K1015&lt;=K1016,K1021,IF(K1015&lt;K1018,K1025,K1029))</f>
        <v>379.82766143697751</v>
      </c>
      <c r="AA1031" s="1862"/>
      <c r="AB1031" s="1862"/>
      <c r="AC1031" s="124" t="s">
        <v>2512</v>
      </c>
      <c r="AO1031" s="1561"/>
      <c r="AP1031" s="1561"/>
      <c r="AQ1031" s="1561"/>
      <c r="AS1031" s="1628" t="str">
        <f>IF(M986="Box Flange","Hide this row","")</f>
        <v>Hide this row</v>
      </c>
      <c r="AT1031" s="143"/>
      <c r="AU1031" s="143"/>
      <c r="AV1031" s="143"/>
      <c r="AW1031" s="143"/>
      <c r="AX1031" s="143"/>
      <c r="AY1031" s="143"/>
      <c r="AZ1031" s="143"/>
      <c r="BA1031" s="143"/>
      <c r="BB1031" s="143"/>
      <c r="BC1031" s="143"/>
      <c r="BD1031" s="143"/>
      <c r="BE1031" s="143"/>
      <c r="BF1031" s="143"/>
      <c r="BG1031" s="143"/>
      <c r="BH1031" s="143"/>
      <c r="BI1031" s="143"/>
      <c r="BJ1031" s="143"/>
      <c r="BK1031" s="143"/>
      <c r="BL1031" s="143"/>
      <c r="BM1031" s="143"/>
      <c r="BN1031" s="143"/>
      <c r="BO1031" s="143"/>
      <c r="BP1031" s="143"/>
      <c r="BQ1031" s="143"/>
      <c r="BR1031" s="143"/>
      <c r="BS1031" s="143"/>
      <c r="BT1031" s="143"/>
      <c r="BU1031" s="143"/>
    </row>
    <row r="1032" spans="1:73" s="73" customFormat="1" ht="20.100000000000001" customHeight="1" thickBot="1">
      <c r="A1032" s="170"/>
      <c r="B1032" s="143"/>
      <c r="C1032" s="1540"/>
      <c r="D1032" s="170"/>
      <c r="E1032" s="170"/>
      <c r="F1032" s="122"/>
      <c r="G1032" s="100"/>
      <c r="H1032" s="369" t="s">
        <v>845</v>
      </c>
      <c r="I1032" s="321"/>
      <c r="J1032" s="431" t="s">
        <v>324</v>
      </c>
      <c r="K1032" s="2168">
        <f>+MIN(V1031,Z1031)</f>
        <v>-77.335392963938787</v>
      </c>
      <c r="L1032" s="2168"/>
      <c r="M1032" s="2168"/>
      <c r="N1032" s="2168"/>
      <c r="O1032" s="431" t="s">
        <v>2508</v>
      </c>
      <c r="P1032" s="369"/>
      <c r="Q1032" s="122"/>
      <c r="R1032" s="122"/>
      <c r="S1032" s="122"/>
      <c r="T1032" s="122"/>
      <c r="AB1032" s="1305"/>
      <c r="AC1032" s="1305"/>
      <c r="AD1032" s="1305"/>
      <c r="AO1032" s="1561"/>
      <c r="AP1032" s="1561"/>
      <c r="AQ1032" s="1561"/>
      <c r="AS1032" s="1628" t="str">
        <f>IF(M986="Box Flange","Hide this row","")</f>
        <v>Hide this row</v>
      </c>
      <c r="AT1032" s="143"/>
      <c r="AU1032" s="143"/>
      <c r="AV1032" s="143"/>
      <c r="AW1032" s="143"/>
      <c r="AX1032" s="143"/>
      <c r="AY1032" s="143"/>
      <c r="AZ1032" s="143"/>
      <c r="BA1032" s="143"/>
      <c r="BB1032" s="143"/>
      <c r="BC1032" s="143"/>
      <c r="BD1032" s="143"/>
      <c r="BE1032" s="143"/>
      <c r="BF1032" s="143"/>
      <c r="BG1032" s="143"/>
      <c r="BH1032" s="143"/>
      <c r="BI1032" s="143"/>
      <c r="BJ1032" s="143"/>
      <c r="BK1032" s="143"/>
      <c r="BL1032" s="143"/>
      <c r="BM1032" s="143"/>
      <c r="BN1032" s="143"/>
      <c r="BO1032" s="143"/>
      <c r="BP1032" s="143"/>
      <c r="BQ1032" s="143"/>
      <c r="BR1032" s="143"/>
      <c r="BS1032" s="143"/>
      <c r="BT1032" s="143"/>
      <c r="BU1032" s="143"/>
    </row>
    <row r="1033" spans="1:73" s="73" customFormat="1" ht="15" customHeight="1">
      <c r="A1033" s="170"/>
      <c r="B1033" s="143"/>
      <c r="C1033" s="1540"/>
      <c r="D1033" s="170"/>
      <c r="E1033" s="170"/>
      <c r="F1033" s="122"/>
      <c r="G1033" s="100"/>
      <c r="H1033" s="170"/>
      <c r="I1033" s="170"/>
      <c r="J1033" s="170"/>
      <c r="K1033" s="170"/>
      <c r="L1033" s="1539"/>
      <c r="M1033" s="170"/>
      <c r="N1033" s="170"/>
      <c r="O1033" s="124"/>
      <c r="P1033" s="170"/>
      <c r="Q1033" s="170"/>
      <c r="R1033" s="1539"/>
      <c r="S1033" s="1539"/>
      <c r="T1033" s="1539"/>
      <c r="U1033" s="124"/>
      <c r="V1033" s="1539"/>
      <c r="W1033" s="1539"/>
      <c r="X1033" s="1539"/>
      <c r="Y1033" s="124"/>
      <c r="Z1033" s="124"/>
      <c r="AA1033" s="1305"/>
      <c r="AB1033" s="1305"/>
      <c r="AC1033" s="1305"/>
      <c r="AD1033" s="1305"/>
      <c r="AO1033" s="1561"/>
      <c r="AP1033" s="1561"/>
      <c r="AQ1033" s="1561"/>
      <c r="AS1033" s="1628" t="str">
        <f>IF(M986="Open Flange","Hide this row","")</f>
        <v/>
      </c>
      <c r="AT1033" s="143"/>
      <c r="AU1033" s="143"/>
      <c r="AV1033" s="143"/>
      <c r="AW1033" s="143"/>
      <c r="AX1033" s="143"/>
      <c r="AY1033" s="143"/>
      <c r="AZ1033" s="143"/>
      <c r="BA1033" s="143"/>
      <c r="BB1033" s="143"/>
      <c r="BC1033" s="143"/>
      <c r="BD1033" s="143"/>
      <c r="BE1033" s="143"/>
      <c r="BF1033" s="143"/>
      <c r="BG1033" s="143"/>
      <c r="BH1033" s="143"/>
      <c r="BI1033" s="143"/>
      <c r="BJ1033" s="143"/>
      <c r="BK1033" s="143"/>
      <c r="BL1033" s="143"/>
      <c r="BM1033" s="143"/>
      <c r="BN1033" s="143"/>
      <c r="BO1033" s="143"/>
      <c r="BP1033" s="143"/>
      <c r="BQ1033" s="143"/>
      <c r="BR1033" s="143"/>
      <c r="BS1033" s="143"/>
      <c r="BT1033" s="143"/>
      <c r="BU1033" s="143"/>
    </row>
    <row r="1034" spans="1:73" s="73" customFormat="1" ht="15" customHeight="1">
      <c r="A1034" s="143"/>
      <c r="B1034" s="1177" t="s">
        <v>2466</v>
      </c>
      <c r="C1034" s="143" t="s">
        <v>247</v>
      </c>
      <c r="D1034" s="136"/>
      <c r="E1034" s="147"/>
      <c r="F1034" s="136"/>
      <c r="G1034" s="136"/>
      <c r="H1034" s="136"/>
      <c r="I1034" s="170"/>
      <c r="J1034" s="170"/>
      <c r="K1034" s="1539"/>
      <c r="L1034" s="170"/>
      <c r="M1034" s="1539"/>
      <c r="N1034" s="170"/>
      <c r="P1034" s="170"/>
      <c r="R1034" s="170"/>
      <c r="T1034" s="122"/>
      <c r="U1034" s="122"/>
      <c r="V1034" s="122"/>
      <c r="W1034" s="693"/>
      <c r="X1034" s="115"/>
      <c r="Y1034" s="115"/>
      <c r="Z1034" s="124"/>
      <c r="AA1034" s="641"/>
      <c r="AB1034" s="53"/>
      <c r="AC1034" s="53"/>
      <c r="AD1034" s="122"/>
      <c r="AE1034" s="124"/>
      <c r="AF1034" s="170"/>
      <c r="AG1034" s="115"/>
      <c r="AH1034" s="115"/>
      <c r="AI1034" s="115"/>
      <c r="AO1034" s="1561"/>
      <c r="AP1034" s="1561"/>
      <c r="AQ1034" s="1561"/>
      <c r="AR1034" s="1529" t="s">
        <v>725</v>
      </c>
      <c r="AS1034" s="1628" t="str">
        <f>IF(M986="Open Flange","Hide this row","")</f>
        <v/>
      </c>
      <c r="AT1034" s="143"/>
      <c r="AU1034" s="143"/>
      <c r="AV1034" s="143"/>
      <c r="AW1034" s="143"/>
      <c r="AX1034" s="143"/>
      <c r="AY1034" s="143"/>
      <c r="AZ1034" s="143"/>
      <c r="BA1034" s="143"/>
      <c r="BB1034" s="143"/>
      <c r="BC1034" s="143"/>
      <c r="BD1034" s="143"/>
      <c r="BE1034" s="143"/>
      <c r="BF1034" s="143"/>
      <c r="BG1034" s="143"/>
      <c r="BH1034" s="143"/>
      <c r="BI1034" s="143"/>
      <c r="BJ1034" s="143"/>
      <c r="BK1034" s="143"/>
      <c r="BL1034" s="143"/>
      <c r="BM1034" s="143"/>
      <c r="BN1034" s="143"/>
      <c r="BO1034" s="143"/>
      <c r="BP1034" s="143"/>
      <c r="BQ1034" s="143"/>
      <c r="BR1034" s="143"/>
      <c r="BS1034" s="143"/>
      <c r="BT1034" s="143"/>
      <c r="BU1034" s="143"/>
    </row>
    <row r="1035" spans="1:73" s="73" customFormat="1" ht="20.100000000000001" customHeight="1">
      <c r="A1035" s="143"/>
      <c r="B1035" s="170"/>
      <c r="C1035" s="148" t="s">
        <v>134</v>
      </c>
      <c r="D1035" s="141"/>
      <c r="E1035" s="141"/>
      <c r="F1035" s="141"/>
      <c r="G1035" s="141"/>
      <c r="H1035" s="141"/>
      <c r="I1035" s="141"/>
      <c r="J1035" s="141"/>
      <c r="K1035" s="141"/>
      <c r="L1035" s="141"/>
      <c r="M1035" s="141"/>
      <c r="N1035" s="141"/>
      <c r="O1035" s="148" t="s">
        <v>248</v>
      </c>
      <c r="P1035" s="141"/>
      <c r="Q1035" s="141"/>
      <c r="R1035" s="141"/>
      <c r="S1035" s="141"/>
      <c r="T1035" s="141"/>
      <c r="U1035" s="141"/>
      <c r="V1035" s="141"/>
      <c r="W1035" s="141"/>
      <c r="X1035" s="141"/>
      <c r="Y1035" s="141"/>
      <c r="Z1035" s="141"/>
      <c r="AA1035" s="141"/>
      <c r="AB1035" s="141"/>
      <c r="AD1035" s="1561"/>
      <c r="AO1035" s="1561"/>
      <c r="AP1035" s="1561"/>
      <c r="AQ1035" s="1561"/>
      <c r="AS1035" s="1628" t="str">
        <f>IF(M986="Open Flange","Hide this row","")</f>
        <v/>
      </c>
      <c r="AT1035" s="143"/>
      <c r="AU1035" s="143"/>
      <c r="AV1035" s="143"/>
      <c r="AW1035" s="143"/>
      <c r="AX1035" s="143"/>
      <c r="AY1035" s="143"/>
      <c r="AZ1035" s="143"/>
      <c r="BA1035" s="143"/>
      <c r="BB1035" s="143"/>
      <c r="BC1035" s="143"/>
      <c r="BD1035" s="143"/>
      <c r="BE1035" s="143"/>
      <c r="BF1035" s="143"/>
      <c r="BG1035" s="143"/>
      <c r="BH1035" s="143"/>
      <c r="BI1035" s="143"/>
      <c r="BJ1035" s="143"/>
      <c r="BK1035" s="143"/>
      <c r="BL1035" s="143"/>
      <c r="BM1035" s="143"/>
      <c r="BN1035" s="143"/>
      <c r="BO1035" s="143"/>
      <c r="BP1035" s="143"/>
      <c r="BQ1035" s="143"/>
      <c r="BR1035" s="143"/>
      <c r="BS1035" s="143"/>
      <c r="BT1035" s="143"/>
      <c r="BU1035" s="143"/>
    </row>
    <row r="1036" spans="1:73" s="73" customFormat="1" ht="20.100000000000001" customHeight="1">
      <c r="A1036" s="143"/>
      <c r="B1036" s="170"/>
      <c r="C1036" s="146" t="s">
        <v>1687</v>
      </c>
      <c r="D1036" s="146"/>
      <c r="E1036" s="146"/>
      <c r="F1036" s="146"/>
      <c r="G1036" s="146"/>
      <c r="H1036" s="146"/>
      <c r="I1036" s="146"/>
      <c r="J1036" s="146"/>
      <c r="K1036" s="146"/>
      <c r="L1036" s="146"/>
      <c r="M1036" s="146"/>
      <c r="N1036" s="146"/>
      <c r="O1036" s="151" t="s">
        <v>1688</v>
      </c>
      <c r="P1036" s="146"/>
      <c r="Q1036" s="146"/>
      <c r="R1036" s="146"/>
      <c r="S1036" s="146"/>
      <c r="T1036" s="146"/>
      <c r="U1036" s="146"/>
      <c r="V1036" s="146"/>
      <c r="W1036" s="146"/>
      <c r="X1036" s="146"/>
      <c r="Y1036" s="146"/>
      <c r="Z1036" s="146"/>
      <c r="AA1036" s="146"/>
      <c r="AB1036" s="1214" t="s">
        <v>417</v>
      </c>
      <c r="AD1036" s="1561"/>
      <c r="AO1036" s="1561"/>
      <c r="AP1036" s="1561"/>
      <c r="AQ1036" s="1561"/>
      <c r="AS1036" s="1628" t="str">
        <f>IF(M986="Open Flange","Hide this row","")</f>
        <v/>
      </c>
      <c r="AT1036" s="143"/>
      <c r="AU1036" s="143"/>
      <c r="AV1036" s="143"/>
      <c r="AW1036" s="143"/>
      <c r="AX1036" s="143"/>
      <c r="AY1036" s="143"/>
      <c r="AZ1036" s="143"/>
      <c r="BA1036" s="143"/>
      <c r="BB1036" s="143"/>
      <c r="BC1036" s="143"/>
      <c r="BD1036" s="143"/>
      <c r="BE1036" s="143"/>
      <c r="BF1036" s="143"/>
      <c r="BG1036" s="143"/>
      <c r="BH1036" s="143"/>
      <c r="BI1036" s="143"/>
      <c r="BJ1036" s="143"/>
      <c r="BK1036" s="143"/>
      <c r="BL1036" s="143"/>
      <c r="BM1036" s="143"/>
      <c r="BN1036" s="143"/>
      <c r="BO1036" s="143"/>
      <c r="BP1036" s="143"/>
      <c r="BQ1036" s="143"/>
      <c r="BR1036" s="143"/>
      <c r="BS1036" s="143"/>
      <c r="BT1036" s="143"/>
      <c r="BU1036" s="143"/>
    </row>
    <row r="1037" spans="1:73" s="73" customFormat="1" ht="20.100000000000001" customHeight="1">
      <c r="A1037" s="143"/>
      <c r="B1037" s="170"/>
      <c r="C1037" s="666" t="s">
        <v>1689</v>
      </c>
      <c r="D1037" s="666"/>
      <c r="E1037" s="666"/>
      <c r="F1037" s="666"/>
      <c r="G1037" s="170"/>
      <c r="H1037" s="170"/>
      <c r="I1037" s="170"/>
      <c r="J1037" s="170"/>
      <c r="K1037" s="170" t="s">
        <v>2685</v>
      </c>
      <c r="L1037" s="170"/>
      <c r="M1037" s="170"/>
      <c r="N1037" s="170"/>
      <c r="P1037" s="170"/>
      <c r="Q1037" s="170"/>
      <c r="R1037" s="170"/>
      <c r="S1037" s="170"/>
      <c r="T1037" s="170"/>
      <c r="U1037" s="170"/>
      <c r="V1037" s="170"/>
      <c r="W1037" s="170"/>
      <c r="X1037" s="170"/>
      <c r="Y1037" s="170"/>
      <c r="Z1037" s="170"/>
      <c r="AA1037" s="170"/>
      <c r="AB1037" s="124" t="s">
        <v>447</v>
      </c>
      <c r="AD1037" s="1561"/>
      <c r="AO1037" s="1561"/>
      <c r="AP1037" s="1561"/>
      <c r="AQ1037" s="1561"/>
      <c r="AS1037" s="1628" t="str">
        <f>IF(M986="Open Flange","Hide this row","")</f>
        <v/>
      </c>
      <c r="AT1037" s="143"/>
      <c r="AU1037" s="143"/>
      <c r="AV1037" s="143"/>
      <c r="AW1037" s="143"/>
      <c r="AX1037" s="143"/>
      <c r="AY1037" s="143"/>
      <c r="AZ1037" s="143"/>
      <c r="BA1037" s="143"/>
      <c r="BB1037" s="143"/>
      <c r="BC1037" s="143"/>
      <c r="BD1037" s="143"/>
      <c r="BE1037" s="143"/>
      <c r="BF1037" s="143"/>
      <c r="BG1037" s="143"/>
      <c r="BH1037" s="143"/>
      <c r="BI1037" s="143"/>
      <c r="BJ1037" s="143"/>
      <c r="BK1037" s="143"/>
      <c r="BL1037" s="143"/>
      <c r="BM1037" s="143"/>
      <c r="BN1037" s="143"/>
      <c r="BO1037" s="143"/>
      <c r="BP1037" s="143"/>
      <c r="BQ1037" s="143"/>
      <c r="BR1037" s="143"/>
      <c r="BS1037" s="143"/>
      <c r="BT1037" s="143"/>
      <c r="BU1037" s="143"/>
    </row>
    <row r="1038" spans="1:73" s="73" customFormat="1" ht="20.100000000000001" customHeight="1">
      <c r="A1038" s="143"/>
      <c r="B1038" s="170"/>
      <c r="C1038" s="667" t="s">
        <v>1753</v>
      </c>
      <c r="D1038" s="91"/>
      <c r="E1038" s="91"/>
      <c r="F1038" s="91"/>
      <c r="G1038" s="91"/>
      <c r="H1038" s="91"/>
      <c r="I1038" s="91"/>
      <c r="J1038" s="91"/>
      <c r="K1038" s="91"/>
      <c r="L1038" s="91"/>
      <c r="M1038" s="91"/>
      <c r="N1038" s="91"/>
      <c r="O1038" s="92" t="s">
        <v>1690</v>
      </c>
      <c r="P1038" s="91"/>
      <c r="Q1038" s="91"/>
      <c r="R1038" s="91"/>
      <c r="S1038" s="91"/>
      <c r="T1038" s="91"/>
      <c r="U1038" s="91"/>
      <c r="V1038" s="91"/>
      <c r="W1038" s="91"/>
      <c r="X1038" s="91"/>
      <c r="Y1038" s="91"/>
      <c r="Z1038" s="91"/>
      <c r="AA1038" s="91"/>
      <c r="AB1038" s="1421" t="s">
        <v>448</v>
      </c>
      <c r="AD1038" s="1561"/>
      <c r="AF1038" s="1561"/>
      <c r="AO1038" s="1561"/>
      <c r="AP1038" s="1561"/>
      <c r="AQ1038" s="1561"/>
      <c r="AS1038" s="1628" t="str">
        <f>IF(M986="Open Flange","Hide this row","")</f>
        <v/>
      </c>
      <c r="AT1038" s="143"/>
      <c r="AU1038" s="143"/>
      <c r="AV1038" s="143"/>
      <c r="AW1038" s="143"/>
      <c r="AX1038" s="143"/>
      <c r="AY1038" s="143"/>
      <c r="AZ1038" s="143"/>
      <c r="BA1038" s="143"/>
      <c r="BB1038" s="143"/>
      <c r="BC1038" s="143"/>
      <c r="BD1038" s="143"/>
      <c r="BE1038" s="143"/>
      <c r="BF1038" s="143"/>
      <c r="BG1038" s="143"/>
      <c r="BH1038" s="143"/>
      <c r="BI1038" s="143"/>
      <c r="BJ1038" s="143"/>
      <c r="BK1038" s="143"/>
      <c r="BL1038" s="143"/>
      <c r="BM1038" s="143"/>
      <c r="BN1038" s="143"/>
      <c r="BO1038" s="143"/>
      <c r="BP1038" s="143"/>
      <c r="BQ1038" s="143"/>
      <c r="BR1038" s="143"/>
      <c r="BS1038" s="143"/>
      <c r="BT1038" s="143"/>
      <c r="BU1038" s="143"/>
    </row>
    <row r="1039" spans="1:73" s="73" customFormat="1" ht="15" customHeight="1">
      <c r="A1039" s="143"/>
      <c r="B1039" s="170"/>
      <c r="C1039" s="649"/>
      <c r="D1039" s="170"/>
      <c r="E1039" s="170"/>
      <c r="F1039" s="170"/>
      <c r="G1039" s="170"/>
      <c r="H1039" s="170"/>
      <c r="I1039" s="170"/>
      <c r="J1039" s="170"/>
      <c r="K1039" s="122"/>
      <c r="L1039" s="170"/>
      <c r="M1039" s="170"/>
      <c r="N1039" s="170"/>
      <c r="O1039" s="170"/>
      <c r="P1039" s="170"/>
      <c r="Q1039" s="170"/>
      <c r="R1039" s="170"/>
      <c r="S1039" s="170"/>
      <c r="T1039" s="170"/>
      <c r="U1039" s="170"/>
      <c r="V1039" s="170"/>
      <c r="W1039" s="170"/>
      <c r="X1039" s="170"/>
      <c r="Y1039" s="1539"/>
      <c r="Z1039" s="170"/>
      <c r="AA1039" s="170"/>
      <c r="AC1039" s="143"/>
      <c r="AD1039" s="1561"/>
      <c r="AF1039" s="1561"/>
      <c r="AO1039" s="1561"/>
      <c r="AP1039" s="1561"/>
      <c r="AQ1039" s="1561"/>
      <c r="AS1039" s="1628" t="str">
        <f>IF(M986="Open Flange","Hide this row","")</f>
        <v/>
      </c>
      <c r="AT1039" s="143"/>
      <c r="AU1039" s="143"/>
      <c r="AV1039" s="143"/>
      <c r="AW1039" s="143"/>
      <c r="AX1039" s="143"/>
      <c r="AY1039" s="143"/>
      <c r="AZ1039" s="143"/>
      <c r="BA1039" s="143"/>
      <c r="BB1039" s="143"/>
      <c r="BC1039" s="143"/>
      <c r="BD1039" s="143"/>
      <c r="BE1039" s="143"/>
      <c r="BF1039" s="143"/>
      <c r="BG1039" s="143"/>
      <c r="BH1039" s="143"/>
      <c r="BI1039" s="143"/>
      <c r="BJ1039" s="143"/>
      <c r="BK1039" s="143"/>
      <c r="BL1039" s="143"/>
      <c r="BM1039" s="143"/>
      <c r="BN1039" s="143"/>
      <c r="BO1039" s="143"/>
      <c r="BP1039" s="143"/>
      <c r="BQ1039" s="143"/>
      <c r="BR1039" s="143"/>
      <c r="BS1039" s="143"/>
      <c r="BT1039" s="143"/>
      <c r="BU1039" s="143"/>
    </row>
    <row r="1040" spans="1:73" s="73" customFormat="1" ht="15" customHeight="1">
      <c r="A1040" s="143"/>
      <c r="C1040" s="96" t="s">
        <v>2509</v>
      </c>
      <c r="D1040" s="649" t="s">
        <v>2648</v>
      </c>
      <c r="E1040" s="170"/>
      <c r="F1040" s="170"/>
      <c r="G1040" s="170"/>
      <c r="H1040" s="170"/>
      <c r="I1040" s="170"/>
      <c r="J1040" s="170" t="str">
        <f>IF(AE443 = "Compression", "상부플랜지","하부플랜지")</f>
        <v>하부플랜지</v>
      </c>
      <c r="K1040" s="170"/>
      <c r="L1040" s="122"/>
      <c r="M1040" s="170"/>
      <c r="N1040" s="170"/>
      <c r="O1040" s="124" t="s">
        <v>2506</v>
      </c>
      <c r="P1040" s="170" t="str">
        <f>IF(OR(AND(AE443="Compression",AE470&gt;0),AND(AE443="Tension",AE467&gt;0)),"보강된 플랜지","비보강 플랜지")</f>
        <v>보강된 플랜지</v>
      </c>
      <c r="Q1040" s="170"/>
      <c r="R1040" s="170"/>
      <c r="S1040" s="170"/>
      <c r="T1040" s="170"/>
      <c r="U1040" s="170"/>
      <c r="V1040" s="124" t="s">
        <v>2512</v>
      </c>
      <c r="W1040" s="170"/>
      <c r="X1040" s="170"/>
      <c r="Y1040" s="1539"/>
      <c r="Z1040" s="170"/>
      <c r="AA1040" s="170"/>
      <c r="AC1040" s="143"/>
      <c r="AD1040" s="1561"/>
      <c r="AF1040" s="1561"/>
      <c r="AO1040" s="1561"/>
      <c r="AP1040" s="1561"/>
      <c r="AQ1040" s="1561"/>
      <c r="AS1040" s="1628" t="str">
        <f>IF(M986="Open Flange","Hide this row","")</f>
        <v/>
      </c>
      <c r="AT1040" s="143"/>
      <c r="AU1040" s="143"/>
      <c r="AV1040" s="143"/>
      <c r="AW1040" s="143"/>
      <c r="AX1040" s="143"/>
      <c r="AY1040" s="143"/>
      <c r="AZ1040" s="143"/>
      <c r="BA1040" s="143"/>
      <c r="BB1040" s="143"/>
      <c r="BC1040" s="143"/>
      <c r="BD1040" s="143"/>
      <c r="BE1040" s="143"/>
      <c r="BF1040" s="143"/>
      <c r="BG1040" s="143"/>
      <c r="BH1040" s="143"/>
      <c r="BI1040" s="143"/>
      <c r="BJ1040" s="143"/>
      <c r="BK1040" s="143"/>
      <c r="BL1040" s="143"/>
      <c r="BM1040" s="143"/>
      <c r="BN1040" s="143"/>
      <c r="BO1040" s="143"/>
      <c r="BP1040" s="143"/>
      <c r="BQ1040" s="143"/>
      <c r="BR1040" s="143"/>
      <c r="BS1040" s="143"/>
      <c r="BT1040" s="143"/>
      <c r="BU1040" s="143"/>
    </row>
    <row r="1041" spans="1:73" s="73" customFormat="1" ht="15" customHeight="1">
      <c r="A1041" s="143"/>
      <c r="B1041" s="170"/>
      <c r="C1041" s="649"/>
      <c r="D1041" s="170"/>
      <c r="E1041" s="170"/>
      <c r="F1041" s="170"/>
      <c r="G1041" s="170"/>
      <c r="H1041" s="170"/>
      <c r="I1041" s="170"/>
      <c r="J1041" s="170"/>
      <c r="K1041" s="122"/>
      <c r="L1041" s="170"/>
      <c r="M1041" s="170"/>
      <c r="N1041" s="170"/>
      <c r="O1041" s="170"/>
      <c r="P1041" s="170"/>
      <c r="Q1041" s="170"/>
      <c r="R1041" s="170"/>
      <c r="S1041" s="170"/>
      <c r="T1041" s="170"/>
      <c r="U1041" s="170"/>
      <c r="V1041" s="170"/>
      <c r="W1041" s="170"/>
      <c r="X1041" s="170"/>
      <c r="Y1041" s="1539"/>
      <c r="Z1041" s="170"/>
      <c r="AA1041" s="170"/>
      <c r="AC1041" s="143"/>
      <c r="AD1041" s="1561"/>
      <c r="AF1041" s="1561"/>
      <c r="AO1041" s="1561"/>
      <c r="AP1041" s="1561"/>
      <c r="AQ1041" s="1561"/>
      <c r="AS1041" s="1628" t="str">
        <f>IF(M986="Open Flange","Hide this row","")</f>
        <v/>
      </c>
      <c r="AT1041" s="143"/>
      <c r="AU1041" s="143"/>
      <c r="AV1041" s="143"/>
      <c r="AW1041" s="143"/>
      <c r="AX1041" s="143"/>
      <c r="AY1041" s="143"/>
      <c r="AZ1041" s="143"/>
      <c r="BA1041" s="143"/>
      <c r="BB1041" s="143"/>
      <c r="BC1041" s="143"/>
      <c r="BD1041" s="143"/>
      <c r="BE1041" s="143"/>
      <c r="BF1041" s="143"/>
      <c r="BG1041" s="143"/>
      <c r="BH1041" s="143"/>
      <c r="BI1041" s="143"/>
      <c r="BJ1041" s="143"/>
      <c r="BK1041" s="143"/>
      <c r="BL1041" s="143"/>
      <c r="BM1041" s="143"/>
      <c r="BN1041" s="143"/>
      <c r="BO1041" s="143"/>
      <c r="BP1041" s="143"/>
      <c r="BQ1041" s="143"/>
      <c r="BR1041" s="143"/>
      <c r="BS1041" s="143"/>
      <c r="BT1041" s="143"/>
      <c r="BU1041" s="143"/>
    </row>
    <row r="1042" spans="1:73" s="73" customFormat="1" ht="15" customHeight="1">
      <c r="A1042" s="143"/>
      <c r="B1042" s="170"/>
      <c r="C1042" s="170" t="s">
        <v>786</v>
      </c>
      <c r="D1042" s="170"/>
      <c r="E1042" s="170" t="s">
        <v>2654</v>
      </c>
      <c r="F1042" s="170"/>
      <c r="G1042" s="170"/>
      <c r="H1042" s="170"/>
      <c r="I1042" s="170"/>
      <c r="J1042" s="170"/>
      <c r="K1042" s="122"/>
      <c r="L1042" s="170"/>
      <c r="M1042" s="170"/>
      <c r="N1042" s="170"/>
      <c r="O1042" s="170"/>
      <c r="P1042" s="170"/>
      <c r="Q1042" s="170"/>
      <c r="R1042" s="170"/>
      <c r="S1042" s="170"/>
      <c r="T1042" s="170"/>
      <c r="U1042" s="170"/>
      <c r="V1042" s="170"/>
      <c r="W1042" s="170"/>
      <c r="X1042" s="170"/>
      <c r="Y1042" s="1539"/>
      <c r="Z1042" s="170"/>
      <c r="AA1042" s="170"/>
      <c r="AC1042" s="143"/>
      <c r="AD1042" s="1561"/>
      <c r="AF1042" s="1561"/>
      <c r="AO1042" s="1561"/>
      <c r="AP1042" s="1561"/>
      <c r="AQ1042" s="1561"/>
      <c r="AS1042" s="1628" t="str">
        <f>IF(M986="Open Flange","Hide this row","")</f>
        <v/>
      </c>
      <c r="AT1042" s="143"/>
      <c r="AU1042" s="143"/>
      <c r="AV1042" s="143"/>
      <c r="AW1042" s="143"/>
      <c r="AX1042" s="143"/>
      <c r="AY1042" s="143"/>
      <c r="AZ1042" s="143"/>
      <c r="BA1042" s="143"/>
      <c r="BB1042" s="143"/>
      <c r="BC1042" s="143"/>
      <c r="BD1042" s="143"/>
      <c r="BE1042" s="143"/>
      <c r="BF1042" s="143"/>
      <c r="BG1042" s="143"/>
      <c r="BH1042" s="143"/>
      <c r="BI1042" s="143"/>
      <c r="BJ1042" s="143"/>
      <c r="BK1042" s="143"/>
      <c r="BL1042" s="143"/>
      <c r="BM1042" s="143"/>
      <c r="BN1042" s="143"/>
      <c r="BO1042" s="143"/>
      <c r="BP1042" s="143"/>
      <c r="BQ1042" s="143"/>
      <c r="BR1042" s="143"/>
      <c r="BS1042" s="143"/>
      <c r="BT1042" s="143"/>
      <c r="BU1042" s="143"/>
    </row>
    <row r="1043" spans="1:73" s="73" customFormat="1" ht="15" customHeight="1">
      <c r="A1043" s="143"/>
      <c r="B1043" s="170"/>
      <c r="C1043" s="170"/>
      <c r="D1043" s="170"/>
      <c r="E1043" s="170" t="s">
        <v>2981</v>
      </c>
      <c r="F1043" s="170"/>
      <c r="G1043" s="170"/>
      <c r="H1043" s="170"/>
      <c r="I1043" s="170"/>
      <c r="J1043" s="170"/>
      <c r="L1043" s="170"/>
      <c r="M1043" s="73" t="s">
        <v>2462</v>
      </c>
      <c r="N1043" s="73" t="s">
        <v>425</v>
      </c>
      <c r="O1043" s="170"/>
      <c r="P1043" s="124" t="s">
        <v>324</v>
      </c>
      <c r="Q1043" s="170"/>
      <c r="R1043" s="2107">
        <v>4</v>
      </c>
      <c r="S1043" s="2107"/>
      <c r="T1043" s="170"/>
      <c r="U1043" s="170"/>
      <c r="V1043" s="170"/>
      <c r="W1043" s="170"/>
      <c r="X1043" s="170"/>
      <c r="Y1043" s="1539"/>
      <c r="Z1043" s="170"/>
      <c r="AA1043" s="170"/>
      <c r="AC1043" s="143"/>
      <c r="AD1043" s="1561"/>
      <c r="AF1043" s="1561"/>
      <c r="AO1043" s="1561"/>
      <c r="AP1043" s="1561"/>
      <c r="AQ1043" s="1561"/>
      <c r="AS1043" s="1628" t="str">
        <f>IF(M986="Open Flange","Hide this row",IF(Q1044&gt;0,"Hide this row",""))</f>
        <v>Hide this row</v>
      </c>
      <c r="AT1043" s="143"/>
      <c r="AU1043" s="143"/>
      <c r="AV1043" s="143"/>
      <c r="AW1043" s="143"/>
      <c r="AX1043" s="143"/>
      <c r="AY1043" s="143"/>
      <c r="AZ1043" s="143"/>
      <c r="BA1043" s="143"/>
      <c r="BB1043" s="143"/>
      <c r="BC1043" s="143"/>
      <c r="BD1043" s="143"/>
      <c r="BE1043" s="143"/>
      <c r="BF1043" s="143"/>
      <c r="BG1043" s="143"/>
      <c r="BH1043" s="143"/>
      <c r="BI1043" s="143"/>
      <c r="BJ1043" s="143"/>
      <c r="BK1043" s="143"/>
      <c r="BL1043" s="143"/>
      <c r="BM1043" s="143"/>
      <c r="BN1043" s="143"/>
      <c r="BO1043" s="143"/>
      <c r="BP1043" s="143"/>
      <c r="BQ1043" s="143"/>
      <c r="BR1043" s="143"/>
      <c r="BS1043" s="143"/>
      <c r="BT1043" s="143"/>
      <c r="BU1043" s="143"/>
    </row>
    <row r="1044" spans="1:73" s="73" customFormat="1" ht="15" customHeight="1">
      <c r="A1044" s="143"/>
      <c r="B1044" s="170"/>
      <c r="C1044" s="170"/>
      <c r="D1044" s="170"/>
      <c r="E1044" s="124" t="s">
        <v>2657</v>
      </c>
      <c r="F1044" s="170"/>
      <c r="G1044" s="170" t="s">
        <v>2655</v>
      </c>
      <c r="H1044" s="170"/>
      <c r="I1044" s="170"/>
      <c r="J1044" s="170"/>
      <c r="K1044" s="122"/>
      <c r="L1044" s="170"/>
      <c r="N1044" s="170" t="s">
        <v>332</v>
      </c>
      <c r="P1044" s="124" t="s">
        <v>324</v>
      </c>
      <c r="Q1044" s="1862">
        <f>IF(AE443="Tension",AE467,AE470)</f>
        <v>2</v>
      </c>
      <c r="R1044" s="1862"/>
      <c r="S1044" s="1862"/>
      <c r="T1044" s="170"/>
      <c r="U1044" s="170"/>
      <c r="V1044" s="170"/>
      <c r="W1044" s="170"/>
      <c r="X1044" s="170"/>
      <c r="Y1044" s="1539"/>
      <c r="Z1044" s="170"/>
      <c r="AA1044" s="170"/>
      <c r="AC1044" s="143"/>
      <c r="AD1044" s="1561"/>
      <c r="AF1044" s="1561"/>
      <c r="AO1044" s="1561"/>
      <c r="AP1044" s="1561"/>
      <c r="AQ1044" s="1561"/>
      <c r="AS1044" s="1628" t="str">
        <f>IF(M986="Open Flange","Hide this row",IF(Q1044=0,"Hide this row",""))</f>
        <v/>
      </c>
      <c r="AT1044" s="143"/>
      <c r="AU1044" s="143"/>
      <c r="AV1044" s="143"/>
      <c r="AW1044" s="143"/>
      <c r="AX1044" s="143"/>
      <c r="AY1044" s="143"/>
      <c r="AZ1044" s="143"/>
      <c r="BA1044" s="143"/>
      <c r="BB1044" s="143"/>
      <c r="BC1044" s="143"/>
      <c r="BD1044" s="143"/>
      <c r="BE1044" s="143"/>
      <c r="BF1044" s="143"/>
      <c r="BG1044" s="143"/>
      <c r="BH1044" s="143"/>
      <c r="BI1044" s="143"/>
      <c r="BJ1044" s="143"/>
      <c r="BK1044" s="143"/>
      <c r="BL1044" s="143"/>
      <c r="BM1044" s="143"/>
      <c r="BN1044" s="143"/>
      <c r="BO1044" s="143"/>
      <c r="BP1044" s="143"/>
      <c r="BQ1044" s="143"/>
      <c r="BR1044" s="143"/>
      <c r="BS1044" s="143"/>
      <c r="BT1044" s="143"/>
      <c r="BU1044" s="143"/>
    </row>
    <row r="1045" spans="1:73" s="73" customFormat="1" ht="15" customHeight="1">
      <c r="A1045" s="143"/>
      <c r="B1045" s="170"/>
      <c r="C1045" s="649"/>
      <c r="E1045" s="73" t="s">
        <v>2656</v>
      </c>
      <c r="G1045" s="73" t="s">
        <v>2658</v>
      </c>
      <c r="N1045" s="73" t="s">
        <v>1846</v>
      </c>
      <c r="P1045" s="76" t="s">
        <v>324</v>
      </c>
      <c r="R1045" s="73" t="s">
        <v>2659</v>
      </c>
      <c r="U1045" s="2111">
        <f>IF(AE442="Positive",AE472,AE469)</f>
        <v>16</v>
      </c>
      <c r="V1045" s="2111"/>
      <c r="W1045" s="76" t="s">
        <v>2489</v>
      </c>
      <c r="X1045" s="2111" t="str">
        <f>IF(AE442="Positive",AE471,AE468)&amp;"³"</f>
        <v>160³</v>
      </c>
      <c r="Y1045" s="2111"/>
      <c r="Z1045" s="2111"/>
      <c r="AA1045" s="124" t="s">
        <v>324</v>
      </c>
      <c r="AB1045" s="2233">
        <f>IF(AE442="Positive",1/3 *AE472*AE471^3,1/3 * AE469*AE468^3)</f>
        <v>21845333.333333332</v>
      </c>
      <c r="AC1045" s="2233"/>
      <c r="AD1045" s="2233"/>
      <c r="AE1045" s="2233"/>
      <c r="AF1045" s="1579" t="s">
        <v>2643</v>
      </c>
      <c r="AO1045" s="1561"/>
      <c r="AP1045" s="1561"/>
      <c r="AQ1045" s="1561"/>
      <c r="AS1045" s="1628" t="str">
        <f>IF(M986="Open Flange","Hide this row",IF(Q1044=0,"Hide this row",""))</f>
        <v/>
      </c>
      <c r="AT1045" s="143"/>
      <c r="AU1045" s="143"/>
      <c r="AV1045" s="143"/>
      <c r="AW1045" s="143"/>
      <c r="AX1045" s="143"/>
      <c r="AY1045" s="143"/>
      <c r="AZ1045" s="143"/>
      <c r="BA1045" s="143"/>
      <c r="BB1045" s="143"/>
      <c r="BC1045" s="143"/>
      <c r="BD1045" s="143"/>
      <c r="BE1045" s="143"/>
      <c r="BF1045" s="143"/>
      <c r="BG1045" s="143"/>
      <c r="BH1045" s="143"/>
      <c r="BI1045" s="143"/>
      <c r="BJ1045" s="143"/>
      <c r="BK1045" s="143"/>
      <c r="BL1045" s="143"/>
      <c r="BM1045" s="143"/>
      <c r="BN1045" s="143"/>
      <c r="BO1045" s="143"/>
      <c r="BP1045" s="143"/>
      <c r="BQ1045" s="143"/>
      <c r="BR1045" s="143"/>
      <c r="BS1045" s="143"/>
      <c r="BT1045" s="143"/>
      <c r="BU1045" s="143"/>
    </row>
    <row r="1046" spans="1:73" s="73" customFormat="1" ht="15" customHeight="1">
      <c r="A1046" s="143"/>
      <c r="B1046" s="170"/>
      <c r="C1046" s="649"/>
      <c r="E1046" s="73" t="s">
        <v>2656</v>
      </c>
      <c r="G1046" s="73" t="s">
        <v>2661</v>
      </c>
      <c r="N1046" s="73" t="s">
        <v>839</v>
      </c>
      <c r="P1046" s="76" t="s">
        <v>324</v>
      </c>
      <c r="R1046" s="2136">
        <f>IF(AE442="Positive",AE452,AE454)</f>
        <v>30</v>
      </c>
      <c r="S1046" s="2136"/>
      <c r="T1046" s="2136"/>
      <c r="U1046" s="1579" t="s">
        <v>999</v>
      </c>
      <c r="V1046" s="1561"/>
      <c r="W1046" s="76"/>
      <c r="X1046" s="1561"/>
      <c r="Y1046" s="1561"/>
      <c r="Z1046" s="1561"/>
      <c r="AA1046" s="124"/>
      <c r="AB1046" s="1612"/>
      <c r="AC1046" s="1612"/>
      <c r="AD1046" s="1612"/>
      <c r="AE1046" s="1612"/>
      <c r="AF1046" s="1561"/>
      <c r="AO1046" s="1561"/>
      <c r="AP1046" s="1561"/>
      <c r="AQ1046" s="1561"/>
      <c r="AS1046" s="1628" t="str">
        <f>IF(M986="Open Flange","Hide this row",IF(Q1044=0,"Hide this row",""))</f>
        <v/>
      </c>
      <c r="AT1046" s="143"/>
      <c r="AU1046" s="143"/>
      <c r="AV1046" s="143"/>
      <c r="AW1046" s="143"/>
      <c r="AX1046" s="143"/>
      <c r="AY1046" s="143"/>
      <c r="AZ1046" s="143"/>
      <c r="BA1046" s="143"/>
      <c r="BB1046" s="143"/>
      <c r="BC1046" s="143"/>
      <c r="BD1046" s="143"/>
      <c r="BE1046" s="143"/>
      <c r="BF1046" s="143"/>
      <c r="BG1046" s="143"/>
      <c r="BH1046" s="143"/>
      <c r="BI1046" s="143"/>
      <c r="BJ1046" s="143"/>
      <c r="BK1046" s="143"/>
      <c r="BL1046" s="143"/>
      <c r="BM1046" s="143"/>
      <c r="BN1046" s="143"/>
      <c r="BO1046" s="143"/>
      <c r="BP1046" s="143"/>
      <c r="BQ1046" s="143"/>
      <c r="BR1046" s="143"/>
      <c r="BS1046" s="143"/>
      <c r="BT1046" s="143"/>
      <c r="BU1046" s="143"/>
    </row>
    <row r="1047" spans="1:73" s="73" customFormat="1" ht="15" customHeight="1">
      <c r="A1047" s="143"/>
      <c r="B1047" s="170"/>
      <c r="C1047" s="649"/>
      <c r="E1047" s="73" t="s">
        <v>2656</v>
      </c>
      <c r="N1047" s="73" t="s">
        <v>405</v>
      </c>
      <c r="P1047" s="76" t="s">
        <v>324</v>
      </c>
      <c r="R1047" s="2111">
        <f>IF(AE443="Tension",IF(AE467=0,AE453,(AE453-2*AE455-AE467*AE469)/(AE467+1)),IF(AE470=0,AE451,(AE461-AE470*AE472)/(AE470+1)))</f>
        <v>522.66666666666663</v>
      </c>
      <c r="S1047" s="2111"/>
      <c r="T1047" s="2111"/>
      <c r="U1047" s="1579" t="s">
        <v>999</v>
      </c>
      <c r="V1047" s="1561"/>
      <c r="W1047" s="76"/>
      <c r="X1047" s="1561"/>
      <c r="Y1047" s="1561"/>
      <c r="Z1047" s="1561"/>
      <c r="AA1047" s="124"/>
      <c r="AB1047" s="1612"/>
      <c r="AC1047" s="1612"/>
      <c r="AD1047" s="1612"/>
      <c r="AE1047" s="1612"/>
      <c r="AF1047" s="1561"/>
      <c r="AO1047" s="1561"/>
      <c r="AP1047" s="1561"/>
      <c r="AQ1047" s="1561"/>
      <c r="AS1047" s="1628" t="str">
        <f>IF(M986="Open Flange","Hide this row",IF(Q1044=0,"Hide this row",""))</f>
        <v/>
      </c>
      <c r="AT1047" s="143"/>
      <c r="AU1047" s="143"/>
      <c r="AV1047" s="143"/>
      <c r="AW1047" s="143"/>
      <c r="AX1047" s="143"/>
      <c r="AY1047" s="143"/>
      <c r="AZ1047" s="143"/>
      <c r="BA1047" s="143"/>
      <c r="BB1047" s="143"/>
      <c r="BC1047" s="143"/>
      <c r="BD1047" s="143"/>
      <c r="BE1047" s="143"/>
      <c r="BF1047" s="143"/>
      <c r="BG1047" s="143"/>
      <c r="BH1047" s="143"/>
      <c r="BI1047" s="143"/>
      <c r="BJ1047" s="143"/>
      <c r="BK1047" s="143"/>
      <c r="BL1047" s="143"/>
      <c r="BM1047" s="143"/>
      <c r="BN1047" s="143"/>
      <c r="BO1047" s="143"/>
      <c r="BP1047" s="143"/>
      <c r="BQ1047" s="143"/>
      <c r="BR1047" s="143"/>
      <c r="BS1047" s="143"/>
      <c r="BT1047" s="143"/>
      <c r="BU1047" s="143"/>
    </row>
    <row r="1048" spans="1:73" s="73" customFormat="1" ht="15" customHeight="1">
      <c r="A1048" s="143"/>
      <c r="B1048" s="170"/>
      <c r="C1048" s="649"/>
      <c r="D1048" s="170"/>
      <c r="H1048" s="170"/>
      <c r="L1048" s="170" t="s">
        <v>2462</v>
      </c>
      <c r="M1048" s="170"/>
      <c r="N1048" s="170" t="s">
        <v>425</v>
      </c>
      <c r="P1048" s="124" t="s">
        <v>324</v>
      </c>
      <c r="Q1048" s="170"/>
      <c r="R1048" s="122" t="str">
        <f>IF(Q1044=0,4,IF(Q1044=1,"1.0 ≤ [ 8Is / (wtfc³) ]¹‘³ ≤ 4.0","1.0 ≤ [ 0.894Is / (wtfc³) ]¹‘³ ≤ 4.0"))</f>
        <v>1.0 ≤ [ 0.894Is / (wtfc³) ]¹‘³ ≤ 4.0</v>
      </c>
      <c r="S1048" s="170"/>
      <c r="T1048" s="170"/>
      <c r="U1048" s="170"/>
      <c r="V1048" s="170"/>
      <c r="W1048" s="170"/>
      <c r="X1048" s="170"/>
      <c r="Y1048" s="170"/>
      <c r="Z1048" s="170"/>
      <c r="AA1048" s="170"/>
      <c r="AB1048" s="170"/>
      <c r="AC1048" s="170"/>
      <c r="AD1048" s="170"/>
      <c r="AE1048" s="170"/>
      <c r="AF1048" s="1539"/>
      <c r="AG1048" s="170"/>
      <c r="AH1048" s="170"/>
      <c r="AJ1048" s="143"/>
      <c r="AK1048" s="1561"/>
      <c r="AM1048" s="1561"/>
      <c r="AO1048" s="1561"/>
      <c r="AP1048" s="1561"/>
      <c r="AQ1048" s="1561"/>
      <c r="AS1048" s="1628" t="str">
        <f>IF(M986="Open Flange","Hide this row",IF(Q1044=0,"Hide this row",""))</f>
        <v/>
      </c>
      <c r="AT1048" s="143"/>
      <c r="AU1048" s="143"/>
      <c r="AV1048" s="143"/>
      <c r="AW1048" s="143"/>
      <c r="AX1048" s="143"/>
      <c r="AY1048" s="143"/>
      <c r="AZ1048" s="143"/>
      <c r="BA1048" s="143"/>
      <c r="BB1048" s="143"/>
      <c r="BC1048" s="143"/>
      <c r="BD1048" s="143"/>
      <c r="BE1048" s="143"/>
      <c r="BF1048" s="143"/>
      <c r="BG1048" s="143"/>
      <c r="BH1048" s="143"/>
      <c r="BI1048" s="143"/>
      <c r="BJ1048" s="143"/>
      <c r="BK1048" s="143"/>
      <c r="BL1048" s="143"/>
      <c r="BM1048" s="143"/>
      <c r="BN1048" s="143"/>
      <c r="BO1048" s="143"/>
      <c r="BP1048" s="143"/>
      <c r="BQ1048" s="143"/>
      <c r="BR1048" s="143"/>
      <c r="BS1048" s="143"/>
      <c r="BT1048" s="143"/>
      <c r="BU1048" s="143"/>
    </row>
    <row r="1049" spans="1:73" s="73" customFormat="1" ht="15" customHeight="1">
      <c r="A1049" s="143"/>
      <c r="B1049" s="170"/>
      <c r="C1049" s="649"/>
      <c r="D1049" s="170"/>
      <c r="E1049" s="170"/>
      <c r="F1049" s="170"/>
      <c r="G1049" s="170"/>
      <c r="H1049" s="170"/>
      <c r="P1049" s="124" t="s">
        <v>324</v>
      </c>
      <c r="R1049" s="89" t="s">
        <v>2663</v>
      </c>
      <c r="S1049" s="2143">
        <f>IF(Q1044=1,8,0.894)</f>
        <v>0.89400000000000002</v>
      </c>
      <c r="T1049" s="2143"/>
      <c r="U1049" s="2143"/>
      <c r="V1049" s="76" t="s">
        <v>2489</v>
      </c>
      <c r="W1049" s="2234">
        <f>+AB1045</f>
        <v>21845333.333333332</v>
      </c>
      <c r="X1049" s="2111"/>
      <c r="Y1049" s="2111"/>
      <c r="Z1049" s="2111"/>
      <c r="AA1049" s="124" t="s">
        <v>2662</v>
      </c>
      <c r="AB1049" s="170"/>
      <c r="AC1049" s="1862">
        <f>+R1047</f>
        <v>522.66666666666663</v>
      </c>
      <c r="AD1049" s="1862"/>
      <c r="AE1049" s="1862"/>
      <c r="AF1049" s="124" t="s">
        <v>2489</v>
      </c>
      <c r="AG1049" s="1862">
        <f>+R1046</f>
        <v>30</v>
      </c>
      <c r="AH1049" s="1862"/>
      <c r="AI1049" s="73" t="s">
        <v>2660</v>
      </c>
      <c r="AJ1049" s="76" t="s">
        <v>2664</v>
      </c>
      <c r="AK1049" s="1561"/>
      <c r="AM1049" s="1561"/>
      <c r="AO1049" s="1561"/>
      <c r="AP1049" s="1561"/>
      <c r="AQ1049" s="1561"/>
      <c r="AS1049" s="1628" t="str">
        <f>IF(M986="Open Flange","Hide this row",IF(Q1044=0,"Hide this row",""))</f>
        <v/>
      </c>
      <c r="AT1049" s="143"/>
      <c r="AU1049" s="143"/>
      <c r="AV1049" s="143"/>
      <c r="AW1049" s="143"/>
      <c r="AX1049" s="143"/>
      <c r="AY1049" s="143"/>
      <c r="AZ1049" s="143"/>
      <c r="BA1049" s="143"/>
      <c r="BB1049" s="143"/>
      <c r="BC1049" s="143"/>
      <c r="BD1049" s="143"/>
      <c r="BE1049" s="143"/>
      <c r="BF1049" s="143"/>
      <c r="BG1049" s="143"/>
      <c r="BH1049" s="143"/>
      <c r="BI1049" s="143"/>
      <c r="BJ1049" s="143"/>
      <c r="BK1049" s="143"/>
      <c r="BL1049" s="143"/>
      <c r="BM1049" s="143"/>
      <c r="BN1049" s="143"/>
      <c r="BO1049" s="143"/>
      <c r="BP1049" s="143"/>
      <c r="BQ1049" s="143"/>
      <c r="BR1049" s="143"/>
      <c r="BS1049" s="143"/>
      <c r="BT1049" s="143"/>
      <c r="BU1049" s="143"/>
    </row>
    <row r="1050" spans="1:73" s="73" customFormat="1" ht="15" customHeight="1">
      <c r="A1050" s="143"/>
      <c r="B1050" s="170"/>
      <c r="C1050" s="649"/>
      <c r="D1050" s="170"/>
      <c r="E1050" s="170"/>
      <c r="F1050" s="170"/>
      <c r="G1050" s="170"/>
      <c r="H1050" s="170"/>
      <c r="P1050" s="124" t="s">
        <v>324</v>
      </c>
      <c r="R1050" s="2241">
        <f>((S1049*W1049/AC1049/(AG1049^3))^(1/3))</f>
        <v>1.1143865855967701</v>
      </c>
      <c r="S1050" s="2241"/>
      <c r="T1050" s="2241"/>
      <c r="U1050" s="2241"/>
      <c r="W1050" s="73" t="str">
        <f>IF(R1050&lt;=1,"&lt; 1",IF(R1050&gt;=4," &gt;4","&gt; 1 and &lt; 4"))</f>
        <v>&gt; 1 and &lt; 4</v>
      </c>
      <c r="AD1050" s="73" t="s">
        <v>2665</v>
      </c>
      <c r="AG1050" s="2150">
        <f>MIN(MAX(R1050,1),4)</f>
        <v>1.1143865855967701</v>
      </c>
      <c r="AH1050" s="2124"/>
      <c r="AI1050" s="2124"/>
      <c r="AJ1050" s="143"/>
      <c r="AK1050" s="1561"/>
      <c r="AM1050" s="1561"/>
      <c r="AO1050" s="1561"/>
      <c r="AP1050" s="1561"/>
      <c r="AQ1050" s="1561"/>
      <c r="AS1050" s="1628" t="str">
        <f>IF(M986="Open Flange","Hide this row",IF(Q1044=0,"Hide this row",""))</f>
        <v/>
      </c>
      <c r="AT1050" s="143"/>
      <c r="AU1050" s="143"/>
      <c r="AV1050" s="143"/>
      <c r="AW1050" s="143"/>
      <c r="AX1050" s="143"/>
      <c r="AY1050" s="143"/>
      <c r="AZ1050" s="143"/>
      <c r="BA1050" s="143"/>
      <c r="BB1050" s="143"/>
      <c r="BC1050" s="143"/>
      <c r="BD1050" s="143"/>
      <c r="BE1050" s="143"/>
      <c r="BF1050" s="143"/>
      <c r="BG1050" s="143"/>
      <c r="BH1050" s="143"/>
      <c r="BI1050" s="143"/>
      <c r="BJ1050" s="143"/>
      <c r="BK1050" s="143"/>
      <c r="BL1050" s="143"/>
      <c r="BM1050" s="143"/>
      <c r="BN1050" s="143"/>
      <c r="BO1050" s="143"/>
      <c r="BP1050" s="143"/>
      <c r="BQ1050" s="143"/>
      <c r="BR1050" s="143"/>
      <c r="BS1050" s="143"/>
      <c r="BT1050" s="143"/>
      <c r="BU1050" s="143"/>
    </row>
    <row r="1051" spans="1:73" s="73" customFormat="1" ht="15" customHeight="1">
      <c r="A1051" s="143"/>
      <c r="B1051" s="170"/>
      <c r="C1051" s="649"/>
      <c r="D1051" s="170"/>
      <c r="E1051" s="170"/>
      <c r="F1051" s="170"/>
      <c r="G1051" s="170"/>
      <c r="H1051" s="170"/>
      <c r="P1051" s="124"/>
      <c r="R1051" s="1613"/>
      <c r="S1051" s="1613"/>
      <c r="T1051" s="1613"/>
      <c r="U1051" s="1613"/>
      <c r="AG1051" s="1590"/>
      <c r="AH1051" s="1572"/>
      <c r="AI1051" s="1572"/>
      <c r="AJ1051" s="143"/>
      <c r="AK1051" s="1561"/>
      <c r="AM1051" s="1561"/>
      <c r="AO1051" s="1561"/>
      <c r="AP1051" s="1561"/>
      <c r="AQ1051" s="1561"/>
      <c r="AS1051" s="1628" t="str">
        <f>IF(M986="Open Flange","Hide this row","")</f>
        <v/>
      </c>
      <c r="AT1051" s="143"/>
      <c r="AU1051" s="143"/>
      <c r="AV1051" s="143"/>
      <c r="AW1051" s="143"/>
      <c r="AX1051" s="143"/>
      <c r="AY1051" s="143"/>
      <c r="AZ1051" s="143"/>
      <c r="BA1051" s="143"/>
      <c r="BB1051" s="143"/>
      <c r="BC1051" s="143"/>
      <c r="BD1051" s="143"/>
      <c r="BE1051" s="143"/>
      <c r="BF1051" s="143"/>
      <c r="BG1051" s="143"/>
      <c r="BH1051" s="143"/>
      <c r="BI1051" s="143"/>
      <c r="BJ1051" s="143"/>
      <c r="BK1051" s="143"/>
      <c r="BL1051" s="143"/>
      <c r="BM1051" s="143"/>
      <c r="BN1051" s="143"/>
      <c r="BO1051" s="143"/>
      <c r="BP1051" s="143"/>
      <c r="BQ1051" s="143"/>
      <c r="BR1051" s="143"/>
      <c r="BS1051" s="143"/>
      <c r="BT1051" s="143"/>
      <c r="BU1051" s="143"/>
    </row>
    <row r="1052" spans="1:73" s="73" customFormat="1" ht="15" customHeight="1">
      <c r="A1052" s="143"/>
      <c r="B1052" s="170"/>
      <c r="C1052" s="170" t="s">
        <v>788</v>
      </c>
      <c r="D1052" s="170"/>
      <c r="E1052" s="170" t="s">
        <v>2666</v>
      </c>
      <c r="F1052" s="170"/>
      <c r="G1052" s="170"/>
      <c r="H1052" s="170"/>
      <c r="I1052" s="170"/>
      <c r="J1052" s="170"/>
      <c r="K1052" s="122"/>
      <c r="L1052" s="170"/>
      <c r="M1052" s="170"/>
      <c r="N1052" s="170"/>
      <c r="O1052" s="170"/>
      <c r="P1052" s="170"/>
      <c r="Q1052" s="170"/>
      <c r="R1052" s="170"/>
      <c r="S1052" s="170"/>
      <c r="T1052" s="170"/>
      <c r="U1052" s="170"/>
      <c r="V1052" s="170"/>
      <c r="W1052" s="170"/>
      <c r="X1052" s="170"/>
      <c r="Y1052" s="1539"/>
      <c r="Z1052" s="170"/>
      <c r="AA1052" s="170"/>
      <c r="AC1052" s="143"/>
      <c r="AD1052" s="1561"/>
      <c r="AF1052" s="1561"/>
      <c r="AO1052" s="1561"/>
      <c r="AP1052" s="1561"/>
      <c r="AQ1052" s="1561"/>
      <c r="AS1052" s="1628" t="str">
        <f>IF(M986="Open Flange","Hide this row","")</f>
        <v/>
      </c>
      <c r="AT1052" s="143"/>
      <c r="AU1052" s="143"/>
      <c r="AV1052" s="143"/>
      <c r="AW1052" s="143"/>
      <c r="AX1052" s="143"/>
      <c r="AY1052" s="143"/>
      <c r="AZ1052" s="143"/>
      <c r="BA1052" s="143"/>
      <c r="BB1052" s="143"/>
      <c r="BC1052" s="143"/>
      <c r="BD1052" s="143"/>
      <c r="BE1052" s="143"/>
      <c r="BF1052" s="143"/>
      <c r="BG1052" s="143"/>
      <c r="BH1052" s="143"/>
      <c r="BI1052" s="143"/>
      <c r="BJ1052" s="143"/>
      <c r="BK1052" s="143"/>
      <c r="BL1052" s="143"/>
      <c r="BM1052" s="143"/>
      <c r="BN1052" s="143"/>
      <c r="BO1052" s="143"/>
      <c r="BP1052" s="143"/>
      <c r="BQ1052" s="143"/>
      <c r="BR1052" s="143"/>
      <c r="BS1052" s="143"/>
      <c r="BT1052" s="143"/>
      <c r="BU1052" s="143"/>
    </row>
    <row r="1053" spans="1:73" s="73" customFormat="1" ht="15" customHeight="1">
      <c r="A1053" s="143"/>
      <c r="B1053" s="170"/>
      <c r="C1053" s="170"/>
      <c r="D1053" s="170"/>
      <c r="E1053" s="1414" t="s">
        <v>2728</v>
      </c>
      <c r="F1053" s="170"/>
      <c r="G1053" s="170"/>
      <c r="H1053" s="170"/>
      <c r="I1053" s="170"/>
      <c r="J1053" s="170"/>
      <c r="K1053" s="122"/>
      <c r="L1053" s="170"/>
      <c r="M1053" s="170"/>
      <c r="N1053" s="170"/>
      <c r="O1053" s="170"/>
      <c r="P1053" s="170" t="s">
        <v>2729</v>
      </c>
      <c r="Q1053" s="170"/>
      <c r="R1053" s="170"/>
      <c r="S1053" s="170"/>
      <c r="T1053" s="170"/>
      <c r="U1053" s="170"/>
      <c r="V1053" s="170"/>
      <c r="W1053" s="170"/>
      <c r="X1053" s="170"/>
      <c r="Y1053" s="1539"/>
      <c r="Z1053" s="170"/>
      <c r="AA1053" s="170"/>
      <c r="AC1053" s="115"/>
      <c r="AD1053" s="115"/>
      <c r="AE1053" s="115"/>
      <c r="AF1053" s="1561"/>
      <c r="AO1053" s="1561"/>
      <c r="AP1053" s="1561"/>
      <c r="AQ1053" s="1561"/>
      <c r="AS1053" s="1628" t="str">
        <f>IF(M986="Open Flange","Hide this row","")</f>
        <v/>
      </c>
      <c r="AT1053" s="143"/>
      <c r="AU1053" s="143"/>
      <c r="AV1053" s="143"/>
      <c r="AW1053" s="143"/>
      <c r="AX1053" s="143"/>
      <c r="AY1053" s="143"/>
      <c r="AZ1053" s="143"/>
      <c r="BA1053" s="143"/>
      <c r="BB1053" s="143"/>
      <c r="BC1053" s="143"/>
      <c r="BD1053" s="143"/>
      <c r="BE1053" s="143"/>
      <c r="BF1053" s="143"/>
      <c r="BG1053" s="143"/>
      <c r="BH1053" s="143"/>
      <c r="BI1053" s="143"/>
      <c r="BJ1053" s="143"/>
      <c r="BK1053" s="143"/>
      <c r="BL1053" s="143"/>
      <c r="BM1053" s="143"/>
      <c r="BN1053" s="143"/>
      <c r="BO1053" s="143"/>
      <c r="BP1053" s="143"/>
      <c r="BQ1053" s="143"/>
      <c r="BR1053" s="143"/>
      <c r="BS1053" s="143"/>
      <c r="BT1053" s="143"/>
      <c r="BU1053" s="143"/>
    </row>
    <row r="1054" spans="1:73" s="73" customFormat="1" ht="15" customHeight="1">
      <c r="A1054" s="143"/>
      <c r="B1054" s="170"/>
      <c r="C1054" s="170"/>
      <c r="D1054" s="170"/>
      <c r="E1054" s="124" t="s">
        <v>2657</v>
      </c>
      <c r="F1054" s="170"/>
      <c r="G1054" s="170" t="s">
        <v>2668</v>
      </c>
      <c r="H1054" s="170"/>
      <c r="I1054" s="170"/>
      <c r="J1054" s="170"/>
      <c r="K1054" s="122"/>
      <c r="L1054" s="170"/>
      <c r="N1054" s="170" t="s">
        <v>2617</v>
      </c>
      <c r="P1054" s="124" t="s">
        <v>324</v>
      </c>
      <c r="R1054" s="170" t="s">
        <v>2667</v>
      </c>
      <c r="X1054" s="170"/>
      <c r="Y1054" s="170"/>
      <c r="Z1054" s="170"/>
      <c r="AA1054" s="170"/>
      <c r="AB1054" s="170"/>
      <c r="AC1054" s="1539"/>
      <c r="AD1054" s="170"/>
      <c r="AE1054" s="170"/>
      <c r="AG1054" s="143"/>
      <c r="AH1054" s="1561"/>
      <c r="AO1054" s="1561"/>
      <c r="AP1054" s="1561"/>
      <c r="AQ1054" s="1561"/>
      <c r="AS1054" s="1628" t="str">
        <f>IF(M986="Open Flange","Hide this row","")</f>
        <v/>
      </c>
      <c r="AT1054" s="143"/>
      <c r="AU1054" s="143"/>
      <c r="AV1054" s="143"/>
      <c r="AW1054" s="143"/>
      <c r="AX1054" s="143"/>
      <c r="AY1054" s="143"/>
      <c r="AZ1054" s="143"/>
      <c r="BA1054" s="143"/>
      <c r="BB1054" s="143"/>
      <c r="BC1054" s="143"/>
      <c r="BD1054" s="143"/>
      <c r="BE1054" s="143"/>
      <c r="BF1054" s="143"/>
      <c r="BG1054" s="143"/>
      <c r="BH1054" s="143"/>
      <c r="BI1054" s="143"/>
      <c r="BJ1054" s="143"/>
      <c r="BK1054" s="143"/>
      <c r="BL1054" s="143"/>
      <c r="BM1054" s="143"/>
      <c r="BN1054" s="143"/>
      <c r="BO1054" s="143"/>
      <c r="BP1054" s="143"/>
      <c r="BQ1054" s="143"/>
      <c r="BR1054" s="143"/>
      <c r="BS1054" s="143"/>
      <c r="BT1054" s="143"/>
      <c r="BU1054" s="143"/>
    </row>
    <row r="1055" spans="1:73" s="73" customFormat="1" ht="15" customHeight="1">
      <c r="A1055" s="143"/>
      <c r="B1055" s="170"/>
      <c r="C1055" s="170"/>
      <c r="D1055" s="170"/>
      <c r="E1055" s="124"/>
      <c r="F1055" s="170"/>
      <c r="G1055" s="170"/>
      <c r="H1055" s="170"/>
      <c r="I1055" s="170"/>
      <c r="J1055" s="170"/>
      <c r="K1055" s="122"/>
      <c r="P1055" s="124" t="s">
        <v>324</v>
      </c>
      <c r="Q1055" s="124" t="s">
        <v>2506</v>
      </c>
      <c r="R1055" s="2094">
        <f>+AE461</f>
        <v>2400</v>
      </c>
      <c r="S1055" s="2094"/>
      <c r="T1055" s="2094"/>
      <c r="U1055" s="124" t="s">
        <v>391</v>
      </c>
      <c r="V1055" s="1862">
        <f>+AE453</f>
        <v>1840</v>
      </c>
      <c r="W1055" s="1862"/>
      <c r="X1055" s="1862"/>
      <c r="Y1055" s="124" t="s">
        <v>2544</v>
      </c>
      <c r="Z1055" s="170"/>
      <c r="AA1055" s="1862">
        <f>+AE455</f>
        <v>120</v>
      </c>
      <c r="AB1055" s="1862"/>
      <c r="AC1055" s="124" t="s">
        <v>3006</v>
      </c>
      <c r="AD1055" s="170"/>
      <c r="AE1055" s="170"/>
      <c r="AF1055" s="1862">
        <f>+AE454</f>
        <v>30</v>
      </c>
      <c r="AG1055" s="1862"/>
      <c r="AH1055" s="124" t="s">
        <v>391</v>
      </c>
      <c r="AI1055" s="1862">
        <f>+AE456</f>
        <v>3200</v>
      </c>
      <c r="AJ1055" s="1862"/>
      <c r="AK1055" s="1862"/>
      <c r="AL1055" s="124" t="s">
        <v>2545</v>
      </c>
      <c r="AN1055" s="143"/>
      <c r="AO1055" s="2111">
        <f>+AE452</f>
        <v>40</v>
      </c>
      <c r="AP1055" s="2111"/>
      <c r="AQ1055" s="1604" t="s">
        <v>2546</v>
      </c>
      <c r="AS1055" s="1628" t="str">
        <f>IF(M986="Open Flange","Hide this row","")</f>
        <v/>
      </c>
      <c r="AT1055" s="143"/>
      <c r="AU1055" s="143"/>
      <c r="AV1055" s="143"/>
      <c r="AW1055" s="143"/>
      <c r="AX1055" s="143"/>
      <c r="AY1055" s="143"/>
      <c r="AZ1055" s="143"/>
      <c r="BA1055" s="143"/>
      <c r="BB1055" s="143"/>
      <c r="BC1055" s="143"/>
      <c r="BD1055" s="143"/>
      <c r="BE1055" s="143"/>
      <c r="BF1055" s="143"/>
      <c r="BG1055" s="143"/>
      <c r="BH1055" s="143"/>
      <c r="BI1055" s="143"/>
      <c r="BJ1055" s="143"/>
      <c r="BK1055" s="143"/>
      <c r="BL1055" s="143"/>
      <c r="BM1055" s="143"/>
      <c r="BN1055" s="143"/>
      <c r="BO1055" s="143"/>
      <c r="BP1055" s="143"/>
      <c r="BQ1055" s="143"/>
      <c r="BR1055" s="143"/>
      <c r="BS1055" s="143"/>
      <c r="BT1055" s="143"/>
      <c r="BU1055" s="143"/>
    </row>
    <row r="1056" spans="1:73" s="73" customFormat="1" ht="15" customHeight="1">
      <c r="A1056" s="143"/>
      <c r="B1056" s="170"/>
      <c r="C1056" s="170"/>
      <c r="D1056" s="170"/>
      <c r="E1056" s="124"/>
      <c r="F1056" s="170"/>
      <c r="G1056" s="170"/>
      <c r="H1056" s="170"/>
      <c r="I1056" s="170"/>
      <c r="J1056" s="170"/>
      <c r="K1056" s="122"/>
      <c r="L1056" s="170"/>
      <c r="N1056" s="124"/>
      <c r="P1056" s="124" t="s">
        <v>324</v>
      </c>
      <c r="R1056" s="2111">
        <f>+(R1055+V1055-2*AA1055)*(0.5*AF1055+AI1055+0.5*AO1055)/2</f>
        <v>6470000</v>
      </c>
      <c r="S1056" s="2111"/>
      <c r="T1056" s="2111"/>
      <c r="U1056" s="2111"/>
      <c r="V1056" s="73" t="s">
        <v>1001</v>
      </c>
      <c r="AS1056" s="1628" t="str">
        <f>IF(M986="Open Flange","Hide this row","")</f>
        <v/>
      </c>
      <c r="AT1056" s="143"/>
      <c r="AU1056" s="143"/>
      <c r="AV1056" s="143"/>
      <c r="AW1056" s="143"/>
      <c r="AX1056" s="143"/>
      <c r="AY1056" s="143"/>
      <c r="AZ1056" s="143"/>
      <c r="BA1056" s="143"/>
      <c r="BB1056" s="143"/>
      <c r="BC1056" s="143"/>
      <c r="BD1056" s="143"/>
      <c r="BE1056" s="143"/>
      <c r="BF1056" s="143"/>
      <c r="BG1056" s="143"/>
      <c r="BH1056" s="143"/>
      <c r="BI1056" s="143"/>
      <c r="BJ1056" s="143"/>
      <c r="BK1056" s="143"/>
      <c r="BL1056" s="143"/>
      <c r="BM1056" s="143"/>
      <c r="BN1056" s="143"/>
      <c r="BO1056" s="143"/>
      <c r="BP1056" s="143"/>
      <c r="BQ1056" s="143"/>
      <c r="BR1056" s="143"/>
      <c r="BS1056" s="143"/>
      <c r="BT1056" s="143"/>
      <c r="BU1056" s="143"/>
    </row>
    <row r="1057" spans="1:73" s="73" customFormat="1" ht="15" customHeight="1">
      <c r="A1057" s="143"/>
      <c r="B1057" s="170"/>
      <c r="C1057" s="170"/>
      <c r="D1057" s="170"/>
      <c r="E1057" s="73" t="s">
        <v>2656</v>
      </c>
      <c r="G1057" s="73" t="s">
        <v>2661</v>
      </c>
      <c r="N1057" s="73" t="s">
        <v>839</v>
      </c>
      <c r="P1057" s="76" t="s">
        <v>324</v>
      </c>
      <c r="R1057" s="2136">
        <f>+R1046</f>
        <v>30</v>
      </c>
      <c r="S1057" s="2136"/>
      <c r="T1057" s="2136"/>
      <c r="U1057" s="1579" t="s">
        <v>999</v>
      </c>
      <c r="AS1057" s="1628" t="str">
        <f>IF(M986="Open Flange","Hide this row","")</f>
        <v/>
      </c>
      <c r="AT1057" s="143"/>
      <c r="AU1057" s="143"/>
      <c r="AV1057" s="143"/>
      <c r="AW1057" s="143"/>
      <c r="AX1057" s="143"/>
      <c r="AY1057" s="143"/>
      <c r="AZ1057" s="143"/>
      <c r="BA1057" s="143"/>
      <c r="BB1057" s="143"/>
      <c r="BC1057" s="143"/>
      <c r="BD1057" s="143"/>
      <c r="BE1057" s="143"/>
      <c r="BF1057" s="143"/>
      <c r="BG1057" s="143"/>
      <c r="BH1057" s="143"/>
      <c r="BI1057" s="143"/>
      <c r="BJ1057" s="143"/>
      <c r="BK1057" s="143"/>
      <c r="BL1057" s="143"/>
      <c r="BM1057" s="143"/>
      <c r="BN1057" s="143"/>
      <c r="BO1057" s="143"/>
      <c r="BP1057" s="143"/>
      <c r="BQ1057" s="143"/>
      <c r="BR1057" s="143"/>
      <c r="BS1057" s="143"/>
      <c r="BT1057" s="143"/>
      <c r="BU1057" s="143"/>
    </row>
    <row r="1058" spans="1:73" s="73" customFormat="1" ht="15" customHeight="1">
      <c r="A1058" s="143"/>
      <c r="B1058" s="170"/>
      <c r="C1058" s="649"/>
      <c r="E1058" s="73" t="s">
        <v>2656</v>
      </c>
      <c r="G1058" s="73" t="s">
        <v>2426</v>
      </c>
      <c r="N1058" s="73" t="s">
        <v>400</v>
      </c>
      <c r="P1058" s="76" t="s">
        <v>324</v>
      </c>
      <c r="R1058" s="73" t="s">
        <v>2670</v>
      </c>
      <c r="T1058" s="76"/>
      <c r="Y1058" s="1211"/>
      <c r="Z1058" s="1211"/>
      <c r="AA1058" s="76"/>
      <c r="AB1058" s="76" t="s">
        <v>324</v>
      </c>
      <c r="AD1058" s="73" t="s">
        <v>2547</v>
      </c>
      <c r="AF1058" s="76"/>
      <c r="AG1058" s="2111">
        <f>+AE489</f>
        <v>-9.6199999999999992</v>
      </c>
      <c r="AH1058" s="2111"/>
      <c r="AI1058" s="2111"/>
      <c r="AJ1058" s="1415" t="s">
        <v>391</v>
      </c>
      <c r="AK1058" s="2111">
        <f>+AE490</f>
        <v>0.23</v>
      </c>
      <c r="AL1058" s="2111"/>
      <c r="AM1058" s="2111"/>
      <c r="AN1058" s="1571" t="s">
        <v>391</v>
      </c>
      <c r="AO1058" s="2111">
        <f>+AE491</f>
        <v>-53.55</v>
      </c>
      <c r="AP1058" s="2111"/>
      <c r="AQ1058" s="2111"/>
      <c r="AR1058" s="1416" t="s">
        <v>2512</v>
      </c>
      <c r="AS1058" s="1628" t="str">
        <f>IF(M986="Open Flange","Hide this row","")</f>
        <v/>
      </c>
      <c r="AT1058" s="143"/>
      <c r="AU1058" s="143"/>
      <c r="AV1058" s="143"/>
      <c r="AW1058" s="143"/>
      <c r="AX1058" s="143"/>
      <c r="AY1058" s="143"/>
      <c r="AZ1058" s="143"/>
      <c r="BA1058" s="143"/>
      <c r="BB1058" s="143"/>
      <c r="BC1058" s="143"/>
      <c r="BD1058" s="143"/>
      <c r="BE1058" s="143"/>
      <c r="BF1058" s="143"/>
      <c r="BG1058" s="143"/>
      <c r="BH1058" s="143"/>
      <c r="BI1058" s="143"/>
      <c r="BJ1058" s="143"/>
      <c r="BK1058" s="143"/>
      <c r="BL1058" s="143"/>
      <c r="BM1058" s="143"/>
      <c r="BN1058" s="143"/>
      <c r="BO1058" s="143"/>
      <c r="BP1058" s="143"/>
      <c r="BQ1058" s="143"/>
      <c r="BR1058" s="143"/>
      <c r="BS1058" s="143"/>
      <c r="BT1058" s="143"/>
      <c r="BU1058" s="143"/>
    </row>
    <row r="1059" spans="1:73" s="73" customFormat="1" ht="15" customHeight="1">
      <c r="A1059" s="143"/>
      <c r="B1059" s="170"/>
      <c r="C1059" s="649"/>
      <c r="P1059" s="76" t="s">
        <v>324</v>
      </c>
      <c r="R1059" s="2192">
        <f>1.25*(AG1058+AK1058+AO1058)</f>
        <v>-78.674999999999997</v>
      </c>
      <c r="S1059" s="2192"/>
      <c r="T1059" s="2192"/>
      <c r="U1059" s="2192"/>
      <c r="V1059" s="1579" t="s">
        <v>1005</v>
      </c>
      <c r="W1059" s="1211"/>
      <c r="AG1059" s="1612"/>
      <c r="AH1059" s="1612"/>
      <c r="AI1059" s="1612"/>
      <c r="AO1059" s="1561"/>
      <c r="AP1059" s="1561"/>
      <c r="AQ1059" s="1561"/>
      <c r="AS1059" s="1628" t="str">
        <f>IF(M986="Open Flange","Hide this row","")</f>
        <v/>
      </c>
      <c r="AT1059" s="143"/>
      <c r="AU1059" s="143"/>
      <c r="AV1059" s="143"/>
      <c r="AW1059" s="143"/>
      <c r="AX1059" s="143"/>
      <c r="AY1059" s="143"/>
      <c r="AZ1059" s="143"/>
      <c r="BA1059" s="143"/>
      <c r="BB1059" s="143"/>
      <c r="BC1059" s="143"/>
      <c r="BD1059" s="143"/>
      <c r="BE1059" s="143"/>
      <c r="BF1059" s="143"/>
      <c r="BG1059" s="143"/>
      <c r="BH1059" s="143"/>
      <c r="BI1059" s="143"/>
      <c r="BJ1059" s="143"/>
      <c r="BK1059" s="143"/>
      <c r="BL1059" s="143"/>
      <c r="BM1059" s="143"/>
      <c r="BN1059" s="143"/>
      <c r="BO1059" s="143"/>
      <c r="BP1059" s="143"/>
      <c r="BQ1059" s="143"/>
      <c r="BR1059" s="143"/>
      <c r="BS1059" s="143"/>
      <c r="BT1059" s="143"/>
      <c r="BU1059" s="143"/>
    </row>
    <row r="1060" spans="1:73" s="73" customFormat="1" ht="15" customHeight="1">
      <c r="A1060" s="143"/>
      <c r="B1060" s="170"/>
      <c r="C1060" s="170"/>
      <c r="D1060" s="170"/>
      <c r="E1060" s="170" t="s">
        <v>2671</v>
      </c>
      <c r="F1060" s="170"/>
      <c r="H1060" s="170"/>
      <c r="I1060" s="170"/>
      <c r="J1060" s="170"/>
      <c r="K1060" s="122"/>
      <c r="L1060" s="170"/>
      <c r="M1060" s="170"/>
      <c r="N1060" s="170" t="s">
        <v>2619</v>
      </c>
      <c r="O1060" s="170"/>
      <c r="P1060" s="76" t="s">
        <v>324</v>
      </c>
      <c r="Q1060" s="170"/>
      <c r="R1060" s="170" t="s">
        <v>2730</v>
      </c>
      <c r="W1060" s="76" t="s">
        <v>324</v>
      </c>
      <c r="Y1060" s="2093">
        <f>+R1059</f>
        <v>-78.674999999999997</v>
      </c>
      <c r="Z1060" s="1862"/>
      <c r="AA1060" s="1862"/>
      <c r="AB1060" s="124" t="s">
        <v>2672</v>
      </c>
      <c r="AC1060" s="170"/>
      <c r="AD1060" s="170"/>
      <c r="AE1060" s="1862">
        <f>+R1056/10^6</f>
        <v>6.47</v>
      </c>
      <c r="AF1060" s="1862"/>
      <c r="AG1060" s="1862"/>
      <c r="AH1060" s="741" t="s">
        <v>2489</v>
      </c>
      <c r="AI1060" s="2111">
        <f>+R1057/1000</f>
        <v>0.03</v>
      </c>
      <c r="AJ1060" s="2111"/>
      <c r="AK1060" s="2111"/>
      <c r="AL1060" s="76" t="s">
        <v>2512</v>
      </c>
      <c r="AS1060" s="1628" t="str">
        <f>IF(M986="Open Flange","Hide this row","")</f>
        <v/>
      </c>
      <c r="AT1060" s="143"/>
      <c r="AU1060" s="143"/>
      <c r="AV1060" s="143"/>
      <c r="AW1060" s="143"/>
      <c r="AX1060" s="143"/>
      <c r="AY1060" s="143"/>
      <c r="AZ1060" s="143"/>
      <c r="BA1060" s="143"/>
      <c r="BB1060" s="143"/>
      <c r="BC1060" s="143"/>
      <c r="BD1060" s="143"/>
      <c r="BE1060" s="143"/>
      <c r="BF1060" s="143"/>
      <c r="BG1060" s="143"/>
      <c r="BH1060" s="143"/>
      <c r="BI1060" s="143"/>
      <c r="BJ1060" s="143"/>
      <c r="BK1060" s="143"/>
      <c r="BL1060" s="143"/>
      <c r="BM1060" s="143"/>
      <c r="BN1060" s="143"/>
      <c r="BO1060" s="143"/>
      <c r="BP1060" s="143"/>
      <c r="BQ1060" s="143"/>
      <c r="BR1060" s="143"/>
      <c r="BS1060" s="143"/>
      <c r="BT1060" s="143"/>
      <c r="BU1060" s="143"/>
    </row>
    <row r="1061" spans="1:73" s="73" customFormat="1" ht="15" customHeight="1">
      <c r="A1061" s="143"/>
      <c r="B1061" s="170"/>
      <c r="P1061" s="76" t="s">
        <v>324</v>
      </c>
      <c r="R1061" s="2111">
        <f>Y1060/(2*AE1060*AI1060)</f>
        <v>-202.66615146831529</v>
      </c>
      <c r="S1061" s="2111"/>
      <c r="T1061" s="2111"/>
      <c r="U1061" s="73" t="s">
        <v>2673</v>
      </c>
      <c r="V1061" s="170"/>
      <c r="W1061" s="170"/>
      <c r="X1061" s="124" t="s">
        <v>324</v>
      </c>
      <c r="Y1061" s="1539"/>
      <c r="Z1061" s="2169">
        <f>+R1061/1000</f>
        <v>-0.20266615146831529</v>
      </c>
      <c r="AA1061" s="2169"/>
      <c r="AB1061" s="2169"/>
      <c r="AC1061" s="143" t="s">
        <v>1012</v>
      </c>
      <c r="AD1061" s="1561"/>
      <c r="AF1061" s="1561"/>
      <c r="AO1061" s="1561"/>
      <c r="AP1061" s="1561"/>
      <c r="AQ1061" s="1561"/>
      <c r="AS1061" s="1628" t="str">
        <f>IF(M986="Open Flange","Hide this row","")</f>
        <v/>
      </c>
      <c r="AT1061" s="143"/>
      <c r="AU1061" s="143"/>
      <c r="AV1061" s="143"/>
      <c r="AW1061" s="143"/>
      <c r="AX1061" s="143"/>
      <c r="AY1061" s="143"/>
      <c r="AZ1061" s="143"/>
      <c r="BA1061" s="143"/>
      <c r="BB1061" s="143"/>
      <c r="BC1061" s="143"/>
      <c r="BD1061" s="143"/>
      <c r="BE1061" s="143"/>
      <c r="BF1061" s="143"/>
      <c r="BG1061" s="143"/>
      <c r="BH1061" s="143"/>
      <c r="BI1061" s="143"/>
      <c r="BJ1061" s="143"/>
      <c r="BK1061" s="143"/>
      <c r="BL1061" s="143"/>
      <c r="BM1061" s="143"/>
      <c r="BN1061" s="143"/>
      <c r="BO1061" s="143"/>
      <c r="BP1061" s="143"/>
      <c r="BQ1061" s="143"/>
      <c r="BR1061" s="143"/>
      <c r="BS1061" s="143"/>
      <c r="BT1061" s="143"/>
      <c r="BU1061" s="143"/>
    </row>
    <row r="1062" spans="1:73" s="73" customFormat="1" ht="15" customHeight="1">
      <c r="A1062" s="143"/>
      <c r="B1062" s="170"/>
      <c r="M1062" s="170" t="s">
        <v>2462</v>
      </c>
      <c r="N1062" s="1419" t="s">
        <v>2674</v>
      </c>
      <c r="P1062" s="76" t="s">
        <v>324</v>
      </c>
      <c r="R1062" s="1414" t="s">
        <v>2675</v>
      </c>
      <c r="U1062" s="2111">
        <f>+Z1061</f>
        <v>-0.20266615146831529</v>
      </c>
      <c r="V1062" s="2111"/>
      <c r="W1062" s="2111"/>
      <c r="X1062" s="124" t="s">
        <v>2490</v>
      </c>
      <c r="Y1062" s="2096">
        <f>+AE509</f>
        <v>380</v>
      </c>
      <c r="Z1062" s="1862"/>
      <c r="AA1062" s="1862"/>
      <c r="AB1062" s="76" t="s">
        <v>2676</v>
      </c>
      <c r="AC1062" s="143"/>
      <c r="AD1062" s="1561"/>
      <c r="AF1062" s="76" t="s">
        <v>324</v>
      </c>
      <c r="AH1062" s="2150">
        <f>+SQRT(1-(U1062/Y1062)^2)</f>
        <v>0.99999985777849076</v>
      </c>
      <c r="AI1062" s="2150"/>
      <c r="AJ1062" s="2150"/>
      <c r="AO1062" s="1561"/>
      <c r="AP1062" s="1561"/>
      <c r="AQ1062" s="1561"/>
      <c r="AS1062" s="1628" t="str">
        <f>IF(M986="Open Flange","Hide this row","")</f>
        <v/>
      </c>
      <c r="AT1062" s="143"/>
      <c r="AU1062" s="143"/>
      <c r="AV1062" s="143"/>
      <c r="AW1062" s="143"/>
      <c r="AX1062" s="143"/>
      <c r="AY1062" s="143"/>
      <c r="AZ1062" s="143"/>
      <c r="BA1062" s="143"/>
      <c r="BB1062" s="143"/>
      <c r="BC1062" s="143"/>
      <c r="BD1062" s="143"/>
      <c r="BE1062" s="143"/>
      <c r="BF1062" s="143"/>
      <c r="BG1062" s="143"/>
      <c r="BH1062" s="143"/>
      <c r="BI1062" s="143"/>
      <c r="BJ1062" s="143"/>
      <c r="BK1062" s="143"/>
      <c r="BL1062" s="143"/>
      <c r="BM1062" s="143"/>
      <c r="BN1062" s="143"/>
      <c r="BO1062" s="143"/>
      <c r="BP1062" s="143"/>
      <c r="BQ1062" s="143"/>
      <c r="BR1062" s="143"/>
      <c r="BS1062" s="143"/>
      <c r="BT1062" s="143"/>
      <c r="BU1062" s="143"/>
    </row>
    <row r="1063" spans="1:73" s="73" customFormat="1" ht="15" customHeight="1">
      <c r="A1063" s="143"/>
      <c r="B1063" s="170"/>
      <c r="W1063" s="170"/>
      <c r="AS1063" s="1628" t="str">
        <f>IF(M986="Open Flange","Hide this row","")</f>
        <v/>
      </c>
      <c r="AT1063" s="143"/>
      <c r="AU1063" s="143"/>
      <c r="AV1063" s="143"/>
      <c r="AW1063" s="143"/>
      <c r="AX1063" s="143"/>
      <c r="AY1063" s="143"/>
      <c r="AZ1063" s="143"/>
      <c r="BA1063" s="143"/>
      <c r="BB1063" s="143"/>
      <c r="BC1063" s="143"/>
      <c r="BD1063" s="143"/>
      <c r="BE1063" s="143"/>
      <c r="BF1063" s="143"/>
      <c r="BG1063" s="143"/>
      <c r="BH1063" s="143"/>
      <c r="BI1063" s="143"/>
      <c r="BJ1063" s="143"/>
      <c r="BK1063" s="143"/>
      <c r="BL1063" s="143"/>
      <c r="BM1063" s="143"/>
      <c r="BN1063" s="143"/>
      <c r="BO1063" s="143"/>
      <c r="BP1063" s="143"/>
      <c r="BQ1063" s="143"/>
      <c r="BR1063" s="143"/>
      <c r="BS1063" s="143"/>
      <c r="BT1063" s="143"/>
      <c r="BU1063" s="143"/>
    </row>
    <row r="1064" spans="1:73" s="73" customFormat="1" ht="15" customHeight="1">
      <c r="A1064" s="143"/>
      <c r="B1064" s="170"/>
      <c r="C1064" s="73" t="s">
        <v>789</v>
      </c>
      <c r="E1064" s="73" t="s">
        <v>2727</v>
      </c>
      <c r="P1064" s="76"/>
      <c r="R1064" s="1590"/>
      <c r="S1064" s="1590"/>
      <c r="T1064" s="1590"/>
      <c r="W1064" s="170"/>
      <c r="AF1064" s="76"/>
      <c r="AP1064" s="1561"/>
      <c r="AQ1064" s="1561"/>
      <c r="AS1064" s="1628" t="str">
        <f>IF(M986="Open Flange","Hide this row","")</f>
        <v/>
      </c>
      <c r="AT1064" s="143"/>
      <c r="AU1064" s="143"/>
      <c r="AV1064" s="143"/>
      <c r="AW1064" s="143"/>
      <c r="AX1064" s="143"/>
      <c r="AY1064" s="143"/>
      <c r="AZ1064" s="143"/>
      <c r="BA1064" s="143"/>
      <c r="BB1064" s="143"/>
      <c r="BC1064" s="143"/>
      <c r="BD1064" s="143"/>
      <c r="BE1064" s="143"/>
      <c r="BF1064" s="143"/>
      <c r="BG1064" s="143"/>
      <c r="BH1064" s="143"/>
      <c r="BI1064" s="143"/>
      <c r="BJ1064" s="143"/>
      <c r="BK1064" s="143"/>
      <c r="BL1064" s="143"/>
      <c r="BM1064" s="143"/>
      <c r="BN1064" s="143"/>
      <c r="BO1064" s="143"/>
      <c r="BP1064" s="143"/>
      <c r="BQ1064" s="143"/>
      <c r="BR1064" s="143"/>
      <c r="BS1064" s="143"/>
      <c r="BT1064" s="143"/>
      <c r="BU1064" s="143"/>
    </row>
    <row r="1065" spans="1:73" s="73" customFormat="1" ht="15" customHeight="1">
      <c r="A1065" s="143"/>
      <c r="B1065" s="170"/>
      <c r="D1065" s="1450"/>
      <c r="E1065" s="1444" t="s">
        <v>2651</v>
      </c>
      <c r="F1065" s="1443"/>
      <c r="G1065" s="1451" t="s">
        <v>324</v>
      </c>
      <c r="H1065" s="1443"/>
      <c r="I1065" s="1443" t="str">
        <f>IF(P1040="보강된 플랜지","w / tfc","bfc / tfc")</f>
        <v>w / tfc</v>
      </c>
      <c r="J1065" s="1443"/>
      <c r="K1065" s="1442"/>
      <c r="L1065" s="1442"/>
      <c r="M1065" s="1451" t="s">
        <v>324</v>
      </c>
      <c r="N1065" s="1443"/>
      <c r="O1065" s="2114">
        <f>R1047</f>
        <v>522.66666666666663</v>
      </c>
      <c r="P1065" s="2114"/>
      <c r="Q1065" s="2114"/>
      <c r="R1065" s="1451" t="s">
        <v>2490</v>
      </c>
      <c r="S1065" s="2135">
        <f>+R1046</f>
        <v>30</v>
      </c>
      <c r="T1065" s="2135"/>
      <c r="U1065" s="2135"/>
      <c r="V1065" s="1442"/>
      <c r="W1065" s="1443"/>
      <c r="X1065" s="1442"/>
      <c r="Y1065" s="1442"/>
      <c r="Z1065" s="1442"/>
      <c r="AA1065" s="1442"/>
      <c r="AB1065" s="1442"/>
      <c r="AC1065" s="1442"/>
      <c r="AD1065" s="1442"/>
      <c r="AE1065" s="1442"/>
      <c r="AF1065" s="1453"/>
      <c r="AG1065" s="1442"/>
      <c r="AH1065" s="1442"/>
      <c r="AI1065" s="1442"/>
      <c r="AJ1065" s="1442"/>
      <c r="AK1065" s="1442"/>
      <c r="AL1065" s="1442"/>
      <c r="AM1065" s="1442"/>
      <c r="AN1065" s="1442"/>
      <c r="AO1065" s="1442"/>
      <c r="AP1065" s="1454"/>
      <c r="AQ1065" s="1561"/>
      <c r="AS1065" s="1628" t="str">
        <f>IF(M986="Open Flange","Hide this row","")</f>
        <v/>
      </c>
      <c r="AT1065" s="143"/>
      <c r="AU1065" s="143"/>
      <c r="AV1065" s="143"/>
      <c r="AW1065" s="143"/>
      <c r="AX1065" s="143"/>
      <c r="AY1065" s="143"/>
      <c r="AZ1065" s="143"/>
      <c r="BA1065" s="143"/>
      <c r="BB1065" s="143"/>
      <c r="BC1065" s="143"/>
      <c r="BD1065" s="143"/>
      <c r="BE1065" s="143"/>
      <c r="BF1065" s="143"/>
      <c r="BG1065" s="143"/>
      <c r="BH1065" s="143"/>
      <c r="BI1065" s="143"/>
      <c r="BJ1065" s="143"/>
      <c r="BK1065" s="143"/>
      <c r="BL1065" s="143"/>
      <c r="BM1065" s="143"/>
      <c r="BN1065" s="143"/>
      <c r="BO1065" s="143"/>
      <c r="BP1065" s="143"/>
      <c r="BQ1065" s="143"/>
      <c r="BR1065" s="143"/>
      <c r="BS1065" s="143"/>
      <c r="BT1065" s="143"/>
      <c r="BU1065" s="143"/>
    </row>
    <row r="1066" spans="1:73" s="73" customFormat="1" ht="15" customHeight="1">
      <c r="A1066" s="143"/>
      <c r="B1066" s="170"/>
      <c r="D1066" s="1455"/>
      <c r="E1066" s="122"/>
      <c r="F1066" s="122"/>
      <c r="G1066" s="124" t="s">
        <v>324</v>
      </c>
      <c r="H1066" s="122"/>
      <c r="I1066" s="2169">
        <f>+O1065/S1065</f>
        <v>17.422222222222221</v>
      </c>
      <c r="J1066" s="2169"/>
      <c r="K1066" s="2169"/>
      <c r="L1066" s="122"/>
      <c r="M1066" s="122"/>
      <c r="N1066" s="122"/>
      <c r="O1066" s="122"/>
      <c r="P1066" s="122"/>
      <c r="Q1066" s="122"/>
      <c r="R1066" s="122"/>
      <c r="S1066" s="122"/>
      <c r="T1066" s="122"/>
      <c r="U1066" s="122"/>
      <c r="V1066" s="122"/>
      <c r="W1066" s="170"/>
      <c r="X1066" s="122"/>
      <c r="Y1066" s="122"/>
      <c r="Z1066" s="122"/>
      <c r="AA1066" s="122"/>
      <c r="AB1066" s="122"/>
      <c r="AC1066" s="122"/>
      <c r="AD1066" s="122"/>
      <c r="AE1066" s="122"/>
      <c r="AF1066" s="74"/>
      <c r="AG1066" s="122"/>
      <c r="AH1066" s="122"/>
      <c r="AI1066" s="122"/>
      <c r="AJ1066" s="122"/>
      <c r="AK1066" s="122"/>
      <c r="AL1066" s="122"/>
      <c r="AM1066" s="122"/>
      <c r="AN1066" s="122"/>
      <c r="AO1066" s="122"/>
      <c r="AP1066" s="1456"/>
      <c r="AQ1066" s="1561"/>
      <c r="AS1066" s="1628" t="str">
        <f>IF(M986="Open Flange","Hide this row","")</f>
        <v/>
      </c>
      <c r="AT1066" s="143"/>
      <c r="AU1066" s="143"/>
      <c r="AV1066" s="143"/>
      <c r="AW1066" s="143"/>
      <c r="AX1066" s="143"/>
      <c r="AY1066" s="143"/>
      <c r="AZ1066" s="143"/>
      <c r="BA1066" s="143"/>
      <c r="BB1066" s="143"/>
      <c r="BC1066" s="143"/>
      <c r="BD1066" s="143"/>
      <c r="BE1066" s="143"/>
      <c r="BF1066" s="143"/>
      <c r="BG1066" s="143"/>
      <c r="BH1066" s="143"/>
      <c r="BI1066" s="143"/>
      <c r="BJ1066" s="143"/>
      <c r="BK1066" s="143"/>
      <c r="BL1066" s="143"/>
      <c r="BM1066" s="143"/>
      <c r="BN1066" s="143"/>
      <c r="BO1066" s="143"/>
      <c r="BP1066" s="143"/>
      <c r="BQ1066" s="143"/>
      <c r="BR1066" s="143"/>
      <c r="BS1066" s="143"/>
      <c r="BT1066" s="143"/>
      <c r="BU1066" s="143"/>
    </row>
    <row r="1067" spans="1:73" s="73" customFormat="1" ht="15" customHeight="1">
      <c r="A1067" s="170"/>
      <c r="B1067" s="143"/>
      <c r="C1067" s="170"/>
      <c r="D1067" s="1210"/>
      <c r="E1067" s="1413" t="s">
        <v>2653</v>
      </c>
      <c r="F1067" s="170"/>
      <c r="G1067" s="124" t="s">
        <v>324</v>
      </c>
      <c r="H1067" s="170"/>
      <c r="I1067" s="170" t="s">
        <v>2652</v>
      </c>
      <c r="J1067" s="170"/>
      <c r="K1067" s="122"/>
      <c r="L1067" s="170"/>
      <c r="M1067" s="170"/>
      <c r="N1067" s="170"/>
      <c r="O1067" s="170"/>
      <c r="P1067" s="170"/>
      <c r="Q1067" s="170"/>
      <c r="R1067" s="170"/>
      <c r="S1067" s="124" t="s">
        <v>324</v>
      </c>
      <c r="T1067" s="170" t="s">
        <v>2678</v>
      </c>
      <c r="U1067" s="122"/>
      <c r="V1067" s="122"/>
      <c r="W1067" s="2142">
        <f>+AE504</f>
        <v>210000</v>
      </c>
      <c r="X1067" s="2143"/>
      <c r="Y1067" s="2143"/>
      <c r="Z1067" s="2143"/>
      <c r="AA1067" s="74" t="s">
        <v>2489</v>
      </c>
      <c r="AB1067" s="2143">
        <f>IF(Q1044=0,R1043,AG1050)</f>
        <v>1.1143865855967701</v>
      </c>
      <c r="AC1067" s="2143"/>
      <c r="AD1067" s="2143"/>
      <c r="AE1067" s="74" t="s">
        <v>2490</v>
      </c>
      <c r="AF1067" s="124" t="s">
        <v>2506</v>
      </c>
      <c r="AG1067" s="2095">
        <f>+AH1062</f>
        <v>0.99999985777849076</v>
      </c>
      <c r="AH1067" s="1862"/>
      <c r="AI1067" s="1862"/>
      <c r="AJ1067" s="74" t="s">
        <v>2677</v>
      </c>
      <c r="AK1067" s="53"/>
      <c r="AL1067" s="53"/>
      <c r="AM1067" s="2142">
        <f>+Y1062</f>
        <v>380</v>
      </c>
      <c r="AN1067" s="2143"/>
      <c r="AO1067" s="2143"/>
      <c r="AP1067" s="1457" t="s">
        <v>2679</v>
      </c>
      <c r="AQ1067" s="1561"/>
      <c r="AS1067" s="1628" t="str">
        <f>IF(M986="Open Flange","Hide this row","")</f>
        <v/>
      </c>
      <c r="AT1067" s="143"/>
      <c r="AU1067" s="143"/>
      <c r="AV1067" s="143"/>
      <c r="AW1067" s="143"/>
      <c r="AX1067" s="143"/>
      <c r="AY1067" s="143"/>
      <c r="AZ1067" s="143"/>
      <c r="BA1067" s="143"/>
      <c r="BB1067" s="143"/>
      <c r="BC1067" s="143"/>
      <c r="BD1067" s="143"/>
      <c r="BE1067" s="143"/>
      <c r="BF1067" s="143"/>
      <c r="BG1067" s="143"/>
      <c r="BH1067" s="143"/>
      <c r="BI1067" s="143"/>
      <c r="BJ1067" s="143"/>
      <c r="BK1067" s="143"/>
      <c r="BL1067" s="143"/>
      <c r="BM1067" s="143"/>
      <c r="BN1067" s="143"/>
      <c r="BO1067" s="143"/>
      <c r="BP1067" s="143"/>
      <c r="BQ1067" s="143"/>
      <c r="BR1067" s="143"/>
      <c r="BS1067" s="143"/>
      <c r="BT1067" s="143"/>
      <c r="BU1067" s="143"/>
    </row>
    <row r="1068" spans="1:73" s="73" customFormat="1" ht="15" customHeight="1">
      <c r="A1068" s="170"/>
      <c r="B1068" s="143"/>
      <c r="C1068" s="649"/>
      <c r="D1068" s="1210"/>
      <c r="E1068" s="1413"/>
      <c r="F1068" s="170"/>
      <c r="G1068" s="74" t="s">
        <v>324</v>
      </c>
      <c r="H1068" s="122"/>
      <c r="I1068" s="2239">
        <f>0.95*SQRT(W1067*AB1067/(AG1067-0.3)/AM1067)</f>
        <v>28.178016316938415</v>
      </c>
      <c r="J1068" s="2239"/>
      <c r="K1068" s="2239"/>
      <c r="L1068" s="122"/>
      <c r="M1068" s="122"/>
      <c r="N1068" s="122"/>
      <c r="O1068" s="122"/>
      <c r="P1068" s="122"/>
      <c r="Q1068" s="122"/>
      <c r="R1068" s="122"/>
      <c r="S1068" s="122"/>
      <c r="T1068" s="122"/>
      <c r="U1068" s="122"/>
      <c r="V1068" s="122"/>
      <c r="W1068" s="122"/>
      <c r="X1068" s="122"/>
      <c r="Y1068" s="122"/>
      <c r="Z1068" s="122"/>
      <c r="AA1068" s="122"/>
      <c r="AB1068" s="122"/>
      <c r="AC1068" s="122"/>
      <c r="AD1068" s="122"/>
      <c r="AE1068" s="122"/>
      <c r="AF1068" s="122"/>
      <c r="AG1068" s="122"/>
      <c r="AH1068" s="122"/>
      <c r="AI1068" s="122"/>
      <c r="AJ1068" s="122"/>
      <c r="AK1068" s="122"/>
      <c r="AL1068" s="122"/>
      <c r="AM1068" s="122"/>
      <c r="AN1068" s="122"/>
      <c r="AO1068" s="122"/>
      <c r="AP1068" s="1456"/>
      <c r="AQ1068" s="1561"/>
      <c r="AS1068" s="1628" t="str">
        <f>IF(M986="Open Flange","Hide this row","")</f>
        <v/>
      </c>
      <c r="AT1068" s="143"/>
      <c r="AU1068" s="143"/>
      <c r="AV1068" s="143"/>
      <c r="AW1068" s="143"/>
      <c r="AX1068" s="143"/>
      <c r="AY1068" s="143"/>
      <c r="AZ1068" s="143"/>
      <c r="BA1068" s="143"/>
      <c r="BB1068" s="143"/>
      <c r="BC1068" s="143"/>
      <c r="BD1068" s="143"/>
      <c r="BE1068" s="143"/>
      <c r="BF1068" s="143"/>
      <c r="BG1068" s="143"/>
      <c r="BH1068" s="143"/>
      <c r="BI1068" s="143"/>
      <c r="BJ1068" s="143"/>
      <c r="BK1068" s="143"/>
      <c r="BL1068" s="143"/>
      <c r="BM1068" s="143"/>
      <c r="BN1068" s="143"/>
      <c r="BO1068" s="143"/>
      <c r="BP1068" s="143"/>
      <c r="BQ1068" s="143"/>
      <c r="BR1068" s="143"/>
      <c r="BS1068" s="143"/>
      <c r="BT1068" s="143"/>
      <c r="BU1068" s="143"/>
    </row>
    <row r="1069" spans="1:73" s="73" customFormat="1" ht="15" customHeight="1">
      <c r="A1069" s="170"/>
      <c r="B1069" s="143"/>
      <c r="C1069" s="649"/>
      <c r="D1069" s="1210"/>
      <c r="E1069" s="1413" t="s">
        <v>2680</v>
      </c>
      <c r="F1069" s="122"/>
      <c r="G1069" s="124" t="s">
        <v>324</v>
      </c>
      <c r="H1069" s="122"/>
      <c r="I1069" s="122" t="s">
        <v>2681</v>
      </c>
      <c r="J1069" s="122"/>
      <c r="K1069" s="122"/>
      <c r="L1069" s="122"/>
      <c r="M1069" s="122"/>
      <c r="N1069" s="122"/>
      <c r="O1069" s="122"/>
      <c r="P1069" s="122"/>
      <c r="Q1069" s="122"/>
      <c r="R1069" s="170"/>
      <c r="S1069" s="124" t="s">
        <v>324</v>
      </c>
      <c r="T1069" s="170" t="s">
        <v>2682</v>
      </c>
      <c r="U1069" s="122"/>
      <c r="V1069" s="122"/>
      <c r="W1069" s="2142">
        <f>+W1067</f>
        <v>210000</v>
      </c>
      <c r="X1069" s="2143"/>
      <c r="Y1069" s="2143"/>
      <c r="Z1069" s="2143"/>
      <c r="AA1069" s="74" t="s">
        <v>2489</v>
      </c>
      <c r="AB1069" s="2143">
        <f>+AB1067</f>
        <v>1.1143865855967701</v>
      </c>
      <c r="AC1069" s="2143"/>
      <c r="AD1069" s="2143"/>
      <c r="AE1069" s="74" t="s">
        <v>2490</v>
      </c>
      <c r="AF1069" s="2095">
        <f>+AG1067</f>
        <v>0.99999985777849076</v>
      </c>
      <c r="AG1069" s="1862"/>
      <c r="AH1069" s="1862"/>
      <c r="AI1069" s="74" t="s">
        <v>2490</v>
      </c>
      <c r="AJ1069" s="2142">
        <f>+AM1067</f>
        <v>380</v>
      </c>
      <c r="AK1069" s="2143"/>
      <c r="AL1069" s="2143"/>
      <c r="AM1069" s="74" t="s">
        <v>2679</v>
      </c>
      <c r="AN1069" s="122"/>
      <c r="AO1069" s="1584"/>
      <c r="AP1069" s="1456"/>
      <c r="AQ1069" s="1561"/>
      <c r="AS1069" s="1628" t="str">
        <f>IF(M986="Open Flange","Hide this row","")</f>
        <v/>
      </c>
      <c r="AT1069" s="143"/>
      <c r="AU1069" s="143"/>
      <c r="AV1069" s="143"/>
      <c r="AW1069" s="143"/>
      <c r="AX1069" s="143"/>
      <c r="AY1069" s="143"/>
      <c r="AZ1069" s="143"/>
      <c r="BA1069" s="143"/>
      <c r="BB1069" s="143"/>
      <c r="BC1069" s="143"/>
      <c r="BD1069" s="143"/>
      <c r="BE1069" s="143"/>
      <c r="BF1069" s="143"/>
      <c r="BG1069" s="143"/>
      <c r="BH1069" s="143"/>
      <c r="BI1069" s="143"/>
      <c r="BJ1069" s="143"/>
      <c r="BK1069" s="143"/>
      <c r="BL1069" s="143"/>
      <c r="BM1069" s="143"/>
      <c r="BN1069" s="143"/>
      <c r="BO1069" s="143"/>
      <c r="BP1069" s="143"/>
      <c r="BQ1069" s="143"/>
      <c r="BR1069" s="143"/>
      <c r="BS1069" s="143"/>
      <c r="BT1069" s="143"/>
      <c r="BU1069" s="143"/>
    </row>
    <row r="1070" spans="1:73" s="73" customFormat="1" ht="15" customHeight="1">
      <c r="A1070" s="170"/>
      <c r="B1070" s="143"/>
      <c r="C1070" s="1540"/>
      <c r="D1070" s="1448"/>
      <c r="E1070" s="1333"/>
      <c r="F1070" s="1437"/>
      <c r="G1070" s="1335" t="s">
        <v>324</v>
      </c>
      <c r="H1070" s="1333"/>
      <c r="I1070" s="2232">
        <f>0.57*SQRT(W1069*AB1069/AF1069/AJ1069)</f>
        <v>14.145251496553083</v>
      </c>
      <c r="J1070" s="2232"/>
      <c r="K1070" s="2232"/>
      <c r="L1070" s="1437"/>
      <c r="M1070" s="1437"/>
      <c r="N1070" s="1437"/>
      <c r="O1070" s="1437"/>
      <c r="P1070" s="1437"/>
      <c r="Q1070" s="1437"/>
      <c r="R1070" s="1437"/>
      <c r="S1070" s="1437"/>
      <c r="T1070" s="1437"/>
      <c r="U1070" s="1437"/>
      <c r="V1070" s="1437"/>
      <c r="W1070" s="1437"/>
      <c r="X1070" s="1437"/>
      <c r="Y1070" s="1437"/>
      <c r="Z1070" s="1437"/>
      <c r="AA1070" s="1437"/>
      <c r="AB1070" s="1437"/>
      <c r="AC1070" s="1437"/>
      <c r="AD1070" s="1437"/>
      <c r="AE1070" s="1437"/>
      <c r="AF1070" s="1437"/>
      <c r="AG1070" s="1437"/>
      <c r="AH1070" s="1437"/>
      <c r="AI1070" s="1437"/>
      <c r="AJ1070" s="1437"/>
      <c r="AK1070" s="1437"/>
      <c r="AL1070" s="1437"/>
      <c r="AM1070" s="1437"/>
      <c r="AN1070" s="1437"/>
      <c r="AO1070" s="1589"/>
      <c r="AP1070" s="1459"/>
      <c r="AQ1070" s="1561"/>
      <c r="AS1070" s="1628" t="str">
        <f>IF(M986="Open Flange","Hide this row","")</f>
        <v/>
      </c>
      <c r="AT1070" s="143"/>
      <c r="AU1070" s="143"/>
      <c r="AV1070" s="143"/>
      <c r="AW1070" s="143"/>
      <c r="AX1070" s="143"/>
      <c r="AY1070" s="143"/>
      <c r="AZ1070" s="143"/>
      <c r="BA1070" s="143"/>
      <c r="BB1070" s="143"/>
      <c r="BC1070" s="143"/>
      <c r="BD1070" s="143"/>
      <c r="BE1070" s="143"/>
      <c r="BF1070" s="143"/>
      <c r="BG1070" s="143"/>
      <c r="BH1070" s="143"/>
      <c r="BI1070" s="143"/>
      <c r="BJ1070" s="143"/>
      <c r="BK1070" s="143"/>
      <c r="BL1070" s="143"/>
      <c r="BM1070" s="143"/>
      <c r="BN1070" s="143"/>
      <c r="BO1070" s="143"/>
      <c r="BP1070" s="143"/>
      <c r="BQ1070" s="143"/>
      <c r="BR1070" s="143"/>
      <c r="BS1070" s="143"/>
      <c r="BT1070" s="143"/>
      <c r="BU1070" s="143"/>
    </row>
    <row r="1071" spans="1:73" s="73" customFormat="1" ht="15" customHeight="1">
      <c r="A1071" s="170"/>
      <c r="B1071" s="143"/>
      <c r="C1071" s="1540"/>
      <c r="D1071" s="170"/>
      <c r="E1071" s="170" t="s">
        <v>2683</v>
      </c>
      <c r="F1071" s="170"/>
      <c r="G1071" s="100"/>
      <c r="H1071" s="170"/>
      <c r="I1071" s="170" t="str">
        <f>+IF(I1066&lt;=I1070,"λf &lt; λp",IF(I1066&lt;=I1068,"λp &lt; λf &lt; λr","λr &lt; λf"))</f>
        <v>λp &lt; λf &lt; λr</v>
      </c>
      <c r="J1071" s="170"/>
      <c r="K1071" s="170"/>
      <c r="L1071" s="1539"/>
      <c r="O1071" s="73" t="s">
        <v>2684</v>
      </c>
      <c r="AA1071" s="1422" t="str">
        <f>+IF(I1066&lt;=I1070,"(1)",IF(I1066&lt;=I1068,"(2)","(3)"))</f>
        <v>(2)</v>
      </c>
      <c r="AS1071" s="1628" t="str">
        <f>IF(M986="Open Flange","Hide this row","")</f>
        <v/>
      </c>
      <c r="AT1071" s="143"/>
      <c r="AU1071" s="143"/>
      <c r="AV1071" s="143"/>
      <c r="AW1071" s="143"/>
      <c r="AX1071" s="143"/>
      <c r="AY1071" s="143"/>
      <c r="AZ1071" s="143"/>
      <c r="BA1071" s="143"/>
      <c r="BB1071" s="143"/>
      <c r="BC1071" s="143"/>
      <c r="BD1071" s="143"/>
      <c r="BE1071" s="143"/>
      <c r="BF1071" s="143"/>
      <c r="BG1071" s="143"/>
      <c r="BH1071" s="143"/>
      <c r="BI1071" s="143"/>
      <c r="BJ1071" s="143"/>
      <c r="BK1071" s="143"/>
      <c r="BL1071" s="143"/>
      <c r="BM1071" s="143"/>
      <c r="BN1071" s="143"/>
      <c r="BO1071" s="143"/>
      <c r="BP1071" s="143"/>
      <c r="BQ1071" s="143"/>
      <c r="BR1071" s="143"/>
      <c r="BS1071" s="143"/>
      <c r="BT1071" s="143"/>
      <c r="BU1071" s="143"/>
    </row>
    <row r="1072" spans="1:73" s="73" customFormat="1" ht="15" customHeight="1">
      <c r="A1072" s="134"/>
      <c r="B1072" s="1569"/>
      <c r="C1072" s="61"/>
      <c r="D1072" s="170"/>
      <c r="E1072" s="170" t="s">
        <v>984</v>
      </c>
      <c r="F1072" s="1539"/>
      <c r="G1072" s="124" t="s">
        <v>324</v>
      </c>
      <c r="H1072" s="1539"/>
      <c r="I1072" s="170" t="s">
        <v>1754</v>
      </c>
      <c r="J1072" s="1539"/>
      <c r="K1072" s="170"/>
      <c r="L1072" s="1539"/>
      <c r="M1072" s="170"/>
      <c r="N1072" s="1423" t="s">
        <v>324</v>
      </c>
      <c r="O1072" s="170"/>
      <c r="P1072" s="170" t="s">
        <v>2614</v>
      </c>
      <c r="Q1072" s="170"/>
      <c r="R1072" s="2095">
        <f>+AJ981</f>
        <v>0.99954647746573022</v>
      </c>
      <c r="S1072" s="1862"/>
      <c r="T1072" s="1862"/>
      <c r="U1072" s="124" t="s">
        <v>2489</v>
      </c>
      <c r="V1072" s="2096">
        <f>+Y1062</f>
        <v>380</v>
      </c>
      <c r="W1072" s="1862"/>
      <c r="X1072" s="1862"/>
      <c r="Y1072" s="1539"/>
      <c r="Z1072" s="170"/>
      <c r="AA1072" s="108"/>
      <c r="AC1072" s="143"/>
      <c r="AD1072" s="1561"/>
      <c r="AF1072" s="1561"/>
      <c r="AS1072" s="1628" t="str">
        <f>IF(M986="Open Flange","Hide this row",IF(AA1071&lt;&gt;"(1)","Hide this row",""))</f>
        <v>Hide this row</v>
      </c>
      <c r="AT1072" s="143"/>
      <c r="AU1072" s="143"/>
      <c r="AV1072" s="143"/>
      <c r="AW1072" s="143"/>
      <c r="AX1072" s="143"/>
      <c r="AY1072" s="143"/>
      <c r="AZ1072" s="143"/>
      <c r="BA1072" s="143"/>
      <c r="BB1072" s="143"/>
      <c r="BC1072" s="143"/>
      <c r="BD1072" s="143"/>
      <c r="BE1072" s="143"/>
      <c r="BF1072" s="143"/>
      <c r="BG1072" s="143"/>
      <c r="BH1072" s="143"/>
      <c r="BI1072" s="143"/>
      <c r="BJ1072" s="143"/>
      <c r="BK1072" s="143"/>
      <c r="BL1072" s="143"/>
      <c r="BM1072" s="143"/>
      <c r="BN1072" s="143"/>
      <c r="BO1072" s="143"/>
      <c r="BP1072" s="143"/>
      <c r="BQ1072" s="143"/>
      <c r="BR1072" s="143"/>
      <c r="BS1072" s="143"/>
      <c r="BT1072" s="143"/>
      <c r="BU1072" s="143"/>
    </row>
    <row r="1073" spans="1:73" s="73" customFormat="1" ht="15" customHeight="1">
      <c r="A1073" s="170"/>
      <c r="B1073" s="143"/>
      <c r="C1073" s="1540"/>
      <c r="D1073" s="170"/>
      <c r="E1073" s="170"/>
      <c r="F1073" s="170"/>
      <c r="G1073" s="124" t="s">
        <v>324</v>
      </c>
      <c r="H1073" s="170"/>
      <c r="I1073" s="2158">
        <f>+R1072*V1072</f>
        <v>379.82766143697751</v>
      </c>
      <c r="J1073" s="2158"/>
      <c r="K1073" s="2158"/>
      <c r="L1073" s="73" t="s">
        <v>1012</v>
      </c>
      <c r="R1073" s="170"/>
      <c r="AS1073" s="1628" t="str">
        <f>IF(M986="Open Flange","Hide this row",IF(AA1071&lt;&gt;"(1)","Hide this row",""))</f>
        <v>Hide this row</v>
      </c>
      <c r="AT1073" s="143"/>
      <c r="AU1073" s="143"/>
      <c r="AV1073" s="143"/>
      <c r="AW1073" s="143"/>
      <c r="AX1073" s="143"/>
      <c r="AY1073" s="143"/>
      <c r="AZ1073" s="143"/>
      <c r="BA1073" s="143"/>
      <c r="BB1073" s="143"/>
      <c r="BC1073" s="143"/>
      <c r="BD1073" s="143"/>
      <c r="BE1073" s="143"/>
      <c r="BF1073" s="143"/>
      <c r="BG1073" s="143"/>
      <c r="BH1073" s="143"/>
      <c r="BI1073" s="143"/>
      <c r="BJ1073" s="143"/>
      <c r="BK1073" s="143"/>
      <c r="BL1073" s="143"/>
      <c r="BM1073" s="143"/>
      <c r="BN1073" s="143"/>
      <c r="BO1073" s="143"/>
      <c r="BP1073" s="143"/>
      <c r="BQ1073" s="143"/>
      <c r="BR1073" s="143"/>
      <c r="BS1073" s="143"/>
      <c r="BT1073" s="143"/>
      <c r="BU1073" s="143"/>
    </row>
    <row r="1074" spans="1:73" s="73" customFormat="1" ht="15" customHeight="1">
      <c r="A1074" s="170"/>
      <c r="B1074" s="143"/>
      <c r="C1074" s="1540"/>
      <c r="D1074" s="170"/>
      <c r="E1074" s="170" t="s">
        <v>984</v>
      </c>
      <c r="F1074" s="1539"/>
      <c r="G1074" s="124" t="s">
        <v>324</v>
      </c>
      <c r="H1074" s="1539"/>
      <c r="I1074" s="170" t="s">
        <v>2685</v>
      </c>
      <c r="J1074" s="1539"/>
      <c r="K1074" s="170"/>
      <c r="L1074" s="1539"/>
      <c r="M1074" s="170"/>
      <c r="N1074" s="170"/>
      <c r="O1074" s="170"/>
      <c r="P1074" s="170"/>
      <c r="Q1074" s="170"/>
      <c r="R1074" s="170"/>
      <c r="S1074" s="170"/>
      <c r="T1074" s="170"/>
      <c r="U1074" s="170"/>
      <c r="AS1074" s="1628" t="str">
        <f>IF(M986="Open Flange","Hide this row",IF(AA1071&lt;&gt;"(2)","Hide this row",""))</f>
        <v/>
      </c>
      <c r="AT1074" s="143"/>
      <c r="AU1074" s="143"/>
      <c r="AV1074" s="143"/>
      <c r="AW1074" s="143"/>
      <c r="AX1074" s="143"/>
      <c r="AY1074" s="143"/>
      <c r="AZ1074" s="143"/>
      <c r="BA1074" s="143"/>
      <c r="BB1074" s="143"/>
      <c r="BC1074" s="143"/>
      <c r="BD1074" s="143"/>
      <c r="BE1074" s="143"/>
      <c r="BF1074" s="143"/>
      <c r="BG1074" s="143"/>
      <c r="BH1074" s="143"/>
      <c r="BI1074" s="143"/>
      <c r="BJ1074" s="143"/>
      <c r="BK1074" s="143"/>
      <c r="BL1074" s="143"/>
      <c r="BM1074" s="143"/>
      <c r="BN1074" s="143"/>
      <c r="BO1074" s="143"/>
      <c r="BP1074" s="143"/>
      <c r="BQ1074" s="143"/>
      <c r="BR1074" s="143"/>
      <c r="BS1074" s="143"/>
      <c r="BT1074" s="143"/>
      <c r="BU1074" s="143"/>
    </row>
    <row r="1075" spans="1:73" s="73" customFormat="1" ht="15" customHeight="1">
      <c r="A1075" s="170"/>
      <c r="B1075" s="143"/>
      <c r="C1075" s="1540"/>
      <c r="D1075" s="170"/>
      <c r="E1075" s="170"/>
      <c r="F1075" s="170"/>
      <c r="G1075" s="1871" t="s">
        <v>324</v>
      </c>
      <c r="H1075" s="170"/>
      <c r="I1075" s="1870" t="s">
        <v>2756</v>
      </c>
      <c r="J1075" s="1870"/>
      <c r="K1075" s="2095">
        <f>+AJ981</f>
        <v>0.99954647746573022</v>
      </c>
      <c r="L1075" s="2095"/>
      <c r="M1075" s="2095"/>
      <c r="N1075" s="1944" t="s">
        <v>2489</v>
      </c>
      <c r="O1075" s="2096">
        <f>+Y1062</f>
        <v>380</v>
      </c>
      <c r="P1075" s="2096"/>
      <c r="Q1075" s="2096"/>
      <c r="R1075" s="1944" t="s">
        <v>2687</v>
      </c>
      <c r="S1075" s="2095">
        <f>+AH1062</f>
        <v>0.99999985777849076</v>
      </c>
      <c r="T1075" s="2095"/>
      <c r="U1075" s="2095"/>
      <c r="V1075" s="1944" t="s">
        <v>2533</v>
      </c>
      <c r="W1075" s="2095">
        <f>+AH1062</f>
        <v>0.99999985777849076</v>
      </c>
      <c r="X1075" s="1862"/>
      <c r="Y1075" s="1862"/>
      <c r="Z1075" s="1944" t="s">
        <v>2323</v>
      </c>
      <c r="AA1075" s="2183">
        <f>+AH1062</f>
        <v>0.99999985777849076</v>
      </c>
      <c r="AB1075" s="2090"/>
      <c r="AC1075" s="2090"/>
      <c r="AD1075" s="1431" t="s">
        <v>2690</v>
      </c>
      <c r="AE1075" s="1432"/>
      <c r="AF1075" s="2122" t="s">
        <v>2691</v>
      </c>
      <c r="AG1075" s="2111"/>
      <c r="AH1075" s="2149">
        <f>+I1066</f>
        <v>17.422222222222221</v>
      </c>
      <c r="AI1075" s="2149"/>
      <c r="AJ1075" s="2149"/>
      <c r="AK1075" s="1433" t="s">
        <v>2323</v>
      </c>
      <c r="AL1075" s="2149">
        <f>+I1070</f>
        <v>14.145251496553083</v>
      </c>
      <c r="AM1075" s="2149"/>
      <c r="AN1075" s="2149"/>
      <c r="AO1075" s="2122" t="s">
        <v>2693</v>
      </c>
      <c r="AS1075" s="1628" t="str">
        <f>IF(M986="Open Flange","Hide this row",IF(AA1071&lt;&gt;"(2)","Hide this row",""))</f>
        <v/>
      </c>
      <c r="AT1075" s="143"/>
      <c r="AU1075" s="143"/>
      <c r="AV1075" s="143"/>
      <c r="AW1075" s="143"/>
      <c r="AX1075" s="143"/>
      <c r="AY1075" s="143"/>
      <c r="AZ1075" s="143"/>
      <c r="BA1075" s="143"/>
      <c r="BB1075" s="143"/>
      <c r="BC1075" s="143"/>
      <c r="BD1075" s="143"/>
      <c r="BE1075" s="143"/>
      <c r="BF1075" s="143"/>
      <c r="BG1075" s="143"/>
      <c r="BH1075" s="143"/>
      <c r="BI1075" s="143"/>
      <c r="BJ1075" s="143"/>
      <c r="BK1075" s="143"/>
      <c r="BL1075" s="143"/>
      <c r="BM1075" s="143"/>
      <c r="BN1075" s="143"/>
      <c r="BO1075" s="143"/>
      <c r="BP1075" s="143"/>
      <c r="BQ1075" s="143"/>
      <c r="BR1075" s="143"/>
      <c r="BS1075" s="143"/>
      <c r="BT1075" s="143"/>
      <c r="BU1075" s="143"/>
    </row>
    <row r="1076" spans="1:73" s="73" customFormat="1" ht="15" customHeight="1">
      <c r="A1076" s="170"/>
      <c r="B1076" s="143"/>
      <c r="C1076" s="1540"/>
      <c r="D1076" s="170"/>
      <c r="E1076" s="124"/>
      <c r="F1076" s="170"/>
      <c r="G1076" s="1871"/>
      <c r="H1076" s="170"/>
      <c r="I1076" s="1870"/>
      <c r="J1076" s="1870"/>
      <c r="K1076" s="2095"/>
      <c r="L1076" s="2095"/>
      <c r="M1076" s="2095"/>
      <c r="N1076" s="1944"/>
      <c r="O1076" s="2096"/>
      <c r="P1076" s="2096"/>
      <c r="Q1076" s="2096"/>
      <c r="R1076" s="1944"/>
      <c r="S1076" s="2095"/>
      <c r="T1076" s="2095"/>
      <c r="U1076" s="2095"/>
      <c r="V1076" s="1944"/>
      <c r="W1076" s="1862"/>
      <c r="X1076" s="1862"/>
      <c r="Y1076" s="1862"/>
      <c r="Z1076" s="1944"/>
      <c r="AA1076" s="2134">
        <f>+AJ981</f>
        <v>0.99954647746573022</v>
      </c>
      <c r="AB1076" s="2135"/>
      <c r="AC1076" s="2135"/>
      <c r="AD1076" s="2135"/>
      <c r="AE1076" s="2135"/>
      <c r="AF1076" s="2111"/>
      <c r="AG1076" s="2111"/>
      <c r="AH1076" s="2111">
        <f>+I1068</f>
        <v>28.178016316938415</v>
      </c>
      <c r="AI1076" s="2111"/>
      <c r="AJ1076" s="2111"/>
      <c r="AK1076" s="76" t="s">
        <v>2323</v>
      </c>
      <c r="AL1076" s="2111">
        <f>+I1070</f>
        <v>14.145251496553083</v>
      </c>
      <c r="AM1076" s="2111"/>
      <c r="AN1076" s="2111"/>
      <c r="AO1076" s="2111"/>
      <c r="AS1076" s="1628" t="str">
        <f>IF(M986="Open Flange","Hide this row",IF(AA1071&lt;&gt;"(2)","Hide this row",""))</f>
        <v/>
      </c>
      <c r="AT1076" s="143"/>
      <c r="AU1076" s="143"/>
      <c r="AV1076" s="143"/>
      <c r="AW1076" s="143"/>
      <c r="AX1076" s="143"/>
      <c r="AY1076" s="143"/>
      <c r="AZ1076" s="143"/>
      <c r="BA1076" s="143"/>
      <c r="BB1076" s="143"/>
      <c r="BC1076" s="143"/>
      <c r="BD1076" s="143"/>
      <c r="BE1076" s="143"/>
      <c r="BF1076" s="143"/>
      <c r="BG1076" s="143"/>
      <c r="BH1076" s="143"/>
      <c r="BI1076" s="143"/>
      <c r="BJ1076" s="143"/>
      <c r="BK1076" s="143"/>
      <c r="BL1076" s="143"/>
      <c r="BM1076" s="143"/>
      <c r="BN1076" s="143"/>
      <c r="BO1076" s="143"/>
      <c r="BP1076" s="143"/>
      <c r="BQ1076" s="143"/>
      <c r="BR1076" s="143"/>
      <c r="BS1076" s="143"/>
      <c r="BT1076" s="143"/>
      <c r="BU1076" s="143"/>
    </row>
    <row r="1077" spans="1:73" s="73" customFormat="1" ht="15" customHeight="1">
      <c r="A1077" s="170"/>
      <c r="B1077" s="143"/>
      <c r="D1077" s="170"/>
      <c r="E1077" s="124"/>
      <c r="F1077" s="170"/>
      <c r="G1077" s="124" t="s">
        <v>324</v>
      </c>
      <c r="I1077" s="2235">
        <f>K1075*O1075*(S1075-(W1075-(AA1075-0.3)/AA1076)*((AH1075-AL1075)/(AH1076-AL1076)))</f>
        <v>353.24625162926577</v>
      </c>
      <c r="J1077" s="2235"/>
      <c r="K1077" s="2235"/>
      <c r="L1077" s="2235"/>
      <c r="M1077" s="73" t="s">
        <v>1012</v>
      </c>
      <c r="AS1077" s="1628" t="str">
        <f>IF(M986="Open Flange","Hide this row",IF(AA1071&lt;&gt;"(2)","Hide this row",""))</f>
        <v/>
      </c>
      <c r="AT1077" s="143"/>
      <c r="AU1077" s="143"/>
      <c r="AV1077" s="143"/>
      <c r="AW1077" s="143"/>
      <c r="AX1077" s="143"/>
      <c r="AY1077" s="143"/>
      <c r="AZ1077" s="143"/>
      <c r="BA1077" s="143"/>
      <c r="BB1077" s="143"/>
      <c r="BC1077" s="143"/>
      <c r="BD1077" s="143"/>
      <c r="BE1077" s="143"/>
      <c r="BF1077" s="143"/>
      <c r="BG1077" s="143"/>
      <c r="BH1077" s="143"/>
      <c r="BI1077" s="143"/>
      <c r="BJ1077" s="143"/>
      <c r="BK1077" s="143"/>
      <c r="BL1077" s="143"/>
      <c r="BM1077" s="143"/>
      <c r="BN1077" s="143"/>
      <c r="BO1077" s="143"/>
      <c r="BP1077" s="143"/>
      <c r="BQ1077" s="143"/>
      <c r="BR1077" s="143"/>
      <c r="BS1077" s="143"/>
      <c r="BT1077" s="143"/>
      <c r="BU1077" s="143"/>
    </row>
    <row r="1078" spans="1:73" s="73" customFormat="1" ht="15" customHeight="1">
      <c r="A1078" s="170"/>
      <c r="B1078" s="143"/>
      <c r="D1078" s="170"/>
      <c r="E1078" s="170" t="s">
        <v>984</v>
      </c>
      <c r="F1078" s="170"/>
      <c r="G1078" s="124" t="s">
        <v>324</v>
      </c>
      <c r="I1078" s="1605" t="s">
        <v>2696</v>
      </c>
      <c r="J1078" s="1607"/>
      <c r="K1078" s="1607"/>
      <c r="L1078" s="1607"/>
      <c r="N1078" s="76" t="s">
        <v>324</v>
      </c>
      <c r="O1078" s="2111">
        <v>0.9</v>
      </c>
      <c r="P1078" s="2111"/>
      <c r="Q1078" s="76" t="s">
        <v>2489</v>
      </c>
      <c r="R1078" s="2118">
        <f>+AE504</f>
        <v>210000</v>
      </c>
      <c r="S1078" s="2118"/>
      <c r="T1078" s="2118"/>
      <c r="U1078" s="2118"/>
      <c r="V1078" s="76" t="s">
        <v>2698</v>
      </c>
      <c r="X1078" s="76"/>
      <c r="Y1078" s="2110">
        <f>IF(Q1044=0,R1043,AG1050)</f>
        <v>1.1143865855967701</v>
      </c>
      <c r="Z1078" s="2111"/>
      <c r="AA1078" s="2111"/>
      <c r="AB1078" s="76" t="s">
        <v>2490</v>
      </c>
      <c r="AC1078" s="2236">
        <f>+I1066</f>
        <v>17.422222222222221</v>
      </c>
      <c r="AD1078" s="2236"/>
      <c r="AE1078" s="2236"/>
      <c r="AF1078" s="73" t="s">
        <v>2700</v>
      </c>
      <c r="AS1078" s="1628" t="str">
        <f>IF(M986="Open Flange","Hide this row",IF(AA1071&lt;&gt;"(3)","Hide this row",""))</f>
        <v>Hide this row</v>
      </c>
      <c r="AT1078" s="143"/>
      <c r="AU1078" s="143"/>
      <c r="AV1078" s="143"/>
      <c r="AW1078" s="143"/>
      <c r="AX1078" s="143"/>
      <c r="AY1078" s="143"/>
      <c r="AZ1078" s="143"/>
      <c r="BA1078" s="143"/>
      <c r="BB1078" s="143"/>
      <c r="BC1078" s="143"/>
      <c r="BD1078" s="143"/>
      <c r="BE1078" s="143"/>
      <c r="BF1078" s="143"/>
      <c r="BG1078" s="143"/>
      <c r="BH1078" s="143"/>
      <c r="BI1078" s="143"/>
      <c r="BJ1078" s="143"/>
      <c r="BK1078" s="143"/>
      <c r="BL1078" s="143"/>
      <c r="BM1078" s="143"/>
      <c r="BN1078" s="143"/>
      <c r="BO1078" s="143"/>
      <c r="BP1078" s="143"/>
      <c r="BQ1078" s="143"/>
      <c r="BR1078" s="143"/>
      <c r="BS1078" s="143"/>
      <c r="BT1078" s="143"/>
      <c r="BU1078" s="143"/>
    </row>
    <row r="1079" spans="1:73" s="73" customFormat="1" ht="15" customHeight="1">
      <c r="A1079" s="170"/>
      <c r="B1079" s="143"/>
      <c r="D1079" s="170"/>
      <c r="E1079" s="124"/>
      <c r="F1079" s="170"/>
      <c r="G1079" s="76" t="s">
        <v>324</v>
      </c>
      <c r="I1079" s="2237">
        <f>0.9*R1078*Y1078/AC1078^2</f>
        <v>693.88992537699767</v>
      </c>
      <c r="J1079" s="2237"/>
      <c r="K1079" s="2237"/>
      <c r="L1079" s="73" t="s">
        <v>1012</v>
      </c>
      <c r="AS1079" s="1628" t="str">
        <f>IF(M986="Open Flange","Hide this row",IF(AA1071&lt;&gt;"(3)","Hide this row",""))</f>
        <v>Hide this row</v>
      </c>
      <c r="AT1079" s="143"/>
      <c r="AU1079" s="143"/>
      <c r="AV1079" s="143"/>
      <c r="AW1079" s="143"/>
      <c r="AX1079" s="143"/>
      <c r="AY1079" s="143"/>
      <c r="AZ1079" s="143"/>
      <c r="BA1079" s="143"/>
      <c r="BB1079" s="143"/>
      <c r="BC1079" s="143"/>
      <c r="BD1079" s="143"/>
      <c r="BE1079" s="143"/>
      <c r="BF1079" s="143"/>
      <c r="BG1079" s="143"/>
      <c r="BH1079" s="143"/>
      <c r="BI1079" s="143"/>
      <c r="BJ1079" s="143"/>
      <c r="BK1079" s="143"/>
      <c r="BL1079" s="143"/>
      <c r="BM1079" s="143"/>
      <c r="BN1079" s="143"/>
      <c r="BO1079" s="143"/>
      <c r="BP1079" s="143"/>
      <c r="BQ1079" s="143"/>
      <c r="BR1079" s="143"/>
      <c r="BS1079" s="143"/>
      <c r="BT1079" s="143"/>
      <c r="BU1079" s="143"/>
    </row>
    <row r="1080" spans="1:73" s="73" customFormat="1" ht="15" customHeight="1">
      <c r="A1080" s="170"/>
      <c r="B1080" s="143"/>
      <c r="D1080" s="170"/>
      <c r="E1080" s="124"/>
      <c r="F1080" s="170"/>
      <c r="G1080" s="76"/>
      <c r="I1080" s="1572"/>
      <c r="J1080" s="1572"/>
      <c r="K1080" s="1572"/>
      <c r="AS1080" s="1628" t="str">
        <f>IF(M986="Open Flange","Hide this row","")</f>
        <v/>
      </c>
      <c r="AT1080" s="143"/>
      <c r="AU1080" s="143"/>
      <c r="AV1080" s="143"/>
      <c r="AW1080" s="143"/>
      <c r="AX1080" s="143"/>
      <c r="AY1080" s="143"/>
      <c r="AZ1080" s="143"/>
      <c r="BA1080" s="143"/>
      <c r="BB1080" s="143"/>
      <c r="BC1080" s="143"/>
      <c r="BD1080" s="143"/>
      <c r="BE1080" s="143"/>
      <c r="BF1080" s="143"/>
      <c r="BG1080" s="143"/>
      <c r="BH1080" s="143"/>
      <c r="BI1080" s="143"/>
      <c r="BJ1080" s="143"/>
      <c r="BK1080" s="143"/>
      <c r="BL1080" s="143"/>
      <c r="BM1080" s="143"/>
      <c r="BN1080" s="143"/>
      <c r="BO1080" s="143"/>
      <c r="BP1080" s="143"/>
      <c r="BQ1080" s="143"/>
      <c r="BR1080" s="143"/>
      <c r="BS1080" s="143"/>
      <c r="BT1080" s="143"/>
      <c r="BU1080" s="143"/>
    </row>
    <row r="1081" spans="1:73" s="73" customFormat="1" ht="15" customHeight="1">
      <c r="A1081" s="134"/>
      <c r="B1081" s="1177" t="s">
        <v>2466</v>
      </c>
      <c r="C1081" s="143" t="s">
        <v>249</v>
      </c>
      <c r="D1081" s="136"/>
      <c r="E1081" s="147"/>
      <c r="F1081" s="136"/>
      <c r="G1081" s="136"/>
      <c r="H1081" s="136"/>
      <c r="I1081" s="170"/>
      <c r="J1081" s="170"/>
      <c r="K1081" s="170"/>
      <c r="L1081" s="170"/>
      <c r="M1081" s="1539"/>
      <c r="N1081" s="170"/>
      <c r="P1081" s="170"/>
      <c r="Q1081" s="170"/>
      <c r="R1081" s="170"/>
      <c r="S1081" s="170"/>
      <c r="T1081" s="170"/>
      <c r="U1081" s="170"/>
      <c r="V1081" s="170"/>
      <c r="X1081" s="170"/>
      <c r="Y1081" s="1539"/>
      <c r="Z1081" s="170"/>
      <c r="AC1081" s="143"/>
      <c r="AD1081" s="1561"/>
      <c r="AF1081" s="1561"/>
      <c r="AR1081" s="1529" t="s">
        <v>725</v>
      </c>
      <c r="AS1081" s="1628" t="str">
        <f>IF(M986="Open Flange","Hide this row","")</f>
        <v/>
      </c>
      <c r="AT1081" s="143"/>
      <c r="AU1081" s="143"/>
      <c r="AV1081" s="143"/>
      <c r="AW1081" s="143"/>
      <c r="AX1081" s="143"/>
      <c r="AY1081" s="143"/>
      <c r="AZ1081" s="143"/>
      <c r="BA1081" s="143"/>
      <c r="BB1081" s="143"/>
      <c r="BC1081" s="143"/>
      <c r="BD1081" s="143"/>
      <c r="BE1081" s="143"/>
      <c r="BF1081" s="143"/>
      <c r="BG1081" s="143"/>
      <c r="BH1081" s="143"/>
      <c r="BI1081" s="143"/>
      <c r="BJ1081" s="143"/>
      <c r="BK1081" s="143"/>
      <c r="BL1081" s="143"/>
      <c r="BM1081" s="143"/>
      <c r="BN1081" s="143"/>
      <c r="BO1081" s="143"/>
      <c r="BP1081" s="143"/>
      <c r="BQ1081" s="143"/>
      <c r="BR1081" s="143"/>
      <c r="BS1081" s="143"/>
      <c r="BT1081" s="143"/>
      <c r="BU1081" s="143"/>
    </row>
    <row r="1082" spans="1:73" s="73" customFormat="1" ht="20.100000000000001" customHeight="1">
      <c r="A1082" s="143"/>
      <c r="B1082" s="170"/>
      <c r="C1082" s="148" t="s">
        <v>134</v>
      </c>
      <c r="D1082" s="141"/>
      <c r="E1082" s="148"/>
      <c r="F1082" s="148"/>
      <c r="G1082" s="141"/>
      <c r="H1082" s="141"/>
      <c r="I1082" s="141"/>
      <c r="J1082" s="141"/>
      <c r="K1082" s="141"/>
      <c r="L1082" s="141"/>
      <c r="M1082" s="141"/>
      <c r="N1082" s="141"/>
      <c r="O1082" s="141"/>
      <c r="P1082" s="141"/>
      <c r="Q1082" s="141"/>
      <c r="R1082" s="141"/>
      <c r="S1082" s="141"/>
      <c r="T1082" s="141"/>
      <c r="U1082" s="148" t="s">
        <v>250</v>
      </c>
      <c r="V1082" s="141"/>
      <c r="W1082" s="141"/>
      <c r="X1082" s="141"/>
      <c r="Y1082" s="141"/>
      <c r="Z1082" s="141"/>
      <c r="AA1082" s="141"/>
      <c r="AB1082" s="141"/>
      <c r="AC1082" s="143"/>
      <c r="AD1082" s="1561"/>
      <c r="AF1082" s="1561"/>
      <c r="AS1082" s="1628" t="str">
        <f>IF(M986="Open Flange","Hide this row","")</f>
        <v/>
      </c>
      <c r="AT1082" s="143"/>
      <c r="AU1082" s="143"/>
      <c r="AV1082" s="143"/>
      <c r="AW1082" s="143"/>
      <c r="AX1082" s="143"/>
      <c r="AY1082" s="143"/>
      <c r="AZ1082" s="143"/>
      <c r="BA1082" s="143"/>
      <c r="BB1082" s="143"/>
      <c r="BC1082" s="143"/>
      <c r="BD1082" s="143"/>
      <c r="BE1082" s="143"/>
      <c r="BF1082" s="143"/>
      <c r="BG1082" s="143"/>
      <c r="BH1082" s="143"/>
      <c r="BI1082" s="143"/>
      <c r="BJ1082" s="143"/>
      <c r="BK1082" s="143"/>
      <c r="BL1082" s="143"/>
      <c r="BM1082" s="143"/>
      <c r="BN1082" s="143"/>
      <c r="BO1082" s="143"/>
      <c r="BP1082" s="143"/>
      <c r="BQ1082" s="143"/>
      <c r="BR1082" s="143"/>
      <c r="BS1082" s="143"/>
      <c r="BT1082" s="143"/>
      <c r="BU1082" s="143"/>
    </row>
    <row r="1083" spans="1:73" s="73" customFormat="1" ht="20.100000000000001" customHeight="1">
      <c r="A1083" s="143"/>
      <c r="B1083" s="134"/>
      <c r="C1083" s="93" t="s">
        <v>1691</v>
      </c>
      <c r="D1083" s="93"/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  <c r="T1083" s="93"/>
      <c r="U1083" s="94" t="s">
        <v>251</v>
      </c>
      <c r="V1083" s="93"/>
      <c r="W1083" s="93"/>
      <c r="X1083" s="93"/>
      <c r="Y1083" s="93"/>
      <c r="Z1083" s="93"/>
      <c r="AA1083" s="93"/>
      <c r="AB1083" s="1022" t="s">
        <v>417</v>
      </c>
      <c r="AC1083" s="143"/>
      <c r="AD1083" s="1561"/>
      <c r="AF1083" s="1561"/>
      <c r="AS1083" s="1628" t="str">
        <f>IF(M986="Open Flange","Hide this row","")</f>
        <v/>
      </c>
      <c r="AT1083" s="143"/>
      <c r="AU1083" s="143"/>
      <c r="AV1083" s="143"/>
      <c r="AW1083" s="143"/>
      <c r="AX1083" s="143"/>
      <c r="AY1083" s="143"/>
      <c r="AZ1083" s="143"/>
      <c r="BA1083" s="143"/>
      <c r="BB1083" s="143"/>
      <c r="BC1083" s="143"/>
      <c r="BD1083" s="143"/>
      <c r="BE1083" s="143"/>
      <c r="BF1083" s="143"/>
      <c r="BG1083" s="143"/>
      <c r="BH1083" s="143"/>
      <c r="BI1083" s="143"/>
      <c r="BJ1083" s="143"/>
      <c r="BK1083" s="143"/>
      <c r="BL1083" s="143"/>
      <c r="BM1083" s="143"/>
      <c r="BN1083" s="143"/>
      <c r="BO1083" s="143"/>
      <c r="BP1083" s="143"/>
      <c r="BQ1083" s="143"/>
      <c r="BR1083" s="143"/>
      <c r="BS1083" s="143"/>
      <c r="BT1083" s="143"/>
      <c r="BU1083" s="143"/>
    </row>
    <row r="1084" spans="1:73" s="73" customFormat="1" ht="20.100000000000001" customHeight="1">
      <c r="A1084" s="143"/>
      <c r="B1084" s="170"/>
      <c r="C1084" s="110" t="s">
        <v>1692</v>
      </c>
      <c r="D1084" s="110"/>
      <c r="E1084" s="111"/>
      <c r="F1084" s="110"/>
      <c r="G1084" s="110"/>
      <c r="H1084" s="110"/>
      <c r="I1084" s="110"/>
      <c r="J1084" s="110"/>
      <c r="K1084" s="110"/>
      <c r="L1084" s="110"/>
      <c r="M1084" s="110"/>
      <c r="N1084" s="110"/>
      <c r="O1084" s="110"/>
      <c r="P1084" s="110"/>
      <c r="Q1084" s="110"/>
      <c r="R1084" s="110"/>
      <c r="S1084" s="110"/>
      <c r="T1084" s="110"/>
      <c r="U1084" s="110" t="s">
        <v>1693</v>
      </c>
      <c r="V1084" s="110"/>
      <c r="W1084" s="110"/>
      <c r="X1084" s="110"/>
      <c r="Y1084" s="110"/>
      <c r="Z1084" s="110"/>
      <c r="AA1084" s="110"/>
      <c r="AB1084" s="1440" t="s">
        <v>447</v>
      </c>
      <c r="AC1084" s="143"/>
      <c r="AD1084" s="1561"/>
      <c r="AF1084" s="1561"/>
      <c r="AS1084" s="1628" t="str">
        <f>IF(M986="Open Flange","Hide this row","")</f>
        <v/>
      </c>
      <c r="AT1084" s="143"/>
      <c r="AU1084" s="143"/>
      <c r="AV1084" s="143"/>
      <c r="AW1084" s="143"/>
      <c r="AX1084" s="143"/>
      <c r="AY1084" s="143"/>
      <c r="AZ1084" s="143"/>
      <c r="BA1084" s="143"/>
      <c r="BB1084" s="143"/>
      <c r="BC1084" s="143"/>
      <c r="BD1084" s="143"/>
      <c r="BE1084" s="143"/>
      <c r="BF1084" s="143"/>
      <c r="BG1084" s="143"/>
      <c r="BH1084" s="143"/>
      <c r="BI1084" s="143"/>
      <c r="BJ1084" s="143"/>
      <c r="BK1084" s="143"/>
      <c r="BL1084" s="143"/>
      <c r="BM1084" s="143"/>
      <c r="BN1084" s="143"/>
      <c r="BO1084" s="143"/>
      <c r="BP1084" s="143"/>
      <c r="BQ1084" s="143"/>
      <c r="BR1084" s="143"/>
      <c r="BS1084" s="143"/>
      <c r="BT1084" s="143"/>
      <c r="BU1084" s="143"/>
    </row>
    <row r="1085" spans="1:73" s="73" customFormat="1" ht="20.100000000000001" customHeight="1">
      <c r="A1085" s="143"/>
      <c r="B1085" s="170"/>
      <c r="C1085" s="145" t="s">
        <v>1694</v>
      </c>
      <c r="D1085" s="145"/>
      <c r="E1085" s="149"/>
      <c r="F1085" s="145"/>
      <c r="G1085" s="145"/>
      <c r="H1085" s="145"/>
      <c r="I1085" s="145"/>
      <c r="J1085" s="145"/>
      <c r="K1085" s="145"/>
      <c r="L1085" s="145"/>
      <c r="M1085" s="145"/>
      <c r="N1085" s="145"/>
      <c r="O1085" s="145"/>
      <c r="P1085" s="145"/>
      <c r="Q1085" s="145"/>
      <c r="R1085" s="145"/>
      <c r="S1085" s="145"/>
      <c r="T1085" s="145"/>
      <c r="U1085" s="145" t="s">
        <v>1695</v>
      </c>
      <c r="V1085" s="145"/>
      <c r="W1085" s="145"/>
      <c r="X1085" s="145"/>
      <c r="Y1085" s="145"/>
      <c r="Z1085" s="145"/>
      <c r="AA1085" s="145"/>
      <c r="AB1085" s="261" t="s">
        <v>448</v>
      </c>
      <c r="AC1085" s="143"/>
      <c r="AD1085" s="1561"/>
      <c r="AF1085" s="1561"/>
      <c r="AS1085" s="1628" t="str">
        <f>IF(M986="Open Flange","Hide this row","")</f>
        <v/>
      </c>
      <c r="AT1085" s="143"/>
      <c r="AU1085" s="143"/>
      <c r="AV1085" s="143"/>
      <c r="AW1085" s="143"/>
      <c r="AX1085" s="143"/>
      <c r="AY1085" s="143"/>
      <c r="AZ1085" s="143"/>
      <c r="BA1085" s="143"/>
      <c r="BB1085" s="143"/>
      <c r="BC1085" s="143"/>
      <c r="BD1085" s="143"/>
      <c r="BE1085" s="143"/>
      <c r="BF1085" s="143"/>
      <c r="BG1085" s="143"/>
      <c r="BH1085" s="143"/>
      <c r="BI1085" s="143"/>
      <c r="BJ1085" s="143"/>
      <c r="BK1085" s="143"/>
      <c r="BL1085" s="143"/>
      <c r="BM1085" s="143"/>
      <c r="BN1085" s="143"/>
      <c r="BO1085" s="143"/>
      <c r="BP1085" s="143"/>
      <c r="BQ1085" s="143"/>
      <c r="BR1085" s="143"/>
      <c r="BS1085" s="143"/>
      <c r="BT1085" s="143"/>
      <c r="BU1085" s="143"/>
    </row>
    <row r="1086" spans="1:73" s="73" customFormat="1" ht="15" customHeight="1">
      <c r="A1086" s="170"/>
      <c r="B1086" s="143"/>
      <c r="D1086" s="170"/>
      <c r="E1086" s="124"/>
      <c r="F1086" s="170"/>
      <c r="G1086" s="124"/>
      <c r="I1086" s="1607"/>
      <c r="J1086" s="1607"/>
      <c r="K1086" s="1607"/>
      <c r="L1086" s="1607"/>
      <c r="AS1086" s="1628" t="str">
        <f>IF(M986="Open Flange","Hide this row","")</f>
        <v/>
      </c>
      <c r="AT1086" s="143"/>
      <c r="AU1086" s="143"/>
      <c r="AV1086" s="143"/>
      <c r="AW1086" s="143"/>
      <c r="AX1086" s="143"/>
      <c r="AY1086" s="143"/>
      <c r="AZ1086" s="143"/>
      <c r="BA1086" s="143"/>
      <c r="BB1086" s="143"/>
      <c r="BC1086" s="143"/>
      <c r="BD1086" s="143"/>
      <c r="BE1086" s="143"/>
      <c r="BF1086" s="143"/>
      <c r="BG1086" s="143"/>
      <c r="BH1086" s="143"/>
      <c r="BI1086" s="143"/>
      <c r="BJ1086" s="143"/>
      <c r="BK1086" s="143"/>
      <c r="BL1086" s="143"/>
      <c r="BM1086" s="143"/>
      <c r="BN1086" s="143"/>
      <c r="BO1086" s="143"/>
      <c r="BP1086" s="143"/>
      <c r="BQ1086" s="143"/>
      <c r="BR1086" s="143"/>
      <c r="BS1086" s="143"/>
      <c r="BT1086" s="143"/>
      <c r="BU1086" s="143"/>
    </row>
    <row r="1087" spans="1:73" s="73" customFormat="1" ht="15" customHeight="1">
      <c r="A1087" s="170"/>
      <c r="B1087" s="143"/>
      <c r="C1087" s="170" t="s">
        <v>786</v>
      </c>
      <c r="D1087" s="170"/>
      <c r="E1087" s="170" t="s">
        <v>2701</v>
      </c>
      <c r="F1087" s="170"/>
      <c r="G1087" s="170"/>
      <c r="H1087" s="170"/>
      <c r="I1087" s="170"/>
      <c r="J1087" s="170"/>
      <c r="K1087" s="122"/>
      <c r="L1087" s="170"/>
      <c r="M1087" s="170"/>
      <c r="N1087" s="170"/>
      <c r="O1087" s="170"/>
      <c r="P1087" s="170"/>
      <c r="AS1087" s="1628" t="str">
        <f>IF(M986="Open Flange","Hide this row","")</f>
        <v/>
      </c>
      <c r="AT1087" s="143"/>
      <c r="AU1087" s="143"/>
      <c r="AV1087" s="143"/>
      <c r="AW1087" s="143"/>
      <c r="AX1087" s="143"/>
      <c r="AY1087" s="143"/>
      <c r="AZ1087" s="143"/>
      <c r="BA1087" s="143"/>
      <c r="BB1087" s="143"/>
      <c r="BC1087" s="143"/>
      <c r="BD1087" s="143"/>
      <c r="BE1087" s="143"/>
      <c r="BF1087" s="143"/>
      <c r="BG1087" s="143"/>
      <c r="BH1087" s="143"/>
      <c r="BI1087" s="143"/>
      <c r="BJ1087" s="143"/>
      <c r="BK1087" s="143"/>
      <c r="BL1087" s="143"/>
      <c r="BM1087" s="143"/>
      <c r="BN1087" s="143"/>
      <c r="BO1087" s="143"/>
      <c r="BP1087" s="143"/>
      <c r="BQ1087" s="143"/>
      <c r="BR1087" s="143"/>
      <c r="BS1087" s="143"/>
      <c r="BT1087" s="143"/>
      <c r="BU1087" s="143"/>
    </row>
    <row r="1088" spans="1:73" s="73" customFormat="1" ht="15" customHeight="1">
      <c r="A1088" s="170"/>
      <c r="B1088" s="143"/>
      <c r="D1088" s="170"/>
      <c r="E1088" s="170" t="s">
        <v>2655</v>
      </c>
      <c r="F1088" s="170"/>
      <c r="H1088" s="170"/>
      <c r="I1088" s="170"/>
      <c r="J1088" s="170" t="s">
        <v>332</v>
      </c>
      <c r="K1088" s="122"/>
      <c r="L1088" s="124" t="s">
        <v>324</v>
      </c>
      <c r="M1088" s="1862">
        <f>Q1044</f>
        <v>2</v>
      </c>
      <c r="N1088" s="1862"/>
      <c r="O1088" s="1862"/>
      <c r="AS1088" s="1628" t="str">
        <f>IF(M986="Open Flange","Hide this row","")</f>
        <v/>
      </c>
      <c r="AT1088" s="143"/>
      <c r="AU1088" s="143"/>
      <c r="AV1088" s="143"/>
      <c r="AW1088" s="143"/>
      <c r="AX1088" s="143"/>
      <c r="AY1088" s="143"/>
      <c r="AZ1088" s="143"/>
      <c r="BA1088" s="143"/>
      <c r="BB1088" s="143"/>
      <c r="BC1088" s="143"/>
      <c r="BD1088" s="143"/>
      <c r="BE1088" s="143"/>
      <c r="BF1088" s="143"/>
      <c r="BG1088" s="143"/>
      <c r="BH1088" s="143"/>
      <c r="BI1088" s="143"/>
      <c r="BJ1088" s="143"/>
      <c r="BK1088" s="143"/>
      <c r="BL1088" s="143"/>
      <c r="BM1088" s="143"/>
      <c r="BN1088" s="143"/>
      <c r="BO1088" s="143"/>
      <c r="BP1088" s="143"/>
      <c r="BQ1088" s="143"/>
      <c r="BR1088" s="143"/>
      <c r="BS1088" s="143"/>
      <c r="BT1088" s="143"/>
      <c r="BU1088" s="143"/>
    </row>
    <row r="1089" spans="1:73" s="73" customFormat="1" ht="15" customHeight="1">
      <c r="A1089" s="170"/>
      <c r="B1089" s="143"/>
      <c r="D1089" s="170"/>
      <c r="E1089" s="1944" t="s">
        <v>2704</v>
      </c>
      <c r="F1089" s="741"/>
      <c r="G1089" s="2151" t="s">
        <v>324</v>
      </c>
      <c r="H1089" s="1587" t="s">
        <v>2702</v>
      </c>
      <c r="I1089" s="1436"/>
      <c r="J1089" s="1436"/>
      <c r="K1089" s="1437"/>
      <c r="L1089" s="1437"/>
      <c r="M1089" s="1437"/>
      <c r="N1089" s="1437"/>
      <c r="O1089" s="1437"/>
      <c r="Q1089" s="2111" t="s">
        <v>2705</v>
      </c>
      <c r="R1089" s="2111"/>
      <c r="S1089" s="2111"/>
      <c r="AS1089" s="1628" t="str">
        <f>IF(M986="Open Flange","Hide this row","")</f>
        <v/>
      </c>
      <c r="AT1089" s="143"/>
      <c r="AU1089" s="143"/>
      <c r="AV1089" s="143"/>
      <c r="AW1089" s="143"/>
      <c r="AX1089" s="143"/>
      <c r="AY1089" s="143"/>
      <c r="AZ1089" s="143"/>
      <c r="BA1089" s="143"/>
      <c r="BB1089" s="143"/>
      <c r="BC1089" s="143"/>
      <c r="BD1089" s="143"/>
      <c r="BE1089" s="143"/>
      <c r="BF1089" s="143"/>
      <c r="BG1089" s="143"/>
      <c r="BH1089" s="143"/>
      <c r="BI1089" s="143"/>
      <c r="BJ1089" s="143"/>
      <c r="BK1089" s="143"/>
      <c r="BL1089" s="143"/>
      <c r="BM1089" s="143"/>
      <c r="BN1089" s="143"/>
      <c r="BO1089" s="143"/>
      <c r="BP1089" s="143"/>
      <c r="BQ1089" s="143"/>
      <c r="BR1089" s="143"/>
      <c r="BS1089" s="143"/>
      <c r="BT1089" s="143"/>
      <c r="BU1089" s="143"/>
    </row>
    <row r="1090" spans="1:73" s="73" customFormat="1" ht="15" customHeight="1">
      <c r="A1090" s="170"/>
      <c r="B1090" s="143"/>
      <c r="D1090" s="170"/>
      <c r="E1090" s="1944"/>
      <c r="F1090" s="741"/>
      <c r="G1090" s="2151"/>
      <c r="H1090" s="1607"/>
      <c r="I1090" s="1607"/>
      <c r="J1090" s="1605" t="s">
        <v>2703</v>
      </c>
      <c r="Q1090" s="2111"/>
      <c r="R1090" s="2111"/>
      <c r="S1090" s="2111"/>
      <c r="AS1090" s="1628" t="str">
        <f>IF(M986="Open Flange","Hide this row","")</f>
        <v/>
      </c>
      <c r="AT1090" s="143"/>
      <c r="AU1090" s="143"/>
      <c r="AV1090" s="143"/>
      <c r="AW1090" s="143"/>
      <c r="AX1090" s="143"/>
      <c r="AY1090" s="143"/>
      <c r="AZ1090" s="143"/>
      <c r="BA1090" s="143"/>
      <c r="BB1090" s="143"/>
      <c r="BC1090" s="143"/>
      <c r="BD1090" s="143"/>
      <c r="BE1090" s="143"/>
      <c r="BF1090" s="143"/>
      <c r="BG1090" s="143"/>
      <c r="BH1090" s="143"/>
      <c r="BI1090" s="143"/>
      <c r="BJ1090" s="143"/>
      <c r="BK1090" s="143"/>
      <c r="BL1090" s="143"/>
      <c r="BM1090" s="143"/>
      <c r="BN1090" s="143"/>
      <c r="BO1090" s="143"/>
      <c r="BP1090" s="143"/>
      <c r="BQ1090" s="143"/>
      <c r="BR1090" s="143"/>
      <c r="BS1090" s="143"/>
      <c r="BT1090" s="143"/>
      <c r="BU1090" s="143"/>
    </row>
    <row r="1091" spans="1:73" s="73" customFormat="1" ht="15" customHeight="1">
      <c r="A1091" s="170"/>
      <c r="B1091" s="143"/>
      <c r="D1091" s="170"/>
      <c r="E1091" s="124"/>
      <c r="F1091" s="170"/>
      <c r="G1091" s="1871" t="s">
        <v>324</v>
      </c>
      <c r="H1091" s="1587" t="s">
        <v>2706</v>
      </c>
      <c r="I1091" s="1587"/>
      <c r="J1091" s="1587"/>
      <c r="K1091" s="1437"/>
      <c r="L1091" s="1437"/>
      <c r="M1091" s="2148">
        <f>+AB1045</f>
        <v>21845333.333333332</v>
      </c>
      <c r="N1091" s="2148"/>
      <c r="O1091" s="2148"/>
      <c r="P1091" s="2148"/>
      <c r="Q1091" s="1433" t="s">
        <v>2490</v>
      </c>
      <c r="R1091" s="2149">
        <f>+R1047</f>
        <v>522.66666666666663</v>
      </c>
      <c r="S1091" s="2149"/>
      <c r="T1091" s="2149"/>
      <c r="U1091" s="1433" t="s">
        <v>2490</v>
      </c>
      <c r="V1091" s="2149">
        <f>+R1046</f>
        <v>30</v>
      </c>
      <c r="W1091" s="2149"/>
      <c r="X1091" s="1437" t="s">
        <v>2707</v>
      </c>
      <c r="Y1091" s="1437"/>
      <c r="AA1091" s="2122" t="s">
        <v>324</v>
      </c>
      <c r="AC1091" s="2110">
        <f>+(5.34+2.84*(M1091/R1091/V1091^3)^(1/3))/(P1092+1)^2</f>
        <v>0.9583666742910848</v>
      </c>
      <c r="AD1091" s="2110"/>
      <c r="AE1091" s="2110"/>
      <c r="AF1091" s="2111" t="str">
        <f>+IF(AC1091&lt;AG1091,"&lt;","&gt;")</f>
        <v>&lt;</v>
      </c>
      <c r="AG1091" s="2111">
        <v>5.34</v>
      </c>
      <c r="AH1091" s="2111"/>
      <c r="AI1091" s="2111"/>
      <c r="AS1091" s="1628" t="str">
        <f>IF(M986="Open Flange","Hide this row","")</f>
        <v/>
      </c>
      <c r="AT1091" s="143"/>
      <c r="AU1091" s="143"/>
      <c r="AV1091" s="143"/>
      <c r="AW1091" s="143"/>
      <c r="AX1091" s="143"/>
      <c r="AY1091" s="143"/>
      <c r="AZ1091" s="143"/>
      <c r="BA1091" s="143"/>
      <c r="BB1091" s="143"/>
      <c r="BC1091" s="143"/>
      <c r="BD1091" s="143"/>
      <c r="BE1091" s="143"/>
      <c r="BF1091" s="143"/>
      <c r="BG1091" s="143"/>
      <c r="BH1091" s="143"/>
      <c r="BI1091" s="143"/>
      <c r="BJ1091" s="143"/>
      <c r="BK1091" s="143"/>
      <c r="BL1091" s="143"/>
      <c r="BM1091" s="143"/>
      <c r="BN1091" s="143"/>
      <c r="BO1091" s="143"/>
      <c r="BP1091" s="143"/>
      <c r="BQ1091" s="143"/>
      <c r="BR1091" s="143"/>
      <c r="BS1091" s="143"/>
      <c r="BT1091" s="143"/>
      <c r="BU1091" s="143"/>
    </row>
    <row r="1092" spans="1:73" s="73" customFormat="1" ht="15" customHeight="1">
      <c r="A1092" s="170"/>
      <c r="B1092" s="143"/>
      <c r="D1092" s="170"/>
      <c r="E1092" s="124"/>
      <c r="F1092" s="170"/>
      <c r="G1092" s="1871"/>
      <c r="H1092" s="1605"/>
      <c r="I1092" s="1605"/>
      <c r="J1092" s="1605"/>
      <c r="O1092" s="76" t="s">
        <v>2506</v>
      </c>
      <c r="P1092" s="1439">
        <f>+M1088</f>
        <v>2</v>
      </c>
      <c r="Q1092" s="76" t="s">
        <v>2709</v>
      </c>
      <c r="AA1092" s="2111"/>
      <c r="AC1092" s="2110"/>
      <c r="AD1092" s="2110"/>
      <c r="AE1092" s="2110"/>
      <c r="AF1092" s="2111"/>
      <c r="AG1092" s="2111"/>
      <c r="AH1092" s="2111"/>
      <c r="AI1092" s="2111"/>
      <c r="AS1092" s="1628" t="str">
        <f>IF(M986="Open Flange","Hide this row","")</f>
        <v/>
      </c>
      <c r="AT1092" s="143"/>
      <c r="AU1092" s="143"/>
      <c r="AV1092" s="143"/>
      <c r="AW1092" s="143"/>
      <c r="AX1092" s="143"/>
      <c r="AY1092" s="143"/>
      <c r="AZ1092" s="143"/>
      <c r="BA1092" s="143"/>
      <c r="BB1092" s="143"/>
      <c r="BC1092" s="143"/>
      <c r="BD1092" s="143"/>
      <c r="BE1092" s="143"/>
      <c r="BF1092" s="143"/>
      <c r="BG1092" s="143"/>
      <c r="BH1092" s="143"/>
      <c r="BI1092" s="143"/>
      <c r="BJ1092" s="143"/>
      <c r="BK1092" s="143"/>
      <c r="BL1092" s="143"/>
      <c r="BM1092" s="143"/>
      <c r="BN1092" s="143"/>
      <c r="BO1092" s="143"/>
      <c r="BP1092" s="143"/>
      <c r="BQ1092" s="143"/>
      <c r="BR1092" s="143"/>
      <c r="BS1092" s="143"/>
      <c r="BT1092" s="143"/>
      <c r="BU1092" s="143"/>
    </row>
    <row r="1093" spans="1:73" s="73" customFormat="1" ht="15" customHeight="1">
      <c r="A1093" s="170"/>
      <c r="B1093" s="143"/>
      <c r="D1093" s="124" t="s">
        <v>2462</v>
      </c>
      <c r="E1093" s="124" t="s">
        <v>2704</v>
      </c>
      <c r="F1093" s="170"/>
      <c r="G1093" s="1591" t="s">
        <v>324</v>
      </c>
      <c r="H1093" s="2150">
        <f xml:space="preserve"> IF(M1088=0,5.34,MIN(AC1091,AG1091))</f>
        <v>0.9583666742910848</v>
      </c>
      <c r="I1093" s="2150"/>
      <c r="J1093" s="2150"/>
      <c r="AS1093" s="1628" t="str">
        <f>IF(M986="Open Flange","Hide this row","")</f>
        <v/>
      </c>
      <c r="AT1093" s="143"/>
      <c r="AU1093" s="143"/>
      <c r="AV1093" s="143"/>
      <c r="AW1093" s="143"/>
      <c r="AX1093" s="143"/>
      <c r="AY1093" s="143"/>
      <c r="AZ1093" s="143"/>
      <c r="BA1093" s="143"/>
      <c r="BB1093" s="143"/>
      <c r="BC1093" s="143"/>
      <c r="BD1093" s="143"/>
      <c r="BE1093" s="143"/>
      <c r="BF1093" s="143"/>
      <c r="BG1093" s="143"/>
      <c r="BH1093" s="143"/>
      <c r="BI1093" s="143"/>
      <c r="BJ1093" s="143"/>
      <c r="BK1093" s="143"/>
      <c r="BL1093" s="143"/>
      <c r="BM1093" s="143"/>
      <c r="BN1093" s="143"/>
      <c r="BO1093" s="143"/>
      <c r="BP1093" s="143"/>
      <c r="BQ1093" s="143"/>
      <c r="BR1093" s="143"/>
      <c r="BS1093" s="143"/>
      <c r="BT1093" s="143"/>
      <c r="BU1093" s="143"/>
    </row>
    <row r="1094" spans="1:73" s="73" customFormat="1" ht="15" customHeight="1">
      <c r="A1094" s="170"/>
      <c r="B1094" s="143"/>
      <c r="C1094" s="96" t="s">
        <v>2509</v>
      </c>
      <c r="D1094" s="393" t="s">
        <v>2524</v>
      </c>
      <c r="E1094" s="124"/>
      <c r="F1094" s="170"/>
      <c r="G1094" s="1591"/>
      <c r="H1094" s="1560"/>
      <c r="I1094" s="1560"/>
      <c r="J1094" s="1560"/>
      <c r="AS1094" s="1628" t="str">
        <f>IF(M986="Open Flange","Hide this row","")</f>
        <v/>
      </c>
      <c r="AT1094" s="143"/>
      <c r="AU1094" s="143"/>
      <c r="AV1094" s="143"/>
      <c r="AW1094" s="143"/>
      <c r="AX1094" s="143"/>
      <c r="AY1094" s="143"/>
      <c r="AZ1094" s="143"/>
      <c r="BA1094" s="143"/>
      <c r="BB1094" s="143"/>
      <c r="BC1094" s="143"/>
      <c r="BD1094" s="143"/>
      <c r="BE1094" s="143"/>
      <c r="BF1094" s="143"/>
      <c r="BG1094" s="143"/>
      <c r="BH1094" s="143"/>
      <c r="BI1094" s="143"/>
      <c r="BJ1094" s="143"/>
      <c r="BK1094" s="143"/>
      <c r="BL1094" s="143"/>
      <c r="BM1094" s="143"/>
      <c r="BN1094" s="143"/>
      <c r="BO1094" s="143"/>
      <c r="BP1094" s="143"/>
      <c r="BQ1094" s="143"/>
      <c r="BR1094" s="143"/>
      <c r="BS1094" s="143"/>
      <c r="BT1094" s="143"/>
      <c r="BU1094" s="143"/>
    </row>
    <row r="1095" spans="1:73" s="73" customFormat="1" ht="15" customHeight="1">
      <c r="A1095" s="170"/>
      <c r="B1095" s="143"/>
      <c r="D1095" s="1441"/>
      <c r="E1095" s="1442"/>
      <c r="F1095" s="1443"/>
      <c r="G1095" s="1442"/>
      <c r="H1095" s="1442"/>
      <c r="I1095" s="1444" t="s">
        <v>2651</v>
      </c>
      <c r="J1095" s="1442"/>
      <c r="K1095" s="1445" t="s">
        <v>324</v>
      </c>
      <c r="L1095" s="1442"/>
      <c r="M1095" s="2146">
        <f>+I1066</f>
        <v>17.422222222222221</v>
      </c>
      <c r="N1095" s="2146"/>
      <c r="O1095" s="2146"/>
      <c r="P1095" s="1442"/>
      <c r="Q1095" s="1442"/>
      <c r="R1095" s="1442"/>
      <c r="S1095" s="1442"/>
      <c r="T1095" s="1442"/>
      <c r="U1095" s="1442"/>
      <c r="V1095" s="1442"/>
      <c r="W1095" s="1442"/>
      <c r="X1095" s="1442"/>
      <c r="Y1095" s="1442"/>
      <c r="Z1095" s="1442"/>
      <c r="AA1095" s="1442"/>
      <c r="AB1095" s="1442"/>
      <c r="AC1095" s="1442"/>
      <c r="AD1095" s="1446"/>
      <c r="AS1095" s="1628" t="str">
        <f>IF(M986="Open Flange","Hide this row","")</f>
        <v/>
      </c>
      <c r="AT1095" s="143"/>
      <c r="AU1095" s="143"/>
      <c r="AV1095" s="143"/>
      <c r="AW1095" s="143"/>
      <c r="AX1095" s="143"/>
      <c r="AY1095" s="143"/>
      <c r="AZ1095" s="143"/>
      <c r="BA1095" s="143"/>
      <c r="BB1095" s="143"/>
      <c r="BC1095" s="143"/>
      <c r="BD1095" s="143"/>
      <c r="BE1095" s="143"/>
      <c r="BF1095" s="143"/>
      <c r="BG1095" s="143"/>
      <c r="BH1095" s="143"/>
      <c r="BI1095" s="143"/>
      <c r="BJ1095" s="143"/>
      <c r="BK1095" s="143"/>
      <c r="BL1095" s="143"/>
      <c r="BM1095" s="143"/>
      <c r="BN1095" s="143"/>
      <c r="BO1095" s="143"/>
      <c r="BP1095" s="143"/>
      <c r="BQ1095" s="143"/>
      <c r="BR1095" s="143"/>
      <c r="BS1095" s="143"/>
      <c r="BT1095" s="143"/>
      <c r="BU1095" s="143"/>
    </row>
    <row r="1096" spans="1:73" s="73" customFormat="1" ht="15" customHeight="1">
      <c r="A1096" s="170"/>
      <c r="B1096" s="143"/>
      <c r="D1096" s="1210"/>
      <c r="E1096" s="170" t="s">
        <v>2711</v>
      </c>
      <c r="F1096" s="170"/>
      <c r="G1096" s="124"/>
      <c r="H1096" s="122"/>
      <c r="I1096" s="122"/>
      <c r="J1096" s="122"/>
      <c r="K1096" s="74" t="s">
        <v>324</v>
      </c>
      <c r="L1096" s="122"/>
      <c r="M1096" s="122" t="s">
        <v>2712</v>
      </c>
      <c r="N1096" s="122"/>
      <c r="O1096" s="122"/>
      <c r="P1096" s="2142">
        <f>+R1078</f>
        <v>210000</v>
      </c>
      <c r="Q1096" s="2143"/>
      <c r="R1096" s="2143"/>
      <c r="S1096" s="2143"/>
      <c r="T1096" s="74" t="s">
        <v>2489</v>
      </c>
      <c r="U1096" s="2144">
        <f>+H1093</f>
        <v>0.9583666742910848</v>
      </c>
      <c r="V1096" s="2143"/>
      <c r="W1096" s="2143"/>
      <c r="X1096" s="74" t="s">
        <v>2490</v>
      </c>
      <c r="Y1096" s="2142">
        <f>+V1072</f>
        <v>380</v>
      </c>
      <c r="Z1096" s="2143"/>
      <c r="AA1096" s="2143"/>
      <c r="AB1096" s="74" t="s">
        <v>2512</v>
      </c>
      <c r="AC1096" s="122"/>
      <c r="AD1096" s="1447"/>
      <c r="AS1096" s="1628" t="str">
        <f>IF(M986="Open Flange","Hide this row","")</f>
        <v/>
      </c>
      <c r="AT1096" s="143"/>
      <c r="AU1096" s="143"/>
      <c r="AV1096" s="143"/>
      <c r="AW1096" s="143"/>
      <c r="AX1096" s="143"/>
      <c r="AY1096" s="143"/>
      <c r="AZ1096" s="143"/>
      <c r="BA1096" s="143"/>
      <c r="BB1096" s="143"/>
      <c r="BC1096" s="143"/>
      <c r="BD1096" s="143"/>
      <c r="BE1096" s="143"/>
      <c r="BF1096" s="143"/>
      <c r="BG1096" s="143"/>
      <c r="BH1096" s="143"/>
      <c r="BI1096" s="143"/>
      <c r="BJ1096" s="143"/>
      <c r="BK1096" s="143"/>
      <c r="BL1096" s="143"/>
      <c r="BM1096" s="143"/>
      <c r="BN1096" s="143"/>
      <c r="BO1096" s="143"/>
      <c r="BP1096" s="143"/>
      <c r="BQ1096" s="143"/>
      <c r="BR1096" s="143"/>
      <c r="BS1096" s="143"/>
      <c r="BT1096" s="143"/>
      <c r="BU1096" s="143"/>
    </row>
    <row r="1097" spans="1:73" s="73" customFormat="1" ht="15" customHeight="1">
      <c r="A1097" s="170"/>
      <c r="B1097" s="143"/>
      <c r="D1097" s="1210"/>
      <c r="E1097" s="124"/>
      <c r="F1097" s="170"/>
      <c r="G1097" s="124"/>
      <c r="H1097" s="122"/>
      <c r="I1097" s="122"/>
      <c r="J1097" s="122"/>
      <c r="K1097" s="74" t="s">
        <v>324</v>
      </c>
      <c r="L1097" s="122"/>
      <c r="M1097" s="2147">
        <f>1.12*SQRT(P1096*U1096/Y1096)</f>
        <v>25.775180984022043</v>
      </c>
      <c r="N1097" s="2147"/>
      <c r="O1097" s="2147"/>
      <c r="P1097" s="2147"/>
      <c r="Q1097" s="122"/>
      <c r="R1097" s="122"/>
      <c r="S1097" s="122"/>
      <c r="T1097" s="122"/>
      <c r="U1097" s="122"/>
      <c r="V1097" s="122"/>
      <c r="W1097" s="122"/>
      <c r="X1097" s="122"/>
      <c r="Y1097" s="122"/>
      <c r="Z1097" s="122"/>
      <c r="AA1097" s="122"/>
      <c r="AB1097" s="122"/>
      <c r="AC1097" s="122"/>
      <c r="AD1097" s="1447"/>
      <c r="AE1097" s="73" t="s">
        <v>2462</v>
      </c>
      <c r="AG1097" s="73" t="str">
        <f>IF(M1095&lt;M1097,"λf ≤ 1.12√(Eks/Fyc)",IF(M1095&lt;M1099,"1.12√(Eks/Fyc) &lt; λf ≤ 1.40(Eks/Fyc) ","λf &gt; 1.40√(Eks/Fyc)"))</f>
        <v>λf ≤ 1.12√(Eks/Fyc)</v>
      </c>
      <c r="AS1097" s="1628" t="str">
        <f>IF(M986="Open Flange","Hide this row","")</f>
        <v/>
      </c>
      <c r="AT1097" s="143"/>
      <c r="AU1097" s="143"/>
      <c r="AV1097" s="143"/>
      <c r="AW1097" s="143"/>
      <c r="AX1097" s="143"/>
      <c r="AY1097" s="143"/>
      <c r="AZ1097" s="143"/>
      <c r="BA1097" s="143"/>
      <c r="BB1097" s="143"/>
      <c r="BC1097" s="143"/>
      <c r="BD1097" s="143"/>
      <c r="BE1097" s="143"/>
      <c r="BF1097" s="143"/>
      <c r="BG1097" s="143"/>
      <c r="BH1097" s="143"/>
      <c r="BI1097" s="143"/>
      <c r="BJ1097" s="143"/>
      <c r="BK1097" s="143"/>
      <c r="BL1097" s="143"/>
      <c r="BM1097" s="143"/>
      <c r="BN1097" s="143"/>
      <c r="BO1097" s="143"/>
      <c r="BP1097" s="143"/>
      <c r="BQ1097" s="143"/>
      <c r="BR1097" s="143"/>
      <c r="BS1097" s="143"/>
      <c r="BT1097" s="143"/>
      <c r="BU1097" s="143"/>
    </row>
    <row r="1098" spans="1:73" s="73" customFormat="1" ht="15" customHeight="1">
      <c r="A1098" s="170"/>
      <c r="B1098" s="143"/>
      <c r="D1098" s="1210"/>
      <c r="E1098" s="170" t="s">
        <v>2713</v>
      </c>
      <c r="F1098" s="170"/>
      <c r="G1098" s="124"/>
      <c r="H1098" s="122"/>
      <c r="I1098" s="1588"/>
      <c r="J1098" s="1588"/>
      <c r="K1098" s="74" t="s">
        <v>324</v>
      </c>
      <c r="L1098" s="1588"/>
      <c r="M1098" s="122" t="s">
        <v>2714</v>
      </c>
      <c r="N1098" s="122"/>
      <c r="O1098" s="122"/>
      <c r="P1098" s="2142">
        <f>+P1096</f>
        <v>210000</v>
      </c>
      <c r="Q1098" s="2143"/>
      <c r="R1098" s="2143"/>
      <c r="S1098" s="2143"/>
      <c r="T1098" s="74" t="s">
        <v>2489</v>
      </c>
      <c r="U1098" s="2144">
        <f>+U1096</f>
        <v>0.9583666742910848</v>
      </c>
      <c r="V1098" s="2143"/>
      <c r="W1098" s="2143"/>
      <c r="X1098" s="74" t="s">
        <v>2490</v>
      </c>
      <c r="Y1098" s="2142">
        <f>+Y1096</f>
        <v>380</v>
      </c>
      <c r="Z1098" s="2143"/>
      <c r="AA1098" s="2143"/>
      <c r="AB1098" s="74" t="s">
        <v>2512</v>
      </c>
      <c r="AC1098" s="122"/>
      <c r="AD1098" s="1447"/>
      <c r="AG1098" s="1422" t="str">
        <f>IF(M1095&lt;M1097,"(1)",IF(M1095&lt;M1099,"(2)","(3)"))</f>
        <v>(1)</v>
      </c>
      <c r="AI1098" s="73" t="s">
        <v>2527</v>
      </c>
      <c r="AS1098" s="1628" t="str">
        <f>IF(M986="Open Flange","Hide this row","")</f>
        <v/>
      </c>
      <c r="AT1098" s="143"/>
      <c r="AU1098" s="143"/>
      <c r="AV1098" s="143"/>
      <c r="AW1098" s="143"/>
      <c r="AX1098" s="143"/>
      <c r="AY1098" s="143"/>
      <c r="AZ1098" s="143"/>
      <c r="BA1098" s="143"/>
      <c r="BB1098" s="143"/>
      <c r="BC1098" s="143"/>
      <c r="BD1098" s="143"/>
      <c r="BE1098" s="143"/>
      <c r="BF1098" s="143"/>
      <c r="BG1098" s="143"/>
      <c r="BH1098" s="143"/>
      <c r="BI1098" s="143"/>
      <c r="BJ1098" s="143"/>
      <c r="BK1098" s="143"/>
      <c r="BL1098" s="143"/>
      <c r="BM1098" s="143"/>
      <c r="BN1098" s="143"/>
      <c r="BO1098" s="143"/>
      <c r="BP1098" s="143"/>
      <c r="BQ1098" s="143"/>
      <c r="BR1098" s="143"/>
      <c r="BS1098" s="143"/>
      <c r="BT1098" s="143"/>
      <c r="BU1098" s="143"/>
    </row>
    <row r="1099" spans="1:73" s="73" customFormat="1" ht="15" customHeight="1">
      <c r="A1099" s="170"/>
      <c r="B1099" s="143"/>
      <c r="D1099" s="1448"/>
      <c r="E1099" s="1335"/>
      <c r="F1099" s="1333"/>
      <c r="G1099" s="1335"/>
      <c r="H1099" s="1437"/>
      <c r="I1099" s="1587"/>
      <c r="J1099" s="1587"/>
      <c r="K1099" s="1587"/>
      <c r="L1099" s="1587"/>
      <c r="M1099" s="2145">
        <f>1.4*SQRT(P1098*U1098/Y1098)</f>
        <v>32.21897623002755</v>
      </c>
      <c r="N1099" s="2145"/>
      <c r="O1099" s="2145"/>
      <c r="P1099" s="2145"/>
      <c r="Q1099" s="1437"/>
      <c r="R1099" s="1437"/>
      <c r="S1099" s="1437"/>
      <c r="T1099" s="1437"/>
      <c r="U1099" s="1437"/>
      <c r="V1099" s="1437"/>
      <c r="W1099" s="1437"/>
      <c r="X1099" s="1437"/>
      <c r="Y1099" s="1437"/>
      <c r="Z1099" s="1437"/>
      <c r="AA1099" s="1437"/>
      <c r="AB1099" s="1437"/>
      <c r="AC1099" s="1437"/>
      <c r="AD1099" s="1449"/>
      <c r="AS1099" s="1628" t="str">
        <f>IF(M986="Open Flange","Hide this row","")</f>
        <v/>
      </c>
      <c r="AT1099" s="143"/>
      <c r="AU1099" s="143"/>
      <c r="AV1099" s="143"/>
      <c r="AW1099" s="143"/>
      <c r="AX1099" s="143"/>
      <c r="AY1099" s="143"/>
      <c r="AZ1099" s="143"/>
      <c r="BA1099" s="143"/>
      <c r="BB1099" s="143"/>
      <c r="BC1099" s="143"/>
      <c r="BD1099" s="143"/>
      <c r="BE1099" s="143"/>
      <c r="BF1099" s="143"/>
      <c r="BG1099" s="143"/>
      <c r="BH1099" s="143"/>
      <c r="BI1099" s="143"/>
      <c r="BJ1099" s="143"/>
      <c r="BK1099" s="143"/>
      <c r="BL1099" s="143"/>
      <c r="BM1099" s="143"/>
      <c r="BN1099" s="143"/>
      <c r="BO1099" s="143"/>
      <c r="BP1099" s="143"/>
      <c r="BQ1099" s="143"/>
      <c r="BR1099" s="143"/>
      <c r="BS1099" s="143"/>
      <c r="BT1099" s="143"/>
      <c r="BU1099" s="143"/>
    </row>
    <row r="1100" spans="1:73" s="73" customFormat="1" ht="15" customHeight="1">
      <c r="A1100" s="170"/>
      <c r="B1100" s="143"/>
      <c r="D1100" s="170"/>
      <c r="E1100" s="124"/>
      <c r="F1100" s="170"/>
      <c r="G1100" s="124"/>
      <c r="I1100" s="1605"/>
      <c r="J1100" s="1605"/>
      <c r="K1100" s="1605"/>
      <c r="L1100" s="1605"/>
      <c r="M1100" s="1605"/>
      <c r="N1100" s="1605"/>
      <c r="O1100" s="1605"/>
      <c r="P1100" s="1605"/>
      <c r="AS1100" s="1628" t="str">
        <f>IF(M986="Open Flange","Hide this row","")</f>
        <v/>
      </c>
      <c r="AT1100" s="143"/>
      <c r="AU1100" s="143"/>
      <c r="AV1100" s="143"/>
      <c r="AW1100" s="143"/>
      <c r="AX1100" s="143"/>
      <c r="AY1100" s="143"/>
      <c r="AZ1100" s="143"/>
      <c r="BA1100" s="143"/>
      <c r="BB1100" s="143"/>
      <c r="BC1100" s="143"/>
      <c r="BD1100" s="143"/>
      <c r="BE1100" s="143"/>
      <c r="BF1100" s="143"/>
      <c r="BG1100" s="143"/>
      <c r="BH1100" s="143"/>
      <c r="BI1100" s="143"/>
      <c r="BJ1100" s="143"/>
      <c r="BK1100" s="143"/>
      <c r="BL1100" s="143"/>
      <c r="BM1100" s="143"/>
      <c r="BN1100" s="143"/>
      <c r="BO1100" s="143"/>
      <c r="BP1100" s="143"/>
      <c r="BQ1100" s="143"/>
      <c r="BR1100" s="143"/>
      <c r="BS1100" s="143"/>
      <c r="BT1100" s="143"/>
      <c r="BU1100" s="143"/>
    </row>
    <row r="1101" spans="1:73" s="73" customFormat="1" ht="15" customHeight="1">
      <c r="A1101" s="170"/>
      <c r="B1101" s="143"/>
      <c r="D1101" s="170"/>
      <c r="G1101" s="73" t="s">
        <v>2462</v>
      </c>
      <c r="H1101" s="124" t="s">
        <v>842</v>
      </c>
      <c r="I1101" s="170"/>
      <c r="K1101" s="124" t="s">
        <v>324</v>
      </c>
      <c r="M1101" s="1605" t="s">
        <v>2725</v>
      </c>
      <c r="S1101" s="76" t="s">
        <v>324</v>
      </c>
      <c r="T1101" s="2111">
        <v>0.57999999999999996</v>
      </c>
      <c r="U1101" s="2111"/>
      <c r="V1101" s="2111"/>
      <c r="W1101" s="76" t="s">
        <v>2489</v>
      </c>
      <c r="X1101" s="2118">
        <f>+Y1098</f>
        <v>380</v>
      </c>
      <c r="Y1101" s="2111"/>
      <c r="Z1101" s="2111"/>
      <c r="AS1101" s="1628" t="str">
        <f>IF(M986="Open Flange","Hide this row",IF(AG1098&lt;&gt;"(1)","Hide this row",""))</f>
        <v/>
      </c>
      <c r="AT1101" s="143"/>
      <c r="AU1101" s="143"/>
      <c r="AV1101" s="143"/>
      <c r="AW1101" s="143"/>
      <c r="AX1101" s="143"/>
      <c r="AY1101" s="143"/>
      <c r="AZ1101" s="143"/>
      <c r="BA1101" s="143"/>
      <c r="BB1101" s="143"/>
      <c r="BC1101" s="143"/>
      <c r="BD1101" s="143"/>
      <c r="BE1101" s="143"/>
      <c r="BF1101" s="143"/>
      <c r="BG1101" s="143"/>
      <c r="BH1101" s="143"/>
      <c r="BI1101" s="143"/>
      <c r="BJ1101" s="143"/>
      <c r="BK1101" s="143"/>
      <c r="BL1101" s="143"/>
      <c r="BM1101" s="143"/>
      <c r="BN1101" s="143"/>
      <c r="BO1101" s="143"/>
      <c r="BP1101" s="143"/>
      <c r="BQ1101" s="143"/>
      <c r="BR1101" s="143"/>
      <c r="BS1101" s="143"/>
      <c r="BT1101" s="143"/>
      <c r="BU1101" s="143"/>
    </row>
    <row r="1102" spans="1:73" s="73" customFormat="1" ht="15" customHeight="1">
      <c r="A1102" s="170"/>
      <c r="B1102" s="143"/>
      <c r="D1102" s="170"/>
      <c r="E1102" s="124"/>
      <c r="F1102" s="170"/>
      <c r="G1102" s="124"/>
      <c r="I1102" s="1605"/>
      <c r="J1102" s="1605"/>
      <c r="K1102" s="124" t="s">
        <v>324</v>
      </c>
      <c r="L1102" s="1605"/>
      <c r="M1102" s="2124">
        <f>+T1101*X1101</f>
        <v>220.39999999999998</v>
      </c>
      <c r="N1102" s="2124"/>
      <c r="O1102" s="2124"/>
      <c r="P1102" s="73" t="s">
        <v>2508</v>
      </c>
      <c r="AS1102" s="1628" t="str">
        <f>IF(M986="Open Flange","Hide this row",IF(AG1098&lt;&gt;"(1)","Hide this row",""))</f>
        <v/>
      </c>
      <c r="AT1102" s="143"/>
      <c r="AU1102" s="143"/>
      <c r="AV1102" s="143"/>
      <c r="AW1102" s="143"/>
      <c r="AX1102" s="143"/>
      <c r="AY1102" s="143"/>
      <c r="AZ1102" s="143"/>
      <c r="BA1102" s="143"/>
      <c r="BB1102" s="143"/>
      <c r="BC1102" s="143"/>
      <c r="BD1102" s="143"/>
      <c r="BE1102" s="143"/>
      <c r="BF1102" s="143"/>
      <c r="BG1102" s="143"/>
      <c r="BH1102" s="143"/>
      <c r="BI1102" s="143"/>
      <c r="BJ1102" s="143"/>
      <c r="BK1102" s="143"/>
      <c r="BL1102" s="143"/>
      <c r="BM1102" s="143"/>
      <c r="BN1102" s="143"/>
      <c r="BO1102" s="143"/>
      <c r="BP1102" s="143"/>
      <c r="BQ1102" s="143"/>
      <c r="BR1102" s="143"/>
      <c r="BS1102" s="143"/>
      <c r="BT1102" s="143"/>
      <c r="BU1102" s="143"/>
    </row>
    <row r="1103" spans="1:73" s="73" customFormat="1" ht="15" customHeight="1">
      <c r="A1103" s="170"/>
      <c r="B1103" s="143"/>
      <c r="D1103" s="170"/>
      <c r="E1103" s="124"/>
      <c r="F1103" s="170"/>
      <c r="G1103" s="73" t="s">
        <v>2462</v>
      </c>
      <c r="H1103" s="124" t="s">
        <v>842</v>
      </c>
      <c r="I1103" s="170"/>
      <c r="K1103" s="124" t="s">
        <v>324</v>
      </c>
      <c r="M1103" s="1605" t="s">
        <v>2720</v>
      </c>
      <c r="S1103" s="76" t="s">
        <v>324</v>
      </c>
      <c r="T1103" s="1211" t="s">
        <v>2721</v>
      </c>
      <c r="U1103" s="1211"/>
      <c r="V1103" s="1211"/>
      <c r="W1103" s="76"/>
      <c r="X1103" s="2118">
        <f>+X1101</f>
        <v>380</v>
      </c>
      <c r="Y1103" s="2118"/>
      <c r="Z1103" s="2118"/>
      <c r="AA1103" s="76" t="s">
        <v>2489</v>
      </c>
      <c r="AB1103" s="2118">
        <f>+P1098</f>
        <v>210000</v>
      </c>
      <c r="AC1103" s="2111"/>
      <c r="AD1103" s="2111"/>
      <c r="AE1103" s="2111"/>
      <c r="AF1103" s="76" t="s">
        <v>2489</v>
      </c>
      <c r="AG1103" s="2110">
        <f>+H1093</f>
        <v>0.9583666742910848</v>
      </c>
      <c r="AH1103" s="2111"/>
      <c r="AI1103" s="2111"/>
      <c r="AJ1103" s="76" t="s">
        <v>2722</v>
      </c>
      <c r="AK1103" s="2111">
        <f>+M1095</f>
        <v>17.422222222222221</v>
      </c>
      <c r="AL1103" s="2111"/>
      <c r="AM1103" s="2111"/>
      <c r="AS1103" s="1628" t="str">
        <f>IF(M986="Open Flange","Hide this row",IF(AG1098&lt;&gt;"(2)","Hide this row",""))</f>
        <v>Hide this row</v>
      </c>
      <c r="AT1103" s="143"/>
      <c r="AU1103" s="143"/>
      <c r="AV1103" s="143"/>
      <c r="AW1103" s="143"/>
      <c r="AX1103" s="143"/>
      <c r="AY1103" s="143"/>
      <c r="AZ1103" s="143"/>
      <c r="BA1103" s="143"/>
      <c r="BB1103" s="143"/>
      <c r="BC1103" s="143"/>
      <c r="BD1103" s="143"/>
      <c r="BE1103" s="143"/>
      <c r="BF1103" s="143"/>
      <c r="BG1103" s="143"/>
      <c r="BH1103" s="143"/>
      <c r="BI1103" s="143"/>
      <c r="BJ1103" s="143"/>
      <c r="BK1103" s="143"/>
      <c r="BL1103" s="143"/>
      <c r="BM1103" s="143"/>
      <c r="BN1103" s="143"/>
      <c r="BO1103" s="143"/>
      <c r="BP1103" s="143"/>
      <c r="BQ1103" s="143"/>
      <c r="BR1103" s="143"/>
      <c r="BS1103" s="143"/>
      <c r="BT1103" s="143"/>
      <c r="BU1103" s="143"/>
    </row>
    <row r="1104" spans="1:73" s="73" customFormat="1" ht="15" customHeight="1">
      <c r="A1104" s="170"/>
      <c r="B1104" s="143"/>
      <c r="D1104" s="170"/>
      <c r="E1104" s="124"/>
      <c r="F1104" s="170"/>
      <c r="G1104" s="124"/>
      <c r="I1104" s="1605"/>
      <c r="J1104" s="1605"/>
      <c r="K1104" s="124" t="s">
        <v>324</v>
      </c>
      <c r="L1104" s="1605"/>
      <c r="M1104" s="2124">
        <f>0.65*SQRT(X1103*AB1103*AG1103)/AK1103</f>
        <v>326.26997157138874</v>
      </c>
      <c r="N1104" s="2124"/>
      <c r="O1104" s="2124"/>
      <c r="P1104" s="73" t="s">
        <v>2508</v>
      </c>
      <c r="AS1104" s="1628" t="str">
        <f>IF(M986="Open Flange","Hide this row",IF(AG1098&lt;&gt;"(2)","Hide this row",""))</f>
        <v>Hide this row</v>
      </c>
      <c r="AT1104" s="143"/>
      <c r="AU1104" s="143"/>
      <c r="AV1104" s="143"/>
      <c r="AW1104" s="143"/>
      <c r="AX1104" s="143"/>
      <c r="AY1104" s="143"/>
      <c r="AZ1104" s="143"/>
      <c r="BA1104" s="143"/>
      <c r="BB1104" s="143"/>
      <c r="BC1104" s="143"/>
      <c r="BD1104" s="143"/>
      <c r="BE1104" s="143"/>
      <c r="BF1104" s="143"/>
      <c r="BG1104" s="143"/>
      <c r="BH1104" s="143"/>
      <c r="BI1104" s="143"/>
      <c r="BJ1104" s="143"/>
      <c r="BK1104" s="143"/>
      <c r="BL1104" s="143"/>
      <c r="BM1104" s="143"/>
      <c r="BN1104" s="143"/>
      <c r="BO1104" s="143"/>
      <c r="BP1104" s="143"/>
      <c r="BQ1104" s="143"/>
      <c r="BR1104" s="143"/>
      <c r="BS1104" s="143"/>
      <c r="BT1104" s="143"/>
      <c r="BU1104" s="143"/>
    </row>
    <row r="1105" spans="1:73" s="73" customFormat="1" ht="15" customHeight="1">
      <c r="A1105" s="170"/>
      <c r="B1105" s="143"/>
      <c r="D1105" s="170"/>
      <c r="E1105" s="124"/>
      <c r="F1105" s="170"/>
      <c r="G1105" s="73" t="s">
        <v>2462</v>
      </c>
      <c r="H1105" s="124" t="s">
        <v>842</v>
      </c>
      <c r="I1105" s="170"/>
      <c r="K1105" s="124" t="s">
        <v>324</v>
      </c>
      <c r="M1105" s="1605" t="s">
        <v>2723</v>
      </c>
      <c r="S1105" s="76" t="s">
        <v>324</v>
      </c>
      <c r="T1105" s="1211" t="s">
        <v>2724</v>
      </c>
      <c r="U1105" s="1211"/>
      <c r="V1105" s="1211"/>
      <c r="W1105" s="2118">
        <f>+AB1103</f>
        <v>210000</v>
      </c>
      <c r="X1105" s="2118"/>
      <c r="Y1105" s="2118"/>
      <c r="Z1105" s="2118"/>
      <c r="AA1105" s="76" t="s">
        <v>2489</v>
      </c>
      <c r="AB1105" s="2110">
        <f>+H1093</f>
        <v>0.9583666742910848</v>
      </c>
      <c r="AC1105" s="2110"/>
      <c r="AD1105" s="2110"/>
      <c r="AE1105" s="1211"/>
      <c r="AF1105" s="76" t="s">
        <v>2490</v>
      </c>
      <c r="AG1105" s="2110">
        <f>+M1095</f>
        <v>17.422222222222221</v>
      </c>
      <c r="AH1105" s="2111"/>
      <c r="AI1105" s="2111"/>
      <c r="AJ1105" s="76" t="s">
        <v>2700</v>
      </c>
      <c r="AK1105" s="1211"/>
      <c r="AL1105" s="1211"/>
      <c r="AM1105" s="1211"/>
      <c r="AS1105" s="1628" t="str">
        <f>IF(M986="Open Flange","Hide this row",IF(AG1098&lt;&gt;"(3)","Hide this row",""))</f>
        <v>Hide this row</v>
      </c>
      <c r="AT1105" s="143"/>
      <c r="AU1105" s="143"/>
      <c r="AV1105" s="143"/>
      <c r="AW1105" s="143"/>
      <c r="AX1105" s="143"/>
      <c r="AY1105" s="143"/>
      <c r="AZ1105" s="143"/>
      <c r="BA1105" s="143"/>
      <c r="BB1105" s="143"/>
      <c r="BC1105" s="143"/>
      <c r="BD1105" s="143"/>
      <c r="BE1105" s="143"/>
      <c r="BF1105" s="143"/>
      <c r="BG1105" s="143"/>
      <c r="BH1105" s="143"/>
      <c r="BI1105" s="143"/>
      <c r="BJ1105" s="143"/>
      <c r="BK1105" s="143"/>
      <c r="BL1105" s="143"/>
      <c r="BM1105" s="143"/>
      <c r="BN1105" s="143"/>
      <c r="BO1105" s="143"/>
      <c r="BP1105" s="143"/>
      <c r="BQ1105" s="143"/>
      <c r="BR1105" s="143"/>
      <c r="BS1105" s="143"/>
      <c r="BT1105" s="143"/>
      <c r="BU1105" s="143"/>
    </row>
    <row r="1106" spans="1:73" s="73" customFormat="1" ht="15" customHeight="1">
      <c r="A1106" s="170"/>
      <c r="B1106" s="143"/>
      <c r="D1106" s="170"/>
      <c r="E1106" s="124"/>
      <c r="F1106" s="170"/>
      <c r="G1106" s="124"/>
      <c r="I1106" s="1605"/>
      <c r="J1106" s="1605"/>
      <c r="K1106" s="124" t="s">
        <v>324</v>
      </c>
      <c r="L1106" s="1605"/>
      <c r="M1106" s="2124">
        <f>0.9*W1105*AB1105/AG1105/AG1105</f>
        <v>596.74173101386066</v>
      </c>
      <c r="N1106" s="2124"/>
      <c r="O1106" s="2124"/>
      <c r="P1106" s="73" t="s">
        <v>2508</v>
      </c>
      <c r="AS1106" s="1628" t="str">
        <f>IF(M986="Open Flange","Hide this row",IF(AG1098&lt;&gt;"(3)","Hide this row",""))</f>
        <v>Hide this row</v>
      </c>
      <c r="AT1106" s="143"/>
      <c r="AU1106" s="143"/>
      <c r="AV1106" s="143"/>
      <c r="AW1106" s="143"/>
      <c r="AX1106" s="143"/>
      <c r="AY1106" s="143"/>
      <c r="AZ1106" s="143"/>
      <c r="BA1106" s="143"/>
      <c r="BB1106" s="143"/>
      <c r="BC1106" s="143"/>
      <c r="BD1106" s="143"/>
      <c r="BE1106" s="143"/>
      <c r="BF1106" s="143"/>
      <c r="BG1106" s="143"/>
      <c r="BH1106" s="143"/>
      <c r="BI1106" s="143"/>
      <c r="BJ1106" s="143"/>
      <c r="BK1106" s="143"/>
      <c r="BL1106" s="143"/>
      <c r="BM1106" s="143"/>
      <c r="BN1106" s="143"/>
      <c r="BO1106" s="143"/>
      <c r="BP1106" s="143"/>
      <c r="BQ1106" s="143"/>
      <c r="BR1106" s="143"/>
      <c r="BS1106" s="143"/>
      <c r="BT1106" s="143"/>
      <c r="BU1106" s="143"/>
    </row>
    <row r="1107" spans="1:73" s="73" customFormat="1" ht="15" customHeight="1">
      <c r="A1107" s="170"/>
      <c r="B1107" s="143"/>
      <c r="D1107" s="170"/>
      <c r="E1107" s="124"/>
      <c r="F1107" s="170"/>
      <c r="G1107" s="124"/>
      <c r="I1107" s="1607"/>
      <c r="J1107" s="1607"/>
      <c r="K1107" s="1607"/>
      <c r="L1107" s="1607"/>
      <c r="AS1107" s="1628" t="str">
        <f>IF(M986="Open Flange","Hide this row","")</f>
        <v/>
      </c>
      <c r="AT1107" s="143"/>
      <c r="AU1107" s="143"/>
      <c r="AV1107" s="143"/>
      <c r="AW1107" s="143"/>
      <c r="AX1107" s="143"/>
      <c r="AY1107" s="143"/>
      <c r="AZ1107" s="143"/>
      <c r="BA1107" s="143"/>
      <c r="BB1107" s="143"/>
      <c r="BC1107" s="143"/>
      <c r="BD1107" s="143"/>
      <c r="BE1107" s="143"/>
      <c r="BF1107" s="143"/>
      <c r="BG1107" s="143"/>
      <c r="BH1107" s="143"/>
      <c r="BI1107" s="143"/>
      <c r="BJ1107" s="143"/>
      <c r="BK1107" s="143"/>
      <c r="BL1107" s="143"/>
      <c r="BM1107" s="143"/>
      <c r="BN1107" s="143"/>
      <c r="BO1107" s="143"/>
      <c r="BP1107" s="143"/>
      <c r="BQ1107" s="143"/>
      <c r="BR1107" s="143"/>
      <c r="BS1107" s="143"/>
      <c r="BT1107" s="143"/>
      <c r="BU1107" s="143"/>
    </row>
    <row r="1108" spans="1:73" s="73" customFormat="1" ht="15" customHeight="1">
      <c r="A1108" s="170"/>
      <c r="C1108" s="1460"/>
      <c r="D1108" s="170"/>
      <c r="E1108" s="1461" t="s">
        <v>2501</v>
      </c>
      <c r="F1108" s="170"/>
      <c r="G1108" s="124" t="s">
        <v>2732</v>
      </c>
      <c r="I1108" s="1607"/>
      <c r="J1108" s="1607"/>
      <c r="K1108" s="1607"/>
      <c r="L1108" s="1607"/>
      <c r="AS1108" s="1628" t="str">
        <f>IF(M986="Open Flange","Hide this row","")</f>
        <v/>
      </c>
      <c r="AT1108" s="143"/>
      <c r="AU1108" s="143"/>
      <c r="AV1108" s="143"/>
      <c r="AW1108" s="143"/>
      <c r="AX1108" s="143"/>
      <c r="AY1108" s="143"/>
      <c r="AZ1108" s="143"/>
      <c r="BA1108" s="143"/>
      <c r="BB1108" s="143"/>
      <c r="BC1108" s="143"/>
      <c r="BD1108" s="143"/>
      <c r="BE1108" s="143"/>
      <c r="BF1108" s="143"/>
      <c r="BG1108" s="143"/>
      <c r="BH1108" s="143"/>
      <c r="BI1108" s="143"/>
      <c r="BJ1108" s="143"/>
      <c r="BK1108" s="143"/>
      <c r="BL1108" s="143"/>
      <c r="BM1108" s="143"/>
      <c r="BN1108" s="143"/>
      <c r="BO1108" s="143"/>
      <c r="BP1108" s="143"/>
      <c r="BQ1108" s="143"/>
      <c r="BR1108" s="143"/>
      <c r="BS1108" s="143"/>
      <c r="BT1108" s="143"/>
      <c r="BU1108" s="143"/>
    </row>
    <row r="1109" spans="1:73" s="73" customFormat="1" ht="15" customHeight="1">
      <c r="A1109" s="170"/>
      <c r="B1109" s="143"/>
      <c r="D1109" s="170"/>
      <c r="E1109" s="124"/>
      <c r="F1109" s="170"/>
      <c r="G1109" s="124"/>
      <c r="I1109" s="122" t="s">
        <v>845</v>
      </c>
      <c r="J1109" s="1463"/>
      <c r="K1109" s="1462" t="s">
        <v>324</v>
      </c>
      <c r="L1109" s="1463"/>
      <c r="M1109" s="122" t="s">
        <v>2979</v>
      </c>
      <c r="V1109" s="76" t="s">
        <v>324</v>
      </c>
      <c r="X1109" s="2111">
        <f>+IF(I1066&lt;=I1070,I1073,IF(I1066&lt;=I1068,I1077,I1079))</f>
        <v>353.24625162926577</v>
      </c>
      <c r="Y1109" s="2111"/>
      <c r="Z1109" s="2111"/>
      <c r="AA1109" s="73" t="s">
        <v>2733</v>
      </c>
      <c r="AD1109" s="2111">
        <f>+Z1061</f>
        <v>-0.20266615146831529</v>
      </c>
      <c r="AE1109" s="2111"/>
      <c r="AF1109" s="2111"/>
      <c r="AG1109" s="76" t="s">
        <v>2490</v>
      </c>
      <c r="AH1109" s="2111">
        <f>IF(M1095&lt;M1097,M1102,IF(M1095&lt;M1099,M1104,M1106))</f>
        <v>220.39999999999998</v>
      </c>
      <c r="AI1109" s="2111"/>
      <c r="AJ1109" s="2111"/>
      <c r="AK1109" s="76" t="s">
        <v>2676</v>
      </c>
      <c r="AS1109" s="1628" t="str">
        <f>IF(M986="Open Flange","Hide this row","")</f>
        <v/>
      </c>
      <c r="AT1109" s="143"/>
      <c r="AU1109" s="143"/>
      <c r="AV1109" s="143"/>
      <c r="AW1109" s="143"/>
      <c r="AX1109" s="143"/>
      <c r="AY1109" s="143"/>
      <c r="AZ1109" s="143"/>
      <c r="BA1109" s="143"/>
      <c r="BB1109" s="143"/>
      <c r="BC1109" s="143"/>
      <c r="BD1109" s="143"/>
      <c r="BE1109" s="143"/>
      <c r="BF1109" s="143"/>
      <c r="BG1109" s="143"/>
      <c r="BH1109" s="143"/>
      <c r="BI1109" s="143"/>
      <c r="BJ1109" s="143"/>
      <c r="BK1109" s="143"/>
      <c r="BL1109" s="143"/>
      <c r="BM1109" s="143"/>
      <c r="BN1109" s="143"/>
      <c r="BO1109" s="143"/>
      <c r="BP1109" s="143"/>
      <c r="BQ1109" s="143"/>
      <c r="BR1109" s="143"/>
      <c r="BS1109" s="143"/>
      <c r="BT1109" s="143"/>
      <c r="BU1109" s="143"/>
    </row>
    <row r="1110" spans="1:73" s="73" customFormat="1" ht="20.100000000000001" customHeight="1" thickBot="1">
      <c r="A1110" s="170"/>
      <c r="B1110" s="143"/>
      <c r="D1110" s="170"/>
      <c r="E1110" s="124"/>
      <c r="F1110" s="170"/>
      <c r="G1110" s="124"/>
      <c r="H1110" s="122"/>
      <c r="I1110" s="323" t="s">
        <v>845</v>
      </c>
      <c r="J1110" s="323"/>
      <c r="K1110" s="1464" t="s">
        <v>324</v>
      </c>
      <c r="L1110" s="1465"/>
      <c r="M1110" s="2238">
        <f>+X1109*SQRT(1-(AD1109/AH1109)^2)</f>
        <v>353.24610228556156</v>
      </c>
      <c r="N1110" s="2238"/>
      <c r="O1110" s="2238"/>
      <c r="P1110" s="369"/>
      <c r="Q1110" s="369" t="s">
        <v>2508</v>
      </c>
      <c r="R1110" s="369"/>
      <c r="S1110" s="122"/>
      <c r="T1110" s="122"/>
      <c r="U1110" s="122"/>
      <c r="AS1110" s="1628" t="str">
        <f>IF(M986="Open Flange","Hide this row","")</f>
        <v/>
      </c>
      <c r="AT1110" s="143"/>
      <c r="AU1110" s="143"/>
      <c r="AV1110" s="143"/>
      <c r="AW1110" s="143"/>
      <c r="AX1110" s="143"/>
      <c r="AY1110" s="143"/>
      <c r="AZ1110" s="143"/>
      <c r="BA1110" s="143"/>
      <c r="BB1110" s="143"/>
      <c r="BC1110" s="143"/>
      <c r="BD1110" s="143"/>
      <c r="BE1110" s="143"/>
      <c r="BF1110" s="143"/>
      <c r="BG1110" s="143"/>
      <c r="BH1110" s="143"/>
      <c r="BI1110" s="143"/>
      <c r="BJ1110" s="143"/>
      <c r="BK1110" s="143"/>
      <c r="BL1110" s="143"/>
      <c r="BM1110" s="143"/>
      <c r="BN1110" s="143"/>
      <c r="BO1110" s="143"/>
      <c r="BP1110" s="143"/>
      <c r="BQ1110" s="143"/>
      <c r="BR1110" s="143"/>
      <c r="BS1110" s="143"/>
      <c r="BT1110" s="143"/>
      <c r="BU1110" s="143"/>
    </row>
    <row r="1111" spans="1:73" s="73" customFormat="1" ht="20.100000000000001" customHeight="1">
      <c r="A1111" s="170"/>
      <c r="B1111" s="143"/>
      <c r="D1111" s="170"/>
      <c r="E1111" s="124"/>
      <c r="F1111" s="170"/>
      <c r="G1111" s="124"/>
      <c r="H1111" s="122"/>
      <c r="I1111" s="1588"/>
      <c r="J1111" s="1588"/>
      <c r="K1111" s="1462"/>
      <c r="L1111" s="1463"/>
      <c r="M1111" s="1614"/>
      <c r="N1111" s="1614"/>
      <c r="O1111" s="1614"/>
      <c r="P1111" s="122"/>
      <c r="Q1111" s="122"/>
      <c r="R1111" s="122"/>
      <c r="S1111" s="122"/>
      <c r="T1111" s="122"/>
      <c r="U1111" s="122"/>
      <c r="AS1111" s="1627"/>
      <c r="AT1111" s="143"/>
      <c r="AU1111" s="143"/>
      <c r="AV1111" s="143"/>
      <c r="AW1111" s="143"/>
      <c r="AX1111" s="143"/>
      <c r="AY1111" s="143"/>
      <c r="AZ1111" s="143"/>
      <c r="BA1111" s="143"/>
      <c r="BB1111" s="143"/>
      <c r="BC1111" s="143"/>
      <c r="BD1111" s="143"/>
      <c r="BE1111" s="143"/>
      <c r="BF1111" s="143"/>
      <c r="BG1111" s="143"/>
      <c r="BH1111" s="143"/>
      <c r="BI1111" s="143"/>
      <c r="BJ1111" s="143"/>
      <c r="BK1111" s="143"/>
      <c r="BL1111" s="143"/>
      <c r="BM1111" s="143"/>
      <c r="BN1111" s="143"/>
      <c r="BO1111" s="143"/>
      <c r="BP1111" s="143"/>
      <c r="BQ1111" s="143"/>
      <c r="BR1111" s="143"/>
      <c r="BS1111" s="143"/>
      <c r="BT1111" s="143"/>
      <c r="BU1111" s="143"/>
    </row>
    <row r="1112" spans="1:73" ht="15" customHeight="1" thickBot="1">
      <c r="A1112" s="1584"/>
      <c r="B1112" s="207" t="s">
        <v>2622</v>
      </c>
      <c r="C1112" s="170"/>
      <c r="D1112" s="170"/>
      <c r="E1112" s="170"/>
      <c r="F1112" s="1606"/>
      <c r="G1112" s="1606"/>
      <c r="H1112" s="1606"/>
      <c r="I1112" s="220"/>
      <c r="J1112" s="220"/>
      <c r="K1112" s="1584"/>
      <c r="L1112" s="1584"/>
      <c r="M1112" s="1606"/>
      <c r="N1112" s="1606"/>
      <c r="O1112" s="1606"/>
      <c r="P1112" s="1606"/>
      <c r="Q1112" s="1606"/>
      <c r="AB1112" s="143"/>
      <c r="AD1112" s="143"/>
      <c r="AE1112" s="143"/>
      <c r="AF1112" s="143"/>
      <c r="AG1112" s="143"/>
      <c r="AH1112" s="143"/>
      <c r="AI1112" s="143"/>
      <c r="AJ1112" s="143"/>
      <c r="AK1112" s="143"/>
    </row>
    <row r="1113" spans="1:73" ht="15" customHeight="1">
      <c r="A1113" s="1584"/>
      <c r="D1113" s="388"/>
      <c r="E1113" s="389"/>
      <c r="F1113" s="389"/>
      <c r="G1113" s="1225"/>
      <c r="H1113" s="1225"/>
      <c r="I1113" s="1225"/>
      <c r="J1113" s="1225"/>
      <c r="K1113" s="1225"/>
      <c r="L1113" s="390"/>
      <c r="M1113" s="391" t="s">
        <v>794</v>
      </c>
      <c r="N1113" s="391"/>
      <c r="O1113" s="391"/>
      <c r="P1113" s="391"/>
      <c r="Q1113" s="1225"/>
      <c r="R1113" s="1225"/>
      <c r="S1113" s="1225"/>
      <c r="T1113" s="1225"/>
      <c r="U1113" s="1225"/>
      <c r="V1113" s="1225"/>
      <c r="W1113" s="1225"/>
      <c r="X1113" s="391" t="s">
        <v>795</v>
      </c>
      <c r="Y1113" s="391"/>
      <c r="Z1113" s="1225"/>
      <c r="AA1113" s="1226"/>
      <c r="AB1113" s="1225"/>
      <c r="AC1113" s="1225"/>
      <c r="AD1113" s="389"/>
      <c r="AE1113" s="1225"/>
      <c r="AF1113" s="392"/>
      <c r="AN1113" s="143"/>
      <c r="AO1113" s="143"/>
      <c r="AP1113" s="143"/>
      <c r="AQ1113" s="143"/>
      <c r="AR1113" s="143"/>
    </row>
    <row r="1114" spans="1:73" ht="15" customHeight="1">
      <c r="A1114" s="207"/>
      <c r="D1114" s="1931" t="s">
        <v>950</v>
      </c>
      <c r="E1114" s="1932"/>
      <c r="F1114" s="1932"/>
      <c r="G1114" s="1932"/>
      <c r="H1114" s="1932"/>
      <c r="I1114" s="93"/>
      <c r="J1114" s="93"/>
      <c r="K1114" s="93"/>
      <c r="L1114" s="372"/>
      <c r="M1114" s="375" t="s">
        <v>1665</v>
      </c>
      <c r="N1114" s="376"/>
      <c r="O1114" s="376"/>
      <c r="P1114" s="376"/>
      <c r="Q1114" s="93"/>
      <c r="R1114" s="93"/>
      <c r="S1114" s="93"/>
      <c r="T1114" s="93"/>
      <c r="U1114" s="93"/>
      <c r="V1114" s="93"/>
      <c r="W1114" s="93"/>
      <c r="X1114" s="375" t="s">
        <v>1973</v>
      </c>
      <c r="Y1114" s="376"/>
      <c r="Z1114" s="93"/>
      <c r="AA1114" s="93"/>
      <c r="AB1114" s="93"/>
      <c r="AC1114" s="93"/>
      <c r="AD1114" s="94"/>
      <c r="AE1114" s="93"/>
      <c r="AF1114" s="394"/>
      <c r="AN1114" s="143"/>
      <c r="AO1114" s="143"/>
      <c r="AP1114" s="143"/>
      <c r="AQ1114" s="143"/>
      <c r="AR1114" s="143"/>
    </row>
    <row r="1115" spans="1:73" ht="15" customHeight="1">
      <c r="A1115" s="207"/>
      <c r="D1115" s="1933"/>
      <c r="E1115" s="1930"/>
      <c r="F1115" s="1930"/>
      <c r="G1115" s="1930"/>
      <c r="H1115" s="1930"/>
      <c r="I1115" s="118"/>
      <c r="J1115" s="118"/>
      <c r="K1115" s="118"/>
      <c r="L1115" s="377"/>
      <c r="M1115" s="152" t="s">
        <v>1666</v>
      </c>
      <c r="N1115" s="378"/>
      <c r="O1115" s="378"/>
      <c r="P1115" s="378"/>
      <c r="Q1115" s="118"/>
      <c r="R1115" s="118"/>
      <c r="S1115" s="118"/>
      <c r="T1115" s="118"/>
      <c r="U1115" s="118"/>
      <c r="V1115" s="118"/>
      <c r="W1115" s="118"/>
      <c r="X1115" s="118"/>
      <c r="Y1115" s="118"/>
      <c r="Z1115" s="118"/>
      <c r="AA1115" s="118"/>
      <c r="AB1115" s="118"/>
      <c r="AC1115" s="118"/>
      <c r="AD1115" s="380"/>
      <c r="AE1115" s="118"/>
      <c r="AF1115" s="395"/>
      <c r="AN1115" s="143"/>
      <c r="AO1115" s="143"/>
      <c r="AP1115" s="143"/>
      <c r="AQ1115" s="143"/>
      <c r="AR1115" s="143"/>
    </row>
    <row r="1116" spans="1:73" ht="15" customHeight="1" thickBot="1">
      <c r="A1116" s="207"/>
      <c r="D1116" s="1934" t="s">
        <v>951</v>
      </c>
      <c r="E1116" s="1935"/>
      <c r="F1116" s="1935"/>
      <c r="G1116" s="1935"/>
      <c r="H1116" s="1935"/>
      <c r="I1116" s="321"/>
      <c r="J1116" s="321"/>
      <c r="K1116" s="321"/>
      <c r="L1116" s="373"/>
      <c r="M1116" s="374" t="s">
        <v>1975</v>
      </c>
      <c r="N1116" s="320"/>
      <c r="O1116" s="320"/>
      <c r="P1116" s="369"/>
      <c r="Q1116" s="321"/>
      <c r="R1116" s="321"/>
      <c r="S1116" s="321"/>
      <c r="T1116" s="321"/>
      <c r="U1116" s="321"/>
      <c r="V1116" s="321"/>
      <c r="W1116" s="321"/>
      <c r="X1116" s="387" t="s">
        <v>1974</v>
      </c>
      <c r="Y1116" s="387"/>
      <c r="Z1116" s="321"/>
      <c r="AA1116" s="321"/>
      <c r="AB1116" s="321"/>
      <c r="AC1116" s="321"/>
      <c r="AD1116" s="369"/>
      <c r="AE1116" s="321"/>
      <c r="AF1116" s="396"/>
      <c r="AL1116" s="143"/>
      <c r="AM1116" s="143"/>
      <c r="AN1116" s="143"/>
      <c r="AO1116" s="143"/>
      <c r="AP1116" s="143"/>
      <c r="AQ1116" s="143"/>
      <c r="AR1116" s="143"/>
    </row>
    <row r="1117" spans="1:73" ht="15" customHeight="1">
      <c r="A1117" s="207"/>
      <c r="Y1117" s="143"/>
      <c r="AD1117" s="73"/>
      <c r="AF1117" s="73"/>
      <c r="AL1117" s="143"/>
      <c r="AM1117" s="143"/>
      <c r="AN1117" s="143"/>
      <c r="AO1117" s="143"/>
      <c r="AP1117" s="143"/>
      <c r="AQ1117" s="143"/>
      <c r="AR1117" s="143"/>
    </row>
    <row r="1118" spans="1:73" ht="15" customHeight="1">
      <c r="A1118" s="1584"/>
      <c r="B1118" s="393" t="s">
        <v>2627</v>
      </c>
      <c r="C1118" s="170"/>
      <c r="E1118" s="170"/>
      <c r="F1118" s="1606"/>
      <c r="G1118" s="1606"/>
      <c r="H1118" s="1606"/>
      <c r="I1118" s="220"/>
      <c r="J1118" s="220"/>
      <c r="K1118" s="1584"/>
      <c r="L1118" s="1584"/>
      <c r="M1118" s="1606"/>
      <c r="N1118" s="1606"/>
      <c r="O1118" s="1606"/>
      <c r="P1118" s="1606"/>
      <c r="Q1118" s="1606"/>
      <c r="R1118" s="1606"/>
      <c r="S1118" s="1584"/>
      <c r="T1118" s="1584"/>
      <c r="U1118" s="1584"/>
      <c r="V1118" s="1584"/>
      <c r="W1118" s="1584"/>
      <c r="X1118" s="1584"/>
      <c r="Y1118" s="1606"/>
      <c r="Z1118" s="1606"/>
      <c r="AD1118" s="73"/>
      <c r="AF1118" s="73"/>
      <c r="AL1118" s="143"/>
      <c r="AM1118" s="143"/>
      <c r="AN1118" s="143"/>
      <c r="AO1118" s="143"/>
      <c r="AP1118" s="143"/>
      <c r="AQ1118" s="143"/>
      <c r="AR1118" s="143"/>
    </row>
    <row r="1119" spans="1:73" ht="15" customHeight="1" thickBot="1">
      <c r="A1119" s="1584"/>
      <c r="B1119" s="124"/>
      <c r="C1119" s="170"/>
      <c r="E1119" s="170"/>
      <c r="F1119" s="1606"/>
      <c r="G1119" s="1606"/>
      <c r="H1119" s="1606"/>
      <c r="I1119" s="220"/>
      <c r="J1119" s="220"/>
      <c r="K1119" s="1584"/>
      <c r="L1119" s="1584"/>
      <c r="M1119" s="1606"/>
      <c r="N1119" s="1606"/>
      <c r="O1119" s="1606"/>
      <c r="P1119" s="1606"/>
      <c r="Q1119" s="1606"/>
      <c r="R1119" s="1606"/>
      <c r="S1119" s="1584"/>
      <c r="T1119" s="1584"/>
      <c r="U1119" s="1584"/>
      <c r="V1119" s="1584"/>
      <c r="W1119" s="1584"/>
      <c r="X1119" s="1584"/>
      <c r="Y1119" s="1606"/>
      <c r="Z1119" s="1606"/>
      <c r="AD1119" s="73"/>
      <c r="AF1119" s="73"/>
      <c r="AL1119" s="143"/>
      <c r="AM1119" s="143"/>
      <c r="AN1119" s="143"/>
      <c r="AO1119" s="143"/>
      <c r="AP1119" s="143"/>
      <c r="AQ1119" s="143"/>
      <c r="AR1119" s="143"/>
    </row>
    <row r="1120" spans="1:73" ht="15" customHeight="1">
      <c r="A1120" s="170"/>
      <c r="B1120" s="170"/>
      <c r="D1120" s="124"/>
      <c r="F1120" s="1275"/>
      <c r="G1120" s="36"/>
      <c r="H1120" s="1276" t="s">
        <v>2623</v>
      </c>
      <c r="I1120" s="224"/>
      <c r="J1120" s="36"/>
      <c r="K1120" s="36"/>
      <c r="L1120" s="36"/>
      <c r="M1120" s="36"/>
      <c r="N1120" s="36"/>
      <c r="O1120" s="36"/>
      <c r="P1120" s="36"/>
      <c r="Q1120" s="36"/>
      <c r="R1120" s="36"/>
      <c r="S1120" s="1294" t="s">
        <v>2506</v>
      </c>
      <c r="T1120" s="1295" t="str">
        <f>IF(AND(AE450=2,AE443="Compression"),"Open Flange","Box Flange")</f>
        <v>Box Flange</v>
      </c>
      <c r="U1120" s="36"/>
      <c r="V1120" s="36"/>
      <c r="W1120" s="36"/>
      <c r="X1120" s="36"/>
      <c r="Y1120" s="1294" t="s">
        <v>2512</v>
      </c>
      <c r="Z1120" s="36"/>
      <c r="AA1120" s="224"/>
      <c r="AB1120" s="224"/>
      <c r="AC1120" s="224"/>
      <c r="AD1120" s="224"/>
      <c r="AE1120" s="224"/>
      <c r="AF1120" s="224"/>
      <c r="AG1120" s="36"/>
      <c r="AH1120" s="224"/>
      <c r="AI1120" s="36"/>
      <c r="AJ1120" s="36"/>
      <c r="AK1120" s="36"/>
      <c r="AL1120" s="43"/>
      <c r="AS1120" s="1628" t="str">
        <f>IF(T1120="Box Flange","Hide this row","")</f>
        <v>Hide this row</v>
      </c>
    </row>
    <row r="1121" spans="1:45" ht="20.100000000000001" customHeight="1">
      <c r="A1121" s="206"/>
      <c r="B1121" s="170"/>
      <c r="F1121" s="1277"/>
      <c r="G1121" s="9"/>
      <c r="H1121" s="9"/>
      <c r="I1121" s="9"/>
      <c r="J1121" s="33" t="s">
        <v>2624</v>
      </c>
      <c r="K1121" s="9"/>
      <c r="L1121" s="9"/>
      <c r="M1121" s="9"/>
      <c r="N1121" s="33" t="s">
        <v>2592</v>
      </c>
      <c r="O1121" s="9"/>
      <c r="P1121" s="9"/>
      <c r="Q1121" s="1291" t="s">
        <v>2625</v>
      </c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33" t="s">
        <v>2509</v>
      </c>
      <c r="AI1121" s="196"/>
      <c r="AJ1121" s="2082" t="str">
        <f>+IF(Y1122&lt;=Y1123,"OK","NG")</f>
        <v>OK</v>
      </c>
      <c r="AK1121" s="2082"/>
      <c r="AL1121" s="2083"/>
      <c r="AM1121" s="143"/>
      <c r="AN1121" s="143"/>
      <c r="AO1121" s="143"/>
      <c r="AP1121" s="143"/>
      <c r="AQ1121" s="143"/>
      <c r="AR1121" s="143"/>
      <c r="AS1121" s="1628" t="str">
        <f>IF(T1120="Box Flange","Hide this row","")</f>
        <v>Hide this row</v>
      </c>
    </row>
    <row r="1122" spans="1:45" ht="20.100000000000001" customHeight="1">
      <c r="A1122" s="206"/>
      <c r="B1122" s="170"/>
      <c r="F1122" s="1277"/>
      <c r="G1122" s="9"/>
      <c r="H1122" s="9"/>
      <c r="I1122" s="9"/>
      <c r="J1122" s="9" t="s">
        <v>2812</v>
      </c>
      <c r="K1122" s="9"/>
      <c r="L1122" s="9"/>
      <c r="M1122" s="9"/>
      <c r="N1122" s="31" t="s">
        <v>324</v>
      </c>
      <c r="O1122" s="2084">
        <f xml:space="preserve"> ABS(MIN(X964,X967))</f>
        <v>141.64342527974489</v>
      </c>
      <c r="P1122" s="2085"/>
      <c r="Q1122" s="2085"/>
      <c r="R1122" s="31" t="s">
        <v>391</v>
      </c>
      <c r="S1122" s="2131">
        <f>+L938</f>
        <v>0.195992866252755</v>
      </c>
      <c r="T1122" s="2131"/>
      <c r="U1122" s="2131"/>
      <c r="V1122" s="9"/>
      <c r="W1122" s="9"/>
      <c r="X1122" s="31" t="s">
        <v>324</v>
      </c>
      <c r="Y1122" s="2132">
        <f>+O1122+S1122</f>
        <v>141.83941814599766</v>
      </c>
      <c r="Z1122" s="2132"/>
      <c r="AA1122" s="2132"/>
      <c r="AB1122" s="1601" t="s">
        <v>2508</v>
      </c>
      <c r="AC1122" s="9"/>
      <c r="AD1122" s="9"/>
      <c r="AE1122" s="9"/>
      <c r="AF1122" s="9"/>
      <c r="AG1122" s="1487" t="s">
        <v>2510</v>
      </c>
      <c r="AH1122" s="196"/>
      <c r="AI1122" s="9"/>
      <c r="AJ1122" s="2086">
        <f>Y1123/Y1122</f>
        <v>2.6778709783342078</v>
      </c>
      <c r="AK1122" s="2086"/>
      <c r="AL1122" s="2087"/>
      <c r="AM1122" s="143"/>
      <c r="AN1122" s="143"/>
      <c r="AO1122" s="143"/>
      <c r="AP1122" s="143"/>
      <c r="AQ1122" s="143"/>
      <c r="AR1122" s="143"/>
      <c r="AS1122" s="1628" t="str">
        <f>IF(T1120="Box Flange","Hide this row","")</f>
        <v>Hide this row</v>
      </c>
    </row>
    <row r="1123" spans="1:45" ht="20.100000000000001" customHeight="1" thickBot="1">
      <c r="A1123" s="170"/>
      <c r="F1123" s="40"/>
      <c r="G1123" s="41"/>
      <c r="H1123" s="41"/>
      <c r="I1123" s="41"/>
      <c r="J1123" s="1491" t="s">
        <v>2813</v>
      </c>
      <c r="K1123" s="1486"/>
      <c r="L1123" s="41"/>
      <c r="M1123" s="41"/>
      <c r="N1123" s="1292" t="s">
        <v>324</v>
      </c>
      <c r="O1123" s="41" t="s">
        <v>2753</v>
      </c>
      <c r="P1123" s="1293"/>
      <c r="Q1123" s="2128">
        <f>+AJ981</f>
        <v>0.99954647746573022</v>
      </c>
      <c r="R1123" s="2128"/>
      <c r="S1123" s="2128"/>
      <c r="T1123" s="1292" t="s">
        <v>2489</v>
      </c>
      <c r="U1123" s="2088">
        <f>AE509</f>
        <v>380</v>
      </c>
      <c r="V1123" s="2129"/>
      <c r="W1123" s="2129"/>
      <c r="X1123" s="1292" t="s">
        <v>324</v>
      </c>
      <c r="Y1123" s="2129">
        <f>+Q1123*U1123</f>
        <v>379.82766143697751</v>
      </c>
      <c r="Z1123" s="2129"/>
      <c r="AA1123" s="2129"/>
      <c r="AB1123" s="1602" t="s">
        <v>2508</v>
      </c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5"/>
      <c r="AM1123" s="143"/>
      <c r="AN1123" s="143"/>
      <c r="AO1123" s="143"/>
      <c r="AP1123" s="143"/>
      <c r="AQ1123" s="143"/>
      <c r="AR1123" s="143"/>
      <c r="AS1123" s="1628" t="str">
        <f>IF(T1120="Box Flange","Hide this row","")</f>
        <v>Hide this row</v>
      </c>
    </row>
    <row r="1124" spans="1:45" ht="20.100000000000001" customHeight="1" thickBot="1">
      <c r="A1124" s="170"/>
      <c r="L1124" s="143"/>
      <c r="Y1124" s="143"/>
      <c r="AB1124" s="143"/>
      <c r="AD1124" s="143"/>
      <c r="AE1124" s="143"/>
      <c r="AF1124" s="143"/>
      <c r="AG1124" s="143"/>
      <c r="AH1124" s="143"/>
      <c r="AI1124" s="143"/>
      <c r="AJ1124" s="143"/>
      <c r="AK1124" s="143"/>
      <c r="AL1124" s="143"/>
      <c r="AM1124" s="143"/>
      <c r="AN1124" s="143"/>
      <c r="AO1124" s="143"/>
      <c r="AP1124" s="143"/>
      <c r="AQ1124" s="143"/>
      <c r="AR1124" s="143"/>
    </row>
    <row r="1125" spans="1:45" ht="15" customHeight="1">
      <c r="A1125" s="170"/>
      <c r="B1125" s="170"/>
      <c r="D1125" s="124"/>
      <c r="F1125" s="1275"/>
      <c r="G1125" s="36"/>
      <c r="H1125" s="1276" t="s">
        <v>2623</v>
      </c>
      <c r="I1125" s="224"/>
      <c r="J1125" s="36"/>
      <c r="K1125" s="36"/>
      <c r="L1125" s="36"/>
      <c r="M1125" s="36"/>
      <c r="N1125" s="36"/>
      <c r="O1125" s="36"/>
      <c r="P1125" s="36"/>
      <c r="Q1125" s="36"/>
      <c r="R1125" s="36"/>
      <c r="S1125" s="1294" t="s">
        <v>2506</v>
      </c>
      <c r="T1125" s="1295" t="str">
        <f>IF(AND(AE450=2,AE443="Compression"),"Open Flange","Box Flange")</f>
        <v>Box Flange</v>
      </c>
      <c r="U1125" s="36"/>
      <c r="V1125" s="36"/>
      <c r="W1125" s="36"/>
      <c r="X1125" s="36"/>
      <c r="Y1125" s="1294" t="s">
        <v>2512</v>
      </c>
      <c r="Z1125" s="36"/>
      <c r="AA1125" s="224"/>
      <c r="AB1125" s="224"/>
      <c r="AC1125" s="224"/>
      <c r="AD1125" s="224"/>
      <c r="AE1125" s="224"/>
      <c r="AF1125" s="224"/>
      <c r="AG1125" s="36"/>
      <c r="AH1125" s="224"/>
      <c r="AI1125" s="36"/>
      <c r="AJ1125" s="36"/>
      <c r="AK1125" s="36"/>
      <c r="AL1125" s="43"/>
      <c r="AS1125" s="1628" t="str">
        <f>IF(T1125="Box Flange","Hide this row","")</f>
        <v>Hide this row</v>
      </c>
    </row>
    <row r="1126" spans="1:45" ht="20.100000000000001" customHeight="1">
      <c r="A1126" s="206"/>
      <c r="B1126" s="170"/>
      <c r="F1126" s="1277"/>
      <c r="G1126" s="9"/>
      <c r="H1126" s="9"/>
      <c r="I1126" s="9"/>
      <c r="J1126" s="33" t="s">
        <v>2814</v>
      </c>
      <c r="K1126" s="9"/>
      <c r="L1126" s="9"/>
      <c r="M1126" s="9"/>
      <c r="N1126" s="33" t="s">
        <v>2592</v>
      </c>
      <c r="O1126" s="9"/>
      <c r="P1126" s="9"/>
      <c r="Q1126" s="1291" t="s">
        <v>2815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33" t="s">
        <v>2509</v>
      </c>
      <c r="AI1126" s="196"/>
      <c r="AJ1126" s="2082" t="str">
        <f>+IF(Y1127&lt;=Y1128,"OK","NG")</f>
        <v>NG</v>
      </c>
      <c r="AK1126" s="2082"/>
      <c r="AL1126" s="2083"/>
      <c r="AM1126" s="143"/>
      <c r="AN1126" s="143"/>
      <c r="AO1126" s="143"/>
      <c r="AP1126" s="143"/>
      <c r="AQ1126" s="143"/>
      <c r="AR1126" s="143"/>
      <c r="AS1126" s="1628" t="str">
        <f>IF(T1125="Box Flange","Hide this row","")</f>
        <v>Hide this row</v>
      </c>
    </row>
    <row r="1127" spans="1:45" ht="20.100000000000001" customHeight="1">
      <c r="A1127" s="206"/>
      <c r="B1127" s="170"/>
      <c r="F1127" s="1277"/>
      <c r="G1127" s="9"/>
      <c r="H1127" s="9"/>
      <c r="I1127" s="9"/>
      <c r="J1127" s="9" t="s">
        <v>2816</v>
      </c>
      <c r="K1127" s="9"/>
      <c r="L1127" s="9"/>
      <c r="M1127" s="9"/>
      <c r="N1127" s="31" t="s">
        <v>324</v>
      </c>
      <c r="O1127" s="2085">
        <f xml:space="preserve"> ABS(MIN(X964,X967))</f>
        <v>141.64342527974489</v>
      </c>
      <c r="P1127" s="2085"/>
      <c r="Q1127" s="2085"/>
      <c r="R1127" s="31" t="s">
        <v>391</v>
      </c>
      <c r="S1127" s="2131">
        <f>+S1122/3</f>
        <v>6.5330955417585004E-2</v>
      </c>
      <c r="T1127" s="2131"/>
      <c r="U1127" s="2131"/>
      <c r="V1127" s="9"/>
      <c r="W1127" s="9"/>
      <c r="X1127" s="31" t="s">
        <v>324</v>
      </c>
      <c r="Y1127" s="2133">
        <f>+O1127+S1127</f>
        <v>141.70875623516247</v>
      </c>
      <c r="Z1127" s="2133"/>
      <c r="AA1127" s="2133"/>
      <c r="AB1127" s="1601" t="s">
        <v>2508</v>
      </c>
      <c r="AC1127" s="9"/>
      <c r="AD1127" s="9"/>
      <c r="AE1127" s="9"/>
      <c r="AF1127" s="9"/>
      <c r="AG1127" s="1487" t="s">
        <v>2510</v>
      </c>
      <c r="AH1127" s="196"/>
      <c r="AI1127" s="9"/>
      <c r="AJ1127" s="2086">
        <f>Y1128/Y1127</f>
        <v>-0.5457347521673428</v>
      </c>
      <c r="AK1127" s="2086"/>
      <c r="AL1127" s="2087"/>
      <c r="AM1127" s="143"/>
      <c r="AN1127" s="143"/>
      <c r="AO1127" s="143"/>
      <c r="AP1127" s="143"/>
      <c r="AQ1127" s="143"/>
      <c r="AR1127" s="143"/>
      <c r="AS1127" s="1628" t="str">
        <f>IF(T1125="Box Flange","Hide this row","")</f>
        <v>Hide this row</v>
      </c>
    </row>
    <row r="1128" spans="1:45" ht="20.100000000000001" customHeight="1" thickBot="1">
      <c r="A1128" s="170"/>
      <c r="F1128" s="40"/>
      <c r="G1128" s="41"/>
      <c r="H1128" s="41"/>
      <c r="I1128" s="41"/>
      <c r="J1128" s="41" t="s">
        <v>2817</v>
      </c>
      <c r="K1128" s="1486"/>
      <c r="L1128" s="41"/>
      <c r="M1128" s="41"/>
      <c r="N1128" s="1292" t="s">
        <v>324</v>
      </c>
      <c r="O1128" s="41" t="s">
        <v>2753</v>
      </c>
      <c r="P1128" s="1293"/>
      <c r="Q1128" s="2099">
        <f>K1032</f>
        <v>-77.335392963938787</v>
      </c>
      <c r="R1128" s="2099"/>
      <c r="S1128" s="2099"/>
      <c r="T1128" s="1292"/>
      <c r="U1128" s="1492"/>
      <c r="V1128" s="1489"/>
      <c r="W1128" s="1489"/>
      <c r="X1128" s="1292" t="s">
        <v>324</v>
      </c>
      <c r="Y1128" s="2099">
        <f>+Q1128</f>
        <v>-77.335392963938787</v>
      </c>
      <c r="Z1128" s="2099"/>
      <c r="AA1128" s="2099"/>
      <c r="AB1128" s="1602" t="s">
        <v>2508</v>
      </c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5"/>
      <c r="AM1128" s="143"/>
      <c r="AN1128" s="143"/>
      <c r="AO1128" s="143"/>
      <c r="AP1128" s="143"/>
      <c r="AQ1128" s="143"/>
      <c r="AR1128" s="143"/>
      <c r="AS1128" s="1628" t="str">
        <f>IF(T1125="Box Flange","Hide this row","")</f>
        <v>Hide this row</v>
      </c>
    </row>
    <row r="1129" spans="1:45" ht="20.100000000000001" customHeight="1" thickBot="1">
      <c r="A1129" s="170"/>
      <c r="L1129" s="143"/>
      <c r="Y1129" s="143"/>
      <c r="AB1129" s="143"/>
      <c r="AD1129" s="143"/>
      <c r="AE1129" s="143"/>
      <c r="AF1129" s="143"/>
      <c r="AG1129" s="143"/>
      <c r="AH1129" s="143"/>
      <c r="AI1129" s="143"/>
      <c r="AJ1129" s="143"/>
      <c r="AK1129" s="143"/>
      <c r="AL1129" s="143"/>
      <c r="AM1129" s="143"/>
      <c r="AN1129" s="143"/>
      <c r="AO1129" s="143"/>
      <c r="AP1129" s="143"/>
      <c r="AQ1129" s="143"/>
      <c r="AR1129" s="143"/>
    </row>
    <row r="1130" spans="1:45" ht="15" customHeight="1">
      <c r="A1130" s="170"/>
      <c r="B1130" s="170"/>
      <c r="D1130" s="124"/>
      <c r="F1130" s="1275"/>
      <c r="G1130" s="36"/>
      <c r="H1130" s="1276" t="s">
        <v>2623</v>
      </c>
      <c r="I1130" s="224"/>
      <c r="J1130" s="36"/>
      <c r="K1130" s="36"/>
      <c r="L1130" s="36"/>
      <c r="M1130" s="36"/>
      <c r="N1130" s="36"/>
      <c r="O1130" s="36"/>
      <c r="P1130" s="36"/>
      <c r="Q1130" s="36"/>
      <c r="R1130" s="36"/>
      <c r="S1130" s="1294" t="s">
        <v>2506</v>
      </c>
      <c r="T1130" s="1295" t="str">
        <f>IF(AND(AE450=2,AE443="Compression"),"Open Flange","Box Flange")</f>
        <v>Box Flange</v>
      </c>
      <c r="U1130" s="36"/>
      <c r="V1130" s="36"/>
      <c r="W1130" s="36"/>
      <c r="X1130" s="36"/>
      <c r="Y1130" s="1294" t="s">
        <v>2512</v>
      </c>
      <c r="Z1130" s="36"/>
      <c r="AA1130" s="224"/>
      <c r="AB1130" s="224"/>
      <c r="AC1130" s="224"/>
      <c r="AD1130" s="224"/>
      <c r="AE1130" s="224"/>
      <c r="AF1130" s="224"/>
      <c r="AG1130" s="36"/>
      <c r="AH1130" s="224"/>
      <c r="AI1130" s="36"/>
      <c r="AJ1130" s="36"/>
      <c r="AK1130" s="36"/>
      <c r="AL1130" s="43"/>
      <c r="AS1130" s="1628" t="str">
        <f>IF(T1130="Open Flange","Hide this row","")</f>
        <v/>
      </c>
    </row>
    <row r="1131" spans="1:45" ht="20.100000000000001" customHeight="1">
      <c r="A1131" s="206"/>
      <c r="B1131" s="170"/>
      <c r="F1131" s="1277"/>
      <c r="G1131" s="9"/>
      <c r="H1131" s="9"/>
      <c r="I1131" s="9"/>
      <c r="J1131" s="33" t="s">
        <v>2818</v>
      </c>
      <c r="K1131" s="9"/>
      <c r="L1131" s="9"/>
      <c r="M1131" s="9"/>
      <c r="N1131" s="33" t="s">
        <v>2592</v>
      </c>
      <c r="O1131" s="9"/>
      <c r="P1131" s="9"/>
      <c r="Q1131" s="1291" t="s">
        <v>2815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33" t="s">
        <v>2509</v>
      </c>
      <c r="AI1131" s="196"/>
      <c r="AJ1131" s="2082" t="str">
        <f>+IF(Q1132&lt;=Q1133,"OK","NG")</f>
        <v>OK</v>
      </c>
      <c r="AK1131" s="2082"/>
      <c r="AL1131" s="2083"/>
      <c r="AM1131" s="143"/>
      <c r="AN1131" s="143"/>
      <c r="AO1131" s="143"/>
      <c r="AP1131" s="143"/>
      <c r="AQ1131" s="143"/>
      <c r="AR1131" s="143"/>
      <c r="AS1131" s="1628" t="str">
        <f>IF(T1130="Open Flange","Hide this row","")</f>
        <v/>
      </c>
    </row>
    <row r="1132" spans="1:45" ht="20.100000000000001" customHeight="1">
      <c r="A1132" s="206"/>
      <c r="B1132" s="170"/>
      <c r="F1132" s="1277"/>
      <c r="G1132" s="9"/>
      <c r="H1132" s="9"/>
      <c r="I1132" s="9"/>
      <c r="J1132" s="9" t="s">
        <v>380</v>
      </c>
      <c r="K1132" s="9"/>
      <c r="L1132" s="9"/>
      <c r="M1132" s="9"/>
      <c r="N1132" s="31" t="s">
        <v>324</v>
      </c>
      <c r="O1132" s="9"/>
      <c r="P1132" s="9"/>
      <c r="Q1132" s="2085">
        <f xml:space="preserve"> ABS(MIN(X964,X967))</f>
        <v>141.64342527974489</v>
      </c>
      <c r="R1132" s="2085"/>
      <c r="S1132" s="2085"/>
      <c r="T1132" s="1601" t="s">
        <v>2508</v>
      </c>
      <c r="U1132" s="1488"/>
      <c r="V1132" s="9"/>
      <c r="W1132" s="9"/>
      <c r="X1132" s="31"/>
      <c r="Y1132" s="1493"/>
      <c r="Z1132" s="1493"/>
      <c r="AA1132" s="1493"/>
      <c r="AB1132" s="9"/>
      <c r="AC1132" s="9"/>
      <c r="AD1132" s="9"/>
      <c r="AE1132" s="9"/>
      <c r="AF1132" s="9"/>
      <c r="AG1132" s="1487" t="s">
        <v>2510</v>
      </c>
      <c r="AH1132" s="196"/>
      <c r="AI1132" s="9"/>
      <c r="AJ1132" s="2086">
        <f>Q1133/Q1132</f>
        <v>2.49391104167315</v>
      </c>
      <c r="AK1132" s="2086"/>
      <c r="AL1132" s="2087"/>
      <c r="AM1132" s="143"/>
      <c r="AN1132" s="143"/>
      <c r="AO1132" s="143"/>
      <c r="AP1132" s="143"/>
      <c r="AQ1132" s="143"/>
      <c r="AR1132" s="143"/>
      <c r="AS1132" s="1628" t="str">
        <f>IF(T1130="Open Flange","Hide this row","")</f>
        <v/>
      </c>
    </row>
    <row r="1133" spans="1:45" ht="20.100000000000001" customHeight="1" thickBot="1">
      <c r="A1133" s="170"/>
      <c r="F1133" s="40"/>
      <c r="G1133" s="41"/>
      <c r="H1133" s="41"/>
      <c r="I1133" s="41"/>
      <c r="J1133" s="41" t="s">
        <v>2817</v>
      </c>
      <c r="K1133" s="1486"/>
      <c r="L1133" s="41"/>
      <c r="M1133" s="41"/>
      <c r="N1133" s="1292" t="s">
        <v>324</v>
      </c>
      <c r="O1133" s="41"/>
      <c r="P1133" s="1293"/>
      <c r="Q1133" s="2099">
        <f>+M1110</f>
        <v>353.24610228556156</v>
      </c>
      <c r="R1133" s="2099"/>
      <c r="S1133" s="2099"/>
      <c r="T1133" s="1602" t="s">
        <v>2508</v>
      </c>
      <c r="U1133" s="1492"/>
      <c r="V1133" s="1489"/>
      <c r="W1133" s="1489"/>
      <c r="X1133" s="1292"/>
      <c r="Y1133" s="1494"/>
      <c r="Z1133" s="1489"/>
      <c r="AA1133" s="1489"/>
      <c r="AB1133" s="1489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5"/>
      <c r="AM1133" s="143"/>
      <c r="AN1133" s="143"/>
      <c r="AO1133" s="143"/>
      <c r="AP1133" s="143"/>
      <c r="AQ1133" s="143"/>
      <c r="AR1133" s="143"/>
      <c r="AS1133" s="1628" t="str">
        <f>IF(T1130="Open Flange","Hide this row","")</f>
        <v/>
      </c>
    </row>
    <row r="1134" spans="1:45" ht="20.100000000000001" customHeight="1" thickBot="1">
      <c r="A1134" s="170"/>
      <c r="L1134" s="143"/>
      <c r="Y1134" s="143"/>
      <c r="AB1134" s="143"/>
      <c r="AD1134" s="143"/>
      <c r="AE1134" s="143"/>
      <c r="AF1134" s="143"/>
      <c r="AG1134" s="143"/>
      <c r="AH1134" s="143"/>
      <c r="AI1134" s="143"/>
      <c r="AJ1134" s="143"/>
      <c r="AK1134" s="143"/>
      <c r="AL1134" s="143"/>
      <c r="AM1134" s="143"/>
      <c r="AN1134" s="143"/>
      <c r="AO1134" s="143"/>
      <c r="AP1134" s="143"/>
      <c r="AQ1134" s="143"/>
      <c r="AR1134" s="143"/>
      <c r="AS1134" s="1628"/>
    </row>
    <row r="1135" spans="1:45" ht="15" customHeight="1">
      <c r="A1135" s="170"/>
      <c r="B1135" s="170"/>
      <c r="D1135" s="124"/>
      <c r="F1135" s="1275"/>
      <c r="G1135" s="36"/>
      <c r="H1135" s="1276" t="s">
        <v>2819</v>
      </c>
      <c r="I1135" s="224"/>
      <c r="J1135" s="36"/>
      <c r="K1135" s="36"/>
      <c r="L1135" s="36"/>
      <c r="M1135" s="36"/>
      <c r="N1135" s="36"/>
      <c r="O1135" s="36"/>
      <c r="P1135" s="36"/>
      <c r="Q1135" s="36"/>
      <c r="R1135" s="36"/>
      <c r="S1135" s="1294" t="s">
        <v>2506</v>
      </c>
      <c r="T1135" s="1295" t="str">
        <f>IF(AND(AE450=2,AE443="Tension"),"Open Flange","Box Flange")</f>
        <v>Box Flange</v>
      </c>
      <c r="U1135" s="36"/>
      <c r="V1135" s="36"/>
      <c r="W1135" s="36"/>
      <c r="X1135" s="36"/>
      <c r="Y1135" s="1294" t="s">
        <v>2512</v>
      </c>
      <c r="Z1135" s="36"/>
      <c r="AA1135" s="224"/>
      <c r="AB1135" s="224"/>
      <c r="AC1135" s="224"/>
      <c r="AD1135" s="224"/>
      <c r="AE1135" s="224"/>
      <c r="AF1135" s="224"/>
      <c r="AG1135" s="36"/>
      <c r="AH1135" s="224"/>
      <c r="AI1135" s="36"/>
      <c r="AJ1135" s="36"/>
      <c r="AK1135" s="36"/>
      <c r="AL1135" s="43"/>
      <c r="AS1135" s="1628" t="str">
        <f>IF(T1135="Box Flange","Hide this row","")</f>
        <v>Hide this row</v>
      </c>
    </row>
    <row r="1136" spans="1:45" ht="20.100000000000001" customHeight="1">
      <c r="A1136" s="206"/>
      <c r="B1136" s="170"/>
      <c r="F1136" s="1277"/>
      <c r="G1136" s="9"/>
      <c r="H1136" s="9"/>
      <c r="I1136" s="9"/>
      <c r="J1136" s="33" t="s">
        <v>2624</v>
      </c>
      <c r="K1136" s="9"/>
      <c r="L1136" s="9"/>
      <c r="M1136" s="9"/>
      <c r="N1136" s="33" t="s">
        <v>2592</v>
      </c>
      <c r="O1136" s="9"/>
      <c r="P1136" s="9"/>
      <c r="Q1136" s="1291" t="s">
        <v>2820</v>
      </c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33" t="s">
        <v>2509</v>
      </c>
      <c r="AI1136" s="196"/>
      <c r="AJ1136" s="2082" t="str">
        <f>+IF(Y1137&lt;=Y1138,"OK","NG")</f>
        <v>OK</v>
      </c>
      <c r="AK1136" s="2082"/>
      <c r="AL1136" s="2083"/>
      <c r="AM1136" s="143"/>
      <c r="AN1136" s="143"/>
      <c r="AO1136" s="143"/>
      <c r="AP1136" s="143"/>
      <c r="AQ1136" s="143"/>
      <c r="AR1136" s="143"/>
      <c r="AS1136" s="1628" t="str">
        <f>IF(T1135="Box Flange","Hide this row","")</f>
        <v>Hide this row</v>
      </c>
    </row>
    <row r="1137" spans="1:45" ht="20.100000000000001" customHeight="1">
      <c r="A1137" s="206"/>
      <c r="B1137" s="170"/>
      <c r="F1137" s="1277"/>
      <c r="G1137" s="9"/>
      <c r="H1137" s="9"/>
      <c r="I1137" s="9"/>
      <c r="J1137" s="9" t="s">
        <v>2812</v>
      </c>
      <c r="K1137" s="9"/>
      <c r="L1137" s="9"/>
      <c r="M1137" s="9"/>
      <c r="N1137" s="31" t="s">
        <v>324</v>
      </c>
      <c r="O1137" s="2084">
        <f xml:space="preserve"> MAX(X964,X967)</f>
        <v>148.26948555692721</v>
      </c>
      <c r="P1137" s="2085"/>
      <c r="Q1137" s="2085"/>
      <c r="R1137" s="31" t="s">
        <v>391</v>
      </c>
      <c r="S1137" s="2131">
        <f>+S1122</f>
        <v>0.195992866252755</v>
      </c>
      <c r="T1137" s="2131"/>
      <c r="U1137" s="2131"/>
      <c r="V1137" s="9"/>
      <c r="W1137" s="9"/>
      <c r="X1137" s="31" t="s">
        <v>324</v>
      </c>
      <c r="Y1137" s="2132">
        <f>+O1137+S1137</f>
        <v>148.46547842317997</v>
      </c>
      <c r="Z1137" s="2132"/>
      <c r="AA1137" s="2132"/>
      <c r="AB1137" s="1601" t="s">
        <v>2508</v>
      </c>
      <c r="AC1137" s="9"/>
      <c r="AD1137" s="9"/>
      <c r="AE1137" s="9"/>
      <c r="AF1137" s="9"/>
      <c r="AG1137" s="1487" t="s">
        <v>2510</v>
      </c>
      <c r="AH1137" s="196"/>
      <c r="AI1137" s="9"/>
      <c r="AJ1137" s="2086">
        <f>Y1138/Y1137</f>
        <v>2.558356767317532</v>
      </c>
      <c r="AK1137" s="2086"/>
      <c r="AL1137" s="2087"/>
      <c r="AM1137" s="143"/>
      <c r="AN1137" s="143"/>
      <c r="AO1137" s="143"/>
      <c r="AP1137" s="143"/>
      <c r="AQ1137" s="143"/>
      <c r="AR1137" s="143"/>
      <c r="AS1137" s="1628" t="str">
        <f>IF(T1135="Box Flange","Hide this row","")</f>
        <v>Hide this row</v>
      </c>
    </row>
    <row r="1138" spans="1:45" ht="20.100000000000001" customHeight="1" thickBot="1">
      <c r="A1138" s="170"/>
      <c r="F1138" s="40"/>
      <c r="G1138" s="41"/>
      <c r="H1138" s="41"/>
      <c r="I1138" s="41"/>
      <c r="J1138" s="41" t="s">
        <v>2821</v>
      </c>
      <c r="K1138" s="1486"/>
      <c r="L1138" s="41"/>
      <c r="M1138" s="41"/>
      <c r="N1138" s="1292" t="s">
        <v>324</v>
      </c>
      <c r="O1138" s="41" t="s">
        <v>2753</v>
      </c>
      <c r="P1138" s="1293"/>
      <c r="Q1138" s="2128">
        <f>+AJ981</f>
        <v>0.99954647746573022</v>
      </c>
      <c r="R1138" s="2128"/>
      <c r="S1138" s="2128"/>
      <c r="T1138" s="1292" t="s">
        <v>2489</v>
      </c>
      <c r="U1138" s="2088">
        <f>+AE510</f>
        <v>380</v>
      </c>
      <c r="V1138" s="2129"/>
      <c r="W1138" s="2129"/>
      <c r="X1138" s="1292" t="s">
        <v>324</v>
      </c>
      <c r="Y1138" s="2129">
        <f>+Q1138*U1138</f>
        <v>379.82766143697751</v>
      </c>
      <c r="Z1138" s="2129"/>
      <c r="AA1138" s="2129"/>
      <c r="AB1138" s="1602" t="s">
        <v>2508</v>
      </c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5"/>
      <c r="AM1138" s="143"/>
      <c r="AN1138" s="143"/>
      <c r="AO1138" s="143"/>
      <c r="AP1138" s="143"/>
      <c r="AQ1138" s="143"/>
      <c r="AR1138" s="143"/>
      <c r="AS1138" s="1628" t="str">
        <f>IF(T1135="Box Flange","Hide this row","")</f>
        <v>Hide this row</v>
      </c>
    </row>
    <row r="1139" spans="1:45" ht="20.100000000000001" customHeight="1" thickBot="1">
      <c r="A1139" s="170"/>
      <c r="C1139" s="73"/>
      <c r="D1139" s="73"/>
      <c r="E1139" s="73"/>
      <c r="F1139" s="122"/>
      <c r="G1139" s="122"/>
      <c r="H1139" s="1233"/>
      <c r="I1139" s="1233"/>
      <c r="J1139" s="1233"/>
      <c r="K1139" s="1205"/>
      <c r="L1139" s="1289"/>
      <c r="M1139" s="1289"/>
      <c r="N1139" s="1289"/>
      <c r="O1139" s="76"/>
      <c r="P1139" s="1290"/>
      <c r="Q1139" s="1290"/>
      <c r="R1139" s="1290"/>
      <c r="S1139" s="147"/>
      <c r="T1139" s="73"/>
      <c r="U1139" s="73"/>
      <c r="V1139" s="1603"/>
      <c r="W1139" s="1586"/>
      <c r="X1139" s="1586"/>
      <c r="Y1139" s="1586"/>
      <c r="Z1139" s="76"/>
      <c r="AA1139" s="1566"/>
      <c r="AB1139" s="1547"/>
      <c r="AC1139" s="1547"/>
      <c r="AD1139" s="76"/>
      <c r="AE1139" s="1561"/>
      <c r="AG1139" s="1561"/>
      <c r="AH1139" s="143"/>
      <c r="AI1139" s="143"/>
      <c r="AJ1139" s="143"/>
    </row>
    <row r="1140" spans="1:45" ht="15" customHeight="1">
      <c r="A1140" s="170"/>
      <c r="B1140" s="170"/>
      <c r="D1140" s="124"/>
      <c r="F1140" s="1275"/>
      <c r="G1140" s="36"/>
      <c r="H1140" s="1276" t="s">
        <v>2819</v>
      </c>
      <c r="I1140" s="224"/>
      <c r="J1140" s="36"/>
      <c r="K1140" s="36"/>
      <c r="L1140" s="36"/>
      <c r="M1140" s="36"/>
      <c r="N1140" s="36"/>
      <c r="O1140" s="36"/>
      <c r="P1140" s="36"/>
      <c r="Q1140" s="36"/>
      <c r="R1140" s="36"/>
      <c r="S1140" s="1294" t="s">
        <v>2506</v>
      </c>
      <c r="T1140" s="1295" t="str">
        <f>IF(AND(AE450=2,AE443="Tension"),"Open Flange","Box Flange")</f>
        <v>Box Flange</v>
      </c>
      <c r="U1140" s="36"/>
      <c r="V1140" s="36"/>
      <c r="W1140" s="36"/>
      <c r="X1140" s="36"/>
      <c r="Y1140" s="1294" t="s">
        <v>2512</v>
      </c>
      <c r="Z1140" s="36"/>
      <c r="AA1140" s="224"/>
      <c r="AB1140" s="224"/>
      <c r="AC1140" s="224"/>
      <c r="AD1140" s="224"/>
      <c r="AE1140" s="224"/>
      <c r="AF1140" s="224"/>
      <c r="AG1140" s="36"/>
      <c r="AH1140" s="224"/>
      <c r="AI1140" s="36"/>
      <c r="AJ1140" s="36"/>
      <c r="AK1140" s="36"/>
      <c r="AL1140" s="43"/>
      <c r="AS1140" s="1628" t="str">
        <f>IF(T1140="Open Flange","Hide this row","")</f>
        <v/>
      </c>
    </row>
    <row r="1141" spans="1:45" ht="20.100000000000001" customHeight="1">
      <c r="A1141" s="206"/>
      <c r="B1141" s="170"/>
      <c r="F1141" s="1277"/>
      <c r="G1141" s="9"/>
      <c r="H1141" s="9"/>
      <c r="I1141" s="9"/>
      <c r="J1141" s="33" t="s">
        <v>2818</v>
      </c>
      <c r="K1141" s="9"/>
      <c r="L1141" s="9"/>
      <c r="M1141" s="9"/>
      <c r="N1141" s="33" t="s">
        <v>2592</v>
      </c>
      <c r="O1141" s="9"/>
      <c r="P1141" s="9"/>
      <c r="Q1141" s="1291" t="s">
        <v>2822</v>
      </c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33" t="s">
        <v>2509</v>
      </c>
      <c r="AI1141" s="196"/>
      <c r="AJ1141" s="2082" t="str">
        <f>+IF(O1142&lt;=AC1143,"OK","NG")</f>
        <v>OK</v>
      </c>
      <c r="AK1141" s="2082"/>
      <c r="AL1141" s="2083"/>
      <c r="AM1141" s="143"/>
      <c r="AN1141" s="143"/>
      <c r="AO1141" s="143"/>
      <c r="AP1141" s="143"/>
      <c r="AQ1141" s="143"/>
      <c r="AR1141" s="143"/>
      <c r="AS1141" s="1628" t="str">
        <f>IF(T1140="Open Flange","Hide this row","")</f>
        <v/>
      </c>
    </row>
    <row r="1142" spans="1:45" ht="20.100000000000001" customHeight="1">
      <c r="A1142" s="206"/>
      <c r="B1142" s="170"/>
      <c r="F1142" s="1277"/>
      <c r="G1142" s="9"/>
      <c r="H1142" s="9"/>
      <c r="I1142" s="9"/>
      <c r="J1142" s="9" t="s">
        <v>380</v>
      </c>
      <c r="K1142" s="9"/>
      <c r="L1142" s="9"/>
      <c r="M1142" s="9"/>
      <c r="N1142" s="31" t="s">
        <v>324</v>
      </c>
      <c r="O1142" s="2084">
        <f>+O1137</f>
        <v>148.26948555692721</v>
      </c>
      <c r="P1142" s="2085"/>
      <c r="Q1142" s="2085"/>
      <c r="R1142" s="1601" t="s">
        <v>2508</v>
      </c>
      <c r="S1142" s="1488"/>
      <c r="T1142" s="1488"/>
      <c r="U1142" s="1488"/>
      <c r="V1142" s="9"/>
      <c r="W1142" s="9"/>
      <c r="X1142" s="31"/>
      <c r="Y1142" s="1495"/>
      <c r="Z1142" s="1495"/>
      <c r="AA1142" s="1495"/>
      <c r="AB1142" s="9"/>
      <c r="AC1142" s="9"/>
      <c r="AD1142" s="9"/>
      <c r="AE1142" s="9"/>
      <c r="AF1142" s="9"/>
      <c r="AG1142" s="1487" t="s">
        <v>2510</v>
      </c>
      <c r="AH1142" s="196"/>
      <c r="AI1142" s="9"/>
      <c r="AJ1142" s="2086">
        <f>AC1143/O1142</f>
        <v>2.561738215996451</v>
      </c>
      <c r="AK1142" s="2086"/>
      <c r="AL1142" s="2087"/>
      <c r="AM1142" s="143"/>
      <c r="AN1142" s="143"/>
      <c r="AO1142" s="143"/>
      <c r="AP1142" s="143"/>
      <c r="AQ1142" s="143"/>
      <c r="AR1142" s="143"/>
      <c r="AS1142" s="1628" t="str">
        <f>IF(T1140="Open Flange","Hide this row","")</f>
        <v/>
      </c>
    </row>
    <row r="1143" spans="1:45" ht="20.100000000000001" customHeight="1" thickBot="1">
      <c r="A1143" s="170"/>
      <c r="F1143" s="40"/>
      <c r="G1143" s="41"/>
      <c r="H1143" s="41"/>
      <c r="I1143" s="41"/>
      <c r="J1143" s="1491" t="s">
        <v>2823</v>
      </c>
      <c r="K1143" s="1486"/>
      <c r="L1143" s="41"/>
      <c r="M1143" s="41"/>
      <c r="N1143" s="1292" t="s">
        <v>324</v>
      </c>
      <c r="O1143" s="41" t="s">
        <v>2753</v>
      </c>
      <c r="P1143" s="1293"/>
      <c r="Q1143" s="2128">
        <f>+Q1138</f>
        <v>0.99954647746573022</v>
      </c>
      <c r="R1143" s="2128"/>
      <c r="S1143" s="2128"/>
      <c r="T1143" s="1292" t="s">
        <v>2489</v>
      </c>
      <c r="U1143" s="2088">
        <f>+U1138</f>
        <v>380</v>
      </c>
      <c r="V1143" s="2129"/>
      <c r="W1143" s="2129"/>
      <c r="X1143" s="1292" t="s">
        <v>2489</v>
      </c>
      <c r="Y1143" s="2128">
        <f>+AH1062</f>
        <v>0.99999985777849076</v>
      </c>
      <c r="Z1143" s="2129"/>
      <c r="AA1143" s="2129"/>
      <c r="AB1143" s="1292" t="s">
        <v>324</v>
      </c>
      <c r="AC1143" s="2129">
        <f>+Q1143*U1143*Y1143</f>
        <v>379.82760741731425</v>
      </c>
      <c r="AD1143" s="2129"/>
      <c r="AE1143" s="2129"/>
      <c r="AF1143" s="1602" t="s">
        <v>2508</v>
      </c>
      <c r="AG1143" s="41"/>
      <c r="AH1143" s="41"/>
      <c r="AI1143" s="41"/>
      <c r="AJ1143" s="41"/>
      <c r="AK1143" s="41"/>
      <c r="AL1143" s="45"/>
      <c r="AM1143" s="143"/>
      <c r="AN1143" s="143"/>
      <c r="AO1143" s="143"/>
      <c r="AP1143" s="143"/>
      <c r="AQ1143" s="143"/>
      <c r="AR1143" s="143"/>
      <c r="AS1143" s="1628" t="str">
        <f>IF(T1140="Open Flange","Hide this row","")</f>
        <v/>
      </c>
    </row>
    <row r="1144" spans="1:45" ht="15" customHeight="1">
      <c r="A1144" s="1584"/>
      <c r="B1144" s="1584"/>
      <c r="C1144" s="1233"/>
      <c r="D1144" s="1233"/>
      <c r="E1144" s="1606"/>
      <c r="F1144" s="1606"/>
      <c r="G1144" s="1606"/>
      <c r="H1144" s="1606"/>
      <c r="I1144" s="220"/>
      <c r="J1144" s="220"/>
      <c r="K1144" s="1584"/>
      <c r="L1144" s="1584"/>
      <c r="M1144" s="1606"/>
      <c r="N1144" s="1606"/>
      <c r="O1144" s="1606"/>
      <c r="P1144" s="1606"/>
      <c r="Q1144" s="1606"/>
      <c r="R1144" s="1606"/>
      <c r="S1144" s="1584"/>
      <c r="T1144" s="1584"/>
      <c r="U1144" s="1584"/>
      <c r="V1144" s="1584"/>
      <c r="W1144" s="1584"/>
      <c r="X1144" s="1584"/>
      <c r="Y1144" s="1606"/>
      <c r="Z1144" s="1606"/>
    </row>
    <row r="1145" spans="1:45" ht="15" customHeight="1">
      <c r="A1145" s="134"/>
      <c r="B1145" s="207" t="s">
        <v>449</v>
      </c>
      <c r="C1145" s="136"/>
      <c r="D1145" s="136"/>
      <c r="E1145" s="136"/>
      <c r="F1145" s="136"/>
      <c r="G1145" s="136"/>
      <c r="H1145" s="170"/>
      <c r="I1145" s="170"/>
      <c r="J1145" s="170"/>
      <c r="K1145" s="170"/>
      <c r="L1145" s="1539"/>
      <c r="M1145" s="170"/>
      <c r="N1145" s="170"/>
      <c r="P1145" s="170"/>
      <c r="Q1145" s="170"/>
      <c r="R1145" s="170"/>
      <c r="S1145" s="170"/>
      <c r="T1145" s="170"/>
      <c r="U1145" s="170"/>
      <c r="V1145" s="170"/>
      <c r="W1145" s="170"/>
      <c r="X1145" s="170"/>
      <c r="Y1145" s="1539"/>
      <c r="AR1145" s="1529" t="s">
        <v>411</v>
      </c>
    </row>
    <row r="1146" spans="1:45" ht="15" customHeight="1" thickBot="1">
      <c r="A1146" s="134"/>
      <c r="B1146" s="207"/>
      <c r="C1146" s="136"/>
      <c r="D1146" s="136"/>
      <c r="E1146" s="136"/>
      <c r="F1146" s="136"/>
      <c r="G1146" s="136"/>
      <c r="H1146" s="170"/>
      <c r="I1146" s="170"/>
      <c r="J1146" s="170"/>
      <c r="K1146" s="170"/>
      <c r="L1146" s="1539"/>
      <c r="M1146" s="170"/>
      <c r="N1146" s="170"/>
      <c r="O1146" s="170"/>
      <c r="P1146" s="170"/>
      <c r="Q1146" s="170"/>
      <c r="R1146" s="170"/>
      <c r="S1146" s="170"/>
      <c r="T1146" s="170"/>
      <c r="U1146" s="170"/>
      <c r="V1146" s="170"/>
      <c r="W1146" s="170"/>
      <c r="X1146" s="170"/>
      <c r="Y1146" s="1539"/>
      <c r="Z1146" s="170"/>
      <c r="AA1146" s="108"/>
    </row>
    <row r="1147" spans="1:45" ht="20.100000000000001" customHeight="1" thickBot="1">
      <c r="A1147" s="170"/>
      <c r="B1147" s="168"/>
      <c r="C1147" s="1540"/>
      <c r="D1147" s="1268"/>
      <c r="E1147" s="1271"/>
      <c r="F1147" s="1271"/>
      <c r="G1147" s="1279"/>
      <c r="H1147" s="1288" t="s">
        <v>2818</v>
      </c>
      <c r="I1147" s="1271"/>
      <c r="J1147" s="1280" t="s">
        <v>2825</v>
      </c>
      <c r="K1147" s="1282"/>
      <c r="L1147" s="1496" t="s">
        <v>2824</v>
      </c>
      <c r="M1147" s="1271"/>
      <c r="N1147" s="1271"/>
      <c r="O1147" s="1271"/>
      <c r="P1147" s="1271"/>
      <c r="Q1147" s="1271"/>
      <c r="R1147" s="1271"/>
      <c r="S1147" s="1271"/>
      <c r="T1147" s="1271"/>
      <c r="U1147" s="1271"/>
      <c r="V1147" s="1271"/>
      <c r="W1147" s="1271"/>
      <c r="X1147" s="1271"/>
      <c r="Y1147" s="1497"/>
      <c r="Z1147" s="170"/>
      <c r="AA1147" s="170"/>
    </row>
    <row r="1148" spans="1:45" ht="15" customHeight="1">
      <c r="A1148" s="134"/>
      <c r="B1148" s="207"/>
      <c r="C1148" s="223" t="s">
        <v>444</v>
      </c>
      <c r="D1148" s="136"/>
      <c r="E1148" s="136"/>
      <c r="F1148" s="136"/>
      <c r="G1148" s="136"/>
      <c r="H1148" s="170"/>
      <c r="I1148" s="170"/>
      <c r="J1148" s="170"/>
      <c r="K1148" s="170"/>
      <c r="L1148" s="1539"/>
      <c r="M1148" s="170"/>
      <c r="N1148" s="170"/>
      <c r="O1148" s="170"/>
      <c r="P1148" s="170"/>
      <c r="Q1148" s="170"/>
      <c r="R1148" s="170"/>
      <c r="S1148" s="170"/>
      <c r="T1148" s="170"/>
      <c r="U1148" s="170"/>
      <c r="V1148" s="170"/>
      <c r="W1148" s="170"/>
      <c r="X1148" s="170"/>
      <c r="Y1148" s="1539"/>
      <c r="Z1148" s="170"/>
      <c r="AA1148" s="108"/>
    </row>
    <row r="1149" spans="1:45" ht="15" customHeight="1">
      <c r="A1149" s="134"/>
      <c r="B1149" s="207"/>
      <c r="D1149" s="136"/>
      <c r="E1149" s="136"/>
      <c r="F1149" s="136"/>
      <c r="G1149" s="136"/>
      <c r="H1149" s="170"/>
      <c r="I1149" s="170"/>
      <c r="J1149" s="170"/>
      <c r="K1149" s="170"/>
      <c r="L1149" s="1539"/>
      <c r="M1149" s="170"/>
      <c r="N1149" s="170"/>
      <c r="O1149" s="170"/>
      <c r="P1149" s="170"/>
      <c r="Q1149" s="170"/>
      <c r="R1149" s="170"/>
      <c r="S1149" s="170"/>
      <c r="T1149" s="170"/>
      <c r="U1149" s="170"/>
      <c r="V1149" s="170"/>
      <c r="W1149" s="170"/>
      <c r="X1149" s="170"/>
      <c r="Y1149" s="1539"/>
      <c r="Z1149" s="170"/>
      <c r="AA1149" s="108"/>
    </row>
    <row r="1150" spans="1:45" ht="15" customHeight="1">
      <c r="A1150" s="134"/>
      <c r="B1150" s="1177" t="s">
        <v>2466</v>
      </c>
      <c r="C1150" s="1541" t="s">
        <v>438</v>
      </c>
      <c r="D1150" s="136"/>
      <c r="E1150" s="136"/>
      <c r="F1150" s="136"/>
      <c r="G1150" s="136"/>
      <c r="H1150" s="170"/>
      <c r="I1150" s="170"/>
      <c r="J1150" s="170"/>
      <c r="K1150" s="170"/>
      <c r="L1150" s="1539"/>
      <c r="M1150" s="170"/>
      <c r="N1150" s="170"/>
      <c r="O1150" s="170"/>
      <c r="P1150" s="170"/>
      <c r="Q1150" s="170"/>
      <c r="R1150" s="170"/>
      <c r="S1150" s="170"/>
      <c r="T1150" s="170"/>
      <c r="U1150" s="170"/>
      <c r="V1150" s="170"/>
      <c r="W1150" s="170"/>
      <c r="X1150" s="170"/>
      <c r="Y1150" s="1539"/>
      <c r="Z1150" s="170"/>
      <c r="AA1150" s="108"/>
    </row>
    <row r="1151" spans="1:45" ht="15" customHeight="1">
      <c r="A1151" s="134"/>
      <c r="B1151" s="207"/>
      <c r="C1151" s="1242" t="s">
        <v>134</v>
      </c>
      <c r="D1151" s="1242"/>
      <c r="E1151" s="1242"/>
      <c r="F1151" s="1242"/>
      <c r="G1151" s="1242"/>
      <c r="H1151" s="1242"/>
      <c r="I1151" s="1242"/>
      <c r="J1151" s="1242"/>
      <c r="K1151" s="1242"/>
      <c r="L1151" s="1242"/>
      <c r="M1151" s="1242"/>
      <c r="N1151" s="1242"/>
      <c r="O1151" s="1242"/>
      <c r="P1151" s="1242"/>
      <c r="Q1151" s="1242"/>
      <c r="R1151" s="1242" t="s">
        <v>439</v>
      </c>
      <c r="S1151" s="1242"/>
      <c r="T1151" s="1242"/>
      <c r="U1151" s="1242"/>
      <c r="V1151" s="1242"/>
      <c r="W1151" s="1242"/>
      <c r="X1151" s="1242"/>
      <c r="Y1151" s="1242"/>
      <c r="Z1151" s="1242"/>
      <c r="AA1151" s="1242"/>
      <c r="AB1151" s="1242"/>
      <c r="AC1151" s="1242"/>
    </row>
    <row r="1152" spans="1:45" ht="15" customHeight="1">
      <c r="A1152" s="134"/>
      <c r="B1152" s="207"/>
      <c r="C1152" s="2125" t="s">
        <v>440</v>
      </c>
      <c r="D1152" s="2125"/>
      <c r="E1152" s="1936" t="s">
        <v>1701</v>
      </c>
      <c r="F1152" s="1936"/>
      <c r="G1152" s="1936"/>
      <c r="H1152" s="1936"/>
      <c r="I1152" s="1936"/>
      <c r="J1152" s="170"/>
      <c r="K1152" s="170"/>
      <c r="L1152" s="1539"/>
      <c r="M1152" s="170"/>
      <c r="N1152" s="170"/>
      <c r="O1152" s="170"/>
      <c r="P1152" s="170"/>
      <c r="Q1152" s="170"/>
      <c r="R1152" s="1932" t="s">
        <v>442</v>
      </c>
      <c r="S1152" s="1932"/>
      <c r="T1152" s="1932"/>
      <c r="U1152" s="1932"/>
      <c r="V1152" s="1932"/>
      <c r="W1152" s="1932"/>
      <c r="X1152" s="1932"/>
      <c r="Y1152" s="1932"/>
      <c r="Z1152" s="1932"/>
      <c r="AA1152" s="1932"/>
      <c r="AB1152" s="1932"/>
      <c r="AC1152" s="1932"/>
    </row>
    <row r="1153" spans="1:73" ht="15" customHeight="1">
      <c r="A1153" s="134"/>
      <c r="B1153" s="207"/>
      <c r="C1153" s="1936" t="s">
        <v>359</v>
      </c>
      <c r="D1153" s="1936"/>
      <c r="E1153" s="1862"/>
      <c r="F1153" s="1862"/>
      <c r="G1153" s="1862"/>
      <c r="H1153" s="1862"/>
      <c r="I1153" s="1862"/>
      <c r="J1153" s="170"/>
      <c r="K1153" s="170"/>
      <c r="L1153" s="1539"/>
      <c r="M1153" s="170"/>
      <c r="N1153" s="170"/>
      <c r="O1153" s="170"/>
      <c r="P1153" s="170"/>
      <c r="Q1153" s="170"/>
      <c r="R1153" s="1870"/>
      <c r="S1153" s="1870"/>
      <c r="T1153" s="1870"/>
      <c r="U1153" s="1870"/>
      <c r="V1153" s="1870"/>
      <c r="W1153" s="1870"/>
      <c r="X1153" s="1870"/>
      <c r="Y1153" s="1870"/>
      <c r="Z1153" s="1870"/>
      <c r="AA1153" s="1870"/>
      <c r="AB1153" s="1870"/>
      <c r="AC1153" s="1870"/>
    </row>
    <row r="1154" spans="1:73" ht="15" customHeight="1">
      <c r="A1154" s="134"/>
      <c r="B1154" s="207"/>
      <c r="C1154" s="2090" t="s">
        <v>440</v>
      </c>
      <c r="D1154" s="2090"/>
      <c r="E1154" s="1862" t="s">
        <v>1702</v>
      </c>
      <c r="F1154" s="1862"/>
      <c r="G1154" s="1862"/>
      <c r="H1154" s="1862"/>
      <c r="I1154" s="1862"/>
      <c r="J1154" s="170"/>
      <c r="K1154" s="170"/>
      <c r="L1154" s="1539"/>
      <c r="M1154" s="170"/>
      <c r="N1154" s="170"/>
      <c r="O1154" s="170"/>
      <c r="P1154" s="170"/>
      <c r="Q1154" s="170"/>
      <c r="R1154" s="1870" t="s">
        <v>443</v>
      </c>
      <c r="S1154" s="1870"/>
      <c r="T1154" s="1870"/>
      <c r="U1154" s="1870"/>
      <c r="V1154" s="1870"/>
      <c r="W1154" s="1870"/>
      <c r="X1154" s="1870"/>
      <c r="Y1154" s="1870"/>
      <c r="Z1154" s="1870"/>
      <c r="AA1154" s="1870"/>
      <c r="AB1154" s="1870"/>
      <c r="AC1154" s="1870"/>
    </row>
    <row r="1155" spans="1:73" ht="15" customHeight="1">
      <c r="A1155" s="134"/>
      <c r="B1155" s="207"/>
      <c r="C1155" s="2125" t="s">
        <v>359</v>
      </c>
      <c r="D1155" s="2125"/>
      <c r="E1155" s="2090"/>
      <c r="F1155" s="2090"/>
      <c r="G1155" s="2090"/>
      <c r="H1155" s="2090"/>
      <c r="I1155" s="2090"/>
      <c r="J1155" s="145"/>
      <c r="K1155" s="145"/>
      <c r="L1155" s="1548"/>
      <c r="M1155" s="145"/>
      <c r="N1155" s="145"/>
      <c r="O1155" s="145"/>
      <c r="P1155" s="145"/>
      <c r="Q1155" s="145"/>
      <c r="R1155" s="2130"/>
      <c r="S1155" s="2130"/>
      <c r="T1155" s="2130"/>
      <c r="U1155" s="2130"/>
      <c r="V1155" s="2130"/>
      <c r="W1155" s="2130"/>
      <c r="X1155" s="2130"/>
      <c r="Y1155" s="2130"/>
      <c r="Z1155" s="2130"/>
      <c r="AA1155" s="2130"/>
      <c r="AB1155" s="2130"/>
      <c r="AC1155" s="2130"/>
    </row>
    <row r="1156" spans="1:73" ht="15" customHeight="1">
      <c r="A1156" s="134"/>
      <c r="B1156" s="207"/>
      <c r="C1156" s="1539"/>
      <c r="D1156" s="1539"/>
      <c r="E1156" s="1539"/>
      <c r="F1156" s="1539"/>
      <c r="G1156" s="1539"/>
      <c r="H1156" s="1539"/>
      <c r="I1156" s="1539"/>
      <c r="J1156" s="170"/>
      <c r="K1156" s="170"/>
      <c r="L1156" s="1539"/>
      <c r="M1156" s="170"/>
      <c r="N1156" s="170"/>
      <c r="O1156" s="170"/>
      <c r="P1156" s="170"/>
      <c r="Q1156" s="170"/>
      <c r="R1156" s="1540"/>
      <c r="S1156" s="1540"/>
      <c r="T1156" s="1540"/>
      <c r="U1156" s="1540"/>
      <c r="V1156" s="1540"/>
      <c r="W1156" s="1540"/>
      <c r="X1156" s="1540"/>
      <c r="Y1156" s="1540"/>
      <c r="Z1156" s="1540"/>
      <c r="AA1156" s="1540"/>
      <c r="AB1156" s="1540"/>
      <c r="AC1156" s="1540"/>
    </row>
    <row r="1157" spans="1:73" ht="15" customHeight="1">
      <c r="A1157" s="134"/>
      <c r="B1157" s="207"/>
      <c r="C1157" s="1539"/>
      <c r="D1157" s="1539"/>
      <c r="E1157" s="115" t="s">
        <v>381</v>
      </c>
      <c r="F1157" s="1126"/>
      <c r="G1157" s="76" t="s">
        <v>324</v>
      </c>
      <c r="H1157" s="115"/>
      <c r="I1157" s="73" t="str">
        <f>IF(AE442="Positive","YU -ttop", "YL - tbot")</f>
        <v>YL - tbot</v>
      </c>
      <c r="J1157" s="170"/>
      <c r="K1157" s="115"/>
      <c r="L1157" s="73"/>
      <c r="M1157" s="115"/>
      <c r="N1157" s="170" t="s">
        <v>2827</v>
      </c>
      <c r="P1157" s="73"/>
      <c r="Q1157" s="170"/>
      <c r="R1157" s="170"/>
      <c r="V1157" s="73"/>
      <c r="X1157" s="170"/>
      <c r="Y1157" s="1539"/>
      <c r="Z1157" s="170"/>
      <c r="AA1157" s="170"/>
      <c r="AC1157" s="1540"/>
    </row>
    <row r="1158" spans="1:73" ht="15" customHeight="1">
      <c r="A1158" s="134"/>
      <c r="B1158" s="207"/>
      <c r="C1158" s="1539"/>
      <c r="D1158" s="1539"/>
      <c r="E1158" s="115"/>
      <c r="F1158" s="1126"/>
      <c r="G1158" s="76" t="s">
        <v>324</v>
      </c>
      <c r="H1158" s="115"/>
      <c r="I1158" s="2111">
        <f>IF(AE442="Positive",AE498,AE503)</f>
        <v>1318.1358342979815</v>
      </c>
      <c r="J1158" s="2111"/>
      <c r="K1158" s="2111"/>
      <c r="L1158" s="76" t="s">
        <v>2323</v>
      </c>
      <c r="M1158" s="1862">
        <f>IF(AE442="Positive",AE452,AE454)</f>
        <v>30</v>
      </c>
      <c r="N1158" s="1862"/>
      <c r="O1158" s="1862"/>
      <c r="P1158" s="76" t="s">
        <v>324</v>
      </c>
      <c r="Q1158" s="1862">
        <f>+I1158-M1158</f>
        <v>1288.1358342979815</v>
      </c>
      <c r="R1158" s="1862"/>
      <c r="S1158" s="1862"/>
      <c r="T1158" s="143" t="s">
        <v>999</v>
      </c>
      <c r="V1158" s="73"/>
      <c r="X1158" s="170"/>
      <c r="Y1158" s="1539"/>
      <c r="Z1158" s="170"/>
      <c r="AA1158" s="170"/>
      <c r="AC1158" s="1540"/>
    </row>
    <row r="1159" spans="1:73" ht="15" customHeight="1">
      <c r="A1159" s="134"/>
      <c r="B1159" s="207"/>
      <c r="C1159" s="1539"/>
      <c r="D1159" s="1539"/>
      <c r="E1159" s="115" t="s">
        <v>2852</v>
      </c>
      <c r="F1159" s="1126"/>
      <c r="G1159" s="76"/>
      <c r="H1159" s="115"/>
      <c r="I1159" s="1561"/>
      <c r="J1159" s="1561"/>
      <c r="K1159" s="1561"/>
      <c r="L1159" s="76"/>
      <c r="M1159" s="1539"/>
      <c r="N1159" s="1539"/>
      <c r="O1159" s="1539"/>
      <c r="P1159" s="76"/>
      <c r="Q1159" s="1539"/>
      <c r="R1159" s="1539"/>
      <c r="S1159" s="1862">
        <f>+Q1158</f>
        <v>1288.1358342979815</v>
      </c>
      <c r="T1159" s="1862"/>
      <c r="U1159" s="1862"/>
      <c r="V1159" s="1500" t="s">
        <v>2853</v>
      </c>
      <c r="W1159" s="1567"/>
      <c r="X1159" s="1547"/>
      <c r="Z1159" s="2095">
        <f>AE458</f>
        <v>0.125</v>
      </c>
      <c r="AA1159" s="2095"/>
      <c r="AB1159" s="2095"/>
      <c r="AC1159" s="1549" t="s">
        <v>2800</v>
      </c>
      <c r="AD1159" s="1571" t="s">
        <v>324</v>
      </c>
      <c r="AE1159" s="2111">
        <f>+Q1158/COS(ATAN(Z1159))</f>
        <v>1298.1603888662398</v>
      </c>
      <c r="AF1159" s="2111"/>
      <c r="AG1159" s="2111"/>
    </row>
    <row r="1160" spans="1:73" ht="15" customHeight="1">
      <c r="A1160" s="134"/>
      <c r="B1160" s="207"/>
      <c r="E1160" s="89" t="s">
        <v>2851</v>
      </c>
      <c r="F1160" s="1539"/>
      <c r="G1160" s="1549" t="s">
        <v>324</v>
      </c>
      <c r="H1160" s="1539"/>
      <c r="I1160" s="115" t="s">
        <v>2770</v>
      </c>
      <c r="J1160" s="115"/>
      <c r="K1160" s="1862">
        <f>+AE1159</f>
        <v>1298.1603888662398</v>
      </c>
      <c r="L1160" s="1862"/>
      <c r="M1160" s="1862"/>
      <c r="N1160" s="124" t="s">
        <v>2490</v>
      </c>
      <c r="O1160" s="2094">
        <f>+AE457</f>
        <v>14</v>
      </c>
      <c r="P1160" s="1862"/>
      <c r="V1160" s="124" t="s">
        <v>324</v>
      </c>
      <c r="W1160" s="1862">
        <f>2*K1160/O1160</f>
        <v>185.45148412374854</v>
      </c>
      <c r="X1160" s="1862"/>
      <c r="Y1160" s="1862"/>
      <c r="AA1160" s="1938" t="s">
        <v>2462</v>
      </c>
      <c r="AB1160" s="143"/>
      <c r="AC1160" s="2120" t="str">
        <f>IF(W1160&gt;W1161,"Slender Web","Compact or Non-compact Web")</f>
        <v>Slender Web</v>
      </c>
      <c r="AD1160" s="2120"/>
      <c r="AE1160" s="2120"/>
      <c r="AF1160" s="2120"/>
      <c r="AG1160" s="2120"/>
      <c r="AH1160" s="2120"/>
      <c r="AI1160" s="2120"/>
      <c r="AJ1160" s="2120"/>
      <c r="AK1160" s="2120"/>
      <c r="AL1160" s="2120"/>
      <c r="AM1160" s="2120"/>
      <c r="AN1160" s="2120"/>
      <c r="AO1160" s="2120"/>
    </row>
    <row r="1161" spans="1:73" ht="15" customHeight="1">
      <c r="A1161" s="134"/>
      <c r="B1161" s="207"/>
      <c r="C1161" s="1539"/>
      <c r="D1161" s="1539"/>
      <c r="E1161" s="89" t="s">
        <v>2855</v>
      </c>
      <c r="F1161" s="1539"/>
      <c r="G1161" s="1549" t="s">
        <v>324</v>
      </c>
      <c r="H1161" s="1539"/>
      <c r="I1161" s="1540" t="s">
        <v>2854</v>
      </c>
      <c r="J1161" s="1540"/>
      <c r="K1161" s="1540"/>
      <c r="L1161" s="1540"/>
      <c r="M1161" s="2096">
        <f>+AE504</f>
        <v>210000</v>
      </c>
      <c r="N1161" s="1862"/>
      <c r="O1161" s="1862"/>
      <c r="P1161" s="1862"/>
      <c r="Q1161" s="76" t="s">
        <v>2490</v>
      </c>
      <c r="R1161" s="2118">
        <f>+AE509</f>
        <v>380</v>
      </c>
      <c r="S1161" s="2111"/>
      <c r="T1161" s="2111"/>
      <c r="U1161" s="76" t="s">
        <v>2512</v>
      </c>
      <c r="V1161" s="76" t="s">
        <v>324</v>
      </c>
      <c r="W1161" s="2119">
        <f>5.7*SQRT(M1161/R1161)</f>
        <v>133.99626860476377</v>
      </c>
      <c r="X1161" s="2119"/>
      <c r="Y1161" s="2119"/>
      <c r="Z1161" s="1540"/>
      <c r="AA1161" s="1938"/>
      <c r="AB1161" s="1540"/>
      <c r="AC1161" s="2120"/>
      <c r="AD1161" s="2120"/>
      <c r="AE1161" s="2120"/>
      <c r="AF1161" s="2120"/>
      <c r="AG1161" s="2120"/>
      <c r="AH1161" s="2120"/>
      <c r="AI1161" s="2120"/>
      <c r="AJ1161" s="2120"/>
      <c r="AK1161" s="2120"/>
      <c r="AL1161" s="2120"/>
      <c r="AM1161" s="2120"/>
      <c r="AN1161" s="2120"/>
      <c r="AO1161" s="2120"/>
    </row>
    <row r="1162" spans="1:73" s="73" customFormat="1" ht="15" customHeight="1">
      <c r="A1162" s="134"/>
      <c r="B1162" s="207"/>
      <c r="C1162" s="215"/>
      <c r="D1162" s="136"/>
      <c r="E1162" s="136"/>
      <c r="F1162" s="136"/>
      <c r="G1162" s="136"/>
      <c r="H1162" s="170"/>
      <c r="I1162" s="170"/>
      <c r="J1162" s="170"/>
      <c r="K1162" s="170"/>
      <c r="L1162" s="1539"/>
      <c r="M1162" s="170"/>
      <c r="N1162" s="170"/>
      <c r="O1162" s="170"/>
      <c r="P1162" s="170"/>
      <c r="Q1162" s="170"/>
      <c r="R1162" s="170"/>
      <c r="S1162" s="170"/>
      <c r="Y1162" s="1539"/>
      <c r="Z1162" s="170"/>
      <c r="AA1162" s="108"/>
      <c r="AC1162" s="143"/>
      <c r="AD1162" s="1561"/>
      <c r="AF1162" s="1561"/>
      <c r="AS1162" s="1627"/>
      <c r="AT1162" s="143"/>
      <c r="AU1162" s="143"/>
      <c r="AV1162" s="143"/>
      <c r="AW1162" s="143"/>
      <c r="AX1162" s="143"/>
      <c r="AY1162" s="143"/>
      <c r="AZ1162" s="143"/>
      <c r="BA1162" s="143"/>
      <c r="BB1162" s="143"/>
      <c r="BC1162" s="143"/>
      <c r="BD1162" s="143"/>
      <c r="BE1162" s="143"/>
      <c r="BF1162" s="143"/>
      <c r="BG1162" s="143"/>
      <c r="BH1162" s="143"/>
      <c r="BI1162" s="143"/>
      <c r="BJ1162" s="143"/>
      <c r="BK1162" s="143"/>
      <c r="BL1162" s="143"/>
      <c r="BM1162" s="143"/>
      <c r="BN1162" s="143"/>
      <c r="BO1162" s="143"/>
      <c r="BP1162" s="143"/>
      <c r="BQ1162" s="143"/>
      <c r="BR1162" s="143"/>
      <c r="BS1162" s="143"/>
      <c r="BT1162" s="143"/>
      <c r="BU1162" s="143"/>
    </row>
    <row r="1163" spans="1:73" s="73" customFormat="1" ht="15" customHeight="1">
      <c r="A1163" s="134"/>
      <c r="B1163" s="1177" t="s">
        <v>2466</v>
      </c>
      <c r="C1163" s="170" t="s">
        <v>2144</v>
      </c>
      <c r="D1163" s="136"/>
      <c r="E1163" s="136"/>
      <c r="F1163" s="136"/>
      <c r="G1163" s="136"/>
      <c r="H1163" s="170"/>
      <c r="I1163" s="170"/>
      <c r="J1163" s="170"/>
      <c r="K1163" s="170"/>
      <c r="L1163" s="1539"/>
      <c r="M1163" s="170"/>
      <c r="N1163" s="170"/>
      <c r="O1163" s="170"/>
      <c r="P1163" s="170"/>
      <c r="Q1163" s="170"/>
      <c r="R1163" s="170"/>
      <c r="S1163" s="170"/>
      <c r="Y1163" s="1539"/>
      <c r="Z1163" s="170"/>
      <c r="AA1163" s="108"/>
      <c r="AC1163" s="143"/>
      <c r="AD1163" s="1561"/>
      <c r="AF1163" s="1561"/>
      <c r="AS1163" s="1627"/>
      <c r="AT1163" s="143"/>
      <c r="AU1163" s="143"/>
      <c r="AV1163" s="143"/>
      <c r="AW1163" s="143"/>
      <c r="AX1163" s="143"/>
      <c r="AY1163" s="143"/>
      <c r="AZ1163" s="143"/>
      <c r="BA1163" s="143"/>
      <c r="BB1163" s="143"/>
      <c r="BC1163" s="143"/>
      <c r="BD1163" s="143"/>
      <c r="BE1163" s="143"/>
      <c r="BF1163" s="143"/>
      <c r="BG1163" s="143"/>
      <c r="BH1163" s="143"/>
      <c r="BI1163" s="143"/>
      <c r="BJ1163" s="143"/>
      <c r="BK1163" s="143"/>
      <c r="BL1163" s="143"/>
      <c r="BM1163" s="143"/>
      <c r="BN1163" s="143"/>
      <c r="BO1163" s="143"/>
      <c r="BP1163" s="143"/>
      <c r="BQ1163" s="143"/>
      <c r="BR1163" s="143"/>
      <c r="BS1163" s="143"/>
      <c r="BT1163" s="143"/>
      <c r="BU1163" s="143"/>
    </row>
    <row r="1164" spans="1:73" s="73" customFormat="1" ht="15" customHeight="1">
      <c r="A1164" s="134"/>
      <c r="B1164" s="1177"/>
      <c r="C1164" s="170" t="s">
        <v>2862</v>
      </c>
      <c r="D1164" s="136"/>
      <c r="E1164" s="136"/>
      <c r="F1164" s="136"/>
      <c r="G1164" s="136"/>
      <c r="H1164" s="170"/>
      <c r="I1164" s="170"/>
      <c r="J1164" s="2094">
        <f>+AE473</f>
        <v>2</v>
      </c>
      <c r="K1164" s="1862"/>
      <c r="L1164" s="1862"/>
      <c r="M1164" s="170"/>
      <c r="N1164" s="170"/>
      <c r="O1164" s="170"/>
      <c r="P1164" s="170"/>
      <c r="Q1164" s="170"/>
      <c r="R1164" s="170"/>
      <c r="S1164" s="170"/>
      <c r="Y1164" s="1539"/>
      <c r="Z1164" s="170"/>
      <c r="AA1164" s="108"/>
      <c r="AC1164" s="143"/>
      <c r="AD1164" s="1561"/>
      <c r="AF1164" s="1561"/>
      <c r="AS1164" s="1627"/>
      <c r="AT1164" s="143"/>
      <c r="AU1164" s="143"/>
      <c r="AV1164" s="143"/>
      <c r="AW1164" s="143"/>
      <c r="AX1164" s="143"/>
      <c r="AY1164" s="143"/>
      <c r="AZ1164" s="143"/>
      <c r="BA1164" s="143"/>
      <c r="BB1164" s="143"/>
      <c r="BC1164" s="143"/>
      <c r="BD1164" s="143"/>
      <c r="BE1164" s="143"/>
      <c r="BF1164" s="143"/>
      <c r="BG1164" s="143"/>
      <c r="BH1164" s="143"/>
      <c r="BI1164" s="143"/>
      <c r="BJ1164" s="143"/>
      <c r="BK1164" s="143"/>
      <c r="BL1164" s="143"/>
      <c r="BM1164" s="143"/>
      <c r="BN1164" s="143"/>
      <c r="BO1164" s="143"/>
      <c r="BP1164" s="143"/>
      <c r="BQ1164" s="143"/>
      <c r="BR1164" s="143"/>
      <c r="BS1164" s="143"/>
      <c r="BT1164" s="143"/>
      <c r="BU1164" s="143"/>
    </row>
    <row r="1165" spans="1:73" s="73" customFormat="1" ht="15" customHeight="1">
      <c r="A1165" s="170"/>
      <c r="B1165" s="134"/>
      <c r="C1165" s="115" t="s">
        <v>2249</v>
      </c>
      <c r="D1165" s="1126"/>
      <c r="E1165" s="1126"/>
      <c r="F1165" s="1126"/>
      <c r="H1165" s="334"/>
      <c r="I1165" s="334"/>
      <c r="J1165" s="170"/>
      <c r="K1165" s="170"/>
      <c r="N1165" s="170"/>
      <c r="O1165" s="143"/>
      <c r="Q1165" s="170"/>
      <c r="R1165" s="170"/>
      <c r="S1165" s="143"/>
      <c r="T1165" s="143"/>
      <c r="U1165" s="143"/>
      <c r="V1165" s="143"/>
      <c r="W1165" s="143"/>
      <c r="X1165" s="170"/>
      <c r="Y1165" s="1539"/>
      <c r="Z1165" s="170"/>
      <c r="AA1165" s="170"/>
      <c r="AC1165" s="143"/>
      <c r="AD1165" s="1561"/>
      <c r="AF1165" s="1561"/>
      <c r="AS1165" s="1628" t="str">
        <f>IF(J1164&lt;&gt;0,"Hide this row","")</f>
        <v>Hide this row</v>
      </c>
      <c r="AT1165" s="143"/>
      <c r="AU1165" s="143"/>
      <c r="AV1165" s="143"/>
      <c r="AW1165" s="143"/>
      <c r="AX1165" s="143"/>
      <c r="AY1165" s="143"/>
      <c r="AZ1165" s="143"/>
      <c r="BA1165" s="143"/>
      <c r="BB1165" s="143"/>
      <c r="BC1165" s="143"/>
      <c r="BD1165" s="143"/>
      <c r="BE1165" s="143"/>
      <c r="BF1165" s="143"/>
      <c r="BG1165" s="143"/>
      <c r="BH1165" s="143"/>
      <c r="BI1165" s="143"/>
      <c r="BJ1165" s="143"/>
      <c r="BK1165" s="143"/>
      <c r="BL1165" s="143"/>
      <c r="BM1165" s="143"/>
      <c r="BN1165" s="143"/>
      <c r="BO1165" s="143"/>
      <c r="BP1165" s="143"/>
      <c r="BQ1165" s="143"/>
      <c r="BR1165" s="143"/>
      <c r="BS1165" s="143"/>
      <c r="BT1165" s="143"/>
      <c r="BU1165" s="143"/>
    </row>
    <row r="1166" spans="1:73" s="73" customFormat="1" ht="15" customHeight="1">
      <c r="A1166" s="170"/>
      <c r="B1166" s="134"/>
      <c r="C1166" s="115"/>
      <c r="D1166" s="1126"/>
      <c r="E1166" s="115" t="s">
        <v>425</v>
      </c>
      <c r="F1166" s="1126"/>
      <c r="G1166" s="76" t="s">
        <v>324</v>
      </c>
      <c r="I1166" s="115" t="s">
        <v>2826</v>
      </c>
      <c r="J1166" s="170"/>
      <c r="K1166" s="115"/>
      <c r="M1166" s="741" t="s">
        <v>324</v>
      </c>
      <c r="N1166" s="170" t="s">
        <v>2832</v>
      </c>
      <c r="O1166" s="143"/>
      <c r="P1166" s="2111">
        <f>+Q1158</f>
        <v>1288.1358342979815</v>
      </c>
      <c r="Q1166" s="2111"/>
      <c r="R1166" s="2111"/>
      <c r="S1166" s="138" t="s">
        <v>2490</v>
      </c>
      <c r="T1166" s="2092">
        <f>+I1167</f>
        <v>3200</v>
      </c>
      <c r="U1166" s="1938"/>
      <c r="V1166" s="1938"/>
      <c r="W1166" s="138" t="s">
        <v>2833</v>
      </c>
      <c r="X1166" s="170"/>
      <c r="Y1166" s="1549" t="s">
        <v>324</v>
      </c>
      <c r="Z1166" s="170"/>
      <c r="AA1166" s="2127">
        <f>9/(Q1158/I1167)^2</f>
        <v>55.541696662000113</v>
      </c>
      <c r="AB1166" s="2127"/>
      <c r="AC1166" s="2127"/>
      <c r="AD1166" s="1561"/>
      <c r="AF1166" s="1561"/>
      <c r="AS1166" s="1628" t="str">
        <f>IF(J1164&lt;&gt;0,"Hide this row","")</f>
        <v>Hide this row</v>
      </c>
      <c r="AT1166" s="143"/>
      <c r="AU1166" s="143"/>
      <c r="AV1166" s="143"/>
      <c r="AW1166" s="143"/>
      <c r="AX1166" s="143"/>
      <c r="AY1166" s="143"/>
      <c r="AZ1166" s="143"/>
      <c r="BA1166" s="143"/>
      <c r="BB1166" s="143"/>
      <c r="BC1166" s="143"/>
      <c r="BD1166" s="143"/>
      <c r="BE1166" s="143"/>
      <c r="BF1166" s="143"/>
      <c r="BG1166" s="143"/>
      <c r="BH1166" s="143"/>
      <c r="BI1166" s="143"/>
      <c r="BJ1166" s="143"/>
      <c r="BK1166" s="143"/>
      <c r="BL1166" s="143"/>
      <c r="BM1166" s="143"/>
      <c r="BN1166" s="143"/>
      <c r="BO1166" s="143"/>
      <c r="BP1166" s="143"/>
      <c r="BQ1166" s="143"/>
      <c r="BR1166" s="143"/>
      <c r="BS1166" s="143"/>
      <c r="BT1166" s="143"/>
      <c r="BU1166" s="143"/>
    </row>
    <row r="1167" spans="1:73" s="73" customFormat="1" ht="15" customHeight="1">
      <c r="A1167" s="170"/>
      <c r="B1167" s="134"/>
      <c r="C1167" s="115"/>
      <c r="D1167" s="1126"/>
      <c r="E1167" s="115" t="s">
        <v>414</v>
      </c>
      <c r="F1167" s="1126"/>
      <c r="G1167" s="76" t="s">
        <v>324</v>
      </c>
      <c r="H1167" s="115"/>
      <c r="I1167" s="2126">
        <f>+AE456</f>
        <v>3200</v>
      </c>
      <c r="J1167" s="2111"/>
      <c r="K1167" s="2111"/>
      <c r="L1167" s="76" t="s">
        <v>999</v>
      </c>
      <c r="M1167" s="1539"/>
      <c r="N1167" s="1539"/>
      <c r="O1167" s="1539"/>
      <c r="P1167" s="76"/>
      <c r="Q1167" s="1539"/>
      <c r="R1167" s="1539"/>
      <c r="S1167" s="1539"/>
      <c r="T1167" s="143"/>
      <c r="U1167" s="143"/>
      <c r="W1167" s="143"/>
      <c r="X1167" s="170"/>
      <c r="Y1167" s="1539"/>
      <c r="Z1167" s="170"/>
      <c r="AA1167" s="170"/>
      <c r="AC1167" s="143"/>
      <c r="AD1167" s="1561"/>
      <c r="AF1167" s="1561"/>
      <c r="AS1167" s="1628" t="str">
        <f>IF(J1164&lt;&gt;0,"Hide this row","")</f>
        <v>Hide this row</v>
      </c>
      <c r="AT1167" s="143"/>
      <c r="AU1167" s="143"/>
      <c r="AV1167" s="143"/>
      <c r="AW1167" s="143"/>
      <c r="AX1167" s="143"/>
      <c r="AY1167" s="143"/>
      <c r="AZ1167" s="143"/>
      <c r="BA1167" s="143"/>
      <c r="BB1167" s="143"/>
      <c r="BC1167" s="143"/>
      <c r="BD1167" s="143"/>
      <c r="BE1167" s="143"/>
      <c r="BF1167" s="143"/>
      <c r="BG1167" s="143"/>
      <c r="BH1167" s="143"/>
      <c r="BI1167" s="143"/>
      <c r="BJ1167" s="143"/>
      <c r="BK1167" s="143"/>
      <c r="BL1167" s="143"/>
      <c r="BM1167" s="143"/>
      <c r="BN1167" s="143"/>
      <c r="BO1167" s="143"/>
      <c r="BP1167" s="143"/>
      <c r="BQ1167" s="143"/>
      <c r="BR1167" s="143"/>
      <c r="BS1167" s="143"/>
      <c r="BT1167" s="143"/>
      <c r="BU1167" s="143"/>
    </row>
    <row r="1168" spans="1:73" s="73" customFormat="1" ht="15" customHeight="1">
      <c r="A1168" s="170"/>
      <c r="B1168" s="134"/>
      <c r="C1168" s="145" t="s">
        <v>2225</v>
      </c>
      <c r="D1168" s="140"/>
      <c r="E1168" s="140"/>
      <c r="F1168" s="140"/>
      <c r="G1168" s="140"/>
      <c r="H1168" s="140"/>
      <c r="I1168" s="140"/>
      <c r="J1168" s="170"/>
      <c r="K1168" s="170"/>
      <c r="L1168" s="170"/>
      <c r="M1168" s="1539"/>
      <c r="N1168" s="170"/>
      <c r="P1168" s="170"/>
      <c r="Q1168" s="170"/>
      <c r="R1168" s="170"/>
      <c r="S1168" s="143"/>
      <c r="T1168" s="143"/>
      <c r="U1168" s="143"/>
      <c r="V1168" s="143"/>
      <c r="W1168" s="143"/>
      <c r="X1168" s="170"/>
      <c r="Y1168" s="1539"/>
      <c r="Z1168" s="170"/>
      <c r="AA1168" s="170"/>
      <c r="AC1168" s="108" t="s">
        <v>2224</v>
      </c>
      <c r="AD1168" s="1561"/>
      <c r="AF1168" s="1561"/>
      <c r="AS1168" s="1628" t="str">
        <f>IF(J1164&lt;&gt;1,"Hide this row","")</f>
        <v>Hide this row</v>
      </c>
      <c r="AT1168" s="143"/>
      <c r="AU1168" s="143"/>
      <c r="AV1168" s="143"/>
      <c r="AW1168" s="143"/>
      <c r="AX1168" s="143"/>
      <c r="AY1168" s="143"/>
      <c r="AZ1168" s="143"/>
      <c r="BA1168" s="143"/>
      <c r="BB1168" s="143"/>
      <c r="BC1168" s="143"/>
      <c r="BD1168" s="143"/>
      <c r="BE1168" s="143"/>
      <c r="BF1168" s="143"/>
      <c r="BG1168" s="143"/>
      <c r="BH1168" s="143"/>
      <c r="BI1168" s="143"/>
      <c r="BJ1168" s="143"/>
      <c r="BK1168" s="143"/>
      <c r="BL1168" s="143"/>
      <c r="BM1168" s="143"/>
      <c r="BN1168" s="143"/>
      <c r="BO1168" s="143"/>
      <c r="BP1168" s="143"/>
      <c r="BQ1168" s="143"/>
      <c r="BR1168" s="143"/>
      <c r="BS1168" s="143"/>
      <c r="BT1168" s="143"/>
      <c r="BU1168" s="143"/>
    </row>
    <row r="1169" spans="1:73" s="73" customFormat="1" ht="20.100000000000001" customHeight="1">
      <c r="A1169" s="170"/>
      <c r="B1169" s="170"/>
      <c r="C1169" s="148" t="s">
        <v>134</v>
      </c>
      <c r="D1169" s="148"/>
      <c r="E1169" s="148"/>
      <c r="F1169" s="148"/>
      <c r="G1169" s="148"/>
      <c r="H1169" s="148"/>
      <c r="I1169" s="148"/>
      <c r="J1169" s="148"/>
      <c r="K1169" s="148"/>
      <c r="L1169" s="148"/>
      <c r="M1169" s="148"/>
      <c r="N1169" s="148"/>
      <c r="O1169" s="148"/>
      <c r="P1169" s="148"/>
      <c r="Q1169" s="148"/>
      <c r="R1169" s="148" t="s">
        <v>129</v>
      </c>
      <c r="S1169" s="148"/>
      <c r="T1169" s="148"/>
      <c r="U1169" s="148"/>
      <c r="V1169" s="148"/>
      <c r="W1169" s="148"/>
      <c r="X1169" s="148"/>
      <c r="Y1169" s="148"/>
      <c r="Z1169" s="148"/>
      <c r="AA1169" s="148"/>
      <c r="AB1169" s="148"/>
      <c r="AC1169" s="148"/>
      <c r="AS1169" s="1628" t="str">
        <f>IF(J1164&lt;&gt;1,"Hide this row","")</f>
        <v>Hide this row</v>
      </c>
      <c r="AT1169" s="143"/>
      <c r="AU1169" s="143"/>
      <c r="AV1169" s="143"/>
      <c r="AW1169" s="143"/>
      <c r="AX1169" s="143"/>
      <c r="AY1169" s="143"/>
      <c r="AZ1169" s="143"/>
      <c r="BA1169" s="143"/>
      <c r="BB1169" s="143"/>
      <c r="BC1169" s="143"/>
      <c r="BD1169" s="143"/>
      <c r="BE1169" s="143"/>
      <c r="BF1169" s="143"/>
      <c r="BG1169" s="143"/>
      <c r="BH1169" s="143"/>
      <c r="BI1169" s="143"/>
      <c r="BJ1169" s="143"/>
      <c r="BK1169" s="143"/>
      <c r="BL1169" s="143"/>
      <c r="BM1169" s="143"/>
      <c r="BN1169" s="143"/>
      <c r="BO1169" s="143"/>
      <c r="BP1169" s="143"/>
      <c r="BQ1169" s="143"/>
      <c r="BR1169" s="143"/>
      <c r="BS1169" s="143"/>
      <c r="BT1169" s="143"/>
      <c r="BU1169" s="143"/>
    </row>
    <row r="1170" spans="1:73" s="73" customFormat="1" ht="20.100000000000001" customHeight="1">
      <c r="A1170" s="170"/>
      <c r="B1170" s="170"/>
      <c r="C1170" s="122" t="s">
        <v>826</v>
      </c>
      <c r="D1170" s="122"/>
      <c r="E1170" s="122"/>
      <c r="F1170" s="122"/>
      <c r="G1170" s="122"/>
      <c r="H1170" s="122"/>
      <c r="I1170" s="122"/>
      <c r="J1170" s="122"/>
      <c r="K1170" s="122"/>
      <c r="L1170" s="122"/>
      <c r="M1170" s="122"/>
      <c r="N1170" s="122"/>
      <c r="O1170" s="122"/>
      <c r="P1170" s="122"/>
      <c r="Q1170" s="122"/>
      <c r="R1170" s="1928">
        <v>7.2</v>
      </c>
      <c r="S1170" s="1928"/>
      <c r="T1170" s="122"/>
      <c r="U1170" s="122"/>
      <c r="V1170" s="122"/>
      <c r="W1170" s="122"/>
      <c r="X1170" s="122"/>
      <c r="Y1170" s="122"/>
      <c r="Z1170" s="122"/>
      <c r="AA1170" s="122"/>
      <c r="AB1170" s="122"/>
      <c r="AC1170" s="122"/>
      <c r="AS1170" s="1628" t="str">
        <f>IF(J1164&lt;&gt;1,"Hide this row","")</f>
        <v>Hide this row</v>
      </c>
      <c r="AT1170" s="143"/>
      <c r="AU1170" s="143"/>
      <c r="AV1170" s="143"/>
      <c r="AW1170" s="143"/>
      <c r="AX1170" s="143"/>
      <c r="AY1170" s="143"/>
      <c r="AZ1170" s="143"/>
      <c r="BA1170" s="143"/>
      <c r="BB1170" s="143"/>
      <c r="BC1170" s="143"/>
      <c r="BD1170" s="143"/>
      <c r="BE1170" s="143"/>
      <c r="BF1170" s="143"/>
      <c r="BG1170" s="143"/>
      <c r="BH1170" s="143"/>
      <c r="BI1170" s="143"/>
      <c r="BJ1170" s="143"/>
      <c r="BK1170" s="143"/>
      <c r="BL1170" s="143"/>
      <c r="BM1170" s="143"/>
      <c r="BN1170" s="143"/>
      <c r="BO1170" s="143"/>
      <c r="BP1170" s="143"/>
      <c r="BQ1170" s="143"/>
      <c r="BR1170" s="143"/>
      <c r="BS1170" s="143"/>
      <c r="BT1170" s="143"/>
      <c r="BU1170" s="143"/>
    </row>
    <row r="1171" spans="1:73" s="73" customFormat="1" ht="20.100000000000001" customHeight="1">
      <c r="A1171" s="170"/>
      <c r="B1171" s="170"/>
      <c r="C1171" s="122" t="s">
        <v>827</v>
      </c>
      <c r="D1171" s="122"/>
      <c r="E1171" s="122"/>
      <c r="F1171" s="122"/>
      <c r="G1171" s="122"/>
      <c r="H1171" s="122"/>
      <c r="I1171" s="122"/>
      <c r="J1171" s="122"/>
      <c r="K1171" s="122"/>
      <c r="L1171" s="122"/>
      <c r="M1171" s="122"/>
      <c r="N1171" s="122"/>
      <c r="O1171" s="122"/>
      <c r="P1171" s="122"/>
      <c r="Q1171" s="122"/>
      <c r="R1171" s="122"/>
      <c r="S1171" s="122"/>
      <c r="T1171" s="122"/>
      <c r="U1171" s="122"/>
      <c r="V1171" s="122"/>
      <c r="W1171" s="122"/>
      <c r="X1171" s="122"/>
      <c r="Y1171" s="122"/>
      <c r="Z1171" s="122"/>
      <c r="AA1171" s="122"/>
      <c r="AB1171" s="122"/>
      <c r="AC1171" s="122"/>
      <c r="AS1171" s="1628" t="str">
        <f>IF(J1164&lt;&gt;1,"Hide this row","")</f>
        <v>Hide this row</v>
      </c>
      <c r="AT1171" s="143"/>
      <c r="AU1171" s="143"/>
      <c r="AV1171" s="143"/>
      <c r="AW1171" s="143"/>
      <c r="AX1171" s="143"/>
      <c r="AY1171" s="143"/>
      <c r="AZ1171" s="143"/>
      <c r="BA1171" s="143"/>
      <c r="BB1171" s="143"/>
      <c r="BC1171" s="143"/>
      <c r="BD1171" s="143"/>
      <c r="BE1171" s="143"/>
      <c r="BF1171" s="143"/>
      <c r="BG1171" s="143"/>
      <c r="BH1171" s="143"/>
      <c r="BI1171" s="143"/>
      <c r="BJ1171" s="143"/>
      <c r="BK1171" s="143"/>
      <c r="BL1171" s="143"/>
      <c r="BM1171" s="143"/>
      <c r="BN1171" s="143"/>
      <c r="BO1171" s="143"/>
      <c r="BP1171" s="143"/>
      <c r="BQ1171" s="143"/>
      <c r="BR1171" s="143"/>
      <c r="BS1171" s="143"/>
      <c r="BT1171" s="143"/>
      <c r="BU1171" s="143"/>
    </row>
    <row r="1172" spans="1:73" s="73" customFormat="1" ht="20.100000000000001" customHeight="1">
      <c r="A1172" s="143"/>
      <c r="B1172" s="170"/>
      <c r="C1172" s="143"/>
      <c r="D1172" s="170" t="s">
        <v>1704</v>
      </c>
      <c r="E1172" s="170"/>
      <c r="F1172" s="170"/>
      <c r="G1172" s="170"/>
      <c r="H1172" s="170"/>
      <c r="I1172" s="170"/>
      <c r="J1172" s="170"/>
      <c r="K1172" s="170"/>
      <c r="L1172" s="170"/>
      <c r="M1172" s="170"/>
      <c r="N1172" s="170"/>
      <c r="O1172" s="170"/>
      <c r="P1172" s="170"/>
      <c r="Q1172" s="170"/>
      <c r="R1172" s="170" t="s">
        <v>1706</v>
      </c>
      <c r="S1172" s="170"/>
      <c r="T1172" s="170"/>
      <c r="U1172" s="170"/>
      <c r="V1172" s="170"/>
      <c r="W1172" s="170"/>
      <c r="X1172" s="170"/>
      <c r="Y1172" s="170"/>
      <c r="Z1172" s="170"/>
      <c r="AA1172" s="170"/>
      <c r="AB1172" s="170"/>
      <c r="AC1172" s="170"/>
      <c r="AS1172" s="1628" t="str">
        <f>IF(J1164&lt;&gt;1,"Hide this row","")</f>
        <v>Hide this row</v>
      </c>
      <c r="AT1172" s="143"/>
      <c r="AU1172" s="143"/>
      <c r="AV1172" s="143"/>
      <c r="AW1172" s="143"/>
      <c r="AX1172" s="143"/>
      <c r="AY1172" s="143"/>
      <c r="AZ1172" s="143"/>
      <c r="BA1172" s="143"/>
      <c r="BB1172" s="143"/>
      <c r="BC1172" s="143"/>
      <c r="BD1172" s="143"/>
      <c r="BE1172" s="143"/>
      <c r="BF1172" s="143"/>
      <c r="BG1172" s="143"/>
      <c r="BH1172" s="143"/>
      <c r="BI1172" s="143"/>
      <c r="BJ1172" s="143"/>
      <c r="BK1172" s="143"/>
      <c r="BL1172" s="143"/>
      <c r="BM1172" s="143"/>
      <c r="BN1172" s="143"/>
      <c r="BO1172" s="143"/>
      <c r="BP1172" s="143"/>
      <c r="BQ1172" s="143"/>
      <c r="BR1172" s="143"/>
      <c r="BS1172" s="143"/>
      <c r="BT1172" s="143"/>
      <c r="BU1172" s="143"/>
    </row>
    <row r="1173" spans="1:73" s="73" customFormat="1" ht="20.100000000000001" customHeight="1">
      <c r="A1173" s="143"/>
      <c r="B1173" s="170"/>
      <c r="C1173" s="145"/>
      <c r="D1173" s="145" t="s">
        <v>1705</v>
      </c>
      <c r="E1173" s="145"/>
      <c r="F1173" s="145"/>
      <c r="G1173" s="145"/>
      <c r="H1173" s="145"/>
      <c r="I1173" s="145"/>
      <c r="J1173" s="145"/>
      <c r="K1173" s="145"/>
      <c r="L1173" s="145"/>
      <c r="M1173" s="145"/>
      <c r="N1173" s="145"/>
      <c r="O1173" s="145"/>
      <c r="P1173" s="145"/>
      <c r="Q1173" s="145"/>
      <c r="R1173" s="145" t="s">
        <v>264</v>
      </c>
      <c r="S1173" s="145"/>
      <c r="T1173" s="145"/>
      <c r="U1173" s="145"/>
      <c r="V1173" s="145"/>
      <c r="W1173" s="145"/>
      <c r="X1173" s="145"/>
      <c r="Y1173" s="145"/>
      <c r="Z1173" s="145"/>
      <c r="AA1173" s="145"/>
      <c r="AB1173" s="145"/>
      <c r="AC1173" s="145"/>
      <c r="AS1173" s="1628" t="str">
        <f>IF(J1164&lt;&gt;1,"Hide this row","")</f>
        <v>Hide this row</v>
      </c>
      <c r="AT1173" s="143"/>
      <c r="AU1173" s="143"/>
      <c r="AV1173" s="143"/>
      <c r="AW1173" s="143"/>
      <c r="AX1173" s="143"/>
      <c r="AY1173" s="143"/>
      <c r="AZ1173" s="143"/>
      <c r="BA1173" s="143"/>
      <c r="BB1173" s="143"/>
      <c r="BC1173" s="143"/>
      <c r="BD1173" s="143"/>
      <c r="BE1173" s="143"/>
      <c r="BF1173" s="143"/>
      <c r="BG1173" s="143"/>
      <c r="BH1173" s="143"/>
      <c r="BI1173" s="143"/>
      <c r="BJ1173" s="143"/>
      <c r="BK1173" s="143"/>
      <c r="BL1173" s="143"/>
      <c r="BM1173" s="143"/>
      <c r="BN1173" s="143"/>
      <c r="BO1173" s="143"/>
      <c r="BP1173" s="143"/>
      <c r="BQ1173" s="143"/>
      <c r="BR1173" s="143"/>
      <c r="BS1173" s="143"/>
      <c r="BT1173" s="143"/>
      <c r="BU1173" s="143"/>
    </row>
    <row r="1174" spans="1:73" s="73" customFormat="1" ht="15" customHeight="1">
      <c r="A1174" s="143"/>
      <c r="B1174" s="170"/>
      <c r="C1174" s="170"/>
      <c r="D1174" s="170"/>
      <c r="E1174" s="170"/>
      <c r="F1174" s="170"/>
      <c r="G1174" s="170"/>
      <c r="H1174" s="170"/>
      <c r="I1174" s="170"/>
      <c r="J1174" s="170"/>
      <c r="K1174" s="170"/>
      <c r="L1174" s="170"/>
      <c r="M1174" s="170"/>
      <c r="N1174" s="170"/>
      <c r="O1174" s="170"/>
      <c r="P1174" s="170"/>
      <c r="Q1174" s="170"/>
      <c r="R1174" s="170"/>
      <c r="S1174" s="170"/>
      <c r="T1174" s="170"/>
      <c r="U1174" s="170"/>
      <c r="V1174" s="170"/>
      <c r="W1174" s="170"/>
      <c r="X1174" s="170"/>
      <c r="Y1174" s="170"/>
      <c r="Z1174" s="170"/>
      <c r="AA1174" s="170"/>
      <c r="AB1174" s="170"/>
      <c r="AC1174" s="170"/>
      <c r="AS1174" s="1628" t="str">
        <f>IF(J1164&lt;&gt;1,"Hide this row","")</f>
        <v>Hide this row</v>
      </c>
      <c r="AT1174" s="143"/>
      <c r="AU1174" s="143"/>
      <c r="AV1174" s="143"/>
      <c r="AW1174" s="143"/>
      <c r="AX1174" s="143"/>
      <c r="AY1174" s="143"/>
      <c r="AZ1174" s="143"/>
      <c r="BA1174" s="143"/>
      <c r="BB1174" s="143"/>
      <c r="BC1174" s="143"/>
      <c r="BD1174" s="143"/>
      <c r="BE1174" s="143"/>
      <c r="BF1174" s="143"/>
      <c r="BG1174" s="143"/>
      <c r="BH1174" s="143"/>
      <c r="BI1174" s="143"/>
      <c r="BJ1174" s="143"/>
      <c r="BK1174" s="143"/>
      <c r="BL1174" s="143"/>
      <c r="BM1174" s="143"/>
      <c r="BN1174" s="143"/>
      <c r="BO1174" s="143"/>
      <c r="BP1174" s="143"/>
      <c r="BQ1174" s="143"/>
      <c r="BR1174" s="143"/>
      <c r="BS1174" s="143"/>
      <c r="BT1174" s="143"/>
      <c r="BU1174" s="143"/>
    </row>
    <row r="1175" spans="1:73" s="73" customFormat="1" ht="15" customHeight="1">
      <c r="A1175" s="143"/>
      <c r="B1175" s="170"/>
      <c r="C1175" s="170"/>
      <c r="D1175" s="170"/>
      <c r="E1175" s="115" t="s">
        <v>414</v>
      </c>
      <c r="F1175" s="170"/>
      <c r="G1175" s="76" t="s">
        <v>324</v>
      </c>
      <c r="H1175" s="170"/>
      <c r="I1175" s="2126">
        <f>+AE456</f>
        <v>3200</v>
      </c>
      <c r="J1175" s="2111"/>
      <c r="K1175" s="2111"/>
      <c r="L1175" s="170" t="s">
        <v>999</v>
      </c>
      <c r="M1175" s="170"/>
      <c r="N1175" s="170"/>
      <c r="O1175" s="170"/>
      <c r="P1175" s="170"/>
      <c r="Q1175" s="170"/>
      <c r="R1175" s="170"/>
      <c r="S1175" s="170"/>
      <c r="T1175" s="170"/>
      <c r="U1175" s="170"/>
      <c r="V1175" s="170"/>
      <c r="W1175" s="170"/>
      <c r="X1175" s="170"/>
      <c r="Y1175" s="170"/>
      <c r="Z1175" s="170"/>
      <c r="AA1175" s="170"/>
      <c r="AB1175" s="170"/>
      <c r="AC1175" s="170"/>
      <c r="AS1175" s="1628" t="str">
        <f>IF(J1164&lt;&gt;1,"Hide this row","")</f>
        <v>Hide this row</v>
      </c>
      <c r="AT1175" s="143"/>
      <c r="AU1175" s="143"/>
      <c r="AV1175" s="143"/>
      <c r="AW1175" s="143"/>
      <c r="AX1175" s="143"/>
      <c r="AY1175" s="143"/>
      <c r="AZ1175" s="143"/>
      <c r="BA1175" s="143"/>
      <c r="BB1175" s="143"/>
      <c r="BC1175" s="143"/>
      <c r="BD1175" s="143"/>
      <c r="BE1175" s="143"/>
      <c r="BF1175" s="143"/>
      <c r="BG1175" s="143"/>
      <c r="BH1175" s="143"/>
      <c r="BI1175" s="143"/>
      <c r="BJ1175" s="143"/>
      <c r="BK1175" s="143"/>
      <c r="BL1175" s="143"/>
      <c r="BM1175" s="143"/>
      <c r="BN1175" s="143"/>
      <c r="BO1175" s="143"/>
      <c r="BP1175" s="143"/>
      <c r="BQ1175" s="143"/>
      <c r="BR1175" s="143"/>
      <c r="BS1175" s="143"/>
      <c r="BT1175" s="143"/>
      <c r="BU1175" s="143"/>
    </row>
    <row r="1176" spans="1:73" s="73" customFormat="1" ht="15" customHeight="1">
      <c r="A1176" s="143"/>
      <c r="B1176" s="143"/>
      <c r="C1176" s="143"/>
      <c r="D1176" s="143"/>
      <c r="E1176" s="115" t="s">
        <v>412</v>
      </c>
      <c r="F1176" s="1126"/>
      <c r="G1176" s="76" t="s">
        <v>324</v>
      </c>
      <c r="H1176" s="115"/>
      <c r="I1176" s="1579" t="s">
        <v>2830</v>
      </c>
      <c r="J1176" s="1561"/>
      <c r="K1176" s="1561"/>
      <c r="L1176" s="76"/>
      <c r="M1176" s="1539"/>
      <c r="N1176" s="2094">
        <f>+AE456</f>
        <v>3200</v>
      </c>
      <c r="O1176" s="1862"/>
      <c r="P1176" s="1862"/>
      <c r="Q1176" s="76" t="s">
        <v>324</v>
      </c>
      <c r="R1176" s="1862">
        <f>0.2*N1176</f>
        <v>640</v>
      </c>
      <c r="S1176" s="1862"/>
      <c r="T1176" s="1862"/>
      <c r="U1176" s="143" t="s">
        <v>999</v>
      </c>
      <c r="V1176" s="143"/>
      <c r="W1176" s="143"/>
      <c r="X1176" s="170"/>
      <c r="Y1176" s="1539"/>
      <c r="Z1176" s="170"/>
      <c r="AA1176" s="170"/>
      <c r="AC1176" s="143"/>
      <c r="AS1176" s="1628" t="str">
        <f>IF(J1164&lt;&gt;1,"Hide this row","")</f>
        <v>Hide this row</v>
      </c>
      <c r="AT1176" s="143"/>
      <c r="AU1176" s="143"/>
      <c r="AV1176" s="143"/>
      <c r="AW1176" s="143"/>
      <c r="AX1176" s="143"/>
      <c r="AY1176" s="143"/>
      <c r="AZ1176" s="143"/>
      <c r="BA1176" s="143"/>
      <c r="BB1176" s="143"/>
      <c r="BC1176" s="143"/>
      <c r="BD1176" s="143"/>
      <c r="BE1176" s="143"/>
      <c r="BF1176" s="143"/>
      <c r="BG1176" s="143"/>
      <c r="BH1176" s="143"/>
      <c r="BI1176" s="143"/>
      <c r="BJ1176" s="143"/>
      <c r="BK1176" s="143"/>
      <c r="BL1176" s="143"/>
      <c r="BM1176" s="143"/>
      <c r="BN1176" s="143"/>
      <c r="BO1176" s="143"/>
      <c r="BP1176" s="143"/>
      <c r="BQ1176" s="143"/>
      <c r="BR1176" s="143"/>
      <c r="BS1176" s="143"/>
      <c r="BT1176" s="143"/>
      <c r="BU1176" s="143"/>
    </row>
    <row r="1177" spans="1:73" s="73" customFormat="1" ht="15" customHeight="1">
      <c r="A1177" s="143"/>
      <c r="B1177" s="143"/>
      <c r="C1177" s="143"/>
      <c r="D1177" s="143"/>
      <c r="E1177" s="115" t="s">
        <v>2850</v>
      </c>
      <c r="F1177" s="1126"/>
      <c r="G1177" s="76" t="s">
        <v>324</v>
      </c>
      <c r="H1177" s="115"/>
      <c r="I1177" s="2111">
        <f>+R1176</f>
        <v>640</v>
      </c>
      <c r="J1177" s="2111"/>
      <c r="K1177" s="2111"/>
      <c r="L1177" s="76" t="s">
        <v>2490</v>
      </c>
      <c r="M1177" s="1862">
        <f>+Q1158</f>
        <v>1288.1358342979815</v>
      </c>
      <c r="N1177" s="1862"/>
      <c r="O1177" s="1862"/>
      <c r="P1177" s="1539"/>
      <c r="Q1177" s="76" t="s">
        <v>324</v>
      </c>
      <c r="R1177" s="2095">
        <f>+I1177/M1177</f>
        <v>0.49684201227799263</v>
      </c>
      <c r="S1177" s="2095"/>
      <c r="T1177" s="2095"/>
      <c r="U1177" s="143" t="str">
        <f>IF(R1177&lt;0.4,"&lt;   0.4","&gt;   0.4")</f>
        <v>&gt;   0.4</v>
      </c>
      <c r="V1177" s="143"/>
      <c r="W1177" s="143"/>
      <c r="X1177" s="170"/>
      <c r="Y1177" s="1539"/>
      <c r="Z1177" s="170"/>
      <c r="AA1177" s="170"/>
      <c r="AC1177" s="143"/>
      <c r="AS1177" s="1628" t="str">
        <f>IF(J1164&lt;&gt;1,"Hide this row","")</f>
        <v>Hide this row</v>
      </c>
      <c r="AT1177" s="143"/>
      <c r="AU1177" s="143"/>
      <c r="AV1177" s="143"/>
      <c r="AW1177" s="143"/>
      <c r="AX1177" s="143"/>
      <c r="AY1177" s="143"/>
      <c r="AZ1177" s="143"/>
      <c r="BA1177" s="143"/>
      <c r="BB1177" s="143"/>
      <c r="BC1177" s="143"/>
      <c r="BD1177" s="143"/>
      <c r="BE1177" s="143"/>
      <c r="BF1177" s="143"/>
      <c r="BG1177" s="143"/>
      <c r="BH1177" s="143"/>
      <c r="BI1177" s="143"/>
      <c r="BJ1177" s="143"/>
      <c r="BK1177" s="143"/>
      <c r="BL1177" s="143"/>
      <c r="BM1177" s="143"/>
      <c r="BN1177" s="143"/>
      <c r="BO1177" s="143"/>
      <c r="BP1177" s="143"/>
      <c r="BQ1177" s="143"/>
      <c r="BR1177" s="143"/>
      <c r="BS1177" s="143"/>
      <c r="BT1177" s="143"/>
      <c r="BU1177" s="143"/>
    </row>
    <row r="1178" spans="1:73" s="73" customFormat="1" ht="15" customHeight="1">
      <c r="A1178" s="143"/>
      <c r="B1178" s="143"/>
      <c r="C1178" s="143"/>
      <c r="D1178" s="143"/>
      <c r="E1178" s="115" t="s">
        <v>425</v>
      </c>
      <c r="F1178" s="1126"/>
      <c r="G1178" s="76" t="s">
        <v>324</v>
      </c>
      <c r="H1178" s="115"/>
      <c r="I1178" s="1579" t="s">
        <v>2837</v>
      </c>
      <c r="J1178" s="1561"/>
      <c r="K1178" s="1561"/>
      <c r="L1178" s="76"/>
      <c r="M1178" s="1539"/>
      <c r="N1178" s="1539"/>
      <c r="O1178" s="1539"/>
      <c r="P1178" s="1539"/>
      <c r="Q1178" s="76"/>
      <c r="R1178" s="1498"/>
      <c r="S1178" s="1558"/>
      <c r="T1178" s="1558"/>
      <c r="U1178" s="143"/>
      <c r="V1178" s="143"/>
      <c r="W1178" s="143"/>
      <c r="X1178" s="170"/>
      <c r="Y1178" s="1539"/>
      <c r="Z1178" s="170"/>
      <c r="AA1178" s="170"/>
      <c r="AC1178" s="143"/>
      <c r="AS1178" s="1628" t="str">
        <f>IF(J1164&lt;&gt;1,"Hide this row","")</f>
        <v>Hide this row</v>
      </c>
      <c r="AT1178" s="143"/>
      <c r="AU1178" s="143"/>
      <c r="AV1178" s="143"/>
      <c r="AW1178" s="143"/>
      <c r="AX1178" s="143"/>
      <c r="AY1178" s="143"/>
      <c r="AZ1178" s="143"/>
      <c r="BA1178" s="143"/>
      <c r="BB1178" s="143"/>
      <c r="BC1178" s="143"/>
      <c r="BD1178" s="143"/>
      <c r="BE1178" s="143"/>
      <c r="BF1178" s="143"/>
      <c r="BG1178" s="143"/>
      <c r="BH1178" s="143"/>
      <c r="BI1178" s="143"/>
      <c r="BJ1178" s="143"/>
      <c r="BK1178" s="143"/>
      <c r="BL1178" s="143"/>
      <c r="BM1178" s="143"/>
      <c r="BN1178" s="143"/>
      <c r="BO1178" s="143"/>
      <c r="BP1178" s="143"/>
      <c r="BQ1178" s="143"/>
      <c r="BR1178" s="143"/>
      <c r="BS1178" s="143"/>
      <c r="BT1178" s="143"/>
      <c r="BU1178" s="143"/>
    </row>
    <row r="1179" spans="1:73" s="73" customFormat="1" ht="15" customHeight="1">
      <c r="A1179" s="143"/>
      <c r="B1179" s="143"/>
      <c r="C1179" s="143"/>
      <c r="D1179" s="143"/>
      <c r="E1179" s="115"/>
      <c r="F1179" s="1126"/>
      <c r="G1179" s="76" t="s">
        <v>324</v>
      </c>
      <c r="H1179" s="115"/>
      <c r="I1179" s="1579" t="s">
        <v>2835</v>
      </c>
      <c r="J1179" s="1561"/>
      <c r="K1179" s="1561"/>
      <c r="L1179" s="2122">
        <f>+R1176</f>
        <v>640</v>
      </c>
      <c r="M1179" s="2122"/>
      <c r="N1179" s="2122"/>
      <c r="O1179" s="1549" t="s">
        <v>2490</v>
      </c>
      <c r="P1179" s="2094">
        <f>+I1175</f>
        <v>3200</v>
      </c>
      <c r="Q1179" s="1862"/>
      <c r="R1179" s="1862"/>
      <c r="S1179" s="1498" t="s">
        <v>2836</v>
      </c>
      <c r="T1179" s="1498" t="s">
        <v>324</v>
      </c>
      <c r="U1179" s="1938">
        <f>5.17/(L1179/P1179)^2</f>
        <v>129.24999999999997</v>
      </c>
      <c r="V1179" s="1938"/>
      <c r="W1179" s="1938"/>
      <c r="Y1179" s="1569" t="str">
        <f>IF(U1179&gt;AL1179,"&gt;","&lt;")</f>
        <v>&gt;</v>
      </c>
      <c r="AA1179" s="170" t="s">
        <v>2832</v>
      </c>
      <c r="AB1179" s="143"/>
      <c r="AC1179" s="2111">
        <f>+Q1158</f>
        <v>1288.1358342979815</v>
      </c>
      <c r="AD1179" s="2111"/>
      <c r="AE1179" s="2111"/>
      <c r="AF1179" s="138" t="s">
        <v>2490</v>
      </c>
      <c r="AG1179" s="2092">
        <f>+I1175</f>
        <v>3200</v>
      </c>
      <c r="AH1179" s="1938"/>
      <c r="AI1179" s="1938"/>
      <c r="AJ1179" s="138" t="s">
        <v>2833</v>
      </c>
      <c r="AK1179" s="1549" t="s">
        <v>324</v>
      </c>
      <c r="AL1179" s="2093">
        <f>9/(AG1179/AC1179)^2</f>
        <v>1.4583638035569348</v>
      </c>
      <c r="AM1179" s="2093"/>
      <c r="AN1179" s="2093"/>
      <c r="AS1179" s="1628" t="str">
        <f>IF(J1164&lt;&gt;1,"Hide this row","")</f>
        <v>Hide this row</v>
      </c>
      <c r="AT1179" s="143"/>
      <c r="AU1179" s="143"/>
      <c r="AV1179" s="143"/>
      <c r="AW1179" s="143"/>
      <c r="AX1179" s="143"/>
      <c r="AY1179" s="143"/>
      <c r="AZ1179" s="143"/>
      <c r="BA1179" s="143"/>
      <c r="BB1179" s="143"/>
      <c r="BC1179" s="143"/>
      <c r="BD1179" s="143"/>
      <c r="BE1179" s="143"/>
      <c r="BF1179" s="143"/>
      <c r="BG1179" s="143"/>
      <c r="BH1179" s="143"/>
      <c r="BI1179" s="143"/>
      <c r="BJ1179" s="143"/>
      <c r="BK1179" s="143"/>
      <c r="BL1179" s="143"/>
      <c r="BM1179" s="143"/>
      <c r="BN1179" s="143"/>
      <c r="BO1179" s="143"/>
      <c r="BP1179" s="143"/>
      <c r="BQ1179" s="143"/>
      <c r="BR1179" s="143"/>
      <c r="BS1179" s="143"/>
      <c r="BT1179" s="143"/>
      <c r="BU1179" s="143"/>
    </row>
    <row r="1180" spans="1:73" s="73" customFormat="1" ht="15" customHeight="1">
      <c r="A1180" s="143"/>
      <c r="B1180" s="143"/>
      <c r="C1180" s="143"/>
      <c r="D1180" s="143"/>
      <c r="E1180" s="115"/>
      <c r="F1180" s="1126"/>
      <c r="G1180" s="76" t="s">
        <v>324</v>
      </c>
      <c r="H1180" s="115"/>
      <c r="I1180" s="2123">
        <f>+MAX(U1179,AL1179)</f>
        <v>129.24999999999997</v>
      </c>
      <c r="J1180" s="2124"/>
      <c r="K1180" s="2124"/>
      <c r="L1180" s="76"/>
      <c r="M1180" s="1539"/>
      <c r="N1180" s="1539"/>
      <c r="O1180" s="1539"/>
      <c r="P1180" s="76"/>
      <c r="Q1180" s="1539"/>
      <c r="R1180" s="1539"/>
      <c r="S1180" s="1539"/>
      <c r="T1180" s="143"/>
      <c r="U1180" s="143"/>
      <c r="W1180" s="143"/>
      <c r="X1180" s="170"/>
      <c r="Y1180" s="1539"/>
      <c r="AS1180" s="1628" t="str">
        <f>IF(J1164&lt;&gt;1,"Hide this row","")</f>
        <v>Hide this row</v>
      </c>
      <c r="AT1180" s="143"/>
      <c r="AU1180" s="143"/>
      <c r="AV1180" s="143"/>
      <c r="AW1180" s="143"/>
      <c r="AX1180" s="143"/>
      <c r="AY1180" s="143"/>
      <c r="AZ1180" s="143"/>
      <c r="BA1180" s="143"/>
      <c r="BB1180" s="143"/>
      <c r="BC1180" s="143"/>
      <c r="BD1180" s="143"/>
      <c r="BE1180" s="143"/>
      <c r="BF1180" s="143"/>
      <c r="BG1180" s="143"/>
      <c r="BH1180" s="143"/>
      <c r="BI1180" s="143"/>
      <c r="BJ1180" s="143"/>
      <c r="BK1180" s="143"/>
      <c r="BL1180" s="143"/>
      <c r="BM1180" s="143"/>
      <c r="BN1180" s="143"/>
      <c r="BO1180" s="143"/>
      <c r="BP1180" s="143"/>
      <c r="BQ1180" s="143"/>
      <c r="BR1180" s="143"/>
      <c r="BS1180" s="143"/>
      <c r="BT1180" s="143"/>
      <c r="BU1180" s="143"/>
    </row>
    <row r="1181" spans="1:73" s="73" customFormat="1" ht="15" customHeight="1">
      <c r="A1181" s="143"/>
      <c r="B1181" s="143"/>
      <c r="C1181" s="143"/>
      <c r="D1181" s="143"/>
      <c r="E1181" s="115" t="s">
        <v>425</v>
      </c>
      <c r="F1181" s="1126"/>
      <c r="G1181" s="76" t="s">
        <v>324</v>
      </c>
      <c r="H1181" s="115"/>
      <c r="I1181" s="170" t="s">
        <v>264</v>
      </c>
      <c r="J1181" s="1561"/>
      <c r="K1181" s="1561"/>
      <c r="L1181" s="76"/>
      <c r="M1181" s="1539"/>
      <c r="N1181" s="1539"/>
      <c r="O1181" s="1539"/>
      <c r="P1181" s="1539"/>
      <c r="Q1181" s="76"/>
      <c r="R1181" s="1498"/>
      <c r="S1181" s="1558"/>
      <c r="T1181" s="143"/>
      <c r="U1181" s="143"/>
      <c r="W1181" s="143"/>
      <c r="X1181" s="170"/>
      <c r="Y1181" s="1539"/>
      <c r="AS1181" s="1628" t="str">
        <f>IF(J1164&lt;&gt;1,"Hide this row","")</f>
        <v>Hide this row</v>
      </c>
      <c r="AT1181" s="143"/>
      <c r="AU1181" s="143"/>
      <c r="AV1181" s="143"/>
      <c r="AW1181" s="143"/>
      <c r="AX1181" s="143"/>
      <c r="AY1181" s="143"/>
      <c r="AZ1181" s="143"/>
      <c r="BA1181" s="143"/>
      <c r="BB1181" s="143"/>
      <c r="BC1181" s="143"/>
      <c r="BD1181" s="143"/>
      <c r="BE1181" s="143"/>
      <c r="BF1181" s="143"/>
      <c r="BG1181" s="143"/>
      <c r="BH1181" s="143"/>
      <c r="BI1181" s="143"/>
      <c r="BJ1181" s="143"/>
      <c r="BK1181" s="143"/>
      <c r="BL1181" s="143"/>
      <c r="BM1181" s="143"/>
      <c r="BN1181" s="143"/>
      <c r="BO1181" s="143"/>
      <c r="BP1181" s="143"/>
      <c r="BQ1181" s="143"/>
      <c r="BR1181" s="143"/>
      <c r="BS1181" s="143"/>
      <c r="BT1181" s="143"/>
      <c r="BU1181" s="143"/>
    </row>
    <row r="1182" spans="1:73" s="73" customFormat="1" ht="15" customHeight="1">
      <c r="A1182" s="143"/>
      <c r="B1182" s="143"/>
      <c r="C1182" s="143"/>
      <c r="D1182" s="143"/>
      <c r="E1182" s="115"/>
      <c r="F1182" s="1126"/>
      <c r="G1182" s="76" t="s">
        <v>324</v>
      </c>
      <c r="H1182" s="115"/>
      <c r="I1182" s="1579" t="s">
        <v>2838</v>
      </c>
      <c r="J1182" s="1561"/>
      <c r="K1182" s="1561"/>
      <c r="L1182" s="1415"/>
      <c r="M1182" s="2122">
        <f>+Q1158</f>
        <v>1288.1358342979815</v>
      </c>
      <c r="N1182" s="2122"/>
      <c r="O1182" s="2122"/>
      <c r="P1182" s="1499" t="s">
        <v>2323</v>
      </c>
      <c r="Q1182" s="1862">
        <f>+R1176</f>
        <v>640</v>
      </c>
      <c r="R1182" s="1862"/>
      <c r="S1182" s="1862"/>
      <c r="T1182" s="138" t="s">
        <v>2722</v>
      </c>
      <c r="U1182" s="2092">
        <f>+I1175</f>
        <v>3200</v>
      </c>
      <c r="V1182" s="1938"/>
      <c r="W1182" s="1938"/>
      <c r="X1182" s="124" t="s">
        <v>2839</v>
      </c>
      <c r="Y1182" s="1539"/>
      <c r="AS1182" s="1628" t="str">
        <f>IF(J1164&lt;&gt;1,"Hide this row","")</f>
        <v>Hide this row</v>
      </c>
      <c r="AT1182" s="143"/>
      <c r="AU1182" s="143"/>
      <c r="AV1182" s="143"/>
      <c r="AW1182" s="143"/>
      <c r="AX1182" s="143"/>
      <c r="AY1182" s="143"/>
      <c r="AZ1182" s="143"/>
      <c r="BA1182" s="143"/>
      <c r="BB1182" s="143"/>
      <c r="BC1182" s="143"/>
      <c r="BD1182" s="143"/>
      <c r="BE1182" s="143"/>
      <c r="BF1182" s="143"/>
      <c r="BG1182" s="143"/>
      <c r="BH1182" s="143"/>
      <c r="BI1182" s="143"/>
      <c r="BJ1182" s="143"/>
      <c r="BK1182" s="143"/>
      <c r="BL1182" s="143"/>
      <c r="BM1182" s="143"/>
      <c r="BN1182" s="143"/>
      <c r="BO1182" s="143"/>
      <c r="BP1182" s="143"/>
      <c r="BQ1182" s="143"/>
      <c r="BR1182" s="143"/>
      <c r="BS1182" s="143"/>
      <c r="BT1182" s="143"/>
      <c r="BU1182" s="143"/>
    </row>
    <row r="1183" spans="1:73" s="73" customFormat="1" ht="15" customHeight="1">
      <c r="A1183" s="143"/>
      <c r="B1183" s="143"/>
      <c r="C1183" s="170"/>
      <c r="D1183" s="138"/>
      <c r="E1183" s="115"/>
      <c r="F1183" s="1126"/>
      <c r="G1183" s="76" t="s">
        <v>324</v>
      </c>
      <c r="H1183" s="115"/>
      <c r="I1183" s="2123">
        <f>11.64/((M1182-Q1182)/U1182)^2</f>
        <v>283.74019962956214</v>
      </c>
      <c r="J1183" s="2124"/>
      <c r="K1183" s="2124"/>
      <c r="L1183" s="76"/>
      <c r="M1183" s="1539"/>
      <c r="N1183" s="1539"/>
      <c r="O1183" s="1539"/>
      <c r="P1183" s="76"/>
      <c r="Q1183" s="1539"/>
      <c r="R1183" s="1539"/>
      <c r="S1183" s="1539"/>
      <c r="T1183" s="170"/>
      <c r="U1183" s="170"/>
      <c r="V1183" s="170"/>
      <c r="W1183" s="170"/>
      <c r="X1183" s="170"/>
      <c r="Y1183" s="1539"/>
      <c r="Z1183" s="170"/>
      <c r="AA1183" s="170"/>
      <c r="AC1183" s="143"/>
      <c r="AD1183" s="1561"/>
      <c r="AF1183" s="1561"/>
      <c r="AS1183" s="1628" t="str">
        <f>IF(J1164&lt;&gt;1,"Hide this row","")</f>
        <v>Hide this row</v>
      </c>
      <c r="AT1183" s="143"/>
      <c r="AU1183" s="143"/>
      <c r="AV1183" s="143"/>
      <c r="AW1183" s="143"/>
      <c r="AX1183" s="143"/>
      <c r="AY1183" s="143"/>
      <c r="AZ1183" s="143"/>
      <c r="BA1183" s="143"/>
      <c r="BB1183" s="143"/>
      <c r="BC1183" s="143"/>
      <c r="BD1183" s="143"/>
      <c r="BE1183" s="143"/>
      <c r="BF1183" s="143"/>
      <c r="BG1183" s="143"/>
      <c r="BH1183" s="143"/>
      <c r="BI1183" s="143"/>
      <c r="BJ1183" s="143"/>
      <c r="BK1183" s="143"/>
      <c r="BL1183" s="143"/>
      <c r="BM1183" s="143"/>
      <c r="BN1183" s="143"/>
      <c r="BO1183" s="143"/>
      <c r="BP1183" s="143"/>
      <c r="BQ1183" s="143"/>
      <c r="BR1183" s="143"/>
      <c r="BS1183" s="143"/>
      <c r="BT1183" s="143"/>
      <c r="BU1183" s="143"/>
    </row>
    <row r="1184" spans="1:73" s="73" customFormat="1" ht="15" customHeight="1">
      <c r="A1184" s="143"/>
      <c r="B1184" s="143"/>
      <c r="C1184" s="170"/>
      <c r="D1184" s="170" t="s">
        <v>2250</v>
      </c>
      <c r="E1184" s="115" t="s">
        <v>425</v>
      </c>
      <c r="F1184" s="143"/>
      <c r="G1184" s="76" t="s">
        <v>324</v>
      </c>
      <c r="H1184" s="143"/>
      <c r="I1184" s="2123">
        <f>+IF(R1177&gt;=0.4,I1180,I1183)</f>
        <v>129.24999999999997</v>
      </c>
      <c r="J1184" s="2124"/>
      <c r="K1184" s="2124"/>
      <c r="L1184" s="143"/>
      <c r="M1184" s="143"/>
      <c r="N1184" s="143"/>
      <c r="O1184" s="143"/>
      <c r="P1184" s="143"/>
      <c r="Q1184" s="143"/>
      <c r="R1184" s="170"/>
      <c r="S1184" s="170"/>
      <c r="T1184" s="170"/>
      <c r="U1184" s="170"/>
      <c r="V1184" s="170"/>
      <c r="W1184" s="170"/>
      <c r="X1184" s="170"/>
      <c r="Y1184" s="1539"/>
      <c r="Z1184" s="170"/>
      <c r="AA1184" s="170"/>
      <c r="AC1184" s="143"/>
      <c r="AD1184" s="1561"/>
      <c r="AF1184" s="1561"/>
      <c r="AS1184" s="1628" t="str">
        <f>IF(J1164&lt;&gt;1,"Hide this row","")</f>
        <v>Hide this row</v>
      </c>
      <c r="AT1184" s="143"/>
      <c r="AU1184" s="143"/>
      <c r="AV1184" s="143"/>
      <c r="AW1184" s="143"/>
      <c r="AX1184" s="143"/>
      <c r="AY1184" s="143"/>
      <c r="AZ1184" s="143"/>
      <c r="BA1184" s="143"/>
      <c r="BB1184" s="143"/>
      <c r="BC1184" s="143"/>
      <c r="BD1184" s="143"/>
      <c r="BE1184" s="143"/>
      <c r="BF1184" s="143"/>
      <c r="BG1184" s="143"/>
      <c r="BH1184" s="143"/>
      <c r="BI1184" s="143"/>
      <c r="BJ1184" s="143"/>
      <c r="BK1184" s="143"/>
      <c r="BL1184" s="143"/>
      <c r="BM1184" s="143"/>
      <c r="BN1184" s="143"/>
      <c r="BO1184" s="143"/>
      <c r="BP1184" s="143"/>
      <c r="BQ1184" s="143"/>
      <c r="BR1184" s="143"/>
      <c r="BS1184" s="143"/>
      <c r="BT1184" s="143"/>
      <c r="BU1184" s="143"/>
    </row>
    <row r="1185" spans="1:73" s="73" customFormat="1" ht="15" customHeight="1">
      <c r="A1185" s="143"/>
      <c r="B1185" s="143"/>
      <c r="C1185" s="170" t="s">
        <v>2250</v>
      </c>
      <c r="D1185" s="138"/>
      <c r="E1185" s="170"/>
      <c r="F1185" s="143"/>
      <c r="G1185" s="143"/>
      <c r="H1185" s="143"/>
      <c r="I1185" s="143"/>
      <c r="J1185" s="143"/>
      <c r="K1185" s="143"/>
      <c r="L1185" s="143"/>
      <c r="M1185" s="143"/>
      <c r="N1185" s="143"/>
      <c r="O1185" s="143"/>
      <c r="P1185" s="143"/>
      <c r="Q1185" s="143"/>
      <c r="R1185" s="170"/>
      <c r="S1185" s="170"/>
      <c r="T1185" s="170"/>
      <c r="U1185" s="170"/>
      <c r="V1185" s="170"/>
      <c r="W1185" s="170"/>
      <c r="X1185" s="170"/>
      <c r="Y1185" s="1539"/>
      <c r="Z1185" s="170"/>
      <c r="AA1185" s="170"/>
      <c r="AC1185" s="143"/>
      <c r="AD1185" s="1561"/>
      <c r="AF1185" s="1561"/>
      <c r="AS1185" s="1628" t="str">
        <f>IF(J1164&lt;&gt;2,"Hide this row","")</f>
        <v/>
      </c>
      <c r="AT1185" s="143"/>
      <c r="AU1185" s="143"/>
      <c r="AV1185" s="143"/>
      <c r="AW1185" s="143"/>
      <c r="AX1185" s="143"/>
      <c r="AY1185" s="143"/>
      <c r="AZ1185" s="143"/>
      <c r="BA1185" s="143"/>
      <c r="BB1185" s="143"/>
      <c r="BC1185" s="143"/>
      <c r="BD1185" s="143"/>
      <c r="BE1185" s="143"/>
      <c r="BF1185" s="143"/>
      <c r="BG1185" s="143"/>
      <c r="BH1185" s="143"/>
      <c r="BI1185" s="143"/>
      <c r="BJ1185" s="143"/>
      <c r="BK1185" s="143"/>
      <c r="BL1185" s="143"/>
      <c r="BM1185" s="143"/>
      <c r="BN1185" s="143"/>
      <c r="BO1185" s="143"/>
      <c r="BP1185" s="143"/>
      <c r="BQ1185" s="143"/>
      <c r="BR1185" s="143"/>
      <c r="BS1185" s="143"/>
      <c r="BT1185" s="143"/>
      <c r="BU1185" s="143"/>
    </row>
    <row r="1186" spans="1:73" s="73" customFormat="1" ht="15" customHeight="1">
      <c r="A1186" s="143"/>
      <c r="B1186" s="143"/>
      <c r="C1186" s="334" t="s">
        <v>2226</v>
      </c>
      <c r="D1186" s="138"/>
      <c r="E1186" s="170"/>
      <c r="F1186" s="143"/>
      <c r="G1186" s="143"/>
      <c r="H1186" s="143"/>
      <c r="I1186" s="143"/>
      <c r="J1186" s="143"/>
      <c r="K1186" s="143"/>
      <c r="L1186" s="143"/>
      <c r="M1186" s="143"/>
      <c r="N1186" s="143"/>
      <c r="O1186" s="143"/>
      <c r="P1186" s="143"/>
      <c r="Q1186" s="143"/>
      <c r="R1186" s="170"/>
      <c r="S1186" s="170"/>
      <c r="T1186" s="170"/>
      <c r="U1186" s="170"/>
      <c r="V1186" s="170"/>
      <c r="W1186" s="170"/>
      <c r="X1186" s="170"/>
      <c r="Y1186" s="1539"/>
      <c r="Z1186" s="170"/>
      <c r="AA1186" s="170"/>
      <c r="AC1186" s="143"/>
      <c r="AD1186" s="1561"/>
      <c r="AF1186" s="1561"/>
      <c r="AS1186" s="1628" t="str">
        <f>IF(J1164&lt;&gt;2,"Hide this row","")</f>
        <v/>
      </c>
      <c r="AT1186" s="143"/>
      <c r="AU1186" s="143"/>
      <c r="AV1186" s="143"/>
      <c r="AW1186" s="143"/>
      <c r="AX1186" s="143"/>
      <c r="AY1186" s="143"/>
      <c r="AZ1186" s="143"/>
      <c r="BA1186" s="143"/>
      <c r="BB1186" s="143"/>
      <c r="BC1186" s="143"/>
      <c r="BD1186" s="143"/>
      <c r="BE1186" s="143"/>
      <c r="BF1186" s="143"/>
      <c r="BG1186" s="143"/>
      <c r="BH1186" s="143"/>
      <c r="BI1186" s="143"/>
      <c r="BJ1186" s="143"/>
      <c r="BK1186" s="143"/>
      <c r="BL1186" s="143"/>
      <c r="BM1186" s="143"/>
      <c r="BN1186" s="143"/>
      <c r="BO1186" s="143"/>
      <c r="BP1186" s="143"/>
      <c r="BQ1186" s="143"/>
      <c r="BR1186" s="143"/>
      <c r="BS1186" s="143"/>
      <c r="BT1186" s="143"/>
      <c r="BU1186" s="143"/>
    </row>
    <row r="1187" spans="1:73" s="73" customFormat="1" ht="15" customHeight="1">
      <c r="A1187" s="143"/>
      <c r="B1187" s="143"/>
      <c r="C1187" s="334" t="s">
        <v>2227</v>
      </c>
      <c r="D1187" s="138"/>
      <c r="E1187" s="170"/>
      <c r="F1187" s="143"/>
      <c r="G1187" s="143"/>
      <c r="H1187" s="143"/>
      <c r="I1187" s="143"/>
      <c r="J1187" s="143"/>
      <c r="K1187" s="143"/>
      <c r="L1187" s="143"/>
      <c r="M1187" s="143"/>
      <c r="N1187" s="143"/>
      <c r="O1187" s="143"/>
      <c r="P1187" s="143"/>
      <c r="Q1187" s="143"/>
      <c r="R1187" s="170"/>
      <c r="S1187" s="170"/>
      <c r="T1187" s="170"/>
      <c r="U1187" s="170"/>
      <c r="V1187" s="170"/>
      <c r="W1187" s="170"/>
      <c r="X1187" s="170"/>
      <c r="Y1187" s="1539"/>
      <c r="Z1187" s="170"/>
      <c r="AA1187" s="170"/>
      <c r="AC1187" s="143"/>
      <c r="AD1187" s="1561"/>
      <c r="AF1187" s="1561"/>
      <c r="AS1187" s="1628" t="str">
        <f>IF(J1164&lt;&gt;2,"Hide this row","")</f>
        <v/>
      </c>
      <c r="AT1187" s="143"/>
      <c r="AU1187" s="143"/>
      <c r="AV1187" s="143"/>
      <c r="AW1187" s="143"/>
      <c r="AX1187" s="143"/>
      <c r="AY1187" s="143"/>
      <c r="AZ1187" s="143"/>
      <c r="BA1187" s="143"/>
      <c r="BB1187" s="143"/>
      <c r="BC1187" s="143"/>
      <c r="BD1187" s="143"/>
      <c r="BE1187" s="143"/>
      <c r="BF1187" s="143"/>
      <c r="BG1187" s="143"/>
      <c r="BH1187" s="143"/>
      <c r="BI1187" s="143"/>
      <c r="BJ1187" s="143"/>
      <c r="BK1187" s="143"/>
      <c r="BL1187" s="143"/>
      <c r="BM1187" s="143"/>
      <c r="BN1187" s="143"/>
      <c r="BO1187" s="143"/>
      <c r="BP1187" s="143"/>
      <c r="BQ1187" s="143"/>
      <c r="BR1187" s="143"/>
      <c r="BS1187" s="143"/>
      <c r="BT1187" s="143"/>
      <c r="BU1187" s="143"/>
    </row>
    <row r="1188" spans="1:73" s="73" customFormat="1" ht="20.100000000000001" customHeight="1">
      <c r="A1188" s="170"/>
      <c r="B1188" s="170"/>
      <c r="C1188" s="1120" t="s">
        <v>134</v>
      </c>
      <c r="D1188" s="1120"/>
      <c r="E1188" s="1120"/>
      <c r="F1188" s="1120"/>
      <c r="G1188" s="1120"/>
      <c r="H1188" s="1120"/>
      <c r="I1188" s="1120"/>
      <c r="J1188" s="1120"/>
      <c r="K1188" s="1120"/>
      <c r="L1188" s="1120"/>
      <c r="M1188" s="1120"/>
      <c r="N1188" s="1120"/>
      <c r="O1188" s="1120"/>
      <c r="P1188" s="1120"/>
      <c r="Q1188" s="1120"/>
      <c r="R1188" s="1120" t="s">
        <v>129</v>
      </c>
      <c r="S1188" s="1120"/>
      <c r="T1188" s="1120"/>
      <c r="U1188" s="1120"/>
      <c r="V1188" s="1120"/>
      <c r="W1188" s="1120"/>
      <c r="X1188" s="1120"/>
      <c r="Y1188" s="1120"/>
      <c r="Z1188" s="1120"/>
      <c r="AA1188" s="1120"/>
      <c r="AB1188" s="1120"/>
      <c r="AC1188" s="1120"/>
      <c r="AS1188" s="1628" t="str">
        <f>IF(J1164&lt;&gt;2,"Hide this row","")</f>
        <v/>
      </c>
      <c r="AT1188" s="143"/>
      <c r="AU1188" s="143"/>
      <c r="AV1188" s="143"/>
      <c r="AW1188" s="143"/>
      <c r="AX1188" s="143"/>
      <c r="AY1188" s="143"/>
      <c r="AZ1188" s="143"/>
      <c r="BA1188" s="143"/>
      <c r="BB1188" s="143"/>
      <c r="BC1188" s="143"/>
      <c r="BD1188" s="143"/>
      <c r="BE1188" s="143"/>
      <c r="BF1188" s="143"/>
      <c r="BG1188" s="143"/>
      <c r="BH1188" s="143"/>
      <c r="BI1188" s="143"/>
      <c r="BJ1188" s="143"/>
      <c r="BK1188" s="143"/>
      <c r="BL1188" s="143"/>
      <c r="BM1188" s="143"/>
      <c r="BN1188" s="143"/>
      <c r="BO1188" s="143"/>
      <c r="BP1188" s="143"/>
      <c r="BQ1188" s="143"/>
      <c r="BR1188" s="143"/>
      <c r="BS1188" s="143"/>
      <c r="BT1188" s="143"/>
      <c r="BU1188" s="143"/>
    </row>
    <row r="1189" spans="1:73" s="73" customFormat="1" ht="20.100000000000001" customHeight="1">
      <c r="A1189" s="170"/>
      <c r="B1189" s="170"/>
      <c r="C1189" s="1125" t="s">
        <v>2243</v>
      </c>
      <c r="D1189" s="170"/>
      <c r="G1189" s="122"/>
      <c r="H1189" s="122" t="s">
        <v>2228</v>
      </c>
      <c r="I1189" s="122"/>
      <c r="J1189" s="122"/>
      <c r="K1189" s="122"/>
      <c r="L1189" s="122"/>
      <c r="M1189" s="122"/>
      <c r="N1189" s="122"/>
      <c r="O1189" s="122"/>
      <c r="P1189" s="122"/>
      <c r="Q1189" s="122"/>
      <c r="R1189" s="53" t="s">
        <v>2242</v>
      </c>
      <c r="S1189" s="53"/>
      <c r="T1189" s="122"/>
      <c r="U1189" s="122"/>
      <c r="V1189" s="122"/>
      <c r="W1189" s="122"/>
      <c r="X1189" s="122"/>
      <c r="Y1189" s="122"/>
      <c r="Z1189" s="122"/>
      <c r="AA1189" s="122"/>
      <c r="AB1189" s="122"/>
      <c r="AC1189" s="122"/>
      <c r="AS1189" s="1628" t="str">
        <f>IF(J1164&lt;&gt;2,"Hide this row","")</f>
        <v/>
      </c>
      <c r="AT1189" s="143"/>
      <c r="AU1189" s="143"/>
      <c r="AV1189" s="143"/>
      <c r="AW1189" s="143"/>
      <c r="AX1189" s="143"/>
      <c r="AY1189" s="143"/>
      <c r="AZ1189" s="143"/>
      <c r="BA1189" s="143"/>
      <c r="BB1189" s="143"/>
      <c r="BC1189" s="143"/>
      <c r="BD1189" s="143"/>
      <c r="BE1189" s="143"/>
      <c r="BF1189" s="143"/>
      <c r="BG1189" s="143"/>
      <c r="BH1189" s="143"/>
      <c r="BI1189" s="143"/>
      <c r="BJ1189" s="143"/>
      <c r="BK1189" s="143"/>
      <c r="BL1189" s="143"/>
      <c r="BM1189" s="143"/>
      <c r="BN1189" s="143"/>
      <c r="BO1189" s="143"/>
      <c r="BP1189" s="143"/>
      <c r="BQ1189" s="143"/>
      <c r="BR1189" s="143"/>
      <c r="BS1189" s="143"/>
      <c r="BT1189" s="143"/>
      <c r="BU1189" s="143"/>
    </row>
    <row r="1190" spans="1:73" s="73" customFormat="1" ht="20.100000000000001" customHeight="1">
      <c r="A1190" s="170"/>
      <c r="B1190" s="170"/>
      <c r="C1190" s="118"/>
      <c r="D1190" s="118"/>
      <c r="E1190" s="118"/>
      <c r="F1190" s="118"/>
      <c r="G1190" s="380"/>
      <c r="H1190" s="380" t="s">
        <v>2229</v>
      </c>
      <c r="I1190" s="380"/>
      <c r="J1190" s="380"/>
      <c r="K1190" s="380"/>
      <c r="L1190" s="380"/>
      <c r="M1190" s="380"/>
      <c r="N1190" s="380"/>
      <c r="O1190" s="380"/>
      <c r="P1190" s="380"/>
      <c r="Q1190" s="380"/>
      <c r="R1190" s="1124" t="s">
        <v>2230</v>
      </c>
      <c r="S1190" s="380"/>
      <c r="T1190" s="380"/>
      <c r="U1190" s="380"/>
      <c r="V1190" s="380"/>
      <c r="W1190" s="380"/>
      <c r="X1190" s="380"/>
      <c r="Y1190" s="380"/>
      <c r="Z1190" s="380"/>
      <c r="AA1190" s="380"/>
      <c r="AB1190" s="380"/>
      <c r="AC1190" s="380"/>
      <c r="AS1190" s="1628" t="str">
        <f>IF(J1164&lt;&gt;2,"Hide this row","")</f>
        <v/>
      </c>
      <c r="AT1190" s="143"/>
      <c r="AU1190" s="143"/>
      <c r="AV1190" s="143"/>
      <c r="AW1190" s="143"/>
      <c r="AX1190" s="143"/>
      <c r="AY1190" s="143"/>
      <c r="AZ1190" s="143"/>
      <c r="BA1190" s="143"/>
      <c r="BB1190" s="143"/>
      <c r="BC1190" s="143"/>
      <c r="BD1190" s="143"/>
      <c r="BE1190" s="143"/>
      <c r="BF1190" s="143"/>
      <c r="BG1190" s="143"/>
      <c r="BH1190" s="143"/>
      <c r="BI1190" s="143"/>
      <c r="BJ1190" s="143"/>
      <c r="BK1190" s="143"/>
      <c r="BL1190" s="143"/>
      <c r="BM1190" s="143"/>
      <c r="BN1190" s="143"/>
      <c r="BO1190" s="143"/>
      <c r="BP1190" s="143"/>
      <c r="BQ1190" s="143"/>
      <c r="BR1190" s="143"/>
      <c r="BS1190" s="143"/>
      <c r="BT1190" s="143"/>
      <c r="BU1190" s="143"/>
    </row>
    <row r="1191" spans="1:73" s="73" customFormat="1" ht="20.100000000000001" customHeight="1">
      <c r="A1191" s="170"/>
      <c r="B1191" s="170"/>
      <c r="C1191" s="669" t="s">
        <v>2244</v>
      </c>
      <c r="D1191" s="149"/>
      <c r="E1191" s="149"/>
      <c r="F1191" s="149"/>
      <c r="G1191" s="149"/>
      <c r="H1191" s="149"/>
      <c r="I1191" s="149"/>
      <c r="J1191" s="149"/>
      <c r="K1191" s="149"/>
      <c r="L1191" s="149"/>
      <c r="M1191" s="149"/>
      <c r="N1191" s="149"/>
      <c r="O1191" s="149"/>
      <c r="P1191" s="149"/>
      <c r="Q1191" s="149"/>
      <c r="R1191" s="1121" t="s">
        <v>2245</v>
      </c>
      <c r="S1191" s="149"/>
      <c r="T1191" s="149"/>
      <c r="U1191" s="149"/>
      <c r="V1191" s="149"/>
      <c r="W1191" s="149"/>
      <c r="X1191" s="149"/>
      <c r="Y1191" s="149"/>
      <c r="Z1191" s="149"/>
      <c r="AA1191" s="149"/>
      <c r="AB1191" s="149"/>
      <c r="AC1191" s="149"/>
      <c r="AS1191" s="1628" t="str">
        <f>IF(J1164&lt;&gt;2,"Hide this row","")</f>
        <v/>
      </c>
      <c r="AT1191" s="143"/>
      <c r="AU1191" s="143"/>
      <c r="AV1191" s="143"/>
      <c r="AW1191" s="143"/>
      <c r="AX1191" s="143"/>
      <c r="AY1191" s="143"/>
      <c r="AZ1191" s="143"/>
      <c r="BA1191" s="143"/>
      <c r="BB1191" s="143"/>
      <c r="BC1191" s="143"/>
      <c r="BD1191" s="143"/>
      <c r="BE1191" s="143"/>
      <c r="BF1191" s="143"/>
      <c r="BG1191" s="143"/>
      <c r="BH1191" s="143"/>
      <c r="BI1191" s="143"/>
      <c r="BJ1191" s="143"/>
      <c r="BK1191" s="143"/>
      <c r="BL1191" s="143"/>
      <c r="BM1191" s="143"/>
      <c r="BN1191" s="143"/>
      <c r="BO1191" s="143"/>
      <c r="BP1191" s="143"/>
      <c r="BQ1191" s="143"/>
      <c r="BR1191" s="143"/>
      <c r="BS1191" s="143"/>
      <c r="BT1191" s="143"/>
      <c r="BU1191" s="143"/>
    </row>
    <row r="1192" spans="1:73" s="73" customFormat="1" ht="15" customHeight="1">
      <c r="A1192" s="143"/>
      <c r="B1192" s="143"/>
      <c r="C1192" s="334"/>
      <c r="D1192" s="138"/>
      <c r="E1192" s="170"/>
      <c r="F1192" s="143"/>
      <c r="G1192" s="143"/>
      <c r="H1192" s="143"/>
      <c r="I1192" s="143"/>
      <c r="J1192" s="143"/>
      <c r="K1192" s="143"/>
      <c r="L1192" s="143"/>
      <c r="M1192" s="143"/>
      <c r="N1192" s="143"/>
      <c r="O1192" s="143"/>
      <c r="P1192" s="143"/>
      <c r="Q1192" s="143"/>
      <c r="R1192" s="170"/>
      <c r="S1192" s="170"/>
      <c r="T1192" s="170"/>
      <c r="U1192" s="170"/>
      <c r="V1192" s="170"/>
      <c r="W1192" s="170"/>
      <c r="X1192" s="170"/>
      <c r="Y1192" s="1539"/>
      <c r="Z1192" s="170"/>
      <c r="AA1192" s="170"/>
      <c r="AC1192" s="143"/>
      <c r="AD1192" s="1561"/>
      <c r="AF1192" s="1561"/>
      <c r="AS1192" s="1628" t="str">
        <f>IF(J1164&lt;&gt;2,"Hide this row","")</f>
        <v/>
      </c>
      <c r="AT1192" s="143"/>
      <c r="AU1192" s="143"/>
      <c r="AV1192" s="143"/>
      <c r="AW1192" s="143"/>
      <c r="AX1192" s="143"/>
      <c r="AY1192" s="143"/>
      <c r="AZ1192" s="143"/>
      <c r="BA1192" s="143"/>
      <c r="BB1192" s="143"/>
      <c r="BC1192" s="143"/>
      <c r="BD1192" s="143"/>
      <c r="BE1192" s="143"/>
      <c r="BF1192" s="143"/>
      <c r="BG1192" s="143"/>
      <c r="BH1192" s="143"/>
      <c r="BI1192" s="143"/>
      <c r="BJ1192" s="143"/>
      <c r="BK1192" s="143"/>
      <c r="BL1192" s="143"/>
      <c r="BM1192" s="143"/>
      <c r="BN1192" s="143"/>
      <c r="BO1192" s="143"/>
      <c r="BP1192" s="143"/>
      <c r="BQ1192" s="143"/>
      <c r="BR1192" s="143"/>
      <c r="BS1192" s="143"/>
      <c r="BT1192" s="143"/>
      <c r="BU1192" s="143"/>
    </row>
    <row r="1193" spans="1:73" s="73" customFormat="1" ht="15" customHeight="1">
      <c r="A1193" s="143"/>
      <c r="B1193" s="143"/>
      <c r="C1193" s="334"/>
      <c r="D1193" s="138"/>
      <c r="E1193" s="115" t="s">
        <v>2240</v>
      </c>
      <c r="F1193" s="170"/>
      <c r="G1193" s="76" t="s">
        <v>324</v>
      </c>
      <c r="H1193" s="170"/>
      <c r="I1193" s="1579" t="s">
        <v>2840</v>
      </c>
      <c r="J1193" s="1561"/>
      <c r="K1193" s="1561"/>
      <c r="L1193" s="76"/>
      <c r="M1193" s="1539"/>
      <c r="O1193" s="2094">
        <f>+AE456</f>
        <v>3200</v>
      </c>
      <c r="P1193" s="1862"/>
      <c r="Q1193" s="1862"/>
      <c r="R1193" s="76" t="s">
        <v>324</v>
      </c>
      <c r="S1193" s="1862">
        <f>0.25*O1193</f>
        <v>800</v>
      </c>
      <c r="T1193" s="1862"/>
      <c r="U1193" s="1862"/>
      <c r="V1193" s="143" t="s">
        <v>999</v>
      </c>
      <c r="W1193" s="143"/>
      <c r="X1193" s="170"/>
      <c r="Y1193" s="1539"/>
      <c r="Z1193" s="170"/>
      <c r="AA1193" s="170"/>
      <c r="AC1193" s="143"/>
      <c r="AD1193" s="1561"/>
      <c r="AF1193" s="1561"/>
      <c r="AS1193" s="1628" t="str">
        <f>IF(J1164&lt;&gt;2,"Hide this row","")</f>
        <v/>
      </c>
      <c r="AT1193" s="143"/>
      <c r="AU1193" s="143"/>
      <c r="AV1193" s="143"/>
      <c r="AW1193" s="143"/>
      <c r="AX1193" s="143"/>
      <c r="AY1193" s="143"/>
      <c r="AZ1193" s="143"/>
      <c r="BA1193" s="143"/>
      <c r="BB1193" s="143"/>
      <c r="BC1193" s="143"/>
      <c r="BD1193" s="143"/>
      <c r="BE1193" s="143"/>
      <c r="BF1193" s="143"/>
      <c r="BG1193" s="143"/>
      <c r="BH1193" s="143"/>
      <c r="BI1193" s="143"/>
      <c r="BJ1193" s="143"/>
      <c r="BK1193" s="143"/>
      <c r="BL1193" s="143"/>
      <c r="BM1193" s="143"/>
      <c r="BN1193" s="143"/>
      <c r="BO1193" s="143"/>
      <c r="BP1193" s="143"/>
      <c r="BQ1193" s="143"/>
      <c r="BR1193" s="143"/>
      <c r="BS1193" s="143"/>
      <c r="BT1193" s="143"/>
      <c r="BU1193" s="143"/>
    </row>
    <row r="1194" spans="1:73" s="73" customFormat="1" ht="15" customHeight="1">
      <c r="A1194" s="143"/>
      <c r="B1194" s="143"/>
      <c r="C1194" s="334"/>
      <c r="D1194" s="138"/>
      <c r="E1194" s="1122" t="s">
        <v>2234</v>
      </c>
      <c r="F1194" s="143"/>
      <c r="G1194" s="138" t="s">
        <v>324</v>
      </c>
      <c r="H1194" s="143"/>
      <c r="I1194" s="170" t="s">
        <v>2236</v>
      </c>
      <c r="J1194" s="143"/>
      <c r="K1194" s="143"/>
      <c r="L1194" s="143"/>
      <c r="M1194" s="143"/>
      <c r="N1194" s="143"/>
      <c r="W1194" s="170"/>
      <c r="X1194" s="170"/>
      <c r="Y1194" s="1539"/>
      <c r="Z1194" s="170"/>
      <c r="AA1194" s="170"/>
      <c r="AC1194" s="143"/>
      <c r="AD1194" s="1561"/>
      <c r="AF1194" s="1561"/>
      <c r="AS1194" s="1628" t="str">
        <f>IF(J1164&lt;&gt;2,"Hide this row","")</f>
        <v/>
      </c>
      <c r="AT1194" s="143"/>
      <c r="AU1194" s="143"/>
      <c r="AV1194" s="143"/>
      <c r="AW1194" s="143"/>
      <c r="AX1194" s="143"/>
      <c r="AY1194" s="143"/>
      <c r="AZ1194" s="143"/>
      <c r="BA1194" s="143"/>
      <c r="BB1194" s="143"/>
      <c r="BC1194" s="143"/>
      <c r="BD1194" s="143"/>
      <c r="BE1194" s="143"/>
      <c r="BF1194" s="143"/>
      <c r="BG1194" s="143"/>
      <c r="BH1194" s="143"/>
      <c r="BI1194" s="143"/>
      <c r="BJ1194" s="143"/>
      <c r="BK1194" s="143"/>
      <c r="BL1194" s="143"/>
      <c r="BM1194" s="143"/>
      <c r="BN1194" s="143"/>
      <c r="BO1194" s="143"/>
      <c r="BP1194" s="143"/>
      <c r="BQ1194" s="143"/>
      <c r="BR1194" s="143"/>
      <c r="BS1194" s="143"/>
      <c r="BT1194" s="143"/>
      <c r="BU1194" s="143"/>
    </row>
    <row r="1195" spans="1:73" s="73" customFormat="1" ht="15" customHeight="1">
      <c r="A1195" s="143"/>
      <c r="B1195" s="143"/>
      <c r="C1195" s="170"/>
      <c r="D1195" s="138"/>
      <c r="E1195" s="170"/>
      <c r="F1195" s="143"/>
      <c r="G1195" s="138" t="s">
        <v>324</v>
      </c>
      <c r="H1195" s="143"/>
      <c r="I1195" s="2097">
        <f>+ MAX(X964,X967)</f>
        <v>148.26948555692721</v>
      </c>
      <c r="J1195" s="1938"/>
      <c r="K1195" s="1938"/>
      <c r="L1195" s="138" t="s">
        <v>2490</v>
      </c>
      <c r="M1195" s="2097">
        <f>+MIN(X964,X967)</f>
        <v>-141.64342527974489</v>
      </c>
      <c r="N1195" s="1938"/>
      <c r="O1195" s="1938"/>
      <c r="P1195" s="143"/>
      <c r="Q1195" s="143"/>
      <c r="R1195" s="124" t="s">
        <v>324</v>
      </c>
      <c r="S1195" s="1862">
        <f>+I1195/M1195</f>
        <v>-1.046779864749076</v>
      </c>
      <c r="T1195" s="1862"/>
      <c r="U1195" s="1862"/>
      <c r="V1195" s="170"/>
      <c r="W1195" s="170" t="str">
        <f>IF(S1195&gt;=-1, "&gt;  -1.0","&lt;   -1.0")</f>
        <v>&lt;   -1.0</v>
      </c>
      <c r="X1195" s="170"/>
      <c r="Y1195" s="1539"/>
      <c r="Z1195" s="170"/>
      <c r="AA1195" s="170"/>
      <c r="AC1195" s="143"/>
      <c r="AD1195" s="1561"/>
      <c r="AF1195" s="1561"/>
      <c r="AS1195" s="1628" t="str">
        <f>IF(J1164&lt;&gt;2,"Hide this row","")</f>
        <v/>
      </c>
      <c r="AT1195" s="143"/>
      <c r="AU1195" s="143"/>
      <c r="AV1195" s="143"/>
      <c r="AW1195" s="143"/>
      <c r="AX1195" s="143"/>
      <c r="AY1195" s="143"/>
      <c r="AZ1195" s="143"/>
      <c r="BA1195" s="143"/>
      <c r="BB1195" s="143"/>
      <c r="BC1195" s="143"/>
      <c r="BD1195" s="143"/>
      <c r="BE1195" s="143"/>
      <c r="BF1195" s="143"/>
      <c r="BG1195" s="143"/>
      <c r="BH1195" s="143"/>
      <c r="BI1195" s="143"/>
      <c r="BJ1195" s="143"/>
      <c r="BK1195" s="143"/>
      <c r="BL1195" s="143"/>
      <c r="BM1195" s="143"/>
      <c r="BN1195" s="143"/>
      <c r="BO1195" s="143"/>
      <c r="BP1195" s="143"/>
      <c r="BQ1195" s="143"/>
      <c r="BR1195" s="143"/>
      <c r="BS1195" s="143"/>
      <c r="BT1195" s="143"/>
      <c r="BU1195" s="143"/>
    </row>
    <row r="1196" spans="1:73" s="73" customFormat="1" ht="15" customHeight="1">
      <c r="A1196" s="143"/>
      <c r="B1196" s="143"/>
      <c r="C1196" s="334"/>
      <c r="D1196" s="138" t="s">
        <v>2842</v>
      </c>
      <c r="E1196" s="170"/>
      <c r="F1196" s="143"/>
      <c r="G1196" s="138" t="s">
        <v>324</v>
      </c>
      <c r="H1196" s="143"/>
      <c r="I1196" s="1938">
        <f>+S1193/Q1158</f>
        <v>0.62105251534749073</v>
      </c>
      <c r="J1196" s="1938"/>
      <c r="K1196" s="1938"/>
      <c r="L1196" s="143"/>
      <c r="M1196" s="170" t="str">
        <f>IF(I1196&gt;=0.4, "&gt;  0.4","&lt;   0.4")</f>
        <v>&gt;  0.4</v>
      </c>
      <c r="N1196" s="170"/>
      <c r="O1196" s="1539"/>
      <c r="P1196" s="143"/>
      <c r="Q1196" s="143"/>
      <c r="R1196" s="170"/>
      <c r="S1196" s="170"/>
      <c r="T1196" s="170"/>
      <c r="U1196" s="170"/>
      <c r="V1196" s="170"/>
      <c r="W1196" s="170"/>
      <c r="X1196" s="170"/>
      <c r="Y1196" s="1539"/>
      <c r="Z1196" s="170"/>
      <c r="AA1196" s="170"/>
      <c r="AC1196" s="143"/>
      <c r="AD1196" s="1561"/>
      <c r="AF1196" s="1561"/>
      <c r="AS1196" s="1628" t="str">
        <f>IF(J1164&lt;&gt;2,"Hide this row",IF(S1195&lt;-1,"Hide this row",""))</f>
        <v>Hide this row</v>
      </c>
      <c r="AT1196" s="143"/>
      <c r="AU1196" s="143"/>
      <c r="AV1196" s="143"/>
      <c r="AW1196" s="143"/>
      <c r="AX1196" s="143"/>
      <c r="AY1196" s="143"/>
      <c r="AZ1196" s="143"/>
      <c r="BA1196" s="143"/>
      <c r="BB1196" s="143"/>
      <c r="BC1196" s="143"/>
      <c r="BD1196" s="143"/>
      <c r="BE1196" s="143"/>
      <c r="BF1196" s="143"/>
      <c r="BG1196" s="143"/>
      <c r="BH1196" s="143"/>
      <c r="BI1196" s="143"/>
      <c r="BJ1196" s="143"/>
      <c r="BK1196" s="143"/>
      <c r="BL1196" s="143"/>
      <c r="BM1196" s="143"/>
      <c r="BN1196" s="143"/>
      <c r="BO1196" s="143"/>
      <c r="BP1196" s="143"/>
      <c r="BQ1196" s="143"/>
      <c r="BR1196" s="143"/>
      <c r="BS1196" s="143"/>
      <c r="BT1196" s="143"/>
      <c r="BU1196" s="143"/>
    </row>
    <row r="1197" spans="1:73" s="73" customFormat="1" ht="15" customHeight="1">
      <c r="A1197" s="143"/>
      <c r="B1197" s="143"/>
      <c r="C1197" s="334"/>
      <c r="D1197" s="138" t="s">
        <v>2462</v>
      </c>
      <c r="E1197" s="170" t="s">
        <v>425</v>
      </c>
      <c r="F1197" s="143"/>
      <c r="G1197" s="138" t="s">
        <v>324</v>
      </c>
      <c r="H1197" s="143"/>
      <c r="I1197" s="1570" t="s">
        <v>2843</v>
      </c>
      <c r="J1197" s="1547"/>
      <c r="K1197" s="1547"/>
      <c r="L1197" s="143"/>
      <c r="M1197" s="1862">
        <f>+S1193</f>
        <v>800</v>
      </c>
      <c r="N1197" s="1862"/>
      <c r="O1197" s="1862"/>
      <c r="P1197" s="138" t="s">
        <v>2490</v>
      </c>
      <c r="Q1197" s="1938">
        <f>+Q1158</f>
        <v>1288.1358342979815</v>
      </c>
      <c r="R1197" s="1938"/>
      <c r="S1197" s="1938"/>
      <c r="T1197" s="124" t="s">
        <v>2844</v>
      </c>
      <c r="U1197" s="170"/>
      <c r="V1197" s="170"/>
      <c r="W1197" s="170"/>
      <c r="X1197" s="170"/>
      <c r="Y1197" s="1862">
        <f>+S1195</f>
        <v>-1.046779864749076</v>
      </c>
      <c r="Z1197" s="1862"/>
      <c r="AA1197" s="1862"/>
      <c r="AB1197" s="76" t="s">
        <v>2845</v>
      </c>
      <c r="AC1197" s="143"/>
      <c r="AD1197" s="1561"/>
      <c r="AF1197" s="1561"/>
      <c r="AS1197" s="1628" t="str">
        <f>IF(J1164&lt;&gt;2,"Hide this row",IF(S1195&lt;-1,"Hide this row",IF(I1196&gt;=0.4,"Hide this row","")))</f>
        <v>Hide this row</v>
      </c>
      <c r="AT1197" s="143"/>
      <c r="AU1197" s="143"/>
      <c r="AV1197" s="143"/>
      <c r="AW1197" s="143"/>
      <c r="AX1197" s="143"/>
      <c r="AY1197" s="143"/>
      <c r="AZ1197" s="143"/>
      <c r="BA1197" s="143"/>
      <c r="BB1197" s="143"/>
      <c r="BC1197" s="143"/>
      <c r="BD1197" s="143"/>
      <c r="BE1197" s="143"/>
      <c r="BF1197" s="143"/>
      <c r="BG1197" s="143"/>
      <c r="BH1197" s="143"/>
      <c r="BI1197" s="143"/>
      <c r="BJ1197" s="143"/>
      <c r="BK1197" s="143"/>
      <c r="BL1197" s="143"/>
      <c r="BM1197" s="143"/>
      <c r="BN1197" s="143"/>
      <c r="BO1197" s="143"/>
      <c r="BP1197" s="143"/>
      <c r="BQ1197" s="143"/>
      <c r="BR1197" s="143"/>
      <c r="BS1197" s="143"/>
      <c r="BT1197" s="143"/>
      <c r="BU1197" s="143"/>
    </row>
    <row r="1198" spans="1:73" s="73" customFormat="1" ht="15" customHeight="1">
      <c r="A1198" s="143"/>
      <c r="B1198" s="143"/>
      <c r="G1198" s="138" t="s">
        <v>324</v>
      </c>
      <c r="I1198" s="2124">
        <f>247.8*(M1197/Q1197)^1.8  *(1-Y1197)^2.7</f>
        <v>727.15057889711295</v>
      </c>
      <c r="J1198" s="2124"/>
      <c r="K1198" s="2124"/>
      <c r="L1198" s="143"/>
      <c r="M1198" s="143"/>
      <c r="N1198" s="143"/>
      <c r="O1198" s="143"/>
      <c r="P1198" s="143"/>
      <c r="Q1198" s="143"/>
      <c r="R1198" s="170"/>
      <c r="S1198" s="170"/>
      <c r="T1198" s="170"/>
      <c r="U1198" s="170"/>
      <c r="V1198" s="170"/>
      <c r="W1198" s="170"/>
      <c r="X1198" s="170"/>
      <c r="Y1198" s="1539"/>
      <c r="Z1198" s="170"/>
      <c r="AA1198" s="170"/>
      <c r="AC1198" s="143"/>
      <c r="AD1198" s="1561"/>
      <c r="AF1198" s="1561"/>
      <c r="AS1198" s="1628" t="str">
        <f>IF(J1164&lt;&gt;2,"Hide this row",IF(S1195&lt;-1,"Hide this row",IF(I1196&gt;=0.4,"Hide this row","")))</f>
        <v>Hide this row</v>
      </c>
      <c r="AT1198" s="143"/>
      <c r="AU1198" s="143"/>
      <c r="AV1198" s="143"/>
      <c r="AW1198" s="143"/>
      <c r="AX1198" s="143"/>
      <c r="AY1198" s="143"/>
      <c r="AZ1198" s="143"/>
      <c r="BA1198" s="143"/>
      <c r="BB1198" s="143"/>
      <c r="BC1198" s="143"/>
      <c r="BD1198" s="143"/>
      <c r="BE1198" s="143"/>
      <c r="BF1198" s="143"/>
      <c r="BG1198" s="143"/>
      <c r="BH1198" s="143"/>
      <c r="BI1198" s="143"/>
      <c r="BJ1198" s="143"/>
      <c r="BK1198" s="143"/>
      <c r="BL1198" s="143"/>
      <c r="BM1198" s="143"/>
      <c r="BN1198" s="143"/>
      <c r="BO1198" s="143"/>
      <c r="BP1198" s="143"/>
      <c r="BQ1198" s="143"/>
      <c r="BR1198" s="143"/>
      <c r="BS1198" s="143"/>
      <c r="BT1198" s="143"/>
      <c r="BU1198" s="143"/>
    </row>
    <row r="1199" spans="1:73" s="73" customFormat="1" ht="15" customHeight="1">
      <c r="A1199" s="143"/>
      <c r="B1199" s="143"/>
      <c r="D1199" s="138" t="s">
        <v>2462</v>
      </c>
      <c r="E1199" s="170" t="s">
        <v>425</v>
      </c>
      <c r="F1199" s="143"/>
      <c r="G1199" s="138" t="s">
        <v>324</v>
      </c>
      <c r="H1199" s="143"/>
      <c r="I1199" s="1570" t="s">
        <v>2846</v>
      </c>
      <c r="J1199" s="1547"/>
      <c r="K1199" s="1547"/>
      <c r="L1199" s="1862">
        <f>+Q1158</f>
        <v>1288.1358342979815</v>
      </c>
      <c r="M1199" s="1862"/>
      <c r="N1199" s="1862"/>
      <c r="O1199" s="138" t="s">
        <v>2490</v>
      </c>
      <c r="P1199" s="1938">
        <f>+S1193</f>
        <v>800</v>
      </c>
      <c r="Q1199" s="1938"/>
      <c r="R1199" s="1938"/>
      <c r="S1199" s="124" t="s">
        <v>2847</v>
      </c>
      <c r="U1199" s="170"/>
      <c r="V1199" s="170"/>
      <c r="W1199" s="170"/>
      <c r="X1199" s="1862">
        <f>+S1195</f>
        <v>-1.046779864749076</v>
      </c>
      <c r="Y1199" s="1862"/>
      <c r="Z1199" s="1862"/>
      <c r="AA1199" s="76" t="s">
        <v>2845</v>
      </c>
      <c r="AC1199" s="143"/>
      <c r="AD1199" s="1561"/>
      <c r="AF1199" s="1561"/>
      <c r="AS1199" s="1628" t="str">
        <f>IF(J1164&lt;&gt;2,"Hide this row",IF(S1195&lt;-1,"Hide this row",IF(I1196&lt;0.4,"Hide this row","")))</f>
        <v>Hide this row</v>
      </c>
      <c r="AT1199" s="143"/>
      <c r="AU1199" s="143"/>
      <c r="AV1199" s="143"/>
      <c r="AW1199" s="143"/>
      <c r="AX1199" s="143"/>
      <c r="AY1199" s="143"/>
      <c r="AZ1199" s="143"/>
      <c r="BA1199" s="143"/>
      <c r="BB1199" s="143"/>
      <c r="BC1199" s="143"/>
      <c r="BD1199" s="143"/>
      <c r="BE1199" s="143"/>
      <c r="BF1199" s="143"/>
      <c r="BG1199" s="143"/>
      <c r="BH1199" s="143"/>
      <c r="BI1199" s="143"/>
      <c r="BJ1199" s="143"/>
      <c r="BK1199" s="143"/>
      <c r="BL1199" s="143"/>
      <c r="BM1199" s="143"/>
      <c r="BN1199" s="143"/>
      <c r="BO1199" s="143"/>
      <c r="BP1199" s="143"/>
      <c r="BQ1199" s="143"/>
      <c r="BR1199" s="143"/>
      <c r="BS1199" s="143"/>
      <c r="BT1199" s="143"/>
      <c r="BU1199" s="143"/>
    </row>
    <row r="1200" spans="1:73" s="73" customFormat="1" ht="15" customHeight="1">
      <c r="A1200" s="143"/>
      <c r="B1200" s="143"/>
      <c r="G1200" s="138" t="s">
        <v>324</v>
      </c>
      <c r="I1200" s="2124">
        <f>4.82*(L1199/P1199)^2.5  *(1-X1199)^2.7</f>
        <v>109.67768941744873</v>
      </c>
      <c r="J1200" s="2124"/>
      <c r="K1200" s="2124"/>
      <c r="L1200" s="143"/>
      <c r="P1200" s="143"/>
      <c r="T1200" s="170"/>
      <c r="U1200" s="170"/>
      <c r="V1200" s="170"/>
      <c r="W1200" s="170"/>
      <c r="X1200" s="170"/>
      <c r="AC1200" s="143"/>
      <c r="AD1200" s="1561"/>
      <c r="AF1200" s="1561"/>
      <c r="AS1200" s="1628" t="str">
        <f>IF(J1164&lt;&gt;2,"Hide this row",IF(S1195&lt;-1,"Hide this row",IF(I1196&lt;0.4,"Hide this row","")))</f>
        <v>Hide this row</v>
      </c>
      <c r="AT1200" s="143"/>
      <c r="AU1200" s="143"/>
      <c r="AV1200" s="143"/>
      <c r="AW1200" s="143"/>
      <c r="AX1200" s="143"/>
      <c r="AY1200" s="143"/>
      <c r="AZ1200" s="143"/>
      <c r="BA1200" s="143"/>
      <c r="BB1200" s="143"/>
      <c r="BC1200" s="143"/>
      <c r="BD1200" s="143"/>
      <c r="BE1200" s="143"/>
      <c r="BF1200" s="143"/>
      <c r="BG1200" s="143"/>
      <c r="BH1200" s="143"/>
      <c r="BI1200" s="143"/>
      <c r="BJ1200" s="143"/>
      <c r="BK1200" s="143"/>
      <c r="BL1200" s="143"/>
      <c r="BM1200" s="143"/>
      <c r="BN1200" s="143"/>
      <c r="BO1200" s="143"/>
      <c r="BP1200" s="143"/>
      <c r="BQ1200" s="143"/>
      <c r="BR1200" s="143"/>
      <c r="BS1200" s="143"/>
      <c r="BT1200" s="143"/>
      <c r="BU1200" s="143"/>
    </row>
    <row r="1201" spans="1:73" s="73" customFormat="1" ht="15" customHeight="1">
      <c r="A1201" s="143"/>
      <c r="B1201" s="143"/>
      <c r="D1201" s="138" t="s">
        <v>2462</v>
      </c>
      <c r="E1201" s="170" t="s">
        <v>425</v>
      </c>
      <c r="F1201" s="143"/>
      <c r="G1201" s="138" t="s">
        <v>324</v>
      </c>
      <c r="I1201" s="1579" t="s">
        <v>2848</v>
      </c>
      <c r="J1201" s="1579"/>
      <c r="K1201" s="1561"/>
      <c r="L1201" s="143"/>
      <c r="O1201" s="2111">
        <f>+S1195</f>
        <v>-1.046779864749076</v>
      </c>
      <c r="P1201" s="2111"/>
      <c r="Q1201" s="2111"/>
      <c r="R1201" s="76" t="s">
        <v>2849</v>
      </c>
      <c r="T1201" s="170"/>
      <c r="U1201" s="170"/>
      <c r="V1201" s="170"/>
      <c r="W1201" s="170"/>
      <c r="X1201" s="170"/>
      <c r="AC1201" s="143"/>
      <c r="AD1201" s="1561"/>
      <c r="AF1201" s="1561"/>
      <c r="AS1201" s="1628" t="str">
        <f>IF(J1164&lt;&gt;2,"Hide this row",IF(S1195&gt;=-1,"Hide this row",""))</f>
        <v/>
      </c>
      <c r="AT1201" s="143"/>
      <c r="AU1201" s="143"/>
      <c r="AV1201" s="143"/>
      <c r="AW1201" s="143"/>
      <c r="AX1201" s="143"/>
      <c r="AY1201" s="143"/>
      <c r="AZ1201" s="143"/>
      <c r="BA1201" s="143"/>
      <c r="BB1201" s="143"/>
      <c r="BC1201" s="143"/>
      <c r="BD1201" s="143"/>
      <c r="BE1201" s="143"/>
      <c r="BF1201" s="143"/>
      <c r="BG1201" s="143"/>
      <c r="BH1201" s="143"/>
      <c r="BI1201" s="143"/>
      <c r="BJ1201" s="143"/>
      <c r="BK1201" s="143"/>
      <c r="BL1201" s="143"/>
      <c r="BM1201" s="143"/>
      <c r="BN1201" s="143"/>
      <c r="BO1201" s="143"/>
      <c r="BP1201" s="143"/>
      <c r="BQ1201" s="143"/>
      <c r="BR1201" s="143"/>
      <c r="BS1201" s="143"/>
      <c r="BT1201" s="143"/>
      <c r="BU1201" s="143"/>
    </row>
    <row r="1202" spans="1:73" s="73" customFormat="1" ht="15" customHeight="1">
      <c r="A1202" s="143"/>
      <c r="B1202" s="143"/>
      <c r="G1202" s="138" t="s">
        <v>324</v>
      </c>
      <c r="I1202" s="2124">
        <f>247.8  *(1-O1201)^0.32</f>
        <v>311.6334484870253</v>
      </c>
      <c r="J1202" s="2124"/>
      <c r="K1202" s="2124"/>
      <c r="L1202" s="143"/>
      <c r="P1202" s="143"/>
      <c r="T1202" s="170"/>
      <c r="U1202" s="170"/>
      <c r="V1202" s="170"/>
      <c r="W1202" s="170"/>
      <c r="X1202" s="170"/>
      <c r="AC1202" s="143"/>
      <c r="AD1202" s="1561"/>
      <c r="AF1202" s="1561"/>
      <c r="AS1202" s="1628" t="str">
        <f>IF(J1164&lt;&gt;2,"Hide this row",IF(S1195&gt;=-1,"Hide this row",""))</f>
        <v/>
      </c>
      <c r="AT1202" s="143"/>
      <c r="AU1202" s="143"/>
      <c r="AV1202" s="143"/>
      <c r="AW1202" s="143"/>
      <c r="AX1202" s="143"/>
      <c r="AY1202" s="143"/>
      <c r="AZ1202" s="143"/>
      <c r="BA1202" s="143"/>
      <c r="BB1202" s="143"/>
      <c r="BC1202" s="143"/>
      <c r="BD1202" s="143"/>
      <c r="BE1202" s="143"/>
      <c r="BF1202" s="143"/>
      <c r="BG1202" s="143"/>
      <c r="BH1202" s="143"/>
      <c r="BI1202" s="143"/>
      <c r="BJ1202" s="143"/>
      <c r="BK1202" s="143"/>
      <c r="BL1202" s="143"/>
      <c r="BM1202" s="143"/>
      <c r="BN1202" s="143"/>
      <c r="BO1202" s="143"/>
      <c r="BP1202" s="143"/>
      <c r="BQ1202" s="143"/>
      <c r="BR1202" s="143"/>
      <c r="BS1202" s="143"/>
      <c r="BT1202" s="143"/>
      <c r="BU1202" s="143"/>
    </row>
    <row r="1203" spans="1:73" s="73" customFormat="1" ht="15" customHeight="1">
      <c r="A1203" s="143"/>
      <c r="B1203" s="143"/>
      <c r="C1203" s="170"/>
      <c r="D1203" s="170" t="s">
        <v>2250</v>
      </c>
      <c r="E1203" s="115" t="s">
        <v>425</v>
      </c>
      <c r="F1203" s="143"/>
      <c r="G1203" s="76" t="s">
        <v>324</v>
      </c>
      <c r="H1203" s="143"/>
      <c r="I1203" s="2123">
        <f>+IF(S1195&lt;-1,I1202,IF(I1196&gt;=0.4,I1200,I1198))</f>
        <v>311.6334484870253</v>
      </c>
      <c r="J1203" s="2124"/>
      <c r="K1203" s="2124"/>
      <c r="L1203" s="143"/>
      <c r="M1203" s="143"/>
      <c r="N1203" s="143"/>
      <c r="O1203" s="143"/>
      <c r="P1203" s="143"/>
      <c r="Q1203" s="143"/>
      <c r="R1203" s="170"/>
      <c r="S1203" s="170"/>
      <c r="T1203" s="170"/>
      <c r="U1203" s="170"/>
      <c r="V1203" s="170"/>
      <c r="W1203" s="170"/>
      <c r="X1203" s="170"/>
      <c r="Y1203" s="1539"/>
      <c r="Z1203" s="170"/>
      <c r="AA1203" s="170"/>
      <c r="AC1203" s="143"/>
      <c r="AD1203" s="1561"/>
      <c r="AF1203" s="1561"/>
      <c r="AS1203" s="1628" t="str">
        <f>IF(J1164&lt;&gt;2,"Hide this row","")</f>
        <v/>
      </c>
      <c r="AT1203" s="143"/>
      <c r="AU1203" s="143"/>
      <c r="AV1203" s="143"/>
      <c r="AW1203" s="143"/>
      <c r="AX1203" s="143"/>
      <c r="AY1203" s="143"/>
      <c r="AZ1203" s="143"/>
      <c r="BA1203" s="143"/>
      <c r="BB1203" s="143"/>
      <c r="BC1203" s="143"/>
      <c r="BD1203" s="143"/>
      <c r="BE1203" s="143"/>
      <c r="BF1203" s="143"/>
      <c r="BG1203" s="143"/>
      <c r="BH1203" s="143"/>
      <c r="BI1203" s="143"/>
      <c r="BJ1203" s="143"/>
      <c r="BK1203" s="143"/>
      <c r="BL1203" s="143"/>
      <c r="BM1203" s="143"/>
      <c r="BN1203" s="143"/>
      <c r="BO1203" s="143"/>
      <c r="BP1203" s="143"/>
      <c r="BQ1203" s="143"/>
      <c r="BR1203" s="143"/>
      <c r="BS1203" s="143"/>
      <c r="BT1203" s="143"/>
      <c r="BU1203" s="143"/>
    </row>
    <row r="1204" spans="1:73" ht="15" customHeight="1">
      <c r="A1204" s="134"/>
      <c r="C1204" s="170"/>
      <c r="D1204" s="170"/>
      <c r="E1204" s="138"/>
      <c r="F1204" s="170"/>
      <c r="G1204" s="100"/>
      <c r="H1204" s="170"/>
      <c r="I1204" s="170"/>
      <c r="J1204" s="170"/>
      <c r="K1204" s="170"/>
      <c r="L1204" s="1539"/>
      <c r="M1204" s="170"/>
      <c r="N1204" s="170"/>
      <c r="O1204" s="170"/>
      <c r="P1204" s="170"/>
      <c r="Q1204" s="170"/>
      <c r="R1204" s="170"/>
      <c r="S1204" s="170"/>
      <c r="T1204" s="170"/>
      <c r="U1204" s="170"/>
      <c r="V1204" s="170"/>
      <c r="W1204" s="170"/>
      <c r="X1204" s="170"/>
      <c r="Y1204" s="1539"/>
      <c r="Z1204" s="170"/>
      <c r="AA1204" s="170"/>
    </row>
    <row r="1205" spans="1:73" ht="15" customHeight="1">
      <c r="B1205" s="1177" t="s">
        <v>2856</v>
      </c>
      <c r="C1205" s="170" t="s">
        <v>2857</v>
      </c>
      <c r="D1205" s="136"/>
      <c r="E1205" s="138"/>
      <c r="F1205" s="170"/>
      <c r="G1205" s="100"/>
      <c r="H1205" s="170"/>
      <c r="I1205" s="170"/>
      <c r="J1205" s="170"/>
      <c r="K1205" s="170"/>
      <c r="L1205" s="1539"/>
      <c r="M1205" s="170"/>
      <c r="N1205" s="170"/>
      <c r="O1205" s="170"/>
      <c r="P1205" s="170"/>
      <c r="Q1205" s="170"/>
      <c r="R1205" s="170"/>
      <c r="S1205" s="170"/>
      <c r="T1205" s="170"/>
      <c r="U1205" s="170"/>
      <c r="V1205" s="170"/>
      <c r="W1205" s="170"/>
      <c r="X1205" s="170"/>
      <c r="Y1205" s="1539"/>
      <c r="Z1205" s="170"/>
      <c r="AA1205" s="170"/>
    </row>
    <row r="1206" spans="1:73" s="73" customFormat="1" ht="15" customHeight="1">
      <c r="A1206" s="134"/>
      <c r="B1206" s="207"/>
      <c r="E1206" s="1938" t="s">
        <v>2858</v>
      </c>
      <c r="F1206" s="1938"/>
      <c r="G1206" s="2122" t="s">
        <v>324</v>
      </c>
      <c r="I1206" s="1940" t="s">
        <v>259</v>
      </c>
      <c r="J1206" s="1940"/>
      <c r="K1206" s="1940"/>
      <c r="M1206" s="2121" t="s">
        <v>1703</v>
      </c>
      <c r="N1206" s="2121"/>
      <c r="O1206" s="2121"/>
      <c r="P1206" s="2121"/>
      <c r="Q1206" s="2121"/>
      <c r="R1206" s="2121"/>
      <c r="S1206" s="2121"/>
      <c r="T1206" s="2121"/>
      <c r="U1206" s="2121"/>
      <c r="V1206" s="2121"/>
      <c r="W1206" s="2121"/>
      <c r="Y1206" s="143"/>
      <c r="Z1206" s="143"/>
      <c r="AA1206" s="143"/>
      <c r="AS1206" s="1627"/>
      <c r="AT1206" s="143"/>
      <c r="AU1206" s="143"/>
      <c r="AV1206" s="143"/>
      <c r="AW1206" s="143"/>
      <c r="AX1206" s="143"/>
      <c r="AY1206" s="143"/>
      <c r="AZ1206" s="143"/>
      <c r="BA1206" s="143"/>
      <c r="BB1206" s="143"/>
      <c r="BC1206" s="143"/>
      <c r="BD1206" s="143"/>
      <c r="BE1206" s="143"/>
      <c r="BF1206" s="143"/>
      <c r="BG1206" s="143"/>
      <c r="BH1206" s="143"/>
      <c r="BI1206" s="143"/>
      <c r="BJ1206" s="143"/>
      <c r="BK1206" s="143"/>
      <c r="BL1206" s="143"/>
      <c r="BM1206" s="143"/>
      <c r="BN1206" s="143"/>
      <c r="BO1206" s="143"/>
      <c r="BP1206" s="143"/>
      <c r="BQ1206" s="143"/>
      <c r="BR1206" s="143"/>
      <c r="BS1206" s="143"/>
      <c r="BT1206" s="143"/>
      <c r="BU1206" s="143"/>
    </row>
    <row r="1207" spans="1:73" s="73" customFormat="1" ht="15" customHeight="1">
      <c r="A1207" s="88"/>
      <c r="B1207" s="95"/>
      <c r="E1207" s="1938"/>
      <c r="F1207" s="1938"/>
      <c r="G1207" s="2122"/>
      <c r="I1207" s="1862" t="s">
        <v>261</v>
      </c>
      <c r="J1207" s="1862"/>
      <c r="K1207" s="1862"/>
      <c r="M1207" s="2121"/>
      <c r="N1207" s="2121"/>
      <c r="O1207" s="2121"/>
      <c r="P1207" s="2121"/>
      <c r="Q1207" s="2121"/>
      <c r="R1207" s="2121"/>
      <c r="S1207" s="2121"/>
      <c r="T1207" s="2121"/>
      <c r="U1207" s="2121"/>
      <c r="V1207" s="2121"/>
      <c r="W1207" s="2121"/>
      <c r="Y1207" s="143"/>
      <c r="Z1207" s="143"/>
      <c r="AA1207" s="143"/>
      <c r="AS1207" s="1627"/>
      <c r="AT1207" s="143"/>
      <c r="AU1207" s="143"/>
      <c r="AV1207" s="143"/>
      <c r="AW1207" s="143"/>
      <c r="AX1207" s="143"/>
      <c r="AY1207" s="143"/>
      <c r="AZ1207" s="143"/>
      <c r="BA1207" s="143"/>
      <c r="BB1207" s="143"/>
      <c r="BC1207" s="143"/>
      <c r="BD1207" s="143"/>
      <c r="BE1207" s="143"/>
      <c r="BF1207" s="143"/>
      <c r="BG1207" s="143"/>
      <c r="BH1207" s="143"/>
      <c r="BI1207" s="143"/>
      <c r="BJ1207" s="143"/>
      <c r="BK1207" s="143"/>
      <c r="BL1207" s="143"/>
      <c r="BM1207" s="143"/>
      <c r="BN1207" s="143"/>
      <c r="BO1207" s="143"/>
      <c r="BP1207" s="143"/>
      <c r="BQ1207" s="143"/>
      <c r="BR1207" s="143"/>
      <c r="BS1207" s="143"/>
      <c r="BT1207" s="143"/>
      <c r="BU1207" s="143"/>
    </row>
    <row r="1208" spans="1:73" s="73" customFormat="1" ht="15" customHeight="1">
      <c r="A1208" s="88"/>
      <c r="B1208" s="95"/>
      <c r="E1208" s="1547" t="s">
        <v>414</v>
      </c>
      <c r="F1208" s="1547"/>
      <c r="G1208" s="1423" t="s">
        <v>324</v>
      </c>
      <c r="I1208" s="1540" t="s">
        <v>2864</v>
      </c>
      <c r="J1208" s="1539"/>
      <c r="K1208" s="1539"/>
      <c r="M1208" s="1570"/>
      <c r="N1208" s="1570"/>
      <c r="O1208" s="1570"/>
      <c r="P1208" s="1570"/>
      <c r="Q1208" s="1570"/>
      <c r="R1208" s="1570"/>
      <c r="S1208" s="1570"/>
      <c r="T1208" s="1570"/>
      <c r="U1208" s="1570"/>
      <c r="V1208" s="1570"/>
      <c r="AS1208" s="1627"/>
      <c r="AT1208" s="143"/>
      <c r="AU1208" s="143"/>
      <c r="AV1208" s="143"/>
      <c r="AW1208" s="143"/>
      <c r="AX1208" s="143"/>
      <c r="AY1208" s="143"/>
      <c r="AZ1208" s="143"/>
      <c r="BA1208" s="143"/>
      <c r="BB1208" s="143"/>
      <c r="BC1208" s="143"/>
      <c r="BD1208" s="143"/>
      <c r="BE1208" s="143"/>
      <c r="BF1208" s="143"/>
      <c r="BG1208" s="143"/>
      <c r="BH1208" s="143"/>
      <c r="BI1208" s="143"/>
      <c r="BJ1208" s="143"/>
      <c r="BK1208" s="143"/>
      <c r="BL1208" s="143"/>
      <c r="BM1208" s="143"/>
      <c r="BN1208" s="143"/>
      <c r="BO1208" s="143"/>
      <c r="BP1208" s="143"/>
      <c r="BQ1208" s="143"/>
      <c r="BR1208" s="143"/>
      <c r="BS1208" s="143"/>
      <c r="BT1208" s="143"/>
      <c r="BU1208" s="143"/>
    </row>
    <row r="1209" spans="1:73" s="73" customFormat="1" ht="15" customHeight="1">
      <c r="A1209" s="88"/>
      <c r="B1209" s="95"/>
      <c r="E1209" s="1547"/>
      <c r="F1209" s="1547"/>
      <c r="G1209" s="1423" t="s">
        <v>324</v>
      </c>
      <c r="I1209" s="2092">
        <f>+I1175</f>
        <v>3200</v>
      </c>
      <c r="J1209" s="1938"/>
      <c r="K1209" s="1938"/>
      <c r="L1209" s="1500" t="s">
        <v>2853</v>
      </c>
      <c r="M1209" s="1567"/>
      <c r="N1209" s="1547"/>
      <c r="O1209" s="1547"/>
      <c r="P1209" s="2095">
        <f>AE458</f>
        <v>0.125</v>
      </c>
      <c r="Q1209" s="2095"/>
      <c r="R1209" s="2095"/>
      <c r="S1209" s="1549" t="s">
        <v>2800</v>
      </c>
      <c r="T1209" s="1550" t="s">
        <v>324</v>
      </c>
      <c r="U1209" s="1938">
        <f>+I1209/COS(ATAN(P1209))</f>
        <v>3224.9030993194201</v>
      </c>
      <c r="V1209" s="1938"/>
      <c r="W1209" s="1938"/>
      <c r="Y1209" s="143"/>
      <c r="Z1209" s="143"/>
      <c r="AA1209" s="143"/>
      <c r="AS1209" s="1627"/>
      <c r="AT1209" s="143"/>
      <c r="AU1209" s="143"/>
      <c r="AV1209" s="143"/>
      <c r="AW1209" s="143"/>
      <c r="AX1209" s="143"/>
      <c r="AY1209" s="143"/>
      <c r="AZ1209" s="143"/>
      <c r="BA1209" s="143"/>
      <c r="BB1209" s="143"/>
      <c r="BC1209" s="143"/>
      <c r="BD1209" s="143"/>
      <c r="BE1209" s="143"/>
      <c r="BF1209" s="143"/>
      <c r="BG1209" s="143"/>
      <c r="BH1209" s="143"/>
      <c r="BI1209" s="143"/>
      <c r="BJ1209" s="143"/>
      <c r="BK1209" s="143"/>
      <c r="BL1209" s="143"/>
      <c r="BM1209" s="143"/>
      <c r="BN1209" s="143"/>
      <c r="BO1209" s="143"/>
      <c r="BP1209" s="143"/>
      <c r="BQ1209" s="143"/>
      <c r="BR1209" s="143"/>
      <c r="BS1209" s="143"/>
      <c r="BT1209" s="143"/>
      <c r="BU1209" s="143"/>
    </row>
    <row r="1210" spans="1:73" ht="15" customHeight="1">
      <c r="A1210" s="134"/>
      <c r="E1210" s="1938" t="s">
        <v>2858</v>
      </c>
      <c r="F1210" s="1938"/>
      <c r="G1210" s="2115" t="s">
        <v>324</v>
      </c>
      <c r="H1210" s="170"/>
      <c r="I1210" s="1333" t="s">
        <v>2863</v>
      </c>
      <c r="J1210" s="1554"/>
      <c r="K1210" s="2104">
        <f>+AE504</f>
        <v>210000</v>
      </c>
      <c r="L1210" s="2090"/>
      <c r="M1210" s="2090"/>
      <c r="N1210" s="2090"/>
      <c r="O1210" s="1335" t="s">
        <v>2489</v>
      </c>
      <c r="P1210" s="2090">
        <f>IF(J1164=0,AA1166,IF(J1164=1,I1184,I1203))</f>
        <v>311.6334484870253</v>
      </c>
      <c r="Q1210" s="2090"/>
      <c r="R1210" s="2090"/>
      <c r="T1210" s="2116" t="s">
        <v>324</v>
      </c>
      <c r="U1210" s="2117">
        <f>0.9*K1210*P1210/(K1211/O1211)^2</f>
        <v>1110.0143717070541</v>
      </c>
      <c r="V1210" s="2117"/>
      <c r="W1210" s="2117"/>
      <c r="X1210" s="2117"/>
      <c r="Y1210" s="1862" t="s">
        <v>2508</v>
      </c>
      <c r="Z1210" s="1862"/>
      <c r="AA1210" s="170"/>
    </row>
    <row r="1211" spans="1:73" ht="15" customHeight="1">
      <c r="A1211" s="134"/>
      <c r="E1211" s="1938"/>
      <c r="F1211" s="1938"/>
      <c r="G1211" s="2115"/>
      <c r="H1211" s="170"/>
      <c r="I1211" s="170"/>
      <c r="J1211" s="1549" t="s">
        <v>2506</v>
      </c>
      <c r="K1211" s="2112">
        <f>+U1209</f>
        <v>3224.9030993194201</v>
      </c>
      <c r="L1211" s="1936"/>
      <c r="M1211" s="1936"/>
      <c r="N1211" s="124" t="s">
        <v>2490</v>
      </c>
      <c r="O1211" s="2112">
        <f>+AE457</f>
        <v>14</v>
      </c>
      <c r="P1211" s="1936"/>
      <c r="Q1211" s="124" t="s">
        <v>2512</v>
      </c>
      <c r="R1211" s="170"/>
      <c r="T1211" s="1938"/>
      <c r="U1211" s="2117"/>
      <c r="V1211" s="2117"/>
      <c r="W1211" s="2117"/>
      <c r="X1211" s="2117"/>
      <c r="Y1211" s="1862"/>
      <c r="Z1211" s="1862"/>
      <c r="AA1211" s="170"/>
    </row>
    <row r="1212" spans="1:73" ht="15" customHeight="1">
      <c r="A1212" s="134"/>
      <c r="C1212" s="170"/>
      <c r="D1212" s="170" t="s">
        <v>2250</v>
      </c>
      <c r="E1212" s="138" t="s">
        <v>2858</v>
      </c>
      <c r="G1212" s="138" t="s">
        <v>324</v>
      </c>
      <c r="I1212" s="73" t="s">
        <v>2859</v>
      </c>
      <c r="K1212" s="2100">
        <f>+U1210</f>
        <v>1110.0143717070541</v>
      </c>
      <c r="L1212" s="2100"/>
      <c r="M1212" s="2100"/>
      <c r="N1212" s="2100"/>
      <c r="O1212" s="138" t="s">
        <v>2515</v>
      </c>
      <c r="P1212" s="2101">
        <f>+AJ981</f>
        <v>0.99954647746573022</v>
      </c>
      <c r="Q1212" s="1938"/>
      <c r="R1212" s="1938"/>
      <c r="S1212" s="138" t="s">
        <v>2489</v>
      </c>
      <c r="T1212" s="2097">
        <f>+AE509</f>
        <v>380</v>
      </c>
      <c r="U1212" s="1938"/>
      <c r="V1212" s="1938"/>
      <c r="W1212" s="124" t="s">
        <v>2515</v>
      </c>
      <c r="X1212" s="2093">
        <f>+AE511</f>
        <v>355</v>
      </c>
      <c r="Y1212" s="1862"/>
      <c r="Z1212" s="1862"/>
      <c r="AA1212" s="124" t="s">
        <v>2866</v>
      </c>
    </row>
    <row r="1213" spans="1:73" ht="15" customHeight="1" thickBot="1">
      <c r="A1213" s="134"/>
      <c r="C1213" s="170"/>
      <c r="D1213" s="170"/>
      <c r="E1213" s="431" t="s">
        <v>2858</v>
      </c>
      <c r="F1213" s="321"/>
      <c r="G1213" s="431" t="s">
        <v>324</v>
      </c>
      <c r="H1213" s="321"/>
      <c r="I1213" s="2098">
        <f>+MIN(K1212,P1212*T1212,X1212/0.7)</f>
        <v>379.82766143697751</v>
      </c>
      <c r="J1213" s="2098"/>
      <c r="K1213" s="2098"/>
      <c r="L1213" s="321" t="s">
        <v>2508</v>
      </c>
      <c r="M1213" s="321"/>
      <c r="U1213" s="170"/>
      <c r="V1213" s="170"/>
      <c r="W1213" s="170"/>
      <c r="X1213" s="170"/>
      <c r="Y1213" s="1539"/>
      <c r="Z1213" s="170"/>
      <c r="AA1213" s="170"/>
    </row>
    <row r="1214" spans="1:73" ht="15" customHeight="1" thickBot="1">
      <c r="A1214" s="134"/>
      <c r="C1214" s="170"/>
      <c r="D1214" s="170"/>
      <c r="E1214" s="138"/>
      <c r="F1214" s="170"/>
      <c r="G1214" s="100"/>
      <c r="H1214" s="170"/>
      <c r="I1214" s="170"/>
      <c r="J1214" s="170"/>
      <c r="L1214" s="143"/>
      <c r="U1214" s="170"/>
      <c r="V1214" s="170"/>
      <c r="W1214" s="170"/>
      <c r="X1214" s="170"/>
      <c r="Y1214" s="1539"/>
      <c r="Z1214" s="170"/>
      <c r="AA1214" s="170"/>
    </row>
    <row r="1215" spans="1:73" ht="15" customHeight="1">
      <c r="A1215" s="170"/>
      <c r="B1215" s="170"/>
      <c r="D1215" s="124"/>
      <c r="F1215" s="1275"/>
      <c r="G1215" s="36"/>
      <c r="H1215" s="1276" t="s">
        <v>2897</v>
      </c>
      <c r="I1215" s="224"/>
      <c r="J1215" s="36"/>
      <c r="K1215" s="36"/>
      <c r="L1215" s="36"/>
      <c r="M1215" s="36"/>
      <c r="N1215" s="36"/>
      <c r="O1215" s="36"/>
      <c r="P1215" s="36"/>
      <c r="Q1215" s="36"/>
      <c r="R1215" s="36"/>
      <c r="S1215" s="1294"/>
      <c r="T1215" s="1295"/>
      <c r="U1215" s="36"/>
      <c r="V1215" s="36"/>
      <c r="W1215" s="36"/>
      <c r="X1215" s="36"/>
      <c r="Y1215" s="1294"/>
      <c r="Z1215" s="36"/>
      <c r="AA1215" s="224"/>
      <c r="AB1215" s="224"/>
      <c r="AC1215" s="224"/>
      <c r="AD1215" s="224"/>
      <c r="AE1215" s="224"/>
      <c r="AF1215" s="224"/>
      <c r="AG1215" s="36"/>
      <c r="AH1215" s="224"/>
      <c r="AI1215" s="36"/>
      <c r="AJ1215" s="36"/>
      <c r="AK1215" s="36"/>
      <c r="AL1215" s="43"/>
      <c r="AS1215" s="1628" t="str">
        <f>IF(AC1160&lt;&gt;"Slender Web","Hide this row","")</f>
        <v/>
      </c>
    </row>
    <row r="1216" spans="1:73" ht="20.100000000000001" customHeight="1">
      <c r="A1216" s="206"/>
      <c r="B1216" s="170"/>
      <c r="F1216" s="1277"/>
      <c r="G1216" s="9"/>
      <c r="H1216" s="9"/>
      <c r="I1216" s="9"/>
      <c r="J1216" s="9"/>
      <c r="K1216" s="33" t="s">
        <v>2818</v>
      </c>
      <c r="L1216" s="9"/>
      <c r="M1216" s="9"/>
      <c r="N1216" s="33" t="s">
        <v>2592</v>
      </c>
      <c r="O1216" s="9"/>
      <c r="P1216" s="9"/>
      <c r="Q1216" s="1291" t="s">
        <v>2867</v>
      </c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33" t="s">
        <v>2509</v>
      </c>
      <c r="AI1216" s="196"/>
      <c r="AJ1216" s="2082" t="str">
        <f>+IF(Q1217&lt;=Q1218,"OK","NG")</f>
        <v>OK</v>
      </c>
      <c r="AK1216" s="2082"/>
      <c r="AL1216" s="2083"/>
      <c r="AM1216" s="143"/>
      <c r="AN1216" s="143"/>
      <c r="AO1216" s="143"/>
      <c r="AP1216" s="143"/>
      <c r="AQ1216" s="143"/>
      <c r="AR1216" s="143"/>
      <c r="AS1216" s="1628" t="str">
        <f>IF(AC1160&lt;&gt;"Slender Web","Hide this row","")</f>
        <v/>
      </c>
    </row>
    <row r="1217" spans="1:73" ht="20.100000000000001" customHeight="1">
      <c r="A1217" s="206"/>
      <c r="B1217" s="170"/>
      <c r="F1217" s="1277"/>
      <c r="G1217" s="9"/>
      <c r="H1217" s="9"/>
      <c r="I1217" s="9"/>
      <c r="J1217" s="9"/>
      <c r="K1217" s="9" t="s">
        <v>380</v>
      </c>
      <c r="L1217" s="9"/>
      <c r="M1217" s="9"/>
      <c r="N1217" s="31" t="s">
        <v>324</v>
      </c>
      <c r="O1217" s="9"/>
      <c r="P1217" s="9"/>
      <c r="Q1217" s="2084">
        <f>+ ABS(MIN(X964,X967))</f>
        <v>141.64342527974489</v>
      </c>
      <c r="R1217" s="2085"/>
      <c r="S1217" s="2085"/>
      <c r="T1217" s="1601" t="s">
        <v>2508</v>
      </c>
      <c r="U1217" s="9"/>
      <c r="V1217" s="9"/>
      <c r="W1217" s="9"/>
      <c r="X1217" s="31"/>
      <c r="Y1217" s="1495"/>
      <c r="Z1217" s="1495"/>
      <c r="AA1217" s="1495"/>
      <c r="AB1217" s="9"/>
      <c r="AC1217" s="9"/>
      <c r="AD1217" s="9"/>
      <c r="AE1217" s="9"/>
      <c r="AF1217" s="9"/>
      <c r="AG1217" s="1487" t="s">
        <v>2510</v>
      </c>
      <c r="AH1217" s="196"/>
      <c r="AI1217" s="9"/>
      <c r="AJ1217" s="2086">
        <f>Q1218/Q1217</f>
        <v>2.6815763646411419</v>
      </c>
      <c r="AK1217" s="2086"/>
      <c r="AL1217" s="2087"/>
      <c r="AM1217" s="143"/>
      <c r="AN1217" s="143"/>
      <c r="AO1217" s="143"/>
      <c r="AP1217" s="143"/>
      <c r="AQ1217" s="143"/>
      <c r="AR1217" s="143"/>
      <c r="AS1217" s="1628" t="str">
        <f>IF(AC1160&lt;&gt;"Slender Web","Hide this row","")</f>
        <v/>
      </c>
    </row>
    <row r="1218" spans="1:73" ht="20.100000000000001" customHeight="1" thickBot="1">
      <c r="A1218" s="170"/>
      <c r="F1218" s="40"/>
      <c r="G1218" s="41"/>
      <c r="H1218" s="41"/>
      <c r="I1218" s="41"/>
      <c r="J1218" s="1491" t="s">
        <v>2868</v>
      </c>
      <c r="K1218" s="1486"/>
      <c r="L1218" s="41"/>
      <c r="M1218" s="41"/>
      <c r="N1218" s="1292" t="s">
        <v>324</v>
      </c>
      <c r="O1218" s="41"/>
      <c r="P1218" s="1293"/>
      <c r="Q1218" s="2099">
        <f>+I1213</f>
        <v>379.82766143697751</v>
      </c>
      <c r="R1218" s="2099"/>
      <c r="S1218" s="2099"/>
      <c r="T1218" s="1602" t="s">
        <v>2508</v>
      </c>
      <c r="U1218" s="1492"/>
      <c r="V1218" s="1489"/>
      <c r="W1218" s="1489"/>
      <c r="X1218" s="1292"/>
      <c r="Y1218" s="1489"/>
      <c r="Z1218" s="1489"/>
      <c r="AA1218" s="1489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5"/>
      <c r="AM1218" s="143"/>
      <c r="AN1218" s="143"/>
      <c r="AO1218" s="143"/>
      <c r="AP1218" s="143"/>
      <c r="AQ1218" s="143"/>
      <c r="AR1218" s="143"/>
      <c r="AS1218" s="1628" t="str">
        <f>IF(AC1160&lt;&gt;"Slender Web","Hide this row","")</f>
        <v/>
      </c>
    </row>
    <row r="1219" spans="1:73" ht="15" customHeight="1" thickBot="1">
      <c r="A1219" s="134"/>
      <c r="C1219" s="170"/>
      <c r="D1219" s="170"/>
      <c r="E1219" s="138"/>
      <c r="F1219" s="170"/>
      <c r="G1219" s="100"/>
      <c r="H1219" s="170"/>
      <c r="I1219" s="170"/>
      <c r="J1219" s="170"/>
      <c r="L1219" s="143"/>
      <c r="U1219" s="170"/>
      <c r="V1219" s="170"/>
      <c r="W1219" s="170"/>
      <c r="X1219" s="170"/>
      <c r="Y1219" s="1539"/>
      <c r="Z1219" s="170"/>
      <c r="AA1219" s="170"/>
    </row>
    <row r="1220" spans="1:73" ht="15" customHeight="1">
      <c r="A1220" s="170"/>
      <c r="B1220" s="170"/>
      <c r="D1220" s="124"/>
      <c r="F1220" s="1275"/>
      <c r="G1220" s="36"/>
      <c r="H1220" s="1276" t="s">
        <v>2897</v>
      </c>
      <c r="I1220" s="224"/>
      <c r="J1220" s="36"/>
      <c r="K1220" s="36"/>
      <c r="L1220" s="36"/>
      <c r="M1220" s="36"/>
      <c r="N1220" s="36"/>
      <c r="O1220" s="36"/>
      <c r="P1220" s="36"/>
      <c r="Q1220" s="36"/>
      <c r="R1220" s="36"/>
      <c r="S1220" s="1294"/>
      <c r="T1220" s="1295"/>
      <c r="U1220" s="36"/>
      <c r="V1220" s="36"/>
      <c r="W1220" s="36"/>
      <c r="X1220" s="36"/>
      <c r="Y1220" s="1294"/>
      <c r="Z1220" s="36"/>
      <c r="AA1220" s="224"/>
      <c r="AB1220" s="224"/>
      <c r="AC1220" s="224"/>
      <c r="AD1220" s="224"/>
      <c r="AE1220" s="224"/>
      <c r="AF1220" s="224"/>
      <c r="AG1220" s="36"/>
      <c r="AH1220" s="224"/>
      <c r="AI1220" s="36"/>
      <c r="AJ1220" s="36"/>
      <c r="AK1220" s="36"/>
      <c r="AL1220" s="43"/>
      <c r="AS1220" s="1628" t="str">
        <f>IF(AC1160="Slender Web","Hide this row","")</f>
        <v>Hide this row</v>
      </c>
    </row>
    <row r="1221" spans="1:73" ht="20.100000000000001" customHeight="1" thickBot="1">
      <c r="A1221" s="206"/>
      <c r="B1221" s="170"/>
      <c r="F1221" s="1502"/>
      <c r="G1221" s="41"/>
      <c r="H1221" s="41" t="s">
        <v>2869</v>
      </c>
      <c r="I1221" s="41"/>
      <c r="J1221" s="41"/>
      <c r="K1221" s="358"/>
      <c r="L1221" s="41"/>
      <c r="M1221" s="41"/>
      <c r="N1221" s="358"/>
      <c r="O1221" s="41"/>
      <c r="P1221" s="41"/>
      <c r="Q1221" s="1490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358"/>
      <c r="AI1221" s="1576"/>
      <c r="AJ1221" s="2108"/>
      <c r="AK1221" s="2108"/>
      <c r="AL1221" s="2109"/>
      <c r="AM1221" s="143"/>
      <c r="AN1221" s="143"/>
      <c r="AO1221" s="143"/>
      <c r="AP1221" s="143"/>
      <c r="AQ1221" s="143"/>
      <c r="AR1221" s="143"/>
      <c r="AS1221" s="1628" t="str">
        <f>IF(AC1160="Slender Web","Hide this row","")</f>
        <v>Hide this row</v>
      </c>
    </row>
    <row r="1222" spans="1:73" ht="15" customHeight="1">
      <c r="A1222" s="134"/>
      <c r="C1222" s="170"/>
      <c r="D1222" s="170"/>
      <c r="E1222" s="138"/>
      <c r="F1222" s="170"/>
      <c r="G1222" s="100"/>
      <c r="H1222" s="170"/>
      <c r="I1222" s="170"/>
      <c r="J1222" s="170"/>
      <c r="K1222" s="170"/>
      <c r="L1222" s="1539"/>
      <c r="M1222" s="170"/>
      <c r="N1222" s="170"/>
      <c r="O1222" s="170"/>
      <c r="P1222" s="170"/>
      <c r="Q1222" s="170"/>
      <c r="R1222" s="170"/>
      <c r="S1222" s="170"/>
      <c r="T1222" s="170"/>
      <c r="U1222" s="170"/>
      <c r="V1222" s="170"/>
      <c r="W1222" s="170"/>
      <c r="X1222" s="170"/>
      <c r="Y1222" s="1539"/>
      <c r="Z1222" s="170"/>
      <c r="AA1222" s="170"/>
    </row>
    <row r="1223" spans="1:73" s="73" customFormat="1" ht="15" customHeight="1">
      <c r="A1223" s="143"/>
      <c r="B1223" s="170"/>
      <c r="C1223" s="170"/>
      <c r="D1223" s="170"/>
      <c r="E1223" s="170"/>
      <c r="F1223" s="170"/>
      <c r="G1223" s="100"/>
      <c r="H1223" s="170"/>
      <c r="I1223" s="170"/>
      <c r="J1223" s="170"/>
      <c r="K1223" s="170"/>
      <c r="L1223" s="1539"/>
      <c r="M1223" s="170"/>
      <c r="N1223" s="170"/>
      <c r="O1223" s="170"/>
      <c r="P1223" s="170"/>
      <c r="Q1223" s="170"/>
      <c r="R1223" s="170"/>
      <c r="S1223" s="170"/>
      <c r="T1223" s="170"/>
      <c r="U1223" s="170"/>
      <c r="V1223" s="170"/>
      <c r="W1223" s="170"/>
      <c r="X1223" s="170"/>
      <c r="Y1223" s="1539"/>
      <c r="Z1223" s="170"/>
      <c r="AA1223" s="170"/>
      <c r="AC1223" s="143"/>
      <c r="AD1223" s="1561"/>
      <c r="AF1223" s="1561"/>
      <c r="AS1223" s="1627"/>
      <c r="AT1223" s="143"/>
      <c r="AU1223" s="143"/>
      <c r="AV1223" s="143"/>
      <c r="AW1223" s="143"/>
      <c r="AX1223" s="143"/>
      <c r="AY1223" s="143"/>
      <c r="AZ1223" s="143"/>
      <c r="BA1223" s="143"/>
      <c r="BB1223" s="143"/>
      <c r="BC1223" s="143"/>
      <c r="BD1223" s="143"/>
      <c r="BE1223" s="143"/>
      <c r="BF1223" s="143"/>
      <c r="BG1223" s="143"/>
      <c r="BH1223" s="143"/>
      <c r="BI1223" s="143"/>
      <c r="BJ1223" s="143"/>
      <c r="BK1223" s="143"/>
      <c r="BL1223" s="143"/>
      <c r="BM1223" s="143"/>
      <c r="BN1223" s="143"/>
      <c r="BO1223" s="143"/>
      <c r="BP1223" s="143"/>
      <c r="BQ1223" s="143"/>
      <c r="BR1223" s="143"/>
      <c r="BS1223" s="143"/>
      <c r="BT1223" s="143"/>
      <c r="BU1223" s="143"/>
    </row>
    <row r="1224" spans="1:73" s="73" customFormat="1" ht="15" customHeight="1">
      <c r="A1224" s="1182" t="s">
        <v>990</v>
      </c>
      <c r="B1224" s="96"/>
      <c r="C1224" s="170"/>
      <c r="D1224" s="170"/>
      <c r="E1224" s="170"/>
      <c r="F1224" s="170"/>
      <c r="G1224" s="100"/>
      <c r="H1224" s="170"/>
      <c r="I1224" s="170"/>
      <c r="J1224" s="170"/>
      <c r="K1224" s="170"/>
      <c r="L1224" s="1539"/>
      <c r="M1224" s="170"/>
      <c r="N1224" s="170"/>
      <c r="P1224" s="170"/>
      <c r="Q1224" s="170"/>
      <c r="R1224" s="170"/>
      <c r="S1224" s="170"/>
      <c r="T1224" s="170"/>
      <c r="U1224" s="170"/>
      <c r="V1224" s="170"/>
      <c r="W1224" s="170"/>
      <c r="X1224" s="170"/>
      <c r="Y1224" s="1539"/>
      <c r="Z1224" s="170"/>
      <c r="AA1224" s="143"/>
      <c r="AC1224" s="143"/>
      <c r="AD1224" s="1561"/>
      <c r="AF1224" s="1561"/>
      <c r="AR1224" s="1529" t="s">
        <v>996</v>
      </c>
      <c r="AS1224" s="1627"/>
      <c r="AT1224" s="143"/>
      <c r="AU1224" s="143"/>
      <c r="AV1224" s="143"/>
      <c r="AW1224" s="143"/>
      <c r="AX1224" s="143"/>
      <c r="AY1224" s="143"/>
      <c r="AZ1224" s="143"/>
      <c r="BA1224" s="143"/>
      <c r="BB1224" s="143"/>
      <c r="BC1224" s="143"/>
      <c r="BD1224" s="143"/>
      <c r="BE1224" s="143"/>
      <c r="BF1224" s="143"/>
      <c r="BG1224" s="143"/>
      <c r="BH1224" s="143"/>
      <c r="BI1224" s="143"/>
      <c r="BJ1224" s="143"/>
      <c r="BK1224" s="143"/>
      <c r="BL1224" s="143"/>
      <c r="BM1224" s="143"/>
      <c r="BN1224" s="143"/>
      <c r="BO1224" s="143"/>
      <c r="BP1224" s="143"/>
      <c r="BQ1224" s="143"/>
      <c r="BR1224" s="143"/>
      <c r="BS1224" s="143"/>
      <c r="BT1224" s="143"/>
      <c r="BU1224" s="143"/>
    </row>
    <row r="1225" spans="1:73" s="73" customFormat="1" ht="15" customHeight="1" thickBot="1">
      <c r="A1225" s="207"/>
      <c r="B1225" s="96"/>
      <c r="C1225" s="170"/>
      <c r="D1225" s="170"/>
      <c r="E1225" s="170"/>
      <c r="F1225" s="170"/>
      <c r="G1225" s="100"/>
      <c r="H1225" s="170"/>
      <c r="I1225" s="170"/>
      <c r="J1225" s="170"/>
      <c r="K1225" s="170"/>
      <c r="L1225" s="1539"/>
      <c r="M1225" s="170"/>
      <c r="N1225" s="170"/>
      <c r="O1225" s="170"/>
      <c r="P1225" s="170"/>
      <c r="Q1225" s="170"/>
      <c r="R1225" s="170"/>
      <c r="S1225" s="170"/>
      <c r="T1225" s="170"/>
      <c r="U1225" s="170"/>
      <c r="V1225" s="170"/>
      <c r="W1225" s="170"/>
      <c r="X1225" s="170"/>
      <c r="Y1225" s="1539"/>
      <c r="Z1225" s="170"/>
      <c r="AA1225" s="170"/>
      <c r="AC1225" s="143"/>
      <c r="AD1225" s="1561"/>
      <c r="AF1225" s="1561"/>
      <c r="AS1225" s="1627"/>
      <c r="AT1225" s="143"/>
      <c r="AU1225" s="143"/>
      <c r="AV1225" s="143"/>
      <c r="AW1225" s="143"/>
      <c r="AX1225" s="143"/>
      <c r="AY1225" s="143"/>
      <c r="AZ1225" s="143"/>
      <c r="BA1225" s="143"/>
      <c r="BB1225" s="143"/>
      <c r="BC1225" s="143"/>
      <c r="BD1225" s="143"/>
      <c r="BE1225" s="143"/>
      <c r="BF1225" s="143"/>
      <c r="BG1225" s="143"/>
      <c r="BH1225" s="143"/>
      <c r="BI1225" s="143"/>
      <c r="BJ1225" s="143"/>
      <c r="BK1225" s="143"/>
      <c r="BL1225" s="143"/>
      <c r="BM1225" s="143"/>
      <c r="BN1225" s="143"/>
      <c r="BO1225" s="143"/>
      <c r="BP1225" s="143"/>
      <c r="BQ1225" s="143"/>
      <c r="BR1225" s="143"/>
      <c r="BS1225" s="143"/>
      <c r="BT1225" s="143"/>
      <c r="BU1225" s="143"/>
    </row>
    <row r="1226" spans="1:73" ht="20.100000000000001" customHeight="1" thickBot="1">
      <c r="A1226" s="170"/>
      <c r="B1226" s="168"/>
      <c r="C1226" s="1540"/>
      <c r="D1226" s="1268"/>
      <c r="E1226" s="1271"/>
      <c r="F1226" s="1271"/>
      <c r="G1226" s="1279"/>
      <c r="H1226" s="1288" t="s">
        <v>2870</v>
      </c>
      <c r="I1226" s="1271"/>
      <c r="J1226" s="1280" t="s">
        <v>2825</v>
      </c>
      <c r="K1226" s="1282"/>
      <c r="L1226" s="1503" t="s">
        <v>2998</v>
      </c>
      <c r="M1226" s="1271"/>
      <c r="N1226" s="1271"/>
      <c r="O1226" s="1271"/>
      <c r="P1226" s="1271"/>
      <c r="Q1226" s="1271"/>
      <c r="R1226" s="1271"/>
      <c r="S1226" s="1271"/>
      <c r="T1226" s="1271"/>
      <c r="U1226" s="1271"/>
      <c r="V1226" s="1271"/>
      <c r="W1226" s="1271"/>
      <c r="X1226" s="1271"/>
      <c r="Y1226" s="1497"/>
      <c r="Z1226" s="170"/>
      <c r="AA1226" s="170"/>
    </row>
    <row r="1227" spans="1:73" s="73" customFormat="1" ht="15" customHeight="1">
      <c r="A1227" s="170"/>
      <c r="B1227" s="170"/>
      <c r="C1227" s="147"/>
      <c r="D1227" s="170"/>
      <c r="E1227" s="170"/>
      <c r="F1227" s="170"/>
      <c r="G1227" s="100"/>
      <c r="H1227" s="170"/>
      <c r="I1227" s="170"/>
      <c r="J1227" s="170"/>
      <c r="K1227" s="170"/>
      <c r="L1227" s="1539"/>
      <c r="M1227" s="170"/>
      <c r="N1227" s="170"/>
      <c r="O1227" s="170"/>
      <c r="P1227" s="170"/>
      <c r="Q1227" s="170"/>
      <c r="R1227" s="170"/>
      <c r="S1227" s="170"/>
      <c r="T1227" s="170"/>
      <c r="U1227" s="170"/>
      <c r="V1227" s="170"/>
      <c r="W1227" s="170"/>
      <c r="X1227" s="170"/>
      <c r="Y1227" s="1539"/>
      <c r="Z1227" s="170"/>
      <c r="AA1227" s="170"/>
      <c r="AC1227" s="143"/>
      <c r="AD1227" s="1561"/>
      <c r="AF1227" s="1561"/>
      <c r="AS1227" s="1627"/>
      <c r="AT1227" s="143"/>
      <c r="AU1227" s="143"/>
      <c r="AV1227" s="143"/>
      <c r="AW1227" s="143"/>
      <c r="AX1227" s="143"/>
      <c r="AY1227" s="143"/>
      <c r="AZ1227" s="143"/>
      <c r="BA1227" s="143"/>
      <c r="BB1227" s="143"/>
      <c r="BC1227" s="143"/>
      <c r="BD1227" s="143"/>
      <c r="BE1227" s="143"/>
      <c r="BF1227" s="143"/>
      <c r="BG1227" s="143"/>
      <c r="BH1227" s="143"/>
      <c r="BI1227" s="143"/>
      <c r="BJ1227" s="143"/>
      <c r="BK1227" s="143"/>
      <c r="BL1227" s="143"/>
      <c r="BM1227" s="143"/>
      <c r="BN1227" s="143"/>
      <c r="BO1227" s="143"/>
      <c r="BP1227" s="143"/>
      <c r="BQ1227" s="143"/>
      <c r="BR1227" s="143"/>
      <c r="BS1227" s="143"/>
      <c r="BT1227" s="143"/>
      <c r="BU1227" s="143"/>
    </row>
    <row r="1228" spans="1:73" s="73" customFormat="1" ht="15" customHeight="1">
      <c r="A1228" s="170"/>
      <c r="B1228" s="143"/>
      <c r="C1228" s="1177" t="s">
        <v>2856</v>
      </c>
      <c r="D1228" s="170" t="s">
        <v>2877</v>
      </c>
      <c r="E1228" s="136"/>
      <c r="F1228" s="170"/>
      <c r="G1228" s="100"/>
      <c r="H1228" s="170"/>
      <c r="I1228" s="170"/>
      <c r="J1228" s="170"/>
      <c r="K1228" s="170"/>
      <c r="L1228" s="1539"/>
      <c r="M1228" s="170"/>
      <c r="N1228" s="170"/>
      <c r="O1228" s="170"/>
      <c r="P1228" s="170"/>
      <c r="Q1228" s="170"/>
      <c r="R1228" s="170"/>
      <c r="S1228" s="170"/>
      <c r="T1228" s="170"/>
      <c r="U1228" s="170"/>
      <c r="V1228" s="170"/>
      <c r="W1228" s="170"/>
      <c r="X1228" s="170"/>
      <c r="Y1228" s="1539"/>
      <c r="Z1228" s="170"/>
      <c r="AA1228" s="170"/>
      <c r="AC1228" s="143"/>
      <c r="AD1228" s="1561"/>
      <c r="AF1228" s="1561"/>
      <c r="AS1228" s="1627"/>
      <c r="AT1228" s="143"/>
      <c r="AU1228" s="143"/>
      <c r="AV1228" s="143"/>
      <c r="AW1228" s="143"/>
      <c r="AX1228" s="143"/>
      <c r="AY1228" s="143"/>
      <c r="AZ1228" s="143"/>
      <c r="BA1228" s="143"/>
      <c r="BB1228" s="143"/>
      <c r="BC1228" s="143"/>
      <c r="BD1228" s="143"/>
      <c r="BE1228" s="143"/>
      <c r="BF1228" s="143"/>
      <c r="BG1228" s="143"/>
      <c r="BH1228" s="143"/>
      <c r="BI1228" s="143"/>
      <c r="BJ1228" s="143"/>
      <c r="BK1228" s="143"/>
      <c r="BL1228" s="143"/>
      <c r="BM1228" s="143"/>
      <c r="BN1228" s="143"/>
      <c r="BO1228" s="143"/>
      <c r="BP1228" s="143"/>
      <c r="BQ1228" s="143"/>
      <c r="BR1228" s="143"/>
      <c r="BS1228" s="143"/>
      <c r="BT1228" s="143"/>
      <c r="BU1228" s="143"/>
    </row>
    <row r="1229" spans="1:73" s="73" customFormat="1" ht="15" customHeight="1">
      <c r="A1229" s="170"/>
      <c r="B1229" s="170"/>
      <c r="C1229" s="147"/>
      <c r="D1229" s="170"/>
      <c r="E1229" s="170" t="s">
        <v>357</v>
      </c>
      <c r="F1229" s="170"/>
      <c r="G1229" s="1423" t="s">
        <v>324</v>
      </c>
      <c r="H1229" s="170"/>
      <c r="I1229" s="170" t="s">
        <v>2871</v>
      </c>
      <c r="J1229" s="170"/>
      <c r="K1229" s="170"/>
      <c r="L1229" s="1539"/>
      <c r="M1229" s="170"/>
      <c r="N1229" s="170"/>
      <c r="O1229" s="170"/>
      <c r="P1229" s="170"/>
      <c r="Q1229" s="170"/>
      <c r="R1229" s="170"/>
      <c r="S1229" s="124" t="s">
        <v>324</v>
      </c>
      <c r="T1229" s="170"/>
      <c r="U1229" s="170" t="s">
        <v>2872</v>
      </c>
      <c r="V1229" s="170"/>
      <c r="W1229" s="170"/>
      <c r="X1229" s="1862">
        <f>+AE482</f>
        <v>-1089.3499999999999</v>
      </c>
      <c r="Y1229" s="1862"/>
      <c r="Z1229" s="1862"/>
      <c r="AA1229" s="124" t="s">
        <v>391</v>
      </c>
      <c r="AB1229" s="1862">
        <f>+AE483</f>
        <v>-192.08</v>
      </c>
      <c r="AC1229" s="1862"/>
      <c r="AD1229" s="1862"/>
      <c r="AE1229" s="76" t="s">
        <v>391</v>
      </c>
      <c r="AF1229" s="1862">
        <f>+AE484</f>
        <v>-2155.35</v>
      </c>
      <c r="AG1229" s="1862"/>
      <c r="AH1229" s="1862"/>
      <c r="AI1229" s="76" t="s">
        <v>2512</v>
      </c>
      <c r="AS1229" s="1627"/>
      <c r="AT1229" s="143"/>
      <c r="AU1229" s="143"/>
      <c r="AV1229" s="143"/>
      <c r="AW1229" s="143"/>
      <c r="AX1229" s="143"/>
      <c r="AY1229" s="143"/>
      <c r="AZ1229" s="143"/>
      <c r="BA1229" s="143"/>
      <c r="BB1229" s="143"/>
      <c r="BC1229" s="143"/>
      <c r="BD1229" s="143"/>
      <c r="BE1229" s="143"/>
      <c r="BF1229" s="143"/>
      <c r="BG1229" s="143"/>
      <c r="BH1229" s="143"/>
      <c r="BI1229" s="143"/>
      <c r="BJ1229" s="143"/>
      <c r="BK1229" s="143"/>
      <c r="BL1229" s="143"/>
      <c r="BM1229" s="143"/>
      <c r="BN1229" s="143"/>
      <c r="BO1229" s="143"/>
      <c r="BP1229" s="143"/>
      <c r="BQ1229" s="143"/>
      <c r="BR1229" s="143"/>
      <c r="BS1229" s="143"/>
      <c r="BT1229" s="143"/>
      <c r="BU1229" s="143"/>
    </row>
    <row r="1230" spans="1:73" s="73" customFormat="1" ht="15" customHeight="1">
      <c r="A1230" s="170"/>
      <c r="B1230" s="170"/>
      <c r="C1230" s="147"/>
      <c r="D1230" s="170"/>
      <c r="E1230" s="170"/>
      <c r="F1230" s="170"/>
      <c r="G1230" s="1423" t="s">
        <v>324</v>
      </c>
      <c r="H1230" s="170"/>
      <c r="I1230" s="1862">
        <f>1.25*(X1229+AB1229+AF1229)</f>
        <v>-4295.9749999999995</v>
      </c>
      <c r="J1230" s="1862"/>
      <c r="K1230" s="1862"/>
      <c r="L1230" s="1862"/>
      <c r="M1230" s="170" t="s">
        <v>1005</v>
      </c>
      <c r="N1230" s="170"/>
      <c r="O1230" s="170"/>
      <c r="P1230" s="170"/>
      <c r="Q1230" s="170"/>
      <c r="R1230" s="170"/>
      <c r="S1230" s="124"/>
      <c r="T1230" s="170"/>
      <c r="U1230" s="170"/>
      <c r="V1230" s="170"/>
      <c r="W1230" s="170"/>
      <c r="AA1230" s="170"/>
      <c r="AC1230" s="143"/>
      <c r="AD1230" s="1561"/>
      <c r="AF1230" s="1561"/>
      <c r="AS1230" s="1627"/>
      <c r="AT1230" s="143"/>
      <c r="AU1230" s="143"/>
      <c r="AV1230" s="143"/>
      <c r="AW1230" s="143"/>
      <c r="AX1230" s="143"/>
      <c r="AY1230" s="143"/>
      <c r="AZ1230" s="143"/>
      <c r="BA1230" s="143"/>
      <c r="BB1230" s="143"/>
      <c r="BC1230" s="143"/>
      <c r="BD1230" s="143"/>
      <c r="BE1230" s="143"/>
      <c r="BF1230" s="143"/>
      <c r="BG1230" s="143"/>
      <c r="BH1230" s="143"/>
      <c r="BI1230" s="143"/>
      <c r="BJ1230" s="143"/>
      <c r="BK1230" s="143"/>
      <c r="BL1230" s="143"/>
      <c r="BM1230" s="143"/>
      <c r="BN1230" s="143"/>
      <c r="BO1230" s="143"/>
      <c r="BP1230" s="143"/>
      <c r="BQ1230" s="143"/>
      <c r="BR1230" s="143"/>
      <c r="BS1230" s="143"/>
      <c r="BT1230" s="143"/>
      <c r="BU1230" s="143"/>
    </row>
    <row r="1231" spans="1:73" s="73" customFormat="1" ht="15" customHeight="1">
      <c r="A1231" s="170"/>
      <c r="B1231" s="170"/>
      <c r="C1231" s="147"/>
      <c r="D1231" s="170"/>
      <c r="E1231" s="170" t="s">
        <v>423</v>
      </c>
      <c r="F1231" s="170"/>
      <c r="G1231" s="1423" t="s">
        <v>324</v>
      </c>
      <c r="H1231" s="170"/>
      <c r="I1231" s="1540" t="s">
        <v>2994</v>
      </c>
      <c r="J1231" s="1539"/>
      <c r="K1231" s="1539"/>
      <c r="L1231" s="1539"/>
      <c r="M1231" s="170"/>
      <c r="N1231" s="170"/>
      <c r="O1231" s="170"/>
      <c r="P1231" s="170"/>
      <c r="Q1231" s="170"/>
      <c r="R1231" s="170"/>
      <c r="S1231" s="124" t="s">
        <v>324</v>
      </c>
      <c r="T1231" s="170"/>
      <c r="U1231" s="1862">
        <f>+I1230</f>
        <v>-4295.9749999999995</v>
      </c>
      <c r="V1231" s="1862"/>
      <c r="W1231" s="1862"/>
      <c r="X1231" s="1862"/>
      <c r="Y1231" s="76" t="s">
        <v>2874</v>
      </c>
      <c r="AA1231" s="170"/>
      <c r="AC1231" s="143"/>
      <c r="AD1231" s="1561"/>
      <c r="AF1231" s="2110">
        <f>+Z1159</f>
        <v>0.125</v>
      </c>
      <c r="AG1231" s="2111"/>
      <c r="AH1231" s="2111"/>
      <c r="AI1231" s="76" t="s">
        <v>2800</v>
      </c>
      <c r="AS1231" s="1627"/>
      <c r="AT1231" s="143"/>
      <c r="AU1231" s="143"/>
      <c r="AV1231" s="143"/>
      <c r="AW1231" s="143"/>
      <c r="AX1231" s="143"/>
      <c r="AY1231" s="143"/>
      <c r="AZ1231" s="143"/>
      <c r="BA1231" s="143"/>
      <c r="BB1231" s="143"/>
      <c r="BC1231" s="143"/>
      <c r="BD1231" s="143"/>
      <c r="BE1231" s="143"/>
      <c r="BF1231" s="143"/>
      <c r="BG1231" s="143"/>
      <c r="BH1231" s="143"/>
      <c r="BI1231" s="143"/>
      <c r="BJ1231" s="143"/>
      <c r="BK1231" s="143"/>
      <c r="BL1231" s="143"/>
      <c r="BM1231" s="143"/>
      <c r="BN1231" s="143"/>
      <c r="BO1231" s="143"/>
      <c r="BP1231" s="143"/>
      <c r="BQ1231" s="143"/>
      <c r="BR1231" s="143"/>
      <c r="BS1231" s="143"/>
      <c r="BT1231" s="143"/>
      <c r="BU1231" s="143"/>
    </row>
    <row r="1232" spans="1:73" s="73" customFormat="1" ht="15" customHeight="1">
      <c r="A1232" s="170"/>
      <c r="B1232" s="170"/>
      <c r="C1232" s="147"/>
      <c r="D1232" s="170"/>
      <c r="E1232" s="170"/>
      <c r="F1232" s="170"/>
      <c r="G1232" s="1423" t="s">
        <v>324</v>
      </c>
      <c r="H1232" s="170"/>
      <c r="I1232" s="1862">
        <f>+I1230/2/COS(ATAN(AF1231))</f>
        <v>-2164.7036081404285</v>
      </c>
      <c r="J1232" s="1862"/>
      <c r="K1232" s="1862"/>
      <c r="L1232" s="1862"/>
      <c r="M1232" s="170" t="s">
        <v>1005</v>
      </c>
      <c r="N1232" s="170"/>
      <c r="O1232" s="170"/>
      <c r="P1232" s="170"/>
      <c r="Q1232" s="170"/>
      <c r="R1232" s="170"/>
      <c r="S1232" s="170"/>
      <c r="T1232" s="170"/>
      <c r="U1232" s="170"/>
      <c r="V1232" s="170"/>
      <c r="W1232" s="170"/>
      <c r="AA1232" s="170"/>
      <c r="AC1232" s="143"/>
      <c r="AD1232" s="1561"/>
      <c r="AF1232" s="1561"/>
      <c r="AS1232" s="1627"/>
      <c r="AT1232" s="143"/>
      <c r="AU1232" s="143"/>
      <c r="AV1232" s="143"/>
      <c r="AW1232" s="143"/>
      <c r="AX1232" s="143"/>
      <c r="AY1232" s="143"/>
      <c r="AZ1232" s="143"/>
      <c r="BA1232" s="143"/>
      <c r="BB1232" s="143"/>
      <c r="BC1232" s="143"/>
      <c r="BD1232" s="143"/>
      <c r="BE1232" s="143"/>
      <c r="BF1232" s="143"/>
      <c r="BG1232" s="143"/>
      <c r="BH1232" s="143"/>
      <c r="BI1232" s="143"/>
      <c r="BJ1232" s="143"/>
      <c r="BK1232" s="143"/>
      <c r="BL1232" s="143"/>
      <c r="BM1232" s="143"/>
      <c r="BN1232" s="143"/>
      <c r="BO1232" s="143"/>
      <c r="BP1232" s="143"/>
      <c r="BQ1232" s="143"/>
      <c r="BR1232" s="143"/>
      <c r="BS1232" s="143"/>
      <c r="BT1232" s="143"/>
      <c r="BU1232" s="143"/>
    </row>
    <row r="1233" spans="1:73" s="73" customFormat="1" ht="15" customHeight="1">
      <c r="A1233" s="170"/>
      <c r="B1233" s="170"/>
      <c r="C1233" s="147"/>
      <c r="D1233" s="170"/>
      <c r="E1233" s="170"/>
      <c r="F1233" s="170"/>
      <c r="G1233" s="1423"/>
      <c r="H1233" s="170"/>
      <c r="I1233" s="1539"/>
      <c r="J1233" s="1539"/>
      <c r="K1233" s="1539"/>
      <c r="L1233" s="1539"/>
      <c r="M1233" s="170"/>
      <c r="N1233" s="170"/>
      <c r="O1233" s="170"/>
      <c r="P1233" s="170"/>
      <c r="Q1233" s="170"/>
      <c r="R1233" s="170"/>
      <c r="S1233" s="170"/>
      <c r="T1233" s="170"/>
      <c r="U1233" s="170"/>
      <c r="V1233" s="170"/>
      <c r="W1233" s="170"/>
      <c r="AA1233" s="170"/>
      <c r="AC1233" s="143"/>
      <c r="AD1233" s="1561"/>
      <c r="AF1233" s="1561"/>
      <c r="AS1233" s="1627"/>
      <c r="AT1233" s="143"/>
      <c r="AU1233" s="143"/>
      <c r="AV1233" s="143"/>
      <c r="AW1233" s="143"/>
      <c r="AX1233" s="143"/>
      <c r="AY1233" s="143"/>
      <c r="AZ1233" s="143"/>
      <c r="BA1233" s="143"/>
      <c r="BB1233" s="143"/>
      <c r="BC1233" s="143"/>
      <c r="BD1233" s="143"/>
      <c r="BE1233" s="143"/>
      <c r="BF1233" s="143"/>
      <c r="BG1233" s="143"/>
      <c r="BH1233" s="143"/>
      <c r="BI1233" s="143"/>
      <c r="BJ1233" s="143"/>
      <c r="BK1233" s="143"/>
      <c r="BL1233" s="143"/>
      <c r="BM1233" s="143"/>
      <c r="BN1233" s="143"/>
      <c r="BO1233" s="143"/>
      <c r="BP1233" s="143"/>
      <c r="BQ1233" s="143"/>
      <c r="BR1233" s="143"/>
      <c r="BS1233" s="143"/>
      <c r="BT1233" s="143"/>
      <c r="BU1233" s="143"/>
    </row>
    <row r="1234" spans="1:73" s="73" customFormat="1" ht="15" customHeight="1">
      <c r="A1234" s="170"/>
      <c r="B1234" s="143"/>
      <c r="C1234" s="1177" t="s">
        <v>2856</v>
      </c>
      <c r="D1234" s="170" t="s">
        <v>2999</v>
      </c>
      <c r="E1234" s="136"/>
      <c r="F1234" s="170"/>
      <c r="G1234" s="100"/>
      <c r="H1234" s="170"/>
      <c r="I1234" s="170"/>
      <c r="J1234" s="170"/>
      <c r="K1234" s="170"/>
      <c r="L1234" s="1539"/>
      <c r="M1234" s="170"/>
      <c r="N1234" s="170"/>
      <c r="O1234" s="170"/>
      <c r="P1234" s="170"/>
      <c r="Q1234" s="170"/>
      <c r="R1234" s="170"/>
      <c r="S1234" s="170"/>
      <c r="T1234" s="170"/>
      <c r="U1234" s="170"/>
      <c r="V1234" s="170"/>
      <c r="W1234" s="170"/>
      <c r="X1234" s="170"/>
      <c r="Y1234" s="1539"/>
      <c r="Z1234" s="170"/>
      <c r="AA1234" s="170"/>
      <c r="AC1234" s="143"/>
      <c r="AD1234" s="1561"/>
      <c r="AF1234" s="1561"/>
      <c r="AS1234" s="1627"/>
      <c r="AT1234" s="143"/>
      <c r="AU1234" s="143"/>
      <c r="AV1234" s="143"/>
      <c r="AW1234" s="143"/>
      <c r="AX1234" s="143"/>
      <c r="AY1234" s="143"/>
      <c r="AZ1234" s="143"/>
      <c r="BA1234" s="143"/>
      <c r="BB1234" s="143"/>
      <c r="BC1234" s="143"/>
      <c r="BD1234" s="143"/>
      <c r="BE1234" s="143"/>
      <c r="BF1234" s="143"/>
      <c r="BG1234" s="143"/>
      <c r="BH1234" s="143"/>
      <c r="BI1234" s="143"/>
      <c r="BJ1234" s="143"/>
      <c r="BK1234" s="143"/>
      <c r="BL1234" s="143"/>
      <c r="BM1234" s="143"/>
      <c r="BN1234" s="143"/>
      <c r="BO1234" s="143"/>
      <c r="BP1234" s="143"/>
      <c r="BQ1234" s="143"/>
      <c r="BR1234" s="143"/>
      <c r="BS1234" s="143"/>
      <c r="BT1234" s="143"/>
      <c r="BU1234" s="143"/>
    </row>
    <row r="1235" spans="1:73" s="73" customFormat="1" ht="15" customHeight="1">
      <c r="A1235" s="134"/>
      <c r="B1235" s="143"/>
      <c r="C1235" s="143"/>
      <c r="D1235" s="170"/>
      <c r="E1235" s="170" t="s">
        <v>898</v>
      </c>
      <c r="F1235" s="170"/>
      <c r="G1235" s="1423" t="s">
        <v>324</v>
      </c>
      <c r="H1235" s="170"/>
      <c r="I1235" s="170" t="s">
        <v>2878</v>
      </c>
      <c r="J1235" s="170"/>
      <c r="K1235" s="124"/>
      <c r="L1235" s="1549"/>
      <c r="M1235" s="170"/>
      <c r="O1235" s="170"/>
      <c r="P1235" s="170"/>
      <c r="Q1235" s="170"/>
      <c r="R1235" s="170"/>
      <c r="S1235" s="170"/>
      <c r="T1235" s="170"/>
      <c r="U1235" s="170"/>
      <c r="V1235" s="170"/>
      <c r="W1235" s="170"/>
      <c r="X1235" s="170"/>
      <c r="Y1235" s="1539"/>
      <c r="Z1235" s="170"/>
      <c r="AA1235" s="170"/>
      <c r="AC1235" s="143"/>
      <c r="AD1235" s="1561"/>
      <c r="AF1235" s="1561"/>
      <c r="AS1235" s="1627"/>
      <c r="AT1235" s="143"/>
      <c r="AU1235" s="143"/>
      <c r="AV1235" s="143"/>
      <c r="AW1235" s="143"/>
      <c r="AX1235" s="143"/>
      <c r="AY1235" s="143"/>
      <c r="AZ1235" s="143"/>
      <c r="BA1235" s="143"/>
      <c r="BB1235" s="143"/>
      <c r="BC1235" s="143"/>
      <c r="BD1235" s="143"/>
      <c r="BE1235" s="143"/>
      <c r="BF1235" s="143"/>
      <c r="BG1235" s="143"/>
      <c r="BH1235" s="143"/>
      <c r="BI1235" s="143"/>
      <c r="BJ1235" s="143"/>
      <c r="BK1235" s="143"/>
      <c r="BL1235" s="143"/>
      <c r="BM1235" s="143"/>
      <c r="BN1235" s="143"/>
      <c r="BO1235" s="143"/>
      <c r="BP1235" s="143"/>
      <c r="BQ1235" s="143"/>
      <c r="BR1235" s="143"/>
      <c r="BS1235" s="143"/>
      <c r="BT1235" s="143"/>
      <c r="BU1235" s="143"/>
    </row>
    <row r="1236" spans="1:73" s="73" customFormat="1" ht="15" customHeight="1">
      <c r="A1236" s="134"/>
      <c r="B1236" s="143"/>
      <c r="C1236" s="143"/>
      <c r="D1236" s="170"/>
      <c r="E1236" s="170" t="s">
        <v>427</v>
      </c>
      <c r="F1236" s="170"/>
      <c r="G1236" s="1423" t="s">
        <v>324</v>
      </c>
      <c r="H1236" s="170"/>
      <c r="I1236" s="170" t="s">
        <v>2880</v>
      </c>
      <c r="J1236" s="170"/>
      <c r="K1236" s="124"/>
      <c r="L1236" s="1549"/>
      <c r="M1236" s="170"/>
      <c r="N1236" s="124" t="s">
        <v>324</v>
      </c>
      <c r="O1236" s="170" t="s">
        <v>2896</v>
      </c>
      <c r="P1236" s="170"/>
      <c r="Q1236" s="170"/>
      <c r="R1236" s="2093">
        <f>+AE511</f>
        <v>355</v>
      </c>
      <c r="S1236" s="1862"/>
      <c r="T1236" s="1862"/>
      <c r="U1236" s="124" t="s">
        <v>2489</v>
      </c>
      <c r="V1236" s="1862">
        <f>+I1262</f>
        <v>3224.9030993194201</v>
      </c>
      <c r="W1236" s="1862"/>
      <c r="X1236" s="1862"/>
      <c r="Y1236" s="1549" t="s">
        <v>2489</v>
      </c>
      <c r="Z1236" s="2094">
        <f>+AE457</f>
        <v>14</v>
      </c>
      <c r="AA1236" s="1862"/>
      <c r="AC1236" s="143"/>
      <c r="AD1236" s="1561"/>
      <c r="AF1236" s="1561"/>
      <c r="AS1236" s="1627"/>
      <c r="AT1236" s="143"/>
      <c r="AU1236" s="143"/>
      <c r="AV1236" s="143"/>
      <c r="AW1236" s="143"/>
      <c r="AX1236" s="143"/>
      <c r="AY1236" s="143"/>
      <c r="AZ1236" s="143"/>
      <c r="BA1236" s="143"/>
      <c r="BB1236" s="143"/>
      <c r="BC1236" s="143"/>
      <c r="BD1236" s="143"/>
      <c r="BE1236" s="143"/>
      <c r="BF1236" s="143"/>
      <c r="BG1236" s="143"/>
      <c r="BH1236" s="143"/>
      <c r="BI1236" s="143"/>
      <c r="BJ1236" s="143"/>
      <c r="BK1236" s="143"/>
      <c r="BL1236" s="143"/>
      <c r="BM1236" s="143"/>
      <c r="BN1236" s="143"/>
      <c r="BO1236" s="143"/>
      <c r="BP1236" s="143"/>
      <c r="BQ1236" s="143"/>
      <c r="BR1236" s="143"/>
      <c r="BS1236" s="143"/>
      <c r="BT1236" s="143"/>
      <c r="BU1236" s="143"/>
    </row>
    <row r="1237" spans="1:73" s="73" customFormat="1" ht="15" customHeight="1">
      <c r="A1237" s="134"/>
      <c r="B1237" s="143"/>
      <c r="C1237" s="143"/>
      <c r="D1237" s="170"/>
      <c r="E1237" s="170"/>
      <c r="F1237" s="170"/>
      <c r="G1237" s="1423" t="s">
        <v>324</v>
      </c>
      <c r="H1237" s="170"/>
      <c r="I1237" s="1862">
        <f>0.58*R1236*V1236*Z1236/10^3</f>
        <v>9296.1056740981585</v>
      </c>
      <c r="J1237" s="1862"/>
      <c r="K1237" s="1862"/>
      <c r="L1237" s="1541" t="s">
        <v>1005</v>
      </c>
      <c r="M1237" s="170"/>
      <c r="N1237" s="124"/>
      <c r="O1237" s="170"/>
      <c r="P1237" s="170"/>
      <c r="Q1237" s="170"/>
      <c r="R1237" s="1556"/>
      <c r="S1237" s="1539"/>
      <c r="T1237" s="1539"/>
      <c r="U1237" s="124"/>
      <c r="V1237" s="1539"/>
      <c r="W1237" s="1539"/>
      <c r="X1237" s="1539"/>
      <c r="Y1237" s="1549"/>
      <c r="Z1237" s="1557"/>
      <c r="AA1237" s="1539"/>
      <c r="AC1237" s="143"/>
      <c r="AD1237" s="1561"/>
      <c r="AF1237" s="1561"/>
      <c r="AS1237" s="1627"/>
      <c r="AT1237" s="143"/>
      <c r="AU1237" s="143"/>
      <c r="AV1237" s="143"/>
      <c r="AW1237" s="143"/>
      <c r="AX1237" s="143"/>
      <c r="AY1237" s="143"/>
      <c r="AZ1237" s="143"/>
      <c r="BA1237" s="143"/>
      <c r="BB1237" s="143"/>
      <c r="BC1237" s="143"/>
      <c r="BD1237" s="143"/>
      <c r="BE1237" s="143"/>
      <c r="BF1237" s="143"/>
      <c r="BG1237" s="143"/>
      <c r="BH1237" s="143"/>
      <c r="BI1237" s="143"/>
      <c r="BJ1237" s="143"/>
      <c r="BK1237" s="143"/>
      <c r="BL1237" s="143"/>
      <c r="BM1237" s="143"/>
      <c r="BN1237" s="143"/>
      <c r="BO1237" s="143"/>
      <c r="BP1237" s="143"/>
      <c r="BQ1237" s="143"/>
      <c r="BR1237" s="143"/>
      <c r="BS1237" s="143"/>
      <c r="BT1237" s="143"/>
      <c r="BU1237" s="143"/>
    </row>
    <row r="1238" spans="1:73" s="73" customFormat="1" ht="15" customHeight="1">
      <c r="A1238" s="134"/>
      <c r="B1238" s="143"/>
      <c r="C1238" s="143"/>
      <c r="D1238" s="170"/>
      <c r="E1238" s="170"/>
      <c r="F1238" s="170"/>
      <c r="G1238" s="1423"/>
      <c r="H1238" s="170"/>
      <c r="I1238" s="1539"/>
      <c r="J1238" s="1539"/>
      <c r="K1238" s="1539"/>
      <c r="L1238" s="1541"/>
      <c r="M1238" s="170"/>
      <c r="N1238" s="124"/>
      <c r="O1238" s="170"/>
      <c r="P1238" s="170"/>
      <c r="Q1238" s="170"/>
      <c r="R1238" s="1556"/>
      <c r="S1238" s="1539"/>
      <c r="T1238" s="1539"/>
      <c r="U1238" s="124"/>
      <c r="V1238" s="1539"/>
      <c r="W1238" s="1539"/>
      <c r="X1238" s="1539"/>
      <c r="Y1238" s="1549"/>
      <c r="Z1238" s="1557"/>
      <c r="AA1238" s="1539"/>
      <c r="AC1238" s="143"/>
      <c r="AD1238" s="1561"/>
      <c r="AF1238" s="1561"/>
      <c r="AS1238" s="1627"/>
      <c r="AT1238" s="143"/>
      <c r="AU1238" s="143"/>
      <c r="AV1238" s="143"/>
      <c r="AW1238" s="143"/>
      <c r="AX1238" s="143"/>
      <c r="AY1238" s="143"/>
      <c r="AZ1238" s="143"/>
      <c r="BA1238" s="143"/>
      <c r="BB1238" s="143"/>
      <c r="BC1238" s="143"/>
      <c r="BD1238" s="143"/>
      <c r="BE1238" s="143"/>
      <c r="BF1238" s="143"/>
      <c r="BG1238" s="143"/>
      <c r="BH1238" s="143"/>
      <c r="BI1238" s="143"/>
      <c r="BJ1238" s="143"/>
      <c r="BK1238" s="143"/>
      <c r="BL1238" s="143"/>
      <c r="BM1238" s="143"/>
      <c r="BN1238" s="143"/>
      <c r="BO1238" s="143"/>
      <c r="BP1238" s="143"/>
      <c r="BQ1238" s="143"/>
      <c r="BR1238" s="143"/>
      <c r="BS1238" s="143"/>
      <c r="BT1238" s="143"/>
      <c r="BU1238" s="143"/>
    </row>
    <row r="1239" spans="1:73" s="73" customFormat="1" ht="15" customHeight="1">
      <c r="A1239" s="170"/>
      <c r="B1239" s="143"/>
      <c r="C1239" s="1177" t="s">
        <v>2856</v>
      </c>
      <c r="D1239" s="170" t="s">
        <v>2881</v>
      </c>
      <c r="E1239" s="136"/>
      <c r="F1239" s="170"/>
      <c r="G1239" s="100"/>
      <c r="H1239" s="170"/>
      <c r="I1239" s="170"/>
      <c r="J1239" s="170"/>
      <c r="K1239" s="170"/>
      <c r="L1239" s="1539"/>
      <c r="M1239" s="170"/>
      <c r="N1239" s="170"/>
      <c r="O1239" s="170"/>
      <c r="P1239" s="170"/>
      <c r="Q1239" s="170"/>
      <c r="R1239" s="170"/>
      <c r="S1239" s="170"/>
      <c r="T1239" s="170"/>
      <c r="U1239" s="170"/>
      <c r="V1239" s="170"/>
      <c r="W1239" s="170"/>
      <c r="X1239" s="170"/>
      <c r="Y1239" s="1539"/>
      <c r="Z1239" s="170"/>
      <c r="AA1239" s="170"/>
      <c r="AC1239" s="143"/>
      <c r="AD1239" s="1561"/>
      <c r="AF1239" s="1561"/>
      <c r="AS1239" s="1627"/>
      <c r="AT1239" s="143"/>
      <c r="AU1239" s="143"/>
      <c r="AV1239" s="143"/>
      <c r="AW1239" s="143"/>
      <c r="AX1239" s="143"/>
      <c r="AY1239" s="143"/>
      <c r="AZ1239" s="143"/>
      <c r="BA1239" s="143"/>
      <c r="BB1239" s="143"/>
      <c r="BC1239" s="143"/>
      <c r="BD1239" s="143"/>
      <c r="BE1239" s="143"/>
      <c r="BF1239" s="143"/>
      <c r="BG1239" s="143"/>
      <c r="BH1239" s="143"/>
      <c r="BI1239" s="143"/>
      <c r="BJ1239" s="143"/>
      <c r="BK1239" s="143"/>
      <c r="BL1239" s="143"/>
      <c r="BM1239" s="143"/>
      <c r="BN1239" s="143"/>
      <c r="BO1239" s="143"/>
      <c r="BP1239" s="143"/>
      <c r="BQ1239" s="143"/>
      <c r="BR1239" s="143"/>
      <c r="BS1239" s="143"/>
      <c r="BT1239" s="143"/>
      <c r="BU1239" s="143"/>
    </row>
    <row r="1240" spans="1:73" s="73" customFormat="1" ht="20.100000000000001" customHeight="1">
      <c r="A1240" s="143"/>
      <c r="B1240" s="143"/>
      <c r="C1240" s="148" t="s">
        <v>134</v>
      </c>
      <c r="D1240" s="141"/>
      <c r="E1240" s="148"/>
      <c r="F1240" s="148"/>
      <c r="G1240" s="148"/>
      <c r="H1240" s="141"/>
      <c r="I1240" s="141"/>
      <c r="J1240" s="141"/>
      <c r="K1240" s="141"/>
      <c r="L1240" s="141"/>
      <c r="M1240" s="141"/>
      <c r="N1240" s="141"/>
      <c r="O1240" s="141"/>
      <c r="P1240" s="141"/>
      <c r="Q1240" s="141"/>
      <c r="R1240" s="148" t="s">
        <v>128</v>
      </c>
      <c r="S1240" s="141"/>
      <c r="T1240" s="141"/>
      <c r="U1240" s="141"/>
      <c r="V1240" s="141"/>
      <c r="W1240" s="141"/>
      <c r="X1240" s="141"/>
      <c r="Y1240" s="141"/>
      <c r="Z1240" s="141"/>
      <c r="AA1240" s="141"/>
      <c r="AC1240" s="143"/>
      <c r="AD1240" s="1561"/>
      <c r="AF1240" s="1561"/>
      <c r="AS1240" s="1627"/>
      <c r="AT1240" s="143"/>
      <c r="AU1240" s="143"/>
      <c r="AV1240" s="143"/>
      <c r="AW1240" s="143"/>
      <c r="AX1240" s="143"/>
      <c r="AY1240" s="143"/>
      <c r="AZ1240" s="143"/>
      <c r="BA1240" s="143"/>
      <c r="BB1240" s="143"/>
      <c r="BC1240" s="143"/>
      <c r="BD1240" s="143"/>
      <c r="BE1240" s="143"/>
      <c r="BF1240" s="143"/>
      <c r="BG1240" s="143"/>
      <c r="BH1240" s="143"/>
      <c r="BI1240" s="143"/>
      <c r="BJ1240" s="143"/>
      <c r="BK1240" s="143"/>
      <c r="BL1240" s="143"/>
      <c r="BM1240" s="143"/>
      <c r="BN1240" s="143"/>
      <c r="BO1240" s="143"/>
      <c r="BP1240" s="143"/>
      <c r="BQ1240" s="143"/>
      <c r="BR1240" s="143"/>
      <c r="BS1240" s="143"/>
      <c r="BT1240" s="143"/>
      <c r="BU1240" s="143"/>
    </row>
    <row r="1241" spans="1:73" s="73" customFormat="1" ht="20.100000000000001" customHeight="1">
      <c r="A1241" s="143"/>
      <c r="B1241" s="143"/>
      <c r="C1241" s="170" t="s">
        <v>1707</v>
      </c>
      <c r="D1241" s="170"/>
      <c r="E1241" s="170"/>
      <c r="F1241" s="170"/>
      <c r="G1241" s="170"/>
      <c r="H1241" s="170"/>
      <c r="J1241" s="170"/>
      <c r="K1241" s="170"/>
      <c r="L1241" s="1547"/>
      <c r="M1241" s="143"/>
      <c r="N1241" s="143"/>
      <c r="O1241" s="143"/>
      <c r="Q1241" s="143"/>
      <c r="R1241" s="2106">
        <v>1</v>
      </c>
      <c r="S1241" s="2106"/>
      <c r="T1241" s="2106"/>
      <c r="U1241" s="143"/>
      <c r="V1241" s="143"/>
      <c r="W1241" s="143"/>
      <c r="X1241" s="143"/>
      <c r="Y1241" s="1547"/>
      <c r="Z1241" s="143"/>
      <c r="AA1241" s="76" t="s">
        <v>417</v>
      </c>
      <c r="AC1241" s="143"/>
      <c r="AD1241" s="1561"/>
      <c r="AF1241" s="1561"/>
      <c r="AS1241" s="1627"/>
      <c r="AT1241" s="143"/>
      <c r="AU1241" s="143"/>
      <c r="AV1241" s="143"/>
      <c r="AW1241" s="143"/>
      <c r="AX1241" s="143"/>
      <c r="AY1241" s="143"/>
      <c r="AZ1241" s="143"/>
      <c r="BA1241" s="143"/>
      <c r="BB1241" s="143"/>
      <c r="BC1241" s="143"/>
      <c r="BD1241" s="143"/>
      <c r="BE1241" s="143"/>
      <c r="BF1241" s="143"/>
      <c r="BG1241" s="143"/>
      <c r="BH1241" s="143"/>
      <c r="BI1241" s="143"/>
      <c r="BJ1241" s="143"/>
      <c r="BK1241" s="143"/>
      <c r="BL1241" s="143"/>
      <c r="BM1241" s="143"/>
      <c r="BN1241" s="143"/>
      <c r="BO1241" s="143"/>
      <c r="BP1241" s="143"/>
      <c r="BQ1241" s="143"/>
      <c r="BR1241" s="143"/>
      <c r="BS1241" s="143"/>
      <c r="BT1241" s="143"/>
      <c r="BU1241" s="143"/>
    </row>
    <row r="1242" spans="1:73" ht="20.100000000000001" customHeight="1">
      <c r="C1242" s="170" t="s">
        <v>1708</v>
      </c>
      <c r="D1242" s="170"/>
      <c r="E1242" s="147"/>
      <c r="F1242" s="170"/>
      <c r="G1242" s="170"/>
      <c r="H1242" s="170"/>
      <c r="J1242" s="170"/>
      <c r="K1242" s="170"/>
      <c r="R1242" s="170" t="s">
        <v>1709</v>
      </c>
      <c r="AA1242" s="138" t="s">
        <v>447</v>
      </c>
    </row>
    <row r="1243" spans="1:73" ht="20.100000000000001" customHeight="1">
      <c r="C1243" s="145" t="s">
        <v>1710</v>
      </c>
      <c r="D1243" s="145"/>
      <c r="E1243" s="149"/>
      <c r="F1243" s="145"/>
      <c r="G1243" s="145"/>
      <c r="H1243" s="145"/>
      <c r="I1243" s="145"/>
      <c r="J1243" s="145"/>
      <c r="K1243" s="145"/>
      <c r="L1243" s="145"/>
      <c r="M1243" s="145"/>
      <c r="N1243" s="145"/>
      <c r="O1243" s="145"/>
      <c r="P1243" s="145"/>
      <c r="Q1243" s="145"/>
      <c r="R1243" s="145" t="s">
        <v>1711</v>
      </c>
      <c r="S1243" s="145"/>
      <c r="T1243" s="145"/>
      <c r="U1243" s="145"/>
      <c r="V1243" s="145"/>
      <c r="W1243" s="145"/>
      <c r="X1243" s="145"/>
      <c r="Y1243" s="145"/>
      <c r="Z1243" s="145"/>
      <c r="AA1243" s="261" t="s">
        <v>448</v>
      </c>
    </row>
    <row r="1244" spans="1:73" s="73" customFormat="1" ht="15" customHeight="1">
      <c r="A1244" s="170"/>
      <c r="B1244" s="143"/>
      <c r="C1244" s="1177"/>
      <c r="D1244" s="170"/>
      <c r="E1244" s="136"/>
      <c r="F1244" s="170"/>
      <c r="G1244" s="100"/>
      <c r="H1244" s="170"/>
      <c r="I1244" s="170"/>
      <c r="J1244" s="170"/>
      <c r="K1244" s="170"/>
      <c r="L1244" s="1539"/>
      <c r="M1244" s="170"/>
      <c r="N1244" s="170"/>
      <c r="O1244" s="170"/>
      <c r="P1244" s="170"/>
      <c r="Q1244" s="170"/>
      <c r="R1244" s="170"/>
      <c r="S1244" s="170"/>
      <c r="T1244" s="170"/>
      <c r="U1244" s="170"/>
      <c r="V1244" s="170"/>
      <c r="W1244" s="170"/>
      <c r="X1244" s="170"/>
      <c r="Y1244" s="1539"/>
      <c r="Z1244" s="170"/>
      <c r="AA1244" s="170"/>
      <c r="AC1244" s="143"/>
      <c r="AD1244" s="1561"/>
      <c r="AF1244" s="1561"/>
      <c r="AS1244" s="1627"/>
      <c r="AT1244" s="143"/>
      <c r="AU1244" s="143"/>
      <c r="AV1244" s="143"/>
      <c r="AW1244" s="143"/>
      <c r="AX1244" s="143"/>
      <c r="AY1244" s="143"/>
      <c r="AZ1244" s="143"/>
      <c r="BA1244" s="143"/>
      <c r="BB1244" s="143"/>
      <c r="BC1244" s="143"/>
      <c r="BD1244" s="143"/>
      <c r="BE1244" s="143"/>
      <c r="BF1244" s="143"/>
      <c r="BG1244" s="143"/>
      <c r="BH1244" s="143"/>
      <c r="BI1244" s="143"/>
      <c r="BJ1244" s="143"/>
      <c r="BK1244" s="143"/>
      <c r="BL1244" s="143"/>
      <c r="BM1244" s="143"/>
      <c r="BN1244" s="143"/>
      <c r="BO1244" s="143"/>
      <c r="BP1244" s="143"/>
      <c r="BQ1244" s="143"/>
      <c r="BR1244" s="143"/>
      <c r="BS1244" s="143"/>
      <c r="BT1244" s="143"/>
      <c r="BU1244" s="143"/>
    </row>
    <row r="1245" spans="1:73" ht="15" customHeight="1">
      <c r="C1245" s="1177" t="s">
        <v>2856</v>
      </c>
      <c r="D1245" s="143" t="s">
        <v>2146</v>
      </c>
      <c r="E1245" s="147"/>
      <c r="F1245" s="136"/>
      <c r="G1245" s="136"/>
      <c r="H1245" s="170"/>
      <c r="I1245" s="170"/>
      <c r="Z1245" s="1547"/>
      <c r="AB1245" s="1547"/>
      <c r="AD1245" s="73"/>
      <c r="AE1245" s="1561"/>
      <c r="AF1245" s="73"/>
      <c r="AR1245" s="143"/>
    </row>
    <row r="1246" spans="1:73" ht="20.100000000000001" customHeight="1">
      <c r="A1246" s="170"/>
      <c r="C1246" s="148" t="s">
        <v>134</v>
      </c>
      <c r="D1246" s="141"/>
      <c r="E1246" s="148"/>
      <c r="F1246" s="148"/>
      <c r="G1246" s="141"/>
      <c r="H1246" s="141"/>
      <c r="I1246" s="141"/>
      <c r="J1246" s="141"/>
      <c r="K1246" s="141"/>
      <c r="L1246" s="141"/>
      <c r="M1246" s="141"/>
      <c r="N1246" s="141"/>
      <c r="O1246" s="141"/>
      <c r="P1246" s="141"/>
      <c r="Q1246" s="141"/>
      <c r="R1246" s="148" t="s">
        <v>425</v>
      </c>
      <c r="S1246" s="141"/>
      <c r="T1246" s="141"/>
      <c r="U1246" s="141"/>
      <c r="V1246" s="141"/>
      <c r="W1246" s="141"/>
      <c r="X1246" s="141"/>
      <c r="Y1246" s="141"/>
      <c r="Z1246" s="141"/>
      <c r="AA1246" s="141"/>
      <c r="AB1246" s="1547"/>
      <c r="AD1246" s="73"/>
      <c r="AE1246" s="1561"/>
      <c r="AF1246" s="73"/>
      <c r="AR1246" s="143"/>
    </row>
    <row r="1247" spans="1:73" ht="20.100000000000001" customHeight="1">
      <c r="A1247" s="170"/>
      <c r="C1247" s="170" t="s">
        <v>992</v>
      </c>
      <c r="D1247" s="170"/>
      <c r="E1247" s="170"/>
      <c r="F1247" s="170"/>
      <c r="G1247" s="170"/>
      <c r="H1247" s="170"/>
      <c r="I1247" s="170"/>
      <c r="J1247" s="170"/>
      <c r="K1247" s="170"/>
      <c r="L1247" s="170"/>
      <c r="M1247" s="170"/>
      <c r="N1247" s="170"/>
      <c r="O1247" s="170"/>
      <c r="P1247" s="170"/>
      <c r="Q1247" s="170"/>
      <c r="R1247" s="2102">
        <v>5</v>
      </c>
      <c r="S1247" s="2102"/>
      <c r="T1247" s="170"/>
      <c r="U1247" s="170"/>
      <c r="V1247" s="170"/>
      <c r="W1247" s="170"/>
      <c r="X1247" s="170"/>
      <c r="Y1247" s="170"/>
      <c r="Z1247" s="170"/>
      <c r="AA1247" s="170"/>
      <c r="AB1247" s="143"/>
      <c r="AR1247" s="143"/>
    </row>
    <row r="1248" spans="1:73" ht="20.100000000000001" customHeight="1">
      <c r="A1248" s="170"/>
      <c r="C1248" s="145" t="s">
        <v>993</v>
      </c>
      <c r="D1248" s="145"/>
      <c r="E1248" s="98"/>
      <c r="F1248" s="145"/>
      <c r="G1248" s="145"/>
      <c r="H1248" s="145"/>
      <c r="I1248" s="145"/>
      <c r="J1248" s="145"/>
      <c r="K1248" s="145"/>
      <c r="L1248" s="145"/>
      <c r="M1248" s="145"/>
      <c r="N1248" s="145"/>
      <c r="O1248" s="145"/>
      <c r="P1248" s="145"/>
      <c r="Q1248" s="145"/>
      <c r="R1248" s="145" t="s">
        <v>1777</v>
      </c>
      <c r="S1248" s="145"/>
      <c r="T1248" s="145"/>
      <c r="U1248" s="145"/>
      <c r="V1248" s="145"/>
      <c r="W1248" s="145"/>
      <c r="X1248" s="145"/>
      <c r="Y1248" s="145"/>
      <c r="Z1248" s="145"/>
      <c r="AA1248" s="145"/>
      <c r="AB1248" s="143"/>
      <c r="AR1248" s="143"/>
    </row>
    <row r="1249" spans="1:73" ht="20.100000000000001" customHeight="1">
      <c r="A1249" s="170"/>
      <c r="C1249" s="170"/>
      <c r="D1249" s="170"/>
      <c r="E1249" s="147"/>
      <c r="F1249" s="170"/>
      <c r="G1249" s="170"/>
      <c r="H1249" s="170"/>
      <c r="I1249" s="170"/>
      <c r="J1249" s="170"/>
      <c r="K1249" s="170"/>
      <c r="L1249" s="170"/>
      <c r="M1249" s="170"/>
      <c r="N1249" s="170"/>
      <c r="O1249" s="170"/>
      <c r="P1249" s="170"/>
      <c r="Q1249" s="170"/>
      <c r="R1249" s="170"/>
      <c r="S1249" s="170"/>
      <c r="T1249" s="170"/>
      <c r="U1249" s="170"/>
      <c r="V1249" s="170"/>
      <c r="W1249" s="170"/>
      <c r="X1249" s="170"/>
      <c r="Y1249" s="170"/>
      <c r="Z1249" s="170"/>
      <c r="AA1249" s="170"/>
      <c r="AB1249" s="143"/>
      <c r="AR1249" s="143"/>
    </row>
    <row r="1250" spans="1:73" ht="15" customHeight="1">
      <c r="C1250" s="1177" t="s">
        <v>2856</v>
      </c>
      <c r="D1250" s="170" t="s">
        <v>133</v>
      </c>
      <c r="E1250" s="170"/>
      <c r="F1250" s="170"/>
      <c r="G1250" s="170"/>
      <c r="H1250" s="116"/>
      <c r="I1250" s="116"/>
      <c r="J1250" s="116"/>
      <c r="L1250" s="143"/>
      <c r="M1250" s="1547"/>
      <c r="Y1250" s="143"/>
      <c r="Z1250" s="1547"/>
      <c r="AB1250" s="1547"/>
      <c r="AD1250" s="73"/>
      <c r="AE1250" s="1561"/>
      <c r="AF1250" s="73"/>
      <c r="AR1250" s="1529" t="s">
        <v>806</v>
      </c>
    </row>
    <row r="1251" spans="1:73" ht="20.100000000000001" customHeight="1">
      <c r="C1251" s="141" t="s">
        <v>134</v>
      </c>
      <c r="D1251" s="141"/>
      <c r="E1251" s="141"/>
      <c r="F1251" s="141"/>
      <c r="G1251" s="141"/>
      <c r="H1251" s="250"/>
      <c r="I1251" s="250"/>
      <c r="J1251" s="141"/>
      <c r="K1251" s="141"/>
      <c r="L1251" s="141"/>
      <c r="M1251" s="141"/>
      <c r="N1251" s="141"/>
      <c r="O1251" s="141"/>
      <c r="P1251" s="141"/>
      <c r="Q1251" s="141"/>
      <c r="R1251" s="141"/>
      <c r="S1251" s="141"/>
      <c r="T1251" s="141"/>
      <c r="U1251" s="250" t="s">
        <v>138</v>
      </c>
      <c r="V1251" s="250"/>
      <c r="W1251" s="250"/>
      <c r="X1251" s="250"/>
      <c r="Y1251" s="250"/>
      <c r="Z1251" s="250"/>
      <c r="AA1251" s="250"/>
      <c r="AB1251" s="1547"/>
      <c r="AD1251" s="73"/>
      <c r="AE1251" s="1561"/>
      <c r="AF1251" s="73"/>
      <c r="AR1251" s="143"/>
    </row>
    <row r="1252" spans="1:73" ht="20.100000000000001" customHeight="1">
      <c r="C1252" s="170" t="s">
        <v>847</v>
      </c>
      <c r="D1252" s="170"/>
      <c r="E1252" s="170"/>
      <c r="F1252" s="170"/>
      <c r="G1252" s="170"/>
      <c r="H1252" s="116"/>
      <c r="I1252" s="116"/>
      <c r="J1252" s="170"/>
      <c r="K1252" s="170"/>
      <c r="L1252" s="170"/>
      <c r="M1252" s="170"/>
      <c r="N1252" s="170"/>
      <c r="O1252" s="170"/>
      <c r="P1252" s="170"/>
      <c r="Q1252" s="170"/>
      <c r="R1252" s="170"/>
      <c r="S1252" s="170"/>
      <c r="T1252" s="170"/>
      <c r="U1252" s="116" t="s">
        <v>135</v>
      </c>
      <c r="V1252" s="116"/>
      <c r="W1252" s="116"/>
      <c r="X1252" s="116"/>
      <c r="Y1252" s="116"/>
      <c r="Z1252" s="116"/>
      <c r="AA1252" s="116"/>
      <c r="AB1252" s="1547"/>
      <c r="AD1252" s="73"/>
      <c r="AE1252" s="1561"/>
      <c r="AF1252" s="73"/>
      <c r="AR1252" s="143"/>
    </row>
    <row r="1253" spans="1:73" ht="20.100000000000001" customHeight="1">
      <c r="C1253" s="170" t="s">
        <v>3001</v>
      </c>
      <c r="D1253" s="170"/>
      <c r="E1253" s="170"/>
      <c r="F1253" s="170"/>
      <c r="G1253" s="170"/>
      <c r="H1253" s="116"/>
      <c r="I1253" s="116"/>
      <c r="J1253" s="170"/>
      <c r="K1253" s="170"/>
      <c r="L1253" s="170"/>
      <c r="M1253" s="170"/>
      <c r="N1253" s="170"/>
      <c r="O1253" s="170"/>
      <c r="P1253" s="170"/>
      <c r="Q1253" s="170"/>
      <c r="R1253" s="170"/>
      <c r="S1253" s="170"/>
      <c r="T1253" s="170"/>
      <c r="U1253" s="116" t="s">
        <v>135</v>
      </c>
      <c r="V1253" s="116"/>
      <c r="W1253" s="116"/>
      <c r="X1253" s="116"/>
      <c r="Y1253" s="116"/>
      <c r="Z1253" s="116"/>
      <c r="AA1253" s="116"/>
      <c r="AB1253" s="1547"/>
      <c r="AD1253" s="73"/>
      <c r="AE1253" s="1561"/>
      <c r="AF1253" s="73"/>
      <c r="AR1253" s="143"/>
    </row>
    <row r="1254" spans="1:73" ht="20.100000000000001" customHeight="1">
      <c r="C1254" s="145" t="s">
        <v>136</v>
      </c>
      <c r="D1254" s="145"/>
      <c r="E1254" s="145"/>
      <c r="F1254" s="145"/>
      <c r="G1254" s="145"/>
      <c r="H1254" s="117"/>
      <c r="I1254" s="117"/>
      <c r="J1254" s="145"/>
      <c r="K1254" s="145"/>
      <c r="L1254" s="145"/>
      <c r="M1254" s="145"/>
      <c r="N1254" s="145"/>
      <c r="O1254" s="145"/>
      <c r="P1254" s="145"/>
      <c r="Q1254" s="145"/>
      <c r="R1254" s="145"/>
      <c r="S1254" s="145"/>
      <c r="T1254" s="145"/>
      <c r="U1254" s="117" t="s">
        <v>137</v>
      </c>
      <c r="V1254" s="117"/>
      <c r="W1254" s="117"/>
      <c r="X1254" s="117"/>
      <c r="Y1254" s="117"/>
      <c r="Z1254" s="117"/>
      <c r="AA1254" s="117"/>
      <c r="AB1254" s="1547"/>
      <c r="AD1254" s="73"/>
      <c r="AE1254" s="1561"/>
      <c r="AF1254" s="73"/>
      <c r="AR1254" s="143"/>
    </row>
    <row r="1255" spans="1:73" ht="20.100000000000001" customHeight="1">
      <c r="C1255" s="170"/>
      <c r="D1255" s="170"/>
      <c r="E1255" s="170"/>
      <c r="F1255" s="170"/>
      <c r="G1255" s="170"/>
      <c r="H1255" s="116"/>
      <c r="I1255" s="116"/>
      <c r="J1255" s="170"/>
      <c r="K1255" s="170"/>
      <c r="L1255" s="170"/>
      <c r="M1255" s="170"/>
      <c r="N1255" s="170"/>
      <c r="O1255" s="170"/>
      <c r="P1255" s="170"/>
      <c r="Q1255" s="170"/>
      <c r="R1255" s="170"/>
      <c r="S1255" s="170"/>
      <c r="T1255" s="170"/>
      <c r="U1255" s="116"/>
      <c r="V1255" s="116"/>
      <c r="W1255" s="116"/>
      <c r="X1255" s="116"/>
      <c r="Y1255" s="116"/>
      <c r="Z1255" s="116"/>
      <c r="AA1255" s="116"/>
      <c r="AB1255" s="1547"/>
      <c r="AD1255" s="73"/>
      <c r="AE1255" s="1561"/>
      <c r="AF1255" s="73"/>
      <c r="AR1255" s="143"/>
    </row>
    <row r="1256" spans="1:73" s="73" customFormat="1" ht="15" customHeight="1">
      <c r="A1256" s="170"/>
      <c r="B1256" s="1441"/>
      <c r="C1256" s="1632"/>
      <c r="D1256" s="1443"/>
      <c r="E1256" s="1443" t="s">
        <v>424</v>
      </c>
      <c r="F1256" s="1443"/>
      <c r="G1256" s="1633" t="s">
        <v>324</v>
      </c>
      <c r="H1256" s="1443"/>
      <c r="I1256" s="2113">
        <f>+AE474</f>
        <v>2500</v>
      </c>
      <c r="J1256" s="2114"/>
      <c r="K1256" s="2114"/>
      <c r="L1256" s="1611" t="s">
        <v>999</v>
      </c>
      <c r="M1256" s="1443"/>
      <c r="N1256" s="1443"/>
      <c r="O1256" s="1634"/>
      <c r="P1256" s="170"/>
      <c r="Q1256" s="170"/>
      <c r="R1256" s="170"/>
      <c r="S1256" s="170"/>
      <c r="T1256" s="170"/>
      <c r="U1256" s="170"/>
      <c r="V1256" s="170"/>
      <c r="W1256" s="170"/>
      <c r="X1256" s="170"/>
      <c r="Y1256" s="1539"/>
      <c r="Z1256" s="170"/>
      <c r="AA1256" s="170"/>
      <c r="AC1256" s="143"/>
      <c r="AD1256" s="1561"/>
      <c r="AF1256" s="1561"/>
      <c r="AS1256" s="1627"/>
      <c r="AT1256" s="143"/>
      <c r="AU1256" s="143"/>
      <c r="AV1256" s="143"/>
      <c r="AW1256" s="143"/>
      <c r="AX1256" s="143"/>
      <c r="AY1256" s="143"/>
      <c r="AZ1256" s="143"/>
      <c r="BA1256" s="143"/>
      <c r="BB1256" s="143"/>
      <c r="BC1256" s="143"/>
      <c r="BD1256" s="143"/>
      <c r="BE1256" s="143"/>
      <c r="BF1256" s="143"/>
      <c r="BG1256" s="143"/>
      <c r="BH1256" s="143"/>
      <c r="BI1256" s="143"/>
      <c r="BJ1256" s="143"/>
      <c r="BK1256" s="143"/>
      <c r="BL1256" s="143"/>
      <c r="BM1256" s="143"/>
      <c r="BN1256" s="143"/>
      <c r="BO1256" s="143"/>
      <c r="BP1256" s="143"/>
      <c r="BQ1256" s="143"/>
      <c r="BR1256" s="143"/>
      <c r="BS1256" s="143"/>
      <c r="BT1256" s="143"/>
      <c r="BU1256" s="143"/>
    </row>
    <row r="1257" spans="1:73" s="73" customFormat="1" ht="15" customHeight="1">
      <c r="A1257" s="170"/>
      <c r="B1257" s="1210"/>
      <c r="C1257" s="1635"/>
      <c r="D1257" s="170"/>
      <c r="E1257" s="89" t="str">
        <f>IF(I1258="있음","3.0D","1.5D")</f>
        <v>3.0D</v>
      </c>
      <c r="F1257" s="170"/>
      <c r="G1257" s="1423" t="s">
        <v>324</v>
      </c>
      <c r="H1257" s="170"/>
      <c r="I1257" s="2103">
        <f>IF(I1258="있음",3*AE456,1.5*AE456)</f>
        <v>9600</v>
      </c>
      <c r="J1257" s="1870"/>
      <c r="K1257" s="1870"/>
      <c r="L1257" s="1540" t="s">
        <v>999</v>
      </c>
      <c r="M1257" s="170"/>
      <c r="N1257" s="170"/>
      <c r="O1257" s="419"/>
      <c r="P1257" s="170"/>
      <c r="Q1257" s="73" t="s">
        <v>2462</v>
      </c>
      <c r="S1257" s="1422" t="str">
        <f>+IF(I1256&lt;=I1257,"Stiffened web","Unstiffened web")</f>
        <v>Stiffened web</v>
      </c>
      <c r="U1257" s="170"/>
      <c r="V1257" s="170"/>
      <c r="AA1257" s="170"/>
      <c r="AC1257" s="143"/>
      <c r="AD1257" s="1561"/>
      <c r="AF1257" s="1561"/>
      <c r="AS1257" s="1627"/>
      <c r="AT1257" s="143"/>
      <c r="AU1257" s="143"/>
      <c r="AV1257" s="143"/>
      <c r="AW1257" s="143"/>
      <c r="AX1257" s="143"/>
      <c r="AY1257" s="143"/>
      <c r="AZ1257" s="143"/>
      <c r="BA1257" s="143"/>
      <c r="BB1257" s="143"/>
      <c r="BC1257" s="143"/>
      <c r="BD1257" s="143"/>
      <c r="BE1257" s="143"/>
      <c r="BF1257" s="143"/>
      <c r="BG1257" s="143"/>
      <c r="BH1257" s="143"/>
      <c r="BI1257" s="143"/>
      <c r="BJ1257" s="143"/>
      <c r="BK1257" s="143"/>
      <c r="BL1257" s="143"/>
      <c r="BM1257" s="143"/>
      <c r="BN1257" s="143"/>
      <c r="BO1257" s="143"/>
      <c r="BP1257" s="143"/>
      <c r="BQ1257" s="143"/>
      <c r="BR1257" s="143"/>
      <c r="BS1257" s="143"/>
      <c r="BT1257" s="143"/>
      <c r="BU1257" s="143"/>
    </row>
    <row r="1258" spans="1:73" s="73" customFormat="1" ht="15" customHeight="1">
      <c r="A1258" s="170"/>
      <c r="B1258" s="1448"/>
      <c r="C1258" s="1636"/>
      <c r="D1258" s="1333"/>
      <c r="E1258" s="1512" t="s">
        <v>3000</v>
      </c>
      <c r="F1258" s="1333"/>
      <c r="G1258" s="1637" t="s">
        <v>324</v>
      </c>
      <c r="H1258" s="1333"/>
      <c r="I1258" s="1638" t="str">
        <f>IF(AE473&gt;0,"있음","없음")</f>
        <v>있음</v>
      </c>
      <c r="J1258" s="1573"/>
      <c r="K1258" s="1573"/>
      <c r="L1258" s="1573"/>
      <c r="M1258" s="1333"/>
      <c r="N1258" s="1333"/>
      <c r="O1258" s="740"/>
      <c r="P1258" s="170"/>
      <c r="Q1258" s="170"/>
      <c r="R1258" s="170"/>
      <c r="S1258" s="170"/>
      <c r="T1258" s="170"/>
      <c r="U1258" s="170"/>
      <c r="V1258" s="170"/>
      <c r="W1258" s="170"/>
      <c r="X1258" s="170"/>
      <c r="Y1258" s="1539"/>
      <c r="Z1258" s="170"/>
      <c r="AA1258" s="170"/>
      <c r="AC1258" s="143"/>
      <c r="AD1258" s="1561"/>
      <c r="AF1258" s="1561"/>
      <c r="AS1258" s="1627"/>
      <c r="AT1258" s="143"/>
      <c r="AU1258" s="143"/>
      <c r="AV1258" s="143"/>
      <c r="AW1258" s="143"/>
      <c r="AX1258" s="143"/>
      <c r="AY1258" s="143"/>
      <c r="AZ1258" s="143"/>
      <c r="BA1258" s="143"/>
      <c r="BB1258" s="143"/>
      <c r="BC1258" s="143"/>
      <c r="BD1258" s="143"/>
      <c r="BE1258" s="143"/>
      <c r="BF1258" s="143"/>
      <c r="BG1258" s="143"/>
      <c r="BH1258" s="143"/>
      <c r="BI1258" s="143"/>
      <c r="BJ1258" s="143"/>
      <c r="BK1258" s="143"/>
      <c r="BL1258" s="143"/>
      <c r="BM1258" s="143"/>
      <c r="BN1258" s="143"/>
      <c r="BO1258" s="143"/>
      <c r="BP1258" s="143"/>
      <c r="BQ1258" s="143"/>
      <c r="BR1258" s="143"/>
      <c r="BS1258" s="143"/>
      <c r="BT1258" s="143"/>
      <c r="BU1258" s="143"/>
    </row>
    <row r="1259" spans="1:73" s="73" customFormat="1" ht="15" customHeight="1">
      <c r="A1259" s="170"/>
      <c r="B1259" s="170"/>
      <c r="C1259" s="1635"/>
      <c r="D1259" s="170" t="s">
        <v>2462</v>
      </c>
      <c r="E1259" s="143" t="s">
        <v>425</v>
      </c>
      <c r="F1259" s="170"/>
      <c r="G1259" s="1423" t="s">
        <v>324</v>
      </c>
      <c r="H1259" s="170"/>
      <c r="I1259" s="2089">
        <v>5</v>
      </c>
      <c r="J1259" s="2089"/>
      <c r="K1259" s="1540"/>
      <c r="L1259" s="1540"/>
      <c r="M1259" s="170"/>
      <c r="N1259" s="170"/>
      <c r="O1259" s="170"/>
      <c r="P1259" s="170"/>
      <c r="Q1259" s="170"/>
      <c r="R1259" s="170"/>
      <c r="S1259" s="170"/>
      <c r="T1259" s="170"/>
      <c r="U1259" s="170"/>
      <c r="V1259" s="170"/>
      <c r="W1259" s="170"/>
      <c r="X1259" s="170"/>
      <c r="Y1259" s="1539"/>
      <c r="Z1259" s="170"/>
      <c r="AA1259" s="170"/>
      <c r="AC1259" s="143"/>
      <c r="AD1259" s="1561"/>
      <c r="AF1259" s="1561"/>
      <c r="AS1259" s="1628" t="str">
        <f>IF(S1257="Stiffened web","Hide this row","")</f>
        <v>Hide this row</v>
      </c>
      <c r="AT1259" s="143"/>
      <c r="AU1259" s="143"/>
      <c r="AV1259" s="143"/>
      <c r="AW1259" s="143"/>
      <c r="AX1259" s="143"/>
      <c r="AY1259" s="143"/>
      <c r="AZ1259" s="143"/>
      <c r="BA1259" s="143"/>
      <c r="BB1259" s="143"/>
      <c r="BC1259" s="143"/>
      <c r="BD1259" s="143"/>
      <c r="BE1259" s="143"/>
      <c r="BF1259" s="143"/>
      <c r="BG1259" s="143"/>
      <c r="BH1259" s="143"/>
      <c r="BI1259" s="143"/>
      <c r="BJ1259" s="143"/>
      <c r="BK1259" s="143"/>
      <c r="BL1259" s="143"/>
      <c r="BM1259" s="143"/>
      <c r="BN1259" s="143"/>
      <c r="BO1259" s="143"/>
      <c r="BP1259" s="143"/>
      <c r="BQ1259" s="143"/>
      <c r="BR1259" s="143"/>
      <c r="BS1259" s="143"/>
      <c r="BT1259" s="143"/>
      <c r="BU1259" s="143"/>
    </row>
    <row r="1260" spans="1:73" s="73" customFormat="1" ht="15" customHeight="1">
      <c r="A1260" s="170"/>
      <c r="B1260" s="143"/>
      <c r="C1260" s="1505"/>
      <c r="D1260" s="170" t="s">
        <v>2462</v>
      </c>
      <c r="E1260" s="143" t="s">
        <v>425</v>
      </c>
      <c r="F1260" s="170"/>
      <c r="G1260" s="1423" t="s">
        <v>324</v>
      </c>
      <c r="H1260" s="170"/>
      <c r="I1260" s="170" t="s">
        <v>2886</v>
      </c>
      <c r="J1260" s="170"/>
      <c r="K1260" s="170"/>
      <c r="L1260" s="1539"/>
      <c r="M1260" s="170"/>
      <c r="N1260" s="170"/>
      <c r="O1260" s="124" t="s">
        <v>324</v>
      </c>
      <c r="P1260" s="170" t="s">
        <v>2888</v>
      </c>
      <c r="Q1260" s="170"/>
      <c r="R1260" s="170"/>
      <c r="S1260" s="170"/>
      <c r="T1260" s="2094">
        <f>+I1256</f>
        <v>2500</v>
      </c>
      <c r="U1260" s="1862"/>
      <c r="V1260" s="1862"/>
      <c r="W1260" s="124" t="s">
        <v>2490</v>
      </c>
      <c r="X1260" s="2094">
        <f>+AE456</f>
        <v>3200</v>
      </c>
      <c r="Y1260" s="1862"/>
      <c r="Z1260" s="1862"/>
      <c r="AA1260" s="124" t="s">
        <v>2836</v>
      </c>
      <c r="AC1260" s="143"/>
      <c r="AD1260" s="1561"/>
      <c r="AF1260" s="1561"/>
      <c r="AS1260" s="1628" t="str">
        <f>IF(S1257&lt;&gt;"Stiffened web","Hide this row","")</f>
        <v/>
      </c>
      <c r="AT1260" s="143"/>
      <c r="AU1260" s="143"/>
      <c r="AV1260" s="143"/>
      <c r="AW1260" s="143"/>
      <c r="AX1260" s="143"/>
      <c r="AY1260" s="143"/>
      <c r="AZ1260" s="143"/>
      <c r="BA1260" s="143"/>
      <c r="BB1260" s="143"/>
      <c r="BC1260" s="143"/>
      <c r="BD1260" s="143"/>
      <c r="BE1260" s="143"/>
      <c r="BF1260" s="143"/>
      <c r="BG1260" s="143"/>
      <c r="BH1260" s="143"/>
      <c r="BI1260" s="143"/>
      <c r="BJ1260" s="143"/>
      <c r="BK1260" s="143"/>
      <c r="BL1260" s="143"/>
      <c r="BM1260" s="143"/>
      <c r="BN1260" s="143"/>
      <c r="BO1260" s="143"/>
      <c r="BP1260" s="143"/>
      <c r="BQ1260" s="143"/>
      <c r="BR1260" s="143"/>
      <c r="BS1260" s="143"/>
      <c r="BT1260" s="143"/>
      <c r="BU1260" s="143"/>
    </row>
    <row r="1261" spans="1:73" s="73" customFormat="1" ht="15" customHeight="1">
      <c r="A1261" s="170"/>
      <c r="B1261" s="143"/>
      <c r="C1261" s="1505"/>
      <c r="D1261" s="170"/>
      <c r="E1261" s="143"/>
      <c r="F1261" s="170"/>
      <c r="G1261" s="1423" t="s">
        <v>324</v>
      </c>
      <c r="H1261" s="170"/>
      <c r="I1261" s="1862">
        <f>5+5/(T1260/X1260)^2</f>
        <v>13.192</v>
      </c>
      <c r="J1261" s="1862"/>
      <c r="K1261" s="1862"/>
      <c r="L1261" s="1539"/>
      <c r="M1261" s="170"/>
      <c r="N1261" s="170"/>
      <c r="O1261" s="124"/>
      <c r="P1261" s="170"/>
      <c r="Q1261" s="170"/>
      <c r="R1261" s="170"/>
      <c r="S1261" s="170"/>
      <c r="T1261" s="1557"/>
      <c r="U1261" s="1539"/>
      <c r="V1261" s="1539"/>
      <c r="W1261" s="124"/>
      <c r="X1261" s="1557"/>
      <c r="Y1261" s="1539"/>
      <c r="Z1261" s="1539"/>
      <c r="AA1261" s="124"/>
      <c r="AC1261" s="143"/>
      <c r="AD1261" s="1561"/>
      <c r="AF1261" s="1561"/>
      <c r="AS1261" s="1628" t="str">
        <f>IF(S1257&lt;&gt;"Stiffened web","Hide this row","")</f>
        <v/>
      </c>
      <c r="AT1261" s="143"/>
      <c r="AU1261" s="143"/>
      <c r="AV1261" s="143"/>
      <c r="AW1261" s="143"/>
      <c r="AX1261" s="143"/>
      <c r="AY1261" s="143"/>
      <c r="AZ1261" s="143"/>
      <c r="BA1261" s="143"/>
      <c r="BB1261" s="143"/>
      <c r="BC1261" s="143"/>
      <c r="BD1261" s="143"/>
      <c r="BE1261" s="143"/>
      <c r="BF1261" s="143"/>
      <c r="BG1261" s="143"/>
      <c r="BH1261" s="143"/>
      <c r="BI1261" s="143"/>
      <c r="BJ1261" s="143"/>
      <c r="BK1261" s="143"/>
      <c r="BL1261" s="143"/>
      <c r="BM1261" s="143"/>
      <c r="BN1261" s="143"/>
      <c r="BO1261" s="143"/>
      <c r="BP1261" s="143"/>
      <c r="BQ1261" s="143"/>
      <c r="BR1261" s="143"/>
      <c r="BS1261" s="143"/>
      <c r="BT1261" s="143"/>
      <c r="BU1261" s="143"/>
    </row>
    <row r="1262" spans="1:73" s="73" customFormat="1" ht="15" customHeight="1">
      <c r="A1262" s="421"/>
      <c r="B1262" s="93"/>
      <c r="C1262" s="93"/>
      <c r="D1262" s="1507"/>
      <c r="E1262" s="1508" t="s">
        <v>2882</v>
      </c>
      <c r="F1262" s="1507"/>
      <c r="G1262" s="1509" t="s">
        <v>324</v>
      </c>
      <c r="H1262" s="1507"/>
      <c r="I1262" s="1936">
        <f>+U1209</f>
        <v>3224.9030993194201</v>
      </c>
      <c r="J1262" s="1936"/>
      <c r="K1262" s="1936"/>
      <c r="L1262" s="1510" t="s">
        <v>2490</v>
      </c>
      <c r="M1262" s="2112">
        <f>+O1211</f>
        <v>14</v>
      </c>
      <c r="N1262" s="1936"/>
      <c r="O1262" s="94"/>
      <c r="P1262" s="94"/>
      <c r="Q1262" s="94"/>
      <c r="R1262" s="94"/>
      <c r="S1262" s="93"/>
      <c r="T1262" s="93"/>
      <c r="U1262" s="93"/>
      <c r="V1262" s="93"/>
      <c r="W1262" s="93"/>
      <c r="X1262" s="93"/>
      <c r="Y1262" s="1545"/>
      <c r="Z1262" s="1022" t="s">
        <v>324</v>
      </c>
      <c r="AA1262" s="1936">
        <f>+I1262/M1262</f>
        <v>230.35022137995858</v>
      </c>
      <c r="AB1262" s="1936"/>
      <c r="AC1262" s="1936"/>
      <c r="AD1262" s="1473"/>
      <c r="AF1262" s="1561"/>
      <c r="AS1262" s="1627"/>
      <c r="AT1262" s="143"/>
      <c r="AU1262" s="143"/>
      <c r="AV1262" s="143"/>
      <c r="AW1262" s="143"/>
      <c r="AX1262" s="143"/>
      <c r="AY1262" s="143"/>
      <c r="AZ1262" s="143"/>
      <c r="BA1262" s="143"/>
      <c r="BB1262" s="143"/>
      <c r="BC1262" s="143"/>
      <c r="BD1262" s="143"/>
      <c r="BE1262" s="143"/>
      <c r="BF1262" s="143"/>
      <c r="BG1262" s="143"/>
      <c r="BH1262" s="143"/>
      <c r="BI1262" s="143"/>
      <c r="BJ1262" s="143"/>
      <c r="BK1262" s="143"/>
      <c r="BL1262" s="143"/>
      <c r="BM1262" s="143"/>
      <c r="BN1262" s="143"/>
      <c r="BO1262" s="143"/>
      <c r="BP1262" s="143"/>
      <c r="BQ1262" s="143"/>
      <c r="BR1262" s="143"/>
      <c r="BS1262" s="143"/>
      <c r="BT1262" s="143"/>
      <c r="BU1262" s="143"/>
    </row>
    <row r="1263" spans="1:73" s="73" customFormat="1" ht="15" customHeight="1">
      <c r="A1263" s="1210"/>
      <c r="B1263" s="170"/>
      <c r="C1263" s="170"/>
      <c r="D1263" s="169"/>
      <c r="E1263" s="89" t="s">
        <v>2883</v>
      </c>
      <c r="F1263" s="169"/>
      <c r="G1263" s="1504" t="s">
        <v>324</v>
      </c>
      <c r="H1263" s="169"/>
      <c r="I1263" s="170" t="s">
        <v>2884</v>
      </c>
      <c r="J1263" s="170"/>
      <c r="K1263" s="170"/>
      <c r="L1263" s="1539"/>
      <c r="M1263" s="2096">
        <f>+AE504</f>
        <v>210000</v>
      </c>
      <c r="N1263" s="1862"/>
      <c r="O1263" s="1862"/>
      <c r="P1263" s="1862"/>
      <c r="Q1263" s="124" t="s">
        <v>2489</v>
      </c>
      <c r="R1263" s="1862">
        <f>IF(S1257="Stiffened web",I1261,I1259)</f>
        <v>13.192</v>
      </c>
      <c r="S1263" s="1862"/>
      <c r="T1263" s="1862"/>
      <c r="U1263" s="124" t="s">
        <v>2490</v>
      </c>
      <c r="V1263" s="2093">
        <f>+AE511</f>
        <v>355</v>
      </c>
      <c r="W1263" s="1862"/>
      <c r="X1263" s="1862"/>
      <c r="Y1263" s="1549" t="s">
        <v>2512</v>
      </c>
      <c r="Z1263" s="124" t="s">
        <v>324</v>
      </c>
      <c r="AA1263" s="1862">
        <f>1.12*SQRT(M1263*R1263/V1263)</f>
        <v>98.939295772141648</v>
      </c>
      <c r="AB1263" s="1862"/>
      <c r="AC1263" s="1862"/>
      <c r="AD1263" s="1456"/>
      <c r="AF1263" s="73" t="s">
        <v>2462</v>
      </c>
      <c r="AH1263" s="1422" t="str">
        <f>+IF(AA1262&lt;=AA1263,"(1)",IF(AA1262&lt;=AA1264,"(2)","(3)"))</f>
        <v>(3)</v>
      </c>
      <c r="AJ1263" s="73" t="s">
        <v>2527</v>
      </c>
      <c r="AS1263" s="1627"/>
      <c r="AT1263" s="143"/>
      <c r="AU1263" s="143"/>
      <c r="AV1263" s="143"/>
      <c r="AW1263" s="143"/>
      <c r="AX1263" s="143"/>
      <c r="AY1263" s="143"/>
      <c r="AZ1263" s="143"/>
      <c r="BA1263" s="143"/>
      <c r="BB1263" s="143"/>
      <c r="BC1263" s="143"/>
      <c r="BD1263" s="143"/>
      <c r="BE1263" s="143"/>
      <c r="BF1263" s="143"/>
      <c r="BG1263" s="143"/>
      <c r="BH1263" s="143"/>
      <c r="BI1263" s="143"/>
      <c r="BJ1263" s="143"/>
      <c r="BK1263" s="143"/>
      <c r="BL1263" s="143"/>
      <c r="BM1263" s="143"/>
      <c r="BN1263" s="143"/>
      <c r="BO1263" s="143"/>
      <c r="BP1263" s="143"/>
      <c r="BQ1263" s="143"/>
      <c r="BR1263" s="143"/>
      <c r="BS1263" s="143"/>
      <c r="BT1263" s="143"/>
      <c r="BU1263" s="143"/>
    </row>
    <row r="1264" spans="1:73" s="73" customFormat="1" ht="15" customHeight="1">
      <c r="A1264" s="1448"/>
      <c r="B1264" s="1333"/>
      <c r="C1264" s="1333"/>
      <c r="D1264" s="1511"/>
      <c r="E1264" s="1512" t="s">
        <v>2889</v>
      </c>
      <c r="F1264" s="1511"/>
      <c r="G1264" s="1513" t="s">
        <v>324</v>
      </c>
      <c r="H1264" s="1511"/>
      <c r="I1264" s="1333" t="s">
        <v>2890</v>
      </c>
      <c r="J1264" s="1333"/>
      <c r="K1264" s="1333"/>
      <c r="L1264" s="1554"/>
      <c r="M1264" s="2104">
        <f>+M1263</f>
        <v>210000</v>
      </c>
      <c r="N1264" s="2090"/>
      <c r="O1264" s="2090"/>
      <c r="P1264" s="2090"/>
      <c r="Q1264" s="1335" t="s">
        <v>2489</v>
      </c>
      <c r="R1264" s="2090">
        <f>IF(S1257="Stiffened web",I1261,I1259)</f>
        <v>13.192</v>
      </c>
      <c r="S1264" s="2090"/>
      <c r="T1264" s="2090"/>
      <c r="U1264" s="1335" t="s">
        <v>2490</v>
      </c>
      <c r="V1264" s="2105">
        <f>+V1263</f>
        <v>355</v>
      </c>
      <c r="W1264" s="2090"/>
      <c r="X1264" s="2090"/>
      <c r="Y1264" s="1480" t="s">
        <v>2512</v>
      </c>
      <c r="Z1264" s="1335" t="s">
        <v>324</v>
      </c>
      <c r="AA1264" s="2090">
        <f>1.4*SQRT(M1264*R1264/V1264)</f>
        <v>123.67411971517704</v>
      </c>
      <c r="AB1264" s="2090"/>
      <c r="AC1264" s="2090"/>
      <c r="AD1264" s="1459"/>
      <c r="AF1264" s="1561"/>
      <c r="AS1264" s="1627"/>
      <c r="AT1264" s="143"/>
      <c r="AU1264" s="143"/>
      <c r="AV1264" s="143"/>
      <c r="AW1264" s="143"/>
      <c r="AX1264" s="143"/>
      <c r="AY1264" s="143"/>
      <c r="AZ1264" s="143"/>
      <c r="BA1264" s="143"/>
      <c r="BB1264" s="143"/>
      <c r="BC1264" s="143"/>
      <c r="BD1264" s="143"/>
      <c r="BE1264" s="143"/>
      <c r="BF1264" s="143"/>
      <c r="BG1264" s="143"/>
      <c r="BH1264" s="143"/>
      <c r="BI1264" s="143"/>
      <c r="BJ1264" s="143"/>
      <c r="BK1264" s="143"/>
      <c r="BL1264" s="143"/>
      <c r="BM1264" s="143"/>
      <c r="BN1264" s="143"/>
      <c r="BO1264" s="143"/>
      <c r="BP1264" s="143"/>
      <c r="BQ1264" s="143"/>
      <c r="BR1264" s="143"/>
      <c r="BS1264" s="143"/>
      <c r="BT1264" s="143"/>
      <c r="BU1264" s="143"/>
    </row>
    <row r="1265" spans="1:73" s="73" customFormat="1" ht="15" customHeight="1">
      <c r="A1265" s="170"/>
      <c r="B1265" s="170"/>
      <c r="C1265" s="170"/>
      <c r="D1265" s="169"/>
      <c r="E1265" s="89"/>
      <c r="F1265" s="169"/>
      <c r="G1265" s="1504"/>
      <c r="H1265" s="169"/>
      <c r="I1265" s="170"/>
      <c r="J1265" s="170"/>
      <c r="K1265" s="170"/>
      <c r="L1265" s="1539"/>
      <c r="M1265" s="1559"/>
      <c r="N1265" s="1539"/>
      <c r="O1265" s="1539"/>
      <c r="P1265" s="1539"/>
      <c r="Q1265" s="124"/>
      <c r="R1265" s="1539"/>
      <c r="S1265" s="1539"/>
      <c r="T1265" s="1539"/>
      <c r="U1265" s="124"/>
      <c r="V1265" s="1556"/>
      <c r="W1265" s="1539"/>
      <c r="X1265" s="1539"/>
      <c r="Y1265" s="1549"/>
      <c r="Z1265" s="124"/>
      <c r="AA1265" s="1539"/>
      <c r="AB1265" s="1539"/>
      <c r="AC1265" s="1539"/>
      <c r="AD1265" s="1584"/>
      <c r="AF1265" s="1561"/>
      <c r="AS1265" s="1627"/>
      <c r="AT1265" s="143"/>
      <c r="AU1265" s="143"/>
      <c r="AV1265" s="143"/>
      <c r="AW1265" s="143"/>
      <c r="AX1265" s="143"/>
      <c r="AY1265" s="143"/>
      <c r="AZ1265" s="143"/>
      <c r="BA1265" s="143"/>
      <c r="BB1265" s="143"/>
      <c r="BC1265" s="143"/>
      <c r="BD1265" s="143"/>
      <c r="BE1265" s="143"/>
      <c r="BF1265" s="143"/>
      <c r="BG1265" s="143"/>
      <c r="BH1265" s="143"/>
      <c r="BI1265" s="143"/>
      <c r="BJ1265" s="143"/>
      <c r="BK1265" s="143"/>
      <c r="BL1265" s="143"/>
      <c r="BM1265" s="143"/>
      <c r="BN1265" s="143"/>
      <c r="BO1265" s="143"/>
      <c r="BP1265" s="143"/>
      <c r="BQ1265" s="143"/>
      <c r="BR1265" s="143"/>
      <c r="BS1265" s="143"/>
      <c r="BT1265" s="143"/>
      <c r="BU1265" s="143"/>
    </row>
    <row r="1266" spans="1:73" s="73" customFormat="1" ht="15" customHeight="1">
      <c r="A1266" s="143"/>
      <c r="B1266" s="143"/>
      <c r="C1266" s="143"/>
      <c r="D1266" s="449" t="s">
        <v>2462</v>
      </c>
      <c r="E1266" s="122" t="s">
        <v>345</v>
      </c>
      <c r="F1266" s="136"/>
      <c r="G1266" s="1504" t="s">
        <v>324</v>
      </c>
      <c r="H1266" s="136"/>
      <c r="I1266" s="2107">
        <v>1</v>
      </c>
      <c r="J1266" s="2107"/>
      <c r="K1266" s="170"/>
      <c r="L1266" s="1547"/>
      <c r="M1266" s="143"/>
      <c r="N1266" s="143"/>
      <c r="O1266" s="143"/>
      <c r="P1266" s="143"/>
      <c r="Q1266" s="143"/>
      <c r="R1266" s="143"/>
      <c r="S1266" s="143"/>
      <c r="T1266" s="143"/>
      <c r="U1266" s="143"/>
      <c r="V1266" s="143"/>
      <c r="W1266" s="143"/>
      <c r="X1266" s="143"/>
      <c r="Y1266" s="1547"/>
      <c r="Z1266" s="143"/>
      <c r="AA1266" s="143"/>
      <c r="AC1266" s="143"/>
      <c r="AD1266" s="1561"/>
      <c r="AF1266" s="1561"/>
      <c r="AS1266" s="1628" t="str">
        <f>IF(AH1263&lt;&gt;"(1)","Hide this row","")</f>
        <v>Hide this row</v>
      </c>
      <c r="AT1266" s="143"/>
      <c r="AU1266" s="143"/>
      <c r="AV1266" s="143"/>
      <c r="AW1266" s="143"/>
      <c r="AX1266" s="143"/>
      <c r="AY1266" s="143"/>
      <c r="AZ1266" s="143"/>
      <c r="BA1266" s="143"/>
      <c r="BB1266" s="143"/>
      <c r="BC1266" s="143"/>
      <c r="BD1266" s="143"/>
      <c r="BE1266" s="143"/>
      <c r="BF1266" s="143"/>
      <c r="BG1266" s="143"/>
      <c r="BH1266" s="143"/>
      <c r="BI1266" s="143"/>
      <c r="BJ1266" s="143"/>
      <c r="BK1266" s="143"/>
      <c r="BL1266" s="143"/>
      <c r="BM1266" s="143"/>
      <c r="BN1266" s="143"/>
      <c r="BO1266" s="143"/>
      <c r="BP1266" s="143"/>
      <c r="BQ1266" s="143"/>
      <c r="BR1266" s="143"/>
      <c r="BS1266" s="143"/>
      <c r="BT1266" s="143"/>
      <c r="BU1266" s="143"/>
    </row>
    <row r="1267" spans="1:73" s="73" customFormat="1" ht="15" customHeight="1">
      <c r="A1267" s="143"/>
      <c r="B1267" s="143"/>
      <c r="C1267" s="143"/>
      <c r="D1267" s="449" t="s">
        <v>2462</v>
      </c>
      <c r="E1267" s="122" t="s">
        <v>345</v>
      </c>
      <c r="F1267" s="136"/>
      <c r="G1267" s="1504" t="s">
        <v>324</v>
      </c>
      <c r="H1267" s="136"/>
      <c r="I1267" s="58" t="s">
        <v>2892</v>
      </c>
      <c r="J1267" s="58"/>
      <c r="K1267" s="170"/>
      <c r="L1267" s="1938">
        <f>+I1262</f>
        <v>3224.9030993194201</v>
      </c>
      <c r="M1267" s="1938"/>
      <c r="N1267" s="1938"/>
      <c r="O1267" s="138" t="s">
        <v>2490</v>
      </c>
      <c r="P1267" s="2092">
        <f>+M1262</f>
        <v>14</v>
      </c>
      <c r="Q1267" s="1938"/>
      <c r="R1267" s="138" t="s">
        <v>2893</v>
      </c>
      <c r="S1267" s="143"/>
      <c r="T1267" s="2096">
        <f>+M1263</f>
        <v>210000</v>
      </c>
      <c r="U1267" s="1862"/>
      <c r="V1267" s="1862"/>
      <c r="W1267" s="1862"/>
      <c r="X1267" s="124" t="s">
        <v>2489</v>
      </c>
      <c r="Y1267" s="1862">
        <f>+R1263</f>
        <v>13.192</v>
      </c>
      <c r="Z1267" s="1862"/>
      <c r="AA1267" s="1862"/>
      <c r="AB1267" s="124" t="s">
        <v>2490</v>
      </c>
      <c r="AC1267" s="2093">
        <f>+V1263</f>
        <v>355</v>
      </c>
      <c r="AD1267" s="1862"/>
      <c r="AE1267" s="1862"/>
      <c r="AF1267" s="1549" t="s">
        <v>2512</v>
      </c>
      <c r="AS1267" s="1628" t="str">
        <f>IF(AH1263&lt;&gt;"(2)","Hide this row","")</f>
        <v>Hide this row</v>
      </c>
      <c r="AT1267" s="143"/>
      <c r="AU1267" s="143"/>
      <c r="AV1267" s="143"/>
      <c r="AW1267" s="143"/>
      <c r="AX1267" s="143"/>
      <c r="AY1267" s="143"/>
      <c r="AZ1267" s="143"/>
      <c r="BA1267" s="143"/>
      <c r="BB1267" s="143"/>
      <c r="BC1267" s="143"/>
      <c r="BD1267" s="143"/>
      <c r="BE1267" s="143"/>
      <c r="BF1267" s="143"/>
      <c r="BG1267" s="143"/>
      <c r="BH1267" s="143"/>
      <c r="BI1267" s="143"/>
      <c r="BJ1267" s="143"/>
      <c r="BK1267" s="143"/>
      <c r="BL1267" s="143"/>
      <c r="BM1267" s="143"/>
      <c r="BN1267" s="143"/>
      <c r="BO1267" s="143"/>
      <c r="BP1267" s="143"/>
      <c r="BQ1267" s="143"/>
      <c r="BR1267" s="143"/>
      <c r="BS1267" s="143"/>
      <c r="BT1267" s="143"/>
      <c r="BU1267" s="143"/>
    </row>
    <row r="1268" spans="1:73" s="73" customFormat="1" ht="15" customHeight="1">
      <c r="A1268" s="143"/>
      <c r="B1268" s="143"/>
      <c r="C1268" s="143"/>
      <c r="D1268" s="136"/>
      <c r="E1268" s="147"/>
      <c r="F1268" s="136"/>
      <c r="G1268" s="124" t="s">
        <v>324</v>
      </c>
      <c r="H1268" s="136"/>
      <c r="I1268" s="2091">
        <f>+AA1263/AA1262</f>
        <v>0.42951682520392737</v>
      </c>
      <c r="J1268" s="2091"/>
      <c r="K1268" s="2091"/>
      <c r="L1268" s="693"/>
      <c r="M1268" s="143"/>
      <c r="N1268" s="143"/>
      <c r="R1268" s="143"/>
      <c r="S1268" s="143"/>
      <c r="T1268" s="143"/>
      <c r="U1268" s="143"/>
      <c r="V1268" s="143"/>
      <c r="W1268" s="143"/>
      <c r="X1268" s="143"/>
      <c r="Y1268" s="1547"/>
      <c r="Z1268" s="143"/>
      <c r="AA1268" s="143"/>
      <c r="AC1268" s="143"/>
      <c r="AD1268" s="1561"/>
      <c r="AF1268" s="1561"/>
      <c r="AS1268" s="1628" t="str">
        <f>IF(AH1263&lt;&gt;"(2)","Hide this row","")</f>
        <v>Hide this row</v>
      </c>
      <c r="AT1268" s="143"/>
      <c r="AU1268" s="143"/>
      <c r="AV1268" s="143"/>
      <c r="AW1268" s="143"/>
      <c r="AX1268" s="143"/>
      <c r="AY1268" s="143"/>
      <c r="AZ1268" s="143"/>
      <c r="BA1268" s="143"/>
      <c r="BB1268" s="143"/>
      <c r="BC1268" s="143"/>
      <c r="BD1268" s="143"/>
      <c r="BE1268" s="143"/>
      <c r="BF1268" s="143"/>
      <c r="BG1268" s="143"/>
      <c r="BH1268" s="143"/>
      <c r="BI1268" s="143"/>
      <c r="BJ1268" s="143"/>
      <c r="BK1268" s="143"/>
      <c r="BL1268" s="143"/>
      <c r="BM1268" s="143"/>
      <c r="BN1268" s="143"/>
      <c r="BO1268" s="143"/>
      <c r="BP1268" s="143"/>
      <c r="BQ1268" s="143"/>
      <c r="BR1268" s="143"/>
      <c r="BS1268" s="143"/>
      <c r="BT1268" s="143"/>
      <c r="BU1268" s="143"/>
    </row>
    <row r="1269" spans="1:73" s="73" customFormat="1" ht="15" customHeight="1">
      <c r="A1269" s="143"/>
      <c r="B1269" s="143"/>
      <c r="C1269" s="143"/>
      <c r="D1269" s="449" t="s">
        <v>2462</v>
      </c>
      <c r="E1269" s="122" t="s">
        <v>345</v>
      </c>
      <c r="F1269" s="136"/>
      <c r="G1269" s="1504" t="s">
        <v>324</v>
      </c>
      <c r="H1269" s="136"/>
      <c r="I1269" s="58" t="s">
        <v>2894</v>
      </c>
      <c r="J1269" s="58"/>
      <c r="L1269" s="2096">
        <f>+T1267</f>
        <v>210000</v>
      </c>
      <c r="M1269" s="1862"/>
      <c r="N1269" s="1862"/>
      <c r="O1269" s="1862"/>
      <c r="P1269" s="124" t="s">
        <v>2489</v>
      </c>
      <c r="Q1269" s="1862">
        <f>+Y1267</f>
        <v>13.192</v>
      </c>
      <c r="R1269" s="1862"/>
      <c r="S1269" s="1862"/>
      <c r="T1269" s="124" t="s">
        <v>2490</v>
      </c>
      <c r="U1269" s="2093">
        <f>+AC1267</f>
        <v>355</v>
      </c>
      <c r="V1269" s="1862"/>
      <c r="W1269" s="1862"/>
      <c r="X1269" s="76" t="s">
        <v>2895</v>
      </c>
      <c r="Z1269" s="1938">
        <f>+L1267</f>
        <v>3224.9030993194201</v>
      </c>
      <c r="AA1269" s="1938"/>
      <c r="AB1269" s="1938"/>
      <c r="AC1269" s="138" t="s">
        <v>2490</v>
      </c>
      <c r="AD1269" s="2092">
        <f>+P1267</f>
        <v>14</v>
      </c>
      <c r="AE1269" s="1938"/>
      <c r="AF1269" s="138" t="s">
        <v>2836</v>
      </c>
      <c r="AS1269" s="1628" t="str">
        <f>IF(AH1263&lt;&gt;"(3)","Hide this row","")</f>
        <v/>
      </c>
      <c r="AT1269" s="143"/>
      <c r="AU1269" s="143"/>
      <c r="AV1269" s="143"/>
      <c r="AW1269" s="143"/>
      <c r="AX1269" s="143"/>
      <c r="AY1269" s="143"/>
      <c r="AZ1269" s="143"/>
      <c r="BA1269" s="143"/>
      <c r="BB1269" s="143"/>
      <c r="BC1269" s="143"/>
      <c r="BD1269" s="143"/>
      <c r="BE1269" s="143"/>
      <c r="BF1269" s="143"/>
      <c r="BG1269" s="143"/>
      <c r="BH1269" s="143"/>
      <c r="BI1269" s="143"/>
      <c r="BJ1269" s="143"/>
      <c r="BK1269" s="143"/>
      <c r="BL1269" s="143"/>
      <c r="BM1269" s="143"/>
      <c r="BN1269" s="143"/>
      <c r="BO1269" s="143"/>
      <c r="BP1269" s="143"/>
      <c r="BQ1269" s="143"/>
      <c r="BR1269" s="143"/>
      <c r="BS1269" s="143"/>
      <c r="BT1269" s="143"/>
      <c r="BU1269" s="143"/>
    </row>
    <row r="1270" spans="1:73" s="73" customFormat="1" ht="15" customHeight="1">
      <c r="A1270" s="143"/>
      <c r="B1270" s="143"/>
      <c r="C1270" s="143"/>
      <c r="D1270" s="136"/>
      <c r="E1270" s="147"/>
      <c r="F1270" s="136"/>
      <c r="G1270" s="124" t="s">
        <v>324</v>
      </c>
      <c r="H1270" s="136"/>
      <c r="I1270" s="2091">
        <f>1.57*(L1269*Q1269/U1269)/AA1262^2</f>
        <v>0.23090001906825564</v>
      </c>
      <c r="J1270" s="2091"/>
      <c r="K1270" s="2091"/>
      <c r="L1270" s="693"/>
      <c r="M1270" s="143"/>
      <c r="N1270" s="143"/>
      <c r="AD1270" s="1561"/>
      <c r="AF1270" s="1561"/>
      <c r="AS1270" s="1628" t="str">
        <f>IF(AH1263&lt;&gt;"(3)","Hide this row","")</f>
        <v/>
      </c>
      <c r="AT1270" s="143"/>
      <c r="AU1270" s="143"/>
      <c r="AV1270" s="143"/>
      <c r="AW1270" s="143"/>
      <c r="AX1270" s="143"/>
      <c r="AY1270" s="143"/>
      <c r="AZ1270" s="143"/>
      <c r="BA1270" s="143"/>
      <c r="BB1270" s="143"/>
      <c r="BC1270" s="143"/>
      <c r="BD1270" s="143"/>
      <c r="BE1270" s="143"/>
      <c r="BF1270" s="143"/>
      <c r="BG1270" s="143"/>
      <c r="BH1270" s="143"/>
      <c r="BI1270" s="143"/>
      <c r="BJ1270" s="143"/>
      <c r="BK1270" s="143"/>
      <c r="BL1270" s="143"/>
      <c r="BM1270" s="143"/>
      <c r="BN1270" s="143"/>
      <c r="BO1270" s="143"/>
      <c r="BP1270" s="143"/>
      <c r="BQ1270" s="143"/>
      <c r="BR1270" s="143"/>
      <c r="BS1270" s="143"/>
      <c r="BT1270" s="143"/>
      <c r="BU1270" s="143"/>
    </row>
    <row r="1271" spans="1:73" s="73" customFormat="1" ht="15" customHeight="1">
      <c r="A1271" s="143"/>
      <c r="B1271" s="143"/>
      <c r="C1271" s="143"/>
      <c r="D1271" s="136"/>
      <c r="E1271" s="147"/>
      <c r="F1271" s="136"/>
      <c r="G1271" s="124"/>
      <c r="H1271" s="136"/>
      <c r="I1271" s="1555"/>
      <c r="J1271" s="1555"/>
      <c r="K1271" s="1555"/>
      <c r="L1271" s="693"/>
      <c r="M1271" s="143"/>
      <c r="N1271" s="143"/>
      <c r="AD1271" s="1561"/>
      <c r="AF1271" s="1561"/>
      <c r="AS1271" s="1627"/>
      <c r="AT1271" s="143"/>
      <c r="AU1271" s="143"/>
      <c r="AV1271" s="143"/>
      <c r="AW1271" s="143"/>
      <c r="AX1271" s="143"/>
      <c r="AY1271" s="143"/>
      <c r="AZ1271" s="143"/>
      <c r="BA1271" s="143"/>
      <c r="BB1271" s="143"/>
      <c r="BC1271" s="143"/>
      <c r="BD1271" s="143"/>
      <c r="BE1271" s="143"/>
      <c r="BF1271" s="143"/>
      <c r="BG1271" s="143"/>
      <c r="BH1271" s="143"/>
      <c r="BI1271" s="143"/>
      <c r="BJ1271" s="143"/>
      <c r="BK1271" s="143"/>
      <c r="BL1271" s="143"/>
      <c r="BM1271" s="143"/>
      <c r="BN1271" s="143"/>
      <c r="BO1271" s="143"/>
      <c r="BP1271" s="143"/>
      <c r="BQ1271" s="143"/>
      <c r="BR1271" s="143"/>
      <c r="BS1271" s="143"/>
      <c r="BT1271" s="143"/>
      <c r="BU1271" s="143"/>
    </row>
    <row r="1272" spans="1:73" s="73" customFormat="1" ht="15" customHeight="1">
      <c r="A1272" s="143"/>
      <c r="B1272" s="143"/>
      <c r="C1272" s="143"/>
      <c r="D1272" s="449" t="s">
        <v>2501</v>
      </c>
      <c r="E1272" s="170" t="s">
        <v>898</v>
      </c>
      <c r="F1272" s="136"/>
      <c r="G1272" s="1504" t="s">
        <v>324</v>
      </c>
      <c r="H1272" s="136"/>
      <c r="I1272" s="2095">
        <f>+IF(AA1262&lt;=AA1263,I1266,IF(AA1262&lt;=AA1264,I1268,I1270))</f>
        <v>0.23090001906825564</v>
      </c>
      <c r="J1272" s="2095"/>
      <c r="K1272" s="2095"/>
      <c r="L1272" s="1516" t="s">
        <v>2489</v>
      </c>
      <c r="M1272" s="1938">
        <f>+I1237</f>
        <v>9296.1056740981585</v>
      </c>
      <c r="N1272" s="1938"/>
      <c r="O1272" s="1938"/>
      <c r="AD1272" s="1561"/>
      <c r="AF1272" s="1561"/>
      <c r="AS1272" s="1627"/>
      <c r="AT1272" s="143"/>
      <c r="AU1272" s="143"/>
      <c r="AV1272" s="143"/>
      <c r="AW1272" s="143"/>
      <c r="AX1272" s="143"/>
      <c r="AY1272" s="143"/>
      <c r="AZ1272" s="143"/>
      <c r="BA1272" s="143"/>
      <c r="BB1272" s="143"/>
      <c r="BC1272" s="143"/>
      <c r="BD1272" s="143"/>
      <c r="BE1272" s="143"/>
      <c r="BF1272" s="143"/>
      <c r="BG1272" s="143"/>
      <c r="BH1272" s="143"/>
      <c r="BI1272" s="143"/>
      <c r="BJ1272" s="143"/>
      <c r="BK1272" s="143"/>
      <c r="BL1272" s="143"/>
      <c r="BM1272" s="143"/>
      <c r="BN1272" s="143"/>
      <c r="BO1272" s="143"/>
      <c r="BP1272" s="143"/>
      <c r="BQ1272" s="143"/>
      <c r="BR1272" s="143"/>
      <c r="BS1272" s="143"/>
      <c r="BT1272" s="143"/>
      <c r="BU1272" s="143"/>
    </row>
    <row r="1273" spans="1:73" s="73" customFormat="1" ht="15" customHeight="1" thickBot="1">
      <c r="A1273" s="143"/>
      <c r="B1273" s="143"/>
      <c r="C1273" s="143"/>
      <c r="D1273" s="1517"/>
      <c r="E1273" s="321" t="s">
        <v>898</v>
      </c>
      <c r="F1273" s="1518"/>
      <c r="G1273" s="1519" t="s">
        <v>324</v>
      </c>
      <c r="H1273" s="1518"/>
      <c r="I1273" s="2081">
        <f>+I1272*M1272</f>
        <v>2146.4709774097842</v>
      </c>
      <c r="J1273" s="2081"/>
      <c r="K1273" s="2081"/>
      <c r="L1273" s="2081"/>
      <c r="M1273" s="1520" t="s">
        <v>1005</v>
      </c>
      <c r="N1273" s="404"/>
      <c r="O1273" s="1547"/>
      <c r="AD1273" s="1561"/>
      <c r="AF1273" s="1561"/>
      <c r="AS1273" s="1627"/>
      <c r="AT1273" s="143"/>
      <c r="AU1273" s="143"/>
      <c r="AV1273" s="143"/>
      <c r="AW1273" s="143"/>
      <c r="AX1273" s="143"/>
      <c r="AY1273" s="143"/>
      <c r="AZ1273" s="143"/>
      <c r="BA1273" s="143"/>
      <c r="BB1273" s="143"/>
      <c r="BC1273" s="143"/>
      <c r="BD1273" s="143"/>
      <c r="BE1273" s="143"/>
      <c r="BF1273" s="143"/>
      <c r="BG1273" s="143"/>
      <c r="BH1273" s="143"/>
      <c r="BI1273" s="143"/>
      <c r="BJ1273" s="143"/>
      <c r="BK1273" s="143"/>
      <c r="BL1273" s="143"/>
      <c r="BM1273" s="143"/>
      <c r="BN1273" s="143"/>
      <c r="BO1273" s="143"/>
      <c r="BP1273" s="143"/>
      <c r="BQ1273" s="143"/>
      <c r="BR1273" s="143"/>
      <c r="BS1273" s="143"/>
      <c r="BT1273" s="143"/>
      <c r="BU1273" s="143"/>
    </row>
    <row r="1274" spans="1:73" s="73" customFormat="1" ht="15" customHeight="1" thickBot="1">
      <c r="A1274" s="143"/>
      <c r="B1274" s="143"/>
      <c r="C1274" s="143"/>
      <c r="D1274" s="1521"/>
      <c r="E1274" s="170"/>
      <c r="F1274" s="169"/>
      <c r="G1274" s="1504"/>
      <c r="H1274" s="169"/>
      <c r="I1274" s="1565"/>
      <c r="J1274" s="1565"/>
      <c r="K1274" s="1565"/>
      <c r="L1274" s="1565"/>
      <c r="M1274" s="1516"/>
      <c r="N1274" s="1539"/>
      <c r="O1274" s="1547"/>
      <c r="AD1274" s="1561"/>
      <c r="AF1274" s="1561"/>
      <c r="AS1274" s="1627"/>
      <c r="AT1274" s="143"/>
      <c r="AU1274" s="143"/>
      <c r="AV1274" s="143"/>
      <c r="AW1274" s="143"/>
      <c r="AX1274" s="143"/>
      <c r="AY1274" s="143"/>
      <c r="AZ1274" s="143"/>
      <c r="BA1274" s="143"/>
      <c r="BB1274" s="143"/>
      <c r="BC1274" s="143"/>
      <c r="BD1274" s="143"/>
      <c r="BE1274" s="143"/>
      <c r="BF1274" s="143"/>
      <c r="BG1274" s="143"/>
      <c r="BH1274" s="143"/>
      <c r="BI1274" s="143"/>
      <c r="BJ1274" s="143"/>
      <c r="BK1274" s="143"/>
      <c r="BL1274" s="143"/>
      <c r="BM1274" s="143"/>
      <c r="BN1274" s="143"/>
      <c r="BO1274" s="143"/>
      <c r="BP1274" s="143"/>
      <c r="BQ1274" s="143"/>
      <c r="BR1274" s="143"/>
      <c r="BS1274" s="143"/>
      <c r="BT1274" s="143"/>
      <c r="BU1274" s="143"/>
    </row>
    <row r="1275" spans="1:73" ht="15" customHeight="1">
      <c r="A1275" s="170"/>
      <c r="B1275" s="170"/>
      <c r="D1275" s="124"/>
      <c r="F1275" s="1275"/>
      <c r="G1275" s="36"/>
      <c r="H1275" s="1276" t="s">
        <v>2898</v>
      </c>
      <c r="I1275" s="224"/>
      <c r="J1275" s="36"/>
      <c r="K1275" s="36"/>
      <c r="L1275" s="36"/>
      <c r="M1275" s="36"/>
      <c r="N1275" s="36"/>
      <c r="O1275" s="36"/>
      <c r="P1275" s="36"/>
      <c r="Q1275" s="36"/>
      <c r="R1275" s="36"/>
      <c r="S1275" s="1294"/>
      <c r="T1275" s="1295"/>
      <c r="U1275" s="36"/>
      <c r="V1275" s="36"/>
      <c r="W1275" s="36"/>
      <c r="X1275" s="36"/>
      <c r="Y1275" s="1294"/>
      <c r="Z1275" s="36"/>
      <c r="AA1275" s="224"/>
      <c r="AB1275" s="224"/>
      <c r="AC1275" s="224"/>
      <c r="AD1275" s="224"/>
      <c r="AE1275" s="224"/>
      <c r="AF1275" s="224"/>
      <c r="AG1275" s="36"/>
      <c r="AH1275" s="224"/>
      <c r="AI1275" s="36"/>
      <c r="AJ1275" s="36"/>
      <c r="AK1275" s="36"/>
      <c r="AL1275" s="43"/>
    </row>
    <row r="1276" spans="1:73" ht="20.100000000000001" customHeight="1">
      <c r="A1276" s="206"/>
      <c r="B1276" s="170"/>
      <c r="F1276" s="1277"/>
      <c r="G1276" s="9"/>
      <c r="H1276" s="9"/>
      <c r="I1276" s="9"/>
      <c r="J1276" s="9"/>
      <c r="K1276" s="33" t="s">
        <v>2870</v>
      </c>
      <c r="L1276" s="9"/>
      <c r="M1276" s="9"/>
      <c r="N1276" s="33" t="s">
        <v>2592</v>
      </c>
      <c r="O1276" s="9"/>
      <c r="P1276" s="9"/>
      <c r="Q1276" s="1523" t="s">
        <v>3002</v>
      </c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33" t="s">
        <v>2509</v>
      </c>
      <c r="AI1276" s="196"/>
      <c r="AJ1276" s="2082" t="str">
        <f>+IF(Q1277&lt;=Q1278,"OK","NG")</f>
        <v>NG</v>
      </c>
      <c r="AK1276" s="2082"/>
      <c r="AL1276" s="2083"/>
      <c r="AM1276" s="143"/>
      <c r="AN1276" s="143"/>
      <c r="AO1276" s="143"/>
      <c r="AP1276" s="143"/>
      <c r="AQ1276" s="143"/>
      <c r="AR1276" s="143"/>
    </row>
    <row r="1277" spans="1:73" ht="20.100000000000001" customHeight="1">
      <c r="A1277" s="206"/>
      <c r="B1277" s="170"/>
      <c r="F1277" s="1277"/>
      <c r="G1277" s="9"/>
      <c r="H1277" s="9"/>
      <c r="I1277" s="9"/>
      <c r="J1277" s="9"/>
      <c r="K1277" s="9" t="s">
        <v>423</v>
      </c>
      <c r="L1277" s="9"/>
      <c r="M1277" s="9"/>
      <c r="N1277" s="31" t="s">
        <v>324</v>
      </c>
      <c r="O1277" s="9"/>
      <c r="P1277" s="9"/>
      <c r="Q1277" s="2084">
        <f>+ABS(I1232)</f>
        <v>2164.7036081404285</v>
      </c>
      <c r="R1277" s="2085"/>
      <c r="S1277" s="2085"/>
      <c r="T1277" s="1601" t="s">
        <v>1005</v>
      </c>
      <c r="U1277" s="9"/>
      <c r="V1277" s="9"/>
      <c r="W1277" s="9"/>
      <c r="X1277" s="31"/>
      <c r="Y1277" s="1495"/>
      <c r="Z1277" s="1495"/>
      <c r="AA1277" s="1495"/>
      <c r="AB1277" s="9"/>
      <c r="AC1277" s="9"/>
      <c r="AD1277" s="9"/>
      <c r="AE1277" s="9"/>
      <c r="AF1277" s="9"/>
      <c r="AG1277" s="1487" t="s">
        <v>2510</v>
      </c>
      <c r="AH1277" s="196"/>
      <c r="AI1277" s="9"/>
      <c r="AJ1277" s="2086">
        <f>Q1278/Q1277</f>
        <v>0.99157730847674475</v>
      </c>
      <c r="AK1277" s="2086"/>
      <c r="AL1277" s="2087"/>
      <c r="AM1277" s="143"/>
      <c r="AN1277" s="143"/>
      <c r="AO1277" s="143"/>
      <c r="AP1277" s="143"/>
      <c r="AQ1277" s="143"/>
      <c r="AR1277" s="143"/>
    </row>
    <row r="1278" spans="1:73" ht="20.100000000000001" customHeight="1" thickBot="1">
      <c r="A1278" s="170"/>
      <c r="F1278" s="40"/>
      <c r="G1278" s="41"/>
      <c r="H1278" s="41"/>
      <c r="I1278" s="41"/>
      <c r="J1278" s="1524" t="s">
        <v>3003</v>
      </c>
      <c r="K1278" s="1486"/>
      <c r="L1278" s="41"/>
      <c r="M1278" s="41"/>
      <c r="N1278" s="1292" t="s">
        <v>324</v>
      </c>
      <c r="O1278" s="41"/>
      <c r="P1278" s="1293"/>
      <c r="Q1278" s="2088">
        <f>+I1273</f>
        <v>2146.4709774097842</v>
      </c>
      <c r="R1278" s="2088"/>
      <c r="S1278" s="2088"/>
      <c r="T1278" s="1602" t="s">
        <v>1005</v>
      </c>
      <c r="U1278" s="1492"/>
      <c r="V1278" s="1489"/>
      <c r="W1278" s="1489"/>
      <c r="X1278" s="1292"/>
      <c r="Y1278" s="1489"/>
      <c r="Z1278" s="1489"/>
      <c r="AA1278" s="1489"/>
      <c r="AB1278" s="41"/>
      <c r="AC1278" s="41"/>
      <c r="AD1278" s="41"/>
      <c r="AE1278" s="41"/>
      <c r="AF1278" s="41"/>
      <c r="AG1278" s="41"/>
      <c r="AH1278" s="41"/>
      <c r="AI1278" s="41"/>
      <c r="AJ1278" s="41"/>
      <c r="AK1278" s="41"/>
      <c r="AL1278" s="45"/>
      <c r="AM1278" s="143"/>
      <c r="AN1278" s="143"/>
      <c r="AO1278" s="143"/>
      <c r="AP1278" s="143"/>
      <c r="AQ1278" s="143"/>
      <c r="AR1278" s="143"/>
    </row>
    <row r="1279" spans="1:73" s="73" customFormat="1" ht="15" customHeight="1">
      <c r="A1279" s="143"/>
      <c r="B1279" s="143"/>
      <c r="C1279" s="143"/>
      <c r="D1279" s="136"/>
      <c r="E1279" s="147"/>
      <c r="F1279" s="136"/>
      <c r="G1279" s="124"/>
      <c r="H1279" s="136"/>
      <c r="I1279" s="1555"/>
      <c r="J1279" s="1555"/>
      <c r="K1279" s="1555"/>
      <c r="L1279" s="693"/>
      <c r="M1279" s="143"/>
      <c r="N1279" s="143"/>
      <c r="AD1279" s="1561"/>
      <c r="AF1279" s="1561"/>
      <c r="AS1279" s="1627"/>
      <c r="AT1279" s="143"/>
      <c r="AU1279" s="143"/>
      <c r="AV1279" s="143"/>
      <c r="AW1279" s="143"/>
      <c r="AX1279" s="143"/>
      <c r="AY1279" s="143"/>
      <c r="AZ1279" s="143"/>
      <c r="BA1279" s="143"/>
      <c r="BB1279" s="143"/>
      <c r="BC1279" s="143"/>
      <c r="BD1279" s="143"/>
      <c r="BE1279" s="143"/>
      <c r="BF1279" s="143"/>
      <c r="BG1279" s="143"/>
      <c r="BH1279" s="143"/>
      <c r="BI1279" s="143"/>
      <c r="BJ1279" s="143"/>
      <c r="BK1279" s="143"/>
      <c r="BL1279" s="143"/>
      <c r="BM1279" s="143"/>
      <c r="BN1279" s="143"/>
      <c r="BO1279" s="143"/>
      <c r="BP1279" s="143"/>
      <c r="BQ1279" s="143"/>
      <c r="BR1279" s="143"/>
      <c r="BS1279" s="143"/>
      <c r="BT1279" s="143"/>
      <c r="BU1279" s="143"/>
    </row>
  </sheetData>
  <autoFilter ref="AS1:AS1280" xr:uid="{AEC871A1-E786-49AC-ADD0-4E51345BE30B}"/>
  <mergeCells count="1344">
    <mergeCell ref="AH711:AJ711"/>
    <mergeCell ref="AO711:AQ711"/>
    <mergeCell ref="AO712:AR712"/>
    <mergeCell ref="T708:V708"/>
    <mergeCell ref="X708:Z708"/>
    <mergeCell ref="AH708:AJ708"/>
    <mergeCell ref="AO708:AQ708"/>
    <mergeCell ref="T709:V709"/>
    <mergeCell ref="X709:Z709"/>
    <mergeCell ref="AH709:AJ709"/>
    <mergeCell ref="AO709:AQ709"/>
    <mergeCell ref="AH710:AJ710"/>
    <mergeCell ref="AO710:AQ710"/>
    <mergeCell ref="AH704:AJ704"/>
    <mergeCell ref="AO704:AQ704"/>
    <mergeCell ref="T705:V705"/>
    <mergeCell ref="Z705:AB705"/>
    <mergeCell ref="AH705:AJ705"/>
    <mergeCell ref="AO705:AQ705"/>
    <mergeCell ref="AH706:AJ706"/>
    <mergeCell ref="AO706:AQ706"/>
    <mergeCell ref="AH707:AJ707"/>
    <mergeCell ref="AO707:AQ707"/>
    <mergeCell ref="H698:K698"/>
    <mergeCell ref="S702:U702"/>
    <mergeCell ref="W702:X702"/>
    <mergeCell ref="Z702:AB702"/>
    <mergeCell ref="AD702:AE702"/>
    <mergeCell ref="AH702:AJ702"/>
    <mergeCell ref="AO702:AQ702"/>
    <mergeCell ref="AH703:AJ703"/>
    <mergeCell ref="AO703:AQ703"/>
    <mergeCell ref="AH690:AJ690"/>
    <mergeCell ref="AO690:AQ690"/>
    <mergeCell ref="AH691:AJ691"/>
    <mergeCell ref="AO691:AQ691"/>
    <mergeCell ref="AO692:AR692"/>
    <mergeCell ref="F696:F697"/>
    <mergeCell ref="H696:J697"/>
    <mergeCell ref="K696:K697"/>
    <mergeCell ref="L696:N696"/>
    <mergeCell ref="P696:R696"/>
    <mergeCell ref="T696:V696"/>
    <mergeCell ref="X696:Z696"/>
    <mergeCell ref="AB696:AD696"/>
    <mergeCell ref="AF696:AH696"/>
    <mergeCell ref="AJ696:AL696"/>
    <mergeCell ref="AN696:AP696"/>
    <mergeCell ref="AQ696:AQ697"/>
    <mergeCell ref="Y697:AA697"/>
    <mergeCell ref="AH687:AJ687"/>
    <mergeCell ref="AO687:AQ687"/>
    <mergeCell ref="T688:V688"/>
    <mergeCell ref="X688:Z688"/>
    <mergeCell ref="AH688:AJ688"/>
    <mergeCell ref="AO688:AQ688"/>
    <mergeCell ref="T689:V689"/>
    <mergeCell ref="X689:Z689"/>
    <mergeCell ref="AH689:AJ689"/>
    <mergeCell ref="AO689:AQ689"/>
    <mergeCell ref="AH683:AJ683"/>
    <mergeCell ref="AO683:AQ683"/>
    <mergeCell ref="AH684:AJ684"/>
    <mergeCell ref="AO684:AQ684"/>
    <mergeCell ref="T685:V685"/>
    <mergeCell ref="Z685:AB685"/>
    <mergeCell ref="AH685:AJ685"/>
    <mergeCell ref="AO685:AQ685"/>
    <mergeCell ref="AH686:AJ686"/>
    <mergeCell ref="AO686:AQ686"/>
    <mergeCell ref="AH673:AJ673"/>
    <mergeCell ref="AO673:AQ673"/>
    <mergeCell ref="AO674:AR674"/>
    <mergeCell ref="H678:K678"/>
    <mergeCell ref="S682:U682"/>
    <mergeCell ref="W682:X682"/>
    <mergeCell ref="Z682:AB682"/>
    <mergeCell ref="AD682:AE682"/>
    <mergeCell ref="AH682:AJ682"/>
    <mergeCell ref="AO682:AQ682"/>
    <mergeCell ref="T670:V670"/>
    <mergeCell ref="X670:Z670"/>
    <mergeCell ref="AH670:AJ670"/>
    <mergeCell ref="AO670:AQ670"/>
    <mergeCell ref="T671:V671"/>
    <mergeCell ref="X671:Z671"/>
    <mergeCell ref="AH671:AJ671"/>
    <mergeCell ref="AO671:AQ671"/>
    <mergeCell ref="AH672:AJ672"/>
    <mergeCell ref="AO672:AQ672"/>
    <mergeCell ref="AH666:AJ666"/>
    <mergeCell ref="AO666:AQ666"/>
    <mergeCell ref="T667:V667"/>
    <mergeCell ref="Z667:AB667"/>
    <mergeCell ref="AH667:AJ667"/>
    <mergeCell ref="AO667:AQ667"/>
    <mergeCell ref="AH668:AJ668"/>
    <mergeCell ref="AO668:AQ668"/>
    <mergeCell ref="AH669:AJ669"/>
    <mergeCell ref="AO669:AQ669"/>
    <mergeCell ref="H660:K660"/>
    <mergeCell ref="S664:U664"/>
    <mergeCell ref="W664:X664"/>
    <mergeCell ref="Z664:AB664"/>
    <mergeCell ref="AD664:AE664"/>
    <mergeCell ref="AH664:AJ664"/>
    <mergeCell ref="AO664:AQ664"/>
    <mergeCell ref="AH665:AJ665"/>
    <mergeCell ref="AO665:AQ665"/>
    <mergeCell ref="AH652:AJ652"/>
    <mergeCell ref="AO652:AQ652"/>
    <mergeCell ref="AH653:AJ653"/>
    <mergeCell ref="AO653:AQ653"/>
    <mergeCell ref="AO654:AR654"/>
    <mergeCell ref="F658:F659"/>
    <mergeCell ref="H658:J659"/>
    <mergeCell ref="K658:K659"/>
    <mergeCell ref="L658:N658"/>
    <mergeCell ref="P658:R658"/>
    <mergeCell ref="T658:V658"/>
    <mergeCell ref="X658:Z658"/>
    <mergeCell ref="AB658:AD658"/>
    <mergeCell ref="AF658:AH658"/>
    <mergeCell ref="AJ658:AL658"/>
    <mergeCell ref="AN658:AP658"/>
    <mergeCell ref="AQ658:AQ659"/>
    <mergeCell ref="Y659:AA659"/>
    <mergeCell ref="AH649:AJ649"/>
    <mergeCell ref="AO649:AQ649"/>
    <mergeCell ref="T650:V650"/>
    <mergeCell ref="X650:Z650"/>
    <mergeCell ref="AH650:AJ650"/>
    <mergeCell ref="AO650:AQ650"/>
    <mergeCell ref="T651:V651"/>
    <mergeCell ref="X651:Z651"/>
    <mergeCell ref="AH651:AJ651"/>
    <mergeCell ref="AO651:AQ651"/>
    <mergeCell ref="AH645:AJ645"/>
    <mergeCell ref="AO645:AQ645"/>
    <mergeCell ref="AH646:AJ646"/>
    <mergeCell ref="AO646:AQ646"/>
    <mergeCell ref="T647:V647"/>
    <mergeCell ref="Z647:AB647"/>
    <mergeCell ref="AH647:AJ647"/>
    <mergeCell ref="AO647:AQ647"/>
    <mergeCell ref="AH648:AJ648"/>
    <mergeCell ref="AO648:AQ648"/>
    <mergeCell ref="H640:K640"/>
    <mergeCell ref="S644:U644"/>
    <mergeCell ref="W644:X644"/>
    <mergeCell ref="Z644:AB644"/>
    <mergeCell ref="AD644:AE644"/>
    <mergeCell ref="AH644:AJ644"/>
    <mergeCell ref="AO644:AQ644"/>
    <mergeCell ref="AH634:AJ634"/>
    <mergeCell ref="AO634:AQ634"/>
    <mergeCell ref="AH635:AJ635"/>
    <mergeCell ref="AO635:AQ635"/>
    <mergeCell ref="AO636:AR636"/>
    <mergeCell ref="L620:N620"/>
    <mergeCell ref="P620:R620"/>
    <mergeCell ref="T620:V620"/>
    <mergeCell ref="X620:Z620"/>
    <mergeCell ref="AB620:AD620"/>
    <mergeCell ref="AF620:AH620"/>
    <mergeCell ref="AJ620:AL620"/>
    <mergeCell ref="AN620:AP620"/>
    <mergeCell ref="Y621:AA621"/>
    <mergeCell ref="K620:K621"/>
    <mergeCell ref="H620:J621"/>
    <mergeCell ref="AQ620:AQ621"/>
    <mergeCell ref="S626:U626"/>
    <mergeCell ref="W626:X626"/>
    <mergeCell ref="Z626:AB626"/>
    <mergeCell ref="AH632:AJ632"/>
    <mergeCell ref="AO632:AQ632"/>
    <mergeCell ref="AH633:AJ633"/>
    <mergeCell ref="AO633:AQ633"/>
    <mergeCell ref="T632:V632"/>
    <mergeCell ref="X632:Z632"/>
    <mergeCell ref="T633:V633"/>
    <mergeCell ref="X633:Z633"/>
    <mergeCell ref="AH630:AJ630"/>
    <mergeCell ref="AO630:AQ630"/>
    <mergeCell ref="AH631:AJ631"/>
    <mergeCell ref="AO631:AQ631"/>
    <mergeCell ref="AH628:AJ628"/>
    <mergeCell ref="AO628:AQ628"/>
    <mergeCell ref="Z629:AB629"/>
    <mergeCell ref="AH629:AJ629"/>
    <mergeCell ref="AO629:AQ629"/>
    <mergeCell ref="T629:V629"/>
    <mergeCell ref="H622:K622"/>
    <mergeCell ref="AH626:AJ626"/>
    <mergeCell ref="AO626:AQ626"/>
    <mergeCell ref="AH627:AJ627"/>
    <mergeCell ref="AO627:AQ627"/>
    <mergeCell ref="AD626:AE626"/>
    <mergeCell ref="W591:Y591"/>
    <mergeCell ref="S615:T615"/>
    <mergeCell ref="V615:X615"/>
    <mergeCell ref="Z615:AB615"/>
    <mergeCell ref="AD615:AE615"/>
    <mergeCell ref="F620:F621"/>
    <mergeCell ref="AO614:AQ614"/>
    <mergeCell ref="AH615:AJ615"/>
    <mergeCell ref="AO615:AQ615"/>
    <mergeCell ref="AO616:AR616"/>
    <mergeCell ref="J600:J601"/>
    <mergeCell ref="AP600:AQ601"/>
    <mergeCell ref="X601:Z601"/>
    <mergeCell ref="S607:T607"/>
    <mergeCell ref="V607:X607"/>
    <mergeCell ref="Z607:AB607"/>
    <mergeCell ref="AD607:AE607"/>
    <mergeCell ref="S608:T608"/>
    <mergeCell ref="V608:X608"/>
    <mergeCell ref="Z608:AB608"/>
    <mergeCell ref="AE609:AF609"/>
    <mergeCell ref="S610:T610"/>
    <mergeCell ref="V610:X610"/>
    <mergeCell ref="Z610:AB610"/>
    <mergeCell ref="S611:T611"/>
    <mergeCell ref="V611:X611"/>
    <mergeCell ref="Z611:AB611"/>
    <mergeCell ref="S612:U612"/>
    <mergeCell ref="W612:X612"/>
    <mergeCell ref="AH612:AJ612"/>
    <mergeCell ref="AO612:AQ612"/>
    <mergeCell ref="S613:U613"/>
    <mergeCell ref="AH613:AJ613"/>
    <mergeCell ref="AO613:AQ613"/>
    <mergeCell ref="Z612:AA612"/>
    <mergeCell ref="Z613:AA613"/>
    <mergeCell ref="S609:U609"/>
    <mergeCell ref="W609:X609"/>
    <mergeCell ref="Z609:AB609"/>
    <mergeCell ref="AH609:AJ609"/>
    <mergeCell ref="AO609:AQ609"/>
    <mergeCell ref="AH610:AJ610"/>
    <mergeCell ref="AO610:AQ610"/>
    <mergeCell ref="AH611:AJ611"/>
    <mergeCell ref="AO611:AQ611"/>
    <mergeCell ref="AD611:AE611"/>
    <mergeCell ref="AH606:AJ606"/>
    <mergeCell ref="AO606:AQ606"/>
    <mergeCell ref="AH607:AJ607"/>
    <mergeCell ref="AO607:AQ607"/>
    <mergeCell ref="AH608:AJ608"/>
    <mergeCell ref="AO608:AQ608"/>
    <mergeCell ref="W613:X613"/>
    <mergeCell ref="F600:F601"/>
    <mergeCell ref="K600:M600"/>
    <mergeCell ref="O600:Q600"/>
    <mergeCell ref="S600:U600"/>
    <mergeCell ref="W600:Y600"/>
    <mergeCell ref="AA600:AC600"/>
    <mergeCell ref="H600:I600"/>
    <mergeCell ref="H601:I601"/>
    <mergeCell ref="H561:K561"/>
    <mergeCell ref="AH567:AJ567"/>
    <mergeCell ref="AH588:AJ588"/>
    <mergeCell ref="AO565:AQ565"/>
    <mergeCell ref="AO566:AQ566"/>
    <mergeCell ref="AO567:AQ567"/>
    <mergeCell ref="AO568:AQ568"/>
    <mergeCell ref="AO569:AQ569"/>
    <mergeCell ref="AO570:AQ570"/>
    <mergeCell ref="AO571:AQ571"/>
    <mergeCell ref="AO572:AQ572"/>
    <mergeCell ref="AO573:AQ573"/>
    <mergeCell ref="AO574:AQ574"/>
    <mergeCell ref="AO575:AR575"/>
    <mergeCell ref="AO586:AQ586"/>
    <mergeCell ref="AO587:AQ587"/>
    <mergeCell ref="AO588:AQ588"/>
    <mergeCell ref="AO589:AQ589"/>
    <mergeCell ref="AE600:AG600"/>
    <mergeCell ref="AI600:AK600"/>
    <mergeCell ref="S595:U595"/>
    <mergeCell ref="W595:Y595"/>
    <mergeCell ref="AA595:AC595"/>
    <mergeCell ref="AH595:AJ595"/>
    <mergeCell ref="C578:D579"/>
    <mergeCell ref="F578:F579"/>
    <mergeCell ref="H580:J580"/>
    <mergeCell ref="L580:N580"/>
    <mergeCell ref="P580:R580"/>
    <mergeCell ref="T580:V580"/>
    <mergeCell ref="X580:Z580"/>
    <mergeCell ref="AB580:AD580"/>
    <mergeCell ref="AF580:AH580"/>
    <mergeCell ref="AJ580:AL580"/>
    <mergeCell ref="S586:U586"/>
    <mergeCell ref="W586:X586"/>
    <mergeCell ref="AH586:AJ586"/>
    <mergeCell ref="S587:U587"/>
    <mergeCell ref="W587:Y587"/>
    <mergeCell ref="AA587:AB587"/>
    <mergeCell ref="AH587:AJ587"/>
    <mergeCell ref="P581:R581"/>
    <mergeCell ref="T581:V581"/>
    <mergeCell ref="Z581:AB581"/>
    <mergeCell ref="AD581:AF581"/>
    <mergeCell ref="F580:F581"/>
    <mergeCell ref="H582:K582"/>
    <mergeCell ref="AO590:AQ590"/>
    <mergeCell ref="AO591:AQ591"/>
    <mergeCell ref="AO592:AQ592"/>
    <mergeCell ref="AO593:AQ593"/>
    <mergeCell ref="AO594:AQ594"/>
    <mergeCell ref="AO595:AQ595"/>
    <mergeCell ref="AO596:AR596"/>
    <mergeCell ref="AM600:AO600"/>
    <mergeCell ref="H602:K602"/>
    <mergeCell ref="S574:U574"/>
    <mergeCell ref="W574:Y574"/>
    <mergeCell ref="AA574:AC574"/>
    <mergeCell ref="AH574:AJ574"/>
    <mergeCell ref="S592:U592"/>
    <mergeCell ref="W592:X592"/>
    <mergeCell ref="Z592:AB592"/>
    <mergeCell ref="AD592:AF592"/>
    <mergeCell ref="AH592:AJ592"/>
    <mergeCell ref="S593:U593"/>
    <mergeCell ref="W593:X593"/>
    <mergeCell ref="Z593:AB593"/>
    <mergeCell ref="AD593:AF593"/>
    <mergeCell ref="AH593:AJ593"/>
    <mergeCell ref="S589:U589"/>
    <mergeCell ref="W589:X589"/>
    <mergeCell ref="AA591:AB591"/>
    <mergeCell ref="AH591:AJ591"/>
    <mergeCell ref="AN580:AP580"/>
    <mergeCell ref="Z589:AB589"/>
    <mergeCell ref="AH589:AJ589"/>
    <mergeCell ref="AH590:AJ590"/>
    <mergeCell ref="S591:U591"/>
    <mergeCell ref="S572:U572"/>
    <mergeCell ref="W572:X572"/>
    <mergeCell ref="Z572:AB572"/>
    <mergeCell ref="AD572:AF572"/>
    <mergeCell ref="AH572:AJ572"/>
    <mergeCell ref="S571:U571"/>
    <mergeCell ref="W571:X571"/>
    <mergeCell ref="Z571:AB571"/>
    <mergeCell ref="AD571:AF571"/>
    <mergeCell ref="AH571:AJ571"/>
    <mergeCell ref="AA570:AB570"/>
    <mergeCell ref="AH570:AJ570"/>
    <mergeCell ref="S569:U569"/>
    <mergeCell ref="W569:Y569"/>
    <mergeCell ref="AH569:AJ569"/>
    <mergeCell ref="S568:U568"/>
    <mergeCell ref="AE463:AJ463"/>
    <mergeCell ref="W568:X568"/>
    <mergeCell ref="Z568:AB568"/>
    <mergeCell ref="AH568:AJ568"/>
    <mergeCell ref="AF539:AI539"/>
    <mergeCell ref="X531:Z531"/>
    <mergeCell ref="U528:W528"/>
    <mergeCell ref="Y528:AB528"/>
    <mergeCell ref="U529:W529"/>
    <mergeCell ref="Y529:AB529"/>
    <mergeCell ref="AF525:AH525"/>
    <mergeCell ref="U527:V527"/>
    <mergeCell ref="X527:Z527"/>
    <mergeCell ref="AB527:AC527"/>
    <mergeCell ref="AE527:AG527"/>
    <mergeCell ref="AE507:AJ507"/>
    <mergeCell ref="AQ559:AR560"/>
    <mergeCell ref="K559:K560"/>
    <mergeCell ref="AB559:AD559"/>
    <mergeCell ref="W565:X565"/>
    <mergeCell ref="S565:U565"/>
    <mergeCell ref="AH565:AJ565"/>
    <mergeCell ref="S566:U566"/>
    <mergeCell ref="W566:Y566"/>
    <mergeCell ref="AA566:AB566"/>
    <mergeCell ref="AH566:AJ566"/>
    <mergeCell ref="H559:J559"/>
    <mergeCell ref="L559:N559"/>
    <mergeCell ref="P559:R559"/>
    <mergeCell ref="T559:V559"/>
    <mergeCell ref="X559:Z559"/>
    <mergeCell ref="AF559:AH559"/>
    <mergeCell ref="AJ559:AL559"/>
    <mergeCell ref="AN559:AP559"/>
    <mergeCell ref="Y560:AA560"/>
    <mergeCell ref="AK539:AN539"/>
    <mergeCell ref="AF540:AI540"/>
    <mergeCell ref="AK540:AN540"/>
    <mergeCell ref="AF541:AI541"/>
    <mergeCell ref="AK541:AN541"/>
    <mergeCell ref="AF542:AI542"/>
    <mergeCell ref="AK542:AN542"/>
    <mergeCell ref="AE448:AJ448"/>
    <mergeCell ref="AE449:AJ449"/>
    <mergeCell ref="AF535:AI535"/>
    <mergeCell ref="AK535:AN535"/>
    <mergeCell ref="AF536:AI536"/>
    <mergeCell ref="AK536:AN536"/>
    <mergeCell ref="AF537:AI537"/>
    <mergeCell ref="AK537:AN537"/>
    <mergeCell ref="AF538:AI538"/>
    <mergeCell ref="AK538:AN538"/>
    <mergeCell ref="AE464:AJ464"/>
    <mergeCell ref="AE465:AJ465"/>
    <mergeCell ref="AB531:AE531"/>
    <mergeCell ref="AK522:AN522"/>
    <mergeCell ref="AK523:AN523"/>
    <mergeCell ref="AK524:AN524"/>
    <mergeCell ref="AK525:AN525"/>
    <mergeCell ref="AK526:AN526"/>
    <mergeCell ref="AK527:AN527"/>
    <mergeCell ref="AK528:AN528"/>
    <mergeCell ref="AK529:AN529"/>
    <mergeCell ref="AK530:AN530"/>
    <mergeCell ref="AK531:AN531"/>
    <mergeCell ref="AE526:AG526"/>
    <mergeCell ref="AE512:AJ512"/>
    <mergeCell ref="AB523:AD523"/>
    <mergeCell ref="W524:X524"/>
    <mergeCell ref="Z524:AB524"/>
    <mergeCell ref="AD524:AF524"/>
    <mergeCell ref="T426:U426"/>
    <mergeCell ref="G438:J438"/>
    <mergeCell ref="AE440:AJ440"/>
    <mergeCell ref="AA441:AC441"/>
    <mergeCell ref="AE441:AJ441"/>
    <mergeCell ref="AE442:AJ442"/>
    <mergeCell ref="T420:U420"/>
    <mergeCell ref="U522:V522"/>
    <mergeCell ref="X522:Z522"/>
    <mergeCell ref="AB522:AC522"/>
    <mergeCell ref="AE522:AG522"/>
    <mergeCell ref="AE513:AJ513"/>
    <mergeCell ref="AE514:AJ514"/>
    <mergeCell ref="AE460:AJ460"/>
    <mergeCell ref="AE466:AJ466"/>
    <mergeCell ref="AE451:AJ451"/>
    <mergeCell ref="AE452:AJ452"/>
    <mergeCell ref="AE453:AJ453"/>
    <mergeCell ref="AE454:AJ454"/>
    <mergeCell ref="AE455:AJ455"/>
    <mergeCell ref="AE456:AJ456"/>
    <mergeCell ref="AE443:AJ443"/>
    <mergeCell ref="AE444:AJ444"/>
    <mergeCell ref="AE445:AJ445"/>
    <mergeCell ref="AE446:AJ446"/>
    <mergeCell ref="AE447:AJ447"/>
    <mergeCell ref="AE450:AJ450"/>
    <mergeCell ref="AE468:AJ468"/>
    <mergeCell ref="AE469:AJ469"/>
    <mergeCell ref="AE470:AJ470"/>
    <mergeCell ref="AE471:AJ471"/>
    <mergeCell ref="AE472:AJ472"/>
    <mergeCell ref="AE473:AJ473"/>
    <mergeCell ref="AE457:AJ457"/>
    <mergeCell ref="AE458:AJ458"/>
    <mergeCell ref="AE459:AJ459"/>
    <mergeCell ref="AE462:AJ462"/>
    <mergeCell ref="AE461:AJ461"/>
    <mergeCell ref="AE467:AJ467"/>
    <mergeCell ref="AE484:AJ484"/>
    <mergeCell ref="AE489:AJ489"/>
    <mergeCell ref="AE490:AJ490"/>
    <mergeCell ref="AE497:AJ497"/>
    <mergeCell ref="AE474:AJ474"/>
    <mergeCell ref="AE475:AJ475"/>
    <mergeCell ref="AE476:AJ476"/>
    <mergeCell ref="AE477:AJ477"/>
    <mergeCell ref="AE482:AJ482"/>
    <mergeCell ref="AE483:AJ483"/>
    <mergeCell ref="AE504:AJ504"/>
    <mergeCell ref="AE505:AJ505"/>
    <mergeCell ref="AE506:AJ506"/>
    <mergeCell ref="AE509:AJ509"/>
    <mergeCell ref="AE510:AJ510"/>
    <mergeCell ref="AE511:AJ511"/>
    <mergeCell ref="AE498:AJ498"/>
    <mergeCell ref="AE499:AJ499"/>
    <mergeCell ref="AE500:AJ500"/>
    <mergeCell ref="AE501:AJ501"/>
    <mergeCell ref="AE502:AJ502"/>
    <mergeCell ref="AE503:AJ503"/>
    <mergeCell ref="AE508:AJ508"/>
    <mergeCell ref="K875:M875"/>
    <mergeCell ref="O875:Q875"/>
    <mergeCell ref="S875:U875"/>
    <mergeCell ref="K876:M876"/>
    <mergeCell ref="AH723:AJ723"/>
    <mergeCell ref="AH727:AJ727"/>
    <mergeCell ref="AH769:AJ769"/>
    <mergeCell ref="X773:Z773"/>
    <mergeCell ref="AH773:AJ773"/>
    <mergeCell ref="AA791:AC791"/>
    <mergeCell ref="AE791:AF791"/>
    <mergeCell ref="AH791:AJ791"/>
    <mergeCell ref="T807:U807"/>
    <mergeCell ref="W807:Y807"/>
    <mergeCell ref="AA807:AC807"/>
    <mergeCell ref="T809:U809"/>
    <mergeCell ref="W809:Y809"/>
    <mergeCell ref="AA809:AC809"/>
    <mergeCell ref="AH811:AJ811"/>
    <mergeCell ref="U516:V516"/>
    <mergeCell ref="W516:AB516"/>
    <mergeCell ref="L873:N873"/>
    <mergeCell ref="S873:T873"/>
    <mergeCell ref="V873:X873"/>
    <mergeCell ref="K874:M874"/>
    <mergeCell ref="X525:Z525"/>
    <mergeCell ref="AB525:AD525"/>
    <mergeCell ref="U526:V526"/>
    <mergeCell ref="X526:Z526"/>
    <mergeCell ref="AB526:AC526"/>
    <mergeCell ref="U530:W530"/>
    <mergeCell ref="Y530:AB530"/>
    <mergeCell ref="S570:U570"/>
    <mergeCell ref="W570:Y570"/>
    <mergeCell ref="T753:V753"/>
    <mergeCell ref="X753:Z753"/>
    <mergeCell ref="AD753:AF753"/>
    <mergeCell ref="T771:V771"/>
    <mergeCell ref="X771:Y771"/>
    <mergeCell ref="AA771:AC771"/>
    <mergeCell ref="AE771:AF771"/>
    <mergeCell ref="T786:V786"/>
    <mergeCell ref="X786:Z786"/>
    <mergeCell ref="AB786:AC786"/>
    <mergeCell ref="T792:V792"/>
    <mergeCell ref="T769:V769"/>
    <mergeCell ref="X769:Z769"/>
    <mergeCell ref="AB769:AD769"/>
    <mergeCell ref="T773:V773"/>
    <mergeCell ref="U523:W523"/>
    <mergeCell ref="Y523:Z523"/>
    <mergeCell ref="Q882:S882"/>
    <mergeCell ref="U882:W882"/>
    <mergeCell ref="Y882:AA882"/>
    <mergeCell ref="Q883:S883"/>
    <mergeCell ref="U883:W883"/>
    <mergeCell ref="Y883:Z883"/>
    <mergeCell ref="Y880:Z880"/>
    <mergeCell ref="AD880:AF880"/>
    <mergeCell ref="F881:F882"/>
    <mergeCell ref="G881:H882"/>
    <mergeCell ref="I881:I882"/>
    <mergeCell ref="K881:O881"/>
    <mergeCell ref="P881:P882"/>
    <mergeCell ref="Q881:AA881"/>
    <mergeCell ref="AC881:AC882"/>
    <mergeCell ref="AD881:AF882"/>
    <mergeCell ref="K890:L890"/>
    <mergeCell ref="S880:T880"/>
    <mergeCell ref="V880:W880"/>
    <mergeCell ref="K891:M891"/>
    <mergeCell ref="O891:Q891"/>
    <mergeCell ref="K892:M892"/>
    <mergeCell ref="U896:W896"/>
    <mergeCell ref="Y896:AA896"/>
    <mergeCell ref="AD883:AF883"/>
    <mergeCell ref="K884:L884"/>
    <mergeCell ref="N884:P884"/>
    <mergeCell ref="K885:M885"/>
    <mergeCell ref="Q889:R889"/>
    <mergeCell ref="T889:U889"/>
    <mergeCell ref="W889:X889"/>
    <mergeCell ref="Z889:AB889"/>
    <mergeCell ref="K904:N904"/>
    <mergeCell ref="E906:E907"/>
    <mergeCell ref="G906:H907"/>
    <mergeCell ref="I906:I907"/>
    <mergeCell ref="K906:L906"/>
    <mergeCell ref="N906:P906"/>
    <mergeCell ref="AC896:AE896"/>
    <mergeCell ref="AG896:AJ896"/>
    <mergeCell ref="K897:M897"/>
    <mergeCell ref="K900:M900"/>
    <mergeCell ref="R903:S903"/>
    <mergeCell ref="U903:W903"/>
    <mergeCell ref="AM906:AM907"/>
    <mergeCell ref="AN906:AP907"/>
    <mergeCell ref="V907:X907"/>
    <mergeCell ref="K912:M912"/>
    <mergeCell ref="L915:N915"/>
    <mergeCell ref="P915:Q915"/>
    <mergeCell ref="W915:Y915"/>
    <mergeCell ref="AC915:AE915"/>
    <mergeCell ref="R906:S906"/>
    <mergeCell ref="U906:W906"/>
    <mergeCell ref="Y906:Z906"/>
    <mergeCell ref="AB906:AD906"/>
    <mergeCell ref="AF906:AG906"/>
    <mergeCell ref="AI906:AK906"/>
    <mergeCell ref="G923:G924"/>
    <mergeCell ref="I923:I924"/>
    <mergeCell ref="K923:N923"/>
    <mergeCell ref="P923:P924"/>
    <mergeCell ref="W923:Z923"/>
    <mergeCell ref="G916:G917"/>
    <mergeCell ref="I916:I917"/>
    <mergeCell ref="K916:S916"/>
    <mergeCell ref="T916:T917"/>
    <mergeCell ref="U916:AN916"/>
    <mergeCell ref="Y917:AA917"/>
    <mergeCell ref="AC917:AD917"/>
    <mergeCell ref="AH917:AJ917"/>
    <mergeCell ref="AL917:AM917"/>
    <mergeCell ref="AB923:AB924"/>
    <mergeCell ref="AC923:AF924"/>
    <mergeCell ref="AG923:AI924"/>
    <mergeCell ref="K924:N924"/>
    <mergeCell ref="R924:T924"/>
    <mergeCell ref="V924:X924"/>
    <mergeCell ref="K918:M918"/>
    <mergeCell ref="K919:M919"/>
    <mergeCell ref="P919:S919"/>
    <mergeCell ref="U919:W919"/>
    <mergeCell ref="AA919:AC919"/>
    <mergeCell ref="F936:H936"/>
    <mergeCell ref="L936:M936"/>
    <mergeCell ref="O936:Q936"/>
    <mergeCell ref="X936:Z936"/>
    <mergeCell ref="AB936:AD936"/>
    <mergeCell ref="AG936:AJ936"/>
    <mergeCell ref="N928:V929"/>
    <mergeCell ref="Z928:AA929"/>
    <mergeCell ref="F929:L930"/>
    <mergeCell ref="N930:Q931"/>
    <mergeCell ref="X930:AA930"/>
    <mergeCell ref="AB930:AE931"/>
    <mergeCell ref="X931:AA931"/>
    <mergeCell ref="L938:N938"/>
    <mergeCell ref="AJ941:AL941"/>
    <mergeCell ref="T942:V942"/>
    <mergeCell ref="AJ942:AL942"/>
    <mergeCell ref="T943:V943"/>
    <mergeCell ref="B956:B957"/>
    <mergeCell ref="E956:F957"/>
    <mergeCell ref="G956:M956"/>
    <mergeCell ref="N956:N957"/>
    <mergeCell ref="O956:R956"/>
    <mergeCell ref="AF962:AH962"/>
    <mergeCell ref="O963:Z963"/>
    <mergeCell ref="AB963:AH963"/>
    <mergeCell ref="O957:R957"/>
    <mergeCell ref="L960:O960"/>
    <mergeCell ref="Y960:AB960"/>
    <mergeCell ref="L961:O961"/>
    <mergeCell ref="Y961:AB961"/>
    <mergeCell ref="C962:C963"/>
    <mergeCell ref="E962:K963"/>
    <mergeCell ref="M962:M963"/>
    <mergeCell ref="O962:Q962"/>
    <mergeCell ref="S962:U962"/>
    <mergeCell ref="C965:C966"/>
    <mergeCell ref="E965:L966"/>
    <mergeCell ref="M965:M966"/>
    <mergeCell ref="O965:Q965"/>
    <mergeCell ref="S965:U965"/>
    <mergeCell ref="W965:Y965"/>
    <mergeCell ref="W962:Y962"/>
    <mergeCell ref="AA962:AA963"/>
    <mergeCell ref="AB962:AD962"/>
    <mergeCell ref="AA965:AA966"/>
    <mergeCell ref="AB965:AD965"/>
    <mergeCell ref="AF965:AH965"/>
    <mergeCell ref="O966:Z966"/>
    <mergeCell ref="AB966:AH966"/>
    <mergeCell ref="O967:R967"/>
    <mergeCell ref="X967:Z967"/>
    <mergeCell ref="O964:R964"/>
    <mergeCell ref="X964:Z964"/>
    <mergeCell ref="AF978:AG978"/>
    <mergeCell ref="AJ978:AL978"/>
    <mergeCell ref="S979:U979"/>
    <mergeCell ref="W979:X979"/>
    <mergeCell ref="AE979:AG979"/>
    <mergeCell ref="O973:Q973"/>
    <mergeCell ref="T976:V976"/>
    <mergeCell ref="X976:Z976"/>
    <mergeCell ref="AE976:AG976"/>
    <mergeCell ref="T977:V977"/>
    <mergeCell ref="X977:Z977"/>
    <mergeCell ref="AE977:AG977"/>
    <mergeCell ref="C981:C982"/>
    <mergeCell ref="E981:E982"/>
    <mergeCell ref="G981:G982"/>
    <mergeCell ref="P981:P982"/>
    <mergeCell ref="R981:S981"/>
    <mergeCell ref="U981:W981"/>
    <mergeCell ref="U978:W978"/>
    <mergeCell ref="Y978:Z978"/>
    <mergeCell ref="AB978:AD978"/>
    <mergeCell ref="Z981:AA981"/>
    <mergeCell ref="AC981:AD981"/>
    <mergeCell ref="AI981:AI982"/>
    <mergeCell ref="AJ981:AL982"/>
    <mergeCell ref="Y982:Z982"/>
    <mergeCell ref="E983:F983"/>
    <mergeCell ref="S980:U980"/>
    <mergeCell ref="W980:X980"/>
    <mergeCell ref="Z980:AB980"/>
    <mergeCell ref="AE980:AG980"/>
    <mergeCell ref="U1003:W1003"/>
    <mergeCell ref="Y1003:AA1003"/>
    <mergeCell ref="K1004:M1004"/>
    <mergeCell ref="U1005:W1005"/>
    <mergeCell ref="Y1005:AA1005"/>
    <mergeCell ref="K1006:M1006"/>
    <mergeCell ref="AF996:AG997"/>
    <mergeCell ref="AH996:AH997"/>
    <mergeCell ref="Z1000:AB1000"/>
    <mergeCell ref="Q1001:S1001"/>
    <mergeCell ref="W1001:X1001"/>
    <mergeCell ref="K1002:M1002"/>
    <mergeCell ref="AJ1010:AL1011"/>
    <mergeCell ref="S1007:U1007"/>
    <mergeCell ref="W1007:Y1007"/>
    <mergeCell ref="K1008:M1008"/>
    <mergeCell ref="I1010:I1011"/>
    <mergeCell ref="K1010:N1011"/>
    <mergeCell ref="O1010:T1010"/>
    <mergeCell ref="U1010:U1011"/>
    <mergeCell ref="V1010:X1010"/>
    <mergeCell ref="O1011:P1011"/>
    <mergeCell ref="R1011:T1011"/>
    <mergeCell ref="I1012:I1013"/>
    <mergeCell ref="K1012:M1013"/>
    <mergeCell ref="N1012:O1013"/>
    <mergeCell ref="K1015:M1015"/>
    <mergeCell ref="Z1010:AB1010"/>
    <mergeCell ref="AC1010:AC1011"/>
    <mergeCell ref="AD1010:AE1011"/>
    <mergeCell ref="AF1010:AH1011"/>
    <mergeCell ref="AI1010:AI1011"/>
    <mergeCell ref="K1016:M1016"/>
    <mergeCell ref="S1017:U1017"/>
    <mergeCell ref="X1017:AA1017"/>
    <mergeCell ref="AC1017:AE1017"/>
    <mergeCell ref="K1018:M1018"/>
    <mergeCell ref="S1020:U1020"/>
    <mergeCell ref="W1020:Y1020"/>
    <mergeCell ref="V1011:X1011"/>
    <mergeCell ref="Z1011:AB1011"/>
    <mergeCell ref="O1023:O1024"/>
    <mergeCell ref="P1023:P1024"/>
    <mergeCell ref="Q1023:U1023"/>
    <mergeCell ref="V1023:V1024"/>
    <mergeCell ref="W1023:Y1023"/>
    <mergeCell ref="AA1023:AC1023"/>
    <mergeCell ref="K1021:M1021"/>
    <mergeCell ref="I1023:I1024"/>
    <mergeCell ref="K1023:K1024"/>
    <mergeCell ref="L1023:L1024"/>
    <mergeCell ref="M1023:M1024"/>
    <mergeCell ref="N1023:N1024"/>
    <mergeCell ref="AM1023:AM1024"/>
    <mergeCell ref="AN1023:AP1024"/>
    <mergeCell ref="AQ1023:AR1024"/>
    <mergeCell ref="Q1024:R1024"/>
    <mergeCell ref="T1024:U1024"/>
    <mergeCell ref="W1024:Y1024"/>
    <mergeCell ref="AA1024:AC1024"/>
    <mergeCell ref="AD1023:AD1024"/>
    <mergeCell ref="AE1023:AE1024"/>
    <mergeCell ref="AF1023:AF1024"/>
    <mergeCell ref="AG1023:AI1024"/>
    <mergeCell ref="AJ1023:AJ1024"/>
    <mergeCell ref="AK1023:AL1024"/>
    <mergeCell ref="K1025:M1025"/>
    <mergeCell ref="AN1025:AP1025"/>
    <mergeCell ref="I1027:I1028"/>
    <mergeCell ref="M1027:O1027"/>
    <mergeCell ref="S1027:V1027"/>
    <mergeCell ref="X1027:X1028"/>
    <mergeCell ref="Y1027:AB1028"/>
    <mergeCell ref="AC1027:AC1028"/>
    <mergeCell ref="AE1027:AG1028"/>
    <mergeCell ref="M1028:O1028"/>
    <mergeCell ref="Q1044:S1044"/>
    <mergeCell ref="U1045:V1045"/>
    <mergeCell ref="X1045:Z1045"/>
    <mergeCell ref="AB1045:AE1045"/>
    <mergeCell ref="R1046:T1046"/>
    <mergeCell ref="R1047:T1047"/>
    <mergeCell ref="Q1028:S1028"/>
    <mergeCell ref="K1029:M1029"/>
    <mergeCell ref="V1031:X1031"/>
    <mergeCell ref="Z1031:AB1031"/>
    <mergeCell ref="K1032:N1032"/>
    <mergeCell ref="R1043:S1043"/>
    <mergeCell ref="AO1058:AQ1058"/>
    <mergeCell ref="R1059:U1059"/>
    <mergeCell ref="R1055:T1055"/>
    <mergeCell ref="V1055:X1055"/>
    <mergeCell ref="AA1055:AB1055"/>
    <mergeCell ref="AF1055:AG1055"/>
    <mergeCell ref="AI1055:AK1055"/>
    <mergeCell ref="AO1055:AP1055"/>
    <mergeCell ref="S1049:U1049"/>
    <mergeCell ref="W1049:Z1049"/>
    <mergeCell ref="AC1049:AE1049"/>
    <mergeCell ref="AG1049:AH1049"/>
    <mergeCell ref="R1050:U1050"/>
    <mergeCell ref="AG1050:AI1050"/>
    <mergeCell ref="Y1060:AA1060"/>
    <mergeCell ref="AE1060:AG1060"/>
    <mergeCell ref="AI1060:AK1060"/>
    <mergeCell ref="R1061:T1061"/>
    <mergeCell ref="Z1061:AB1061"/>
    <mergeCell ref="U1062:W1062"/>
    <mergeCell ref="Y1062:AA1062"/>
    <mergeCell ref="AH1062:AJ1062"/>
    <mergeCell ref="R1056:U1056"/>
    <mergeCell ref="R1057:T1057"/>
    <mergeCell ref="AG1058:AI1058"/>
    <mergeCell ref="AK1058:AM1058"/>
    <mergeCell ref="AM1067:AO1067"/>
    <mergeCell ref="I1068:K1068"/>
    <mergeCell ref="W1069:Z1069"/>
    <mergeCell ref="AB1069:AD1069"/>
    <mergeCell ref="AF1069:AH1069"/>
    <mergeCell ref="AJ1069:AL1069"/>
    <mergeCell ref="O1065:Q1065"/>
    <mergeCell ref="S1065:U1065"/>
    <mergeCell ref="I1066:K1066"/>
    <mergeCell ref="W1067:Z1067"/>
    <mergeCell ref="AB1067:AD1067"/>
    <mergeCell ref="AG1067:AI1067"/>
    <mergeCell ref="I1070:K1070"/>
    <mergeCell ref="R1072:T1072"/>
    <mergeCell ref="V1072:X1072"/>
    <mergeCell ref="I1073:K1073"/>
    <mergeCell ref="G1075:G1076"/>
    <mergeCell ref="I1075:J1076"/>
    <mergeCell ref="K1075:M1076"/>
    <mergeCell ref="N1075:N1076"/>
    <mergeCell ref="O1075:Q1076"/>
    <mergeCell ref="R1075:R1076"/>
    <mergeCell ref="I1077:L1077"/>
    <mergeCell ref="O1078:P1078"/>
    <mergeCell ref="R1078:U1078"/>
    <mergeCell ref="Y1078:AA1078"/>
    <mergeCell ref="AC1078:AE1078"/>
    <mergeCell ref="I1079:K1079"/>
    <mergeCell ref="AH1075:AJ1075"/>
    <mergeCell ref="AL1075:AN1075"/>
    <mergeCell ref="AO1075:AO1076"/>
    <mergeCell ref="AA1076:AE1076"/>
    <mergeCell ref="AH1076:AJ1076"/>
    <mergeCell ref="AL1076:AN1076"/>
    <mergeCell ref="S1075:U1076"/>
    <mergeCell ref="V1075:V1076"/>
    <mergeCell ref="W1075:Y1076"/>
    <mergeCell ref="Z1075:Z1076"/>
    <mergeCell ref="AA1075:AC1075"/>
    <mergeCell ref="AF1075:AG1076"/>
    <mergeCell ref="AC1091:AE1092"/>
    <mergeCell ref="AF1091:AF1092"/>
    <mergeCell ref="AG1091:AI1092"/>
    <mergeCell ref="H1093:J1093"/>
    <mergeCell ref="M1088:O1088"/>
    <mergeCell ref="E1089:E1090"/>
    <mergeCell ref="G1089:G1090"/>
    <mergeCell ref="Q1089:S1090"/>
    <mergeCell ref="G1091:G1092"/>
    <mergeCell ref="M1091:P1091"/>
    <mergeCell ref="R1091:T1091"/>
    <mergeCell ref="M1095:O1095"/>
    <mergeCell ref="P1096:S1096"/>
    <mergeCell ref="U1096:W1096"/>
    <mergeCell ref="Y1096:AA1096"/>
    <mergeCell ref="M1097:P1097"/>
    <mergeCell ref="P1098:S1098"/>
    <mergeCell ref="U1098:W1098"/>
    <mergeCell ref="Y1098:AA1098"/>
    <mergeCell ref="V1091:W1091"/>
    <mergeCell ref="AA1091:AA1092"/>
    <mergeCell ref="AG1103:AI1103"/>
    <mergeCell ref="AK1103:AM1103"/>
    <mergeCell ref="M1104:O1104"/>
    <mergeCell ref="W1105:Z1105"/>
    <mergeCell ref="AB1105:AD1105"/>
    <mergeCell ref="AG1105:AI1105"/>
    <mergeCell ref="M1099:P1099"/>
    <mergeCell ref="T1101:V1101"/>
    <mergeCell ref="X1101:Z1101"/>
    <mergeCell ref="M1102:O1102"/>
    <mergeCell ref="X1103:Z1103"/>
    <mergeCell ref="AB1103:AE1103"/>
    <mergeCell ref="D1116:H1116"/>
    <mergeCell ref="AJ1121:AL1121"/>
    <mergeCell ref="O1122:Q1122"/>
    <mergeCell ref="S1122:U1122"/>
    <mergeCell ref="Y1122:AA1122"/>
    <mergeCell ref="AJ1122:AL1122"/>
    <mergeCell ref="M1106:O1106"/>
    <mergeCell ref="X1109:Z1109"/>
    <mergeCell ref="AD1109:AF1109"/>
    <mergeCell ref="AH1109:AJ1109"/>
    <mergeCell ref="M1110:O1110"/>
    <mergeCell ref="D1114:H1115"/>
    <mergeCell ref="Q1128:S1128"/>
    <mergeCell ref="Y1128:AA1128"/>
    <mergeCell ref="AJ1131:AL1131"/>
    <mergeCell ref="Q1132:S1132"/>
    <mergeCell ref="AJ1132:AL1132"/>
    <mergeCell ref="Q1133:S1133"/>
    <mergeCell ref="Q1123:S1123"/>
    <mergeCell ref="U1123:W1123"/>
    <mergeCell ref="Y1123:AA1123"/>
    <mergeCell ref="AJ1126:AL1126"/>
    <mergeCell ref="O1127:Q1127"/>
    <mergeCell ref="S1127:U1127"/>
    <mergeCell ref="Y1127:AA1127"/>
    <mergeCell ref="AJ1127:AL1127"/>
    <mergeCell ref="AJ1141:AL1141"/>
    <mergeCell ref="O1142:Q1142"/>
    <mergeCell ref="AJ1142:AL1142"/>
    <mergeCell ref="Q1143:S1143"/>
    <mergeCell ref="U1143:W1143"/>
    <mergeCell ref="Y1143:AA1143"/>
    <mergeCell ref="AC1143:AE1143"/>
    <mergeCell ref="AJ1136:AL1136"/>
    <mergeCell ref="O1137:Q1137"/>
    <mergeCell ref="S1137:U1137"/>
    <mergeCell ref="Y1137:AA1137"/>
    <mergeCell ref="AJ1137:AL1137"/>
    <mergeCell ref="Q1138:S1138"/>
    <mergeCell ref="U1138:W1138"/>
    <mergeCell ref="Y1138:AA1138"/>
    <mergeCell ref="I1158:K1158"/>
    <mergeCell ref="M1158:O1158"/>
    <mergeCell ref="Q1158:S1158"/>
    <mergeCell ref="S1159:U1159"/>
    <mergeCell ref="Z1159:AB1159"/>
    <mergeCell ref="AE1159:AG1159"/>
    <mergeCell ref="C1152:D1152"/>
    <mergeCell ref="E1152:I1153"/>
    <mergeCell ref="R1152:AC1153"/>
    <mergeCell ref="C1153:D1153"/>
    <mergeCell ref="C1154:D1154"/>
    <mergeCell ref="E1154:I1155"/>
    <mergeCell ref="R1154:AC1155"/>
    <mergeCell ref="C1155:D1155"/>
    <mergeCell ref="J1164:L1164"/>
    <mergeCell ref="P1166:R1166"/>
    <mergeCell ref="T1166:V1166"/>
    <mergeCell ref="AA1166:AC1166"/>
    <mergeCell ref="I1167:K1167"/>
    <mergeCell ref="R1170:S1170"/>
    <mergeCell ref="K1160:M1160"/>
    <mergeCell ref="O1160:P1160"/>
    <mergeCell ref="W1160:Y1160"/>
    <mergeCell ref="AA1160:AA1161"/>
    <mergeCell ref="AC1160:AO1161"/>
    <mergeCell ref="M1161:P1161"/>
    <mergeCell ref="R1161:T1161"/>
    <mergeCell ref="W1161:Y1161"/>
    <mergeCell ref="AC1179:AE1179"/>
    <mergeCell ref="AG1179:AI1179"/>
    <mergeCell ref="AL1179:AN1179"/>
    <mergeCell ref="I1175:K1175"/>
    <mergeCell ref="N1176:P1176"/>
    <mergeCell ref="R1176:T1176"/>
    <mergeCell ref="I1177:K1177"/>
    <mergeCell ref="M1177:O1177"/>
    <mergeCell ref="R1177:T1177"/>
    <mergeCell ref="I1180:K1180"/>
    <mergeCell ref="M1182:O1182"/>
    <mergeCell ref="Q1182:S1182"/>
    <mergeCell ref="U1182:W1182"/>
    <mergeCell ref="I1183:K1183"/>
    <mergeCell ref="I1184:K1184"/>
    <mergeCell ref="L1179:N1179"/>
    <mergeCell ref="P1179:R1179"/>
    <mergeCell ref="U1179:W1179"/>
    <mergeCell ref="M1197:O1197"/>
    <mergeCell ref="Q1197:S1197"/>
    <mergeCell ref="Y1197:AA1197"/>
    <mergeCell ref="I1198:K1198"/>
    <mergeCell ref="L1199:N1199"/>
    <mergeCell ref="P1199:R1199"/>
    <mergeCell ref="X1199:Z1199"/>
    <mergeCell ref="O1193:Q1193"/>
    <mergeCell ref="S1193:U1193"/>
    <mergeCell ref="I1195:K1195"/>
    <mergeCell ref="M1195:O1195"/>
    <mergeCell ref="S1195:U1195"/>
    <mergeCell ref="I1196:K1196"/>
    <mergeCell ref="E1210:F1211"/>
    <mergeCell ref="G1210:G1211"/>
    <mergeCell ref="K1210:N1210"/>
    <mergeCell ref="P1210:R1210"/>
    <mergeCell ref="T1210:T1211"/>
    <mergeCell ref="U1210:X1211"/>
    <mergeCell ref="I1200:K1200"/>
    <mergeCell ref="O1201:Q1201"/>
    <mergeCell ref="I1202:K1202"/>
    <mergeCell ref="I1203:K1203"/>
    <mergeCell ref="E1206:F1207"/>
    <mergeCell ref="G1206:G1207"/>
    <mergeCell ref="I1206:K1206"/>
    <mergeCell ref="M1206:W1207"/>
    <mergeCell ref="I1207:K1207"/>
    <mergeCell ref="Y1210:Z1211"/>
    <mergeCell ref="K1211:M1211"/>
    <mergeCell ref="O1211:P1211"/>
    <mergeCell ref="K1212:N1212"/>
    <mergeCell ref="P1212:R1212"/>
    <mergeCell ref="T1212:V1212"/>
    <mergeCell ref="X1212:Z1212"/>
    <mergeCell ref="I1209:K1209"/>
    <mergeCell ref="P1209:R1209"/>
    <mergeCell ref="U1209:W1209"/>
    <mergeCell ref="X1229:Z1229"/>
    <mergeCell ref="AB1229:AD1229"/>
    <mergeCell ref="AF1229:AH1229"/>
    <mergeCell ref="I1230:L1230"/>
    <mergeCell ref="U1231:X1231"/>
    <mergeCell ref="AF1231:AH1231"/>
    <mergeCell ref="I1213:K1213"/>
    <mergeCell ref="AJ1216:AL1216"/>
    <mergeCell ref="Q1217:S1217"/>
    <mergeCell ref="AJ1217:AL1217"/>
    <mergeCell ref="Q1218:S1218"/>
    <mergeCell ref="AJ1221:AL1221"/>
    <mergeCell ref="R1247:S1247"/>
    <mergeCell ref="I1256:K1256"/>
    <mergeCell ref="I1257:K1257"/>
    <mergeCell ref="I1259:J1259"/>
    <mergeCell ref="T1260:V1260"/>
    <mergeCell ref="X1260:Z1260"/>
    <mergeCell ref="I1232:L1232"/>
    <mergeCell ref="R1236:T1236"/>
    <mergeCell ref="V1236:X1236"/>
    <mergeCell ref="Z1236:AA1236"/>
    <mergeCell ref="I1237:K1237"/>
    <mergeCell ref="R1241:T1241"/>
    <mergeCell ref="AC1267:AE1267"/>
    <mergeCell ref="I1261:K1261"/>
    <mergeCell ref="I1262:K1262"/>
    <mergeCell ref="M1262:N1262"/>
    <mergeCell ref="AA1262:AC1262"/>
    <mergeCell ref="M1263:P1263"/>
    <mergeCell ref="R1263:T1263"/>
    <mergeCell ref="V1263:X1263"/>
    <mergeCell ref="AA1263:AC1263"/>
    <mergeCell ref="Q1278:S1278"/>
    <mergeCell ref="A164:C165"/>
    <mergeCell ref="I1270:K1270"/>
    <mergeCell ref="I1272:K1272"/>
    <mergeCell ref="M1272:O1272"/>
    <mergeCell ref="I1273:L1273"/>
    <mergeCell ref="AJ1276:AL1276"/>
    <mergeCell ref="Q1277:S1277"/>
    <mergeCell ref="AJ1277:AL1277"/>
    <mergeCell ref="I1268:K1268"/>
    <mergeCell ref="L1269:O1269"/>
    <mergeCell ref="Q1269:S1269"/>
    <mergeCell ref="U1269:W1269"/>
    <mergeCell ref="Z1269:AB1269"/>
    <mergeCell ref="AD1269:AE1269"/>
    <mergeCell ref="M1264:P1264"/>
    <mergeCell ref="R1264:T1264"/>
    <mergeCell ref="V1264:X1264"/>
    <mergeCell ref="AA1264:AC1264"/>
    <mergeCell ref="I1266:J1266"/>
    <mergeCell ref="L1267:N1267"/>
    <mergeCell ref="P1267:Q1267"/>
    <mergeCell ref="T1267:W1267"/>
    <mergeCell ref="Y1267:AA1267"/>
    <mergeCell ref="AC244:AK245"/>
    <mergeCell ref="W258:AG259"/>
    <mergeCell ref="W267:X267"/>
    <mergeCell ref="W277:X277"/>
    <mergeCell ref="W279:X279"/>
    <mergeCell ref="H234:J235"/>
    <mergeCell ref="H236:J237"/>
    <mergeCell ref="A174:C175"/>
    <mergeCell ref="AO723:AQ723"/>
    <mergeCell ref="AH724:AJ724"/>
    <mergeCell ref="AO724:AQ724"/>
    <mergeCell ref="AH725:AJ725"/>
    <mergeCell ref="AO725:AQ725"/>
    <mergeCell ref="AO726:AQ726"/>
    <mergeCell ref="AF549:AI549"/>
    <mergeCell ref="AK549:AN549"/>
    <mergeCell ref="AF550:AI550"/>
    <mergeCell ref="AK550:AN550"/>
    <mergeCell ref="F717:F718"/>
    <mergeCell ref="A181:C182"/>
    <mergeCell ref="A189:C190"/>
    <mergeCell ref="O236:O237"/>
    <mergeCell ref="AG326:AI327"/>
    <mergeCell ref="C359:I360"/>
    <mergeCell ref="W281:X281"/>
    <mergeCell ref="W282:X282"/>
    <mergeCell ref="X288:Y288"/>
    <mergeCell ref="L325:M325"/>
    <mergeCell ref="D326:H327"/>
    <mergeCell ref="X325:Z325"/>
    <mergeCell ref="AA297:AD297"/>
    <mergeCell ref="AF546:AI546"/>
    <mergeCell ref="AK546:AN546"/>
    <mergeCell ref="AF547:AI547"/>
    <mergeCell ref="AK547:AN547"/>
    <mergeCell ref="AF548:AI548"/>
    <mergeCell ref="AK548:AN548"/>
    <mergeCell ref="AE491:AJ491"/>
    <mergeCell ref="AE496:AJ496"/>
    <mergeCell ref="C715:D716"/>
    <mergeCell ref="AO727:AQ727"/>
    <mergeCell ref="AH728:AJ728"/>
    <mergeCell ref="AO728:AQ728"/>
    <mergeCell ref="T729:V729"/>
    <mergeCell ref="AH729:AJ729"/>
    <mergeCell ref="AO729:AQ729"/>
    <mergeCell ref="T730:V730"/>
    <mergeCell ref="AH730:AJ730"/>
    <mergeCell ref="AO730:AQ730"/>
    <mergeCell ref="AH732:AJ732"/>
    <mergeCell ref="AO731:AQ731"/>
    <mergeCell ref="AH731:AJ731"/>
    <mergeCell ref="AO732:AQ732"/>
    <mergeCell ref="AO733:AR733"/>
    <mergeCell ref="T731:V731"/>
    <mergeCell ref="X731:Z731"/>
    <mergeCell ref="AB731:AD731"/>
    <mergeCell ref="F715:F716"/>
    <mergeCell ref="T723:V723"/>
    <mergeCell ref="X723:Y723"/>
    <mergeCell ref="T724:V724"/>
    <mergeCell ref="X724:Z724"/>
    <mergeCell ref="AB724:AC724"/>
    <mergeCell ref="T727:V727"/>
    <mergeCell ref="X727:Z727"/>
    <mergeCell ref="X729:Y729"/>
    <mergeCell ref="AA729:AC729"/>
    <mergeCell ref="AE729:AF729"/>
    <mergeCell ref="X730:Y730"/>
    <mergeCell ref="AA730:AC730"/>
    <mergeCell ref="AE730:AF730"/>
    <mergeCell ref="T732:V732"/>
    <mergeCell ref="X732:Z732"/>
    <mergeCell ref="AD732:AF732"/>
    <mergeCell ref="H719:K719"/>
    <mergeCell ref="AO750:AQ750"/>
    <mergeCell ref="T751:V751"/>
    <mergeCell ref="X751:Y751"/>
    <mergeCell ref="AA751:AC751"/>
    <mergeCell ref="AE751:AF751"/>
    <mergeCell ref="AH751:AJ751"/>
    <mergeCell ref="AO751:AQ751"/>
    <mergeCell ref="T752:V752"/>
    <mergeCell ref="X752:Z752"/>
    <mergeCell ref="AB752:AD752"/>
    <mergeCell ref="AH752:AJ752"/>
    <mergeCell ref="AO752:AQ752"/>
    <mergeCell ref="C736:D737"/>
    <mergeCell ref="F736:F737"/>
    <mergeCell ref="F738:F739"/>
    <mergeCell ref="H740:K740"/>
    <mergeCell ref="T744:V744"/>
    <mergeCell ref="X744:Y744"/>
    <mergeCell ref="AH744:AJ744"/>
    <mergeCell ref="AO744:AQ744"/>
    <mergeCell ref="T745:V745"/>
    <mergeCell ref="X745:Z745"/>
    <mergeCell ref="AB745:AC745"/>
    <mergeCell ref="AH745:AJ745"/>
    <mergeCell ref="AO745:AQ745"/>
    <mergeCell ref="AH746:AJ746"/>
    <mergeCell ref="AO746:AQ746"/>
    <mergeCell ref="AO747:AQ747"/>
    <mergeCell ref="T748:V748"/>
    <mergeCell ref="X748:Z748"/>
    <mergeCell ref="AH748:AJ748"/>
    <mergeCell ref="AO748:AQ748"/>
    <mergeCell ref="AH753:AJ753"/>
    <mergeCell ref="AO753:AQ753"/>
    <mergeCell ref="AO754:AR754"/>
    <mergeCell ref="T749:V749"/>
    <mergeCell ref="X749:Z749"/>
    <mergeCell ref="AB749:AD749"/>
    <mergeCell ref="AH771:AJ771"/>
    <mergeCell ref="AO771:AQ771"/>
    <mergeCell ref="T772:V772"/>
    <mergeCell ref="X772:Z772"/>
    <mergeCell ref="AB772:AD772"/>
    <mergeCell ref="AH772:AJ772"/>
    <mergeCell ref="AO772:AQ772"/>
    <mergeCell ref="F758:F759"/>
    <mergeCell ref="H760:K760"/>
    <mergeCell ref="T764:V764"/>
    <mergeCell ref="X764:Y764"/>
    <mergeCell ref="AH764:AJ764"/>
    <mergeCell ref="AO764:AQ764"/>
    <mergeCell ref="T765:V765"/>
    <mergeCell ref="X765:Z765"/>
    <mergeCell ref="AB765:AC765"/>
    <mergeCell ref="AH765:AJ765"/>
    <mergeCell ref="AO765:AQ765"/>
    <mergeCell ref="G758:G759"/>
    <mergeCell ref="AH749:AJ749"/>
    <mergeCell ref="AO749:AQ749"/>
    <mergeCell ref="T750:V750"/>
    <mergeCell ref="X750:Y750"/>
    <mergeCell ref="AA750:AC750"/>
    <mergeCell ref="AE750:AF750"/>
    <mergeCell ref="AH750:AJ750"/>
    <mergeCell ref="AO773:AQ773"/>
    <mergeCell ref="AO774:AR774"/>
    <mergeCell ref="H758:J758"/>
    <mergeCell ref="L758:N758"/>
    <mergeCell ref="P758:R758"/>
    <mergeCell ref="T758:V758"/>
    <mergeCell ref="X758:Z758"/>
    <mergeCell ref="AB758:AD758"/>
    <mergeCell ref="AF758:AH758"/>
    <mergeCell ref="AJ758:AL758"/>
    <mergeCell ref="T759:V759"/>
    <mergeCell ref="AM758:AN759"/>
    <mergeCell ref="AO758:AQ758"/>
    <mergeCell ref="AO759:AQ759"/>
    <mergeCell ref="AB773:AD773"/>
    <mergeCell ref="AH766:AJ766"/>
    <mergeCell ref="AO766:AQ766"/>
    <mergeCell ref="AO767:AQ767"/>
    <mergeCell ref="T768:V768"/>
    <mergeCell ref="X768:Z768"/>
    <mergeCell ref="AH768:AJ768"/>
    <mergeCell ref="AO768:AQ768"/>
    <mergeCell ref="AO769:AQ769"/>
    <mergeCell ref="T770:V770"/>
    <mergeCell ref="X770:Y770"/>
    <mergeCell ref="AA770:AC770"/>
    <mergeCell ref="AE770:AF770"/>
    <mergeCell ref="AH770:AJ770"/>
    <mergeCell ref="AO770:AQ770"/>
    <mergeCell ref="AO791:AQ791"/>
    <mergeCell ref="F779:F780"/>
    <mergeCell ref="H779:J779"/>
    <mergeCell ref="L779:N779"/>
    <mergeCell ref="P779:R779"/>
    <mergeCell ref="T779:V779"/>
    <mergeCell ref="X779:Z779"/>
    <mergeCell ref="AB779:AD779"/>
    <mergeCell ref="AF779:AH779"/>
    <mergeCell ref="AJ779:AL779"/>
    <mergeCell ref="T780:V780"/>
    <mergeCell ref="H781:K781"/>
    <mergeCell ref="T785:V785"/>
    <mergeCell ref="X785:Y785"/>
    <mergeCell ref="AH785:AJ785"/>
    <mergeCell ref="AO785:AQ785"/>
    <mergeCell ref="C777:D778"/>
    <mergeCell ref="AN779:AP779"/>
    <mergeCell ref="P780:R780"/>
    <mergeCell ref="Z780:AB780"/>
    <mergeCell ref="AD780:AF780"/>
    <mergeCell ref="F777:F778"/>
    <mergeCell ref="AH786:AJ786"/>
    <mergeCell ref="F799:F800"/>
    <mergeCell ref="H799:J799"/>
    <mergeCell ref="L799:N799"/>
    <mergeCell ref="P799:R799"/>
    <mergeCell ref="T799:V799"/>
    <mergeCell ref="X799:Z799"/>
    <mergeCell ref="AB799:AD799"/>
    <mergeCell ref="AF799:AH799"/>
    <mergeCell ref="AJ799:AL799"/>
    <mergeCell ref="X792:Y792"/>
    <mergeCell ref="AA792:AC792"/>
    <mergeCell ref="AE792:AF792"/>
    <mergeCell ref="AH792:AJ792"/>
    <mergeCell ref="AO792:AQ792"/>
    <mergeCell ref="T793:V793"/>
    <mergeCell ref="X793:Z793"/>
    <mergeCell ref="AB793:AD793"/>
    <mergeCell ref="AH793:AJ793"/>
    <mergeCell ref="AO793:AQ793"/>
    <mergeCell ref="T794:V794"/>
    <mergeCell ref="X794:Z794"/>
    <mergeCell ref="AB794:AD794"/>
    <mergeCell ref="AH794:AJ794"/>
    <mergeCell ref="AO794:AQ794"/>
    <mergeCell ref="AO795:AR795"/>
    <mergeCell ref="G799:G800"/>
    <mergeCell ref="AM799:AN800"/>
    <mergeCell ref="AO799:AP799"/>
    <mergeCell ref="AO800:AP800"/>
    <mergeCell ref="AO811:AQ811"/>
    <mergeCell ref="AH812:AJ812"/>
    <mergeCell ref="AO812:AQ812"/>
    <mergeCell ref="AH813:AJ813"/>
    <mergeCell ref="AO813:AQ813"/>
    <mergeCell ref="H801:K801"/>
    <mergeCell ref="AH805:AJ805"/>
    <mergeCell ref="AO805:AQ805"/>
    <mergeCell ref="AH806:AJ806"/>
    <mergeCell ref="AO806:AQ806"/>
    <mergeCell ref="AH807:AJ807"/>
    <mergeCell ref="AO807:AQ807"/>
    <mergeCell ref="AO808:AQ808"/>
    <mergeCell ref="AH809:AJ809"/>
    <mergeCell ref="AO809:AQ809"/>
    <mergeCell ref="AH810:AJ810"/>
    <mergeCell ref="AO810:AQ810"/>
    <mergeCell ref="J816:M816"/>
    <mergeCell ref="J817:M817"/>
    <mergeCell ref="V827:X827"/>
    <mergeCell ref="AE478:AJ478"/>
    <mergeCell ref="AE479:AJ479"/>
    <mergeCell ref="AE480:AJ480"/>
    <mergeCell ref="AE481:AJ481"/>
    <mergeCell ref="AE485:AJ485"/>
    <mergeCell ref="AE486:AJ486"/>
    <mergeCell ref="AE487:AJ487"/>
    <mergeCell ref="AE488:AJ488"/>
    <mergeCell ref="AE492:AJ492"/>
    <mergeCell ref="AE493:AJ493"/>
    <mergeCell ref="AE494:AJ494"/>
    <mergeCell ref="AE495:AJ495"/>
    <mergeCell ref="AH814:AJ814"/>
    <mergeCell ref="AO814:AQ814"/>
    <mergeCell ref="AO815:AR815"/>
    <mergeCell ref="V800:X800"/>
    <mergeCell ref="AO786:AQ786"/>
    <mergeCell ref="AH787:AJ787"/>
    <mergeCell ref="AO787:AQ787"/>
    <mergeCell ref="AO788:AQ788"/>
    <mergeCell ref="AH789:AJ789"/>
    <mergeCell ref="AO789:AQ789"/>
    <mergeCell ref="T790:V790"/>
    <mergeCell ref="X790:Z790"/>
    <mergeCell ref="AB790:AD790"/>
    <mergeCell ref="AH790:AJ790"/>
    <mergeCell ref="AO790:AQ790"/>
    <mergeCell ref="T791:V791"/>
    <mergeCell ref="X791:Y791"/>
  </mergeCells>
  <phoneticPr fontId="34" type="noConversion"/>
  <conditionalFormatting sqref="A1259:I1259 K1259:XFD1259 A1260:XFD1271 E419:AR419 E418:AQ418 A418:B434 AS424:XFD425 E421:AR425 E420:T420 V420:AR420 E426:T426 V426:XFD426 E427:XFD434 AS865:XFD1056 A865:AR1054 A1055:AF1056 A1057:XFD1258 AS419:AS423 AG1056:AR1056 AS418:XFD418 B556:B562 B597 B576:B583 B599:B603 B655 B639:B641 B637 B675 B617 B693 B713 B544 B551 C545:C550 B734 B755 B796 B757:B761 B816:B819 B798:B802 B836:B858">
    <cfRule type="expression" dxfId="53" priority="58">
      <formula>$AS418="Hide this row"</formula>
    </cfRule>
  </conditionalFormatting>
  <conditionalFormatting sqref="C1245">
    <cfRule type="expression" dxfId="52" priority="57">
      <formula>$AS1245="Hide this row"</formula>
    </cfRule>
  </conditionalFormatting>
  <conditionalFormatting sqref="AR1250">
    <cfRule type="expression" dxfId="51" priority="56">
      <formula>$AS1250="Hide this row"</formula>
    </cfRule>
  </conditionalFormatting>
  <conditionalFormatting sqref="C1250">
    <cfRule type="expression" dxfId="50" priority="55">
      <formula>$AS1250="Hide this row"</formula>
    </cfRule>
  </conditionalFormatting>
  <conditionalFormatting sqref="AT419:XFD423">
    <cfRule type="expression" dxfId="49" priority="54">
      <formula>$AS419="Hide this row"</formula>
    </cfRule>
  </conditionalFormatting>
  <conditionalFormatting sqref="E424">
    <cfRule type="expression" dxfId="48" priority="53">
      <formula>$AS424="Hide this row"</formula>
    </cfRule>
  </conditionalFormatting>
  <conditionalFormatting sqref="AR429">
    <cfRule type="expression" dxfId="47" priority="52">
      <formula>$AS429="Hide this row"</formula>
    </cfRule>
  </conditionalFormatting>
  <conditionalFormatting sqref="E429">
    <cfRule type="expression" dxfId="46" priority="51">
      <formula>$AS429="Hide this row"</formula>
    </cfRule>
  </conditionalFormatting>
  <conditionalFormatting sqref="AF1055:AG1055">
    <cfRule type="expression" dxfId="45" priority="59">
      <formula>$AS1055="Hide this row"</formula>
    </cfRule>
  </conditionalFormatting>
  <conditionalFormatting sqref="AH1055:AR1055">
    <cfRule type="expression" dxfId="44" priority="60">
      <formula>$AS1055="Hide this row"</formula>
    </cfRule>
  </conditionalFormatting>
  <conditionalFormatting sqref="F1276:AL1276">
    <cfRule type="expression" dxfId="43" priority="50">
      <formula>$AJ1276="NG"</formula>
    </cfRule>
  </conditionalFormatting>
  <conditionalFormatting sqref="F1216:AL1216">
    <cfRule type="expression" dxfId="42" priority="49">
      <formula>$AJ1216="NG"</formula>
    </cfRule>
  </conditionalFormatting>
  <conditionalFormatting sqref="F1141:AL1141">
    <cfRule type="expression" dxfId="41" priority="48">
      <formula>$AJ1141="NG"</formula>
    </cfRule>
  </conditionalFormatting>
  <conditionalFormatting sqref="F1136:AL1136">
    <cfRule type="expression" dxfId="40" priority="47">
      <formula>$AJ1136="NG"</formula>
    </cfRule>
  </conditionalFormatting>
  <conditionalFormatting sqref="F1126:AL1126">
    <cfRule type="expression" dxfId="39" priority="46">
      <formula>$AJ1126="NG"</formula>
    </cfRule>
  </conditionalFormatting>
  <conditionalFormatting sqref="F1121:AL1121">
    <cfRule type="expression" dxfId="38" priority="45">
      <formula>$AJ1121="NG"</formula>
    </cfRule>
  </conditionalFormatting>
  <conditionalFormatting sqref="F1131:AL1131">
    <cfRule type="expression" dxfId="37" priority="44">
      <formula>$AJ1131="NG"</formula>
    </cfRule>
  </conditionalFormatting>
  <conditionalFormatting sqref="F941:AL941">
    <cfRule type="expression" dxfId="36" priority="43">
      <formula>$AJ941="NG"</formula>
    </cfRule>
  </conditionalFormatting>
  <conditionalFormatting sqref="AS467:AS472">
    <cfRule type="expression" dxfId="35" priority="42">
      <formula>$AS467="Hide this row"</formula>
    </cfRule>
  </conditionalFormatting>
  <conditionalFormatting sqref="A467:XFD472">
    <cfRule type="expression" dxfId="34" priority="41">
      <formula>$AS467="Hide this row"</formula>
    </cfRule>
  </conditionalFormatting>
  <conditionalFormatting sqref="B520">
    <cfRule type="expression" dxfId="33" priority="40">
      <formula>$AS520="Hide this row"</formula>
    </cfRule>
  </conditionalFormatting>
  <conditionalFormatting sqref="B533:B543 B552:B553">
    <cfRule type="expression" dxfId="32" priority="39">
      <formula>$AS533="Hide this row"</formula>
    </cfRule>
  </conditionalFormatting>
  <conditionalFormatting sqref="B554:B555">
    <cfRule type="expression" dxfId="31" priority="38">
      <formula>$AS554="Hide this row"</formula>
    </cfRule>
  </conditionalFormatting>
  <conditionalFormatting sqref="B564:B575">
    <cfRule type="expression" dxfId="30" priority="246">
      <formula>#REF!="Hide this row"</formula>
    </cfRule>
  </conditionalFormatting>
  <conditionalFormatting sqref="B598">
    <cfRule type="expression" dxfId="29" priority="32">
      <formula>$AS598="Hide this row"</formula>
    </cfRule>
  </conditionalFormatting>
  <conditionalFormatting sqref="B585:B596">
    <cfRule type="expression" dxfId="28" priority="36">
      <formula>#REF!="Hide this row"</formula>
    </cfRule>
  </conditionalFormatting>
  <conditionalFormatting sqref="B605:B616">
    <cfRule type="expression" dxfId="27" priority="33">
      <formula>#REF!="Hide this row"</formula>
    </cfRule>
  </conditionalFormatting>
  <conditionalFormatting sqref="B619:B623">
    <cfRule type="expression" dxfId="26" priority="31">
      <formula>$AS619="Hide this row"</formula>
    </cfRule>
  </conditionalFormatting>
  <conditionalFormatting sqref="B618">
    <cfRule type="expression" dxfId="25" priority="29">
      <formula>$AS618="Hide this row"</formula>
    </cfRule>
  </conditionalFormatting>
  <conditionalFormatting sqref="B625:B636">
    <cfRule type="expression" dxfId="24" priority="30">
      <formula>#REF!="Hide this row"</formula>
    </cfRule>
  </conditionalFormatting>
  <conditionalFormatting sqref="B638">
    <cfRule type="expression" dxfId="23" priority="26">
      <formula>$AS638="Hide this row"</formula>
    </cfRule>
  </conditionalFormatting>
  <conditionalFormatting sqref="B643:B654">
    <cfRule type="expression" dxfId="22" priority="27">
      <formula>#REF!="Hide this row"</formula>
    </cfRule>
  </conditionalFormatting>
  <conditionalFormatting sqref="B657:B661">
    <cfRule type="expression" dxfId="21" priority="25">
      <formula>$AS657="Hide this row"</formula>
    </cfRule>
  </conditionalFormatting>
  <conditionalFormatting sqref="B656">
    <cfRule type="expression" dxfId="20" priority="23">
      <formula>$AS656="Hide this row"</formula>
    </cfRule>
  </conditionalFormatting>
  <conditionalFormatting sqref="B663:B674">
    <cfRule type="expression" dxfId="19" priority="24">
      <formula>#REF!="Hide this row"</formula>
    </cfRule>
  </conditionalFormatting>
  <conditionalFormatting sqref="B677:B679">
    <cfRule type="expression" dxfId="18" priority="22">
      <formula>$AS677="Hide this row"</formula>
    </cfRule>
  </conditionalFormatting>
  <conditionalFormatting sqref="B676">
    <cfRule type="expression" dxfId="17" priority="20">
      <formula>$AS676="Hide this row"</formula>
    </cfRule>
  </conditionalFormatting>
  <conditionalFormatting sqref="B681:B692">
    <cfRule type="expression" dxfId="16" priority="21">
      <formula>#REF!="Hide this row"</formula>
    </cfRule>
  </conditionalFormatting>
  <conditionalFormatting sqref="B695:B699">
    <cfRule type="expression" dxfId="15" priority="19">
      <formula>$AS695="Hide this row"</formula>
    </cfRule>
  </conditionalFormatting>
  <conditionalFormatting sqref="B694">
    <cfRule type="expression" dxfId="14" priority="17">
      <formula>$AS694="Hide this row"</formula>
    </cfRule>
  </conditionalFormatting>
  <conditionalFormatting sqref="B701:B712">
    <cfRule type="expression" dxfId="13" priority="18">
      <formula>#REF!="Hide this row"</formula>
    </cfRule>
  </conditionalFormatting>
  <conditionalFormatting sqref="B715:B720">
    <cfRule type="expression" dxfId="12" priority="15">
      <formula>$AS715="Hide this row"</formula>
    </cfRule>
  </conditionalFormatting>
  <conditionalFormatting sqref="B714">
    <cfRule type="expression" dxfId="11" priority="13">
      <formula>$AS714="Hide this row"</formula>
    </cfRule>
  </conditionalFormatting>
  <conditionalFormatting sqref="B722:B733">
    <cfRule type="expression" dxfId="10" priority="14">
      <formula>#REF!="Hide this row"</formula>
    </cfRule>
  </conditionalFormatting>
  <conditionalFormatting sqref="B736:B741">
    <cfRule type="expression" dxfId="9" priority="12">
      <formula>$AS736="Hide this row"</formula>
    </cfRule>
  </conditionalFormatting>
  <conditionalFormatting sqref="B735">
    <cfRule type="expression" dxfId="8" priority="10">
      <formula>$AS735="Hide this row"</formula>
    </cfRule>
  </conditionalFormatting>
  <conditionalFormatting sqref="B743:B754">
    <cfRule type="expression" dxfId="7" priority="11">
      <formula>#REF!="Hide this row"</formula>
    </cfRule>
  </conditionalFormatting>
  <conditionalFormatting sqref="B756">
    <cfRule type="expression" dxfId="6" priority="7">
      <formula>$AS756="Hide this row"</formula>
    </cfRule>
  </conditionalFormatting>
  <conditionalFormatting sqref="B763:B775">
    <cfRule type="expression" dxfId="5" priority="8">
      <formula>#REF!="Hide this row"</formula>
    </cfRule>
  </conditionalFormatting>
  <conditionalFormatting sqref="B777:B782">
    <cfRule type="expression" dxfId="4" priority="6">
      <formula>$AS777="Hide this row"</formula>
    </cfRule>
  </conditionalFormatting>
  <conditionalFormatting sqref="B776">
    <cfRule type="expression" dxfId="3" priority="4">
      <formula>$AS776="Hide this row"</formula>
    </cfRule>
  </conditionalFormatting>
  <conditionalFormatting sqref="B784:B795">
    <cfRule type="expression" dxfId="2" priority="5">
      <formula>#REF!="Hide this row"</formula>
    </cfRule>
  </conditionalFormatting>
  <conditionalFormatting sqref="B797">
    <cfRule type="expression" dxfId="1" priority="1">
      <formula>$AS797="Hide this row"</formula>
    </cfRule>
  </conditionalFormatting>
  <conditionalFormatting sqref="B804:B815">
    <cfRule type="expression" dxfId="0" priority="2">
      <formula>#REF!="Hide this row"</formula>
    </cfRule>
  </conditionalFormatting>
  <dataValidations disablePrompts="1" count="1">
    <dataValidation type="list" allowBlank="1" showInputMessage="1" showErrorMessage="1" sqref="F439 G438" xr:uid="{8F28ED6B-1B77-44D8-BAD6-02727FDFA234}">
      <formula1>$AT$441:$AT$445</formula1>
    </dataValidation>
  </dataValidations>
  <pageMargins left="0.59055118110236227" right="0.59055118110236227" top="0.74803149606299213" bottom="0.74803149606299213" header="0.31496062992125984" footer="0.31496062992125984"/>
  <pageSetup paperSize="9" orientation="portrait" r:id="rId1"/>
  <rowBreaks count="6" manualBreakCount="6">
    <brk id="399" max="43" man="1"/>
    <brk id="435" max="43" man="1"/>
    <brk id="862" max="45" man="1"/>
    <brk id="945" max="45" man="1"/>
    <brk id="1144" max="45" man="1"/>
    <brk id="1223" max="4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22</vt:i4>
      </vt:variant>
    </vt:vector>
  </HeadingPairs>
  <TitlesOfParts>
    <vt:vector size="37" baseType="lpstr">
      <vt:lpstr>Spec</vt:lpstr>
      <vt:lpstr>input</vt:lpstr>
      <vt:lpstr>MST</vt:lpstr>
      <vt:lpstr>Info</vt:lpstr>
      <vt:lpstr>Notation</vt:lpstr>
      <vt:lpstr>Section</vt:lpstr>
      <vt:lpstr>Stress</vt:lpstr>
      <vt:lpstr>Cons</vt:lpstr>
      <vt:lpstr>ULS</vt:lpstr>
      <vt:lpstr>SLS</vt:lpstr>
      <vt:lpstr>FLS</vt:lpstr>
      <vt:lpstr>SUM</vt:lpstr>
      <vt:lpstr>Flowchart</vt:lpstr>
      <vt:lpstr>D-Cons</vt:lpstr>
      <vt:lpstr>D-ULS</vt:lpstr>
      <vt:lpstr>DIM</vt:lpstr>
      <vt:lpstr>DIMex</vt:lpstr>
      <vt:lpstr>Ec</vt:lpstr>
      <vt:lpstr>Ecb</vt:lpstr>
      <vt:lpstr>Ecd</vt:lpstr>
      <vt:lpstr>Es</vt:lpstr>
      <vt:lpstr>Fck</vt:lpstr>
      <vt:lpstr>Fckb</vt:lpstr>
      <vt:lpstr>Fys</vt:lpstr>
      <vt:lpstr>MST</vt:lpstr>
      <vt:lpstr>Cons!Print_Area</vt:lpstr>
      <vt:lpstr>'D-Cons'!Print_Area</vt:lpstr>
      <vt:lpstr>'D-ULS'!Print_Area</vt:lpstr>
      <vt:lpstr>Flowchart!Print_Area</vt:lpstr>
      <vt:lpstr>FLS!Print_Area</vt:lpstr>
      <vt:lpstr>Info!Print_Area</vt:lpstr>
      <vt:lpstr>Section!Print_Area</vt:lpstr>
      <vt:lpstr>SLS!Print_Area</vt:lpstr>
      <vt:lpstr>Stress!Print_Area</vt:lpstr>
      <vt:lpstr>SUM!Print_Area</vt:lpstr>
      <vt:lpstr>ULS!Print_Area</vt:lpstr>
      <vt:lpstr>SEC</vt:lpstr>
    </vt:vector>
  </TitlesOfParts>
  <Company>소프트뱅크 커머스 코리아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2020-08-14T06:13:38Z</cp:lastPrinted>
  <dcterms:created xsi:type="dcterms:W3CDTF">2018-11-08T09:37:05Z</dcterms:created>
  <dcterms:modified xsi:type="dcterms:W3CDTF">2020-10-19T09:00:16Z</dcterms:modified>
</cp:coreProperties>
</file>